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Users\tkartalkaya\Desktop\MEF BDA\BDA 501 Applied Statistics\HW\"/>
    </mc:Choice>
  </mc:AlternateContent>
  <bookViews>
    <workbookView xWindow="0" yWindow="0" windowWidth="27648" windowHeight="11794"/>
  </bookViews>
  <sheets>
    <sheet name="BDA501_DS_question2" sheetId="13" r:id="rId1"/>
    <sheet name="BDA501_DS_question3" sheetId="12" r:id="rId2"/>
    <sheet name="Sheet1" sheetId="11" state="hidden" r:id="rId3"/>
  </sheets>
  <definedNames>
    <definedName name="_xlnm._FilterDatabase" localSheetId="1" hidden="1">BDA501_DS_question3!$A$7:$G$8398</definedName>
    <definedName name="_xlnm._FilterDatabase" localSheetId="2" hidden="1">Sheet1!$N$1:$N$8410</definedName>
    <definedName name="_xlchart.v1.0" hidden="1">BDA501_DS_question3!$P$48:$P$345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1" i="13" l="1"/>
  <c r="E10" i="13"/>
  <c r="E9" i="13"/>
  <c r="M28" i="12"/>
  <c r="M29" i="12"/>
  <c r="M32" i="12"/>
  <c r="M34" i="12"/>
  <c r="M26" i="12"/>
  <c r="M35" i="12"/>
  <c r="M27" i="12"/>
  <c r="M31" i="12"/>
  <c r="M33" i="12"/>
  <c r="M30" i="12"/>
  <c r="B11" i="11" l="1"/>
  <c r="B12" i="11" s="1"/>
  <c r="B13" i="11" s="1"/>
  <c r="B14" i="11" s="1"/>
  <c r="B15" i="11" s="1"/>
  <c r="B16" i="11" s="1"/>
  <c r="B17" i="11" s="1"/>
  <c r="B18" i="11" s="1"/>
  <c r="B19" i="11" s="1"/>
  <c r="B20" i="11" s="1"/>
  <c r="N4408" i="11" s="1"/>
  <c r="N6940" i="11"/>
  <c r="N7182" i="11"/>
  <c r="N7350" i="11"/>
  <c r="N7550" i="11"/>
  <c r="N7718" i="11"/>
  <c r="N7761" i="11"/>
  <c r="N7898" i="11"/>
  <c r="N7950" i="11"/>
  <c r="N8026" i="11"/>
  <c r="N8217" i="11"/>
  <c r="N8225" i="11"/>
  <c r="N8332" i="11"/>
  <c r="N8390" i="11"/>
  <c r="K4" i="11"/>
  <c r="C1" i="12"/>
  <c r="K7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857" i="11"/>
  <c r="M858" i="11"/>
  <c r="M859" i="11"/>
  <c r="M860" i="11"/>
  <c r="M861" i="11"/>
  <c r="M862" i="11"/>
  <c r="M863" i="11"/>
  <c r="M864" i="11"/>
  <c r="M865" i="11"/>
  <c r="M866" i="11"/>
  <c r="M867" i="11"/>
  <c r="M868" i="11"/>
  <c r="M869" i="11"/>
  <c r="M870" i="11"/>
  <c r="M871" i="11"/>
  <c r="M872" i="11"/>
  <c r="M873" i="11"/>
  <c r="M874" i="11"/>
  <c r="M875" i="11"/>
  <c r="M876" i="11"/>
  <c r="M877" i="11"/>
  <c r="M878" i="11"/>
  <c r="M879" i="11"/>
  <c r="M880" i="11"/>
  <c r="M881" i="11"/>
  <c r="M882" i="11"/>
  <c r="M883" i="11"/>
  <c r="M884" i="11"/>
  <c r="M885" i="11"/>
  <c r="M886" i="11"/>
  <c r="M887" i="11"/>
  <c r="M888" i="11"/>
  <c r="M889" i="11"/>
  <c r="M890" i="11"/>
  <c r="M891" i="11"/>
  <c r="M892" i="11"/>
  <c r="M893" i="11"/>
  <c r="M894" i="11"/>
  <c r="M895" i="11"/>
  <c r="M896" i="11"/>
  <c r="M897" i="11"/>
  <c r="M898" i="11"/>
  <c r="M899" i="11"/>
  <c r="M900" i="11"/>
  <c r="M901" i="11"/>
  <c r="M902" i="11"/>
  <c r="M903" i="11"/>
  <c r="M904" i="11"/>
  <c r="M905" i="11"/>
  <c r="M906" i="11"/>
  <c r="M907" i="11"/>
  <c r="M908" i="11"/>
  <c r="M909" i="11"/>
  <c r="M910" i="11"/>
  <c r="M911" i="11"/>
  <c r="M912" i="11"/>
  <c r="M913" i="11"/>
  <c r="M914" i="11"/>
  <c r="M915" i="11"/>
  <c r="M916" i="11"/>
  <c r="M917" i="11"/>
  <c r="M918" i="11"/>
  <c r="M919" i="11"/>
  <c r="M920" i="11"/>
  <c r="M921" i="11"/>
  <c r="M922" i="11"/>
  <c r="M923" i="11"/>
  <c r="M924" i="11"/>
  <c r="M925" i="11"/>
  <c r="M926" i="11"/>
  <c r="M927" i="11"/>
  <c r="M928" i="11"/>
  <c r="M929" i="11"/>
  <c r="M930" i="11"/>
  <c r="M931" i="11"/>
  <c r="M932" i="11"/>
  <c r="M933" i="11"/>
  <c r="M934" i="11"/>
  <c r="M935" i="11"/>
  <c r="M936" i="11"/>
  <c r="M937" i="11"/>
  <c r="M938" i="11"/>
  <c r="M939" i="11"/>
  <c r="M940" i="11"/>
  <c r="M941" i="11"/>
  <c r="M942" i="11"/>
  <c r="M943" i="11"/>
  <c r="M944" i="11"/>
  <c r="M945" i="11"/>
  <c r="M946" i="11"/>
  <c r="M947" i="11"/>
  <c r="M948" i="11"/>
  <c r="M949" i="11"/>
  <c r="M950" i="11"/>
  <c r="M951" i="11"/>
  <c r="M952" i="11"/>
  <c r="M953" i="11"/>
  <c r="M954" i="11"/>
  <c r="M955" i="11"/>
  <c r="M956" i="11"/>
  <c r="M957" i="11"/>
  <c r="M958" i="11"/>
  <c r="M959" i="11"/>
  <c r="M960" i="11"/>
  <c r="M961" i="11"/>
  <c r="M962" i="11"/>
  <c r="M963" i="11"/>
  <c r="M964" i="11"/>
  <c r="M965" i="11"/>
  <c r="M966" i="11"/>
  <c r="M967" i="11"/>
  <c r="M968" i="11"/>
  <c r="M969" i="11"/>
  <c r="M970" i="11"/>
  <c r="M971" i="11"/>
  <c r="M972" i="11"/>
  <c r="M973" i="11"/>
  <c r="M974" i="11"/>
  <c r="M975" i="11"/>
  <c r="M976" i="11"/>
  <c r="M977" i="11"/>
  <c r="M978" i="11"/>
  <c r="M979" i="11"/>
  <c r="M980" i="11"/>
  <c r="M981" i="11"/>
  <c r="M982" i="11"/>
  <c r="M983" i="11"/>
  <c r="M984" i="11"/>
  <c r="M985" i="11"/>
  <c r="M986" i="11"/>
  <c r="M987" i="11"/>
  <c r="M988" i="11"/>
  <c r="M989" i="11"/>
  <c r="M990" i="11"/>
  <c r="M991" i="11"/>
  <c r="M992" i="11"/>
  <c r="M993" i="11"/>
  <c r="M994" i="11"/>
  <c r="M995" i="11"/>
  <c r="M996" i="11"/>
  <c r="M997" i="11"/>
  <c r="M998" i="11"/>
  <c r="M999" i="11"/>
  <c r="M1000" i="11"/>
  <c r="M1001" i="11"/>
  <c r="M1002" i="11"/>
  <c r="M1003" i="11"/>
  <c r="M1004" i="11"/>
  <c r="M1005" i="11"/>
  <c r="M1006" i="11"/>
  <c r="M1007" i="11"/>
  <c r="M1008" i="11"/>
  <c r="M1009" i="11"/>
  <c r="M1010" i="11"/>
  <c r="M1011" i="11"/>
  <c r="M1012" i="11"/>
  <c r="M1013" i="11"/>
  <c r="M1014" i="11"/>
  <c r="M1015" i="11"/>
  <c r="M1016" i="11"/>
  <c r="M1017" i="11"/>
  <c r="M1018" i="11"/>
  <c r="M1019" i="11"/>
  <c r="M1020" i="11"/>
  <c r="M1021" i="11"/>
  <c r="M1022" i="11"/>
  <c r="M1023" i="11"/>
  <c r="M1024" i="11"/>
  <c r="M1025" i="11"/>
  <c r="M1026" i="11"/>
  <c r="M1027" i="11"/>
  <c r="M1028" i="11"/>
  <c r="M1029" i="11"/>
  <c r="M1030" i="11"/>
  <c r="M1031" i="11"/>
  <c r="M1032" i="11"/>
  <c r="M1033" i="11"/>
  <c r="M1034" i="11"/>
  <c r="M1035" i="11"/>
  <c r="M1036" i="11"/>
  <c r="M1037" i="11"/>
  <c r="M1038" i="11"/>
  <c r="M1039" i="11"/>
  <c r="M1040" i="11"/>
  <c r="M1041" i="11"/>
  <c r="M1042" i="11"/>
  <c r="M1043" i="11"/>
  <c r="M1044" i="11"/>
  <c r="M1045" i="11"/>
  <c r="M1046" i="11"/>
  <c r="M1047" i="11"/>
  <c r="M1048" i="11"/>
  <c r="M1049" i="11"/>
  <c r="M1050" i="11"/>
  <c r="M1051" i="11"/>
  <c r="M1052" i="11"/>
  <c r="M1053" i="11"/>
  <c r="M1054" i="11"/>
  <c r="M1055" i="11"/>
  <c r="M1056" i="11"/>
  <c r="M1057" i="11"/>
  <c r="M1058" i="11"/>
  <c r="M1059" i="11"/>
  <c r="M1060" i="11"/>
  <c r="M1061" i="11"/>
  <c r="M1062" i="11"/>
  <c r="M1063" i="11"/>
  <c r="M1064" i="11"/>
  <c r="M1065" i="11"/>
  <c r="M1066" i="11"/>
  <c r="M1067" i="11"/>
  <c r="M1068" i="11"/>
  <c r="M1069" i="11"/>
  <c r="M1070" i="11"/>
  <c r="M1071" i="11"/>
  <c r="M1072" i="11"/>
  <c r="M1073" i="11"/>
  <c r="M1074" i="11"/>
  <c r="M1075" i="11"/>
  <c r="M1076" i="11"/>
  <c r="M1077" i="11"/>
  <c r="M1078" i="11"/>
  <c r="M1079" i="11"/>
  <c r="M1080" i="11"/>
  <c r="M1081" i="11"/>
  <c r="M1082" i="11"/>
  <c r="M1083" i="11"/>
  <c r="M1084" i="11"/>
  <c r="M1085" i="11"/>
  <c r="M1086" i="11"/>
  <c r="M1087" i="11"/>
  <c r="M1088" i="11"/>
  <c r="M1089" i="11"/>
  <c r="M1090" i="11"/>
  <c r="M1091" i="11"/>
  <c r="M1092" i="11"/>
  <c r="M1093" i="11"/>
  <c r="M1094" i="11"/>
  <c r="M1095" i="11"/>
  <c r="M1096" i="11"/>
  <c r="M1097" i="11"/>
  <c r="M1098" i="11"/>
  <c r="M1099" i="11"/>
  <c r="M1100" i="11"/>
  <c r="M1101" i="11"/>
  <c r="M1102" i="11"/>
  <c r="M1103" i="11"/>
  <c r="M1104" i="11"/>
  <c r="M1105" i="11"/>
  <c r="M1106" i="11"/>
  <c r="M1107" i="11"/>
  <c r="M1108" i="11"/>
  <c r="M1109" i="11"/>
  <c r="M1110" i="11"/>
  <c r="M1111" i="11"/>
  <c r="M1112" i="11"/>
  <c r="M1113" i="11"/>
  <c r="M1114" i="11"/>
  <c r="M1115" i="11"/>
  <c r="M1116" i="11"/>
  <c r="M1117" i="11"/>
  <c r="M1118" i="11"/>
  <c r="M1119" i="11"/>
  <c r="M1120" i="11"/>
  <c r="M1121" i="11"/>
  <c r="M1122" i="11"/>
  <c r="M1123" i="11"/>
  <c r="M1124" i="11"/>
  <c r="M1125" i="11"/>
  <c r="M1126" i="11"/>
  <c r="M1127" i="11"/>
  <c r="M1128" i="11"/>
  <c r="M1129" i="11"/>
  <c r="M1130" i="11"/>
  <c r="M1131" i="11"/>
  <c r="M1132" i="11"/>
  <c r="M1133" i="11"/>
  <c r="M1134" i="11"/>
  <c r="M1135" i="11"/>
  <c r="M1136" i="11"/>
  <c r="M1137" i="11"/>
  <c r="M1138" i="11"/>
  <c r="M1139" i="11"/>
  <c r="M1140" i="11"/>
  <c r="M1141" i="11"/>
  <c r="M1142" i="11"/>
  <c r="M1143" i="11"/>
  <c r="M1144" i="11"/>
  <c r="M1145" i="11"/>
  <c r="M1146" i="11"/>
  <c r="M1147" i="11"/>
  <c r="M1148" i="11"/>
  <c r="M1149" i="11"/>
  <c r="M1150" i="11"/>
  <c r="M1151" i="11"/>
  <c r="M1152" i="11"/>
  <c r="M1153" i="11"/>
  <c r="M1154" i="11"/>
  <c r="M1155" i="11"/>
  <c r="M1156" i="11"/>
  <c r="M1157" i="11"/>
  <c r="M1158" i="11"/>
  <c r="M1159" i="11"/>
  <c r="M1160" i="11"/>
  <c r="M1161" i="11"/>
  <c r="M1162" i="11"/>
  <c r="M1163" i="11"/>
  <c r="M1164" i="11"/>
  <c r="M1165" i="11"/>
  <c r="M1166" i="11"/>
  <c r="M1167" i="11"/>
  <c r="M1168" i="11"/>
  <c r="M1169" i="11"/>
  <c r="M1170" i="11"/>
  <c r="M1171" i="11"/>
  <c r="M1172" i="11"/>
  <c r="M1173" i="11"/>
  <c r="M1174" i="11"/>
  <c r="M1175" i="11"/>
  <c r="M1176" i="11"/>
  <c r="M1177" i="11"/>
  <c r="M1178" i="11"/>
  <c r="M1179" i="11"/>
  <c r="M1180" i="11"/>
  <c r="M1181" i="11"/>
  <c r="M1182" i="11"/>
  <c r="M1183" i="11"/>
  <c r="M1184" i="11"/>
  <c r="M1185" i="11"/>
  <c r="M1186" i="11"/>
  <c r="M1187" i="11"/>
  <c r="M1188" i="11"/>
  <c r="M1189" i="11"/>
  <c r="M1190" i="11"/>
  <c r="M1191" i="11"/>
  <c r="M1192" i="11"/>
  <c r="M1193" i="11"/>
  <c r="M1194" i="11"/>
  <c r="M1195" i="11"/>
  <c r="M1196" i="11"/>
  <c r="M1197" i="11"/>
  <c r="M1198" i="11"/>
  <c r="M1199" i="11"/>
  <c r="M1200" i="11"/>
  <c r="M1201" i="11"/>
  <c r="M1202" i="11"/>
  <c r="M1203" i="11"/>
  <c r="M1204" i="11"/>
  <c r="M1205" i="11"/>
  <c r="M1206" i="11"/>
  <c r="M1207" i="11"/>
  <c r="M1208" i="11"/>
  <c r="M1209" i="11"/>
  <c r="M1210" i="11"/>
  <c r="M1211" i="11"/>
  <c r="M1212" i="11"/>
  <c r="M1213" i="11"/>
  <c r="M1214" i="11"/>
  <c r="M1215" i="11"/>
  <c r="M1216" i="11"/>
  <c r="M1217" i="11"/>
  <c r="M1218" i="11"/>
  <c r="M1219" i="11"/>
  <c r="M1220" i="11"/>
  <c r="M1221" i="11"/>
  <c r="M1222" i="11"/>
  <c r="M1223" i="11"/>
  <c r="M1224" i="11"/>
  <c r="M1225" i="11"/>
  <c r="M1226" i="11"/>
  <c r="M1227" i="11"/>
  <c r="M1228" i="11"/>
  <c r="M1229" i="11"/>
  <c r="M1230" i="11"/>
  <c r="M1231" i="11"/>
  <c r="M1232" i="11"/>
  <c r="M1233" i="11"/>
  <c r="M1234" i="11"/>
  <c r="M1235" i="11"/>
  <c r="M1236" i="11"/>
  <c r="M1237" i="11"/>
  <c r="M1238" i="11"/>
  <c r="M1239" i="11"/>
  <c r="M1240" i="11"/>
  <c r="M1241" i="11"/>
  <c r="M1242" i="11"/>
  <c r="M1243" i="11"/>
  <c r="M1244" i="11"/>
  <c r="M1245" i="11"/>
  <c r="M1246" i="11"/>
  <c r="M1247" i="11"/>
  <c r="M1248" i="11"/>
  <c r="M1249" i="11"/>
  <c r="M1250" i="11"/>
  <c r="M1251" i="11"/>
  <c r="M1252" i="11"/>
  <c r="M1253" i="11"/>
  <c r="M1254" i="11"/>
  <c r="M1255" i="11"/>
  <c r="M1256" i="11"/>
  <c r="M1257" i="11"/>
  <c r="M1258" i="11"/>
  <c r="M1259" i="11"/>
  <c r="M1260" i="11"/>
  <c r="M1261" i="11"/>
  <c r="M1262" i="11"/>
  <c r="M1263" i="11"/>
  <c r="M1264" i="11"/>
  <c r="M1265" i="11"/>
  <c r="M1266" i="11"/>
  <c r="M1267" i="11"/>
  <c r="M1268" i="11"/>
  <c r="M1269" i="11"/>
  <c r="M1270" i="11"/>
  <c r="M1271" i="11"/>
  <c r="M1272" i="11"/>
  <c r="M1273" i="11"/>
  <c r="M1274" i="11"/>
  <c r="M1275" i="11"/>
  <c r="M1276" i="11"/>
  <c r="M1277" i="11"/>
  <c r="M1278" i="11"/>
  <c r="M1279" i="11"/>
  <c r="M1280" i="11"/>
  <c r="M1281" i="11"/>
  <c r="M1282" i="11"/>
  <c r="M1283" i="11"/>
  <c r="M1284" i="11"/>
  <c r="M1285" i="11"/>
  <c r="M1286" i="11"/>
  <c r="M1287" i="11"/>
  <c r="M1288" i="11"/>
  <c r="M1289" i="11"/>
  <c r="M1290" i="11"/>
  <c r="M1291" i="11"/>
  <c r="M1292" i="11"/>
  <c r="M1293" i="11"/>
  <c r="M1294" i="11"/>
  <c r="M1295" i="11"/>
  <c r="M1296" i="11"/>
  <c r="M1297" i="11"/>
  <c r="M1298" i="11"/>
  <c r="M1299" i="11"/>
  <c r="M1300" i="11"/>
  <c r="M1301" i="11"/>
  <c r="M1302" i="11"/>
  <c r="M1303" i="11"/>
  <c r="M1304" i="11"/>
  <c r="M1305" i="11"/>
  <c r="M1306" i="11"/>
  <c r="M1307" i="11"/>
  <c r="M1308" i="11"/>
  <c r="M1309" i="11"/>
  <c r="M1310" i="11"/>
  <c r="M1311" i="11"/>
  <c r="M1312" i="11"/>
  <c r="M1313" i="11"/>
  <c r="M1314" i="11"/>
  <c r="M1315" i="11"/>
  <c r="M1316" i="11"/>
  <c r="M1317" i="11"/>
  <c r="M1318" i="11"/>
  <c r="M1319" i="11"/>
  <c r="M1320" i="11"/>
  <c r="M1321" i="11"/>
  <c r="M1322" i="11"/>
  <c r="M1323" i="11"/>
  <c r="M1324" i="11"/>
  <c r="M1325" i="11"/>
  <c r="M1326" i="11"/>
  <c r="M1327" i="11"/>
  <c r="M1328" i="11"/>
  <c r="M1329" i="11"/>
  <c r="M1330" i="11"/>
  <c r="M1331" i="11"/>
  <c r="M1332" i="11"/>
  <c r="M1333" i="11"/>
  <c r="M1334" i="11"/>
  <c r="M1335" i="11"/>
  <c r="M1336" i="11"/>
  <c r="M1337" i="11"/>
  <c r="M1338" i="11"/>
  <c r="M1339" i="11"/>
  <c r="M1340" i="11"/>
  <c r="M1341" i="11"/>
  <c r="M1342" i="11"/>
  <c r="M1343" i="11"/>
  <c r="M1344" i="11"/>
  <c r="M1345" i="11"/>
  <c r="M1346" i="11"/>
  <c r="M1347" i="11"/>
  <c r="M1348" i="11"/>
  <c r="M1349" i="11"/>
  <c r="M1350" i="11"/>
  <c r="M1351" i="11"/>
  <c r="M1352" i="11"/>
  <c r="M1353" i="11"/>
  <c r="M1354" i="11"/>
  <c r="M1355" i="11"/>
  <c r="M1356" i="11"/>
  <c r="M1357" i="11"/>
  <c r="M1358" i="11"/>
  <c r="M1359" i="11"/>
  <c r="M1360" i="11"/>
  <c r="M1361" i="11"/>
  <c r="M1362" i="11"/>
  <c r="M1363" i="11"/>
  <c r="M1364" i="11"/>
  <c r="M1365" i="11"/>
  <c r="M1366" i="11"/>
  <c r="M1367" i="11"/>
  <c r="M1368" i="11"/>
  <c r="M1369" i="11"/>
  <c r="M1370" i="11"/>
  <c r="M1371" i="11"/>
  <c r="M1372" i="11"/>
  <c r="M1373" i="11"/>
  <c r="M1374" i="11"/>
  <c r="M1375" i="11"/>
  <c r="M1376" i="11"/>
  <c r="M1377" i="11"/>
  <c r="M1378" i="11"/>
  <c r="M1379" i="11"/>
  <c r="M1380" i="11"/>
  <c r="M1381" i="11"/>
  <c r="M1382" i="11"/>
  <c r="M1383" i="11"/>
  <c r="M1384" i="11"/>
  <c r="M1385" i="11"/>
  <c r="M1386" i="11"/>
  <c r="M1387" i="11"/>
  <c r="M1388" i="11"/>
  <c r="M1389" i="11"/>
  <c r="M1390" i="11"/>
  <c r="M1391" i="11"/>
  <c r="M1392" i="11"/>
  <c r="M1393" i="11"/>
  <c r="M1394" i="11"/>
  <c r="M1395" i="11"/>
  <c r="M1396" i="11"/>
  <c r="M1397" i="11"/>
  <c r="M1398" i="11"/>
  <c r="M1399" i="11"/>
  <c r="M1400" i="11"/>
  <c r="M1401" i="11"/>
  <c r="M1402" i="11"/>
  <c r="M1403" i="11"/>
  <c r="M1404" i="11"/>
  <c r="M1405" i="11"/>
  <c r="M1406" i="11"/>
  <c r="M1407" i="11"/>
  <c r="M1408" i="11"/>
  <c r="M1409" i="11"/>
  <c r="M1410" i="11"/>
  <c r="M1411" i="11"/>
  <c r="M1412" i="11"/>
  <c r="M1413" i="11"/>
  <c r="M1414" i="11"/>
  <c r="M1415" i="11"/>
  <c r="M1416" i="11"/>
  <c r="M1417" i="11"/>
  <c r="M1418" i="11"/>
  <c r="M1419" i="11"/>
  <c r="M1420" i="11"/>
  <c r="M1421" i="11"/>
  <c r="M1422" i="11"/>
  <c r="M1423" i="11"/>
  <c r="M1424" i="11"/>
  <c r="M1425" i="11"/>
  <c r="M1426" i="11"/>
  <c r="M1427" i="11"/>
  <c r="M1428" i="11"/>
  <c r="M1429" i="11"/>
  <c r="M1430" i="11"/>
  <c r="M1431" i="11"/>
  <c r="M1432" i="11"/>
  <c r="M1433" i="11"/>
  <c r="M1434" i="11"/>
  <c r="M1435" i="11"/>
  <c r="M1436" i="11"/>
  <c r="M1437" i="11"/>
  <c r="M1438" i="11"/>
  <c r="M1439" i="11"/>
  <c r="M1440" i="11"/>
  <c r="M1441" i="11"/>
  <c r="M1442" i="11"/>
  <c r="M1443" i="11"/>
  <c r="M1444" i="11"/>
  <c r="M1445" i="11"/>
  <c r="M1446" i="11"/>
  <c r="M1447" i="11"/>
  <c r="M1448" i="11"/>
  <c r="M1449" i="11"/>
  <c r="M1450" i="11"/>
  <c r="M1451" i="11"/>
  <c r="M1452" i="11"/>
  <c r="M1453" i="11"/>
  <c r="M1454" i="11"/>
  <c r="M1455" i="11"/>
  <c r="M1456" i="11"/>
  <c r="M1457" i="11"/>
  <c r="M1458" i="11"/>
  <c r="M1459" i="11"/>
  <c r="M1460" i="11"/>
  <c r="M1461" i="11"/>
  <c r="M1462" i="11"/>
  <c r="M1463" i="11"/>
  <c r="M1464" i="11"/>
  <c r="M1465" i="11"/>
  <c r="M1466" i="11"/>
  <c r="M1467" i="11"/>
  <c r="M1468" i="11"/>
  <c r="M1469" i="11"/>
  <c r="M1470" i="11"/>
  <c r="M1471" i="11"/>
  <c r="M1472" i="11"/>
  <c r="M1473" i="11"/>
  <c r="M1474" i="11"/>
  <c r="M1475" i="11"/>
  <c r="M1476" i="11"/>
  <c r="M1477" i="11"/>
  <c r="M1478" i="11"/>
  <c r="M1479" i="11"/>
  <c r="M1480" i="11"/>
  <c r="M1481" i="11"/>
  <c r="M1482" i="11"/>
  <c r="M1483" i="11"/>
  <c r="M1484" i="11"/>
  <c r="M1485" i="11"/>
  <c r="M1486" i="11"/>
  <c r="M1487" i="11"/>
  <c r="M1488" i="11"/>
  <c r="M1489" i="11"/>
  <c r="M1490" i="11"/>
  <c r="M1491" i="11"/>
  <c r="M1492" i="11"/>
  <c r="M1493" i="11"/>
  <c r="M1494" i="11"/>
  <c r="M1495" i="11"/>
  <c r="M1496" i="11"/>
  <c r="M1497" i="11"/>
  <c r="M1498" i="11"/>
  <c r="M1499" i="11"/>
  <c r="M1500" i="11"/>
  <c r="M1501" i="11"/>
  <c r="M1502" i="11"/>
  <c r="M1503" i="11"/>
  <c r="M1504" i="11"/>
  <c r="M1505" i="11"/>
  <c r="M1506" i="11"/>
  <c r="M1507" i="11"/>
  <c r="M1508" i="11"/>
  <c r="M1509" i="11"/>
  <c r="M1510" i="11"/>
  <c r="M1511" i="11"/>
  <c r="M1512" i="11"/>
  <c r="M1513" i="11"/>
  <c r="M1514" i="11"/>
  <c r="M1515" i="11"/>
  <c r="M1516" i="11"/>
  <c r="M1517" i="11"/>
  <c r="M1518" i="11"/>
  <c r="M1519" i="11"/>
  <c r="M1520" i="11"/>
  <c r="M1521" i="11"/>
  <c r="M1522" i="11"/>
  <c r="M1523" i="11"/>
  <c r="M1524" i="11"/>
  <c r="M1525" i="11"/>
  <c r="M1526" i="11"/>
  <c r="M1527" i="11"/>
  <c r="M1528" i="11"/>
  <c r="M1529" i="11"/>
  <c r="M1530" i="11"/>
  <c r="M1531" i="11"/>
  <c r="M1532" i="11"/>
  <c r="M1533" i="11"/>
  <c r="M1534" i="11"/>
  <c r="M1535" i="11"/>
  <c r="M1536" i="11"/>
  <c r="M1537" i="11"/>
  <c r="M1538" i="11"/>
  <c r="M1539" i="11"/>
  <c r="M1540" i="11"/>
  <c r="M1541" i="11"/>
  <c r="M1542" i="11"/>
  <c r="M1543" i="11"/>
  <c r="M1544" i="11"/>
  <c r="M1545" i="11"/>
  <c r="M1546" i="11"/>
  <c r="M1547" i="11"/>
  <c r="M1548" i="11"/>
  <c r="M1549" i="11"/>
  <c r="M1550" i="11"/>
  <c r="M1551" i="11"/>
  <c r="M1552" i="11"/>
  <c r="M1553" i="11"/>
  <c r="M1554" i="11"/>
  <c r="M1555" i="11"/>
  <c r="M1556" i="11"/>
  <c r="M1557" i="11"/>
  <c r="M1558" i="11"/>
  <c r="M1559" i="11"/>
  <c r="M1560" i="11"/>
  <c r="M1561" i="11"/>
  <c r="M1562" i="11"/>
  <c r="M1563" i="11"/>
  <c r="M1564" i="11"/>
  <c r="M1565" i="11"/>
  <c r="M1566" i="11"/>
  <c r="M1567" i="11"/>
  <c r="M1568" i="11"/>
  <c r="M1569" i="11"/>
  <c r="M1570" i="11"/>
  <c r="M1571" i="11"/>
  <c r="M1572" i="11"/>
  <c r="M1573" i="11"/>
  <c r="M1574" i="11"/>
  <c r="M1575" i="11"/>
  <c r="M1576" i="11"/>
  <c r="M1577" i="11"/>
  <c r="M1578" i="11"/>
  <c r="M1579" i="11"/>
  <c r="M1580" i="11"/>
  <c r="M1581" i="11"/>
  <c r="M1582" i="11"/>
  <c r="M1583" i="11"/>
  <c r="M1584" i="11"/>
  <c r="M1585" i="11"/>
  <c r="M1586" i="11"/>
  <c r="M1587" i="11"/>
  <c r="M1588" i="11"/>
  <c r="M1589" i="11"/>
  <c r="M1590" i="11"/>
  <c r="M1591" i="11"/>
  <c r="M1592" i="11"/>
  <c r="M1593" i="11"/>
  <c r="M1594" i="11"/>
  <c r="M1595" i="11"/>
  <c r="M1596" i="11"/>
  <c r="M1597" i="11"/>
  <c r="M1598" i="11"/>
  <c r="M1599" i="11"/>
  <c r="M1600" i="11"/>
  <c r="M1601" i="11"/>
  <c r="M1602" i="11"/>
  <c r="M1603" i="11"/>
  <c r="M1604" i="11"/>
  <c r="M1605" i="11"/>
  <c r="M1606" i="11"/>
  <c r="M1607" i="11"/>
  <c r="M1608" i="11"/>
  <c r="M1609" i="11"/>
  <c r="M1610" i="11"/>
  <c r="M1611" i="11"/>
  <c r="M1612" i="11"/>
  <c r="M1613" i="11"/>
  <c r="M1614" i="11"/>
  <c r="M1615" i="11"/>
  <c r="M1616" i="11"/>
  <c r="M1617" i="11"/>
  <c r="M1618" i="11"/>
  <c r="M1619" i="11"/>
  <c r="M1620" i="11"/>
  <c r="M1621" i="11"/>
  <c r="M1622" i="11"/>
  <c r="M1623" i="11"/>
  <c r="M1624" i="11"/>
  <c r="M1625" i="11"/>
  <c r="M1626" i="11"/>
  <c r="M1627" i="11"/>
  <c r="M1628" i="11"/>
  <c r="M1629" i="11"/>
  <c r="M1630" i="11"/>
  <c r="M1631" i="11"/>
  <c r="M1632" i="11"/>
  <c r="M1633" i="11"/>
  <c r="M1634" i="11"/>
  <c r="M1635" i="11"/>
  <c r="M1636" i="11"/>
  <c r="M1637" i="11"/>
  <c r="M1638" i="11"/>
  <c r="M1639" i="11"/>
  <c r="M1640" i="11"/>
  <c r="M1641" i="11"/>
  <c r="M1642" i="11"/>
  <c r="M1643" i="11"/>
  <c r="M1644" i="11"/>
  <c r="M1645" i="11"/>
  <c r="M1646" i="11"/>
  <c r="M1647" i="11"/>
  <c r="M1648" i="11"/>
  <c r="M1649" i="11"/>
  <c r="M1650" i="11"/>
  <c r="M1651" i="11"/>
  <c r="M1652" i="11"/>
  <c r="M1653" i="11"/>
  <c r="M1654" i="11"/>
  <c r="M1655" i="11"/>
  <c r="M1656" i="11"/>
  <c r="M1657" i="11"/>
  <c r="M1658" i="11"/>
  <c r="M1659" i="11"/>
  <c r="M1660" i="11"/>
  <c r="M1661" i="11"/>
  <c r="M1662" i="11"/>
  <c r="M1663" i="11"/>
  <c r="M1664" i="11"/>
  <c r="M1665" i="11"/>
  <c r="M1666" i="11"/>
  <c r="M1667" i="11"/>
  <c r="M1668" i="11"/>
  <c r="M1669" i="11"/>
  <c r="M1670" i="11"/>
  <c r="M1671" i="11"/>
  <c r="M1672" i="11"/>
  <c r="M1673" i="11"/>
  <c r="M1674" i="11"/>
  <c r="M1675" i="11"/>
  <c r="M1676" i="11"/>
  <c r="M1677" i="11"/>
  <c r="M1678" i="11"/>
  <c r="M1679" i="11"/>
  <c r="M1680" i="11"/>
  <c r="M1681" i="11"/>
  <c r="M1682" i="11"/>
  <c r="M1683" i="11"/>
  <c r="M1684" i="11"/>
  <c r="M1685" i="11"/>
  <c r="M1686" i="11"/>
  <c r="M1687" i="11"/>
  <c r="M1688" i="11"/>
  <c r="M1689" i="11"/>
  <c r="M1690" i="11"/>
  <c r="M1691" i="11"/>
  <c r="M1692" i="11"/>
  <c r="M1693" i="11"/>
  <c r="M1694" i="11"/>
  <c r="M1695" i="11"/>
  <c r="M1696" i="11"/>
  <c r="M1697" i="11"/>
  <c r="M1698" i="11"/>
  <c r="M1699" i="11"/>
  <c r="M1700" i="11"/>
  <c r="M1701" i="11"/>
  <c r="M1702" i="11"/>
  <c r="M1703" i="11"/>
  <c r="M1704" i="11"/>
  <c r="M1705" i="11"/>
  <c r="M1706" i="11"/>
  <c r="M1707" i="11"/>
  <c r="M1708" i="11"/>
  <c r="M1709" i="11"/>
  <c r="M1710" i="11"/>
  <c r="M1711" i="11"/>
  <c r="M1712" i="11"/>
  <c r="M1713" i="11"/>
  <c r="M1714" i="11"/>
  <c r="M1715" i="11"/>
  <c r="M1716" i="11"/>
  <c r="M1717" i="11"/>
  <c r="M1718" i="11"/>
  <c r="M1719" i="11"/>
  <c r="M1720" i="11"/>
  <c r="M1721" i="11"/>
  <c r="M1722" i="11"/>
  <c r="M1723" i="11"/>
  <c r="M1724" i="11"/>
  <c r="M1725" i="11"/>
  <c r="M1726" i="11"/>
  <c r="M1727" i="11"/>
  <c r="M1728" i="11"/>
  <c r="M1729" i="11"/>
  <c r="M1730" i="11"/>
  <c r="M1731" i="11"/>
  <c r="M1732" i="11"/>
  <c r="M1733" i="11"/>
  <c r="M1734" i="11"/>
  <c r="M1735" i="11"/>
  <c r="M1736" i="11"/>
  <c r="M1737" i="11"/>
  <c r="M1738" i="11"/>
  <c r="M1739" i="11"/>
  <c r="M1740" i="11"/>
  <c r="M1741" i="11"/>
  <c r="M1742" i="11"/>
  <c r="M1743" i="11"/>
  <c r="M1744" i="11"/>
  <c r="M1745" i="11"/>
  <c r="M1746" i="11"/>
  <c r="M1747" i="11"/>
  <c r="M1748" i="11"/>
  <c r="M1749" i="11"/>
  <c r="M1750" i="11"/>
  <c r="M1751" i="11"/>
  <c r="M1752" i="11"/>
  <c r="M1753" i="11"/>
  <c r="M1754" i="11"/>
  <c r="M1755" i="11"/>
  <c r="M1756" i="11"/>
  <c r="M1757" i="11"/>
  <c r="M1758" i="11"/>
  <c r="M1759" i="11"/>
  <c r="M1760" i="11"/>
  <c r="M1761" i="11"/>
  <c r="M1762" i="11"/>
  <c r="M1763" i="11"/>
  <c r="M1764" i="11"/>
  <c r="M1765" i="11"/>
  <c r="M1766" i="11"/>
  <c r="M1767" i="11"/>
  <c r="M1768" i="11"/>
  <c r="M1769" i="11"/>
  <c r="M1770" i="11"/>
  <c r="M1771" i="11"/>
  <c r="M1772" i="11"/>
  <c r="M1773" i="11"/>
  <c r="M1774" i="11"/>
  <c r="M1775" i="11"/>
  <c r="M1776" i="11"/>
  <c r="M1777" i="11"/>
  <c r="M1778" i="11"/>
  <c r="M1779" i="11"/>
  <c r="M1780" i="11"/>
  <c r="M1781" i="11"/>
  <c r="M1782" i="11"/>
  <c r="M1783" i="11"/>
  <c r="M1784" i="11"/>
  <c r="M1785" i="11"/>
  <c r="M1786" i="11"/>
  <c r="M1787" i="11"/>
  <c r="M1788" i="11"/>
  <c r="M1789" i="11"/>
  <c r="M1790" i="11"/>
  <c r="M1791" i="11"/>
  <c r="M1792" i="11"/>
  <c r="M1793" i="11"/>
  <c r="M1794" i="11"/>
  <c r="M1795" i="11"/>
  <c r="M1796" i="11"/>
  <c r="M1797" i="11"/>
  <c r="M1798" i="11"/>
  <c r="M1799" i="11"/>
  <c r="M1800" i="11"/>
  <c r="M1801" i="11"/>
  <c r="M1802" i="11"/>
  <c r="M1803" i="11"/>
  <c r="M1804" i="11"/>
  <c r="M1805" i="11"/>
  <c r="M1806" i="11"/>
  <c r="M1807" i="11"/>
  <c r="M1808" i="11"/>
  <c r="M1809" i="11"/>
  <c r="M1810" i="11"/>
  <c r="M1811" i="11"/>
  <c r="M1812" i="11"/>
  <c r="M1813" i="11"/>
  <c r="M1814" i="11"/>
  <c r="M1815" i="11"/>
  <c r="M1816" i="11"/>
  <c r="M1817" i="11"/>
  <c r="M1818" i="11"/>
  <c r="M1819" i="11"/>
  <c r="M1820" i="11"/>
  <c r="M1821" i="11"/>
  <c r="M1822" i="11"/>
  <c r="M1823" i="11"/>
  <c r="M1824" i="11"/>
  <c r="M1825" i="11"/>
  <c r="M1826" i="11"/>
  <c r="M1827" i="11"/>
  <c r="M1828" i="11"/>
  <c r="M1829" i="11"/>
  <c r="M1830" i="11"/>
  <c r="M1831" i="11"/>
  <c r="M1832" i="11"/>
  <c r="M1833" i="11"/>
  <c r="M1834" i="11"/>
  <c r="M1835" i="11"/>
  <c r="M1836" i="11"/>
  <c r="M1837" i="11"/>
  <c r="M1838" i="11"/>
  <c r="M1839" i="11"/>
  <c r="M1840" i="11"/>
  <c r="M1841" i="11"/>
  <c r="M1842" i="11"/>
  <c r="M1843" i="11"/>
  <c r="M1844" i="11"/>
  <c r="M1845" i="11"/>
  <c r="M1846" i="11"/>
  <c r="M1847" i="11"/>
  <c r="M1848" i="11"/>
  <c r="M1849" i="11"/>
  <c r="M1850" i="11"/>
  <c r="M1851" i="11"/>
  <c r="M1852" i="11"/>
  <c r="M1853" i="11"/>
  <c r="M1854" i="11"/>
  <c r="M1855" i="11"/>
  <c r="M1856" i="11"/>
  <c r="M1857" i="11"/>
  <c r="M1858" i="11"/>
  <c r="M1859" i="11"/>
  <c r="M1860" i="11"/>
  <c r="M1861" i="11"/>
  <c r="M1862" i="11"/>
  <c r="M1863" i="11"/>
  <c r="M1864" i="11"/>
  <c r="M1865" i="11"/>
  <c r="M1866" i="11"/>
  <c r="M1867" i="11"/>
  <c r="M1868" i="11"/>
  <c r="M1869" i="11"/>
  <c r="M1870" i="11"/>
  <c r="M1871" i="11"/>
  <c r="M1872" i="11"/>
  <c r="M1873" i="11"/>
  <c r="M1874" i="11"/>
  <c r="M1875" i="11"/>
  <c r="M1876" i="11"/>
  <c r="M1877" i="11"/>
  <c r="M1878" i="11"/>
  <c r="M1879" i="11"/>
  <c r="M1880" i="11"/>
  <c r="M1881" i="11"/>
  <c r="M1882" i="11"/>
  <c r="M1883" i="11"/>
  <c r="M1884" i="11"/>
  <c r="M1885" i="11"/>
  <c r="M1886" i="11"/>
  <c r="M1887" i="11"/>
  <c r="M1888" i="11"/>
  <c r="M1889" i="11"/>
  <c r="M1890" i="11"/>
  <c r="M1891" i="11"/>
  <c r="M1892" i="11"/>
  <c r="M1893" i="11"/>
  <c r="M1894" i="11"/>
  <c r="M1895" i="11"/>
  <c r="M1896" i="11"/>
  <c r="M1897" i="11"/>
  <c r="M1898" i="11"/>
  <c r="M1899" i="11"/>
  <c r="M1900" i="11"/>
  <c r="M1901" i="11"/>
  <c r="M1902" i="11"/>
  <c r="M1903" i="11"/>
  <c r="M1904" i="11"/>
  <c r="M1905" i="11"/>
  <c r="M1906" i="11"/>
  <c r="M1907" i="11"/>
  <c r="M1908" i="11"/>
  <c r="M1909" i="11"/>
  <c r="M1910" i="11"/>
  <c r="M1911" i="11"/>
  <c r="M1912" i="11"/>
  <c r="M1913" i="11"/>
  <c r="M1914" i="11"/>
  <c r="M1915" i="11"/>
  <c r="M1916" i="11"/>
  <c r="M1917" i="11"/>
  <c r="M1918" i="11"/>
  <c r="M1919" i="11"/>
  <c r="M1920" i="11"/>
  <c r="M1921" i="11"/>
  <c r="M1922" i="11"/>
  <c r="M1923" i="11"/>
  <c r="M1924" i="11"/>
  <c r="M1925" i="11"/>
  <c r="M1926" i="11"/>
  <c r="M1927" i="11"/>
  <c r="M1928" i="11"/>
  <c r="M1929" i="11"/>
  <c r="M1930" i="11"/>
  <c r="M1931" i="11"/>
  <c r="M1932" i="11"/>
  <c r="M1933" i="11"/>
  <c r="M1934" i="11"/>
  <c r="M1935" i="11"/>
  <c r="M1936" i="11"/>
  <c r="M1937" i="11"/>
  <c r="M1938" i="11"/>
  <c r="M1939" i="11"/>
  <c r="M1940" i="11"/>
  <c r="M1941" i="11"/>
  <c r="M1942" i="11"/>
  <c r="M1943" i="11"/>
  <c r="M1944" i="11"/>
  <c r="M1945" i="11"/>
  <c r="M1946" i="11"/>
  <c r="M1947" i="11"/>
  <c r="M1948" i="11"/>
  <c r="M1949" i="11"/>
  <c r="M1950" i="11"/>
  <c r="M1951" i="11"/>
  <c r="M1952" i="11"/>
  <c r="M1953" i="11"/>
  <c r="M1954" i="11"/>
  <c r="M1955" i="11"/>
  <c r="M1956" i="11"/>
  <c r="M1957" i="11"/>
  <c r="M1958" i="11"/>
  <c r="M1959" i="11"/>
  <c r="M1960" i="11"/>
  <c r="M1961" i="11"/>
  <c r="M1962" i="11"/>
  <c r="M1963" i="11"/>
  <c r="M1964" i="11"/>
  <c r="M1965" i="11"/>
  <c r="M1966" i="11"/>
  <c r="M1967" i="11"/>
  <c r="M1968" i="11"/>
  <c r="M1969" i="11"/>
  <c r="M1970" i="11"/>
  <c r="M1971" i="11"/>
  <c r="M1972" i="11"/>
  <c r="M1973" i="11"/>
  <c r="M1974" i="11"/>
  <c r="M1975" i="11"/>
  <c r="M1976" i="11"/>
  <c r="M1977" i="11"/>
  <c r="M1978" i="11"/>
  <c r="M1979" i="11"/>
  <c r="M1980" i="11"/>
  <c r="M1981" i="11"/>
  <c r="M1982" i="11"/>
  <c r="M1983" i="11"/>
  <c r="M1984" i="11"/>
  <c r="M1985" i="11"/>
  <c r="M1986" i="11"/>
  <c r="M1987" i="11"/>
  <c r="M1988" i="11"/>
  <c r="M1989" i="11"/>
  <c r="M1990" i="11"/>
  <c r="M1991" i="11"/>
  <c r="M1992" i="11"/>
  <c r="M1993" i="11"/>
  <c r="M1994" i="11"/>
  <c r="M1995" i="11"/>
  <c r="M1996" i="11"/>
  <c r="M1997" i="11"/>
  <c r="M1998" i="11"/>
  <c r="M1999" i="11"/>
  <c r="M2000" i="11"/>
  <c r="M2001" i="11"/>
  <c r="M2002" i="11"/>
  <c r="M2003" i="11"/>
  <c r="M2004" i="11"/>
  <c r="M2005" i="11"/>
  <c r="M2006" i="11"/>
  <c r="M2007" i="11"/>
  <c r="M2008" i="11"/>
  <c r="M2009" i="11"/>
  <c r="M2010" i="11"/>
  <c r="M2011" i="11"/>
  <c r="M2012" i="11"/>
  <c r="M2013" i="11"/>
  <c r="M2014" i="11"/>
  <c r="M2015" i="11"/>
  <c r="M2016" i="11"/>
  <c r="M2017" i="11"/>
  <c r="M2018" i="11"/>
  <c r="M2019" i="11"/>
  <c r="M2020" i="11"/>
  <c r="M2021" i="11"/>
  <c r="M2022" i="11"/>
  <c r="M2023" i="11"/>
  <c r="M2024" i="11"/>
  <c r="M2025" i="11"/>
  <c r="M2026" i="11"/>
  <c r="M2027" i="11"/>
  <c r="M2028" i="11"/>
  <c r="M2029" i="11"/>
  <c r="M2030" i="11"/>
  <c r="M2031" i="11"/>
  <c r="M2032" i="11"/>
  <c r="M2033" i="11"/>
  <c r="M2034" i="11"/>
  <c r="M2035" i="11"/>
  <c r="M2036" i="11"/>
  <c r="M2037" i="11"/>
  <c r="M2038" i="11"/>
  <c r="M2039" i="11"/>
  <c r="M2040" i="11"/>
  <c r="M2041" i="11"/>
  <c r="M2042" i="11"/>
  <c r="M2043" i="11"/>
  <c r="M2044" i="11"/>
  <c r="M2045" i="11"/>
  <c r="M2046" i="11"/>
  <c r="M2047" i="11"/>
  <c r="M2048" i="11"/>
  <c r="M2049" i="11"/>
  <c r="M2050" i="11"/>
  <c r="M2051" i="11"/>
  <c r="M2052" i="11"/>
  <c r="M2053" i="11"/>
  <c r="M2054" i="11"/>
  <c r="M2055" i="11"/>
  <c r="M2056" i="11"/>
  <c r="M2057" i="11"/>
  <c r="M2058" i="11"/>
  <c r="M2059" i="11"/>
  <c r="M2060" i="11"/>
  <c r="M2061" i="11"/>
  <c r="M2062" i="11"/>
  <c r="M2063" i="11"/>
  <c r="M2064" i="11"/>
  <c r="M2065" i="11"/>
  <c r="M2066" i="11"/>
  <c r="M2067" i="11"/>
  <c r="M2068" i="11"/>
  <c r="M2069" i="11"/>
  <c r="M2070" i="11"/>
  <c r="M2071" i="11"/>
  <c r="M2072" i="11"/>
  <c r="M2073" i="11"/>
  <c r="M2074" i="11"/>
  <c r="M2075" i="11"/>
  <c r="M2076" i="11"/>
  <c r="M2077" i="11"/>
  <c r="M2078" i="11"/>
  <c r="M2079" i="11"/>
  <c r="M2080" i="11"/>
  <c r="M2081" i="11"/>
  <c r="M2082" i="11"/>
  <c r="M2083" i="11"/>
  <c r="M2084" i="11"/>
  <c r="M2085" i="11"/>
  <c r="M2086" i="11"/>
  <c r="M2087" i="11"/>
  <c r="M2088" i="11"/>
  <c r="M2089" i="11"/>
  <c r="M2090" i="11"/>
  <c r="M2091" i="11"/>
  <c r="M2092" i="11"/>
  <c r="M2093" i="11"/>
  <c r="M2094" i="11"/>
  <c r="M2095" i="11"/>
  <c r="M2096" i="11"/>
  <c r="M2097" i="11"/>
  <c r="M2098" i="11"/>
  <c r="M2099" i="11"/>
  <c r="M2100" i="11"/>
  <c r="M2101" i="11"/>
  <c r="M2102" i="11"/>
  <c r="M2103" i="11"/>
  <c r="M2104" i="11"/>
  <c r="M2105" i="11"/>
  <c r="M2106" i="11"/>
  <c r="M2107" i="11"/>
  <c r="M2108" i="11"/>
  <c r="M2109" i="11"/>
  <c r="M2110" i="11"/>
  <c r="M2111" i="11"/>
  <c r="M2112" i="11"/>
  <c r="M2113" i="11"/>
  <c r="M2114" i="11"/>
  <c r="M2115" i="11"/>
  <c r="M2116" i="11"/>
  <c r="M2117" i="11"/>
  <c r="M2118" i="11"/>
  <c r="M2119" i="11"/>
  <c r="M2120" i="11"/>
  <c r="M2121" i="11"/>
  <c r="M2122" i="11"/>
  <c r="M2123" i="11"/>
  <c r="M2124" i="11"/>
  <c r="M2125" i="11"/>
  <c r="M2126" i="11"/>
  <c r="M2127" i="11"/>
  <c r="M2128" i="11"/>
  <c r="M2129" i="11"/>
  <c r="M2130" i="11"/>
  <c r="M2131" i="11"/>
  <c r="M2132" i="11"/>
  <c r="M2133" i="11"/>
  <c r="M2134" i="11"/>
  <c r="M2135" i="11"/>
  <c r="M2136" i="11"/>
  <c r="M2137" i="11"/>
  <c r="M2138" i="11"/>
  <c r="M2139" i="11"/>
  <c r="M2140" i="11"/>
  <c r="M2141" i="11"/>
  <c r="M2142" i="11"/>
  <c r="M2143" i="11"/>
  <c r="M2144" i="11"/>
  <c r="M2145" i="11"/>
  <c r="M2146" i="11"/>
  <c r="M2147" i="11"/>
  <c r="M2148" i="11"/>
  <c r="M2149" i="11"/>
  <c r="M2150" i="11"/>
  <c r="M2151" i="11"/>
  <c r="M2152" i="11"/>
  <c r="M2153" i="11"/>
  <c r="M2154" i="11"/>
  <c r="M2155" i="11"/>
  <c r="M2156" i="11"/>
  <c r="M2157" i="11"/>
  <c r="M2158" i="11"/>
  <c r="M2159" i="11"/>
  <c r="M2160" i="11"/>
  <c r="M2161" i="11"/>
  <c r="M2162" i="11"/>
  <c r="M2163" i="11"/>
  <c r="M2164" i="11"/>
  <c r="M2165" i="11"/>
  <c r="M2166" i="11"/>
  <c r="M2167" i="11"/>
  <c r="M2168" i="11"/>
  <c r="M2169" i="11"/>
  <c r="M2170" i="11"/>
  <c r="M2171" i="11"/>
  <c r="M2172" i="11"/>
  <c r="M2173" i="11"/>
  <c r="M2174" i="11"/>
  <c r="M2175" i="11"/>
  <c r="M2176" i="11"/>
  <c r="M2177" i="11"/>
  <c r="M2178" i="11"/>
  <c r="M2179" i="11"/>
  <c r="M2180" i="11"/>
  <c r="M2181" i="11"/>
  <c r="M2182" i="11"/>
  <c r="M2183" i="11"/>
  <c r="M2184" i="11"/>
  <c r="M2185" i="11"/>
  <c r="M2186" i="11"/>
  <c r="M2187" i="11"/>
  <c r="M2188" i="11"/>
  <c r="M2189" i="11"/>
  <c r="M2190" i="11"/>
  <c r="M2191" i="11"/>
  <c r="M2192" i="11"/>
  <c r="M2193" i="11"/>
  <c r="M2194" i="11"/>
  <c r="M2195" i="11"/>
  <c r="M2196" i="11"/>
  <c r="M2197" i="11"/>
  <c r="M2198" i="11"/>
  <c r="M2199" i="11"/>
  <c r="M2200" i="11"/>
  <c r="M2201" i="11"/>
  <c r="M2202" i="11"/>
  <c r="M2203" i="11"/>
  <c r="M2204" i="11"/>
  <c r="M2205" i="11"/>
  <c r="M2206" i="11"/>
  <c r="M2207" i="11"/>
  <c r="M2208" i="11"/>
  <c r="M2209" i="11"/>
  <c r="M2210" i="11"/>
  <c r="M2211" i="11"/>
  <c r="M2212" i="11"/>
  <c r="M2213" i="11"/>
  <c r="M2214" i="11"/>
  <c r="M2215" i="11"/>
  <c r="M2216" i="11"/>
  <c r="M2217" i="11"/>
  <c r="M2218" i="11"/>
  <c r="M2219" i="11"/>
  <c r="M2220" i="11"/>
  <c r="M2221" i="11"/>
  <c r="M2222" i="11"/>
  <c r="M2223" i="11"/>
  <c r="M2224" i="11"/>
  <c r="M2225" i="11"/>
  <c r="M2226" i="11"/>
  <c r="M2227" i="11"/>
  <c r="M2228" i="11"/>
  <c r="M2229" i="11"/>
  <c r="M2230" i="11"/>
  <c r="M2231" i="11"/>
  <c r="M2232" i="11"/>
  <c r="M2233" i="11"/>
  <c r="M2234" i="11"/>
  <c r="M2235" i="11"/>
  <c r="M2236" i="11"/>
  <c r="M2237" i="11"/>
  <c r="M2238" i="11"/>
  <c r="M2239" i="11"/>
  <c r="M2240" i="11"/>
  <c r="M2241" i="11"/>
  <c r="M2242" i="11"/>
  <c r="M2243" i="11"/>
  <c r="M2244" i="11"/>
  <c r="M2245" i="11"/>
  <c r="M2246" i="11"/>
  <c r="M2247" i="11"/>
  <c r="M2248" i="11"/>
  <c r="M2249" i="11"/>
  <c r="M2250" i="11"/>
  <c r="M2251" i="11"/>
  <c r="M2252" i="11"/>
  <c r="M2253" i="11"/>
  <c r="M2254" i="11"/>
  <c r="M2255" i="11"/>
  <c r="M2256" i="11"/>
  <c r="M2257" i="11"/>
  <c r="M2258" i="11"/>
  <c r="M2259" i="11"/>
  <c r="M2260" i="11"/>
  <c r="M2261" i="11"/>
  <c r="M2262" i="11"/>
  <c r="M2263" i="11"/>
  <c r="M2264" i="11"/>
  <c r="M2265" i="11"/>
  <c r="M2266" i="11"/>
  <c r="M2267" i="11"/>
  <c r="M2268" i="11"/>
  <c r="M2269" i="11"/>
  <c r="M2270" i="11"/>
  <c r="M2271" i="11"/>
  <c r="M2272" i="11"/>
  <c r="M2273" i="11"/>
  <c r="M2274" i="11"/>
  <c r="M2275" i="11"/>
  <c r="M2276" i="11"/>
  <c r="M2277" i="11"/>
  <c r="M2278" i="11"/>
  <c r="M2279" i="11"/>
  <c r="M2280" i="11"/>
  <c r="M2281" i="11"/>
  <c r="M2282" i="11"/>
  <c r="M2283" i="11"/>
  <c r="M2284" i="11"/>
  <c r="M2285" i="11"/>
  <c r="M2286" i="11"/>
  <c r="M2287" i="11"/>
  <c r="M2288" i="11"/>
  <c r="M2289" i="11"/>
  <c r="M2290" i="11"/>
  <c r="M2291" i="11"/>
  <c r="M2292" i="11"/>
  <c r="M2293" i="11"/>
  <c r="M2294" i="11"/>
  <c r="M2295" i="11"/>
  <c r="M2296" i="11"/>
  <c r="M2297" i="11"/>
  <c r="M2298" i="11"/>
  <c r="M2299" i="11"/>
  <c r="M2300" i="11"/>
  <c r="M2301" i="11"/>
  <c r="M2302" i="11"/>
  <c r="M2303" i="11"/>
  <c r="M2304" i="11"/>
  <c r="M2305" i="11"/>
  <c r="M2306" i="11"/>
  <c r="M2307" i="11"/>
  <c r="M2308" i="11"/>
  <c r="M2309" i="11"/>
  <c r="M2310" i="11"/>
  <c r="M2311" i="11"/>
  <c r="M2312" i="11"/>
  <c r="M2313" i="11"/>
  <c r="M2314" i="11"/>
  <c r="M2315" i="11"/>
  <c r="M2316" i="11"/>
  <c r="M2317" i="11"/>
  <c r="M2318" i="11"/>
  <c r="M2319" i="11"/>
  <c r="M2320" i="11"/>
  <c r="M2321" i="11"/>
  <c r="M2322" i="11"/>
  <c r="M2323" i="11"/>
  <c r="M2324" i="11"/>
  <c r="M2325" i="11"/>
  <c r="M2326" i="11"/>
  <c r="M2327" i="11"/>
  <c r="M2328" i="11"/>
  <c r="M2329" i="11"/>
  <c r="M2330" i="11"/>
  <c r="M2331" i="11"/>
  <c r="M2332" i="11"/>
  <c r="M2333" i="11"/>
  <c r="M2334" i="11"/>
  <c r="M2335" i="11"/>
  <c r="M2336" i="11"/>
  <c r="M2337" i="11"/>
  <c r="M2338" i="11"/>
  <c r="M2339" i="11"/>
  <c r="M2340" i="11"/>
  <c r="M2341" i="11"/>
  <c r="M2342" i="11"/>
  <c r="M2343" i="11"/>
  <c r="M2344" i="11"/>
  <c r="M2345" i="11"/>
  <c r="M2346" i="11"/>
  <c r="M2347" i="11"/>
  <c r="M2348" i="11"/>
  <c r="M2349" i="11"/>
  <c r="M2350" i="11"/>
  <c r="M2351" i="11"/>
  <c r="M2352" i="11"/>
  <c r="M2353" i="11"/>
  <c r="M2354" i="11"/>
  <c r="M2355" i="11"/>
  <c r="M2356" i="11"/>
  <c r="M2357" i="11"/>
  <c r="M2358" i="11"/>
  <c r="M2359" i="11"/>
  <c r="M2360" i="11"/>
  <c r="M2361" i="11"/>
  <c r="M2362" i="11"/>
  <c r="M2363" i="11"/>
  <c r="M2364" i="11"/>
  <c r="M2365" i="11"/>
  <c r="M2366" i="11"/>
  <c r="M2367" i="11"/>
  <c r="M2368" i="11"/>
  <c r="M2369" i="11"/>
  <c r="M2370" i="11"/>
  <c r="M2371" i="11"/>
  <c r="M2372" i="11"/>
  <c r="M2373" i="11"/>
  <c r="M2374" i="11"/>
  <c r="M2375" i="11"/>
  <c r="M2376" i="11"/>
  <c r="M2377" i="11"/>
  <c r="M2378" i="11"/>
  <c r="M2379" i="11"/>
  <c r="M2380" i="11"/>
  <c r="M2381" i="11"/>
  <c r="M2382" i="11"/>
  <c r="M2383" i="11"/>
  <c r="M2384" i="11"/>
  <c r="M2385" i="11"/>
  <c r="M2386" i="11"/>
  <c r="M2387" i="11"/>
  <c r="M2388" i="11"/>
  <c r="M2389" i="11"/>
  <c r="M2390" i="11"/>
  <c r="M2391" i="11"/>
  <c r="M2392" i="11"/>
  <c r="M2393" i="11"/>
  <c r="M2394" i="11"/>
  <c r="M2395" i="11"/>
  <c r="M2396" i="11"/>
  <c r="M2397" i="11"/>
  <c r="M2398" i="11"/>
  <c r="M2399" i="11"/>
  <c r="M2400" i="11"/>
  <c r="M2401" i="11"/>
  <c r="M2402" i="11"/>
  <c r="M2403" i="11"/>
  <c r="M2404" i="11"/>
  <c r="M2405" i="11"/>
  <c r="M2406" i="11"/>
  <c r="M2407" i="11"/>
  <c r="M2408" i="11"/>
  <c r="M2409" i="11"/>
  <c r="M2410" i="11"/>
  <c r="M2411" i="11"/>
  <c r="M2412" i="11"/>
  <c r="M2413" i="11"/>
  <c r="M2414" i="11"/>
  <c r="M2415" i="11"/>
  <c r="M2416" i="11"/>
  <c r="M2417" i="11"/>
  <c r="M2418" i="11"/>
  <c r="M2419" i="11"/>
  <c r="M2420" i="11"/>
  <c r="M2421" i="11"/>
  <c r="M2422" i="11"/>
  <c r="M2423" i="11"/>
  <c r="M2424" i="11"/>
  <c r="M2425" i="11"/>
  <c r="M2426" i="11"/>
  <c r="M2427" i="11"/>
  <c r="M2428" i="11"/>
  <c r="M2429" i="11"/>
  <c r="M2430" i="11"/>
  <c r="M2431" i="11"/>
  <c r="M2432" i="11"/>
  <c r="M2433" i="11"/>
  <c r="M2434" i="11"/>
  <c r="M2435" i="11"/>
  <c r="M2436" i="11"/>
  <c r="M2437" i="11"/>
  <c r="M2438" i="11"/>
  <c r="M2439" i="11"/>
  <c r="M2440" i="11"/>
  <c r="M2441" i="11"/>
  <c r="M2442" i="11"/>
  <c r="M2443" i="11"/>
  <c r="M2444" i="11"/>
  <c r="M2445" i="11"/>
  <c r="M2446" i="11"/>
  <c r="M2447" i="11"/>
  <c r="M2448" i="11"/>
  <c r="M2449" i="11"/>
  <c r="M2450" i="11"/>
  <c r="M2451" i="11"/>
  <c r="M2452" i="11"/>
  <c r="M2453" i="11"/>
  <c r="M2454" i="11"/>
  <c r="M2455" i="11"/>
  <c r="M2456" i="11"/>
  <c r="M2457" i="11"/>
  <c r="M2458" i="11"/>
  <c r="M2459" i="11"/>
  <c r="M2460" i="11"/>
  <c r="M2461" i="11"/>
  <c r="M2462" i="11"/>
  <c r="M2463" i="11"/>
  <c r="M2464" i="11"/>
  <c r="M2465" i="11"/>
  <c r="M2466" i="11"/>
  <c r="M2467" i="11"/>
  <c r="M2468" i="11"/>
  <c r="M2469" i="11"/>
  <c r="M2470" i="11"/>
  <c r="M2471" i="11"/>
  <c r="M2472" i="11"/>
  <c r="M2473" i="11"/>
  <c r="M2474" i="11"/>
  <c r="M2475" i="11"/>
  <c r="M2476" i="11"/>
  <c r="M2477" i="11"/>
  <c r="M2478" i="11"/>
  <c r="M2479" i="11"/>
  <c r="M2480" i="11"/>
  <c r="M2481" i="11"/>
  <c r="M2482" i="11"/>
  <c r="M2483" i="11"/>
  <c r="M2484" i="11"/>
  <c r="M2485" i="11"/>
  <c r="M2486" i="11"/>
  <c r="M2487" i="11"/>
  <c r="M2488" i="11"/>
  <c r="M2489" i="11"/>
  <c r="M2490" i="11"/>
  <c r="M2491" i="11"/>
  <c r="M2492" i="11"/>
  <c r="M2493" i="11"/>
  <c r="M2494" i="11"/>
  <c r="M2495" i="11"/>
  <c r="M2496" i="11"/>
  <c r="M2497" i="11"/>
  <c r="M2498" i="11"/>
  <c r="M2499" i="11"/>
  <c r="M2500" i="11"/>
  <c r="M2501" i="11"/>
  <c r="M2502" i="11"/>
  <c r="M2503" i="11"/>
  <c r="M2504" i="11"/>
  <c r="M2505" i="11"/>
  <c r="M2506" i="11"/>
  <c r="M2507" i="11"/>
  <c r="M2508" i="11"/>
  <c r="M2509" i="11"/>
  <c r="M2510" i="11"/>
  <c r="M2511" i="11"/>
  <c r="M2512" i="11"/>
  <c r="M2513" i="11"/>
  <c r="M2514" i="11"/>
  <c r="M2515" i="11"/>
  <c r="M2516" i="11"/>
  <c r="M2517" i="11"/>
  <c r="M2518" i="11"/>
  <c r="M2519" i="11"/>
  <c r="M2520" i="11"/>
  <c r="M2521" i="11"/>
  <c r="M2522" i="11"/>
  <c r="M2523" i="11"/>
  <c r="M2524" i="11"/>
  <c r="M2525" i="11"/>
  <c r="M2526" i="11"/>
  <c r="M2527" i="11"/>
  <c r="M2528" i="11"/>
  <c r="M2529" i="11"/>
  <c r="M2530" i="11"/>
  <c r="M2531" i="11"/>
  <c r="M2532" i="11"/>
  <c r="M2533" i="11"/>
  <c r="M2534" i="11"/>
  <c r="M2535" i="11"/>
  <c r="M2536" i="11"/>
  <c r="M2537" i="11"/>
  <c r="M2538" i="11"/>
  <c r="M2539" i="11"/>
  <c r="M2540" i="11"/>
  <c r="M2541" i="11"/>
  <c r="M2542" i="11"/>
  <c r="M2543" i="11"/>
  <c r="M2544" i="11"/>
  <c r="M2545" i="11"/>
  <c r="M2546" i="11"/>
  <c r="M2547" i="11"/>
  <c r="M2548" i="11"/>
  <c r="M2549" i="11"/>
  <c r="M2550" i="11"/>
  <c r="M2551" i="11"/>
  <c r="M2552" i="11"/>
  <c r="M2553" i="11"/>
  <c r="M2554" i="11"/>
  <c r="M2555" i="11"/>
  <c r="M2556" i="11"/>
  <c r="M2557" i="11"/>
  <c r="M2558" i="11"/>
  <c r="M2559" i="11"/>
  <c r="M2560" i="11"/>
  <c r="M2561" i="11"/>
  <c r="M2562" i="11"/>
  <c r="M2563" i="11"/>
  <c r="M2564" i="11"/>
  <c r="M2565" i="11"/>
  <c r="M2566" i="11"/>
  <c r="M2567" i="11"/>
  <c r="M2568" i="11"/>
  <c r="M2569" i="11"/>
  <c r="M2570" i="11"/>
  <c r="M2571" i="11"/>
  <c r="M2572" i="11"/>
  <c r="M2573" i="11"/>
  <c r="M2574" i="11"/>
  <c r="M2575" i="11"/>
  <c r="M2576" i="11"/>
  <c r="M2577" i="11"/>
  <c r="M2578" i="11"/>
  <c r="M2579" i="11"/>
  <c r="M2580" i="11"/>
  <c r="M2581" i="11"/>
  <c r="M2582" i="11"/>
  <c r="M2583" i="11"/>
  <c r="M2584" i="11"/>
  <c r="M2585" i="11"/>
  <c r="M2586" i="11"/>
  <c r="M2587" i="11"/>
  <c r="M2588" i="11"/>
  <c r="M2589" i="11"/>
  <c r="M2590" i="11"/>
  <c r="M2591" i="11"/>
  <c r="M2592" i="11"/>
  <c r="M2593" i="11"/>
  <c r="M2594" i="11"/>
  <c r="M2595" i="11"/>
  <c r="M2596" i="11"/>
  <c r="M2597" i="11"/>
  <c r="M2598" i="11"/>
  <c r="M2599" i="11"/>
  <c r="M2600" i="11"/>
  <c r="M2601" i="11"/>
  <c r="M2602" i="11"/>
  <c r="M2603" i="11"/>
  <c r="M2604" i="11"/>
  <c r="M2605" i="11"/>
  <c r="M2606" i="11"/>
  <c r="M2607" i="11"/>
  <c r="M2608" i="11"/>
  <c r="M2609" i="11"/>
  <c r="M2610" i="11"/>
  <c r="M2611" i="11"/>
  <c r="M2612" i="11"/>
  <c r="M2613" i="11"/>
  <c r="M2614" i="11"/>
  <c r="M2615" i="11"/>
  <c r="M2616" i="11"/>
  <c r="M2617" i="11"/>
  <c r="M2618" i="11"/>
  <c r="M2619" i="11"/>
  <c r="M2620" i="11"/>
  <c r="M2621" i="11"/>
  <c r="M2622" i="11"/>
  <c r="M2623" i="11"/>
  <c r="M2624" i="11"/>
  <c r="M2625" i="11"/>
  <c r="M2626" i="11"/>
  <c r="M2627" i="11"/>
  <c r="M2628" i="11"/>
  <c r="M2629" i="11"/>
  <c r="M2630" i="11"/>
  <c r="M2631" i="11"/>
  <c r="M2632" i="11"/>
  <c r="M2633" i="11"/>
  <c r="M2634" i="11"/>
  <c r="M2635" i="11"/>
  <c r="M2636" i="11"/>
  <c r="M2637" i="11"/>
  <c r="M2638" i="11"/>
  <c r="M2639" i="11"/>
  <c r="M2640" i="11"/>
  <c r="M2641" i="11"/>
  <c r="M2642" i="11"/>
  <c r="M2643" i="11"/>
  <c r="M2644" i="11"/>
  <c r="M2645" i="11"/>
  <c r="M2646" i="11"/>
  <c r="M2647" i="11"/>
  <c r="M2648" i="11"/>
  <c r="M2649" i="11"/>
  <c r="M2650" i="11"/>
  <c r="M2651" i="11"/>
  <c r="M2652" i="11"/>
  <c r="M2653" i="11"/>
  <c r="M2654" i="11"/>
  <c r="M2655" i="11"/>
  <c r="M2656" i="11"/>
  <c r="M2657" i="11"/>
  <c r="M2658" i="11"/>
  <c r="M2659" i="11"/>
  <c r="M2660" i="11"/>
  <c r="M2661" i="11"/>
  <c r="M2662" i="11"/>
  <c r="M2663" i="11"/>
  <c r="M2664" i="11"/>
  <c r="M2665" i="11"/>
  <c r="M2666" i="11"/>
  <c r="M2667" i="11"/>
  <c r="M2668" i="11"/>
  <c r="M2669" i="11"/>
  <c r="M2670" i="11"/>
  <c r="M2671" i="11"/>
  <c r="M2672" i="11"/>
  <c r="M2673" i="11"/>
  <c r="M2674" i="11"/>
  <c r="M2675" i="11"/>
  <c r="M2676" i="11"/>
  <c r="M2677" i="11"/>
  <c r="M2678" i="11"/>
  <c r="M2679" i="11"/>
  <c r="M2680" i="11"/>
  <c r="M2681" i="11"/>
  <c r="M2682" i="11"/>
  <c r="M2683" i="11"/>
  <c r="M2684" i="11"/>
  <c r="M2685" i="11"/>
  <c r="M2686" i="11"/>
  <c r="M2687" i="11"/>
  <c r="M2688" i="11"/>
  <c r="M2689" i="11"/>
  <c r="M2690" i="11"/>
  <c r="M2691" i="11"/>
  <c r="M2692" i="11"/>
  <c r="M2693" i="11"/>
  <c r="M2694" i="11"/>
  <c r="M2695" i="11"/>
  <c r="M2696" i="11"/>
  <c r="M2697" i="11"/>
  <c r="M2698" i="11"/>
  <c r="M2699" i="11"/>
  <c r="M2700" i="11"/>
  <c r="M2701" i="11"/>
  <c r="M2702" i="11"/>
  <c r="M2703" i="11"/>
  <c r="M2704" i="11"/>
  <c r="M2705" i="11"/>
  <c r="M2706" i="11"/>
  <c r="M2707" i="11"/>
  <c r="M2708" i="11"/>
  <c r="M2709" i="11"/>
  <c r="M2710" i="11"/>
  <c r="M2711" i="11"/>
  <c r="M2712" i="11"/>
  <c r="M2713" i="11"/>
  <c r="M2714" i="11"/>
  <c r="M2715" i="11"/>
  <c r="M2716" i="11"/>
  <c r="M2717" i="11"/>
  <c r="M2718" i="11"/>
  <c r="M2719" i="11"/>
  <c r="M2720" i="11"/>
  <c r="M2721" i="11"/>
  <c r="M2722" i="11"/>
  <c r="M2723" i="11"/>
  <c r="M2724" i="11"/>
  <c r="M2725" i="11"/>
  <c r="M2726" i="11"/>
  <c r="M2727" i="11"/>
  <c r="M2728" i="11"/>
  <c r="M2729" i="11"/>
  <c r="M2730" i="11"/>
  <c r="M2731" i="11"/>
  <c r="M2732" i="11"/>
  <c r="M2733" i="11"/>
  <c r="M2734" i="11"/>
  <c r="M2735" i="11"/>
  <c r="M2736" i="11"/>
  <c r="M2737" i="11"/>
  <c r="M2738" i="11"/>
  <c r="M2739" i="11"/>
  <c r="M2740" i="11"/>
  <c r="M2741" i="11"/>
  <c r="M2742" i="11"/>
  <c r="M2743" i="11"/>
  <c r="M2744" i="11"/>
  <c r="M2745" i="11"/>
  <c r="M2746" i="11"/>
  <c r="M2747" i="11"/>
  <c r="M2748" i="11"/>
  <c r="M2749" i="11"/>
  <c r="M2750" i="11"/>
  <c r="M2751" i="11"/>
  <c r="M2752" i="11"/>
  <c r="M2753" i="11"/>
  <c r="M2754" i="11"/>
  <c r="M2755" i="11"/>
  <c r="M2756" i="11"/>
  <c r="M2757" i="11"/>
  <c r="M2758" i="11"/>
  <c r="M2759" i="11"/>
  <c r="M2760" i="11"/>
  <c r="M2761" i="11"/>
  <c r="M2762" i="11"/>
  <c r="M2763" i="11"/>
  <c r="M2764" i="11"/>
  <c r="M2765" i="11"/>
  <c r="M2766" i="11"/>
  <c r="M2767" i="11"/>
  <c r="M2768" i="11"/>
  <c r="M2769" i="11"/>
  <c r="M2770" i="11"/>
  <c r="M2771" i="11"/>
  <c r="M2772" i="11"/>
  <c r="M2773" i="11"/>
  <c r="M2774" i="11"/>
  <c r="M2775" i="11"/>
  <c r="M2776" i="11"/>
  <c r="M2777" i="11"/>
  <c r="M2778" i="11"/>
  <c r="M2779" i="11"/>
  <c r="M2780" i="11"/>
  <c r="M2781" i="11"/>
  <c r="M2782" i="11"/>
  <c r="M2783" i="11"/>
  <c r="M2784" i="11"/>
  <c r="M2785" i="11"/>
  <c r="M2786" i="11"/>
  <c r="M2787" i="11"/>
  <c r="M2788" i="11"/>
  <c r="M2789" i="11"/>
  <c r="M2790" i="11"/>
  <c r="M2791" i="11"/>
  <c r="M2792" i="11"/>
  <c r="M2793" i="11"/>
  <c r="M2794" i="11"/>
  <c r="M2795" i="11"/>
  <c r="M2796" i="11"/>
  <c r="M2797" i="11"/>
  <c r="M2798" i="11"/>
  <c r="M2799" i="11"/>
  <c r="M2800" i="11"/>
  <c r="M2801" i="11"/>
  <c r="M2802" i="11"/>
  <c r="M2803" i="11"/>
  <c r="M2804" i="11"/>
  <c r="M2805" i="11"/>
  <c r="M2806" i="11"/>
  <c r="M2807" i="11"/>
  <c r="M2808" i="11"/>
  <c r="M2809" i="11"/>
  <c r="M2810" i="11"/>
  <c r="M2811" i="11"/>
  <c r="M2812" i="11"/>
  <c r="M2813" i="11"/>
  <c r="M2814" i="11"/>
  <c r="M2815" i="11"/>
  <c r="M2816" i="11"/>
  <c r="M2817" i="11"/>
  <c r="M2818" i="11"/>
  <c r="M2819" i="11"/>
  <c r="M2820" i="11"/>
  <c r="M2821" i="11"/>
  <c r="M2822" i="11"/>
  <c r="M2823" i="11"/>
  <c r="M2824" i="11"/>
  <c r="M2825" i="11"/>
  <c r="M2826" i="11"/>
  <c r="M2827" i="11"/>
  <c r="M2828" i="11"/>
  <c r="M2829" i="11"/>
  <c r="M2830" i="11"/>
  <c r="M2831" i="11"/>
  <c r="M2832" i="11"/>
  <c r="M2833" i="11"/>
  <c r="M2834" i="11"/>
  <c r="M2835" i="11"/>
  <c r="M2836" i="11"/>
  <c r="M2837" i="11"/>
  <c r="M2838" i="11"/>
  <c r="M2839" i="11"/>
  <c r="M2840" i="11"/>
  <c r="M2841" i="11"/>
  <c r="M2842" i="11"/>
  <c r="M2843" i="11"/>
  <c r="M2844" i="11"/>
  <c r="M2845" i="11"/>
  <c r="M2846" i="11"/>
  <c r="M2847" i="11"/>
  <c r="M2848" i="11"/>
  <c r="M2849" i="11"/>
  <c r="M2850" i="11"/>
  <c r="M2851" i="11"/>
  <c r="M2852" i="11"/>
  <c r="M2853" i="11"/>
  <c r="M2854" i="11"/>
  <c r="M2855" i="11"/>
  <c r="M2856" i="11"/>
  <c r="M2857" i="11"/>
  <c r="M2858" i="11"/>
  <c r="M2859" i="11"/>
  <c r="M2860" i="11"/>
  <c r="M2861" i="11"/>
  <c r="M2862" i="11"/>
  <c r="M2863" i="11"/>
  <c r="M2864" i="11"/>
  <c r="M2865" i="11"/>
  <c r="M2866" i="11"/>
  <c r="M2867" i="11"/>
  <c r="M2868" i="11"/>
  <c r="M2869" i="11"/>
  <c r="M2870" i="11"/>
  <c r="M2871" i="11"/>
  <c r="M2872" i="11"/>
  <c r="M2873" i="11"/>
  <c r="M2874" i="11"/>
  <c r="M2875" i="11"/>
  <c r="M2876" i="11"/>
  <c r="M2877" i="11"/>
  <c r="M2878" i="11"/>
  <c r="M2879" i="11"/>
  <c r="M2880" i="11"/>
  <c r="M2881" i="11"/>
  <c r="M2882" i="11"/>
  <c r="M2883" i="11"/>
  <c r="M2884" i="11"/>
  <c r="M2885" i="11"/>
  <c r="M2886" i="11"/>
  <c r="M2887" i="11"/>
  <c r="M2888" i="11"/>
  <c r="M2889" i="11"/>
  <c r="M2890" i="11"/>
  <c r="M2891" i="11"/>
  <c r="M2892" i="11"/>
  <c r="M2893" i="11"/>
  <c r="M2894" i="11"/>
  <c r="M2895" i="11"/>
  <c r="M2896" i="11"/>
  <c r="M2897" i="11"/>
  <c r="M2898" i="11"/>
  <c r="M2899" i="11"/>
  <c r="M2900" i="11"/>
  <c r="M2901" i="11"/>
  <c r="M2902" i="11"/>
  <c r="M2903" i="11"/>
  <c r="M2904" i="11"/>
  <c r="M2905" i="11"/>
  <c r="M2906" i="11"/>
  <c r="M2907" i="11"/>
  <c r="M2908" i="11"/>
  <c r="M2909" i="11"/>
  <c r="M2910" i="11"/>
  <c r="M2911" i="11"/>
  <c r="M2912" i="11"/>
  <c r="M2913" i="11"/>
  <c r="M2914" i="11"/>
  <c r="M2915" i="11"/>
  <c r="M2916" i="11"/>
  <c r="M2917" i="11"/>
  <c r="M2918" i="11"/>
  <c r="M2919" i="11"/>
  <c r="M2920" i="11"/>
  <c r="M2921" i="11"/>
  <c r="M2922" i="11"/>
  <c r="M2923" i="11"/>
  <c r="M2924" i="11"/>
  <c r="M2925" i="11"/>
  <c r="M2926" i="11"/>
  <c r="M2927" i="11"/>
  <c r="M2928" i="11"/>
  <c r="M2929" i="11"/>
  <c r="M2930" i="11"/>
  <c r="M2931" i="11"/>
  <c r="M2932" i="11"/>
  <c r="M2933" i="11"/>
  <c r="M2934" i="11"/>
  <c r="M2935" i="11"/>
  <c r="M2936" i="11"/>
  <c r="M2937" i="11"/>
  <c r="M2938" i="11"/>
  <c r="M2939" i="11"/>
  <c r="M2940" i="11"/>
  <c r="M2941" i="11"/>
  <c r="M2942" i="11"/>
  <c r="M2943" i="11"/>
  <c r="M2944" i="11"/>
  <c r="M2945" i="11"/>
  <c r="M2946" i="11"/>
  <c r="M2947" i="11"/>
  <c r="M2948" i="11"/>
  <c r="M2949" i="11"/>
  <c r="M2950" i="11"/>
  <c r="M2951" i="11"/>
  <c r="M2952" i="11"/>
  <c r="M2953" i="11"/>
  <c r="M2954" i="11"/>
  <c r="M2955" i="11"/>
  <c r="M2956" i="11"/>
  <c r="M2957" i="11"/>
  <c r="M2958" i="11"/>
  <c r="M2959" i="11"/>
  <c r="M2960" i="11"/>
  <c r="M2961" i="11"/>
  <c r="M2962" i="11"/>
  <c r="M2963" i="11"/>
  <c r="M2964" i="11"/>
  <c r="M2965" i="11"/>
  <c r="M2966" i="11"/>
  <c r="M2967" i="11"/>
  <c r="M2968" i="11"/>
  <c r="M2969" i="11"/>
  <c r="M2970" i="11"/>
  <c r="M2971" i="11"/>
  <c r="M2972" i="11"/>
  <c r="M2973" i="11"/>
  <c r="M2974" i="11"/>
  <c r="M2975" i="11"/>
  <c r="M2976" i="11"/>
  <c r="M2977" i="11"/>
  <c r="M2978" i="11"/>
  <c r="M2979" i="11"/>
  <c r="M2980" i="11"/>
  <c r="M2981" i="11"/>
  <c r="M2982" i="11"/>
  <c r="M2983" i="11"/>
  <c r="M2984" i="11"/>
  <c r="M2985" i="11"/>
  <c r="M2986" i="11"/>
  <c r="M2987" i="11"/>
  <c r="M2988" i="11"/>
  <c r="M2989" i="11"/>
  <c r="M2990" i="11"/>
  <c r="M2991" i="11"/>
  <c r="M2992" i="11"/>
  <c r="M2993" i="11"/>
  <c r="M2994" i="11"/>
  <c r="M2995" i="11"/>
  <c r="M2996" i="11"/>
  <c r="M2997" i="11"/>
  <c r="M2998" i="11"/>
  <c r="M2999" i="11"/>
  <c r="M3000" i="11"/>
  <c r="M3001" i="11"/>
  <c r="M3002" i="11"/>
  <c r="M3003" i="11"/>
  <c r="M3004" i="11"/>
  <c r="M3005" i="11"/>
  <c r="M3006" i="11"/>
  <c r="M3007" i="11"/>
  <c r="M3008" i="11"/>
  <c r="M3009" i="11"/>
  <c r="M3010" i="11"/>
  <c r="M3011" i="11"/>
  <c r="M3012" i="11"/>
  <c r="M3013" i="11"/>
  <c r="M3014" i="11"/>
  <c r="M3015" i="11"/>
  <c r="M3016" i="11"/>
  <c r="M3017" i="11"/>
  <c r="M3018" i="11"/>
  <c r="M3019" i="11"/>
  <c r="M3020" i="11"/>
  <c r="M3021" i="11"/>
  <c r="M3022" i="11"/>
  <c r="M3023" i="11"/>
  <c r="M3024" i="11"/>
  <c r="M3025" i="11"/>
  <c r="M3026" i="11"/>
  <c r="M3027" i="11"/>
  <c r="M3028" i="11"/>
  <c r="M3029" i="11"/>
  <c r="M3030" i="11"/>
  <c r="M3031" i="11"/>
  <c r="M3032" i="11"/>
  <c r="M3033" i="11"/>
  <c r="M3034" i="11"/>
  <c r="M3035" i="11"/>
  <c r="M3036" i="11"/>
  <c r="M3037" i="11"/>
  <c r="M3038" i="11"/>
  <c r="M3039" i="11"/>
  <c r="M3040" i="11"/>
  <c r="M3041" i="11"/>
  <c r="M3042" i="11"/>
  <c r="M3043" i="11"/>
  <c r="M3044" i="11"/>
  <c r="M3045" i="11"/>
  <c r="M3046" i="11"/>
  <c r="M3047" i="11"/>
  <c r="M3048" i="11"/>
  <c r="M3049" i="11"/>
  <c r="M3050" i="11"/>
  <c r="M3051" i="11"/>
  <c r="M3052" i="11"/>
  <c r="M3053" i="11"/>
  <c r="M3054" i="11"/>
  <c r="M3055" i="11"/>
  <c r="M3056" i="11"/>
  <c r="M3057" i="11"/>
  <c r="M3058" i="11"/>
  <c r="M3059" i="11"/>
  <c r="M3060" i="11"/>
  <c r="M3061" i="11"/>
  <c r="M3062" i="11"/>
  <c r="M3063" i="11"/>
  <c r="M3064" i="11"/>
  <c r="M3065" i="11"/>
  <c r="M3066" i="11"/>
  <c r="M3067" i="11"/>
  <c r="M3068" i="11"/>
  <c r="M3069" i="11"/>
  <c r="M3070" i="11"/>
  <c r="M3071" i="11"/>
  <c r="M3072" i="11"/>
  <c r="M3073" i="11"/>
  <c r="M3074" i="11"/>
  <c r="M3075" i="11"/>
  <c r="M3076" i="11"/>
  <c r="M3077" i="11"/>
  <c r="M3078" i="11"/>
  <c r="M3079" i="11"/>
  <c r="M3080" i="11"/>
  <c r="M3081" i="11"/>
  <c r="M3082" i="11"/>
  <c r="M3083" i="11"/>
  <c r="M3084" i="11"/>
  <c r="M3085" i="11"/>
  <c r="M3086" i="11"/>
  <c r="M3087" i="11"/>
  <c r="M3088" i="11"/>
  <c r="M3089" i="11"/>
  <c r="M3090" i="11"/>
  <c r="M3091" i="11"/>
  <c r="M3092" i="11"/>
  <c r="M3093" i="11"/>
  <c r="M3094" i="11"/>
  <c r="M3095" i="11"/>
  <c r="M3096" i="11"/>
  <c r="M3097" i="11"/>
  <c r="M3098" i="11"/>
  <c r="M3099" i="11"/>
  <c r="M3100" i="11"/>
  <c r="M3101" i="11"/>
  <c r="M3102" i="11"/>
  <c r="M3103" i="11"/>
  <c r="M3104" i="11"/>
  <c r="M3105" i="11"/>
  <c r="M3106" i="11"/>
  <c r="M3107" i="11"/>
  <c r="M3108" i="11"/>
  <c r="M3109" i="11"/>
  <c r="M3110" i="11"/>
  <c r="M3111" i="11"/>
  <c r="M3112" i="11"/>
  <c r="M3113" i="11"/>
  <c r="M3114" i="11"/>
  <c r="M3115" i="11"/>
  <c r="M3116" i="11"/>
  <c r="M3117" i="11"/>
  <c r="M3118" i="11"/>
  <c r="M3119" i="11"/>
  <c r="M3120" i="11"/>
  <c r="M3121" i="11"/>
  <c r="M3122" i="11"/>
  <c r="M3123" i="11"/>
  <c r="M3124" i="11"/>
  <c r="M3125" i="11"/>
  <c r="M3126" i="11"/>
  <c r="M3127" i="11"/>
  <c r="M3128" i="11"/>
  <c r="M3129" i="11"/>
  <c r="M3130" i="11"/>
  <c r="M3131" i="11"/>
  <c r="M3132" i="11"/>
  <c r="M3133" i="11"/>
  <c r="M3134" i="11"/>
  <c r="M3135" i="11"/>
  <c r="M3136" i="11"/>
  <c r="M3137" i="11"/>
  <c r="M3138" i="11"/>
  <c r="M3139" i="11"/>
  <c r="M3140" i="11"/>
  <c r="M3141" i="11"/>
  <c r="M3142" i="11"/>
  <c r="M3143" i="11"/>
  <c r="M3144" i="11"/>
  <c r="M3145" i="11"/>
  <c r="M3146" i="11"/>
  <c r="M3147" i="11"/>
  <c r="M3148" i="11"/>
  <c r="M3149" i="11"/>
  <c r="M3150" i="11"/>
  <c r="M3151" i="11"/>
  <c r="M3152" i="11"/>
  <c r="M3153" i="11"/>
  <c r="M3154" i="11"/>
  <c r="M3155" i="11"/>
  <c r="M3156" i="11"/>
  <c r="M3157" i="11"/>
  <c r="M3158" i="11"/>
  <c r="M3159" i="11"/>
  <c r="M3160" i="11"/>
  <c r="M3161" i="11"/>
  <c r="M3162" i="11"/>
  <c r="M3163" i="11"/>
  <c r="M3164" i="11"/>
  <c r="M3165" i="11"/>
  <c r="M3166" i="11"/>
  <c r="M3167" i="11"/>
  <c r="M3168" i="11"/>
  <c r="M3169" i="11"/>
  <c r="M3170" i="11"/>
  <c r="M3171" i="11"/>
  <c r="M3172" i="11"/>
  <c r="M3173" i="11"/>
  <c r="M3174" i="11"/>
  <c r="M3175" i="11"/>
  <c r="M3176" i="11"/>
  <c r="M3177" i="11"/>
  <c r="M3178" i="11"/>
  <c r="M3179" i="11"/>
  <c r="M3180" i="11"/>
  <c r="M3181" i="11"/>
  <c r="M3182" i="11"/>
  <c r="M3183" i="11"/>
  <c r="M3184" i="11"/>
  <c r="M3185" i="11"/>
  <c r="M3186" i="11"/>
  <c r="M3187" i="11"/>
  <c r="M3188" i="11"/>
  <c r="M3189" i="11"/>
  <c r="M3190" i="11"/>
  <c r="M3191" i="11"/>
  <c r="M3192" i="11"/>
  <c r="M3193" i="11"/>
  <c r="M3194" i="11"/>
  <c r="M3195" i="11"/>
  <c r="M3196" i="11"/>
  <c r="M3197" i="11"/>
  <c r="M3198" i="11"/>
  <c r="M3199" i="11"/>
  <c r="M3200" i="11"/>
  <c r="M3201" i="11"/>
  <c r="M3202" i="11"/>
  <c r="M3203" i="11"/>
  <c r="M3204" i="11"/>
  <c r="M3205" i="11"/>
  <c r="M3206" i="11"/>
  <c r="M3207" i="11"/>
  <c r="M3208" i="11"/>
  <c r="M3209" i="11"/>
  <c r="M3210" i="11"/>
  <c r="M3211" i="11"/>
  <c r="M3212" i="11"/>
  <c r="M3213" i="11"/>
  <c r="M3214" i="11"/>
  <c r="M3215" i="11"/>
  <c r="M3216" i="11"/>
  <c r="M3217" i="11"/>
  <c r="M3218" i="11"/>
  <c r="M3219" i="11"/>
  <c r="M3220" i="11"/>
  <c r="M3221" i="11"/>
  <c r="M3222" i="11"/>
  <c r="M3223" i="11"/>
  <c r="M3224" i="11"/>
  <c r="M3225" i="11"/>
  <c r="M3226" i="11"/>
  <c r="M3227" i="11"/>
  <c r="M3228" i="11"/>
  <c r="M3229" i="11"/>
  <c r="M3230" i="11"/>
  <c r="M3231" i="11"/>
  <c r="M3232" i="11"/>
  <c r="M3233" i="11"/>
  <c r="M3234" i="11"/>
  <c r="M3235" i="11"/>
  <c r="M3236" i="11"/>
  <c r="M3237" i="11"/>
  <c r="M3238" i="11"/>
  <c r="M3239" i="11"/>
  <c r="M3240" i="11"/>
  <c r="M3241" i="11"/>
  <c r="M3242" i="11"/>
  <c r="M3243" i="11"/>
  <c r="M3244" i="11"/>
  <c r="M3245" i="11"/>
  <c r="M3246" i="11"/>
  <c r="M3247" i="11"/>
  <c r="M3248" i="11"/>
  <c r="M3249" i="11"/>
  <c r="M3250" i="11"/>
  <c r="M3251" i="11"/>
  <c r="M3252" i="11"/>
  <c r="M3253" i="11"/>
  <c r="M3254" i="11"/>
  <c r="M3255" i="11"/>
  <c r="M3256" i="11"/>
  <c r="M3257" i="11"/>
  <c r="M3258" i="11"/>
  <c r="M3259" i="11"/>
  <c r="M3260" i="11"/>
  <c r="M3261" i="11"/>
  <c r="M3262" i="11"/>
  <c r="M3263" i="11"/>
  <c r="M3264" i="11"/>
  <c r="M3265" i="11"/>
  <c r="M3266" i="11"/>
  <c r="M3267" i="11"/>
  <c r="M3268" i="11"/>
  <c r="M3269" i="11"/>
  <c r="M3270" i="11"/>
  <c r="M3271" i="11"/>
  <c r="M3272" i="11"/>
  <c r="M3273" i="11"/>
  <c r="M3274" i="11"/>
  <c r="M3275" i="11"/>
  <c r="M3276" i="11"/>
  <c r="M3277" i="11"/>
  <c r="M3278" i="11"/>
  <c r="M3279" i="11"/>
  <c r="M3280" i="11"/>
  <c r="M3281" i="11"/>
  <c r="M3282" i="11"/>
  <c r="M3283" i="11"/>
  <c r="M3284" i="11"/>
  <c r="M3285" i="11"/>
  <c r="M3286" i="11"/>
  <c r="M3287" i="11"/>
  <c r="M3288" i="11"/>
  <c r="M3289" i="11"/>
  <c r="M3290" i="11"/>
  <c r="M3291" i="11"/>
  <c r="M3292" i="11"/>
  <c r="M3293" i="11"/>
  <c r="M3294" i="11"/>
  <c r="M3295" i="11"/>
  <c r="M3296" i="11"/>
  <c r="M3297" i="11"/>
  <c r="M3298" i="11"/>
  <c r="M3299" i="11"/>
  <c r="M3300" i="11"/>
  <c r="M3301" i="11"/>
  <c r="M3302" i="11"/>
  <c r="M3303" i="11"/>
  <c r="M3304" i="11"/>
  <c r="M3305" i="11"/>
  <c r="M3306" i="11"/>
  <c r="M3307" i="11"/>
  <c r="M3308" i="11"/>
  <c r="M3309" i="11"/>
  <c r="M3310" i="11"/>
  <c r="M3311" i="11"/>
  <c r="M3312" i="11"/>
  <c r="M3313" i="11"/>
  <c r="M3314" i="11"/>
  <c r="M3315" i="11"/>
  <c r="M3316" i="11"/>
  <c r="M3317" i="11"/>
  <c r="M3318" i="11"/>
  <c r="M3319" i="11"/>
  <c r="M3320" i="11"/>
  <c r="M3321" i="11"/>
  <c r="M3322" i="11"/>
  <c r="M3323" i="11"/>
  <c r="M3324" i="11"/>
  <c r="M3325" i="11"/>
  <c r="M3326" i="11"/>
  <c r="M3327" i="11"/>
  <c r="M3328" i="11"/>
  <c r="M3329" i="11"/>
  <c r="M3330" i="11"/>
  <c r="M3331" i="11"/>
  <c r="M3332" i="11"/>
  <c r="M3333" i="11"/>
  <c r="M3334" i="11"/>
  <c r="M3335" i="11"/>
  <c r="M3336" i="11"/>
  <c r="M3337" i="11"/>
  <c r="M3338" i="11"/>
  <c r="M3339" i="11"/>
  <c r="M3340" i="11"/>
  <c r="M3341" i="11"/>
  <c r="M3342" i="11"/>
  <c r="M3343" i="11"/>
  <c r="M3344" i="11"/>
  <c r="M3345" i="11"/>
  <c r="M3346" i="11"/>
  <c r="M3347" i="11"/>
  <c r="M3348" i="11"/>
  <c r="M3349" i="11"/>
  <c r="M3350" i="11"/>
  <c r="M3351" i="11"/>
  <c r="M3352" i="11"/>
  <c r="M3353" i="11"/>
  <c r="M3354" i="11"/>
  <c r="M3355" i="11"/>
  <c r="M3356" i="11"/>
  <c r="M3357" i="11"/>
  <c r="M3358" i="11"/>
  <c r="M3359" i="11"/>
  <c r="M3360" i="11"/>
  <c r="M3361" i="11"/>
  <c r="M3362" i="11"/>
  <c r="M3363" i="11"/>
  <c r="M3364" i="11"/>
  <c r="M3365" i="11"/>
  <c r="M3366" i="11"/>
  <c r="M3367" i="11"/>
  <c r="M3368" i="11"/>
  <c r="M3369" i="11"/>
  <c r="M3370" i="11"/>
  <c r="M3371" i="11"/>
  <c r="M3372" i="11"/>
  <c r="M3373" i="11"/>
  <c r="M3374" i="11"/>
  <c r="M3375" i="11"/>
  <c r="M3376" i="11"/>
  <c r="M3377" i="11"/>
  <c r="M3378" i="11"/>
  <c r="M3379" i="11"/>
  <c r="M3380" i="11"/>
  <c r="M3381" i="11"/>
  <c r="M3382" i="11"/>
  <c r="M3383" i="11"/>
  <c r="M3384" i="11"/>
  <c r="M3385" i="11"/>
  <c r="M3386" i="11"/>
  <c r="M3387" i="11"/>
  <c r="M3388" i="11"/>
  <c r="M3389" i="11"/>
  <c r="M3390" i="11"/>
  <c r="M3391" i="11"/>
  <c r="M3392" i="11"/>
  <c r="M3393" i="11"/>
  <c r="M3394" i="11"/>
  <c r="M3395" i="11"/>
  <c r="M3396" i="11"/>
  <c r="M3397" i="11"/>
  <c r="M3398" i="11"/>
  <c r="M3399" i="11"/>
  <c r="M3400" i="11"/>
  <c r="M3401" i="11"/>
  <c r="M3402" i="11"/>
  <c r="M3403" i="11"/>
  <c r="M3404" i="11"/>
  <c r="M3405" i="11"/>
  <c r="M3406" i="11"/>
  <c r="M3407" i="11"/>
  <c r="M3408" i="11"/>
  <c r="M3409" i="11"/>
  <c r="M3410" i="11"/>
  <c r="M3411" i="11"/>
  <c r="M3412" i="11"/>
  <c r="M3413" i="11"/>
  <c r="M3414" i="11"/>
  <c r="M3415" i="11"/>
  <c r="M3416" i="11"/>
  <c r="M3417" i="11"/>
  <c r="M3418" i="11"/>
  <c r="M3419" i="11"/>
  <c r="M3420" i="11"/>
  <c r="M3421" i="11"/>
  <c r="M3422" i="11"/>
  <c r="M3423" i="11"/>
  <c r="M3424" i="11"/>
  <c r="M3425" i="11"/>
  <c r="M3426" i="11"/>
  <c r="M3427" i="11"/>
  <c r="M3428" i="11"/>
  <c r="M3429" i="11"/>
  <c r="M3430" i="11"/>
  <c r="M3431" i="11"/>
  <c r="M3432" i="11"/>
  <c r="M3433" i="11"/>
  <c r="M3434" i="11"/>
  <c r="M3435" i="11"/>
  <c r="M3436" i="11"/>
  <c r="M3437" i="11"/>
  <c r="M3438" i="11"/>
  <c r="M3439" i="11"/>
  <c r="M3440" i="11"/>
  <c r="M3441" i="11"/>
  <c r="M3442" i="11"/>
  <c r="M3443" i="11"/>
  <c r="M3444" i="11"/>
  <c r="M3445" i="11"/>
  <c r="M3446" i="11"/>
  <c r="M3447" i="11"/>
  <c r="M3448" i="11"/>
  <c r="M3449" i="11"/>
  <c r="M3450" i="11"/>
  <c r="M3451" i="11"/>
  <c r="M3452" i="11"/>
  <c r="M3453" i="11"/>
  <c r="M3454" i="11"/>
  <c r="M3455" i="11"/>
  <c r="M3456" i="11"/>
  <c r="M3457" i="11"/>
  <c r="M3458" i="11"/>
  <c r="M3459" i="11"/>
  <c r="M3460" i="11"/>
  <c r="M3461" i="11"/>
  <c r="M3462" i="11"/>
  <c r="M3463" i="11"/>
  <c r="M3464" i="11"/>
  <c r="M3465" i="11"/>
  <c r="M3466" i="11"/>
  <c r="M3467" i="11"/>
  <c r="M3468" i="11"/>
  <c r="M3469" i="11"/>
  <c r="M3470" i="11"/>
  <c r="M3471" i="11"/>
  <c r="M3472" i="11"/>
  <c r="M3473" i="11"/>
  <c r="M3474" i="11"/>
  <c r="M3475" i="11"/>
  <c r="M3476" i="11"/>
  <c r="M3477" i="11"/>
  <c r="M3478" i="11"/>
  <c r="M3479" i="11"/>
  <c r="M3480" i="11"/>
  <c r="M3481" i="11"/>
  <c r="M3482" i="11"/>
  <c r="M3483" i="11"/>
  <c r="M3484" i="11"/>
  <c r="M3485" i="11"/>
  <c r="M3486" i="11"/>
  <c r="M3487" i="11"/>
  <c r="M3488" i="11"/>
  <c r="M3489" i="11"/>
  <c r="M3490" i="11"/>
  <c r="M3491" i="11"/>
  <c r="M3492" i="11"/>
  <c r="M3493" i="11"/>
  <c r="M3494" i="11"/>
  <c r="M3495" i="11"/>
  <c r="M3496" i="11"/>
  <c r="M3497" i="11"/>
  <c r="M3498" i="11"/>
  <c r="M3499" i="11"/>
  <c r="M3500" i="11"/>
  <c r="M3501" i="11"/>
  <c r="M3502" i="11"/>
  <c r="M3503" i="11"/>
  <c r="M3504" i="11"/>
  <c r="M3505" i="11"/>
  <c r="M3506" i="11"/>
  <c r="M3507" i="11"/>
  <c r="M3508" i="11"/>
  <c r="M3509" i="11"/>
  <c r="M3510" i="11"/>
  <c r="M3511" i="11"/>
  <c r="M3512" i="11"/>
  <c r="M3513" i="11"/>
  <c r="M3514" i="11"/>
  <c r="M3515" i="11"/>
  <c r="M3516" i="11"/>
  <c r="M3517" i="11"/>
  <c r="M3518" i="11"/>
  <c r="M3519" i="11"/>
  <c r="M3520" i="11"/>
  <c r="M3521" i="11"/>
  <c r="M3522" i="11"/>
  <c r="M3523" i="11"/>
  <c r="M3524" i="11"/>
  <c r="M3525" i="11"/>
  <c r="M3526" i="11"/>
  <c r="M3527" i="11"/>
  <c r="M3528" i="11"/>
  <c r="M3529" i="11"/>
  <c r="M3530" i="11"/>
  <c r="M3531" i="11"/>
  <c r="M3532" i="11"/>
  <c r="M3533" i="11"/>
  <c r="M3534" i="11"/>
  <c r="M3535" i="11"/>
  <c r="M3536" i="11"/>
  <c r="M3537" i="11"/>
  <c r="M3538" i="11"/>
  <c r="M3539" i="11"/>
  <c r="M3540" i="11"/>
  <c r="M3541" i="11"/>
  <c r="M3542" i="11"/>
  <c r="M3543" i="11"/>
  <c r="M3544" i="11"/>
  <c r="M3545" i="11"/>
  <c r="M3546" i="11"/>
  <c r="M3547" i="11"/>
  <c r="M3548" i="11"/>
  <c r="M3549" i="11"/>
  <c r="M3550" i="11"/>
  <c r="M3551" i="11"/>
  <c r="M3552" i="11"/>
  <c r="M3553" i="11"/>
  <c r="M3554" i="11"/>
  <c r="M3555" i="11"/>
  <c r="M3556" i="11"/>
  <c r="M3557" i="11"/>
  <c r="M3558" i="11"/>
  <c r="M3559" i="11"/>
  <c r="M3560" i="11"/>
  <c r="M3561" i="11"/>
  <c r="M3562" i="11"/>
  <c r="M3563" i="11"/>
  <c r="M3564" i="11"/>
  <c r="M3565" i="11"/>
  <c r="M3566" i="11"/>
  <c r="M3567" i="11"/>
  <c r="M3568" i="11"/>
  <c r="M3569" i="11"/>
  <c r="M3570" i="11"/>
  <c r="M3571" i="11"/>
  <c r="M3572" i="11"/>
  <c r="M3573" i="11"/>
  <c r="M3574" i="11"/>
  <c r="M3575" i="11"/>
  <c r="M3576" i="11"/>
  <c r="M3577" i="11"/>
  <c r="M3578" i="11"/>
  <c r="M3579" i="11"/>
  <c r="M3580" i="11"/>
  <c r="M3581" i="11"/>
  <c r="M3582" i="11"/>
  <c r="M3583" i="11"/>
  <c r="M3584" i="11"/>
  <c r="M3585" i="11"/>
  <c r="M3586" i="11"/>
  <c r="M3587" i="11"/>
  <c r="M3588" i="11"/>
  <c r="M3589" i="11"/>
  <c r="M3590" i="11"/>
  <c r="M3591" i="11"/>
  <c r="M3592" i="11"/>
  <c r="M3593" i="11"/>
  <c r="M3594" i="11"/>
  <c r="M3595" i="11"/>
  <c r="M3596" i="11"/>
  <c r="M3597" i="11"/>
  <c r="M3598" i="11"/>
  <c r="M3599" i="11"/>
  <c r="M3600" i="11"/>
  <c r="M3601" i="11"/>
  <c r="M3602" i="11"/>
  <c r="M3603" i="11"/>
  <c r="M3604" i="11"/>
  <c r="M3605" i="11"/>
  <c r="M3606" i="11"/>
  <c r="M3607" i="11"/>
  <c r="M3608" i="11"/>
  <c r="M3609" i="11"/>
  <c r="M3610" i="11"/>
  <c r="M3611" i="11"/>
  <c r="M3612" i="11"/>
  <c r="M3613" i="11"/>
  <c r="M3614" i="11"/>
  <c r="M3615" i="11"/>
  <c r="M3616" i="11"/>
  <c r="M3617" i="11"/>
  <c r="M3618" i="11"/>
  <c r="M3619" i="11"/>
  <c r="M3620" i="11"/>
  <c r="M3621" i="11"/>
  <c r="M3622" i="11"/>
  <c r="M3623" i="11"/>
  <c r="M3624" i="11"/>
  <c r="M3625" i="11"/>
  <c r="M3626" i="11"/>
  <c r="M3627" i="11"/>
  <c r="M3628" i="11"/>
  <c r="M3629" i="11"/>
  <c r="M3630" i="11"/>
  <c r="M3631" i="11"/>
  <c r="M3632" i="11"/>
  <c r="M3633" i="11"/>
  <c r="M3634" i="11"/>
  <c r="M3635" i="11"/>
  <c r="M3636" i="11"/>
  <c r="M3637" i="11"/>
  <c r="M3638" i="11"/>
  <c r="M3639" i="11"/>
  <c r="M3640" i="11"/>
  <c r="M3641" i="11"/>
  <c r="M3642" i="11"/>
  <c r="M3643" i="11"/>
  <c r="M3644" i="11"/>
  <c r="M3645" i="11"/>
  <c r="M3646" i="11"/>
  <c r="M3647" i="11"/>
  <c r="M3648" i="11"/>
  <c r="M3649" i="11"/>
  <c r="M3650" i="11"/>
  <c r="M3651" i="11"/>
  <c r="M3652" i="11"/>
  <c r="M3653" i="11"/>
  <c r="M3654" i="11"/>
  <c r="M3655" i="11"/>
  <c r="M3656" i="11"/>
  <c r="M3657" i="11"/>
  <c r="M3658" i="11"/>
  <c r="M3659" i="11"/>
  <c r="M3660" i="11"/>
  <c r="M3661" i="11"/>
  <c r="M3662" i="11"/>
  <c r="M3663" i="11"/>
  <c r="M3664" i="11"/>
  <c r="M3665" i="11"/>
  <c r="M3666" i="11"/>
  <c r="M3667" i="11"/>
  <c r="M3668" i="11"/>
  <c r="M3669" i="11"/>
  <c r="M3670" i="11"/>
  <c r="M3671" i="11"/>
  <c r="M3672" i="11"/>
  <c r="M3673" i="11"/>
  <c r="M3674" i="11"/>
  <c r="M3675" i="11"/>
  <c r="M3676" i="11"/>
  <c r="M3677" i="11"/>
  <c r="M3678" i="11"/>
  <c r="M3679" i="11"/>
  <c r="M3680" i="11"/>
  <c r="M3681" i="11"/>
  <c r="M3682" i="11"/>
  <c r="M3683" i="11"/>
  <c r="M3684" i="11"/>
  <c r="M3685" i="11"/>
  <c r="M3686" i="11"/>
  <c r="M3687" i="11"/>
  <c r="M3688" i="11"/>
  <c r="M3689" i="11"/>
  <c r="M3690" i="11"/>
  <c r="M3691" i="11"/>
  <c r="M3692" i="11"/>
  <c r="M3693" i="11"/>
  <c r="M3694" i="11"/>
  <c r="M3695" i="11"/>
  <c r="M3696" i="11"/>
  <c r="M3697" i="11"/>
  <c r="M3698" i="11"/>
  <c r="M3699" i="11"/>
  <c r="M3700" i="11"/>
  <c r="M3701" i="11"/>
  <c r="M3702" i="11"/>
  <c r="M3703" i="11"/>
  <c r="M3704" i="11"/>
  <c r="M3705" i="11"/>
  <c r="M3706" i="11"/>
  <c r="M3707" i="11"/>
  <c r="M3708" i="11"/>
  <c r="M3709" i="11"/>
  <c r="M3710" i="11"/>
  <c r="M3711" i="11"/>
  <c r="M3712" i="11"/>
  <c r="M3713" i="11"/>
  <c r="M3714" i="11"/>
  <c r="M3715" i="11"/>
  <c r="M3716" i="11"/>
  <c r="M3717" i="11"/>
  <c r="M3718" i="11"/>
  <c r="M3719" i="11"/>
  <c r="M3720" i="11"/>
  <c r="M3721" i="11"/>
  <c r="M3722" i="11"/>
  <c r="M3723" i="11"/>
  <c r="M3724" i="11"/>
  <c r="M3725" i="11"/>
  <c r="M3726" i="11"/>
  <c r="M3727" i="11"/>
  <c r="M3728" i="11"/>
  <c r="M3729" i="11"/>
  <c r="M3730" i="11"/>
  <c r="M3731" i="11"/>
  <c r="M3732" i="11"/>
  <c r="M3733" i="11"/>
  <c r="M3734" i="11"/>
  <c r="M3735" i="11"/>
  <c r="M3736" i="11"/>
  <c r="M3737" i="11"/>
  <c r="M3738" i="11"/>
  <c r="M3739" i="11"/>
  <c r="M3740" i="11"/>
  <c r="M3741" i="11"/>
  <c r="M3742" i="11"/>
  <c r="M3743" i="11"/>
  <c r="M3744" i="11"/>
  <c r="M3745" i="11"/>
  <c r="M3746" i="11"/>
  <c r="M3747" i="11"/>
  <c r="M3748" i="11"/>
  <c r="M3749" i="11"/>
  <c r="M3750" i="11"/>
  <c r="M3751" i="11"/>
  <c r="M3752" i="11"/>
  <c r="M3753" i="11"/>
  <c r="M3754" i="11"/>
  <c r="M3755" i="11"/>
  <c r="M3756" i="11"/>
  <c r="M3757" i="11"/>
  <c r="M3758" i="11"/>
  <c r="M3759" i="11"/>
  <c r="M3760" i="11"/>
  <c r="M3761" i="11"/>
  <c r="M3762" i="11"/>
  <c r="M3763" i="11"/>
  <c r="M3764" i="11"/>
  <c r="M3765" i="11"/>
  <c r="M3766" i="11"/>
  <c r="M3767" i="11"/>
  <c r="M3768" i="11"/>
  <c r="M3769" i="11"/>
  <c r="M3770" i="11"/>
  <c r="M3771" i="11"/>
  <c r="M3772" i="11"/>
  <c r="M3773" i="11"/>
  <c r="M3774" i="11"/>
  <c r="M3775" i="11"/>
  <c r="M3776" i="11"/>
  <c r="M3777" i="11"/>
  <c r="M3778" i="11"/>
  <c r="M3779" i="11"/>
  <c r="M3780" i="11"/>
  <c r="M3781" i="11"/>
  <c r="M3782" i="11"/>
  <c r="M3783" i="11"/>
  <c r="M3784" i="11"/>
  <c r="M3785" i="11"/>
  <c r="M3786" i="11"/>
  <c r="M3787" i="11"/>
  <c r="M3788" i="11"/>
  <c r="M3789" i="11"/>
  <c r="M3790" i="11"/>
  <c r="M3791" i="11"/>
  <c r="M3792" i="11"/>
  <c r="M3793" i="11"/>
  <c r="M3794" i="11"/>
  <c r="M3795" i="11"/>
  <c r="M3796" i="11"/>
  <c r="M3797" i="11"/>
  <c r="M3798" i="11"/>
  <c r="M3799" i="11"/>
  <c r="M3800" i="11"/>
  <c r="M3801" i="11"/>
  <c r="M3802" i="11"/>
  <c r="M3803" i="11"/>
  <c r="M3804" i="11"/>
  <c r="M3805" i="11"/>
  <c r="M3806" i="11"/>
  <c r="M3807" i="11"/>
  <c r="M3808" i="11"/>
  <c r="M3809" i="11"/>
  <c r="M3810" i="11"/>
  <c r="M3811" i="11"/>
  <c r="M3812" i="11"/>
  <c r="M3813" i="11"/>
  <c r="M3814" i="11"/>
  <c r="M3815" i="11"/>
  <c r="M3816" i="11"/>
  <c r="M3817" i="11"/>
  <c r="M3818" i="11"/>
  <c r="M3819" i="11"/>
  <c r="M3820" i="11"/>
  <c r="M3821" i="11"/>
  <c r="M3822" i="11"/>
  <c r="M3823" i="11"/>
  <c r="M3824" i="11"/>
  <c r="M3825" i="11"/>
  <c r="M3826" i="11"/>
  <c r="M3827" i="11"/>
  <c r="M3828" i="11"/>
  <c r="M3829" i="11"/>
  <c r="M3830" i="11"/>
  <c r="M3831" i="11"/>
  <c r="M3832" i="11"/>
  <c r="M3833" i="11"/>
  <c r="M3834" i="11"/>
  <c r="M3835" i="11"/>
  <c r="M3836" i="11"/>
  <c r="M3837" i="11"/>
  <c r="M3838" i="11"/>
  <c r="M3839" i="11"/>
  <c r="M3840" i="11"/>
  <c r="M3841" i="11"/>
  <c r="M3842" i="11"/>
  <c r="M3843" i="11"/>
  <c r="M3844" i="11"/>
  <c r="M3845" i="11"/>
  <c r="M3846" i="11"/>
  <c r="M3847" i="11"/>
  <c r="M3848" i="11"/>
  <c r="M3849" i="11"/>
  <c r="M3850" i="11"/>
  <c r="M3851" i="11"/>
  <c r="M3852" i="11"/>
  <c r="M3853" i="11"/>
  <c r="M3854" i="11"/>
  <c r="M3855" i="11"/>
  <c r="M3856" i="11"/>
  <c r="M3857" i="11"/>
  <c r="M3858" i="11"/>
  <c r="M3859" i="11"/>
  <c r="M3860" i="11"/>
  <c r="M3861" i="11"/>
  <c r="M3862" i="11"/>
  <c r="M3863" i="11"/>
  <c r="M3864" i="11"/>
  <c r="M3865" i="11"/>
  <c r="M3866" i="11"/>
  <c r="M3867" i="11"/>
  <c r="M3868" i="11"/>
  <c r="M3869" i="11"/>
  <c r="M3870" i="11"/>
  <c r="M3871" i="11"/>
  <c r="M3872" i="11"/>
  <c r="M3873" i="11"/>
  <c r="M3874" i="11"/>
  <c r="M3875" i="11"/>
  <c r="M3876" i="11"/>
  <c r="M3877" i="11"/>
  <c r="M3878" i="11"/>
  <c r="M3879" i="11"/>
  <c r="M3880" i="11"/>
  <c r="M3881" i="11"/>
  <c r="M3882" i="11"/>
  <c r="M3883" i="11"/>
  <c r="M3884" i="11"/>
  <c r="M3885" i="11"/>
  <c r="M3886" i="11"/>
  <c r="M3887" i="11"/>
  <c r="M3888" i="11"/>
  <c r="M3889" i="11"/>
  <c r="M3890" i="11"/>
  <c r="M3891" i="11"/>
  <c r="M3892" i="11"/>
  <c r="M3893" i="11"/>
  <c r="M3894" i="11"/>
  <c r="M3895" i="11"/>
  <c r="M3896" i="11"/>
  <c r="M3897" i="11"/>
  <c r="M3898" i="11"/>
  <c r="M3899" i="11"/>
  <c r="M3900" i="11"/>
  <c r="M3901" i="11"/>
  <c r="M3902" i="11"/>
  <c r="M3903" i="11"/>
  <c r="M3904" i="11"/>
  <c r="M3905" i="11"/>
  <c r="M3906" i="11"/>
  <c r="M3907" i="11"/>
  <c r="M3908" i="11"/>
  <c r="M3909" i="11"/>
  <c r="M3910" i="11"/>
  <c r="M3911" i="11"/>
  <c r="M3912" i="11"/>
  <c r="M3913" i="11"/>
  <c r="M3914" i="11"/>
  <c r="M3915" i="11"/>
  <c r="M3916" i="11"/>
  <c r="M3917" i="11"/>
  <c r="M3918" i="11"/>
  <c r="M3919" i="11"/>
  <c r="M3920" i="11"/>
  <c r="M3921" i="11"/>
  <c r="M3922" i="11"/>
  <c r="M3923" i="11"/>
  <c r="M3924" i="11"/>
  <c r="M3925" i="11"/>
  <c r="M3926" i="11"/>
  <c r="M3927" i="11"/>
  <c r="M3928" i="11"/>
  <c r="M3929" i="11"/>
  <c r="M3930" i="11"/>
  <c r="M3931" i="11"/>
  <c r="M3932" i="11"/>
  <c r="M3933" i="11"/>
  <c r="M3934" i="11"/>
  <c r="M3935" i="11"/>
  <c r="M3936" i="11"/>
  <c r="M3937" i="11"/>
  <c r="M3938" i="11"/>
  <c r="M3939" i="11"/>
  <c r="M3940" i="11"/>
  <c r="M3941" i="11"/>
  <c r="M3942" i="11"/>
  <c r="M3943" i="11"/>
  <c r="M3944" i="11"/>
  <c r="M3945" i="11"/>
  <c r="M3946" i="11"/>
  <c r="M3947" i="11"/>
  <c r="M3948" i="11"/>
  <c r="M3949" i="11"/>
  <c r="M3950" i="11"/>
  <c r="M3951" i="11"/>
  <c r="M3952" i="11"/>
  <c r="M3953" i="11"/>
  <c r="M3954" i="11"/>
  <c r="M3955" i="11"/>
  <c r="M3956" i="11"/>
  <c r="M3957" i="11"/>
  <c r="M3958" i="11"/>
  <c r="M3959" i="11"/>
  <c r="M3960" i="11"/>
  <c r="M3961" i="11"/>
  <c r="M3962" i="11"/>
  <c r="M3963" i="11"/>
  <c r="M3964" i="11"/>
  <c r="M3965" i="11"/>
  <c r="M3966" i="11"/>
  <c r="M3967" i="11"/>
  <c r="M3968" i="11"/>
  <c r="M3969" i="11"/>
  <c r="M3970" i="11"/>
  <c r="M3971" i="11"/>
  <c r="M3972" i="11"/>
  <c r="M3973" i="11"/>
  <c r="M3974" i="11"/>
  <c r="M3975" i="11"/>
  <c r="M3976" i="11"/>
  <c r="M3977" i="11"/>
  <c r="M3978" i="11"/>
  <c r="M3979" i="11"/>
  <c r="M3980" i="11"/>
  <c r="M3981" i="11"/>
  <c r="M3982" i="11"/>
  <c r="M3983" i="11"/>
  <c r="M3984" i="11"/>
  <c r="M3985" i="11"/>
  <c r="M3986" i="11"/>
  <c r="M3987" i="11"/>
  <c r="M3988" i="11"/>
  <c r="M3989" i="11"/>
  <c r="M3990" i="11"/>
  <c r="M3991" i="11"/>
  <c r="M3992" i="11"/>
  <c r="M3993" i="11"/>
  <c r="M3994" i="11"/>
  <c r="M3995" i="11"/>
  <c r="M3996" i="11"/>
  <c r="M3997" i="11"/>
  <c r="M3998" i="11"/>
  <c r="M3999" i="11"/>
  <c r="M4000" i="11"/>
  <c r="M4001" i="11"/>
  <c r="M4002" i="11"/>
  <c r="M4003" i="11"/>
  <c r="M4004" i="11"/>
  <c r="M4005" i="11"/>
  <c r="M4006" i="11"/>
  <c r="M4007" i="11"/>
  <c r="M4008" i="11"/>
  <c r="M4009" i="11"/>
  <c r="M4010" i="11"/>
  <c r="M4011" i="11"/>
  <c r="M4012" i="11"/>
  <c r="M4013" i="11"/>
  <c r="M4014" i="11"/>
  <c r="M4015" i="11"/>
  <c r="M4016" i="11"/>
  <c r="M4017" i="11"/>
  <c r="M4018" i="11"/>
  <c r="M4019" i="11"/>
  <c r="M4020" i="11"/>
  <c r="M4021" i="11"/>
  <c r="M4022" i="11"/>
  <c r="M4023" i="11"/>
  <c r="M4024" i="11"/>
  <c r="M4025" i="11"/>
  <c r="M4026" i="11"/>
  <c r="M4027" i="11"/>
  <c r="M4028" i="11"/>
  <c r="M4029" i="11"/>
  <c r="M4030" i="11"/>
  <c r="M4031" i="11"/>
  <c r="M4032" i="11"/>
  <c r="M4033" i="11"/>
  <c r="M4034" i="11"/>
  <c r="M4035" i="11"/>
  <c r="M4036" i="11"/>
  <c r="M4037" i="11"/>
  <c r="M4038" i="11"/>
  <c r="M4039" i="11"/>
  <c r="M4040" i="11"/>
  <c r="M4041" i="11"/>
  <c r="M4042" i="11"/>
  <c r="M4043" i="11"/>
  <c r="M4044" i="11"/>
  <c r="M4045" i="11"/>
  <c r="M4046" i="11"/>
  <c r="M4047" i="11"/>
  <c r="M4048" i="11"/>
  <c r="M4049" i="11"/>
  <c r="M4050" i="11"/>
  <c r="M4051" i="11"/>
  <c r="M4052" i="11"/>
  <c r="M4053" i="11"/>
  <c r="M4054" i="11"/>
  <c r="M4055" i="11"/>
  <c r="M4056" i="11"/>
  <c r="M4057" i="11"/>
  <c r="M4058" i="11"/>
  <c r="M4059" i="11"/>
  <c r="M4060" i="11"/>
  <c r="M4061" i="11"/>
  <c r="M4062" i="11"/>
  <c r="M4063" i="11"/>
  <c r="M4064" i="11"/>
  <c r="M4065" i="11"/>
  <c r="M4066" i="11"/>
  <c r="M4067" i="11"/>
  <c r="M4068" i="11"/>
  <c r="M4069" i="11"/>
  <c r="M4070" i="11"/>
  <c r="M4071" i="11"/>
  <c r="M4072" i="11"/>
  <c r="M4073" i="11"/>
  <c r="M4074" i="11"/>
  <c r="M4075" i="11"/>
  <c r="M4076" i="11"/>
  <c r="M4077" i="11"/>
  <c r="M4078" i="11"/>
  <c r="M4079" i="11"/>
  <c r="M4080" i="11"/>
  <c r="M4081" i="11"/>
  <c r="M4082" i="11"/>
  <c r="M4083" i="11"/>
  <c r="M4084" i="11"/>
  <c r="M4085" i="11"/>
  <c r="M4086" i="11"/>
  <c r="M4087" i="11"/>
  <c r="M4088" i="11"/>
  <c r="M4089" i="11"/>
  <c r="M4090" i="11"/>
  <c r="M4091" i="11"/>
  <c r="M4092" i="11"/>
  <c r="M4093" i="11"/>
  <c r="M4094" i="11"/>
  <c r="M4095" i="11"/>
  <c r="M4096" i="11"/>
  <c r="M4097" i="11"/>
  <c r="M4098" i="11"/>
  <c r="M4099" i="11"/>
  <c r="M4100" i="11"/>
  <c r="M4101" i="11"/>
  <c r="M4102" i="11"/>
  <c r="M4103" i="11"/>
  <c r="M4104" i="11"/>
  <c r="M4105" i="11"/>
  <c r="M4106" i="11"/>
  <c r="M4107" i="11"/>
  <c r="M4108" i="11"/>
  <c r="M4109" i="11"/>
  <c r="M4110" i="11"/>
  <c r="M4111" i="11"/>
  <c r="M4112" i="11"/>
  <c r="M4113" i="11"/>
  <c r="M4114" i="11"/>
  <c r="M4115" i="11"/>
  <c r="M4116" i="11"/>
  <c r="M4117" i="11"/>
  <c r="M4118" i="11"/>
  <c r="M4119" i="11"/>
  <c r="M4120" i="11"/>
  <c r="M4121" i="11"/>
  <c r="M4122" i="11"/>
  <c r="M4123" i="11"/>
  <c r="M4124" i="11"/>
  <c r="M4125" i="11"/>
  <c r="M4126" i="11"/>
  <c r="M4127" i="11"/>
  <c r="M4128" i="11"/>
  <c r="M4129" i="11"/>
  <c r="M4130" i="11"/>
  <c r="M4131" i="11"/>
  <c r="M4132" i="11"/>
  <c r="M4133" i="11"/>
  <c r="M4134" i="11"/>
  <c r="M4135" i="11"/>
  <c r="M4136" i="11"/>
  <c r="M4137" i="11"/>
  <c r="M4138" i="11"/>
  <c r="M4139" i="11"/>
  <c r="M4140" i="11"/>
  <c r="M4141" i="11"/>
  <c r="M4142" i="11"/>
  <c r="M4143" i="11"/>
  <c r="M4144" i="11"/>
  <c r="M4145" i="11"/>
  <c r="M4146" i="11"/>
  <c r="M4147" i="11"/>
  <c r="M4148" i="11"/>
  <c r="M4149" i="11"/>
  <c r="M4150" i="11"/>
  <c r="M4151" i="11"/>
  <c r="M4152" i="11"/>
  <c r="M4153" i="11"/>
  <c r="M4154" i="11"/>
  <c r="M4155" i="11"/>
  <c r="M4156" i="11"/>
  <c r="M4157" i="11"/>
  <c r="M4158" i="11"/>
  <c r="M4159" i="11"/>
  <c r="M4160" i="11"/>
  <c r="M4161" i="11"/>
  <c r="M4162" i="11"/>
  <c r="M4163" i="11"/>
  <c r="M4164" i="11"/>
  <c r="M4165" i="11"/>
  <c r="M4166" i="11"/>
  <c r="M4167" i="11"/>
  <c r="M4168" i="11"/>
  <c r="M4169" i="11"/>
  <c r="M4170" i="11"/>
  <c r="M4171" i="11"/>
  <c r="M4172" i="11"/>
  <c r="M4173" i="11"/>
  <c r="M4174" i="11"/>
  <c r="M4175" i="11"/>
  <c r="M4176" i="11"/>
  <c r="M4177" i="11"/>
  <c r="M4178" i="11"/>
  <c r="M4179" i="11"/>
  <c r="M4180" i="11"/>
  <c r="M4181" i="11"/>
  <c r="M4182" i="11"/>
  <c r="M4183" i="11"/>
  <c r="M4184" i="11"/>
  <c r="M4185" i="11"/>
  <c r="M4186" i="11"/>
  <c r="M4187" i="11"/>
  <c r="M4188" i="11"/>
  <c r="M4189" i="11"/>
  <c r="M4190" i="11"/>
  <c r="M4191" i="11"/>
  <c r="M4192" i="11"/>
  <c r="M4193" i="11"/>
  <c r="M4194" i="11"/>
  <c r="M4195" i="11"/>
  <c r="M4196" i="11"/>
  <c r="M4197" i="11"/>
  <c r="M4198" i="11"/>
  <c r="M4199" i="11"/>
  <c r="M4200" i="11"/>
  <c r="M4201" i="11"/>
  <c r="M4202" i="11"/>
  <c r="M4203" i="11"/>
  <c r="M4204" i="11"/>
  <c r="M4205" i="11"/>
  <c r="M4206" i="11"/>
  <c r="M4207" i="11"/>
  <c r="M4208" i="11"/>
  <c r="M4209" i="11"/>
  <c r="M4210" i="11"/>
  <c r="M4211" i="11"/>
  <c r="M4212" i="11"/>
  <c r="M4213" i="11"/>
  <c r="M4214" i="11"/>
  <c r="M4215" i="11"/>
  <c r="M4216" i="11"/>
  <c r="M4217" i="11"/>
  <c r="M4218" i="11"/>
  <c r="M4219" i="11"/>
  <c r="M4220" i="11"/>
  <c r="M4221" i="11"/>
  <c r="M4222" i="11"/>
  <c r="M4223" i="11"/>
  <c r="M4224" i="11"/>
  <c r="M4225" i="11"/>
  <c r="M4226" i="11"/>
  <c r="M4227" i="11"/>
  <c r="M4228" i="11"/>
  <c r="M4229" i="11"/>
  <c r="M4230" i="11"/>
  <c r="M4231" i="11"/>
  <c r="M4232" i="11"/>
  <c r="M4233" i="11"/>
  <c r="M4234" i="11"/>
  <c r="M4235" i="11"/>
  <c r="M4236" i="11"/>
  <c r="M4237" i="11"/>
  <c r="M4238" i="11"/>
  <c r="M4239" i="11"/>
  <c r="M4240" i="11"/>
  <c r="M4241" i="11"/>
  <c r="M4242" i="11"/>
  <c r="M4243" i="11"/>
  <c r="M4244" i="11"/>
  <c r="M4245" i="11"/>
  <c r="M4246" i="11"/>
  <c r="M4247" i="11"/>
  <c r="M4248" i="11"/>
  <c r="M4249" i="11"/>
  <c r="M4250" i="11"/>
  <c r="M4251" i="11"/>
  <c r="M4252" i="11"/>
  <c r="M4253" i="11"/>
  <c r="M4254" i="11"/>
  <c r="M4255" i="11"/>
  <c r="M4256" i="11"/>
  <c r="M4257" i="11"/>
  <c r="M4258" i="11"/>
  <c r="M4259" i="11"/>
  <c r="M4260" i="11"/>
  <c r="M4261" i="11"/>
  <c r="M4262" i="11"/>
  <c r="M4263" i="11"/>
  <c r="M4264" i="11"/>
  <c r="M4265" i="11"/>
  <c r="M4266" i="11"/>
  <c r="M4267" i="11"/>
  <c r="M4268" i="11"/>
  <c r="M4269" i="11"/>
  <c r="M4270" i="11"/>
  <c r="M4271" i="11"/>
  <c r="M4272" i="11"/>
  <c r="M4273" i="11"/>
  <c r="M4274" i="11"/>
  <c r="M4275" i="11"/>
  <c r="M4276" i="11"/>
  <c r="M4277" i="11"/>
  <c r="M4278" i="11"/>
  <c r="M4279" i="11"/>
  <c r="M4280" i="11"/>
  <c r="M4281" i="11"/>
  <c r="M4282" i="11"/>
  <c r="M4283" i="11"/>
  <c r="M4284" i="11"/>
  <c r="M4285" i="11"/>
  <c r="M4286" i="11"/>
  <c r="M4287" i="11"/>
  <c r="M4288" i="11"/>
  <c r="M4289" i="11"/>
  <c r="M4290" i="11"/>
  <c r="M4291" i="11"/>
  <c r="M4292" i="11"/>
  <c r="M4293" i="11"/>
  <c r="M4294" i="11"/>
  <c r="M4295" i="11"/>
  <c r="M4296" i="11"/>
  <c r="M4297" i="11"/>
  <c r="M4298" i="11"/>
  <c r="M4299" i="11"/>
  <c r="M4300" i="11"/>
  <c r="M4301" i="11"/>
  <c r="M4302" i="11"/>
  <c r="M4303" i="11"/>
  <c r="M4304" i="11"/>
  <c r="M4305" i="11"/>
  <c r="M4306" i="11"/>
  <c r="M4307" i="11"/>
  <c r="M4308" i="11"/>
  <c r="M4309" i="11"/>
  <c r="M4310" i="11"/>
  <c r="M4311" i="11"/>
  <c r="M4312" i="11"/>
  <c r="M4313" i="11"/>
  <c r="M4314" i="11"/>
  <c r="M4315" i="11"/>
  <c r="M4316" i="11"/>
  <c r="M4317" i="11"/>
  <c r="M4318" i="11"/>
  <c r="M4319" i="11"/>
  <c r="M4320" i="11"/>
  <c r="M4321" i="11"/>
  <c r="M4322" i="11"/>
  <c r="M4323" i="11"/>
  <c r="M4324" i="11"/>
  <c r="M4325" i="11"/>
  <c r="M4326" i="11"/>
  <c r="M4327" i="11"/>
  <c r="M4328" i="11"/>
  <c r="M4329" i="11"/>
  <c r="M4330" i="11"/>
  <c r="M4331" i="11"/>
  <c r="M4332" i="11"/>
  <c r="M4333" i="11"/>
  <c r="M4334" i="11"/>
  <c r="M4335" i="11"/>
  <c r="M4336" i="11"/>
  <c r="M4337" i="11"/>
  <c r="M4338" i="11"/>
  <c r="M4339" i="11"/>
  <c r="M4340" i="11"/>
  <c r="M4341" i="11"/>
  <c r="M4342" i="11"/>
  <c r="M4343" i="11"/>
  <c r="M4344" i="11"/>
  <c r="M4345" i="11"/>
  <c r="M4346" i="11"/>
  <c r="M4347" i="11"/>
  <c r="M4348" i="11"/>
  <c r="M4349" i="11"/>
  <c r="M4350" i="11"/>
  <c r="M4351" i="11"/>
  <c r="M4352" i="11"/>
  <c r="M4353" i="11"/>
  <c r="M4354" i="11"/>
  <c r="M4355" i="11"/>
  <c r="M4356" i="11"/>
  <c r="M4357" i="11"/>
  <c r="M4358" i="11"/>
  <c r="M4359" i="11"/>
  <c r="M4360" i="11"/>
  <c r="M4361" i="11"/>
  <c r="M4362" i="11"/>
  <c r="M4363" i="11"/>
  <c r="M4364" i="11"/>
  <c r="M4365" i="11"/>
  <c r="M4366" i="11"/>
  <c r="M4367" i="11"/>
  <c r="M4368" i="11"/>
  <c r="M4369" i="11"/>
  <c r="M4370" i="11"/>
  <c r="M4371" i="11"/>
  <c r="M4372" i="11"/>
  <c r="M4373" i="11"/>
  <c r="M4374" i="11"/>
  <c r="M4375" i="11"/>
  <c r="M4376" i="11"/>
  <c r="M4377" i="11"/>
  <c r="M4378" i="11"/>
  <c r="M4379" i="11"/>
  <c r="M4380" i="11"/>
  <c r="M4381" i="11"/>
  <c r="M4382" i="11"/>
  <c r="M4383" i="11"/>
  <c r="M4384" i="11"/>
  <c r="M4385" i="11"/>
  <c r="M4386" i="11"/>
  <c r="M4387" i="11"/>
  <c r="M4388" i="11"/>
  <c r="M4389" i="11"/>
  <c r="M4390" i="11"/>
  <c r="M4391" i="11"/>
  <c r="M4392" i="11"/>
  <c r="M4393" i="11"/>
  <c r="M4394" i="11"/>
  <c r="M4395" i="11"/>
  <c r="M4396" i="11"/>
  <c r="M4397" i="11"/>
  <c r="M4398" i="11"/>
  <c r="M4399" i="11"/>
  <c r="M4400" i="11"/>
  <c r="M4401" i="11"/>
  <c r="M4402" i="11"/>
  <c r="M4403" i="11"/>
  <c r="M4404" i="11"/>
  <c r="M4405" i="11"/>
  <c r="M4406" i="11"/>
  <c r="M4407" i="11"/>
  <c r="M4408" i="11"/>
  <c r="M4409" i="11"/>
  <c r="M4410" i="11"/>
  <c r="M4411" i="11"/>
  <c r="M4412" i="11"/>
  <c r="M4413" i="11"/>
  <c r="M4414" i="11"/>
  <c r="M4415" i="11"/>
  <c r="M4416" i="11"/>
  <c r="M4417" i="11"/>
  <c r="M4418" i="11"/>
  <c r="M4419" i="11"/>
  <c r="M4420" i="11"/>
  <c r="M4421" i="11"/>
  <c r="M4422" i="11"/>
  <c r="M4423" i="11"/>
  <c r="M4424" i="11"/>
  <c r="M4425" i="11"/>
  <c r="M4426" i="11"/>
  <c r="M4427" i="11"/>
  <c r="M4428" i="11"/>
  <c r="M4429" i="11"/>
  <c r="M4430" i="11"/>
  <c r="M4431" i="11"/>
  <c r="M4432" i="11"/>
  <c r="M4433" i="11"/>
  <c r="M4434" i="11"/>
  <c r="M4435" i="11"/>
  <c r="M4436" i="11"/>
  <c r="M4437" i="11"/>
  <c r="M4438" i="11"/>
  <c r="M4439" i="11"/>
  <c r="M4440" i="11"/>
  <c r="M4441" i="11"/>
  <c r="M4442" i="11"/>
  <c r="M4443" i="11"/>
  <c r="M4444" i="11"/>
  <c r="M4445" i="11"/>
  <c r="M4446" i="11"/>
  <c r="M4447" i="11"/>
  <c r="M4448" i="11"/>
  <c r="M4449" i="11"/>
  <c r="M4450" i="11"/>
  <c r="M4451" i="11"/>
  <c r="M4452" i="11"/>
  <c r="M4453" i="11"/>
  <c r="M4454" i="11"/>
  <c r="M4455" i="11"/>
  <c r="M4456" i="11"/>
  <c r="M4457" i="11"/>
  <c r="M4458" i="11"/>
  <c r="M4459" i="11"/>
  <c r="M4460" i="11"/>
  <c r="M4461" i="11"/>
  <c r="M4462" i="11"/>
  <c r="M4463" i="11"/>
  <c r="M4464" i="11"/>
  <c r="M4465" i="11"/>
  <c r="M4466" i="11"/>
  <c r="M4467" i="11"/>
  <c r="M4468" i="11"/>
  <c r="M4469" i="11"/>
  <c r="M4470" i="11"/>
  <c r="M4471" i="11"/>
  <c r="M4472" i="11"/>
  <c r="M4473" i="11"/>
  <c r="M4474" i="11"/>
  <c r="M4475" i="11"/>
  <c r="M4476" i="11"/>
  <c r="M4477" i="11"/>
  <c r="M4478" i="11"/>
  <c r="M4479" i="11"/>
  <c r="M4480" i="11"/>
  <c r="M4481" i="11"/>
  <c r="M4482" i="11"/>
  <c r="M4483" i="11"/>
  <c r="M4484" i="11"/>
  <c r="M4485" i="11"/>
  <c r="M4486" i="11"/>
  <c r="M4487" i="11"/>
  <c r="M4488" i="11"/>
  <c r="M4489" i="11"/>
  <c r="M4490" i="11"/>
  <c r="M4491" i="11"/>
  <c r="M4492" i="11"/>
  <c r="M4493" i="11"/>
  <c r="M4494" i="11"/>
  <c r="M4495" i="11"/>
  <c r="M4496" i="11"/>
  <c r="M4497" i="11"/>
  <c r="M4498" i="11"/>
  <c r="M4499" i="11"/>
  <c r="M4500" i="11"/>
  <c r="M4501" i="11"/>
  <c r="M4502" i="11"/>
  <c r="M4503" i="11"/>
  <c r="M4504" i="11"/>
  <c r="M4505" i="11"/>
  <c r="M4506" i="11"/>
  <c r="M4507" i="11"/>
  <c r="M4508" i="11"/>
  <c r="M4509" i="11"/>
  <c r="M4510" i="11"/>
  <c r="M4511" i="11"/>
  <c r="M4512" i="11"/>
  <c r="M4513" i="11"/>
  <c r="M4514" i="11"/>
  <c r="M4515" i="11"/>
  <c r="M4516" i="11"/>
  <c r="M4517" i="11"/>
  <c r="M4518" i="11"/>
  <c r="M4519" i="11"/>
  <c r="M4520" i="11"/>
  <c r="M4521" i="11"/>
  <c r="M4522" i="11"/>
  <c r="M4523" i="11"/>
  <c r="M4524" i="11"/>
  <c r="M4525" i="11"/>
  <c r="M4526" i="11"/>
  <c r="M4527" i="11"/>
  <c r="M4528" i="11"/>
  <c r="M4529" i="11"/>
  <c r="M4530" i="11"/>
  <c r="M4531" i="11"/>
  <c r="M4532" i="11"/>
  <c r="M4533" i="11"/>
  <c r="M4534" i="11"/>
  <c r="M4535" i="11"/>
  <c r="M4536" i="11"/>
  <c r="M4537" i="11"/>
  <c r="M4538" i="11"/>
  <c r="M4539" i="11"/>
  <c r="M4540" i="11"/>
  <c r="M4541" i="11"/>
  <c r="M4542" i="11"/>
  <c r="M4543" i="11"/>
  <c r="M4544" i="11"/>
  <c r="M4545" i="11"/>
  <c r="M4546" i="11"/>
  <c r="M4547" i="11"/>
  <c r="M4548" i="11"/>
  <c r="M4549" i="11"/>
  <c r="M4550" i="11"/>
  <c r="M4551" i="11"/>
  <c r="M4552" i="11"/>
  <c r="M4553" i="11"/>
  <c r="M4554" i="11"/>
  <c r="M4555" i="11"/>
  <c r="M4556" i="11"/>
  <c r="M4557" i="11"/>
  <c r="M4558" i="11"/>
  <c r="M4559" i="11"/>
  <c r="M4560" i="11"/>
  <c r="M4561" i="11"/>
  <c r="M4562" i="11"/>
  <c r="M4563" i="11"/>
  <c r="M4564" i="11"/>
  <c r="M4565" i="11"/>
  <c r="M4566" i="11"/>
  <c r="M4567" i="11"/>
  <c r="M4568" i="11"/>
  <c r="M4569" i="11"/>
  <c r="M4570" i="11"/>
  <c r="M4571" i="11"/>
  <c r="M4572" i="11"/>
  <c r="M4573" i="11"/>
  <c r="M4574" i="11"/>
  <c r="M4575" i="11"/>
  <c r="M4576" i="11"/>
  <c r="M4577" i="11"/>
  <c r="M4578" i="11"/>
  <c r="M4579" i="11"/>
  <c r="M4580" i="11"/>
  <c r="M4581" i="11"/>
  <c r="M4582" i="11"/>
  <c r="M4583" i="11"/>
  <c r="M4584" i="11"/>
  <c r="M4585" i="11"/>
  <c r="M4586" i="11"/>
  <c r="M4587" i="11"/>
  <c r="M4588" i="11"/>
  <c r="M4589" i="11"/>
  <c r="M4590" i="11"/>
  <c r="M4591" i="11"/>
  <c r="M4592" i="11"/>
  <c r="M4593" i="11"/>
  <c r="M4594" i="11"/>
  <c r="M4595" i="11"/>
  <c r="M4596" i="11"/>
  <c r="M4597" i="11"/>
  <c r="M4598" i="11"/>
  <c r="M4599" i="11"/>
  <c r="M4600" i="11"/>
  <c r="M4601" i="11"/>
  <c r="M4602" i="11"/>
  <c r="M4603" i="11"/>
  <c r="M4604" i="11"/>
  <c r="M4605" i="11"/>
  <c r="M4606" i="11"/>
  <c r="M4607" i="11"/>
  <c r="M4608" i="11"/>
  <c r="M4609" i="11"/>
  <c r="M4610" i="11"/>
  <c r="M4611" i="11"/>
  <c r="M4612" i="11"/>
  <c r="M4613" i="11"/>
  <c r="M4614" i="11"/>
  <c r="M4615" i="11"/>
  <c r="M4616" i="11"/>
  <c r="M4617" i="11"/>
  <c r="M4618" i="11"/>
  <c r="M4619" i="11"/>
  <c r="M4620" i="11"/>
  <c r="M4621" i="11"/>
  <c r="M4622" i="11"/>
  <c r="M4623" i="11"/>
  <c r="M4624" i="11"/>
  <c r="M4625" i="11"/>
  <c r="M4626" i="11"/>
  <c r="M4627" i="11"/>
  <c r="M4628" i="11"/>
  <c r="M4629" i="11"/>
  <c r="M4630" i="11"/>
  <c r="M4631" i="11"/>
  <c r="M4632" i="11"/>
  <c r="M4633" i="11"/>
  <c r="M4634" i="11"/>
  <c r="M4635" i="11"/>
  <c r="M4636" i="11"/>
  <c r="M4637" i="11"/>
  <c r="M4638" i="11"/>
  <c r="M4639" i="11"/>
  <c r="M4640" i="11"/>
  <c r="M4641" i="11"/>
  <c r="M4642" i="11"/>
  <c r="M4643" i="11"/>
  <c r="M4644" i="11"/>
  <c r="M4645" i="11"/>
  <c r="M4646" i="11"/>
  <c r="M4647" i="11"/>
  <c r="M4648" i="11"/>
  <c r="M4649" i="11"/>
  <c r="M4650" i="11"/>
  <c r="M4651" i="11"/>
  <c r="M4652" i="11"/>
  <c r="M4653" i="11"/>
  <c r="M4654" i="11"/>
  <c r="M4655" i="11"/>
  <c r="M4656" i="11"/>
  <c r="M4657" i="11"/>
  <c r="M4658" i="11"/>
  <c r="M4659" i="11"/>
  <c r="M4660" i="11"/>
  <c r="M4661" i="11"/>
  <c r="M4662" i="11"/>
  <c r="M4663" i="11"/>
  <c r="M4664" i="11"/>
  <c r="M4665" i="11"/>
  <c r="M4666" i="11"/>
  <c r="M4667" i="11"/>
  <c r="M4668" i="11"/>
  <c r="M4669" i="11"/>
  <c r="M4670" i="11"/>
  <c r="M4671" i="11"/>
  <c r="M4672" i="11"/>
  <c r="M4673" i="11"/>
  <c r="M4674" i="11"/>
  <c r="M4675" i="11"/>
  <c r="M4676" i="11"/>
  <c r="M4677" i="11"/>
  <c r="M4678" i="11"/>
  <c r="M4679" i="11"/>
  <c r="M4680" i="11"/>
  <c r="M4681" i="11"/>
  <c r="M4682" i="11"/>
  <c r="M4683" i="11"/>
  <c r="M4684" i="11"/>
  <c r="M4685" i="11"/>
  <c r="M4686" i="11"/>
  <c r="M4687" i="11"/>
  <c r="M4688" i="11"/>
  <c r="M4689" i="11"/>
  <c r="M4690" i="11"/>
  <c r="M4691" i="11"/>
  <c r="M4692" i="11"/>
  <c r="M4693" i="11"/>
  <c r="M4694" i="11"/>
  <c r="M4695" i="11"/>
  <c r="M4696" i="11"/>
  <c r="M4697" i="11"/>
  <c r="M4698" i="11"/>
  <c r="M4699" i="11"/>
  <c r="M4700" i="11"/>
  <c r="M4701" i="11"/>
  <c r="M4702" i="11"/>
  <c r="M4703" i="11"/>
  <c r="M4704" i="11"/>
  <c r="M4705" i="11"/>
  <c r="M4706" i="11"/>
  <c r="M4707" i="11"/>
  <c r="M4708" i="11"/>
  <c r="M4709" i="11"/>
  <c r="M4710" i="11"/>
  <c r="M4711" i="11"/>
  <c r="M4712" i="11"/>
  <c r="M4713" i="11"/>
  <c r="M4714" i="11"/>
  <c r="M4715" i="11"/>
  <c r="M4716" i="11"/>
  <c r="M4717" i="11"/>
  <c r="M4718" i="11"/>
  <c r="M4719" i="11"/>
  <c r="M4720" i="11"/>
  <c r="M4721" i="11"/>
  <c r="M4722" i="11"/>
  <c r="M4723" i="11"/>
  <c r="M4724" i="11"/>
  <c r="M4725" i="11"/>
  <c r="M4726" i="11"/>
  <c r="M4727" i="11"/>
  <c r="M4728" i="11"/>
  <c r="M4729" i="11"/>
  <c r="M4730" i="11"/>
  <c r="M4731" i="11"/>
  <c r="M4732" i="11"/>
  <c r="M4733" i="11"/>
  <c r="M4734" i="11"/>
  <c r="M4735" i="11"/>
  <c r="M4736" i="11"/>
  <c r="M4737" i="11"/>
  <c r="M4738" i="11"/>
  <c r="M4739" i="11"/>
  <c r="M4740" i="11"/>
  <c r="M4741" i="11"/>
  <c r="M4742" i="11"/>
  <c r="M4743" i="11"/>
  <c r="M4744" i="11"/>
  <c r="M4745" i="11"/>
  <c r="M4746" i="11"/>
  <c r="M4747" i="11"/>
  <c r="M4748" i="11"/>
  <c r="M4749" i="11"/>
  <c r="M4750" i="11"/>
  <c r="M4751" i="11"/>
  <c r="M4752" i="11"/>
  <c r="M4753" i="11"/>
  <c r="M4754" i="11"/>
  <c r="M4755" i="11"/>
  <c r="M4756" i="11"/>
  <c r="M4757" i="11"/>
  <c r="M4758" i="11"/>
  <c r="M4759" i="11"/>
  <c r="M4760" i="11"/>
  <c r="M4761" i="11"/>
  <c r="M4762" i="11"/>
  <c r="M4763" i="11"/>
  <c r="M4764" i="11"/>
  <c r="M4765" i="11"/>
  <c r="M4766" i="11"/>
  <c r="M4767" i="11"/>
  <c r="M4768" i="11"/>
  <c r="M4769" i="11"/>
  <c r="M4770" i="11"/>
  <c r="M4771" i="11"/>
  <c r="M4772" i="11"/>
  <c r="M4773" i="11"/>
  <c r="M4774" i="11"/>
  <c r="M4775" i="11"/>
  <c r="M4776" i="11"/>
  <c r="M4777" i="11"/>
  <c r="M4778" i="11"/>
  <c r="M4779" i="11"/>
  <c r="M4780" i="11"/>
  <c r="M4781" i="11"/>
  <c r="M4782" i="11"/>
  <c r="M4783" i="11"/>
  <c r="M4784" i="11"/>
  <c r="M4785" i="11"/>
  <c r="M4786" i="11"/>
  <c r="M4787" i="11"/>
  <c r="M4788" i="11"/>
  <c r="M4789" i="11"/>
  <c r="M4790" i="11"/>
  <c r="M4791" i="11"/>
  <c r="M4792" i="11"/>
  <c r="M4793" i="11"/>
  <c r="M4794" i="11"/>
  <c r="M4795" i="11"/>
  <c r="M4796" i="11"/>
  <c r="M4797" i="11"/>
  <c r="M4798" i="11"/>
  <c r="M4799" i="11"/>
  <c r="M4800" i="11"/>
  <c r="M4801" i="11"/>
  <c r="M4802" i="11"/>
  <c r="M4803" i="11"/>
  <c r="M4804" i="11"/>
  <c r="M4805" i="11"/>
  <c r="M4806" i="11"/>
  <c r="M4807" i="11"/>
  <c r="M4808" i="11"/>
  <c r="M4809" i="11"/>
  <c r="M4810" i="11"/>
  <c r="M4811" i="11"/>
  <c r="M4812" i="11"/>
  <c r="M4813" i="11"/>
  <c r="M4814" i="11"/>
  <c r="M4815" i="11"/>
  <c r="M4816" i="11"/>
  <c r="M4817" i="11"/>
  <c r="M4818" i="11"/>
  <c r="M4819" i="11"/>
  <c r="M4820" i="11"/>
  <c r="M4821" i="11"/>
  <c r="M4822" i="11"/>
  <c r="M4823" i="11"/>
  <c r="M4824" i="11"/>
  <c r="M4825" i="11"/>
  <c r="M4826" i="11"/>
  <c r="M4827" i="11"/>
  <c r="M4828" i="11"/>
  <c r="M4829" i="11"/>
  <c r="M4830" i="11"/>
  <c r="M4831" i="11"/>
  <c r="M4832" i="11"/>
  <c r="M4833" i="11"/>
  <c r="M4834" i="11"/>
  <c r="M4835" i="11"/>
  <c r="M4836" i="11"/>
  <c r="M4837" i="11"/>
  <c r="M4838" i="11"/>
  <c r="M4839" i="11"/>
  <c r="M4840" i="11"/>
  <c r="M4841" i="11"/>
  <c r="M4842" i="11"/>
  <c r="M4843" i="11"/>
  <c r="M4844" i="11"/>
  <c r="M4845" i="11"/>
  <c r="M4846" i="11"/>
  <c r="M4847" i="11"/>
  <c r="M4848" i="11"/>
  <c r="M4849" i="11"/>
  <c r="M4850" i="11"/>
  <c r="M4851" i="11"/>
  <c r="M4852" i="11"/>
  <c r="M4853" i="11"/>
  <c r="M4854" i="11"/>
  <c r="M4855" i="11"/>
  <c r="M4856" i="11"/>
  <c r="M4857" i="11"/>
  <c r="M4858" i="11"/>
  <c r="M4859" i="11"/>
  <c r="M4860" i="11"/>
  <c r="M4861" i="11"/>
  <c r="M4862" i="11"/>
  <c r="M4863" i="11"/>
  <c r="M4864" i="11"/>
  <c r="M4865" i="11"/>
  <c r="M4866" i="11"/>
  <c r="M4867" i="11"/>
  <c r="M4868" i="11"/>
  <c r="M4869" i="11"/>
  <c r="M4870" i="11"/>
  <c r="M4871" i="11"/>
  <c r="M4872" i="11"/>
  <c r="M4873" i="11"/>
  <c r="M4874" i="11"/>
  <c r="M4875" i="11"/>
  <c r="M4876" i="11"/>
  <c r="M4877" i="11"/>
  <c r="M4878" i="11"/>
  <c r="M4879" i="11"/>
  <c r="M4880" i="11"/>
  <c r="M4881" i="11"/>
  <c r="M4882" i="11"/>
  <c r="M4883" i="11"/>
  <c r="M4884" i="11"/>
  <c r="M4885" i="11"/>
  <c r="M4886" i="11"/>
  <c r="M4887" i="11"/>
  <c r="M4888" i="11"/>
  <c r="M4889" i="11"/>
  <c r="M4890" i="11"/>
  <c r="M4891" i="11"/>
  <c r="M4892" i="11"/>
  <c r="M4893" i="11"/>
  <c r="M4894" i="11"/>
  <c r="M4895" i="11"/>
  <c r="M4896" i="11"/>
  <c r="M4897" i="11"/>
  <c r="M4898" i="11"/>
  <c r="M4899" i="11"/>
  <c r="M4900" i="11"/>
  <c r="M4901" i="11"/>
  <c r="M4902" i="11"/>
  <c r="M4903" i="11"/>
  <c r="M4904" i="11"/>
  <c r="M4905" i="11"/>
  <c r="M4906" i="11"/>
  <c r="M4907" i="11"/>
  <c r="M4908" i="11"/>
  <c r="M4909" i="11"/>
  <c r="M4910" i="11"/>
  <c r="M4911" i="11"/>
  <c r="M4912" i="11"/>
  <c r="M4913" i="11"/>
  <c r="M4914" i="11"/>
  <c r="M4915" i="11"/>
  <c r="M4916" i="11"/>
  <c r="M4917" i="11"/>
  <c r="M4918" i="11"/>
  <c r="M4919" i="11"/>
  <c r="M4920" i="11"/>
  <c r="M4921" i="11"/>
  <c r="M4922" i="11"/>
  <c r="M4923" i="11"/>
  <c r="M4924" i="11"/>
  <c r="M4925" i="11"/>
  <c r="M4926" i="11"/>
  <c r="M4927" i="11"/>
  <c r="M4928" i="11"/>
  <c r="M4929" i="11"/>
  <c r="M4930" i="11"/>
  <c r="M4931" i="11"/>
  <c r="M4932" i="11"/>
  <c r="M4933" i="11"/>
  <c r="M4934" i="11"/>
  <c r="M4935" i="11"/>
  <c r="M4936" i="11"/>
  <c r="M4937" i="11"/>
  <c r="M4938" i="11"/>
  <c r="M4939" i="11"/>
  <c r="M4940" i="11"/>
  <c r="M4941" i="11"/>
  <c r="M4942" i="11"/>
  <c r="M4943" i="11"/>
  <c r="M4944" i="11"/>
  <c r="M4945" i="11"/>
  <c r="M4946" i="11"/>
  <c r="M4947" i="11"/>
  <c r="M4948" i="11"/>
  <c r="M4949" i="11"/>
  <c r="M4950" i="11"/>
  <c r="M4951" i="11"/>
  <c r="M4952" i="11"/>
  <c r="M4953" i="11"/>
  <c r="M4954" i="11"/>
  <c r="M4955" i="11"/>
  <c r="M4956" i="11"/>
  <c r="M4957" i="11"/>
  <c r="M4958" i="11"/>
  <c r="M4959" i="11"/>
  <c r="M4960" i="11"/>
  <c r="M4961" i="11"/>
  <c r="M4962" i="11"/>
  <c r="M4963" i="11"/>
  <c r="M4964" i="11"/>
  <c r="M4965" i="11"/>
  <c r="M4966" i="11"/>
  <c r="M4967" i="11"/>
  <c r="M4968" i="11"/>
  <c r="M4969" i="11"/>
  <c r="M4970" i="11"/>
  <c r="M4971" i="11"/>
  <c r="M4972" i="11"/>
  <c r="M4973" i="11"/>
  <c r="M4974" i="11"/>
  <c r="M4975" i="11"/>
  <c r="M4976" i="11"/>
  <c r="M4977" i="11"/>
  <c r="M4978" i="11"/>
  <c r="M4979" i="11"/>
  <c r="M4980" i="11"/>
  <c r="M4981" i="11"/>
  <c r="M4982" i="11"/>
  <c r="M4983" i="11"/>
  <c r="M4984" i="11"/>
  <c r="M4985" i="11"/>
  <c r="M4986" i="11"/>
  <c r="M4987" i="11"/>
  <c r="M4988" i="11"/>
  <c r="M4989" i="11"/>
  <c r="M4990" i="11"/>
  <c r="M4991" i="11"/>
  <c r="M4992" i="11"/>
  <c r="M4993" i="11"/>
  <c r="M4994" i="11"/>
  <c r="M4995" i="11"/>
  <c r="M4996" i="11"/>
  <c r="M4997" i="11"/>
  <c r="M4998" i="11"/>
  <c r="M4999" i="11"/>
  <c r="M5000" i="11"/>
  <c r="M5001" i="11"/>
  <c r="M5002" i="11"/>
  <c r="M5003" i="11"/>
  <c r="M5004" i="11"/>
  <c r="M5005" i="11"/>
  <c r="M5006" i="11"/>
  <c r="M5007" i="11"/>
  <c r="M5008" i="11"/>
  <c r="M5009" i="11"/>
  <c r="M5010" i="11"/>
  <c r="M5011" i="11"/>
  <c r="M5012" i="11"/>
  <c r="M5013" i="11"/>
  <c r="M5014" i="11"/>
  <c r="M5015" i="11"/>
  <c r="M5016" i="11"/>
  <c r="M5017" i="11"/>
  <c r="M5018" i="11"/>
  <c r="M5019" i="11"/>
  <c r="M5020" i="11"/>
  <c r="M5021" i="11"/>
  <c r="M5022" i="11"/>
  <c r="M5023" i="11"/>
  <c r="M5024" i="11"/>
  <c r="M5025" i="11"/>
  <c r="M5026" i="11"/>
  <c r="M5027" i="11"/>
  <c r="M5028" i="11"/>
  <c r="M5029" i="11"/>
  <c r="M5030" i="11"/>
  <c r="M5031" i="11"/>
  <c r="M5032" i="11"/>
  <c r="M5033" i="11"/>
  <c r="M5034" i="11"/>
  <c r="M5035" i="11"/>
  <c r="M5036" i="11"/>
  <c r="M5037" i="11"/>
  <c r="M5038" i="11"/>
  <c r="M5039" i="11"/>
  <c r="M5040" i="11"/>
  <c r="M5041" i="11"/>
  <c r="M5042" i="11"/>
  <c r="M5043" i="11"/>
  <c r="M5044" i="11"/>
  <c r="M5045" i="11"/>
  <c r="M5046" i="11"/>
  <c r="M5047" i="11"/>
  <c r="M5048" i="11"/>
  <c r="M5049" i="11"/>
  <c r="M5050" i="11"/>
  <c r="M5051" i="11"/>
  <c r="M5052" i="11"/>
  <c r="M5053" i="11"/>
  <c r="M5054" i="11"/>
  <c r="M5055" i="11"/>
  <c r="M5056" i="11"/>
  <c r="M5057" i="11"/>
  <c r="M5058" i="11"/>
  <c r="M5059" i="11"/>
  <c r="M5060" i="11"/>
  <c r="M5061" i="11"/>
  <c r="M5062" i="11"/>
  <c r="M5063" i="11"/>
  <c r="M5064" i="11"/>
  <c r="M5065" i="11"/>
  <c r="M5066" i="11"/>
  <c r="M5067" i="11"/>
  <c r="M5068" i="11"/>
  <c r="M5069" i="11"/>
  <c r="M5070" i="11"/>
  <c r="M5071" i="11"/>
  <c r="M5072" i="11"/>
  <c r="M5073" i="11"/>
  <c r="M5074" i="11"/>
  <c r="M5075" i="11"/>
  <c r="M5076" i="11"/>
  <c r="M5077" i="11"/>
  <c r="M5078" i="11"/>
  <c r="M5079" i="11"/>
  <c r="M5080" i="11"/>
  <c r="M5081" i="11"/>
  <c r="M5082" i="11"/>
  <c r="M5083" i="11"/>
  <c r="M5084" i="11"/>
  <c r="M5085" i="11"/>
  <c r="M5086" i="11"/>
  <c r="M5087" i="11"/>
  <c r="M5088" i="11"/>
  <c r="M5089" i="11"/>
  <c r="M5090" i="11"/>
  <c r="M5091" i="11"/>
  <c r="M5092" i="11"/>
  <c r="M5093" i="11"/>
  <c r="M5094" i="11"/>
  <c r="M5095" i="11"/>
  <c r="M5096" i="11"/>
  <c r="M5097" i="11"/>
  <c r="M5098" i="11"/>
  <c r="M5099" i="11"/>
  <c r="M5100" i="11"/>
  <c r="M5101" i="11"/>
  <c r="M5102" i="11"/>
  <c r="M5103" i="11"/>
  <c r="M5104" i="11"/>
  <c r="M5105" i="11"/>
  <c r="M5106" i="11"/>
  <c r="M5107" i="11"/>
  <c r="M5108" i="11"/>
  <c r="M5109" i="11"/>
  <c r="M5110" i="11"/>
  <c r="M5111" i="11"/>
  <c r="M5112" i="11"/>
  <c r="M5113" i="11"/>
  <c r="M5114" i="11"/>
  <c r="M5115" i="11"/>
  <c r="M5116" i="11"/>
  <c r="M5117" i="11"/>
  <c r="M5118" i="11"/>
  <c r="M5119" i="11"/>
  <c r="M5120" i="11"/>
  <c r="M5121" i="11"/>
  <c r="M5122" i="11"/>
  <c r="M5123" i="11"/>
  <c r="M5124" i="11"/>
  <c r="M5125" i="11"/>
  <c r="M5126" i="11"/>
  <c r="M5127" i="11"/>
  <c r="M5128" i="11"/>
  <c r="M5129" i="11"/>
  <c r="M5130" i="11"/>
  <c r="M5131" i="11"/>
  <c r="M5132" i="11"/>
  <c r="M5133" i="11"/>
  <c r="M5134" i="11"/>
  <c r="M5135" i="11"/>
  <c r="M5136" i="11"/>
  <c r="M5137" i="11"/>
  <c r="M5138" i="11"/>
  <c r="M5139" i="11"/>
  <c r="M5140" i="11"/>
  <c r="M5141" i="11"/>
  <c r="M5142" i="11"/>
  <c r="M5143" i="11"/>
  <c r="M5144" i="11"/>
  <c r="M5145" i="11"/>
  <c r="M5146" i="11"/>
  <c r="M5147" i="11"/>
  <c r="M5148" i="11"/>
  <c r="M5149" i="11"/>
  <c r="M5150" i="11"/>
  <c r="M5151" i="11"/>
  <c r="M5152" i="11"/>
  <c r="M5153" i="11"/>
  <c r="M5154" i="11"/>
  <c r="M5155" i="11"/>
  <c r="M5156" i="11"/>
  <c r="M5157" i="11"/>
  <c r="M5158" i="11"/>
  <c r="M5159" i="11"/>
  <c r="M5160" i="11"/>
  <c r="M5161" i="11"/>
  <c r="M5162" i="11"/>
  <c r="M5163" i="11"/>
  <c r="M5164" i="11"/>
  <c r="M5165" i="11"/>
  <c r="M5166" i="11"/>
  <c r="M5167" i="11"/>
  <c r="M5168" i="11"/>
  <c r="M5169" i="11"/>
  <c r="M5170" i="11"/>
  <c r="M5171" i="11"/>
  <c r="M5172" i="11"/>
  <c r="M5173" i="11"/>
  <c r="M5174" i="11"/>
  <c r="M5175" i="11"/>
  <c r="M5176" i="11"/>
  <c r="M5177" i="11"/>
  <c r="M5178" i="11"/>
  <c r="M5179" i="11"/>
  <c r="M5180" i="11"/>
  <c r="M5181" i="11"/>
  <c r="M5182" i="11"/>
  <c r="M5183" i="11"/>
  <c r="M5184" i="11"/>
  <c r="M5185" i="11"/>
  <c r="M5186" i="11"/>
  <c r="M5187" i="11"/>
  <c r="M5188" i="11"/>
  <c r="M5189" i="11"/>
  <c r="M5190" i="11"/>
  <c r="M5191" i="11"/>
  <c r="M5192" i="11"/>
  <c r="M5193" i="11"/>
  <c r="M5194" i="11"/>
  <c r="M5195" i="11"/>
  <c r="M5196" i="11"/>
  <c r="M5197" i="11"/>
  <c r="M5198" i="11"/>
  <c r="M5199" i="11"/>
  <c r="M5200" i="11"/>
  <c r="M5201" i="11"/>
  <c r="M5202" i="11"/>
  <c r="M5203" i="11"/>
  <c r="M5204" i="11"/>
  <c r="M5205" i="11"/>
  <c r="M5206" i="11"/>
  <c r="M5207" i="11"/>
  <c r="M5208" i="11"/>
  <c r="M5209" i="11"/>
  <c r="M5210" i="11"/>
  <c r="M5211" i="11"/>
  <c r="M5212" i="11"/>
  <c r="M5213" i="11"/>
  <c r="M5214" i="11"/>
  <c r="M5215" i="11"/>
  <c r="M5216" i="11"/>
  <c r="M5217" i="11"/>
  <c r="M5218" i="11"/>
  <c r="M5219" i="11"/>
  <c r="M5220" i="11"/>
  <c r="M5221" i="11"/>
  <c r="M5222" i="11"/>
  <c r="M5223" i="11"/>
  <c r="M5224" i="11"/>
  <c r="M5225" i="11"/>
  <c r="M5226" i="11"/>
  <c r="M5227" i="11"/>
  <c r="M5228" i="11"/>
  <c r="M5229" i="11"/>
  <c r="M5230" i="11"/>
  <c r="M5231" i="11"/>
  <c r="M5232" i="11"/>
  <c r="M5233" i="11"/>
  <c r="M5234" i="11"/>
  <c r="M5235" i="11"/>
  <c r="M5236" i="11"/>
  <c r="M5237" i="11"/>
  <c r="M5238" i="11"/>
  <c r="M5239" i="11"/>
  <c r="M5240" i="11"/>
  <c r="M5241" i="11"/>
  <c r="M5242" i="11"/>
  <c r="M5243" i="11"/>
  <c r="M5244" i="11"/>
  <c r="M5245" i="11"/>
  <c r="M5246" i="11"/>
  <c r="M5247" i="11"/>
  <c r="M5248" i="11"/>
  <c r="M5249" i="11"/>
  <c r="M5250" i="11"/>
  <c r="M5251" i="11"/>
  <c r="M5252" i="11"/>
  <c r="M5253" i="11"/>
  <c r="M5254" i="11"/>
  <c r="M5255" i="11"/>
  <c r="M5256" i="11"/>
  <c r="M5257" i="11"/>
  <c r="M5258" i="11"/>
  <c r="M5259" i="11"/>
  <c r="M5260" i="11"/>
  <c r="M5261" i="11"/>
  <c r="M5262" i="11"/>
  <c r="M5263" i="11"/>
  <c r="M5264" i="11"/>
  <c r="M5265" i="11"/>
  <c r="M5266" i="11"/>
  <c r="M5267" i="11"/>
  <c r="M5268" i="11"/>
  <c r="M5269" i="11"/>
  <c r="M5270" i="11"/>
  <c r="M5271" i="11"/>
  <c r="M5272" i="11"/>
  <c r="M5273" i="11"/>
  <c r="M5274" i="11"/>
  <c r="M5275" i="11"/>
  <c r="M5276" i="11"/>
  <c r="M5277" i="11"/>
  <c r="M5278" i="11"/>
  <c r="M5279" i="11"/>
  <c r="M5280" i="11"/>
  <c r="M5281" i="11"/>
  <c r="M5282" i="11"/>
  <c r="M5283" i="11"/>
  <c r="M5284" i="11"/>
  <c r="M5285" i="11"/>
  <c r="M5286" i="11"/>
  <c r="M5287" i="11"/>
  <c r="M5288" i="11"/>
  <c r="M5289" i="11"/>
  <c r="M5290" i="11"/>
  <c r="M5291" i="11"/>
  <c r="M5292" i="11"/>
  <c r="M5293" i="11"/>
  <c r="M5294" i="11"/>
  <c r="M5295" i="11"/>
  <c r="M5296" i="11"/>
  <c r="M5297" i="11"/>
  <c r="M5298" i="11"/>
  <c r="M5299" i="11"/>
  <c r="M5300" i="11"/>
  <c r="M5301" i="11"/>
  <c r="M5302" i="11"/>
  <c r="M5303" i="11"/>
  <c r="M5304" i="11"/>
  <c r="M5305" i="11"/>
  <c r="M5306" i="11"/>
  <c r="M5307" i="11"/>
  <c r="M5308" i="11"/>
  <c r="M5309" i="11"/>
  <c r="M5310" i="11"/>
  <c r="M5311" i="11"/>
  <c r="M5312" i="11"/>
  <c r="M5313" i="11"/>
  <c r="M5314" i="11"/>
  <c r="M5315" i="11"/>
  <c r="M5316" i="11"/>
  <c r="M5317" i="11"/>
  <c r="M5318" i="11"/>
  <c r="M5319" i="11"/>
  <c r="M5320" i="11"/>
  <c r="M5321" i="11"/>
  <c r="M5322" i="11"/>
  <c r="M5323" i="11"/>
  <c r="M5324" i="11"/>
  <c r="M5325" i="11"/>
  <c r="M5326" i="11"/>
  <c r="M5327" i="11"/>
  <c r="M5328" i="11"/>
  <c r="M5329" i="11"/>
  <c r="M5330" i="11"/>
  <c r="M5331" i="11"/>
  <c r="M5332" i="11"/>
  <c r="M5333" i="11"/>
  <c r="M5334" i="11"/>
  <c r="M5335" i="11"/>
  <c r="M5336" i="11"/>
  <c r="M5337" i="11"/>
  <c r="M5338" i="11"/>
  <c r="M5339" i="11"/>
  <c r="M5340" i="11"/>
  <c r="M5341" i="11"/>
  <c r="M5342" i="11"/>
  <c r="M5343" i="11"/>
  <c r="M5344" i="11"/>
  <c r="M5345" i="11"/>
  <c r="M5346" i="11"/>
  <c r="M5347" i="11"/>
  <c r="M5348" i="11"/>
  <c r="M5349" i="11"/>
  <c r="M5350" i="11"/>
  <c r="M5351" i="11"/>
  <c r="M5352" i="11"/>
  <c r="M5353" i="11"/>
  <c r="M5354" i="11"/>
  <c r="M5355" i="11"/>
  <c r="M5356" i="11"/>
  <c r="M5357" i="11"/>
  <c r="M5358" i="11"/>
  <c r="M5359" i="11"/>
  <c r="M5360" i="11"/>
  <c r="M5361" i="11"/>
  <c r="M5362" i="11"/>
  <c r="M5363" i="11"/>
  <c r="M5364" i="11"/>
  <c r="M5365" i="11"/>
  <c r="M5366" i="11"/>
  <c r="M5367" i="11"/>
  <c r="M5368" i="11"/>
  <c r="M5369" i="11"/>
  <c r="M5370" i="11"/>
  <c r="M5371" i="11"/>
  <c r="M5372" i="11"/>
  <c r="M5373" i="11"/>
  <c r="M5374" i="11"/>
  <c r="M5375" i="11"/>
  <c r="M5376" i="11"/>
  <c r="M5377" i="11"/>
  <c r="M5378" i="11"/>
  <c r="M5379" i="11"/>
  <c r="M5380" i="11"/>
  <c r="M5381" i="11"/>
  <c r="M5382" i="11"/>
  <c r="M5383" i="11"/>
  <c r="M5384" i="11"/>
  <c r="M5385" i="11"/>
  <c r="M5386" i="11"/>
  <c r="M5387" i="11"/>
  <c r="M5388" i="11"/>
  <c r="M5389" i="11"/>
  <c r="M5390" i="11"/>
  <c r="M5391" i="11"/>
  <c r="M5392" i="11"/>
  <c r="M5393" i="11"/>
  <c r="M5394" i="11"/>
  <c r="M5395" i="11"/>
  <c r="M5396" i="11"/>
  <c r="M5397" i="11"/>
  <c r="M5398" i="11"/>
  <c r="M5399" i="11"/>
  <c r="M5400" i="11"/>
  <c r="M5401" i="11"/>
  <c r="M5402" i="11"/>
  <c r="M5403" i="11"/>
  <c r="M5404" i="11"/>
  <c r="M5405" i="11"/>
  <c r="M5406" i="11"/>
  <c r="M5407" i="11"/>
  <c r="M5408" i="11"/>
  <c r="M5409" i="11"/>
  <c r="M5410" i="11"/>
  <c r="M5411" i="11"/>
  <c r="M5412" i="11"/>
  <c r="M5413" i="11"/>
  <c r="M5414" i="11"/>
  <c r="M5415" i="11"/>
  <c r="M5416" i="11"/>
  <c r="M5417" i="11"/>
  <c r="M5418" i="11"/>
  <c r="M5419" i="11"/>
  <c r="M5420" i="11"/>
  <c r="M5421" i="11"/>
  <c r="M5422" i="11"/>
  <c r="M5423" i="11"/>
  <c r="M5424" i="11"/>
  <c r="M5425" i="11"/>
  <c r="M5426" i="11"/>
  <c r="M5427" i="11"/>
  <c r="M5428" i="11"/>
  <c r="M5429" i="11"/>
  <c r="M5430" i="11"/>
  <c r="M5431" i="11"/>
  <c r="M5432" i="11"/>
  <c r="M5433" i="11"/>
  <c r="M5434" i="11"/>
  <c r="M5435" i="11"/>
  <c r="M5436" i="11"/>
  <c r="M5437" i="11"/>
  <c r="M5438" i="11"/>
  <c r="M5439" i="11"/>
  <c r="M5440" i="11"/>
  <c r="M5441" i="11"/>
  <c r="M5442" i="11"/>
  <c r="M5443" i="11"/>
  <c r="M5444" i="11"/>
  <c r="M5445" i="11"/>
  <c r="M5446" i="11"/>
  <c r="M5447" i="11"/>
  <c r="M5448" i="11"/>
  <c r="M5449" i="11"/>
  <c r="M5450" i="11"/>
  <c r="M5451" i="11"/>
  <c r="M5452" i="11"/>
  <c r="M5453" i="11"/>
  <c r="M5454" i="11"/>
  <c r="M5455" i="11"/>
  <c r="M5456" i="11"/>
  <c r="M5457" i="11"/>
  <c r="M5458" i="11"/>
  <c r="M5459" i="11"/>
  <c r="M5460" i="11"/>
  <c r="M5461" i="11"/>
  <c r="M5462" i="11"/>
  <c r="M5463" i="11"/>
  <c r="M5464" i="11"/>
  <c r="M5465" i="11"/>
  <c r="M5466" i="11"/>
  <c r="M5467" i="11"/>
  <c r="M5468" i="11"/>
  <c r="M5469" i="11"/>
  <c r="M5470" i="11"/>
  <c r="M5471" i="11"/>
  <c r="M5472" i="11"/>
  <c r="M5473" i="11"/>
  <c r="M5474" i="11"/>
  <c r="M5475" i="11"/>
  <c r="M5476" i="11"/>
  <c r="M5477" i="11"/>
  <c r="M5478" i="11"/>
  <c r="M5479" i="11"/>
  <c r="M5480" i="11"/>
  <c r="M5481" i="11"/>
  <c r="M5482" i="11"/>
  <c r="M5483" i="11"/>
  <c r="M5484" i="11"/>
  <c r="M5485" i="11"/>
  <c r="M5486" i="11"/>
  <c r="M5487" i="11"/>
  <c r="M5488" i="11"/>
  <c r="M5489" i="11"/>
  <c r="M5490" i="11"/>
  <c r="M5491" i="11"/>
  <c r="M5492" i="11"/>
  <c r="M5493" i="11"/>
  <c r="M5494" i="11"/>
  <c r="M5495" i="11"/>
  <c r="M5496" i="11"/>
  <c r="M5497" i="11"/>
  <c r="M5498" i="11"/>
  <c r="M5499" i="11"/>
  <c r="M5500" i="11"/>
  <c r="M5501" i="11"/>
  <c r="M5502" i="11"/>
  <c r="M5503" i="11"/>
  <c r="M5504" i="11"/>
  <c r="M5505" i="11"/>
  <c r="M5506" i="11"/>
  <c r="M5507" i="11"/>
  <c r="M5508" i="11"/>
  <c r="M5509" i="11"/>
  <c r="M5510" i="11"/>
  <c r="M5511" i="11"/>
  <c r="M5512" i="11"/>
  <c r="M5513" i="11"/>
  <c r="M5514" i="11"/>
  <c r="M5515" i="11"/>
  <c r="M5516" i="11"/>
  <c r="M5517" i="11"/>
  <c r="M5518" i="11"/>
  <c r="M5519" i="11"/>
  <c r="M5520" i="11"/>
  <c r="M5521" i="11"/>
  <c r="M5522" i="11"/>
  <c r="M5523" i="11"/>
  <c r="M5524" i="11"/>
  <c r="M5525" i="11"/>
  <c r="M5526" i="11"/>
  <c r="M5527" i="11"/>
  <c r="M5528" i="11"/>
  <c r="M5529" i="11"/>
  <c r="M5530" i="11"/>
  <c r="M5531" i="11"/>
  <c r="M5532" i="11"/>
  <c r="M5533" i="11"/>
  <c r="M5534" i="11"/>
  <c r="M5535" i="11"/>
  <c r="M5536" i="11"/>
  <c r="M5537" i="11"/>
  <c r="M5538" i="11"/>
  <c r="M5539" i="11"/>
  <c r="M5540" i="11"/>
  <c r="M5541" i="11"/>
  <c r="M5542" i="11"/>
  <c r="M5543" i="11"/>
  <c r="M5544" i="11"/>
  <c r="M5545" i="11"/>
  <c r="M5546" i="11"/>
  <c r="M5547" i="11"/>
  <c r="M5548" i="11"/>
  <c r="M5549" i="11"/>
  <c r="M5550" i="11"/>
  <c r="M5551" i="11"/>
  <c r="M5552" i="11"/>
  <c r="M5553" i="11"/>
  <c r="M5554" i="11"/>
  <c r="M5555" i="11"/>
  <c r="M5556" i="11"/>
  <c r="M5557" i="11"/>
  <c r="M5558" i="11"/>
  <c r="M5559" i="11"/>
  <c r="M5560" i="11"/>
  <c r="M5561" i="11"/>
  <c r="M5562" i="11"/>
  <c r="M5563" i="11"/>
  <c r="M5564" i="11"/>
  <c r="M5565" i="11"/>
  <c r="M5566" i="11"/>
  <c r="M5567" i="11"/>
  <c r="M5568" i="11"/>
  <c r="M5569" i="11"/>
  <c r="M5570" i="11"/>
  <c r="M5571" i="11"/>
  <c r="M5572" i="11"/>
  <c r="M5573" i="11"/>
  <c r="M5574" i="11"/>
  <c r="M5575" i="11"/>
  <c r="M5576" i="11"/>
  <c r="M5577" i="11"/>
  <c r="M5578" i="11"/>
  <c r="M5579" i="11"/>
  <c r="M5580" i="11"/>
  <c r="M5581" i="11"/>
  <c r="M5582" i="11"/>
  <c r="M5583" i="11"/>
  <c r="M5584" i="11"/>
  <c r="M5585" i="11"/>
  <c r="M5586" i="11"/>
  <c r="M5587" i="11"/>
  <c r="M5588" i="11"/>
  <c r="M5589" i="11"/>
  <c r="M5590" i="11"/>
  <c r="M5591" i="11"/>
  <c r="M5592" i="11"/>
  <c r="M5593" i="11"/>
  <c r="M5594" i="11"/>
  <c r="M5595" i="11"/>
  <c r="M5596" i="11"/>
  <c r="M5597" i="11"/>
  <c r="M5598" i="11"/>
  <c r="M5599" i="11"/>
  <c r="M5600" i="11"/>
  <c r="M5601" i="11"/>
  <c r="M5602" i="11"/>
  <c r="M5603" i="11"/>
  <c r="M5604" i="11"/>
  <c r="M5605" i="11"/>
  <c r="M5606" i="11"/>
  <c r="M5607" i="11"/>
  <c r="M5608" i="11"/>
  <c r="M5609" i="11"/>
  <c r="M5610" i="11"/>
  <c r="M5611" i="11"/>
  <c r="M5612" i="11"/>
  <c r="M5613" i="11"/>
  <c r="M5614" i="11"/>
  <c r="M5615" i="11"/>
  <c r="M5616" i="11"/>
  <c r="M5617" i="11"/>
  <c r="M5618" i="11"/>
  <c r="M5619" i="11"/>
  <c r="M5620" i="11"/>
  <c r="M5621" i="11"/>
  <c r="M5622" i="11"/>
  <c r="M5623" i="11"/>
  <c r="M5624" i="11"/>
  <c r="M5625" i="11"/>
  <c r="M5626" i="11"/>
  <c r="M5627" i="11"/>
  <c r="M5628" i="11"/>
  <c r="M5629" i="11"/>
  <c r="M5630" i="11"/>
  <c r="M5631" i="11"/>
  <c r="M5632" i="11"/>
  <c r="M5633" i="11"/>
  <c r="M5634" i="11"/>
  <c r="M5635" i="11"/>
  <c r="M5636" i="11"/>
  <c r="M5637" i="11"/>
  <c r="M5638" i="11"/>
  <c r="M5639" i="11"/>
  <c r="M5640" i="11"/>
  <c r="M5641" i="11"/>
  <c r="M5642" i="11"/>
  <c r="M5643" i="11"/>
  <c r="M5644" i="11"/>
  <c r="M5645" i="11"/>
  <c r="M5646" i="11"/>
  <c r="M5647" i="11"/>
  <c r="M5648" i="11"/>
  <c r="M5649" i="11"/>
  <c r="M5650" i="11"/>
  <c r="M5651" i="11"/>
  <c r="M5652" i="11"/>
  <c r="M5653" i="11"/>
  <c r="M5654" i="11"/>
  <c r="M5655" i="11"/>
  <c r="M5656" i="11"/>
  <c r="M5657" i="11"/>
  <c r="M5658" i="11"/>
  <c r="M5659" i="11"/>
  <c r="M5660" i="11"/>
  <c r="M5661" i="11"/>
  <c r="M5662" i="11"/>
  <c r="M5663" i="11"/>
  <c r="M5664" i="11"/>
  <c r="M5665" i="11"/>
  <c r="M5666" i="11"/>
  <c r="M5667" i="11"/>
  <c r="M5668" i="11"/>
  <c r="M5669" i="11"/>
  <c r="M5670" i="11"/>
  <c r="M5671" i="11"/>
  <c r="M5672" i="11"/>
  <c r="M5673" i="11"/>
  <c r="M5674" i="11"/>
  <c r="M5675" i="11"/>
  <c r="M5676" i="11"/>
  <c r="M5677" i="11"/>
  <c r="M5678" i="11"/>
  <c r="M5679" i="11"/>
  <c r="M5680" i="11"/>
  <c r="M5681" i="11"/>
  <c r="M5682" i="11"/>
  <c r="M5683" i="11"/>
  <c r="M5684" i="11"/>
  <c r="M5685" i="11"/>
  <c r="M5686" i="11"/>
  <c r="M5687" i="11"/>
  <c r="M5688" i="11"/>
  <c r="M5689" i="11"/>
  <c r="M5690" i="11"/>
  <c r="M5691" i="11"/>
  <c r="M5692" i="11"/>
  <c r="M5693" i="11"/>
  <c r="M5694" i="11"/>
  <c r="M5695" i="11"/>
  <c r="M5696" i="11"/>
  <c r="M5697" i="11"/>
  <c r="M5698" i="11"/>
  <c r="M5699" i="11"/>
  <c r="M5700" i="11"/>
  <c r="M5701" i="11"/>
  <c r="M5702" i="11"/>
  <c r="M5703" i="11"/>
  <c r="M5704" i="11"/>
  <c r="M5705" i="11"/>
  <c r="M5706" i="11"/>
  <c r="M5707" i="11"/>
  <c r="M5708" i="11"/>
  <c r="M5709" i="11"/>
  <c r="M5710" i="11"/>
  <c r="M5711" i="11"/>
  <c r="M5712" i="11"/>
  <c r="M5713" i="11"/>
  <c r="M5714" i="11"/>
  <c r="M5715" i="11"/>
  <c r="M5716" i="11"/>
  <c r="M5717" i="11"/>
  <c r="M5718" i="11"/>
  <c r="M5719" i="11"/>
  <c r="M5720" i="11"/>
  <c r="M5721" i="11"/>
  <c r="M5722" i="11"/>
  <c r="M5723" i="11"/>
  <c r="M5724" i="11"/>
  <c r="M5725" i="11"/>
  <c r="M5726" i="11"/>
  <c r="M5727" i="11"/>
  <c r="M5728" i="11"/>
  <c r="M5729" i="11"/>
  <c r="M5730" i="11"/>
  <c r="M5731" i="11"/>
  <c r="M5732" i="11"/>
  <c r="M5733" i="11"/>
  <c r="M5734" i="11"/>
  <c r="M5735" i="11"/>
  <c r="M5736" i="11"/>
  <c r="M5737" i="11"/>
  <c r="M5738" i="11"/>
  <c r="M5739" i="11"/>
  <c r="M5740" i="11"/>
  <c r="M5741" i="11"/>
  <c r="M5742" i="11"/>
  <c r="M5743" i="11"/>
  <c r="M5744" i="11"/>
  <c r="M5745" i="11"/>
  <c r="M5746" i="11"/>
  <c r="M5747" i="11"/>
  <c r="M5748" i="11"/>
  <c r="M5749" i="11"/>
  <c r="M5750" i="11"/>
  <c r="M5751" i="11"/>
  <c r="M5752" i="11"/>
  <c r="M5753" i="11"/>
  <c r="M5754" i="11"/>
  <c r="M5755" i="11"/>
  <c r="M5756" i="11"/>
  <c r="M5757" i="11"/>
  <c r="M5758" i="11"/>
  <c r="M5759" i="11"/>
  <c r="M5760" i="11"/>
  <c r="M5761" i="11"/>
  <c r="M5762" i="11"/>
  <c r="M5763" i="11"/>
  <c r="M5764" i="11"/>
  <c r="M5765" i="11"/>
  <c r="M5766" i="11"/>
  <c r="M5767" i="11"/>
  <c r="M5768" i="11"/>
  <c r="M5769" i="11"/>
  <c r="M5770" i="11"/>
  <c r="M5771" i="11"/>
  <c r="M5772" i="11"/>
  <c r="M5773" i="11"/>
  <c r="M5774" i="11"/>
  <c r="M5775" i="11"/>
  <c r="M5776" i="11"/>
  <c r="M5777" i="11"/>
  <c r="M5778" i="11"/>
  <c r="M5779" i="11"/>
  <c r="M5780" i="11"/>
  <c r="M5781" i="11"/>
  <c r="M5782" i="11"/>
  <c r="M5783" i="11"/>
  <c r="M5784" i="11"/>
  <c r="M5785" i="11"/>
  <c r="M5786" i="11"/>
  <c r="M5787" i="11"/>
  <c r="M5788" i="11"/>
  <c r="M5789" i="11"/>
  <c r="M5790" i="11"/>
  <c r="M5791" i="11"/>
  <c r="M5792" i="11"/>
  <c r="M5793" i="11"/>
  <c r="M5794" i="11"/>
  <c r="M5795" i="11"/>
  <c r="M5796" i="11"/>
  <c r="M5797" i="11"/>
  <c r="M5798" i="11"/>
  <c r="M5799" i="11"/>
  <c r="M5800" i="11"/>
  <c r="M5801" i="11"/>
  <c r="M5802" i="11"/>
  <c r="M5803" i="11"/>
  <c r="M5804" i="11"/>
  <c r="M5805" i="11"/>
  <c r="M5806" i="11"/>
  <c r="M5807" i="11"/>
  <c r="M5808" i="11"/>
  <c r="M5809" i="11"/>
  <c r="M5810" i="11"/>
  <c r="M5811" i="11"/>
  <c r="M5812" i="11"/>
  <c r="M5813" i="11"/>
  <c r="M5814" i="11"/>
  <c r="M5815" i="11"/>
  <c r="M5816" i="11"/>
  <c r="M5817" i="11"/>
  <c r="M5818" i="11"/>
  <c r="M5819" i="11"/>
  <c r="M5820" i="11"/>
  <c r="M5821" i="11"/>
  <c r="M5822" i="11"/>
  <c r="M5823" i="11"/>
  <c r="M5824" i="11"/>
  <c r="M5825" i="11"/>
  <c r="M5826" i="11"/>
  <c r="M5827" i="11"/>
  <c r="M5828" i="11"/>
  <c r="M5829" i="11"/>
  <c r="M5830" i="11"/>
  <c r="M5831" i="11"/>
  <c r="M5832" i="11"/>
  <c r="M5833" i="11"/>
  <c r="M5834" i="11"/>
  <c r="M5835" i="11"/>
  <c r="M5836" i="11"/>
  <c r="M5837" i="11"/>
  <c r="M5838" i="11"/>
  <c r="M5839" i="11"/>
  <c r="M5840" i="11"/>
  <c r="M5841" i="11"/>
  <c r="M5842" i="11"/>
  <c r="M5843" i="11"/>
  <c r="M5844" i="11"/>
  <c r="M5845" i="11"/>
  <c r="M5846" i="11"/>
  <c r="M5847" i="11"/>
  <c r="M5848" i="11"/>
  <c r="M5849" i="11"/>
  <c r="M5850" i="11"/>
  <c r="M5851" i="11"/>
  <c r="M5852" i="11"/>
  <c r="M5853" i="11"/>
  <c r="M5854" i="11"/>
  <c r="M5855" i="11"/>
  <c r="M5856" i="11"/>
  <c r="M5857" i="11"/>
  <c r="M5858" i="11"/>
  <c r="M5859" i="11"/>
  <c r="M5860" i="11"/>
  <c r="M5861" i="11"/>
  <c r="M5862" i="11"/>
  <c r="M5863" i="11"/>
  <c r="M5864" i="11"/>
  <c r="M5865" i="11"/>
  <c r="M5866" i="11"/>
  <c r="M5867" i="11"/>
  <c r="M5868" i="11"/>
  <c r="M5869" i="11"/>
  <c r="M5870" i="11"/>
  <c r="M5871" i="11"/>
  <c r="M5872" i="11"/>
  <c r="M5873" i="11"/>
  <c r="M5874" i="11"/>
  <c r="M5875" i="11"/>
  <c r="M5876" i="11"/>
  <c r="M5877" i="11"/>
  <c r="M5878" i="11"/>
  <c r="M5879" i="11"/>
  <c r="M5880" i="11"/>
  <c r="M5881" i="11"/>
  <c r="M5882" i="11"/>
  <c r="M5883" i="11"/>
  <c r="M5884" i="11"/>
  <c r="M5885" i="11"/>
  <c r="M5886" i="11"/>
  <c r="M5887" i="11"/>
  <c r="M5888" i="11"/>
  <c r="M5889" i="11"/>
  <c r="M5890" i="11"/>
  <c r="M5891" i="11"/>
  <c r="M5892" i="11"/>
  <c r="M5893" i="11"/>
  <c r="M5894" i="11"/>
  <c r="M5895" i="11"/>
  <c r="M5896" i="11"/>
  <c r="M5897" i="11"/>
  <c r="M5898" i="11"/>
  <c r="M5899" i="11"/>
  <c r="M5900" i="11"/>
  <c r="M5901" i="11"/>
  <c r="M5902" i="11"/>
  <c r="M5903" i="11"/>
  <c r="M5904" i="11"/>
  <c r="M5905" i="11"/>
  <c r="M5906" i="11"/>
  <c r="M5907" i="11"/>
  <c r="M5908" i="11"/>
  <c r="M5909" i="11"/>
  <c r="M5910" i="11"/>
  <c r="M5911" i="11"/>
  <c r="M5912" i="11"/>
  <c r="M5913" i="11"/>
  <c r="M5914" i="11"/>
  <c r="M5915" i="11"/>
  <c r="M5916" i="11"/>
  <c r="M5917" i="11"/>
  <c r="M5918" i="11"/>
  <c r="M5919" i="11"/>
  <c r="M5920" i="11"/>
  <c r="M5921" i="11"/>
  <c r="M5922" i="11"/>
  <c r="M5923" i="11"/>
  <c r="M5924" i="11"/>
  <c r="M5925" i="11"/>
  <c r="M5926" i="11"/>
  <c r="M5927" i="11"/>
  <c r="M5928" i="11"/>
  <c r="M5929" i="11"/>
  <c r="M5930" i="11"/>
  <c r="M5931" i="11"/>
  <c r="M5932" i="11"/>
  <c r="M5933" i="11"/>
  <c r="M5934" i="11"/>
  <c r="M5935" i="11"/>
  <c r="M5936" i="11"/>
  <c r="M5937" i="11"/>
  <c r="M5938" i="11"/>
  <c r="M5939" i="11"/>
  <c r="M5940" i="11"/>
  <c r="M5941" i="11"/>
  <c r="M5942" i="11"/>
  <c r="M5943" i="11"/>
  <c r="M5944" i="11"/>
  <c r="M5945" i="11"/>
  <c r="M5946" i="11"/>
  <c r="M5947" i="11"/>
  <c r="M5948" i="11"/>
  <c r="M5949" i="11"/>
  <c r="M5950" i="11"/>
  <c r="M5951" i="11"/>
  <c r="M5952" i="11"/>
  <c r="M5953" i="11"/>
  <c r="M5954" i="11"/>
  <c r="M5955" i="11"/>
  <c r="M5956" i="11"/>
  <c r="M5957" i="11"/>
  <c r="M5958" i="11"/>
  <c r="M5959" i="11"/>
  <c r="M5960" i="11"/>
  <c r="M5961" i="11"/>
  <c r="M5962" i="11"/>
  <c r="M5963" i="11"/>
  <c r="M5964" i="11"/>
  <c r="M5965" i="11"/>
  <c r="M5966" i="11"/>
  <c r="M5967" i="11"/>
  <c r="M5968" i="11"/>
  <c r="M5969" i="11"/>
  <c r="M5970" i="11"/>
  <c r="M5971" i="11"/>
  <c r="M5972" i="11"/>
  <c r="M5973" i="11"/>
  <c r="M5974" i="11"/>
  <c r="M5975" i="11"/>
  <c r="M5976" i="11"/>
  <c r="M5977" i="11"/>
  <c r="M5978" i="11"/>
  <c r="M5979" i="11"/>
  <c r="M5980" i="11"/>
  <c r="M5981" i="11"/>
  <c r="M5982" i="11"/>
  <c r="M5983" i="11"/>
  <c r="M5984" i="11"/>
  <c r="M5985" i="11"/>
  <c r="M5986" i="11"/>
  <c r="M5987" i="11"/>
  <c r="M5988" i="11"/>
  <c r="M5989" i="11"/>
  <c r="M5990" i="11"/>
  <c r="M5991" i="11"/>
  <c r="M5992" i="11"/>
  <c r="M5993" i="11"/>
  <c r="M5994" i="11"/>
  <c r="M5995" i="11"/>
  <c r="M5996" i="11"/>
  <c r="M5997" i="11"/>
  <c r="M5998" i="11"/>
  <c r="M5999" i="11"/>
  <c r="M6000" i="11"/>
  <c r="M6001" i="11"/>
  <c r="M6002" i="11"/>
  <c r="M6003" i="11"/>
  <c r="M6004" i="11"/>
  <c r="M6005" i="11"/>
  <c r="M6006" i="11"/>
  <c r="M6007" i="11"/>
  <c r="M6008" i="11"/>
  <c r="M6009" i="11"/>
  <c r="M6010" i="11"/>
  <c r="M6011" i="11"/>
  <c r="M6012" i="11"/>
  <c r="M6013" i="11"/>
  <c r="M6014" i="11"/>
  <c r="M6015" i="11"/>
  <c r="M6016" i="11"/>
  <c r="M6017" i="11"/>
  <c r="M6018" i="11"/>
  <c r="M6019" i="11"/>
  <c r="M6020" i="11"/>
  <c r="M6021" i="11"/>
  <c r="M6022" i="11"/>
  <c r="M6023" i="11"/>
  <c r="M6024" i="11"/>
  <c r="M6025" i="11"/>
  <c r="M6026" i="11"/>
  <c r="M6027" i="11"/>
  <c r="M6028" i="11"/>
  <c r="M6029" i="11"/>
  <c r="M6030" i="11"/>
  <c r="M6031" i="11"/>
  <c r="M6032" i="11"/>
  <c r="M6033" i="11"/>
  <c r="M6034" i="11"/>
  <c r="M6035" i="11"/>
  <c r="M6036" i="11"/>
  <c r="M6037" i="11"/>
  <c r="M6038" i="11"/>
  <c r="M6039" i="11"/>
  <c r="M6040" i="11"/>
  <c r="M6041" i="11"/>
  <c r="M6042" i="11"/>
  <c r="M6043" i="11"/>
  <c r="M6044" i="11"/>
  <c r="M6045" i="11"/>
  <c r="M6046" i="11"/>
  <c r="M6047" i="11"/>
  <c r="M6048" i="11"/>
  <c r="M6049" i="11"/>
  <c r="M6050" i="11"/>
  <c r="M6051" i="11"/>
  <c r="M6052" i="11"/>
  <c r="M6053" i="11"/>
  <c r="M6054" i="11"/>
  <c r="M6055" i="11"/>
  <c r="M6056" i="11"/>
  <c r="M6057" i="11"/>
  <c r="M6058" i="11"/>
  <c r="M6059" i="11"/>
  <c r="M6060" i="11"/>
  <c r="M6061" i="11"/>
  <c r="M6062" i="11"/>
  <c r="M6063" i="11"/>
  <c r="M6064" i="11"/>
  <c r="M6065" i="11"/>
  <c r="M6066" i="11"/>
  <c r="M6067" i="11"/>
  <c r="M6068" i="11"/>
  <c r="M6069" i="11"/>
  <c r="M6070" i="11"/>
  <c r="M6071" i="11"/>
  <c r="M6072" i="11"/>
  <c r="M6073" i="11"/>
  <c r="M6074" i="11"/>
  <c r="M6075" i="11"/>
  <c r="M6076" i="11"/>
  <c r="M6077" i="11"/>
  <c r="M6078" i="11"/>
  <c r="M6079" i="11"/>
  <c r="M6080" i="11"/>
  <c r="M6081" i="11"/>
  <c r="M6082" i="11"/>
  <c r="M6083" i="11"/>
  <c r="M6084" i="11"/>
  <c r="M6085" i="11"/>
  <c r="M6086" i="11"/>
  <c r="M6087" i="11"/>
  <c r="M6088" i="11"/>
  <c r="M6089" i="11"/>
  <c r="M6090" i="11"/>
  <c r="M6091" i="11"/>
  <c r="M6092" i="11"/>
  <c r="M6093" i="11"/>
  <c r="M6094" i="11"/>
  <c r="M6095" i="11"/>
  <c r="M6096" i="11"/>
  <c r="M6097" i="11"/>
  <c r="M6098" i="11"/>
  <c r="M6099" i="11"/>
  <c r="M6100" i="11"/>
  <c r="M6101" i="11"/>
  <c r="M6102" i="11"/>
  <c r="M6103" i="11"/>
  <c r="M6104" i="11"/>
  <c r="M6105" i="11"/>
  <c r="M6106" i="11"/>
  <c r="M6107" i="11"/>
  <c r="M6108" i="11"/>
  <c r="M6109" i="11"/>
  <c r="M6110" i="11"/>
  <c r="M6111" i="11"/>
  <c r="M6112" i="11"/>
  <c r="M6113" i="11"/>
  <c r="M6114" i="11"/>
  <c r="M6115" i="11"/>
  <c r="M6116" i="11"/>
  <c r="M6117" i="11"/>
  <c r="M6118" i="11"/>
  <c r="M6119" i="11"/>
  <c r="M6120" i="11"/>
  <c r="M6121" i="11"/>
  <c r="M6122" i="11"/>
  <c r="M6123" i="11"/>
  <c r="M6124" i="11"/>
  <c r="M6125" i="11"/>
  <c r="M6126" i="11"/>
  <c r="M6127" i="11"/>
  <c r="M6128" i="11"/>
  <c r="M6129" i="11"/>
  <c r="M6130" i="11"/>
  <c r="M6131" i="11"/>
  <c r="M6132" i="11"/>
  <c r="M6133" i="11"/>
  <c r="M6134" i="11"/>
  <c r="M6135" i="11"/>
  <c r="M6136" i="11"/>
  <c r="M6137" i="11"/>
  <c r="M6138" i="11"/>
  <c r="M6139" i="11"/>
  <c r="M6140" i="11"/>
  <c r="M6141" i="11"/>
  <c r="M6142" i="11"/>
  <c r="M6143" i="11"/>
  <c r="M6144" i="11"/>
  <c r="M6145" i="11"/>
  <c r="M6146" i="11"/>
  <c r="M6147" i="11"/>
  <c r="M6148" i="11"/>
  <c r="M6149" i="11"/>
  <c r="M6150" i="11"/>
  <c r="M6151" i="11"/>
  <c r="M6152" i="11"/>
  <c r="M6153" i="11"/>
  <c r="M6154" i="11"/>
  <c r="M6155" i="11"/>
  <c r="M6156" i="11"/>
  <c r="M6157" i="11"/>
  <c r="M6158" i="11"/>
  <c r="M6159" i="11"/>
  <c r="M6160" i="11"/>
  <c r="M6161" i="11"/>
  <c r="M6162" i="11"/>
  <c r="M6163" i="11"/>
  <c r="M6164" i="11"/>
  <c r="M6165" i="11"/>
  <c r="M6166" i="11"/>
  <c r="M6167" i="11"/>
  <c r="M6168" i="11"/>
  <c r="M6169" i="11"/>
  <c r="M6170" i="11"/>
  <c r="M6171" i="11"/>
  <c r="M6172" i="11"/>
  <c r="M6173" i="11"/>
  <c r="M6174" i="11"/>
  <c r="M6175" i="11"/>
  <c r="M6176" i="11"/>
  <c r="M6177" i="11"/>
  <c r="M6178" i="11"/>
  <c r="M6179" i="11"/>
  <c r="M6180" i="11"/>
  <c r="M6181" i="11"/>
  <c r="M6182" i="11"/>
  <c r="M6183" i="11"/>
  <c r="M6184" i="11"/>
  <c r="M6185" i="11"/>
  <c r="M6186" i="11"/>
  <c r="M6187" i="11"/>
  <c r="M6188" i="11"/>
  <c r="M6189" i="11"/>
  <c r="M6190" i="11"/>
  <c r="M6191" i="11"/>
  <c r="M6192" i="11"/>
  <c r="M6193" i="11"/>
  <c r="M6194" i="11"/>
  <c r="M6195" i="11"/>
  <c r="M6196" i="11"/>
  <c r="M6197" i="11"/>
  <c r="M6198" i="11"/>
  <c r="M6199" i="11"/>
  <c r="M6200" i="11"/>
  <c r="M6201" i="11"/>
  <c r="M6202" i="11"/>
  <c r="M6203" i="11"/>
  <c r="M6204" i="11"/>
  <c r="M6205" i="11"/>
  <c r="M6206" i="11"/>
  <c r="M6207" i="11"/>
  <c r="M6208" i="11"/>
  <c r="M6209" i="11"/>
  <c r="M6210" i="11"/>
  <c r="M6211" i="11"/>
  <c r="M6212" i="11"/>
  <c r="M6213" i="11"/>
  <c r="M6214" i="11"/>
  <c r="M6215" i="11"/>
  <c r="M6216" i="11"/>
  <c r="M6217" i="11"/>
  <c r="M6218" i="11"/>
  <c r="M6219" i="11"/>
  <c r="M6220" i="11"/>
  <c r="M6221" i="11"/>
  <c r="M6222" i="11"/>
  <c r="M6223" i="11"/>
  <c r="M6224" i="11"/>
  <c r="M6225" i="11"/>
  <c r="M6226" i="11"/>
  <c r="M6227" i="11"/>
  <c r="M6228" i="11"/>
  <c r="M6229" i="11"/>
  <c r="M6230" i="11"/>
  <c r="M6231" i="11"/>
  <c r="M6232" i="11"/>
  <c r="M6233" i="11"/>
  <c r="M6234" i="11"/>
  <c r="M6235" i="11"/>
  <c r="M6236" i="11"/>
  <c r="M6237" i="11"/>
  <c r="M6238" i="11"/>
  <c r="M6239" i="11"/>
  <c r="M6240" i="11"/>
  <c r="M6241" i="11"/>
  <c r="M6242" i="11"/>
  <c r="M6243" i="11"/>
  <c r="M6244" i="11"/>
  <c r="M6245" i="11"/>
  <c r="M6246" i="11"/>
  <c r="M6247" i="11"/>
  <c r="M6248" i="11"/>
  <c r="M6249" i="11"/>
  <c r="M6250" i="11"/>
  <c r="M6251" i="11"/>
  <c r="M6252" i="11"/>
  <c r="M6253" i="11"/>
  <c r="M6254" i="11"/>
  <c r="M6255" i="11"/>
  <c r="M6256" i="11"/>
  <c r="M6257" i="11"/>
  <c r="M6258" i="11"/>
  <c r="M6259" i="11"/>
  <c r="M6260" i="11"/>
  <c r="M6261" i="11"/>
  <c r="M6262" i="11"/>
  <c r="M6263" i="11"/>
  <c r="M6264" i="11"/>
  <c r="M6265" i="11"/>
  <c r="M6266" i="11"/>
  <c r="M6267" i="11"/>
  <c r="M6268" i="11"/>
  <c r="M6269" i="11"/>
  <c r="M6270" i="11"/>
  <c r="M6271" i="11"/>
  <c r="M6272" i="11"/>
  <c r="M6273" i="11"/>
  <c r="M6274" i="11"/>
  <c r="M6275" i="11"/>
  <c r="M6276" i="11"/>
  <c r="M6277" i="11"/>
  <c r="M6278" i="11"/>
  <c r="M6279" i="11"/>
  <c r="M6280" i="11"/>
  <c r="M6281" i="11"/>
  <c r="M6282" i="11"/>
  <c r="M6283" i="11"/>
  <c r="M6284" i="11"/>
  <c r="M6285" i="11"/>
  <c r="M6286" i="11"/>
  <c r="M6287" i="11"/>
  <c r="M6288" i="11"/>
  <c r="M6289" i="11"/>
  <c r="M6290" i="11"/>
  <c r="M6291" i="11"/>
  <c r="M6292" i="11"/>
  <c r="M6293" i="11"/>
  <c r="M6294" i="11"/>
  <c r="M6295" i="11"/>
  <c r="M6296" i="11"/>
  <c r="M6297" i="11"/>
  <c r="M6298" i="11"/>
  <c r="M6299" i="11"/>
  <c r="M6300" i="11"/>
  <c r="M6301" i="11"/>
  <c r="M6302" i="11"/>
  <c r="M6303" i="11"/>
  <c r="M6304" i="11"/>
  <c r="M6305" i="11"/>
  <c r="M6306" i="11"/>
  <c r="M6307" i="11"/>
  <c r="M6308" i="11"/>
  <c r="M6309" i="11"/>
  <c r="M6310" i="11"/>
  <c r="M6311" i="11"/>
  <c r="M6312" i="11"/>
  <c r="M6313" i="11"/>
  <c r="M6314" i="11"/>
  <c r="M6315" i="11"/>
  <c r="M6316" i="11"/>
  <c r="M6317" i="11"/>
  <c r="M6318" i="11"/>
  <c r="M6319" i="11"/>
  <c r="M6320" i="11"/>
  <c r="M6321" i="11"/>
  <c r="M6322" i="11"/>
  <c r="M6323" i="11"/>
  <c r="M6324" i="11"/>
  <c r="M6325" i="11"/>
  <c r="M6326" i="11"/>
  <c r="M6327" i="11"/>
  <c r="M6328" i="11"/>
  <c r="M6329" i="11"/>
  <c r="M6330" i="11"/>
  <c r="M6331" i="11"/>
  <c r="M6332" i="11"/>
  <c r="M6333" i="11"/>
  <c r="M6334" i="11"/>
  <c r="M6335" i="11"/>
  <c r="M6336" i="11"/>
  <c r="M6337" i="11"/>
  <c r="M6338" i="11"/>
  <c r="M6339" i="11"/>
  <c r="M6340" i="11"/>
  <c r="M6341" i="11"/>
  <c r="M6342" i="11"/>
  <c r="M6343" i="11"/>
  <c r="M6344" i="11"/>
  <c r="M6345" i="11"/>
  <c r="M6346" i="11"/>
  <c r="M6347" i="11"/>
  <c r="M6348" i="11"/>
  <c r="M6349" i="11"/>
  <c r="M6350" i="11"/>
  <c r="M6351" i="11"/>
  <c r="M6352" i="11"/>
  <c r="M6353" i="11"/>
  <c r="M6354" i="11"/>
  <c r="M6355" i="11"/>
  <c r="M6356" i="11"/>
  <c r="M6357" i="11"/>
  <c r="M6358" i="11"/>
  <c r="M6359" i="11"/>
  <c r="M6360" i="11"/>
  <c r="M6361" i="11"/>
  <c r="M6362" i="11"/>
  <c r="M6363" i="11"/>
  <c r="M6364" i="11"/>
  <c r="M6365" i="11"/>
  <c r="M6366" i="11"/>
  <c r="M6367" i="11"/>
  <c r="M6368" i="11"/>
  <c r="M6369" i="11"/>
  <c r="M6370" i="11"/>
  <c r="M6371" i="11"/>
  <c r="M6372" i="11"/>
  <c r="M6373" i="11"/>
  <c r="M6374" i="11"/>
  <c r="M6375" i="11"/>
  <c r="M6376" i="11"/>
  <c r="M6377" i="11"/>
  <c r="M6378" i="11"/>
  <c r="M6379" i="11"/>
  <c r="M6380" i="11"/>
  <c r="M6381" i="11"/>
  <c r="M6382" i="11"/>
  <c r="M6383" i="11"/>
  <c r="M6384" i="11"/>
  <c r="M6385" i="11"/>
  <c r="M6386" i="11"/>
  <c r="M6387" i="11"/>
  <c r="M6388" i="11"/>
  <c r="M6389" i="11"/>
  <c r="M6390" i="11"/>
  <c r="M6391" i="11"/>
  <c r="M6392" i="11"/>
  <c r="M6393" i="11"/>
  <c r="M6394" i="11"/>
  <c r="M6395" i="11"/>
  <c r="M6396" i="11"/>
  <c r="M6397" i="11"/>
  <c r="M6398" i="11"/>
  <c r="M6399" i="11"/>
  <c r="M6400" i="11"/>
  <c r="M6401" i="11"/>
  <c r="M6402" i="11"/>
  <c r="M6403" i="11"/>
  <c r="M6404" i="11"/>
  <c r="M6405" i="11"/>
  <c r="M6406" i="11"/>
  <c r="M6407" i="11"/>
  <c r="M6408" i="11"/>
  <c r="M6409" i="11"/>
  <c r="M6410" i="11"/>
  <c r="M6411" i="11"/>
  <c r="M6412" i="11"/>
  <c r="M6413" i="11"/>
  <c r="M6414" i="11"/>
  <c r="M6415" i="11"/>
  <c r="M6416" i="11"/>
  <c r="M6417" i="11"/>
  <c r="M6418" i="11"/>
  <c r="M6419" i="11"/>
  <c r="M6420" i="11"/>
  <c r="M6421" i="11"/>
  <c r="M6422" i="11"/>
  <c r="M6423" i="11"/>
  <c r="M6424" i="11"/>
  <c r="M6425" i="11"/>
  <c r="M6426" i="11"/>
  <c r="M6427" i="11"/>
  <c r="M6428" i="11"/>
  <c r="M6429" i="11"/>
  <c r="M6430" i="11"/>
  <c r="M6431" i="11"/>
  <c r="M6432" i="11"/>
  <c r="M6433" i="11"/>
  <c r="M6434" i="11"/>
  <c r="M6435" i="11"/>
  <c r="M6436" i="11"/>
  <c r="M6437" i="11"/>
  <c r="M6438" i="11"/>
  <c r="M6439" i="11"/>
  <c r="M6440" i="11"/>
  <c r="M6441" i="11"/>
  <c r="M6442" i="11"/>
  <c r="M6443" i="11"/>
  <c r="M6444" i="11"/>
  <c r="M6445" i="11"/>
  <c r="M6446" i="11"/>
  <c r="M6447" i="11"/>
  <c r="M6448" i="11"/>
  <c r="M6449" i="11"/>
  <c r="M6450" i="11"/>
  <c r="M6451" i="11"/>
  <c r="M6452" i="11"/>
  <c r="M6453" i="11"/>
  <c r="M6454" i="11"/>
  <c r="M6455" i="11"/>
  <c r="M6456" i="11"/>
  <c r="M6457" i="11"/>
  <c r="M6458" i="11"/>
  <c r="M6459" i="11"/>
  <c r="M6460" i="11"/>
  <c r="M6461" i="11"/>
  <c r="M6462" i="11"/>
  <c r="M6463" i="11"/>
  <c r="M6464" i="11"/>
  <c r="M6465" i="11"/>
  <c r="M6466" i="11"/>
  <c r="M6467" i="11"/>
  <c r="M6468" i="11"/>
  <c r="M6469" i="11"/>
  <c r="M6470" i="11"/>
  <c r="M6471" i="11"/>
  <c r="M6472" i="11"/>
  <c r="M6473" i="11"/>
  <c r="M6474" i="11"/>
  <c r="M6475" i="11"/>
  <c r="M6476" i="11"/>
  <c r="M6477" i="11"/>
  <c r="M6478" i="11"/>
  <c r="M6479" i="11"/>
  <c r="M6480" i="11"/>
  <c r="M6481" i="11"/>
  <c r="M6482" i="11"/>
  <c r="M6483" i="11"/>
  <c r="M6484" i="11"/>
  <c r="M6485" i="11"/>
  <c r="M6486" i="11"/>
  <c r="M6487" i="11"/>
  <c r="M6488" i="11"/>
  <c r="M6489" i="11"/>
  <c r="M6490" i="11"/>
  <c r="M6491" i="11"/>
  <c r="M6492" i="11"/>
  <c r="M6493" i="11"/>
  <c r="M6494" i="11"/>
  <c r="M6495" i="11"/>
  <c r="M6496" i="11"/>
  <c r="M6497" i="11"/>
  <c r="M6498" i="11"/>
  <c r="M6499" i="11"/>
  <c r="M6500" i="11"/>
  <c r="M6501" i="11"/>
  <c r="M6502" i="11"/>
  <c r="M6503" i="11"/>
  <c r="M6504" i="11"/>
  <c r="M6505" i="11"/>
  <c r="M6506" i="11"/>
  <c r="M6507" i="11"/>
  <c r="M6508" i="11"/>
  <c r="M6509" i="11"/>
  <c r="M6510" i="11"/>
  <c r="M6511" i="11"/>
  <c r="M6512" i="11"/>
  <c r="M6513" i="11"/>
  <c r="M6514" i="11"/>
  <c r="M6515" i="11"/>
  <c r="M6516" i="11"/>
  <c r="M6517" i="11"/>
  <c r="M6518" i="11"/>
  <c r="M6519" i="11"/>
  <c r="M6520" i="11"/>
  <c r="M6521" i="11"/>
  <c r="M6522" i="11"/>
  <c r="M6523" i="11"/>
  <c r="M6524" i="11"/>
  <c r="M6525" i="11"/>
  <c r="M6526" i="11"/>
  <c r="M6527" i="11"/>
  <c r="M6528" i="11"/>
  <c r="M6529" i="11"/>
  <c r="M6530" i="11"/>
  <c r="M6531" i="11"/>
  <c r="M6532" i="11"/>
  <c r="M6533" i="11"/>
  <c r="M6534" i="11"/>
  <c r="M6535" i="11"/>
  <c r="M6536" i="11"/>
  <c r="M6537" i="11"/>
  <c r="M6538" i="11"/>
  <c r="M6539" i="11"/>
  <c r="M6540" i="11"/>
  <c r="M6541" i="11"/>
  <c r="M6542" i="11"/>
  <c r="M6543" i="11"/>
  <c r="M6544" i="11"/>
  <c r="M6545" i="11"/>
  <c r="M6546" i="11"/>
  <c r="M6547" i="11"/>
  <c r="M6548" i="11"/>
  <c r="M6549" i="11"/>
  <c r="M6550" i="11"/>
  <c r="M6551" i="11"/>
  <c r="M6552" i="11"/>
  <c r="M6553" i="11"/>
  <c r="M6554" i="11"/>
  <c r="M6555" i="11"/>
  <c r="M6556" i="11"/>
  <c r="M6557" i="11"/>
  <c r="M6558" i="11"/>
  <c r="M6559" i="11"/>
  <c r="M6560" i="11"/>
  <c r="M6561" i="11"/>
  <c r="M6562" i="11"/>
  <c r="M6563" i="11"/>
  <c r="M6564" i="11"/>
  <c r="M6565" i="11"/>
  <c r="M6566" i="11"/>
  <c r="M6567" i="11"/>
  <c r="M6568" i="11"/>
  <c r="M6569" i="11"/>
  <c r="M6570" i="11"/>
  <c r="M6571" i="11"/>
  <c r="M6572" i="11"/>
  <c r="M6573" i="11"/>
  <c r="M6574" i="11"/>
  <c r="M6575" i="11"/>
  <c r="M6576" i="11"/>
  <c r="M6577" i="11"/>
  <c r="M6578" i="11"/>
  <c r="M6579" i="11"/>
  <c r="M6580" i="11"/>
  <c r="M6581" i="11"/>
  <c r="M6582" i="11"/>
  <c r="M6583" i="11"/>
  <c r="M6584" i="11"/>
  <c r="M6585" i="11"/>
  <c r="M6586" i="11"/>
  <c r="M6587" i="11"/>
  <c r="M6588" i="11"/>
  <c r="M6589" i="11"/>
  <c r="M6590" i="11"/>
  <c r="M6591" i="11"/>
  <c r="M6592" i="11"/>
  <c r="M6593" i="11"/>
  <c r="M6594" i="11"/>
  <c r="M6595" i="11"/>
  <c r="M6596" i="11"/>
  <c r="M6597" i="11"/>
  <c r="M6598" i="11"/>
  <c r="M6599" i="11"/>
  <c r="M6600" i="11"/>
  <c r="M6601" i="11"/>
  <c r="M6602" i="11"/>
  <c r="M6603" i="11"/>
  <c r="M6604" i="11"/>
  <c r="M6605" i="11"/>
  <c r="M6606" i="11"/>
  <c r="M6607" i="11"/>
  <c r="M6608" i="11"/>
  <c r="M6609" i="11"/>
  <c r="M6610" i="11"/>
  <c r="M6611" i="11"/>
  <c r="M6612" i="11"/>
  <c r="M6613" i="11"/>
  <c r="M6614" i="11"/>
  <c r="M6615" i="11"/>
  <c r="M6616" i="11"/>
  <c r="M6617" i="11"/>
  <c r="M6618" i="11"/>
  <c r="M6619" i="11"/>
  <c r="M6620" i="11"/>
  <c r="M6621" i="11"/>
  <c r="M6622" i="11"/>
  <c r="M6623" i="11"/>
  <c r="M6624" i="11"/>
  <c r="M6625" i="11"/>
  <c r="M6626" i="11"/>
  <c r="M6627" i="11"/>
  <c r="M6628" i="11"/>
  <c r="M6629" i="11"/>
  <c r="M6630" i="11"/>
  <c r="M6631" i="11"/>
  <c r="M6632" i="11"/>
  <c r="M6633" i="11"/>
  <c r="M6634" i="11"/>
  <c r="M6635" i="11"/>
  <c r="M6636" i="11"/>
  <c r="M6637" i="11"/>
  <c r="M6638" i="11"/>
  <c r="M6639" i="11"/>
  <c r="M6640" i="11"/>
  <c r="M6641" i="11"/>
  <c r="M6642" i="11"/>
  <c r="M6643" i="11"/>
  <c r="M6644" i="11"/>
  <c r="M6645" i="11"/>
  <c r="M6646" i="11"/>
  <c r="M6647" i="11"/>
  <c r="M6648" i="11"/>
  <c r="M6649" i="11"/>
  <c r="M6650" i="11"/>
  <c r="M6651" i="11"/>
  <c r="M6652" i="11"/>
  <c r="M6653" i="11"/>
  <c r="M6654" i="11"/>
  <c r="M6655" i="11"/>
  <c r="M6656" i="11"/>
  <c r="M6657" i="11"/>
  <c r="M6658" i="11"/>
  <c r="M6659" i="11"/>
  <c r="M6660" i="11"/>
  <c r="M6661" i="11"/>
  <c r="M6662" i="11"/>
  <c r="M6663" i="11"/>
  <c r="M6664" i="11"/>
  <c r="M6665" i="11"/>
  <c r="M6666" i="11"/>
  <c r="M6667" i="11"/>
  <c r="M6668" i="11"/>
  <c r="M6669" i="11"/>
  <c r="M6670" i="11"/>
  <c r="M6671" i="11"/>
  <c r="M6672" i="11"/>
  <c r="M6673" i="11"/>
  <c r="M6674" i="11"/>
  <c r="M6675" i="11"/>
  <c r="M6676" i="11"/>
  <c r="M6677" i="11"/>
  <c r="M6678" i="11"/>
  <c r="M6679" i="11"/>
  <c r="M6680" i="11"/>
  <c r="M6681" i="11"/>
  <c r="M6682" i="11"/>
  <c r="M6683" i="11"/>
  <c r="M6684" i="11"/>
  <c r="M6685" i="11"/>
  <c r="M6686" i="11"/>
  <c r="M6687" i="11"/>
  <c r="M6688" i="11"/>
  <c r="M6689" i="11"/>
  <c r="M6690" i="11"/>
  <c r="M6691" i="11"/>
  <c r="M6692" i="11"/>
  <c r="M6693" i="11"/>
  <c r="M6694" i="11"/>
  <c r="M6695" i="11"/>
  <c r="M6696" i="11"/>
  <c r="M6697" i="11"/>
  <c r="M6698" i="11"/>
  <c r="M6699" i="11"/>
  <c r="M6700" i="11"/>
  <c r="M6701" i="11"/>
  <c r="M6702" i="11"/>
  <c r="M6703" i="11"/>
  <c r="M6704" i="11"/>
  <c r="M6705" i="11"/>
  <c r="M6706" i="11"/>
  <c r="M6707" i="11"/>
  <c r="M6708" i="11"/>
  <c r="M6709" i="11"/>
  <c r="M6710" i="11"/>
  <c r="M6711" i="11"/>
  <c r="M6712" i="11"/>
  <c r="M6713" i="11"/>
  <c r="M6714" i="11"/>
  <c r="M6715" i="11"/>
  <c r="M6716" i="11"/>
  <c r="M6717" i="11"/>
  <c r="M6718" i="11"/>
  <c r="M6719" i="11"/>
  <c r="M6720" i="11"/>
  <c r="M6721" i="11"/>
  <c r="M6722" i="11"/>
  <c r="M6723" i="11"/>
  <c r="M6724" i="11"/>
  <c r="M6725" i="11"/>
  <c r="M6726" i="11"/>
  <c r="M6727" i="11"/>
  <c r="M6728" i="11"/>
  <c r="M6729" i="11"/>
  <c r="M6730" i="11"/>
  <c r="M6731" i="11"/>
  <c r="M6732" i="11"/>
  <c r="M6733" i="11"/>
  <c r="M6734" i="11"/>
  <c r="M6735" i="11"/>
  <c r="M6736" i="11"/>
  <c r="M6737" i="11"/>
  <c r="M6738" i="11"/>
  <c r="M6739" i="11"/>
  <c r="M6740" i="11"/>
  <c r="M6741" i="11"/>
  <c r="M6742" i="11"/>
  <c r="M6743" i="11"/>
  <c r="M6744" i="11"/>
  <c r="M6745" i="11"/>
  <c r="M6746" i="11"/>
  <c r="M6747" i="11"/>
  <c r="M6748" i="11"/>
  <c r="M6749" i="11"/>
  <c r="M6750" i="11"/>
  <c r="M6751" i="11"/>
  <c r="M6752" i="11"/>
  <c r="M6753" i="11"/>
  <c r="M6754" i="11"/>
  <c r="M6755" i="11"/>
  <c r="M6756" i="11"/>
  <c r="M6757" i="11"/>
  <c r="M6758" i="11"/>
  <c r="M6759" i="11"/>
  <c r="M6760" i="11"/>
  <c r="M6761" i="11"/>
  <c r="M6762" i="11"/>
  <c r="M6763" i="11"/>
  <c r="M6764" i="11"/>
  <c r="M6765" i="11"/>
  <c r="M6766" i="11"/>
  <c r="M6767" i="11"/>
  <c r="M6768" i="11"/>
  <c r="M6769" i="11"/>
  <c r="M6770" i="11"/>
  <c r="M6771" i="11"/>
  <c r="M6772" i="11"/>
  <c r="M6773" i="11"/>
  <c r="M6774" i="11"/>
  <c r="M6775" i="11"/>
  <c r="M6776" i="11"/>
  <c r="M6777" i="11"/>
  <c r="M6778" i="11"/>
  <c r="M6779" i="11"/>
  <c r="M6780" i="11"/>
  <c r="M6781" i="11"/>
  <c r="M6782" i="11"/>
  <c r="M6783" i="11"/>
  <c r="M6784" i="11"/>
  <c r="M6785" i="11"/>
  <c r="M6786" i="11"/>
  <c r="M6787" i="11"/>
  <c r="M6788" i="11"/>
  <c r="M6789" i="11"/>
  <c r="M6790" i="11"/>
  <c r="M6791" i="11"/>
  <c r="M6792" i="11"/>
  <c r="M6793" i="11"/>
  <c r="M6794" i="11"/>
  <c r="M6795" i="11"/>
  <c r="M6796" i="11"/>
  <c r="M6797" i="11"/>
  <c r="M6798" i="11"/>
  <c r="M6799" i="11"/>
  <c r="M6800" i="11"/>
  <c r="M6801" i="11"/>
  <c r="M6802" i="11"/>
  <c r="M6803" i="11"/>
  <c r="M6804" i="11"/>
  <c r="M6805" i="11"/>
  <c r="M6806" i="11"/>
  <c r="M6807" i="11"/>
  <c r="M6808" i="11"/>
  <c r="M6809" i="11"/>
  <c r="M6810" i="11"/>
  <c r="M6811" i="11"/>
  <c r="M6812" i="11"/>
  <c r="M6813" i="11"/>
  <c r="M6814" i="11"/>
  <c r="M6815" i="11"/>
  <c r="M6816" i="11"/>
  <c r="M6817" i="11"/>
  <c r="M6818" i="11"/>
  <c r="M6819" i="11"/>
  <c r="M6820" i="11"/>
  <c r="M6821" i="11"/>
  <c r="M6822" i="11"/>
  <c r="M6823" i="11"/>
  <c r="M6824" i="11"/>
  <c r="M6825" i="11"/>
  <c r="M6826" i="11"/>
  <c r="M6827" i="11"/>
  <c r="M6828" i="11"/>
  <c r="M6829" i="11"/>
  <c r="M6830" i="11"/>
  <c r="M6831" i="11"/>
  <c r="M6832" i="11"/>
  <c r="M6833" i="11"/>
  <c r="M6834" i="11"/>
  <c r="M6835" i="11"/>
  <c r="M6836" i="11"/>
  <c r="M6837" i="11"/>
  <c r="M6838" i="11"/>
  <c r="M6839" i="11"/>
  <c r="M6840" i="11"/>
  <c r="M6841" i="11"/>
  <c r="M6842" i="11"/>
  <c r="M6843" i="11"/>
  <c r="M6844" i="11"/>
  <c r="M6845" i="11"/>
  <c r="M6846" i="11"/>
  <c r="M6847" i="11"/>
  <c r="M6848" i="11"/>
  <c r="M6849" i="11"/>
  <c r="M6850" i="11"/>
  <c r="M6851" i="11"/>
  <c r="M6852" i="11"/>
  <c r="M6853" i="11"/>
  <c r="M6854" i="11"/>
  <c r="M6855" i="11"/>
  <c r="M6856" i="11"/>
  <c r="M6857" i="11"/>
  <c r="M6858" i="11"/>
  <c r="M6859" i="11"/>
  <c r="M6860" i="11"/>
  <c r="M6861" i="11"/>
  <c r="M6862" i="11"/>
  <c r="M6863" i="11"/>
  <c r="M6864" i="11"/>
  <c r="M6865" i="11"/>
  <c r="M6866" i="11"/>
  <c r="M6867" i="11"/>
  <c r="M6868" i="11"/>
  <c r="M6869" i="11"/>
  <c r="M6870" i="11"/>
  <c r="M6871" i="11"/>
  <c r="M6872" i="11"/>
  <c r="M6873" i="11"/>
  <c r="M6874" i="11"/>
  <c r="M6875" i="11"/>
  <c r="M6876" i="11"/>
  <c r="M6877" i="11"/>
  <c r="M6878" i="11"/>
  <c r="M6879" i="11"/>
  <c r="M6880" i="11"/>
  <c r="M6881" i="11"/>
  <c r="M6882" i="11"/>
  <c r="M6883" i="11"/>
  <c r="M6884" i="11"/>
  <c r="M6885" i="11"/>
  <c r="M6886" i="11"/>
  <c r="M6887" i="11"/>
  <c r="M6888" i="11"/>
  <c r="M6889" i="11"/>
  <c r="M6890" i="11"/>
  <c r="M6891" i="11"/>
  <c r="M6892" i="11"/>
  <c r="M6893" i="11"/>
  <c r="M6894" i="11"/>
  <c r="M6895" i="11"/>
  <c r="M6896" i="11"/>
  <c r="M6897" i="11"/>
  <c r="M6898" i="11"/>
  <c r="M6899" i="11"/>
  <c r="M6900" i="11"/>
  <c r="M6901" i="11"/>
  <c r="M6902" i="11"/>
  <c r="M6903" i="11"/>
  <c r="M6904" i="11"/>
  <c r="M6905" i="11"/>
  <c r="M6906" i="11"/>
  <c r="M6907" i="11"/>
  <c r="M6908" i="11"/>
  <c r="M6909" i="11"/>
  <c r="M6910" i="11"/>
  <c r="M6911" i="11"/>
  <c r="M6912" i="11"/>
  <c r="M6913" i="11"/>
  <c r="M6914" i="11"/>
  <c r="M6915" i="11"/>
  <c r="M6916" i="11"/>
  <c r="M6917" i="11"/>
  <c r="M6918" i="11"/>
  <c r="M6919" i="11"/>
  <c r="M6920" i="11"/>
  <c r="M6921" i="11"/>
  <c r="M6922" i="11"/>
  <c r="M6923" i="11"/>
  <c r="M6924" i="11"/>
  <c r="M6925" i="11"/>
  <c r="M6926" i="11"/>
  <c r="M6927" i="11"/>
  <c r="M6928" i="11"/>
  <c r="M6929" i="11"/>
  <c r="M6930" i="11"/>
  <c r="M6931" i="11"/>
  <c r="M6932" i="11"/>
  <c r="M6933" i="11"/>
  <c r="M6934" i="11"/>
  <c r="M6935" i="11"/>
  <c r="M6936" i="11"/>
  <c r="M6937" i="11"/>
  <c r="M6938" i="11"/>
  <c r="M6939" i="11"/>
  <c r="M6940" i="11"/>
  <c r="M6941" i="11"/>
  <c r="M6942" i="11"/>
  <c r="M6943" i="11"/>
  <c r="M6944" i="11"/>
  <c r="M6945" i="11"/>
  <c r="M6946" i="11"/>
  <c r="M6947" i="11"/>
  <c r="M6948" i="11"/>
  <c r="M6949" i="11"/>
  <c r="M6950" i="11"/>
  <c r="M6951" i="11"/>
  <c r="M6952" i="11"/>
  <c r="M6953" i="11"/>
  <c r="M6954" i="11"/>
  <c r="M6955" i="11"/>
  <c r="M6956" i="11"/>
  <c r="M6957" i="11"/>
  <c r="M6958" i="11"/>
  <c r="M6959" i="11"/>
  <c r="M6960" i="11"/>
  <c r="M6961" i="11"/>
  <c r="M6962" i="11"/>
  <c r="M6963" i="11"/>
  <c r="M6964" i="11"/>
  <c r="M6965" i="11"/>
  <c r="M6966" i="11"/>
  <c r="M6967" i="11"/>
  <c r="M6968" i="11"/>
  <c r="M6969" i="11"/>
  <c r="M6970" i="11"/>
  <c r="M6971" i="11"/>
  <c r="M6972" i="11"/>
  <c r="M6973" i="11"/>
  <c r="M6974" i="11"/>
  <c r="M6975" i="11"/>
  <c r="M6976" i="11"/>
  <c r="M6977" i="11"/>
  <c r="M6978" i="11"/>
  <c r="M6979" i="11"/>
  <c r="M6980" i="11"/>
  <c r="M6981" i="11"/>
  <c r="M6982" i="11"/>
  <c r="M6983" i="11"/>
  <c r="M6984" i="11"/>
  <c r="M6985" i="11"/>
  <c r="M6986" i="11"/>
  <c r="M6987" i="11"/>
  <c r="M6988" i="11"/>
  <c r="M6989" i="11"/>
  <c r="M6990" i="11"/>
  <c r="M6991" i="11"/>
  <c r="M6992" i="11"/>
  <c r="M6993" i="11"/>
  <c r="M6994" i="11"/>
  <c r="M6995" i="11"/>
  <c r="M6996" i="11"/>
  <c r="M6997" i="11"/>
  <c r="M6998" i="11"/>
  <c r="M6999" i="11"/>
  <c r="M7000" i="11"/>
  <c r="M7001" i="11"/>
  <c r="M7002" i="11"/>
  <c r="M7003" i="11"/>
  <c r="M7004" i="11"/>
  <c r="M7005" i="11"/>
  <c r="M7006" i="11"/>
  <c r="M7007" i="11"/>
  <c r="M7008" i="11"/>
  <c r="M7009" i="11"/>
  <c r="M7010" i="11"/>
  <c r="M7011" i="11"/>
  <c r="M7012" i="11"/>
  <c r="M7013" i="11"/>
  <c r="M7014" i="11"/>
  <c r="M7015" i="11"/>
  <c r="M7016" i="11"/>
  <c r="M7017" i="11"/>
  <c r="M7018" i="11"/>
  <c r="M7019" i="11"/>
  <c r="M7020" i="11"/>
  <c r="M7021" i="11"/>
  <c r="M7022" i="11"/>
  <c r="M7023" i="11"/>
  <c r="M7024" i="11"/>
  <c r="M7025" i="11"/>
  <c r="M7026" i="11"/>
  <c r="M7027" i="11"/>
  <c r="M7028" i="11"/>
  <c r="M7029" i="11"/>
  <c r="M7030" i="11"/>
  <c r="M7031" i="11"/>
  <c r="M7032" i="11"/>
  <c r="M7033" i="11"/>
  <c r="M7034" i="11"/>
  <c r="M7035" i="11"/>
  <c r="M7036" i="11"/>
  <c r="M7037" i="11"/>
  <c r="M7038" i="11"/>
  <c r="M7039" i="11"/>
  <c r="M7040" i="11"/>
  <c r="M7041" i="11"/>
  <c r="M7042" i="11"/>
  <c r="M7043" i="11"/>
  <c r="M7044" i="11"/>
  <c r="M7045" i="11"/>
  <c r="M7046" i="11"/>
  <c r="M7047" i="11"/>
  <c r="M7048" i="11"/>
  <c r="M7049" i="11"/>
  <c r="M7050" i="11"/>
  <c r="M7051" i="11"/>
  <c r="M7052" i="11"/>
  <c r="M7053" i="11"/>
  <c r="M7054" i="11"/>
  <c r="M7055" i="11"/>
  <c r="M7056" i="11"/>
  <c r="M7057" i="11"/>
  <c r="M7058" i="11"/>
  <c r="M7059" i="11"/>
  <c r="M7060" i="11"/>
  <c r="M7061" i="11"/>
  <c r="M7062" i="11"/>
  <c r="M7063" i="11"/>
  <c r="M7064" i="11"/>
  <c r="M7065" i="11"/>
  <c r="M7066" i="11"/>
  <c r="M7067" i="11"/>
  <c r="M7068" i="11"/>
  <c r="M7069" i="11"/>
  <c r="M7070" i="11"/>
  <c r="M7071" i="11"/>
  <c r="M7072" i="11"/>
  <c r="M7073" i="11"/>
  <c r="M7074" i="11"/>
  <c r="M7075" i="11"/>
  <c r="M7076" i="11"/>
  <c r="M7077" i="11"/>
  <c r="M7078" i="11"/>
  <c r="M7079" i="11"/>
  <c r="M7080" i="11"/>
  <c r="M7081" i="11"/>
  <c r="M7082" i="11"/>
  <c r="M7083" i="11"/>
  <c r="M7084" i="11"/>
  <c r="M7085" i="11"/>
  <c r="M7086" i="11"/>
  <c r="M7087" i="11"/>
  <c r="M7088" i="11"/>
  <c r="M7089" i="11"/>
  <c r="M7090" i="11"/>
  <c r="M7091" i="11"/>
  <c r="M7092" i="11"/>
  <c r="M7093" i="11"/>
  <c r="M7094" i="11"/>
  <c r="M7095" i="11"/>
  <c r="M7096" i="11"/>
  <c r="M7097" i="11"/>
  <c r="M7098" i="11"/>
  <c r="M7099" i="11"/>
  <c r="M7100" i="11"/>
  <c r="M7101" i="11"/>
  <c r="M7102" i="11"/>
  <c r="M7103" i="11"/>
  <c r="M7104" i="11"/>
  <c r="M7105" i="11"/>
  <c r="M7106" i="11"/>
  <c r="M7107" i="11"/>
  <c r="M7108" i="11"/>
  <c r="M7109" i="11"/>
  <c r="M7110" i="11"/>
  <c r="M7111" i="11"/>
  <c r="M7112" i="11"/>
  <c r="M7113" i="11"/>
  <c r="M7114" i="11"/>
  <c r="M7115" i="11"/>
  <c r="M7116" i="11"/>
  <c r="M7117" i="11"/>
  <c r="M7118" i="11"/>
  <c r="M7119" i="11"/>
  <c r="M7120" i="11"/>
  <c r="M7121" i="11"/>
  <c r="M7122" i="11"/>
  <c r="M7123" i="11"/>
  <c r="M7124" i="11"/>
  <c r="M7125" i="11"/>
  <c r="M7126" i="11"/>
  <c r="M7127" i="11"/>
  <c r="M7128" i="11"/>
  <c r="M7129" i="11"/>
  <c r="M7130" i="11"/>
  <c r="M7131" i="11"/>
  <c r="M7132" i="11"/>
  <c r="M7133" i="11"/>
  <c r="M7134" i="11"/>
  <c r="M7135" i="11"/>
  <c r="M7136" i="11"/>
  <c r="M7137" i="11"/>
  <c r="M7138" i="11"/>
  <c r="M7139" i="11"/>
  <c r="M7140" i="11"/>
  <c r="M7141" i="11"/>
  <c r="M7142" i="11"/>
  <c r="M7143" i="11"/>
  <c r="M7144" i="11"/>
  <c r="M7145" i="11"/>
  <c r="M7146" i="11"/>
  <c r="M7147" i="11"/>
  <c r="M7148" i="11"/>
  <c r="M7149" i="11"/>
  <c r="M7150" i="11"/>
  <c r="M7151" i="11"/>
  <c r="M7152" i="11"/>
  <c r="M7153" i="11"/>
  <c r="M7154" i="11"/>
  <c r="M7155" i="11"/>
  <c r="M7156" i="11"/>
  <c r="M7157" i="11"/>
  <c r="M7158" i="11"/>
  <c r="M7159" i="11"/>
  <c r="M7160" i="11"/>
  <c r="M7161" i="11"/>
  <c r="M7162" i="11"/>
  <c r="M7163" i="11"/>
  <c r="M7164" i="11"/>
  <c r="M7165" i="11"/>
  <c r="M7166" i="11"/>
  <c r="M7167" i="11"/>
  <c r="M7168" i="11"/>
  <c r="M7169" i="11"/>
  <c r="M7170" i="11"/>
  <c r="M7171" i="11"/>
  <c r="M7172" i="11"/>
  <c r="M7173" i="11"/>
  <c r="M7174" i="11"/>
  <c r="M7175" i="11"/>
  <c r="M7176" i="11"/>
  <c r="M7177" i="11"/>
  <c r="M7178" i="11"/>
  <c r="M7179" i="11"/>
  <c r="M7180" i="11"/>
  <c r="M7181" i="11"/>
  <c r="M7182" i="11"/>
  <c r="M7183" i="11"/>
  <c r="M7184" i="11"/>
  <c r="M7185" i="11"/>
  <c r="M7186" i="11"/>
  <c r="M7187" i="11"/>
  <c r="M7188" i="11"/>
  <c r="M7189" i="11"/>
  <c r="M7190" i="11"/>
  <c r="M7191" i="11"/>
  <c r="M7192" i="11"/>
  <c r="M7193" i="11"/>
  <c r="M7194" i="11"/>
  <c r="M7195" i="11"/>
  <c r="M7196" i="11"/>
  <c r="M7197" i="11"/>
  <c r="M7198" i="11"/>
  <c r="M7199" i="11"/>
  <c r="M7200" i="11"/>
  <c r="M7201" i="11"/>
  <c r="M7202" i="11"/>
  <c r="M7203" i="11"/>
  <c r="M7204" i="11"/>
  <c r="M7205" i="11"/>
  <c r="M7206" i="11"/>
  <c r="M7207" i="11"/>
  <c r="M7208" i="11"/>
  <c r="M7209" i="11"/>
  <c r="M7210" i="11"/>
  <c r="M7211" i="11"/>
  <c r="M7212" i="11"/>
  <c r="M7213" i="11"/>
  <c r="M7214" i="11"/>
  <c r="M7215" i="11"/>
  <c r="M7216" i="11"/>
  <c r="M7217" i="11"/>
  <c r="M7218" i="11"/>
  <c r="M7219" i="11"/>
  <c r="M7220" i="11"/>
  <c r="M7221" i="11"/>
  <c r="M7222" i="11"/>
  <c r="M7223" i="11"/>
  <c r="M7224" i="11"/>
  <c r="M7225" i="11"/>
  <c r="M7226" i="11"/>
  <c r="M7227" i="11"/>
  <c r="M7228" i="11"/>
  <c r="M7229" i="11"/>
  <c r="M7230" i="11"/>
  <c r="M7231" i="11"/>
  <c r="M7232" i="11"/>
  <c r="M7233" i="11"/>
  <c r="M7234" i="11"/>
  <c r="M7235" i="11"/>
  <c r="M7236" i="11"/>
  <c r="M7237" i="11"/>
  <c r="M7238" i="11"/>
  <c r="M7239" i="11"/>
  <c r="M7240" i="11"/>
  <c r="M7241" i="11"/>
  <c r="M7242" i="11"/>
  <c r="M7243" i="11"/>
  <c r="M7244" i="11"/>
  <c r="M7245" i="11"/>
  <c r="M7246" i="11"/>
  <c r="M7247" i="11"/>
  <c r="M7248" i="11"/>
  <c r="M7249" i="11"/>
  <c r="M7250" i="11"/>
  <c r="M7251" i="11"/>
  <c r="M7252" i="11"/>
  <c r="M7253" i="11"/>
  <c r="M7254" i="11"/>
  <c r="M7255" i="11"/>
  <c r="M7256" i="11"/>
  <c r="M7257" i="11"/>
  <c r="M7258" i="11"/>
  <c r="M7259" i="11"/>
  <c r="M7260" i="11"/>
  <c r="M7261" i="11"/>
  <c r="M7262" i="11"/>
  <c r="M7263" i="11"/>
  <c r="M7264" i="11"/>
  <c r="M7265" i="11"/>
  <c r="M7266" i="11"/>
  <c r="M7267" i="11"/>
  <c r="M7268" i="11"/>
  <c r="M7269" i="11"/>
  <c r="M7270" i="11"/>
  <c r="M7271" i="11"/>
  <c r="M7272" i="11"/>
  <c r="M7273" i="11"/>
  <c r="M7274" i="11"/>
  <c r="M7275" i="11"/>
  <c r="M7276" i="11"/>
  <c r="M7277" i="11"/>
  <c r="M7278" i="11"/>
  <c r="M7279" i="11"/>
  <c r="M7280" i="11"/>
  <c r="M7281" i="11"/>
  <c r="M7282" i="11"/>
  <c r="M7283" i="11"/>
  <c r="M7284" i="11"/>
  <c r="M7285" i="11"/>
  <c r="M7286" i="11"/>
  <c r="M7287" i="11"/>
  <c r="M7288" i="11"/>
  <c r="M7289" i="11"/>
  <c r="M7290" i="11"/>
  <c r="M7291" i="11"/>
  <c r="M7292" i="11"/>
  <c r="M7293" i="11"/>
  <c r="M7294" i="11"/>
  <c r="M7295" i="11"/>
  <c r="M7296" i="11"/>
  <c r="M7297" i="11"/>
  <c r="M7298" i="11"/>
  <c r="M7299" i="11"/>
  <c r="M7300" i="11"/>
  <c r="M7301" i="11"/>
  <c r="M7302" i="11"/>
  <c r="M7303" i="11"/>
  <c r="M7304" i="11"/>
  <c r="M7305" i="11"/>
  <c r="M7306" i="11"/>
  <c r="M7307" i="11"/>
  <c r="M7308" i="11"/>
  <c r="M7309" i="11"/>
  <c r="M7310" i="11"/>
  <c r="M7311" i="11"/>
  <c r="M7312" i="11"/>
  <c r="M7313" i="11"/>
  <c r="M7314" i="11"/>
  <c r="M7315" i="11"/>
  <c r="M7316" i="11"/>
  <c r="M7317" i="11"/>
  <c r="M7318" i="11"/>
  <c r="M7319" i="11"/>
  <c r="M7320" i="11"/>
  <c r="M7321" i="11"/>
  <c r="M7322" i="11"/>
  <c r="M7323" i="11"/>
  <c r="M7324" i="11"/>
  <c r="M7325" i="11"/>
  <c r="M7326" i="11"/>
  <c r="M7327" i="11"/>
  <c r="M7328" i="11"/>
  <c r="M7329" i="11"/>
  <c r="M7330" i="11"/>
  <c r="M7331" i="11"/>
  <c r="M7332" i="11"/>
  <c r="M7333" i="11"/>
  <c r="M7334" i="11"/>
  <c r="M7335" i="11"/>
  <c r="M7336" i="11"/>
  <c r="M7337" i="11"/>
  <c r="M7338" i="11"/>
  <c r="M7339" i="11"/>
  <c r="M7340" i="11"/>
  <c r="M7341" i="11"/>
  <c r="M7342" i="11"/>
  <c r="M7343" i="11"/>
  <c r="M7344" i="11"/>
  <c r="M7345" i="11"/>
  <c r="M7346" i="11"/>
  <c r="M7347" i="11"/>
  <c r="M7348" i="11"/>
  <c r="M7349" i="11"/>
  <c r="M7350" i="11"/>
  <c r="M7351" i="11"/>
  <c r="M7352" i="11"/>
  <c r="M7353" i="11"/>
  <c r="M7354" i="11"/>
  <c r="M7355" i="11"/>
  <c r="M7356" i="11"/>
  <c r="M7357" i="11"/>
  <c r="M7358" i="11"/>
  <c r="M7359" i="11"/>
  <c r="M7360" i="11"/>
  <c r="M7361" i="11"/>
  <c r="M7362" i="11"/>
  <c r="M7363" i="11"/>
  <c r="M7364" i="11"/>
  <c r="M7365" i="11"/>
  <c r="M7366" i="11"/>
  <c r="M7367" i="11"/>
  <c r="M7368" i="11"/>
  <c r="M7369" i="11"/>
  <c r="M7370" i="11"/>
  <c r="M7371" i="11"/>
  <c r="M7372" i="11"/>
  <c r="M7373" i="11"/>
  <c r="M7374" i="11"/>
  <c r="M7375" i="11"/>
  <c r="M7376" i="11"/>
  <c r="M7377" i="11"/>
  <c r="M7378" i="11"/>
  <c r="M7379" i="11"/>
  <c r="M7380" i="11"/>
  <c r="M7381" i="11"/>
  <c r="M7382" i="11"/>
  <c r="M7383" i="11"/>
  <c r="M7384" i="11"/>
  <c r="M7385" i="11"/>
  <c r="M7386" i="11"/>
  <c r="M7387" i="11"/>
  <c r="M7388" i="11"/>
  <c r="M7389" i="11"/>
  <c r="M7390" i="11"/>
  <c r="M7391" i="11"/>
  <c r="M7392" i="11"/>
  <c r="M7393" i="11"/>
  <c r="M7394" i="11"/>
  <c r="M7395" i="11"/>
  <c r="M7396" i="11"/>
  <c r="M7397" i="11"/>
  <c r="M7398" i="11"/>
  <c r="M7399" i="11"/>
  <c r="M7400" i="11"/>
  <c r="M7401" i="11"/>
  <c r="M7402" i="11"/>
  <c r="M7403" i="11"/>
  <c r="M7404" i="11"/>
  <c r="M7405" i="11"/>
  <c r="M7406" i="11"/>
  <c r="M7407" i="11"/>
  <c r="M7408" i="11"/>
  <c r="M7409" i="11"/>
  <c r="M7410" i="11"/>
  <c r="M7411" i="11"/>
  <c r="M7412" i="11"/>
  <c r="M7413" i="11"/>
  <c r="M7414" i="11"/>
  <c r="M7415" i="11"/>
  <c r="M7416" i="11"/>
  <c r="M7417" i="11"/>
  <c r="M7418" i="11"/>
  <c r="M7419" i="11"/>
  <c r="M7420" i="11"/>
  <c r="M7421" i="11"/>
  <c r="M7422" i="11"/>
  <c r="M7423" i="11"/>
  <c r="M7424" i="11"/>
  <c r="M7425" i="11"/>
  <c r="M7426" i="11"/>
  <c r="M7427" i="11"/>
  <c r="M7428" i="11"/>
  <c r="M7429" i="11"/>
  <c r="M7430" i="11"/>
  <c r="M7431" i="11"/>
  <c r="M7432" i="11"/>
  <c r="M7433" i="11"/>
  <c r="M7434" i="11"/>
  <c r="M7435" i="11"/>
  <c r="M7436" i="11"/>
  <c r="M7437" i="11"/>
  <c r="M7438" i="11"/>
  <c r="M7439" i="11"/>
  <c r="M7440" i="11"/>
  <c r="M7441" i="11"/>
  <c r="M7442" i="11"/>
  <c r="M7443" i="11"/>
  <c r="M7444" i="11"/>
  <c r="M7445" i="11"/>
  <c r="M7446" i="11"/>
  <c r="M7447" i="11"/>
  <c r="M7448" i="11"/>
  <c r="M7449" i="11"/>
  <c r="M7450" i="11"/>
  <c r="M7451" i="11"/>
  <c r="M7452" i="11"/>
  <c r="M7453" i="11"/>
  <c r="M7454" i="11"/>
  <c r="M7455" i="11"/>
  <c r="M7456" i="11"/>
  <c r="M7457" i="11"/>
  <c r="M7458" i="11"/>
  <c r="M7459" i="11"/>
  <c r="M7460" i="11"/>
  <c r="M7461" i="11"/>
  <c r="M7462" i="11"/>
  <c r="M7463" i="11"/>
  <c r="M7464" i="11"/>
  <c r="M7465" i="11"/>
  <c r="M7466" i="11"/>
  <c r="M7467" i="11"/>
  <c r="M7468" i="11"/>
  <c r="M7469" i="11"/>
  <c r="M7470" i="11"/>
  <c r="M7471" i="11"/>
  <c r="M7472" i="11"/>
  <c r="M7473" i="11"/>
  <c r="M7474" i="11"/>
  <c r="M7475" i="11"/>
  <c r="M7476" i="11"/>
  <c r="M7477" i="11"/>
  <c r="M7478" i="11"/>
  <c r="M7479" i="11"/>
  <c r="M7480" i="11"/>
  <c r="M7481" i="11"/>
  <c r="M7482" i="11"/>
  <c r="M7483" i="11"/>
  <c r="M7484" i="11"/>
  <c r="M7485" i="11"/>
  <c r="M7486" i="11"/>
  <c r="M7487" i="11"/>
  <c r="M7488" i="11"/>
  <c r="M7489" i="11"/>
  <c r="M7490" i="11"/>
  <c r="M7491" i="11"/>
  <c r="M7492" i="11"/>
  <c r="M7493" i="11"/>
  <c r="M7494" i="11"/>
  <c r="M7495" i="11"/>
  <c r="M7496" i="11"/>
  <c r="M7497" i="11"/>
  <c r="M7498" i="11"/>
  <c r="M7499" i="11"/>
  <c r="M7500" i="11"/>
  <c r="M7501" i="11"/>
  <c r="M7502" i="11"/>
  <c r="M7503" i="11"/>
  <c r="M7504" i="11"/>
  <c r="M7505" i="11"/>
  <c r="M7506" i="11"/>
  <c r="M7507" i="11"/>
  <c r="M7508" i="11"/>
  <c r="M7509" i="11"/>
  <c r="M7510" i="11"/>
  <c r="M7511" i="11"/>
  <c r="M7512" i="11"/>
  <c r="M7513" i="11"/>
  <c r="M7514" i="11"/>
  <c r="M7515" i="11"/>
  <c r="M7516" i="11"/>
  <c r="M7517" i="11"/>
  <c r="M7518" i="11"/>
  <c r="M7519" i="11"/>
  <c r="M7520" i="11"/>
  <c r="M7521" i="11"/>
  <c r="M7522" i="11"/>
  <c r="M7523" i="11"/>
  <c r="M7524" i="11"/>
  <c r="M7525" i="11"/>
  <c r="M7526" i="11"/>
  <c r="M7527" i="11"/>
  <c r="M7528" i="11"/>
  <c r="M7529" i="11"/>
  <c r="M7530" i="11"/>
  <c r="M7531" i="11"/>
  <c r="M7532" i="11"/>
  <c r="M7533" i="11"/>
  <c r="M7534" i="11"/>
  <c r="M7535" i="11"/>
  <c r="M7536" i="11"/>
  <c r="M7537" i="11"/>
  <c r="M7538" i="11"/>
  <c r="M7539" i="11"/>
  <c r="M7540" i="11"/>
  <c r="M7541" i="11"/>
  <c r="M7542" i="11"/>
  <c r="M7543" i="11"/>
  <c r="M7544" i="11"/>
  <c r="M7545" i="11"/>
  <c r="M7546" i="11"/>
  <c r="M7547" i="11"/>
  <c r="M7548" i="11"/>
  <c r="M7549" i="11"/>
  <c r="M7550" i="11"/>
  <c r="M7551" i="11"/>
  <c r="M7552" i="11"/>
  <c r="M7553" i="11"/>
  <c r="M7554" i="11"/>
  <c r="M7555" i="11"/>
  <c r="M7556" i="11"/>
  <c r="M7557" i="11"/>
  <c r="M7558" i="11"/>
  <c r="M7559" i="11"/>
  <c r="M7560" i="11"/>
  <c r="M7561" i="11"/>
  <c r="M7562" i="11"/>
  <c r="M7563" i="11"/>
  <c r="M7564" i="11"/>
  <c r="M7565" i="11"/>
  <c r="M7566" i="11"/>
  <c r="M7567" i="11"/>
  <c r="M7568" i="11"/>
  <c r="M7569" i="11"/>
  <c r="M7570" i="11"/>
  <c r="M7571" i="11"/>
  <c r="M7572" i="11"/>
  <c r="M7573" i="11"/>
  <c r="M7574" i="11"/>
  <c r="M7575" i="11"/>
  <c r="M7576" i="11"/>
  <c r="M7577" i="11"/>
  <c r="M7578" i="11"/>
  <c r="M7579" i="11"/>
  <c r="M7580" i="11"/>
  <c r="M7581" i="11"/>
  <c r="M7582" i="11"/>
  <c r="M7583" i="11"/>
  <c r="M7584" i="11"/>
  <c r="M7585" i="11"/>
  <c r="M7586" i="11"/>
  <c r="M7587" i="11"/>
  <c r="M7588" i="11"/>
  <c r="M7589" i="11"/>
  <c r="M7590" i="11"/>
  <c r="M7591" i="11"/>
  <c r="M7592" i="11"/>
  <c r="M7593" i="11"/>
  <c r="M7594" i="11"/>
  <c r="M7595" i="11"/>
  <c r="M7596" i="11"/>
  <c r="M7597" i="11"/>
  <c r="M7598" i="11"/>
  <c r="M7599" i="11"/>
  <c r="M7600" i="11"/>
  <c r="M7601" i="11"/>
  <c r="M7602" i="11"/>
  <c r="M7603" i="11"/>
  <c r="M7604" i="11"/>
  <c r="M7605" i="11"/>
  <c r="M7606" i="11"/>
  <c r="M7607" i="11"/>
  <c r="M7608" i="11"/>
  <c r="M7609" i="11"/>
  <c r="M7610" i="11"/>
  <c r="M7611" i="11"/>
  <c r="M7612" i="11"/>
  <c r="M7613" i="11"/>
  <c r="M7614" i="11"/>
  <c r="M7615" i="11"/>
  <c r="M7616" i="11"/>
  <c r="M7617" i="11"/>
  <c r="M7618" i="11"/>
  <c r="M7619" i="11"/>
  <c r="M7620" i="11"/>
  <c r="M7621" i="11"/>
  <c r="M7622" i="11"/>
  <c r="M7623" i="11"/>
  <c r="M7624" i="11"/>
  <c r="M7625" i="11"/>
  <c r="M7626" i="11"/>
  <c r="M7627" i="11"/>
  <c r="M7628" i="11"/>
  <c r="M7629" i="11"/>
  <c r="M7630" i="11"/>
  <c r="M7631" i="11"/>
  <c r="M7632" i="11"/>
  <c r="M7633" i="11"/>
  <c r="M7634" i="11"/>
  <c r="M7635" i="11"/>
  <c r="M7636" i="11"/>
  <c r="M7637" i="11"/>
  <c r="M7638" i="11"/>
  <c r="M7639" i="11"/>
  <c r="M7640" i="11"/>
  <c r="M7641" i="11"/>
  <c r="M7642" i="11"/>
  <c r="M7643" i="11"/>
  <c r="M7644" i="11"/>
  <c r="M7645" i="11"/>
  <c r="M7646" i="11"/>
  <c r="M7647" i="11"/>
  <c r="M7648" i="11"/>
  <c r="M7649" i="11"/>
  <c r="M7650" i="11"/>
  <c r="M7651" i="11"/>
  <c r="M7652" i="11"/>
  <c r="M7653" i="11"/>
  <c r="M7654" i="11"/>
  <c r="M7655" i="11"/>
  <c r="M7656" i="11"/>
  <c r="M7657" i="11"/>
  <c r="M7658" i="11"/>
  <c r="M7659" i="11"/>
  <c r="M7660" i="11"/>
  <c r="M7661" i="11"/>
  <c r="M7662" i="11"/>
  <c r="M7663" i="11"/>
  <c r="M7664" i="11"/>
  <c r="M7665" i="11"/>
  <c r="M7666" i="11"/>
  <c r="M7667" i="11"/>
  <c r="M7668" i="11"/>
  <c r="M7669" i="11"/>
  <c r="M7670" i="11"/>
  <c r="M7671" i="11"/>
  <c r="M7672" i="11"/>
  <c r="M7673" i="11"/>
  <c r="M7674" i="11"/>
  <c r="M7675" i="11"/>
  <c r="M7676" i="11"/>
  <c r="M7677" i="11"/>
  <c r="M7678" i="11"/>
  <c r="M7679" i="11"/>
  <c r="M7680" i="11"/>
  <c r="M7681" i="11"/>
  <c r="M7682" i="11"/>
  <c r="M7683" i="11"/>
  <c r="M7684" i="11"/>
  <c r="M7685" i="11"/>
  <c r="M7686" i="11"/>
  <c r="M7687" i="11"/>
  <c r="M7688" i="11"/>
  <c r="M7689" i="11"/>
  <c r="M7690" i="11"/>
  <c r="M7691" i="11"/>
  <c r="M7692" i="11"/>
  <c r="M7693" i="11"/>
  <c r="M7694" i="11"/>
  <c r="M7695" i="11"/>
  <c r="M7696" i="11"/>
  <c r="M7697" i="11"/>
  <c r="M7698" i="11"/>
  <c r="M7699" i="11"/>
  <c r="M7700" i="11"/>
  <c r="M7701" i="11"/>
  <c r="M7702" i="11"/>
  <c r="M7703" i="11"/>
  <c r="M7704" i="11"/>
  <c r="M7705" i="11"/>
  <c r="M7706" i="11"/>
  <c r="M7707" i="11"/>
  <c r="M7708" i="11"/>
  <c r="M7709" i="11"/>
  <c r="M7710" i="11"/>
  <c r="M7711" i="11"/>
  <c r="M7712" i="11"/>
  <c r="M7713" i="11"/>
  <c r="M7714" i="11"/>
  <c r="M7715" i="11"/>
  <c r="M7716" i="11"/>
  <c r="M7717" i="11"/>
  <c r="M7718" i="11"/>
  <c r="M7719" i="11"/>
  <c r="M7720" i="11"/>
  <c r="M7721" i="11"/>
  <c r="M7722" i="11"/>
  <c r="M7723" i="11"/>
  <c r="M7724" i="11"/>
  <c r="M7725" i="11"/>
  <c r="M7726" i="11"/>
  <c r="M7727" i="11"/>
  <c r="M7728" i="11"/>
  <c r="M7729" i="11"/>
  <c r="M7730" i="11"/>
  <c r="M7731" i="11"/>
  <c r="M7732" i="11"/>
  <c r="M7733" i="11"/>
  <c r="M7734" i="11"/>
  <c r="M7735" i="11"/>
  <c r="M7736" i="11"/>
  <c r="M7737" i="11"/>
  <c r="M7738" i="11"/>
  <c r="M7739" i="11"/>
  <c r="M7740" i="11"/>
  <c r="M7741" i="11"/>
  <c r="M7742" i="11"/>
  <c r="M7743" i="11"/>
  <c r="M7744" i="11"/>
  <c r="M7745" i="11"/>
  <c r="M7746" i="11"/>
  <c r="M7747" i="11"/>
  <c r="M7748" i="11"/>
  <c r="M7749" i="11"/>
  <c r="M7750" i="11"/>
  <c r="M7751" i="11"/>
  <c r="M7752" i="11"/>
  <c r="M7753" i="11"/>
  <c r="M7754" i="11"/>
  <c r="M7755" i="11"/>
  <c r="M7756" i="11"/>
  <c r="M7757" i="11"/>
  <c r="M7758" i="11"/>
  <c r="M7759" i="11"/>
  <c r="M7760" i="11"/>
  <c r="M7761" i="11"/>
  <c r="M7762" i="11"/>
  <c r="M7763" i="11"/>
  <c r="M7764" i="11"/>
  <c r="M7765" i="11"/>
  <c r="M7766" i="11"/>
  <c r="M7767" i="11"/>
  <c r="M7768" i="11"/>
  <c r="M7769" i="11"/>
  <c r="M7770" i="11"/>
  <c r="M7771" i="11"/>
  <c r="M7772" i="11"/>
  <c r="M7773" i="11"/>
  <c r="M7774" i="11"/>
  <c r="M7775" i="11"/>
  <c r="M7776" i="11"/>
  <c r="M7777" i="11"/>
  <c r="M7778" i="11"/>
  <c r="M7779" i="11"/>
  <c r="M7780" i="11"/>
  <c r="M7781" i="11"/>
  <c r="M7782" i="11"/>
  <c r="M7783" i="11"/>
  <c r="M7784" i="11"/>
  <c r="M7785" i="11"/>
  <c r="M7786" i="11"/>
  <c r="M7787" i="11"/>
  <c r="M7788" i="11"/>
  <c r="M7789" i="11"/>
  <c r="M7790" i="11"/>
  <c r="M7791" i="11"/>
  <c r="M7792" i="11"/>
  <c r="M7793" i="11"/>
  <c r="M7794" i="11"/>
  <c r="M7795" i="11"/>
  <c r="M7796" i="11"/>
  <c r="M7797" i="11"/>
  <c r="M7798" i="11"/>
  <c r="M7799" i="11"/>
  <c r="M7800" i="11"/>
  <c r="M7801" i="11"/>
  <c r="M7802" i="11"/>
  <c r="M7803" i="11"/>
  <c r="M7804" i="11"/>
  <c r="M7805" i="11"/>
  <c r="M7806" i="11"/>
  <c r="M7807" i="11"/>
  <c r="M7808" i="11"/>
  <c r="M7809" i="11"/>
  <c r="M7810" i="11"/>
  <c r="M7811" i="11"/>
  <c r="M7812" i="11"/>
  <c r="M7813" i="11"/>
  <c r="M7814" i="11"/>
  <c r="M7815" i="11"/>
  <c r="M7816" i="11"/>
  <c r="M7817" i="11"/>
  <c r="M7818" i="11"/>
  <c r="M7819" i="11"/>
  <c r="M7820" i="11"/>
  <c r="M7821" i="11"/>
  <c r="M7822" i="11"/>
  <c r="M7823" i="11"/>
  <c r="M7824" i="11"/>
  <c r="M7825" i="11"/>
  <c r="M7826" i="11"/>
  <c r="M7827" i="11"/>
  <c r="M7828" i="11"/>
  <c r="M7829" i="11"/>
  <c r="M7830" i="11"/>
  <c r="M7831" i="11"/>
  <c r="M7832" i="11"/>
  <c r="M7833" i="11"/>
  <c r="M7834" i="11"/>
  <c r="M7835" i="11"/>
  <c r="M7836" i="11"/>
  <c r="M7837" i="11"/>
  <c r="M7838" i="11"/>
  <c r="M7839" i="11"/>
  <c r="M7840" i="11"/>
  <c r="M7841" i="11"/>
  <c r="M7842" i="11"/>
  <c r="M7843" i="11"/>
  <c r="M7844" i="11"/>
  <c r="M7845" i="11"/>
  <c r="M7846" i="11"/>
  <c r="M7847" i="11"/>
  <c r="M7848" i="11"/>
  <c r="M7849" i="11"/>
  <c r="M7850" i="11"/>
  <c r="M7851" i="11"/>
  <c r="M7852" i="11"/>
  <c r="M7853" i="11"/>
  <c r="M7854" i="11"/>
  <c r="M7855" i="11"/>
  <c r="M7856" i="11"/>
  <c r="M7857" i="11"/>
  <c r="M7858" i="11"/>
  <c r="M7859" i="11"/>
  <c r="M7860" i="11"/>
  <c r="M7861" i="11"/>
  <c r="M7862" i="11"/>
  <c r="M7863" i="11"/>
  <c r="M7864" i="11"/>
  <c r="M7865" i="11"/>
  <c r="M7866" i="11"/>
  <c r="M7867" i="11"/>
  <c r="M7868" i="11"/>
  <c r="M7869" i="11"/>
  <c r="M7870" i="11"/>
  <c r="M7871" i="11"/>
  <c r="M7872" i="11"/>
  <c r="M7873" i="11"/>
  <c r="M7874" i="11"/>
  <c r="M7875" i="11"/>
  <c r="M7876" i="11"/>
  <c r="M7877" i="11"/>
  <c r="M7878" i="11"/>
  <c r="M7879" i="11"/>
  <c r="M7880" i="11"/>
  <c r="M7881" i="11"/>
  <c r="M7882" i="11"/>
  <c r="M7883" i="11"/>
  <c r="M7884" i="11"/>
  <c r="M7885" i="11"/>
  <c r="M7886" i="11"/>
  <c r="M7887" i="11"/>
  <c r="M7888" i="11"/>
  <c r="M7889" i="11"/>
  <c r="M7890" i="11"/>
  <c r="M7891" i="11"/>
  <c r="M7892" i="11"/>
  <c r="M7893" i="11"/>
  <c r="M7894" i="11"/>
  <c r="M7895" i="11"/>
  <c r="M7896" i="11"/>
  <c r="M7897" i="11"/>
  <c r="M7898" i="11"/>
  <c r="M7899" i="11"/>
  <c r="M7900" i="11"/>
  <c r="M7901" i="11"/>
  <c r="M7902" i="11"/>
  <c r="M7903" i="11"/>
  <c r="M7904" i="11"/>
  <c r="M7905" i="11"/>
  <c r="M7906" i="11"/>
  <c r="M7907" i="11"/>
  <c r="M7908" i="11"/>
  <c r="M7909" i="11"/>
  <c r="M7910" i="11"/>
  <c r="M7911" i="11"/>
  <c r="M7912" i="11"/>
  <c r="M7913" i="11"/>
  <c r="M7914" i="11"/>
  <c r="M7915" i="11"/>
  <c r="M7916" i="11"/>
  <c r="M7917" i="11"/>
  <c r="M7918" i="11"/>
  <c r="M7919" i="11"/>
  <c r="M7920" i="11"/>
  <c r="M7921" i="11"/>
  <c r="M7922" i="11"/>
  <c r="M7923" i="11"/>
  <c r="M7924" i="11"/>
  <c r="M7925" i="11"/>
  <c r="M7926" i="11"/>
  <c r="M7927" i="11"/>
  <c r="M7928" i="11"/>
  <c r="M7929" i="11"/>
  <c r="M7930" i="11"/>
  <c r="M7931" i="11"/>
  <c r="M7932" i="11"/>
  <c r="M7933" i="11"/>
  <c r="M7934" i="11"/>
  <c r="M7935" i="11"/>
  <c r="M7936" i="11"/>
  <c r="M7937" i="11"/>
  <c r="M7938" i="11"/>
  <c r="M7939" i="11"/>
  <c r="M7940" i="11"/>
  <c r="M7941" i="11"/>
  <c r="M7942" i="11"/>
  <c r="M7943" i="11"/>
  <c r="M7944" i="11"/>
  <c r="M7945" i="11"/>
  <c r="M7946" i="11"/>
  <c r="M7947" i="11"/>
  <c r="M7948" i="11"/>
  <c r="M7949" i="11"/>
  <c r="M7950" i="11"/>
  <c r="M7951" i="11"/>
  <c r="M7952" i="11"/>
  <c r="M7953" i="11"/>
  <c r="M7954" i="11"/>
  <c r="M7955" i="11"/>
  <c r="M7956" i="11"/>
  <c r="M7957" i="11"/>
  <c r="M7958" i="11"/>
  <c r="M7959" i="11"/>
  <c r="M7960" i="11"/>
  <c r="M7961" i="11"/>
  <c r="M7962" i="11"/>
  <c r="M7963" i="11"/>
  <c r="M7964" i="11"/>
  <c r="M7965" i="11"/>
  <c r="M7966" i="11"/>
  <c r="M7967" i="11"/>
  <c r="M7968" i="11"/>
  <c r="M7969" i="11"/>
  <c r="M7970" i="11"/>
  <c r="M7971" i="11"/>
  <c r="M7972" i="11"/>
  <c r="M7973" i="11"/>
  <c r="M7974" i="11"/>
  <c r="M7975" i="11"/>
  <c r="M7976" i="11"/>
  <c r="M7977" i="11"/>
  <c r="M7978" i="11"/>
  <c r="M7979" i="11"/>
  <c r="M7980" i="11"/>
  <c r="M7981" i="11"/>
  <c r="M7982" i="11"/>
  <c r="M7983" i="11"/>
  <c r="M7984" i="11"/>
  <c r="M7985" i="11"/>
  <c r="M7986" i="11"/>
  <c r="M7987" i="11"/>
  <c r="M7988" i="11"/>
  <c r="M7989" i="11"/>
  <c r="M7990" i="11"/>
  <c r="M7991" i="11"/>
  <c r="M7992" i="11"/>
  <c r="M7993" i="11"/>
  <c r="M7994" i="11"/>
  <c r="M7995" i="11"/>
  <c r="M7996" i="11"/>
  <c r="M7997" i="11"/>
  <c r="M7998" i="11"/>
  <c r="M7999" i="11"/>
  <c r="M8000" i="11"/>
  <c r="M8001" i="11"/>
  <c r="M8002" i="11"/>
  <c r="M8003" i="11"/>
  <c r="M8004" i="11"/>
  <c r="M8005" i="11"/>
  <c r="M8006" i="11"/>
  <c r="M8007" i="11"/>
  <c r="M8008" i="11"/>
  <c r="M8009" i="11"/>
  <c r="M8010" i="11"/>
  <c r="M8011" i="11"/>
  <c r="M8012" i="11"/>
  <c r="M8013" i="11"/>
  <c r="M8014" i="11"/>
  <c r="M8015" i="11"/>
  <c r="M8016" i="11"/>
  <c r="M8017" i="11"/>
  <c r="M8018" i="11"/>
  <c r="M8019" i="11"/>
  <c r="M8020" i="11"/>
  <c r="M8021" i="11"/>
  <c r="M8022" i="11"/>
  <c r="M8023" i="11"/>
  <c r="M8024" i="11"/>
  <c r="M8025" i="11"/>
  <c r="M8026" i="11"/>
  <c r="M8027" i="11"/>
  <c r="M8028" i="11"/>
  <c r="M8029" i="11"/>
  <c r="M8030" i="11"/>
  <c r="M8031" i="11"/>
  <c r="M8032" i="11"/>
  <c r="M8033" i="11"/>
  <c r="M8034" i="11"/>
  <c r="M8035" i="11"/>
  <c r="M8036" i="11"/>
  <c r="M8037" i="11"/>
  <c r="M8038" i="11"/>
  <c r="M8039" i="11"/>
  <c r="M8040" i="11"/>
  <c r="M8041" i="11"/>
  <c r="M8042" i="11"/>
  <c r="M8043" i="11"/>
  <c r="M8044" i="11"/>
  <c r="M8045" i="11"/>
  <c r="M8046" i="11"/>
  <c r="M8047" i="11"/>
  <c r="M8048" i="11"/>
  <c r="M8049" i="11"/>
  <c r="M8050" i="11"/>
  <c r="M8051" i="11"/>
  <c r="M8052" i="11"/>
  <c r="M8053" i="11"/>
  <c r="M8054" i="11"/>
  <c r="M8055" i="11"/>
  <c r="M8056" i="11"/>
  <c r="M8057" i="11"/>
  <c r="M8058" i="11"/>
  <c r="M8059" i="11"/>
  <c r="M8060" i="11"/>
  <c r="M8061" i="11"/>
  <c r="M8062" i="11"/>
  <c r="M8063" i="11"/>
  <c r="M8064" i="11"/>
  <c r="M8065" i="11"/>
  <c r="M8066" i="11"/>
  <c r="M8067" i="11"/>
  <c r="M8068" i="11"/>
  <c r="M8069" i="11"/>
  <c r="M8070" i="11"/>
  <c r="M8071" i="11"/>
  <c r="M8072" i="11"/>
  <c r="M8073" i="11"/>
  <c r="M8074" i="11"/>
  <c r="M8075" i="11"/>
  <c r="M8076" i="11"/>
  <c r="M8077" i="11"/>
  <c r="M8078" i="11"/>
  <c r="M8079" i="11"/>
  <c r="M8080" i="11"/>
  <c r="M8081" i="11"/>
  <c r="M8082" i="11"/>
  <c r="M8083" i="11"/>
  <c r="M8084" i="11"/>
  <c r="M8085" i="11"/>
  <c r="M8086" i="11"/>
  <c r="M8087" i="11"/>
  <c r="M8088" i="11"/>
  <c r="M8089" i="11"/>
  <c r="M8090" i="11"/>
  <c r="M8091" i="11"/>
  <c r="M8092" i="11"/>
  <c r="M8093" i="11"/>
  <c r="M8094" i="11"/>
  <c r="M8095" i="11"/>
  <c r="M8096" i="11"/>
  <c r="M8097" i="11"/>
  <c r="M8098" i="11"/>
  <c r="M8099" i="11"/>
  <c r="M8100" i="11"/>
  <c r="M8101" i="11"/>
  <c r="M8102" i="11"/>
  <c r="M8103" i="11"/>
  <c r="M8104" i="11"/>
  <c r="M8105" i="11"/>
  <c r="M8106" i="11"/>
  <c r="M8107" i="11"/>
  <c r="M8108" i="11"/>
  <c r="M8109" i="11"/>
  <c r="M8110" i="11"/>
  <c r="M8111" i="11"/>
  <c r="M8112" i="11"/>
  <c r="M8113" i="11"/>
  <c r="M8114" i="11"/>
  <c r="M8115" i="11"/>
  <c r="M8116" i="11"/>
  <c r="M8117" i="11"/>
  <c r="M8118" i="11"/>
  <c r="M8119" i="11"/>
  <c r="M8120" i="11"/>
  <c r="M8121" i="11"/>
  <c r="M8122" i="11"/>
  <c r="M8123" i="11"/>
  <c r="M8124" i="11"/>
  <c r="M8125" i="11"/>
  <c r="M8126" i="11"/>
  <c r="M8127" i="11"/>
  <c r="M8128" i="11"/>
  <c r="M8129" i="11"/>
  <c r="M8130" i="11"/>
  <c r="M8131" i="11"/>
  <c r="M8132" i="11"/>
  <c r="M8133" i="11"/>
  <c r="M8134" i="11"/>
  <c r="M8135" i="11"/>
  <c r="M8136" i="11"/>
  <c r="M8137" i="11"/>
  <c r="M8138" i="11"/>
  <c r="M8139" i="11"/>
  <c r="M8140" i="11"/>
  <c r="M8141" i="11"/>
  <c r="M8142" i="11"/>
  <c r="M8143" i="11"/>
  <c r="M8144" i="11"/>
  <c r="M8145" i="11"/>
  <c r="M8146" i="11"/>
  <c r="M8147" i="11"/>
  <c r="M8148" i="11"/>
  <c r="M8149" i="11"/>
  <c r="M8150" i="11"/>
  <c r="M8151" i="11"/>
  <c r="M8152" i="11"/>
  <c r="M8153" i="11"/>
  <c r="M8154" i="11"/>
  <c r="M8155" i="11"/>
  <c r="M8156" i="11"/>
  <c r="M8157" i="11"/>
  <c r="M8158" i="11"/>
  <c r="M8159" i="11"/>
  <c r="M8160" i="11"/>
  <c r="M8161" i="11"/>
  <c r="M8162" i="11"/>
  <c r="M8163" i="11"/>
  <c r="M8164" i="11"/>
  <c r="M8165" i="11"/>
  <c r="M8166" i="11"/>
  <c r="M8167" i="11"/>
  <c r="M8168" i="11"/>
  <c r="M8169" i="11"/>
  <c r="M8170" i="11"/>
  <c r="M8171" i="11"/>
  <c r="M8172" i="11"/>
  <c r="M8173" i="11"/>
  <c r="M8174" i="11"/>
  <c r="M8175" i="11"/>
  <c r="M8176" i="11"/>
  <c r="M8177" i="11"/>
  <c r="M8178" i="11"/>
  <c r="M8179" i="11"/>
  <c r="M8180" i="11"/>
  <c r="M8181" i="11"/>
  <c r="M8182" i="11"/>
  <c r="M8183" i="11"/>
  <c r="M8184" i="11"/>
  <c r="M8185" i="11"/>
  <c r="M8186" i="11"/>
  <c r="M8187" i="11"/>
  <c r="M8188" i="11"/>
  <c r="M8189" i="11"/>
  <c r="M8190" i="11"/>
  <c r="M8191" i="11"/>
  <c r="M8192" i="11"/>
  <c r="M8193" i="11"/>
  <c r="M8194" i="11"/>
  <c r="M8195" i="11"/>
  <c r="M8196" i="11"/>
  <c r="M8197" i="11"/>
  <c r="M8198" i="11"/>
  <c r="M8199" i="11"/>
  <c r="M8200" i="11"/>
  <c r="M8201" i="11"/>
  <c r="M8202" i="11"/>
  <c r="M8203" i="11"/>
  <c r="M8204" i="11"/>
  <c r="M8205" i="11"/>
  <c r="M8206" i="11"/>
  <c r="M8207" i="11"/>
  <c r="M8208" i="11"/>
  <c r="M8209" i="11"/>
  <c r="M8210" i="11"/>
  <c r="M8211" i="11"/>
  <c r="M8212" i="11"/>
  <c r="M8213" i="11"/>
  <c r="M8214" i="11"/>
  <c r="M8215" i="11"/>
  <c r="M8216" i="11"/>
  <c r="M8217" i="11"/>
  <c r="M8218" i="11"/>
  <c r="M8219" i="11"/>
  <c r="M8220" i="11"/>
  <c r="M8221" i="11"/>
  <c r="M8222" i="11"/>
  <c r="M8223" i="11"/>
  <c r="M8224" i="11"/>
  <c r="M8225" i="11"/>
  <c r="M8226" i="11"/>
  <c r="M8227" i="11"/>
  <c r="M8228" i="11"/>
  <c r="M8229" i="11"/>
  <c r="M8230" i="11"/>
  <c r="M8231" i="11"/>
  <c r="M8232" i="11"/>
  <c r="M8233" i="11"/>
  <c r="M8234" i="11"/>
  <c r="M8235" i="11"/>
  <c r="M8236" i="11"/>
  <c r="M8237" i="11"/>
  <c r="M8238" i="11"/>
  <c r="M8239" i="11"/>
  <c r="M8240" i="11"/>
  <c r="M8241" i="11"/>
  <c r="M8242" i="11"/>
  <c r="M8243" i="11"/>
  <c r="M8244" i="11"/>
  <c r="M8245" i="11"/>
  <c r="M8246" i="11"/>
  <c r="M8247" i="11"/>
  <c r="M8248" i="11"/>
  <c r="M8249" i="11"/>
  <c r="M8250" i="11"/>
  <c r="M8251" i="11"/>
  <c r="M8252" i="11"/>
  <c r="M8253" i="11"/>
  <c r="M8254" i="11"/>
  <c r="M8255" i="11"/>
  <c r="M8256" i="11"/>
  <c r="M8257" i="11"/>
  <c r="M8258" i="11"/>
  <c r="M8259" i="11"/>
  <c r="M8260" i="11"/>
  <c r="M8261" i="11"/>
  <c r="M8262" i="11"/>
  <c r="M8263" i="11"/>
  <c r="M8264" i="11"/>
  <c r="M8265" i="11"/>
  <c r="M8266" i="11"/>
  <c r="M8267" i="11"/>
  <c r="M8268" i="11"/>
  <c r="M8269" i="11"/>
  <c r="M8270" i="11"/>
  <c r="M8271" i="11"/>
  <c r="M8272" i="11"/>
  <c r="M8273" i="11"/>
  <c r="M8274" i="11"/>
  <c r="M8275" i="11"/>
  <c r="M8276" i="11"/>
  <c r="M8277" i="11"/>
  <c r="M8278" i="11"/>
  <c r="M8279" i="11"/>
  <c r="M8280" i="11"/>
  <c r="M8281" i="11"/>
  <c r="M8282" i="11"/>
  <c r="M8283" i="11"/>
  <c r="M8284" i="11"/>
  <c r="M8285" i="11"/>
  <c r="M8286" i="11"/>
  <c r="M8287" i="11"/>
  <c r="M8288" i="11"/>
  <c r="M8289" i="11"/>
  <c r="M8290" i="11"/>
  <c r="M8291" i="11"/>
  <c r="M8292" i="11"/>
  <c r="M8293" i="11"/>
  <c r="M8294" i="11"/>
  <c r="M8295" i="11"/>
  <c r="M8296" i="11"/>
  <c r="M8297" i="11"/>
  <c r="M8298" i="11"/>
  <c r="M8299" i="11"/>
  <c r="M8300" i="11"/>
  <c r="M8301" i="11"/>
  <c r="M8302" i="11"/>
  <c r="M8303" i="11"/>
  <c r="M8304" i="11"/>
  <c r="M8305" i="11"/>
  <c r="M8306" i="11"/>
  <c r="M8307" i="11"/>
  <c r="M8308" i="11"/>
  <c r="M8309" i="11"/>
  <c r="M8310" i="11"/>
  <c r="M8311" i="11"/>
  <c r="M8312" i="11"/>
  <c r="M8313" i="11"/>
  <c r="M8314" i="11"/>
  <c r="M8315" i="11"/>
  <c r="M8316" i="11"/>
  <c r="M8317" i="11"/>
  <c r="M8318" i="11"/>
  <c r="M8319" i="11"/>
  <c r="M8320" i="11"/>
  <c r="M8321" i="11"/>
  <c r="M8322" i="11"/>
  <c r="M8323" i="11"/>
  <c r="M8324" i="11"/>
  <c r="M8325" i="11"/>
  <c r="M8326" i="11"/>
  <c r="M8327" i="11"/>
  <c r="M8328" i="11"/>
  <c r="M8329" i="11"/>
  <c r="M8330" i="11"/>
  <c r="M8331" i="11"/>
  <c r="M8332" i="11"/>
  <c r="M8333" i="11"/>
  <c r="M8334" i="11"/>
  <c r="M8335" i="11"/>
  <c r="M8336" i="11"/>
  <c r="M8337" i="11"/>
  <c r="M8338" i="11"/>
  <c r="M8339" i="11"/>
  <c r="M8340" i="11"/>
  <c r="M8341" i="11"/>
  <c r="M8342" i="11"/>
  <c r="M8343" i="11"/>
  <c r="M8344" i="11"/>
  <c r="M8345" i="11"/>
  <c r="M8346" i="11"/>
  <c r="M8347" i="11"/>
  <c r="M8348" i="11"/>
  <c r="M8349" i="11"/>
  <c r="M8350" i="11"/>
  <c r="M8351" i="11"/>
  <c r="M8352" i="11"/>
  <c r="M8353" i="11"/>
  <c r="M8354" i="11"/>
  <c r="M8355" i="11"/>
  <c r="M8356" i="11"/>
  <c r="M8357" i="11"/>
  <c r="M8358" i="11"/>
  <c r="M8359" i="11"/>
  <c r="M8360" i="11"/>
  <c r="M8361" i="11"/>
  <c r="M8362" i="11"/>
  <c r="M8363" i="11"/>
  <c r="M8364" i="11"/>
  <c r="M8365" i="11"/>
  <c r="M8366" i="11"/>
  <c r="M8367" i="11"/>
  <c r="M8368" i="11"/>
  <c r="M8369" i="11"/>
  <c r="M8370" i="11"/>
  <c r="M8371" i="11"/>
  <c r="M8372" i="11"/>
  <c r="M8373" i="11"/>
  <c r="M8374" i="11"/>
  <c r="M8375" i="11"/>
  <c r="M8376" i="11"/>
  <c r="M8377" i="11"/>
  <c r="M8378" i="11"/>
  <c r="M8379" i="11"/>
  <c r="M8380" i="11"/>
  <c r="M8381" i="11"/>
  <c r="M8382" i="11"/>
  <c r="M8383" i="11"/>
  <c r="M8384" i="11"/>
  <c r="M8385" i="11"/>
  <c r="M8386" i="11"/>
  <c r="M8387" i="11"/>
  <c r="M8388" i="11"/>
  <c r="M8389" i="11"/>
  <c r="M8390" i="11"/>
  <c r="M8391" i="11"/>
  <c r="M8392" i="11"/>
  <c r="M8393" i="11"/>
  <c r="M8394" i="11"/>
  <c r="M8395" i="11"/>
  <c r="M8396" i="11"/>
  <c r="M8397" i="11"/>
  <c r="M8398" i="11"/>
  <c r="M8399" i="11"/>
  <c r="M8400" i="11"/>
  <c r="M8401" i="11"/>
  <c r="M8402" i="11"/>
  <c r="M8403" i="11"/>
  <c r="M8404" i="11"/>
  <c r="M8405" i="11"/>
  <c r="M8406" i="11"/>
  <c r="M8407" i="11"/>
  <c r="M8408" i="11"/>
  <c r="M8409" i="11"/>
  <c r="M8410" i="11"/>
  <c r="M12" i="11"/>
  <c r="I8410" i="11"/>
  <c r="I8409" i="11"/>
  <c r="I8408" i="11"/>
  <c r="I8407" i="11"/>
  <c r="I8406" i="11"/>
  <c r="I8405" i="11"/>
  <c r="I8404" i="11"/>
  <c r="I8403" i="11"/>
  <c r="I8402" i="11"/>
  <c r="I8401" i="11"/>
  <c r="I8400" i="11"/>
  <c r="I8399" i="11"/>
  <c r="I8398" i="11"/>
  <c r="I8397" i="11"/>
  <c r="I8396" i="11"/>
  <c r="I8395" i="11"/>
  <c r="I8394" i="11"/>
  <c r="I8393" i="11"/>
  <c r="I8392" i="11"/>
  <c r="I8391" i="11"/>
  <c r="I8390" i="11"/>
  <c r="I8389" i="11"/>
  <c r="I8388" i="11"/>
  <c r="I8387" i="11"/>
  <c r="I8386" i="11"/>
  <c r="I8385" i="11"/>
  <c r="I8384" i="11"/>
  <c r="I8383" i="11"/>
  <c r="I8382" i="11"/>
  <c r="I8381" i="11"/>
  <c r="I8380" i="11"/>
  <c r="I8379" i="11"/>
  <c r="I8378" i="11"/>
  <c r="I8377" i="11"/>
  <c r="I8376" i="11"/>
  <c r="I8375" i="11"/>
  <c r="I8374" i="11"/>
  <c r="I8373" i="11"/>
  <c r="I8372" i="11"/>
  <c r="I8371" i="11"/>
  <c r="I8370" i="11"/>
  <c r="I8369" i="11"/>
  <c r="I8368" i="11"/>
  <c r="I8367" i="11"/>
  <c r="I8366" i="11"/>
  <c r="I8365" i="11"/>
  <c r="I8364" i="11"/>
  <c r="I8363" i="11"/>
  <c r="I8362" i="11"/>
  <c r="I8361" i="11"/>
  <c r="I8360" i="11"/>
  <c r="I8359" i="11"/>
  <c r="I8358" i="11"/>
  <c r="I8357" i="11"/>
  <c r="I8356" i="11"/>
  <c r="I8355" i="11"/>
  <c r="I8354" i="11"/>
  <c r="I8353" i="11"/>
  <c r="I8352" i="11"/>
  <c r="I8351" i="11"/>
  <c r="I8350" i="11"/>
  <c r="I8349" i="11"/>
  <c r="I8348" i="11"/>
  <c r="I8347" i="11"/>
  <c r="I8346" i="11"/>
  <c r="I8345" i="11"/>
  <c r="I8344" i="11"/>
  <c r="I8343" i="11"/>
  <c r="I8342" i="11"/>
  <c r="I8341" i="11"/>
  <c r="I8340" i="11"/>
  <c r="I8339" i="11"/>
  <c r="I8338" i="11"/>
  <c r="I8337" i="11"/>
  <c r="I8336" i="11"/>
  <c r="I8335" i="11"/>
  <c r="I8334" i="11"/>
  <c r="I8333" i="11"/>
  <c r="I8332" i="11"/>
  <c r="I8331" i="11"/>
  <c r="I8330" i="11"/>
  <c r="I8329" i="11"/>
  <c r="I8328" i="11"/>
  <c r="I8327" i="11"/>
  <c r="I8326" i="11"/>
  <c r="I8325" i="11"/>
  <c r="I8324" i="11"/>
  <c r="I8323" i="11"/>
  <c r="I8322" i="11"/>
  <c r="I8321" i="11"/>
  <c r="I8320" i="11"/>
  <c r="I8319" i="11"/>
  <c r="I8318" i="11"/>
  <c r="I8317" i="11"/>
  <c r="I8316" i="11"/>
  <c r="I8315" i="11"/>
  <c r="I8314" i="11"/>
  <c r="I8313" i="11"/>
  <c r="I8312" i="11"/>
  <c r="I8311" i="11"/>
  <c r="I8310" i="11"/>
  <c r="I8309" i="11"/>
  <c r="I8308" i="11"/>
  <c r="I8307" i="11"/>
  <c r="I8306" i="11"/>
  <c r="I8305" i="11"/>
  <c r="I8304" i="11"/>
  <c r="I8303" i="11"/>
  <c r="I8302" i="11"/>
  <c r="I8301" i="11"/>
  <c r="I8300" i="11"/>
  <c r="I8299" i="11"/>
  <c r="I8298" i="11"/>
  <c r="I8297" i="11"/>
  <c r="I8296" i="11"/>
  <c r="I8295" i="11"/>
  <c r="I8294" i="11"/>
  <c r="I8293" i="11"/>
  <c r="I8292" i="11"/>
  <c r="I8291" i="11"/>
  <c r="I8290" i="11"/>
  <c r="I8289" i="11"/>
  <c r="I8288" i="11"/>
  <c r="I8287" i="11"/>
  <c r="I8286" i="11"/>
  <c r="I8285" i="11"/>
  <c r="I8284" i="11"/>
  <c r="I8283" i="11"/>
  <c r="I8282" i="11"/>
  <c r="I8281" i="11"/>
  <c r="I8280" i="11"/>
  <c r="I8279" i="11"/>
  <c r="I8278" i="11"/>
  <c r="I8277" i="11"/>
  <c r="I8276" i="11"/>
  <c r="I8275" i="11"/>
  <c r="I8274" i="11"/>
  <c r="I8273" i="11"/>
  <c r="I8272" i="11"/>
  <c r="I8271" i="11"/>
  <c r="I8270" i="11"/>
  <c r="I8269" i="11"/>
  <c r="I8268" i="11"/>
  <c r="I8267" i="11"/>
  <c r="I8266" i="11"/>
  <c r="I8265" i="11"/>
  <c r="I8264" i="11"/>
  <c r="I8263" i="11"/>
  <c r="I8262" i="11"/>
  <c r="I8261" i="11"/>
  <c r="I8260" i="11"/>
  <c r="I8259" i="11"/>
  <c r="I8258" i="11"/>
  <c r="I8257" i="11"/>
  <c r="I8256" i="11"/>
  <c r="I8255" i="11"/>
  <c r="I8254" i="11"/>
  <c r="I8253" i="11"/>
  <c r="I8252" i="11"/>
  <c r="I8251" i="11"/>
  <c r="I8250" i="11"/>
  <c r="I8249" i="11"/>
  <c r="I8248" i="11"/>
  <c r="I8247" i="11"/>
  <c r="I8246" i="11"/>
  <c r="I8245" i="11"/>
  <c r="I8244" i="11"/>
  <c r="I8243" i="11"/>
  <c r="I8242" i="11"/>
  <c r="I8241" i="11"/>
  <c r="I8240" i="11"/>
  <c r="I8239" i="11"/>
  <c r="I8238" i="11"/>
  <c r="I8237" i="11"/>
  <c r="I8236" i="11"/>
  <c r="I8235" i="11"/>
  <c r="I8234" i="11"/>
  <c r="I8233" i="11"/>
  <c r="I8232" i="11"/>
  <c r="I8231" i="11"/>
  <c r="I8230" i="11"/>
  <c r="I8229" i="11"/>
  <c r="I8228" i="11"/>
  <c r="I8227" i="11"/>
  <c r="I8226" i="11"/>
  <c r="I8225" i="11"/>
  <c r="I8224" i="11"/>
  <c r="I8223" i="11"/>
  <c r="I8222" i="11"/>
  <c r="I8221" i="11"/>
  <c r="I8220" i="11"/>
  <c r="I8219" i="11"/>
  <c r="I8218" i="11"/>
  <c r="I8217" i="11"/>
  <c r="I8216" i="11"/>
  <c r="I8215" i="11"/>
  <c r="I8214" i="11"/>
  <c r="I8213" i="11"/>
  <c r="I8212" i="11"/>
  <c r="I8211" i="11"/>
  <c r="I8210" i="11"/>
  <c r="I8209" i="11"/>
  <c r="I8208" i="11"/>
  <c r="I8207" i="11"/>
  <c r="I8206" i="11"/>
  <c r="I8205" i="11"/>
  <c r="I8204" i="11"/>
  <c r="I8203" i="11"/>
  <c r="I8202" i="11"/>
  <c r="I8201" i="11"/>
  <c r="I8200" i="11"/>
  <c r="I8199" i="11"/>
  <c r="I8198" i="11"/>
  <c r="I8197" i="11"/>
  <c r="I8196" i="11"/>
  <c r="I8195" i="11"/>
  <c r="I8194" i="11"/>
  <c r="I8193" i="11"/>
  <c r="I8192" i="11"/>
  <c r="I8191" i="11"/>
  <c r="I8190" i="11"/>
  <c r="I8189" i="11"/>
  <c r="I8188" i="11"/>
  <c r="I8187" i="11"/>
  <c r="I8186" i="11"/>
  <c r="I8185" i="11"/>
  <c r="I8184" i="11"/>
  <c r="I8183" i="11"/>
  <c r="I8182" i="11"/>
  <c r="I8181" i="11"/>
  <c r="I8180" i="11"/>
  <c r="I8179" i="11"/>
  <c r="I8178" i="11"/>
  <c r="I8177" i="11"/>
  <c r="I8176" i="11"/>
  <c r="I8175" i="11"/>
  <c r="I8174" i="11"/>
  <c r="I8173" i="11"/>
  <c r="I8172" i="11"/>
  <c r="I8171" i="11"/>
  <c r="I8170" i="11"/>
  <c r="I8169" i="11"/>
  <c r="I8168" i="11"/>
  <c r="I8167" i="11"/>
  <c r="I8166" i="11"/>
  <c r="I8165" i="11"/>
  <c r="I8164" i="11"/>
  <c r="I8163" i="11"/>
  <c r="I8162" i="11"/>
  <c r="I8161" i="11"/>
  <c r="I8160" i="11"/>
  <c r="I8159" i="11"/>
  <c r="I8158" i="11"/>
  <c r="I8157" i="11"/>
  <c r="I8156" i="11"/>
  <c r="I8155" i="11"/>
  <c r="I8154" i="11"/>
  <c r="I8153" i="11"/>
  <c r="I8152" i="11"/>
  <c r="I8151" i="11"/>
  <c r="I8150" i="11"/>
  <c r="I8149" i="11"/>
  <c r="I8148" i="11"/>
  <c r="I8147" i="11"/>
  <c r="I8146" i="11"/>
  <c r="I8145" i="11"/>
  <c r="I8144" i="11"/>
  <c r="I8143" i="11"/>
  <c r="I8142" i="11"/>
  <c r="I8141" i="11"/>
  <c r="I8140" i="11"/>
  <c r="I8139" i="11"/>
  <c r="I8138" i="11"/>
  <c r="I8137" i="11"/>
  <c r="I8136" i="11"/>
  <c r="I8135" i="11"/>
  <c r="I8134" i="11"/>
  <c r="I8133" i="11"/>
  <c r="I8132" i="11"/>
  <c r="I8131" i="11"/>
  <c r="I8130" i="11"/>
  <c r="I8129" i="11"/>
  <c r="I8128" i="11"/>
  <c r="I8127" i="11"/>
  <c r="I8126" i="11"/>
  <c r="I8125" i="11"/>
  <c r="I8124" i="11"/>
  <c r="I8123" i="11"/>
  <c r="I8122" i="11"/>
  <c r="I8121" i="11"/>
  <c r="I8120" i="11"/>
  <c r="I8119" i="11"/>
  <c r="I8118" i="11"/>
  <c r="I8117" i="11"/>
  <c r="I8116" i="11"/>
  <c r="I8115" i="11"/>
  <c r="I8114" i="11"/>
  <c r="I8113" i="11"/>
  <c r="I8112" i="11"/>
  <c r="I8111" i="11"/>
  <c r="I8110" i="11"/>
  <c r="I8109" i="11"/>
  <c r="I8108" i="11"/>
  <c r="I8107" i="11"/>
  <c r="I8106" i="11"/>
  <c r="I8105" i="11"/>
  <c r="I8104" i="11"/>
  <c r="I8103" i="11"/>
  <c r="I8102" i="11"/>
  <c r="I8101" i="11"/>
  <c r="I8100" i="11"/>
  <c r="I8099" i="11"/>
  <c r="I8098" i="11"/>
  <c r="I8097" i="11"/>
  <c r="I8096" i="11"/>
  <c r="I8095" i="11"/>
  <c r="I8094" i="11"/>
  <c r="I8093" i="11"/>
  <c r="I8092" i="11"/>
  <c r="I8091" i="11"/>
  <c r="I8090" i="11"/>
  <c r="I8089" i="11"/>
  <c r="I8088" i="11"/>
  <c r="I8087" i="11"/>
  <c r="I8086" i="11"/>
  <c r="I8085" i="11"/>
  <c r="I8084" i="11"/>
  <c r="I8083" i="11"/>
  <c r="I8082" i="11"/>
  <c r="I8081" i="11"/>
  <c r="I8080" i="11"/>
  <c r="I8079" i="11"/>
  <c r="I8078" i="11"/>
  <c r="I8077" i="11"/>
  <c r="I8076" i="11"/>
  <c r="I8075" i="11"/>
  <c r="I8074" i="11"/>
  <c r="I8073" i="11"/>
  <c r="I8072" i="11"/>
  <c r="I8071" i="11"/>
  <c r="I8070" i="11"/>
  <c r="I8069" i="11"/>
  <c r="I8068" i="11"/>
  <c r="I8067" i="11"/>
  <c r="I8066" i="11"/>
  <c r="I8065" i="11"/>
  <c r="I8064" i="11"/>
  <c r="I8063" i="11"/>
  <c r="I8062" i="11"/>
  <c r="I8061" i="11"/>
  <c r="I8060" i="11"/>
  <c r="I8059" i="11"/>
  <c r="I8058" i="11"/>
  <c r="I8057" i="11"/>
  <c r="I8056" i="11"/>
  <c r="I8055" i="11"/>
  <c r="I8054" i="11"/>
  <c r="I8053" i="11"/>
  <c r="I8052" i="11"/>
  <c r="I8051" i="11"/>
  <c r="I8050" i="11"/>
  <c r="I8049" i="11"/>
  <c r="I8048" i="11"/>
  <c r="I8047" i="11"/>
  <c r="I8046" i="11"/>
  <c r="I8045" i="11"/>
  <c r="I8044" i="11"/>
  <c r="I8043" i="11"/>
  <c r="I8042" i="11"/>
  <c r="I8041" i="11"/>
  <c r="I8040" i="11"/>
  <c r="I8039" i="11"/>
  <c r="I8038" i="11"/>
  <c r="I8037" i="11"/>
  <c r="I8036" i="11"/>
  <c r="I8035" i="11"/>
  <c r="I8034" i="11"/>
  <c r="I8033" i="11"/>
  <c r="I8032" i="11"/>
  <c r="I8031" i="11"/>
  <c r="I8030" i="11"/>
  <c r="I8029" i="11"/>
  <c r="I8028" i="11"/>
  <c r="I8027" i="11"/>
  <c r="I8026" i="11"/>
  <c r="I8025" i="11"/>
  <c r="I8024" i="11"/>
  <c r="I8023" i="11"/>
  <c r="I8022" i="11"/>
  <c r="I8021" i="11"/>
  <c r="I8020" i="11"/>
  <c r="I8019" i="11"/>
  <c r="I8018" i="11"/>
  <c r="I8017" i="11"/>
  <c r="I8016" i="11"/>
  <c r="I8015" i="11"/>
  <c r="I8014" i="11"/>
  <c r="I8013" i="11"/>
  <c r="I8012" i="11"/>
  <c r="I8011" i="11"/>
  <c r="I8010" i="11"/>
  <c r="I8009" i="11"/>
  <c r="I8008" i="11"/>
  <c r="I8007" i="11"/>
  <c r="I8006" i="11"/>
  <c r="I8005" i="11"/>
  <c r="I8004" i="11"/>
  <c r="I8003" i="11"/>
  <c r="I8002" i="11"/>
  <c r="I8001" i="11"/>
  <c r="I8000" i="11"/>
  <c r="I7999" i="11"/>
  <c r="I7998" i="11"/>
  <c r="I7997" i="11"/>
  <c r="I7996" i="11"/>
  <c r="I7995" i="11"/>
  <c r="I7994" i="11"/>
  <c r="I7993" i="11"/>
  <c r="I7992" i="11"/>
  <c r="I7991" i="11"/>
  <c r="I7990" i="11"/>
  <c r="I7989" i="11"/>
  <c r="I7988" i="11"/>
  <c r="I7987" i="11"/>
  <c r="I7986" i="11"/>
  <c r="I7985" i="11"/>
  <c r="I7984" i="11"/>
  <c r="I7983" i="11"/>
  <c r="I7982" i="11"/>
  <c r="I7981" i="11"/>
  <c r="I7980" i="11"/>
  <c r="I7979" i="11"/>
  <c r="I7978" i="11"/>
  <c r="I7977" i="11"/>
  <c r="I7976" i="11"/>
  <c r="I7975" i="11"/>
  <c r="I7974" i="11"/>
  <c r="I7973" i="11"/>
  <c r="I7972" i="11"/>
  <c r="I7971" i="11"/>
  <c r="I7970" i="11"/>
  <c r="I7969" i="11"/>
  <c r="I7968" i="11"/>
  <c r="I7967" i="11"/>
  <c r="I7966" i="11"/>
  <c r="I7965" i="11"/>
  <c r="I7964" i="11"/>
  <c r="I7963" i="11"/>
  <c r="I7962" i="11"/>
  <c r="I7961" i="11"/>
  <c r="I7960" i="11"/>
  <c r="I7959" i="11"/>
  <c r="I7958" i="11"/>
  <c r="I7957" i="11"/>
  <c r="I7956" i="11"/>
  <c r="I7955" i="11"/>
  <c r="I7954" i="11"/>
  <c r="I7953" i="11"/>
  <c r="I7952" i="11"/>
  <c r="I7951" i="11"/>
  <c r="I7950" i="11"/>
  <c r="I7949" i="11"/>
  <c r="I7948" i="11"/>
  <c r="I7947" i="11"/>
  <c r="I7946" i="11"/>
  <c r="I7945" i="11"/>
  <c r="I7944" i="11"/>
  <c r="I7943" i="11"/>
  <c r="I7942" i="11"/>
  <c r="I7941" i="11"/>
  <c r="I7940" i="11"/>
  <c r="I7939" i="11"/>
  <c r="I7938" i="11"/>
  <c r="I7937" i="11"/>
  <c r="I7936" i="11"/>
  <c r="I7935" i="11"/>
  <c r="I7934" i="11"/>
  <c r="I7933" i="11"/>
  <c r="I7932" i="11"/>
  <c r="I7931" i="11"/>
  <c r="I7930" i="11"/>
  <c r="I7929" i="11"/>
  <c r="I7928" i="11"/>
  <c r="I7927" i="11"/>
  <c r="I7926" i="11"/>
  <c r="I7925" i="11"/>
  <c r="I7924" i="11"/>
  <c r="I7923" i="11"/>
  <c r="I7922" i="11"/>
  <c r="I7921" i="11"/>
  <c r="I7920" i="11"/>
  <c r="I7919" i="11"/>
  <c r="I7918" i="11"/>
  <c r="I7917" i="11"/>
  <c r="I7916" i="11"/>
  <c r="I7915" i="11"/>
  <c r="I7914" i="11"/>
  <c r="I7913" i="11"/>
  <c r="I7912" i="11"/>
  <c r="I7911" i="11"/>
  <c r="I7910" i="11"/>
  <c r="I7909" i="11"/>
  <c r="I7908" i="11"/>
  <c r="I7907" i="11"/>
  <c r="I7906" i="11"/>
  <c r="I7905" i="11"/>
  <c r="I7904" i="11"/>
  <c r="I7903" i="11"/>
  <c r="I7902" i="11"/>
  <c r="I7901" i="11"/>
  <c r="I7900" i="11"/>
  <c r="I7899" i="11"/>
  <c r="I7898" i="11"/>
  <c r="I7897" i="11"/>
  <c r="I7896" i="11"/>
  <c r="I7895" i="11"/>
  <c r="I7894" i="11"/>
  <c r="I7893" i="11"/>
  <c r="I7892" i="11"/>
  <c r="I7891" i="11"/>
  <c r="I7890" i="11"/>
  <c r="I7889" i="11"/>
  <c r="I7888" i="11"/>
  <c r="I7887" i="11"/>
  <c r="I7886" i="11"/>
  <c r="I7885" i="11"/>
  <c r="I7884" i="11"/>
  <c r="I7883" i="11"/>
  <c r="I7882" i="11"/>
  <c r="I7881" i="11"/>
  <c r="I7880" i="11"/>
  <c r="I7879" i="11"/>
  <c r="I7878" i="11"/>
  <c r="I7877" i="11"/>
  <c r="I7876" i="11"/>
  <c r="I7875" i="11"/>
  <c r="I7874" i="11"/>
  <c r="I7873" i="11"/>
  <c r="I7872" i="11"/>
  <c r="I7871" i="11"/>
  <c r="I7870" i="11"/>
  <c r="I7869" i="11"/>
  <c r="I7868" i="11"/>
  <c r="I7867" i="11"/>
  <c r="I7866" i="11"/>
  <c r="I7865" i="11"/>
  <c r="I7864" i="11"/>
  <c r="I7863" i="11"/>
  <c r="I7862" i="11"/>
  <c r="I7861" i="11"/>
  <c r="I7860" i="11"/>
  <c r="I7859" i="11"/>
  <c r="I7858" i="11"/>
  <c r="I7857" i="11"/>
  <c r="I7856" i="11"/>
  <c r="I7855" i="11"/>
  <c r="I7854" i="11"/>
  <c r="I7853" i="11"/>
  <c r="I7852" i="11"/>
  <c r="I7851" i="11"/>
  <c r="I7850" i="11"/>
  <c r="I7849" i="11"/>
  <c r="I7848" i="11"/>
  <c r="I7847" i="11"/>
  <c r="I7846" i="11"/>
  <c r="I7845" i="11"/>
  <c r="I7844" i="11"/>
  <c r="I7843" i="11"/>
  <c r="I7842" i="11"/>
  <c r="I7841" i="11"/>
  <c r="I7840" i="11"/>
  <c r="I7839" i="11"/>
  <c r="I7838" i="11"/>
  <c r="I7837" i="11"/>
  <c r="I7836" i="11"/>
  <c r="I7835" i="11"/>
  <c r="I7834" i="11"/>
  <c r="I7833" i="11"/>
  <c r="I7832" i="11"/>
  <c r="I7831" i="11"/>
  <c r="I7830" i="11"/>
  <c r="I7829" i="11"/>
  <c r="I7828" i="11"/>
  <c r="I7827" i="11"/>
  <c r="I7826" i="11"/>
  <c r="I7825" i="11"/>
  <c r="I7824" i="11"/>
  <c r="I7823" i="11"/>
  <c r="I7822" i="11"/>
  <c r="I7821" i="11"/>
  <c r="I7820" i="11"/>
  <c r="I7819" i="11"/>
  <c r="I7818" i="11"/>
  <c r="I7817" i="11"/>
  <c r="I7816" i="11"/>
  <c r="I7815" i="11"/>
  <c r="I7814" i="11"/>
  <c r="I7813" i="11"/>
  <c r="I7812" i="11"/>
  <c r="I7811" i="11"/>
  <c r="I7810" i="11"/>
  <c r="I7809" i="11"/>
  <c r="I7808" i="11"/>
  <c r="I7807" i="11"/>
  <c r="I7806" i="11"/>
  <c r="I7805" i="11"/>
  <c r="I7804" i="11"/>
  <c r="I7803" i="11"/>
  <c r="I7802" i="11"/>
  <c r="I7801" i="11"/>
  <c r="I7800" i="11"/>
  <c r="I7799" i="11"/>
  <c r="I7798" i="11"/>
  <c r="I7797" i="11"/>
  <c r="I7796" i="11"/>
  <c r="I7795" i="11"/>
  <c r="I7794" i="11"/>
  <c r="I7793" i="11"/>
  <c r="I7792" i="11"/>
  <c r="I7791" i="11"/>
  <c r="I7790" i="11"/>
  <c r="I7789" i="11"/>
  <c r="I7788" i="11"/>
  <c r="I7787" i="11"/>
  <c r="I7786" i="11"/>
  <c r="I7785" i="11"/>
  <c r="I7784" i="11"/>
  <c r="I7783" i="11"/>
  <c r="I7782" i="11"/>
  <c r="I7781" i="11"/>
  <c r="I7780" i="11"/>
  <c r="I7779" i="11"/>
  <c r="I7778" i="11"/>
  <c r="I7777" i="11"/>
  <c r="I7776" i="11"/>
  <c r="I7775" i="11"/>
  <c r="I7774" i="11"/>
  <c r="I7773" i="11"/>
  <c r="I7772" i="11"/>
  <c r="I7771" i="11"/>
  <c r="I7770" i="11"/>
  <c r="I7769" i="11"/>
  <c r="I7768" i="11"/>
  <c r="I7767" i="11"/>
  <c r="I7766" i="11"/>
  <c r="I7765" i="11"/>
  <c r="I7764" i="11"/>
  <c r="I7763" i="11"/>
  <c r="I7762" i="11"/>
  <c r="I7761" i="11"/>
  <c r="I7760" i="11"/>
  <c r="I7759" i="11"/>
  <c r="I7758" i="11"/>
  <c r="I7757" i="11"/>
  <c r="I7756" i="11"/>
  <c r="I7755" i="11"/>
  <c r="I7754" i="11"/>
  <c r="I7753" i="11"/>
  <c r="I7752" i="11"/>
  <c r="I7751" i="11"/>
  <c r="I7750" i="11"/>
  <c r="I7749" i="11"/>
  <c r="I7748" i="11"/>
  <c r="I7747" i="11"/>
  <c r="I7746" i="11"/>
  <c r="I7745" i="11"/>
  <c r="I7744" i="11"/>
  <c r="I7743" i="11"/>
  <c r="I7742" i="11"/>
  <c r="I7741" i="11"/>
  <c r="I7740" i="11"/>
  <c r="I7739" i="11"/>
  <c r="I7738" i="11"/>
  <c r="I7737" i="11"/>
  <c r="I7736" i="11"/>
  <c r="I7735" i="11"/>
  <c r="I7734" i="11"/>
  <c r="I7733" i="11"/>
  <c r="I7732" i="11"/>
  <c r="I7731" i="11"/>
  <c r="I7730" i="11"/>
  <c r="I7729" i="11"/>
  <c r="I7728" i="11"/>
  <c r="I7727" i="11"/>
  <c r="I7726" i="11"/>
  <c r="I7725" i="11"/>
  <c r="I7724" i="11"/>
  <c r="I7723" i="11"/>
  <c r="I7722" i="11"/>
  <c r="I7721" i="11"/>
  <c r="I7720" i="11"/>
  <c r="I7719" i="11"/>
  <c r="I7718" i="11"/>
  <c r="I7717" i="11"/>
  <c r="I7716" i="11"/>
  <c r="I7715" i="11"/>
  <c r="I7714" i="11"/>
  <c r="I7713" i="11"/>
  <c r="I7712" i="11"/>
  <c r="I7711" i="11"/>
  <c r="I7710" i="11"/>
  <c r="I7709" i="11"/>
  <c r="I7708" i="11"/>
  <c r="I7707" i="11"/>
  <c r="I7706" i="11"/>
  <c r="I7705" i="11"/>
  <c r="I7704" i="11"/>
  <c r="I7703" i="11"/>
  <c r="I7702" i="11"/>
  <c r="I7701" i="11"/>
  <c r="I7700" i="11"/>
  <c r="I7699" i="11"/>
  <c r="I7698" i="11"/>
  <c r="I7697" i="11"/>
  <c r="I7696" i="11"/>
  <c r="I7695" i="11"/>
  <c r="I7694" i="11"/>
  <c r="I7693" i="11"/>
  <c r="I7692" i="11"/>
  <c r="I7691" i="11"/>
  <c r="I7690" i="11"/>
  <c r="I7689" i="11"/>
  <c r="I7688" i="11"/>
  <c r="I7687" i="11"/>
  <c r="I7686" i="11"/>
  <c r="I7685" i="11"/>
  <c r="I7684" i="11"/>
  <c r="I7683" i="11"/>
  <c r="I7682" i="11"/>
  <c r="I7681" i="11"/>
  <c r="I7680" i="11"/>
  <c r="I7679" i="11"/>
  <c r="I7678" i="11"/>
  <c r="I7677" i="11"/>
  <c r="I7676" i="11"/>
  <c r="I7675" i="11"/>
  <c r="I7674" i="11"/>
  <c r="I7673" i="11"/>
  <c r="I7672" i="11"/>
  <c r="I7671" i="11"/>
  <c r="I7670" i="11"/>
  <c r="I7669" i="11"/>
  <c r="I7668" i="11"/>
  <c r="I7667" i="11"/>
  <c r="I7666" i="11"/>
  <c r="I7665" i="11"/>
  <c r="I7664" i="11"/>
  <c r="I7663" i="11"/>
  <c r="I7662" i="11"/>
  <c r="I7661" i="11"/>
  <c r="I7660" i="11"/>
  <c r="I7659" i="11"/>
  <c r="I7658" i="11"/>
  <c r="I7657" i="11"/>
  <c r="I7656" i="11"/>
  <c r="I7655" i="11"/>
  <c r="I7654" i="11"/>
  <c r="I7653" i="11"/>
  <c r="I7652" i="11"/>
  <c r="I7651" i="11"/>
  <c r="I7650" i="11"/>
  <c r="I7649" i="11"/>
  <c r="I7648" i="11"/>
  <c r="I7647" i="11"/>
  <c r="I7646" i="11"/>
  <c r="I7645" i="11"/>
  <c r="I7644" i="11"/>
  <c r="I7643" i="11"/>
  <c r="I7642" i="11"/>
  <c r="I7641" i="11"/>
  <c r="I7640" i="11"/>
  <c r="I7639" i="11"/>
  <c r="I7638" i="11"/>
  <c r="I7637" i="11"/>
  <c r="I7636" i="11"/>
  <c r="I7635" i="11"/>
  <c r="I7634" i="11"/>
  <c r="I7633" i="11"/>
  <c r="I7632" i="11"/>
  <c r="I7631" i="11"/>
  <c r="I7630" i="11"/>
  <c r="I7629" i="11"/>
  <c r="I7628" i="11"/>
  <c r="I7627" i="11"/>
  <c r="I7626" i="11"/>
  <c r="I7625" i="11"/>
  <c r="I7624" i="11"/>
  <c r="I7623" i="11"/>
  <c r="I7622" i="11"/>
  <c r="I7621" i="11"/>
  <c r="I7620" i="11"/>
  <c r="I7619" i="11"/>
  <c r="I7618" i="11"/>
  <c r="I7617" i="11"/>
  <c r="I7616" i="11"/>
  <c r="I7615" i="11"/>
  <c r="I7614" i="11"/>
  <c r="I7613" i="11"/>
  <c r="I7612" i="11"/>
  <c r="I7611" i="11"/>
  <c r="I7610" i="11"/>
  <c r="I7609" i="11"/>
  <c r="I7608" i="11"/>
  <c r="I7607" i="11"/>
  <c r="I7606" i="11"/>
  <c r="I7605" i="11"/>
  <c r="I7604" i="11"/>
  <c r="I7603" i="11"/>
  <c r="I7602" i="11"/>
  <c r="I7601" i="11"/>
  <c r="I7600" i="11"/>
  <c r="I7599" i="11"/>
  <c r="I7598" i="11"/>
  <c r="I7597" i="11"/>
  <c r="I7596" i="11"/>
  <c r="I7595" i="11"/>
  <c r="I7594" i="11"/>
  <c r="I7593" i="11"/>
  <c r="I7592" i="11"/>
  <c r="I7591" i="11"/>
  <c r="I7590" i="11"/>
  <c r="I7589" i="11"/>
  <c r="I7588" i="11"/>
  <c r="I7587" i="11"/>
  <c r="I7586" i="11"/>
  <c r="I7585" i="11"/>
  <c r="I7584" i="11"/>
  <c r="I7583" i="11"/>
  <c r="I7582" i="11"/>
  <c r="I7581" i="11"/>
  <c r="I7580" i="11"/>
  <c r="I7579" i="11"/>
  <c r="I7578" i="11"/>
  <c r="I7577" i="11"/>
  <c r="I7576" i="11"/>
  <c r="I7575" i="11"/>
  <c r="I7574" i="11"/>
  <c r="I7573" i="11"/>
  <c r="I7572" i="11"/>
  <c r="I7571" i="11"/>
  <c r="I7570" i="11"/>
  <c r="I7569" i="11"/>
  <c r="I7568" i="11"/>
  <c r="I7567" i="11"/>
  <c r="I7566" i="11"/>
  <c r="I7565" i="11"/>
  <c r="I7564" i="11"/>
  <c r="I7563" i="11"/>
  <c r="I7562" i="11"/>
  <c r="I7561" i="11"/>
  <c r="I7560" i="11"/>
  <c r="I7559" i="11"/>
  <c r="I7558" i="11"/>
  <c r="I7557" i="11"/>
  <c r="I7556" i="11"/>
  <c r="I7555" i="11"/>
  <c r="I7554" i="11"/>
  <c r="I7553" i="11"/>
  <c r="I7552" i="11"/>
  <c r="I7551" i="11"/>
  <c r="I7550" i="11"/>
  <c r="I7549" i="11"/>
  <c r="I7548" i="11"/>
  <c r="I7547" i="11"/>
  <c r="I7546" i="11"/>
  <c r="I7545" i="11"/>
  <c r="I7544" i="11"/>
  <c r="I7543" i="11"/>
  <c r="I7542" i="11"/>
  <c r="I7541" i="11"/>
  <c r="I7540" i="11"/>
  <c r="I7539" i="11"/>
  <c r="I7538" i="11"/>
  <c r="I7537" i="11"/>
  <c r="I7536" i="11"/>
  <c r="I7535" i="11"/>
  <c r="I7534" i="11"/>
  <c r="I7533" i="11"/>
  <c r="I7532" i="11"/>
  <c r="I7531" i="11"/>
  <c r="I7530" i="11"/>
  <c r="I7529" i="11"/>
  <c r="I7528" i="11"/>
  <c r="I7527" i="11"/>
  <c r="I7526" i="11"/>
  <c r="I7525" i="11"/>
  <c r="I7524" i="11"/>
  <c r="I7523" i="11"/>
  <c r="I7522" i="11"/>
  <c r="I7521" i="11"/>
  <c r="I7520" i="11"/>
  <c r="I7519" i="11"/>
  <c r="I7518" i="11"/>
  <c r="I7517" i="11"/>
  <c r="I7516" i="11"/>
  <c r="I7515" i="11"/>
  <c r="I7514" i="11"/>
  <c r="I7513" i="11"/>
  <c r="I7512" i="11"/>
  <c r="I7511" i="11"/>
  <c r="I7510" i="11"/>
  <c r="I7509" i="11"/>
  <c r="I7508" i="11"/>
  <c r="I7507" i="11"/>
  <c r="I7506" i="11"/>
  <c r="I7505" i="11"/>
  <c r="I7504" i="11"/>
  <c r="I7503" i="11"/>
  <c r="I7502" i="11"/>
  <c r="I7501" i="11"/>
  <c r="I7500" i="11"/>
  <c r="I7499" i="11"/>
  <c r="I7498" i="11"/>
  <c r="I7497" i="11"/>
  <c r="I7496" i="11"/>
  <c r="I7495" i="11"/>
  <c r="I7494" i="11"/>
  <c r="I7493" i="11"/>
  <c r="I7492" i="11"/>
  <c r="I7491" i="11"/>
  <c r="I7490" i="11"/>
  <c r="I7489" i="11"/>
  <c r="I7488" i="11"/>
  <c r="I7487" i="11"/>
  <c r="I7486" i="11"/>
  <c r="I7485" i="11"/>
  <c r="I7484" i="11"/>
  <c r="I7483" i="11"/>
  <c r="I7482" i="11"/>
  <c r="I7481" i="11"/>
  <c r="I7480" i="11"/>
  <c r="I7479" i="11"/>
  <c r="I7478" i="11"/>
  <c r="I7477" i="11"/>
  <c r="I7476" i="11"/>
  <c r="I7475" i="11"/>
  <c r="I7474" i="11"/>
  <c r="I7473" i="11"/>
  <c r="I7472" i="11"/>
  <c r="I7471" i="11"/>
  <c r="I7470" i="11"/>
  <c r="I7469" i="11"/>
  <c r="I7468" i="11"/>
  <c r="I7467" i="11"/>
  <c r="I7466" i="11"/>
  <c r="I7465" i="11"/>
  <c r="I7464" i="11"/>
  <c r="I7463" i="11"/>
  <c r="I7462" i="11"/>
  <c r="I7461" i="11"/>
  <c r="I7460" i="11"/>
  <c r="I7459" i="11"/>
  <c r="I7458" i="11"/>
  <c r="I7457" i="11"/>
  <c r="I7456" i="11"/>
  <c r="I7455" i="11"/>
  <c r="I7454" i="11"/>
  <c r="I7453" i="11"/>
  <c r="I7452" i="11"/>
  <c r="I7451" i="11"/>
  <c r="I7450" i="11"/>
  <c r="I7449" i="11"/>
  <c r="I7448" i="11"/>
  <c r="I7447" i="11"/>
  <c r="I7446" i="11"/>
  <c r="I7445" i="11"/>
  <c r="I7444" i="11"/>
  <c r="I7443" i="11"/>
  <c r="I7442" i="11"/>
  <c r="I7441" i="11"/>
  <c r="I7440" i="11"/>
  <c r="I7439" i="11"/>
  <c r="I7438" i="11"/>
  <c r="I7437" i="11"/>
  <c r="I7436" i="11"/>
  <c r="I7435" i="11"/>
  <c r="I7434" i="11"/>
  <c r="I7433" i="11"/>
  <c r="I7432" i="11"/>
  <c r="I7431" i="11"/>
  <c r="I7430" i="11"/>
  <c r="I7429" i="11"/>
  <c r="I7428" i="11"/>
  <c r="I7427" i="11"/>
  <c r="I7426" i="11"/>
  <c r="I7425" i="11"/>
  <c r="I7424" i="11"/>
  <c r="I7423" i="11"/>
  <c r="I7422" i="11"/>
  <c r="I7421" i="11"/>
  <c r="I7420" i="11"/>
  <c r="I7419" i="11"/>
  <c r="I7418" i="11"/>
  <c r="I7417" i="11"/>
  <c r="I7416" i="11"/>
  <c r="I7415" i="11"/>
  <c r="I7414" i="11"/>
  <c r="I7413" i="11"/>
  <c r="I7412" i="11"/>
  <c r="I7411" i="11"/>
  <c r="I7410" i="11"/>
  <c r="I7409" i="11"/>
  <c r="I7408" i="11"/>
  <c r="I7407" i="11"/>
  <c r="I7406" i="11"/>
  <c r="I7405" i="11"/>
  <c r="I7404" i="11"/>
  <c r="I7403" i="11"/>
  <c r="I7402" i="11"/>
  <c r="I7401" i="11"/>
  <c r="I7400" i="11"/>
  <c r="I7399" i="11"/>
  <c r="I7398" i="11"/>
  <c r="I7397" i="11"/>
  <c r="I7396" i="11"/>
  <c r="I7395" i="11"/>
  <c r="I7394" i="11"/>
  <c r="I7393" i="11"/>
  <c r="I7392" i="11"/>
  <c r="I7391" i="11"/>
  <c r="I7390" i="11"/>
  <c r="I7389" i="11"/>
  <c r="I7388" i="11"/>
  <c r="I7387" i="11"/>
  <c r="I7386" i="11"/>
  <c r="I7385" i="11"/>
  <c r="I7384" i="11"/>
  <c r="I7383" i="11"/>
  <c r="I7382" i="11"/>
  <c r="I7381" i="11"/>
  <c r="I7380" i="11"/>
  <c r="I7379" i="11"/>
  <c r="I7378" i="11"/>
  <c r="I7377" i="11"/>
  <c r="I7376" i="11"/>
  <c r="I7375" i="11"/>
  <c r="I7374" i="11"/>
  <c r="I7373" i="11"/>
  <c r="I7372" i="11"/>
  <c r="I7371" i="11"/>
  <c r="I7370" i="11"/>
  <c r="I7369" i="11"/>
  <c r="I7368" i="11"/>
  <c r="I7367" i="11"/>
  <c r="I7366" i="11"/>
  <c r="I7365" i="11"/>
  <c r="I7364" i="11"/>
  <c r="I7363" i="11"/>
  <c r="I7362" i="11"/>
  <c r="I7361" i="11"/>
  <c r="I7360" i="11"/>
  <c r="I7359" i="11"/>
  <c r="I7358" i="11"/>
  <c r="I7357" i="11"/>
  <c r="I7356" i="11"/>
  <c r="I7355" i="11"/>
  <c r="I7354" i="11"/>
  <c r="I7353" i="11"/>
  <c r="I7352" i="11"/>
  <c r="I7351" i="11"/>
  <c r="I7350" i="11"/>
  <c r="I7349" i="11"/>
  <c r="I7348" i="11"/>
  <c r="I7347" i="11"/>
  <c r="I7346" i="11"/>
  <c r="I7345" i="11"/>
  <c r="I7344" i="11"/>
  <c r="I7343" i="11"/>
  <c r="I7342" i="11"/>
  <c r="I7341" i="11"/>
  <c r="I7340" i="11"/>
  <c r="I7339" i="11"/>
  <c r="I7338" i="11"/>
  <c r="I7337" i="11"/>
  <c r="I7336" i="11"/>
  <c r="I7335" i="11"/>
  <c r="I7334" i="11"/>
  <c r="I7333" i="11"/>
  <c r="I7332" i="11"/>
  <c r="I7331" i="11"/>
  <c r="I7330" i="11"/>
  <c r="I7329" i="11"/>
  <c r="I7328" i="11"/>
  <c r="I7327" i="11"/>
  <c r="I7326" i="11"/>
  <c r="I7325" i="11"/>
  <c r="I7324" i="11"/>
  <c r="I7323" i="11"/>
  <c r="I7322" i="11"/>
  <c r="I7321" i="11"/>
  <c r="I7320" i="11"/>
  <c r="I7319" i="11"/>
  <c r="I7318" i="11"/>
  <c r="I7317" i="11"/>
  <c r="I7316" i="11"/>
  <c r="I7315" i="11"/>
  <c r="I7314" i="11"/>
  <c r="I7313" i="11"/>
  <c r="I7312" i="11"/>
  <c r="I7311" i="11"/>
  <c r="I7310" i="11"/>
  <c r="I7309" i="11"/>
  <c r="I7308" i="11"/>
  <c r="I7307" i="11"/>
  <c r="I7306" i="11"/>
  <c r="I7305" i="11"/>
  <c r="I7304" i="11"/>
  <c r="I7303" i="11"/>
  <c r="I7302" i="11"/>
  <c r="I7301" i="11"/>
  <c r="I7300" i="11"/>
  <c r="I7299" i="11"/>
  <c r="I7298" i="11"/>
  <c r="I7297" i="11"/>
  <c r="I7296" i="11"/>
  <c r="I7295" i="11"/>
  <c r="I7294" i="11"/>
  <c r="I7293" i="11"/>
  <c r="I7292" i="11"/>
  <c r="I7291" i="11"/>
  <c r="I7290" i="11"/>
  <c r="I7289" i="11"/>
  <c r="I7288" i="11"/>
  <c r="I7287" i="11"/>
  <c r="I7286" i="11"/>
  <c r="I7285" i="11"/>
  <c r="I7284" i="11"/>
  <c r="I7283" i="11"/>
  <c r="I7282" i="11"/>
  <c r="I7281" i="11"/>
  <c r="I7280" i="11"/>
  <c r="I7279" i="11"/>
  <c r="I7278" i="11"/>
  <c r="I7277" i="11"/>
  <c r="I7276" i="11"/>
  <c r="I7275" i="11"/>
  <c r="I7274" i="11"/>
  <c r="I7273" i="11"/>
  <c r="I7272" i="11"/>
  <c r="I7271" i="11"/>
  <c r="I7270" i="11"/>
  <c r="I7269" i="11"/>
  <c r="I7268" i="11"/>
  <c r="I7267" i="11"/>
  <c r="I7266" i="11"/>
  <c r="I7265" i="11"/>
  <c r="I7264" i="11"/>
  <c r="I7263" i="11"/>
  <c r="I7262" i="11"/>
  <c r="I7261" i="11"/>
  <c r="I7260" i="11"/>
  <c r="I7259" i="11"/>
  <c r="I7258" i="11"/>
  <c r="I7257" i="11"/>
  <c r="I7256" i="11"/>
  <c r="I7255" i="11"/>
  <c r="I7254" i="11"/>
  <c r="I7253" i="11"/>
  <c r="I7252" i="11"/>
  <c r="I7251" i="11"/>
  <c r="I7250" i="11"/>
  <c r="I7249" i="11"/>
  <c r="I7248" i="11"/>
  <c r="I7247" i="11"/>
  <c r="I7246" i="11"/>
  <c r="I7245" i="11"/>
  <c r="I7244" i="11"/>
  <c r="I7243" i="11"/>
  <c r="I7242" i="11"/>
  <c r="I7241" i="11"/>
  <c r="I7240" i="11"/>
  <c r="I7239" i="11"/>
  <c r="I7238" i="11"/>
  <c r="I7237" i="11"/>
  <c r="I7236" i="11"/>
  <c r="I7235" i="11"/>
  <c r="I7234" i="11"/>
  <c r="I7233" i="11"/>
  <c r="I7232" i="11"/>
  <c r="I7231" i="11"/>
  <c r="I7230" i="11"/>
  <c r="I7229" i="11"/>
  <c r="I7228" i="11"/>
  <c r="I7227" i="11"/>
  <c r="I7226" i="11"/>
  <c r="I7225" i="11"/>
  <c r="I7224" i="11"/>
  <c r="I7223" i="11"/>
  <c r="I7222" i="11"/>
  <c r="I7221" i="11"/>
  <c r="I7220" i="11"/>
  <c r="I7219" i="11"/>
  <c r="I7218" i="11"/>
  <c r="I7217" i="11"/>
  <c r="I7216" i="11"/>
  <c r="I7215" i="11"/>
  <c r="I7214" i="11"/>
  <c r="I7213" i="11"/>
  <c r="I7212" i="11"/>
  <c r="I7211" i="11"/>
  <c r="I7210" i="11"/>
  <c r="I7209" i="11"/>
  <c r="I7208" i="11"/>
  <c r="I7207" i="11"/>
  <c r="I7206" i="11"/>
  <c r="I7205" i="11"/>
  <c r="I7204" i="11"/>
  <c r="I7203" i="11"/>
  <c r="I7202" i="11"/>
  <c r="I7201" i="11"/>
  <c r="I7200" i="11"/>
  <c r="I7199" i="11"/>
  <c r="I7198" i="11"/>
  <c r="I7197" i="11"/>
  <c r="I7196" i="11"/>
  <c r="I7195" i="11"/>
  <c r="I7194" i="11"/>
  <c r="I7193" i="11"/>
  <c r="I7192" i="11"/>
  <c r="I7191" i="11"/>
  <c r="I7190" i="11"/>
  <c r="I7189" i="11"/>
  <c r="I7188" i="11"/>
  <c r="I7187" i="11"/>
  <c r="I7186" i="11"/>
  <c r="I7185" i="11"/>
  <c r="I7184" i="11"/>
  <c r="I7183" i="11"/>
  <c r="I7182" i="11"/>
  <c r="I7181" i="11"/>
  <c r="I7180" i="11"/>
  <c r="I7179" i="11"/>
  <c r="I7178" i="11"/>
  <c r="I7177" i="11"/>
  <c r="I7176" i="11"/>
  <c r="I7175" i="11"/>
  <c r="I7174" i="11"/>
  <c r="I7173" i="11"/>
  <c r="I7172" i="11"/>
  <c r="I7171" i="11"/>
  <c r="I7170" i="11"/>
  <c r="I7169" i="11"/>
  <c r="I7168" i="11"/>
  <c r="I7167" i="11"/>
  <c r="I7166" i="11"/>
  <c r="I7165" i="11"/>
  <c r="I7164" i="11"/>
  <c r="I7163" i="11"/>
  <c r="I7162" i="11"/>
  <c r="I7161" i="11"/>
  <c r="I7160" i="11"/>
  <c r="I7159" i="11"/>
  <c r="I7158" i="11"/>
  <c r="I7157" i="11"/>
  <c r="I7156" i="11"/>
  <c r="I7155" i="11"/>
  <c r="I7154" i="11"/>
  <c r="I7153" i="11"/>
  <c r="I7152" i="11"/>
  <c r="I7151" i="11"/>
  <c r="I7150" i="11"/>
  <c r="I7149" i="11"/>
  <c r="I7148" i="11"/>
  <c r="I7147" i="11"/>
  <c r="I7146" i="11"/>
  <c r="I7145" i="11"/>
  <c r="I7144" i="11"/>
  <c r="I7143" i="11"/>
  <c r="I7142" i="11"/>
  <c r="I7141" i="11"/>
  <c r="I7140" i="11"/>
  <c r="I7139" i="11"/>
  <c r="I7138" i="11"/>
  <c r="I7137" i="11"/>
  <c r="I7136" i="11"/>
  <c r="I7135" i="11"/>
  <c r="I7134" i="11"/>
  <c r="I7133" i="11"/>
  <c r="I7132" i="11"/>
  <c r="I7131" i="11"/>
  <c r="I7130" i="11"/>
  <c r="I7129" i="11"/>
  <c r="I7128" i="11"/>
  <c r="I7127" i="11"/>
  <c r="I7126" i="11"/>
  <c r="I7125" i="11"/>
  <c r="I7124" i="11"/>
  <c r="I7123" i="11"/>
  <c r="I7122" i="11"/>
  <c r="I7121" i="11"/>
  <c r="I7120" i="11"/>
  <c r="I7119" i="11"/>
  <c r="I7118" i="11"/>
  <c r="I7117" i="11"/>
  <c r="I7116" i="11"/>
  <c r="I7115" i="11"/>
  <c r="I7114" i="11"/>
  <c r="I7113" i="11"/>
  <c r="I7112" i="11"/>
  <c r="I7111" i="11"/>
  <c r="I7110" i="11"/>
  <c r="I7109" i="11"/>
  <c r="I7108" i="11"/>
  <c r="I7107" i="11"/>
  <c r="I7106" i="11"/>
  <c r="I7105" i="11"/>
  <c r="I7104" i="11"/>
  <c r="I7103" i="11"/>
  <c r="I7102" i="11"/>
  <c r="I7101" i="11"/>
  <c r="I7100" i="11"/>
  <c r="I7099" i="11"/>
  <c r="I7098" i="11"/>
  <c r="I7097" i="11"/>
  <c r="I7096" i="11"/>
  <c r="I7095" i="11"/>
  <c r="I7094" i="11"/>
  <c r="I7093" i="11"/>
  <c r="I7092" i="11"/>
  <c r="I7091" i="11"/>
  <c r="I7090" i="11"/>
  <c r="I7089" i="11"/>
  <c r="I7088" i="11"/>
  <c r="I7087" i="11"/>
  <c r="I7086" i="11"/>
  <c r="I7085" i="11"/>
  <c r="I7084" i="11"/>
  <c r="I7083" i="11"/>
  <c r="I7082" i="11"/>
  <c r="I7081" i="11"/>
  <c r="I7080" i="11"/>
  <c r="I7079" i="11"/>
  <c r="I7078" i="11"/>
  <c r="I7077" i="11"/>
  <c r="I7076" i="11"/>
  <c r="I7075" i="11"/>
  <c r="I7074" i="11"/>
  <c r="I7073" i="11"/>
  <c r="I7072" i="11"/>
  <c r="I7071" i="11"/>
  <c r="I7070" i="11"/>
  <c r="I7069" i="11"/>
  <c r="I7068" i="11"/>
  <c r="I7067" i="11"/>
  <c r="I7066" i="11"/>
  <c r="I7065" i="11"/>
  <c r="I7064" i="11"/>
  <c r="I7063" i="11"/>
  <c r="I7062" i="11"/>
  <c r="I7061" i="11"/>
  <c r="I7060" i="11"/>
  <c r="I7059" i="11"/>
  <c r="I7058" i="11"/>
  <c r="I7057" i="11"/>
  <c r="I7056" i="11"/>
  <c r="I7055" i="11"/>
  <c r="I7054" i="11"/>
  <c r="I7053" i="11"/>
  <c r="I7052" i="11"/>
  <c r="I7051" i="11"/>
  <c r="I7050" i="11"/>
  <c r="I7049" i="11"/>
  <c r="I7048" i="11"/>
  <c r="I7047" i="11"/>
  <c r="I7046" i="11"/>
  <c r="I7045" i="11"/>
  <c r="I7044" i="11"/>
  <c r="I7043" i="11"/>
  <c r="I7042" i="11"/>
  <c r="I7041" i="11"/>
  <c r="I7040" i="11"/>
  <c r="I7039" i="11"/>
  <c r="I7038" i="11"/>
  <c r="I7037" i="11"/>
  <c r="I7036" i="11"/>
  <c r="I7035" i="11"/>
  <c r="I7034" i="11"/>
  <c r="I7033" i="11"/>
  <c r="I7032" i="11"/>
  <c r="I7031" i="11"/>
  <c r="I7030" i="11"/>
  <c r="I7029" i="11"/>
  <c r="I7028" i="11"/>
  <c r="I7027" i="11"/>
  <c r="I7026" i="11"/>
  <c r="I7025" i="11"/>
  <c r="I7024" i="11"/>
  <c r="I7023" i="11"/>
  <c r="I7022" i="11"/>
  <c r="I7021" i="11"/>
  <c r="I7020" i="11"/>
  <c r="I7019" i="11"/>
  <c r="I7018" i="11"/>
  <c r="I7017" i="11"/>
  <c r="I7016" i="11"/>
  <c r="I7015" i="11"/>
  <c r="I7014" i="11"/>
  <c r="I7013" i="11"/>
  <c r="I7012" i="11"/>
  <c r="I7011" i="11"/>
  <c r="I7010" i="11"/>
  <c r="I7009" i="11"/>
  <c r="I7008" i="11"/>
  <c r="I7007" i="11"/>
  <c r="I7006" i="11"/>
  <c r="I7005" i="11"/>
  <c r="I7004" i="11"/>
  <c r="I7003" i="11"/>
  <c r="I7002" i="11"/>
  <c r="I7001" i="11"/>
  <c r="I7000" i="11"/>
  <c r="I6999" i="11"/>
  <c r="I6998" i="11"/>
  <c r="I6997" i="11"/>
  <c r="I6996" i="11"/>
  <c r="I6995" i="11"/>
  <c r="I6994" i="11"/>
  <c r="I6993" i="11"/>
  <c r="I6992" i="11"/>
  <c r="I6991" i="11"/>
  <c r="I6990" i="11"/>
  <c r="I6989" i="11"/>
  <c r="I6988" i="11"/>
  <c r="I6987" i="11"/>
  <c r="I6986" i="11"/>
  <c r="I6985" i="11"/>
  <c r="I6984" i="11"/>
  <c r="I6983" i="11"/>
  <c r="I6982" i="11"/>
  <c r="I6981" i="11"/>
  <c r="I6980" i="11"/>
  <c r="I6979" i="11"/>
  <c r="I6978" i="11"/>
  <c r="I6977" i="11"/>
  <c r="I6976" i="11"/>
  <c r="I6975" i="11"/>
  <c r="I6974" i="11"/>
  <c r="I6973" i="11"/>
  <c r="I6972" i="11"/>
  <c r="I6971" i="11"/>
  <c r="I6970" i="11"/>
  <c r="I6969" i="11"/>
  <c r="I6968" i="11"/>
  <c r="I6967" i="11"/>
  <c r="I6966" i="11"/>
  <c r="I6965" i="11"/>
  <c r="I6964" i="11"/>
  <c r="I6963" i="11"/>
  <c r="I6962" i="11"/>
  <c r="I6961" i="11"/>
  <c r="I6960" i="11"/>
  <c r="I6959" i="11"/>
  <c r="I6958" i="11"/>
  <c r="I6957" i="11"/>
  <c r="I6956" i="11"/>
  <c r="I6955" i="11"/>
  <c r="I6954" i="11"/>
  <c r="I6953" i="11"/>
  <c r="I6952" i="11"/>
  <c r="I6951" i="11"/>
  <c r="I6950" i="11"/>
  <c r="I6949" i="11"/>
  <c r="I6948" i="11"/>
  <c r="I6947" i="11"/>
  <c r="I6946" i="11"/>
  <c r="I6945" i="11"/>
  <c r="I6944" i="11"/>
  <c r="I6943" i="11"/>
  <c r="I6942" i="11"/>
  <c r="I6941" i="11"/>
  <c r="I6940" i="11"/>
  <c r="I6939" i="11"/>
  <c r="I6938" i="11"/>
  <c r="I6937" i="11"/>
  <c r="I6936" i="11"/>
  <c r="I6935" i="11"/>
  <c r="I6934" i="11"/>
  <c r="I6933" i="11"/>
  <c r="I6932" i="11"/>
  <c r="I6931" i="11"/>
  <c r="I6930" i="11"/>
  <c r="I6929" i="11"/>
  <c r="I6928" i="11"/>
  <c r="I6927" i="11"/>
  <c r="I6926" i="11"/>
  <c r="I6925" i="11"/>
  <c r="I6924" i="11"/>
  <c r="I6923" i="11"/>
  <c r="I6922" i="11"/>
  <c r="I6921" i="11"/>
  <c r="I6920" i="11"/>
  <c r="I6919" i="11"/>
  <c r="I6918" i="11"/>
  <c r="I6917" i="11"/>
  <c r="I6916" i="11"/>
  <c r="I6915" i="11"/>
  <c r="I6914" i="11"/>
  <c r="I6913" i="11"/>
  <c r="I6912" i="11"/>
  <c r="I6911" i="11"/>
  <c r="I6910" i="11"/>
  <c r="I6909" i="11"/>
  <c r="I6908" i="11"/>
  <c r="I6907" i="11"/>
  <c r="I6906" i="11"/>
  <c r="I6905" i="11"/>
  <c r="I6904" i="11"/>
  <c r="I6903" i="11"/>
  <c r="I6902" i="11"/>
  <c r="I6901" i="11"/>
  <c r="I6900" i="11"/>
  <c r="I6899" i="11"/>
  <c r="I6898" i="11"/>
  <c r="I6897" i="11"/>
  <c r="I6896" i="11"/>
  <c r="I6895" i="11"/>
  <c r="I6894" i="11"/>
  <c r="I6893" i="11"/>
  <c r="I6892" i="11"/>
  <c r="I6891" i="11"/>
  <c r="I6890" i="11"/>
  <c r="I6889" i="11"/>
  <c r="I6888" i="11"/>
  <c r="I6887" i="11"/>
  <c r="I6886" i="11"/>
  <c r="I6885" i="11"/>
  <c r="I6884" i="11"/>
  <c r="I6883" i="11"/>
  <c r="I6882" i="11"/>
  <c r="I6881" i="11"/>
  <c r="I6880" i="11"/>
  <c r="I6879" i="11"/>
  <c r="I6878" i="11"/>
  <c r="I6877" i="11"/>
  <c r="I6876" i="11"/>
  <c r="I6875" i="11"/>
  <c r="I6874" i="11"/>
  <c r="I6873" i="11"/>
  <c r="I6872" i="11"/>
  <c r="I6871" i="11"/>
  <c r="I6870" i="11"/>
  <c r="I6869" i="11"/>
  <c r="I6868" i="11"/>
  <c r="I6867" i="11"/>
  <c r="I6866" i="11"/>
  <c r="I6865" i="11"/>
  <c r="I6864" i="11"/>
  <c r="I6863" i="11"/>
  <c r="I6862" i="11"/>
  <c r="I6861" i="11"/>
  <c r="I6860" i="11"/>
  <c r="I6859" i="11"/>
  <c r="I6858" i="11"/>
  <c r="I6857" i="11"/>
  <c r="I6856" i="11"/>
  <c r="I6855" i="11"/>
  <c r="I6854" i="11"/>
  <c r="I6853" i="11"/>
  <c r="I6852" i="11"/>
  <c r="I6851" i="11"/>
  <c r="I6850" i="11"/>
  <c r="I6849" i="11"/>
  <c r="I6848" i="11"/>
  <c r="I6847" i="11"/>
  <c r="I6846" i="11"/>
  <c r="I6845" i="11"/>
  <c r="I6844" i="11"/>
  <c r="I6843" i="11"/>
  <c r="I6842" i="11"/>
  <c r="I6841" i="11"/>
  <c r="I6840" i="11"/>
  <c r="I6839" i="11"/>
  <c r="I6838" i="11"/>
  <c r="I6837" i="11"/>
  <c r="I6836" i="11"/>
  <c r="I6835" i="11"/>
  <c r="I6834" i="11"/>
  <c r="I6833" i="11"/>
  <c r="I6832" i="11"/>
  <c r="I6831" i="11"/>
  <c r="I6830" i="11"/>
  <c r="I6829" i="11"/>
  <c r="I6828" i="11"/>
  <c r="I6827" i="11"/>
  <c r="I6826" i="11"/>
  <c r="I6825" i="11"/>
  <c r="I6824" i="11"/>
  <c r="I6823" i="11"/>
  <c r="I6822" i="11"/>
  <c r="I6821" i="11"/>
  <c r="I6820" i="11"/>
  <c r="I6819" i="11"/>
  <c r="I6818" i="11"/>
  <c r="I6817" i="11"/>
  <c r="I6816" i="11"/>
  <c r="I6815" i="11"/>
  <c r="I6814" i="11"/>
  <c r="I6813" i="11"/>
  <c r="I6812" i="11"/>
  <c r="I6811" i="11"/>
  <c r="I6810" i="11"/>
  <c r="I6809" i="11"/>
  <c r="I6808" i="11"/>
  <c r="I6807" i="11"/>
  <c r="I6806" i="11"/>
  <c r="I6805" i="11"/>
  <c r="I6804" i="11"/>
  <c r="I6803" i="11"/>
  <c r="I6802" i="11"/>
  <c r="I6801" i="11"/>
  <c r="I6800" i="11"/>
  <c r="I6799" i="11"/>
  <c r="I6798" i="11"/>
  <c r="I6797" i="11"/>
  <c r="I6796" i="11"/>
  <c r="I6795" i="11"/>
  <c r="I6794" i="11"/>
  <c r="I6793" i="11"/>
  <c r="I6792" i="11"/>
  <c r="I6791" i="11"/>
  <c r="I6790" i="11"/>
  <c r="I6789" i="11"/>
  <c r="I6788" i="11"/>
  <c r="I6787" i="11"/>
  <c r="I6786" i="11"/>
  <c r="I6785" i="11"/>
  <c r="I6784" i="11"/>
  <c r="I6783" i="11"/>
  <c r="I6782" i="11"/>
  <c r="I6781" i="11"/>
  <c r="I6780" i="11"/>
  <c r="I6779" i="11"/>
  <c r="I6778" i="11"/>
  <c r="I6777" i="11"/>
  <c r="I6776" i="11"/>
  <c r="I6775" i="11"/>
  <c r="I6774" i="11"/>
  <c r="I6773" i="11"/>
  <c r="I6772" i="11"/>
  <c r="I6771" i="11"/>
  <c r="I6770" i="11"/>
  <c r="I6769" i="11"/>
  <c r="I6768" i="11"/>
  <c r="I6767" i="11"/>
  <c r="I6766" i="11"/>
  <c r="I6765" i="11"/>
  <c r="I6764" i="11"/>
  <c r="I6763" i="11"/>
  <c r="I6762" i="11"/>
  <c r="I6761" i="11"/>
  <c r="I6760" i="11"/>
  <c r="I6759" i="11"/>
  <c r="I6758" i="11"/>
  <c r="I6757" i="11"/>
  <c r="I6756" i="11"/>
  <c r="I6755" i="11"/>
  <c r="I6754" i="11"/>
  <c r="I6753" i="11"/>
  <c r="I6752" i="11"/>
  <c r="I6751" i="11"/>
  <c r="I6750" i="11"/>
  <c r="I6749" i="11"/>
  <c r="I6748" i="11"/>
  <c r="I6747" i="11"/>
  <c r="I6746" i="11"/>
  <c r="I6745" i="11"/>
  <c r="I6744" i="11"/>
  <c r="I6743" i="11"/>
  <c r="I6742" i="11"/>
  <c r="I6741" i="11"/>
  <c r="I6740" i="11"/>
  <c r="I6739" i="11"/>
  <c r="I6738" i="11"/>
  <c r="I6737" i="11"/>
  <c r="I6736" i="11"/>
  <c r="I6735" i="11"/>
  <c r="I6734" i="11"/>
  <c r="I6733" i="11"/>
  <c r="I6732" i="11"/>
  <c r="I6731" i="11"/>
  <c r="I6730" i="11"/>
  <c r="I6729" i="11"/>
  <c r="I6728" i="11"/>
  <c r="I6727" i="11"/>
  <c r="I6726" i="11"/>
  <c r="I6725" i="11"/>
  <c r="I6724" i="11"/>
  <c r="I6723" i="11"/>
  <c r="I6722" i="11"/>
  <c r="I6721" i="11"/>
  <c r="I6720" i="11"/>
  <c r="I6719" i="11"/>
  <c r="I6718" i="11"/>
  <c r="I6717" i="11"/>
  <c r="I6716" i="11"/>
  <c r="I6715" i="11"/>
  <c r="I6714" i="11"/>
  <c r="I6713" i="11"/>
  <c r="I6712" i="11"/>
  <c r="I6711" i="11"/>
  <c r="I6710" i="11"/>
  <c r="I6709" i="11"/>
  <c r="I6708" i="11"/>
  <c r="I6707" i="11"/>
  <c r="I6706" i="11"/>
  <c r="I6705" i="11"/>
  <c r="I6704" i="11"/>
  <c r="I6703" i="11"/>
  <c r="I6702" i="11"/>
  <c r="I6701" i="11"/>
  <c r="I6700" i="11"/>
  <c r="I6699" i="11"/>
  <c r="I6698" i="11"/>
  <c r="I6697" i="11"/>
  <c r="I6696" i="11"/>
  <c r="I6695" i="11"/>
  <c r="I6694" i="11"/>
  <c r="I6693" i="11"/>
  <c r="I6692" i="11"/>
  <c r="I6691" i="11"/>
  <c r="I6690" i="11"/>
  <c r="I6689" i="11"/>
  <c r="I6688" i="11"/>
  <c r="I6687" i="11"/>
  <c r="I6686" i="11"/>
  <c r="I6685" i="11"/>
  <c r="I6684" i="11"/>
  <c r="I6683" i="11"/>
  <c r="I6682" i="11"/>
  <c r="I6681" i="11"/>
  <c r="I6680" i="11"/>
  <c r="I6679" i="11"/>
  <c r="I6678" i="11"/>
  <c r="I6677" i="11"/>
  <c r="I6676" i="11"/>
  <c r="I6675" i="11"/>
  <c r="I6674" i="11"/>
  <c r="I6673" i="11"/>
  <c r="I6672" i="11"/>
  <c r="I6671" i="11"/>
  <c r="I6670" i="11"/>
  <c r="I6669" i="11"/>
  <c r="I6668" i="11"/>
  <c r="I6667" i="11"/>
  <c r="I6666" i="11"/>
  <c r="I6665" i="11"/>
  <c r="I6664" i="11"/>
  <c r="I6663" i="11"/>
  <c r="I6662" i="11"/>
  <c r="I6661" i="11"/>
  <c r="I6660" i="11"/>
  <c r="I6659" i="11"/>
  <c r="I6658" i="11"/>
  <c r="I6657" i="11"/>
  <c r="I6656" i="11"/>
  <c r="I6655" i="11"/>
  <c r="I6654" i="11"/>
  <c r="I6653" i="11"/>
  <c r="I6652" i="11"/>
  <c r="I6651" i="11"/>
  <c r="I6650" i="11"/>
  <c r="I6649" i="11"/>
  <c r="I6648" i="11"/>
  <c r="I6647" i="11"/>
  <c r="I6646" i="11"/>
  <c r="I6645" i="11"/>
  <c r="I6644" i="11"/>
  <c r="I6643" i="11"/>
  <c r="I6642" i="11"/>
  <c r="I6641" i="11"/>
  <c r="I6640" i="11"/>
  <c r="I6639" i="11"/>
  <c r="I6638" i="11"/>
  <c r="I6637" i="11"/>
  <c r="I6636" i="11"/>
  <c r="I6635" i="11"/>
  <c r="I6634" i="11"/>
  <c r="I6633" i="11"/>
  <c r="I6632" i="11"/>
  <c r="I6631" i="11"/>
  <c r="I6630" i="11"/>
  <c r="I6629" i="11"/>
  <c r="I6628" i="11"/>
  <c r="I6627" i="11"/>
  <c r="I6626" i="11"/>
  <c r="I6625" i="11"/>
  <c r="I6624" i="11"/>
  <c r="I6623" i="11"/>
  <c r="I6622" i="11"/>
  <c r="I6621" i="11"/>
  <c r="I6620" i="11"/>
  <c r="I6619" i="11"/>
  <c r="I6618" i="11"/>
  <c r="I6617" i="11"/>
  <c r="I6616" i="11"/>
  <c r="I6615" i="11"/>
  <c r="I6614" i="11"/>
  <c r="I6613" i="11"/>
  <c r="I6612" i="11"/>
  <c r="I6611" i="11"/>
  <c r="I6610" i="11"/>
  <c r="I6609" i="11"/>
  <c r="I6608" i="11"/>
  <c r="I6607" i="11"/>
  <c r="I6606" i="11"/>
  <c r="I6605" i="11"/>
  <c r="I6604" i="11"/>
  <c r="I6603" i="11"/>
  <c r="I6602" i="11"/>
  <c r="I6601" i="11"/>
  <c r="I6600" i="11"/>
  <c r="I6599" i="11"/>
  <c r="I6598" i="11"/>
  <c r="I6597" i="11"/>
  <c r="I6596" i="11"/>
  <c r="I6595" i="11"/>
  <c r="I6594" i="11"/>
  <c r="I6593" i="11"/>
  <c r="I6592" i="11"/>
  <c r="I6591" i="11"/>
  <c r="I6590" i="11"/>
  <c r="I6589" i="11"/>
  <c r="I6588" i="11"/>
  <c r="I6587" i="11"/>
  <c r="I6586" i="11"/>
  <c r="I6585" i="11"/>
  <c r="I6584" i="11"/>
  <c r="I6583" i="11"/>
  <c r="I6582" i="11"/>
  <c r="I6581" i="11"/>
  <c r="I6580" i="11"/>
  <c r="I6579" i="11"/>
  <c r="I6578" i="11"/>
  <c r="I6577" i="11"/>
  <c r="I6576" i="11"/>
  <c r="I6575" i="11"/>
  <c r="I6574" i="11"/>
  <c r="I6573" i="11"/>
  <c r="I6572" i="11"/>
  <c r="I6571" i="11"/>
  <c r="I6570" i="11"/>
  <c r="I6569" i="11"/>
  <c r="I6568" i="11"/>
  <c r="I6567" i="11"/>
  <c r="I6566" i="11"/>
  <c r="I6565" i="11"/>
  <c r="I6564" i="11"/>
  <c r="I6563" i="11"/>
  <c r="I6562" i="11"/>
  <c r="I6561" i="11"/>
  <c r="I6560" i="11"/>
  <c r="I6559" i="11"/>
  <c r="I6558" i="11"/>
  <c r="I6557" i="11"/>
  <c r="I6556" i="11"/>
  <c r="I6555" i="11"/>
  <c r="I6554" i="11"/>
  <c r="I6553" i="11"/>
  <c r="I6552" i="11"/>
  <c r="I6551" i="11"/>
  <c r="I6550" i="11"/>
  <c r="I6549" i="11"/>
  <c r="I6548" i="11"/>
  <c r="I6547" i="11"/>
  <c r="I6546" i="11"/>
  <c r="I6545" i="11"/>
  <c r="I6544" i="11"/>
  <c r="I6543" i="11"/>
  <c r="I6542" i="11"/>
  <c r="I6541" i="11"/>
  <c r="I6540" i="11"/>
  <c r="I6539" i="11"/>
  <c r="I6538" i="11"/>
  <c r="I6537" i="11"/>
  <c r="I6536" i="11"/>
  <c r="I6535" i="11"/>
  <c r="I6534" i="11"/>
  <c r="I6533" i="11"/>
  <c r="I6532" i="11"/>
  <c r="I6531" i="11"/>
  <c r="I6530" i="11"/>
  <c r="I6529" i="11"/>
  <c r="I6528" i="11"/>
  <c r="I6527" i="11"/>
  <c r="I6526" i="11"/>
  <c r="I6525" i="11"/>
  <c r="I6524" i="11"/>
  <c r="I6523" i="11"/>
  <c r="I6522" i="11"/>
  <c r="I6521" i="11"/>
  <c r="I6520" i="11"/>
  <c r="I6519" i="11"/>
  <c r="I6518" i="11"/>
  <c r="I6517" i="11"/>
  <c r="I6516" i="11"/>
  <c r="I6515" i="11"/>
  <c r="I6514" i="11"/>
  <c r="I6513" i="11"/>
  <c r="I6512" i="11"/>
  <c r="I6511" i="11"/>
  <c r="I6510" i="11"/>
  <c r="I6509" i="11"/>
  <c r="I6508" i="11"/>
  <c r="I6507" i="11"/>
  <c r="I6506" i="11"/>
  <c r="I6505" i="11"/>
  <c r="I6504" i="11"/>
  <c r="I6503" i="11"/>
  <c r="I6502" i="11"/>
  <c r="I6501" i="11"/>
  <c r="I6500" i="11"/>
  <c r="I6499" i="11"/>
  <c r="I6498" i="11"/>
  <c r="I6497" i="11"/>
  <c r="I6496" i="11"/>
  <c r="I6495" i="11"/>
  <c r="I6494" i="11"/>
  <c r="I6493" i="11"/>
  <c r="I6492" i="11"/>
  <c r="I6491" i="11"/>
  <c r="I6490" i="11"/>
  <c r="I6489" i="11"/>
  <c r="I6488" i="11"/>
  <c r="I6487" i="11"/>
  <c r="I6486" i="11"/>
  <c r="I6485" i="11"/>
  <c r="I6484" i="11"/>
  <c r="I6483" i="11"/>
  <c r="I6482" i="11"/>
  <c r="I6481" i="11"/>
  <c r="I6480" i="11"/>
  <c r="I6479" i="11"/>
  <c r="I6478" i="11"/>
  <c r="I6477" i="11"/>
  <c r="I6476" i="11"/>
  <c r="I6475" i="11"/>
  <c r="I6474" i="11"/>
  <c r="I6473" i="11"/>
  <c r="I6472" i="11"/>
  <c r="I6471" i="11"/>
  <c r="I6470" i="11"/>
  <c r="I6469" i="11"/>
  <c r="I6468" i="11"/>
  <c r="I6467" i="11"/>
  <c r="I6466" i="11"/>
  <c r="I6465" i="11"/>
  <c r="I6464" i="11"/>
  <c r="I6463" i="11"/>
  <c r="I6462" i="11"/>
  <c r="I6461" i="11"/>
  <c r="I6460" i="11"/>
  <c r="I6459" i="11"/>
  <c r="I6458" i="11"/>
  <c r="I6457" i="11"/>
  <c r="I6456" i="11"/>
  <c r="I6455" i="11"/>
  <c r="I6454" i="11"/>
  <c r="I6453" i="11"/>
  <c r="I6452" i="11"/>
  <c r="I6451" i="11"/>
  <c r="I6450" i="11"/>
  <c r="I6449" i="11"/>
  <c r="I6448" i="11"/>
  <c r="I6447" i="11"/>
  <c r="I6446" i="11"/>
  <c r="I6445" i="11"/>
  <c r="I6444" i="11"/>
  <c r="I6443" i="11"/>
  <c r="I6442" i="11"/>
  <c r="I6441" i="11"/>
  <c r="I6440" i="11"/>
  <c r="I6439" i="11"/>
  <c r="I6438" i="11"/>
  <c r="I6437" i="11"/>
  <c r="I6436" i="11"/>
  <c r="I6435" i="11"/>
  <c r="I6434" i="11"/>
  <c r="I6433" i="11"/>
  <c r="I6432" i="11"/>
  <c r="I6431" i="11"/>
  <c r="I6430" i="11"/>
  <c r="I6429" i="11"/>
  <c r="I6428" i="11"/>
  <c r="I6427" i="11"/>
  <c r="I6426" i="11"/>
  <c r="I6425" i="11"/>
  <c r="I6424" i="11"/>
  <c r="I6423" i="11"/>
  <c r="I6422" i="11"/>
  <c r="I6421" i="11"/>
  <c r="I6420" i="11"/>
  <c r="I6419" i="11"/>
  <c r="I6418" i="11"/>
  <c r="I6417" i="11"/>
  <c r="I6416" i="11"/>
  <c r="I6415" i="11"/>
  <c r="I6414" i="11"/>
  <c r="I6413" i="11"/>
  <c r="I6412" i="11"/>
  <c r="I6411" i="11"/>
  <c r="I6410" i="11"/>
  <c r="I6409" i="11"/>
  <c r="I6408" i="11"/>
  <c r="I6407" i="11"/>
  <c r="I6406" i="11"/>
  <c r="I6405" i="11"/>
  <c r="I6404" i="11"/>
  <c r="I6403" i="11"/>
  <c r="I6402" i="11"/>
  <c r="I6401" i="11"/>
  <c r="I6400" i="11"/>
  <c r="I6399" i="11"/>
  <c r="I6398" i="11"/>
  <c r="I6397" i="11"/>
  <c r="I6396" i="11"/>
  <c r="I6395" i="11"/>
  <c r="I6394" i="11"/>
  <c r="I6393" i="11"/>
  <c r="I6392" i="11"/>
  <c r="I6391" i="11"/>
  <c r="I6390" i="11"/>
  <c r="I6389" i="11"/>
  <c r="I6388" i="11"/>
  <c r="I6387" i="11"/>
  <c r="I6386" i="11"/>
  <c r="I6385" i="11"/>
  <c r="I6384" i="11"/>
  <c r="I6383" i="11"/>
  <c r="I6382" i="11"/>
  <c r="I6381" i="11"/>
  <c r="I6380" i="11"/>
  <c r="I6379" i="11"/>
  <c r="I6378" i="11"/>
  <c r="I6377" i="11"/>
  <c r="I6376" i="11"/>
  <c r="I6375" i="11"/>
  <c r="I6374" i="11"/>
  <c r="I6373" i="11"/>
  <c r="I6372" i="11"/>
  <c r="I6371" i="11"/>
  <c r="I6370" i="11"/>
  <c r="I6369" i="11"/>
  <c r="I6368" i="11"/>
  <c r="I6367" i="11"/>
  <c r="I6366" i="11"/>
  <c r="I6365" i="11"/>
  <c r="I6364" i="11"/>
  <c r="I6363" i="11"/>
  <c r="I6362" i="11"/>
  <c r="I6361" i="11"/>
  <c r="I6360" i="11"/>
  <c r="I6359" i="11"/>
  <c r="I6358" i="11"/>
  <c r="I6357" i="11"/>
  <c r="I6356" i="11"/>
  <c r="I6355" i="11"/>
  <c r="I6354" i="11"/>
  <c r="I6353" i="11"/>
  <c r="I6352" i="11"/>
  <c r="I6351" i="11"/>
  <c r="I6350" i="11"/>
  <c r="I6349" i="11"/>
  <c r="I6348" i="11"/>
  <c r="I6347" i="11"/>
  <c r="I6346" i="11"/>
  <c r="I6345" i="11"/>
  <c r="I6344" i="11"/>
  <c r="I6343" i="11"/>
  <c r="I6342" i="11"/>
  <c r="I6341" i="11"/>
  <c r="I6340" i="11"/>
  <c r="I6339" i="11"/>
  <c r="I6338" i="11"/>
  <c r="I6337" i="11"/>
  <c r="I6336" i="11"/>
  <c r="I6335" i="11"/>
  <c r="I6334" i="11"/>
  <c r="I6333" i="11"/>
  <c r="I6332" i="11"/>
  <c r="I6331" i="11"/>
  <c r="I6330" i="11"/>
  <c r="I6329" i="11"/>
  <c r="I6328" i="11"/>
  <c r="I6327" i="11"/>
  <c r="I6326" i="11"/>
  <c r="I6325" i="11"/>
  <c r="I6324" i="11"/>
  <c r="I6323" i="11"/>
  <c r="I6322" i="11"/>
  <c r="I6321" i="11"/>
  <c r="I6320" i="11"/>
  <c r="I6319" i="11"/>
  <c r="I6318" i="11"/>
  <c r="I6317" i="11"/>
  <c r="I6316" i="11"/>
  <c r="I6315" i="11"/>
  <c r="I6314" i="11"/>
  <c r="I6313" i="11"/>
  <c r="I6312" i="11"/>
  <c r="I6311" i="11"/>
  <c r="I6310" i="11"/>
  <c r="I6309" i="11"/>
  <c r="I6308" i="11"/>
  <c r="I6307" i="11"/>
  <c r="I6306" i="11"/>
  <c r="I6305" i="11"/>
  <c r="I6304" i="11"/>
  <c r="I6303" i="11"/>
  <c r="I6302" i="11"/>
  <c r="I6301" i="11"/>
  <c r="I6300" i="11"/>
  <c r="I6299" i="11"/>
  <c r="I6298" i="11"/>
  <c r="I6297" i="11"/>
  <c r="I6296" i="11"/>
  <c r="I6295" i="11"/>
  <c r="I6294" i="11"/>
  <c r="I6293" i="11"/>
  <c r="I6292" i="11"/>
  <c r="I6291" i="11"/>
  <c r="I6290" i="11"/>
  <c r="I6289" i="11"/>
  <c r="I6288" i="11"/>
  <c r="I6287" i="11"/>
  <c r="I6286" i="11"/>
  <c r="I6285" i="11"/>
  <c r="I6284" i="11"/>
  <c r="I6283" i="11"/>
  <c r="I6282" i="11"/>
  <c r="I6281" i="11"/>
  <c r="I6280" i="11"/>
  <c r="I6279" i="11"/>
  <c r="I6278" i="11"/>
  <c r="I6277" i="11"/>
  <c r="I6276" i="11"/>
  <c r="I6275" i="11"/>
  <c r="I6274" i="11"/>
  <c r="I6273" i="11"/>
  <c r="I6272" i="11"/>
  <c r="I6271" i="11"/>
  <c r="I6270" i="11"/>
  <c r="I6269" i="11"/>
  <c r="I6268" i="11"/>
  <c r="I6267" i="11"/>
  <c r="I6266" i="11"/>
  <c r="I6265" i="11"/>
  <c r="I6264" i="11"/>
  <c r="I6263" i="11"/>
  <c r="I6262" i="11"/>
  <c r="I6261" i="11"/>
  <c r="I6260" i="11"/>
  <c r="I6259" i="11"/>
  <c r="I6258" i="11"/>
  <c r="I6257" i="11"/>
  <c r="I6256" i="11"/>
  <c r="I6255" i="11"/>
  <c r="I6254" i="11"/>
  <c r="I6253" i="11"/>
  <c r="I6252" i="11"/>
  <c r="I6251" i="11"/>
  <c r="I6250" i="11"/>
  <c r="I6249" i="11"/>
  <c r="I6248" i="11"/>
  <c r="I6247" i="11"/>
  <c r="I6246" i="11"/>
  <c r="I6245" i="11"/>
  <c r="I6244" i="11"/>
  <c r="I6243" i="11"/>
  <c r="I6242" i="11"/>
  <c r="I6241" i="11"/>
  <c r="I6240" i="11"/>
  <c r="I6239" i="11"/>
  <c r="I6238" i="11"/>
  <c r="I6237" i="11"/>
  <c r="I6236" i="11"/>
  <c r="I6235" i="11"/>
  <c r="I6234" i="11"/>
  <c r="I6233" i="11"/>
  <c r="I6232" i="11"/>
  <c r="I6231" i="11"/>
  <c r="I6230" i="11"/>
  <c r="I6229" i="11"/>
  <c r="I6228" i="11"/>
  <c r="I6227" i="11"/>
  <c r="I6226" i="11"/>
  <c r="I6225" i="11"/>
  <c r="I6224" i="11"/>
  <c r="I6223" i="11"/>
  <c r="I6222" i="11"/>
  <c r="I6221" i="11"/>
  <c r="I6220" i="11"/>
  <c r="I6219" i="11"/>
  <c r="I6218" i="11"/>
  <c r="I6217" i="11"/>
  <c r="I6216" i="11"/>
  <c r="I6215" i="11"/>
  <c r="I6214" i="11"/>
  <c r="I6213" i="11"/>
  <c r="I6212" i="11"/>
  <c r="I6211" i="11"/>
  <c r="I6210" i="11"/>
  <c r="I6209" i="11"/>
  <c r="I6208" i="11"/>
  <c r="I6207" i="11"/>
  <c r="I6206" i="11"/>
  <c r="I6205" i="11"/>
  <c r="I6204" i="11"/>
  <c r="I6203" i="11"/>
  <c r="I6202" i="11"/>
  <c r="I6201" i="11"/>
  <c r="I6200" i="11"/>
  <c r="I6199" i="11"/>
  <c r="I6198" i="11"/>
  <c r="I6197" i="11"/>
  <c r="I6196" i="11"/>
  <c r="I6195" i="11"/>
  <c r="I6194" i="11"/>
  <c r="I6193" i="11"/>
  <c r="I6192" i="11"/>
  <c r="I6191" i="11"/>
  <c r="I6190" i="11"/>
  <c r="I6189" i="11"/>
  <c r="I6188" i="11"/>
  <c r="I6187" i="11"/>
  <c r="I6186" i="11"/>
  <c r="I6185" i="11"/>
  <c r="I6184" i="11"/>
  <c r="I6183" i="11"/>
  <c r="I6182" i="11"/>
  <c r="I6181" i="11"/>
  <c r="I6180" i="11"/>
  <c r="I6179" i="11"/>
  <c r="I6178" i="11"/>
  <c r="I6177" i="11"/>
  <c r="I6176" i="11"/>
  <c r="I6175" i="11"/>
  <c r="I6174" i="11"/>
  <c r="I6173" i="11"/>
  <c r="I6172" i="11"/>
  <c r="I6171" i="11"/>
  <c r="I6170" i="11"/>
  <c r="I6169" i="11"/>
  <c r="I6168" i="11"/>
  <c r="I6167" i="11"/>
  <c r="I6166" i="11"/>
  <c r="I6165" i="11"/>
  <c r="I6164" i="11"/>
  <c r="I6163" i="11"/>
  <c r="I6162" i="11"/>
  <c r="I6161" i="11"/>
  <c r="I6160" i="11"/>
  <c r="I6159" i="11"/>
  <c r="I6158" i="11"/>
  <c r="I6157" i="11"/>
  <c r="I6156" i="11"/>
  <c r="I6155" i="11"/>
  <c r="I6154" i="11"/>
  <c r="I6153" i="11"/>
  <c r="I6152" i="11"/>
  <c r="I6151" i="11"/>
  <c r="I6150" i="11"/>
  <c r="I6149" i="11"/>
  <c r="I6148" i="11"/>
  <c r="I6147" i="11"/>
  <c r="I6146" i="11"/>
  <c r="I6145" i="11"/>
  <c r="I6144" i="11"/>
  <c r="I6143" i="11"/>
  <c r="I6142" i="11"/>
  <c r="I6141" i="11"/>
  <c r="I6140" i="11"/>
  <c r="I6139" i="11"/>
  <c r="I6138" i="11"/>
  <c r="I6137" i="11"/>
  <c r="I6136" i="11"/>
  <c r="I6135" i="11"/>
  <c r="I6134" i="11"/>
  <c r="I6133" i="11"/>
  <c r="I6132" i="11"/>
  <c r="I6131" i="11"/>
  <c r="I6130" i="11"/>
  <c r="I6129" i="11"/>
  <c r="I6128" i="11"/>
  <c r="I6127" i="11"/>
  <c r="I6126" i="11"/>
  <c r="I6125" i="11"/>
  <c r="I6124" i="11"/>
  <c r="I6123" i="11"/>
  <c r="I6122" i="11"/>
  <c r="I6121" i="11"/>
  <c r="I6120" i="11"/>
  <c r="I6119" i="11"/>
  <c r="I6118" i="11"/>
  <c r="I6117" i="11"/>
  <c r="I6116" i="11"/>
  <c r="I6115" i="11"/>
  <c r="I6114" i="11"/>
  <c r="I6113" i="11"/>
  <c r="I6112" i="11"/>
  <c r="I6111" i="11"/>
  <c r="I6110" i="11"/>
  <c r="I6109" i="11"/>
  <c r="I6108" i="11"/>
  <c r="I6107" i="11"/>
  <c r="I6106" i="11"/>
  <c r="I6105" i="11"/>
  <c r="I6104" i="11"/>
  <c r="I6103" i="11"/>
  <c r="I6102" i="11"/>
  <c r="I6101" i="11"/>
  <c r="I6100" i="11"/>
  <c r="I6099" i="11"/>
  <c r="I6098" i="11"/>
  <c r="I6097" i="11"/>
  <c r="I6096" i="11"/>
  <c r="I6095" i="11"/>
  <c r="I6094" i="11"/>
  <c r="I6093" i="11"/>
  <c r="I6092" i="11"/>
  <c r="I6091" i="11"/>
  <c r="I6090" i="11"/>
  <c r="I6089" i="11"/>
  <c r="I6088" i="11"/>
  <c r="I6087" i="11"/>
  <c r="I6086" i="11"/>
  <c r="I6085" i="11"/>
  <c r="I6084" i="11"/>
  <c r="I6083" i="11"/>
  <c r="I6082" i="11"/>
  <c r="I6081" i="11"/>
  <c r="I6080" i="11"/>
  <c r="I6079" i="11"/>
  <c r="I6078" i="11"/>
  <c r="I6077" i="11"/>
  <c r="I6076" i="11"/>
  <c r="I6075" i="11"/>
  <c r="I6074" i="11"/>
  <c r="I6073" i="11"/>
  <c r="I6072" i="11"/>
  <c r="I6071" i="11"/>
  <c r="I6070" i="11"/>
  <c r="I6069" i="11"/>
  <c r="I6068" i="11"/>
  <c r="I6067" i="11"/>
  <c r="I6066" i="11"/>
  <c r="I6065" i="11"/>
  <c r="I6064" i="11"/>
  <c r="I6063" i="11"/>
  <c r="I6062" i="11"/>
  <c r="I6061" i="11"/>
  <c r="I6060" i="11"/>
  <c r="I6059" i="11"/>
  <c r="I6058" i="11"/>
  <c r="I6057" i="11"/>
  <c r="I6056" i="11"/>
  <c r="I6055" i="11"/>
  <c r="I6054" i="11"/>
  <c r="I6053" i="11"/>
  <c r="I6052" i="11"/>
  <c r="I6051" i="11"/>
  <c r="I6050" i="11"/>
  <c r="I6049" i="11"/>
  <c r="I6048" i="11"/>
  <c r="I6047" i="11"/>
  <c r="I6046" i="11"/>
  <c r="I6045" i="11"/>
  <c r="I6044" i="11"/>
  <c r="I6043" i="11"/>
  <c r="I6042" i="11"/>
  <c r="I6041" i="11"/>
  <c r="I6040" i="11"/>
  <c r="I6039" i="11"/>
  <c r="I6038" i="11"/>
  <c r="I6037" i="11"/>
  <c r="I6036" i="11"/>
  <c r="I6035" i="11"/>
  <c r="I6034" i="11"/>
  <c r="I6033" i="11"/>
  <c r="I6032" i="11"/>
  <c r="I6031" i="11"/>
  <c r="I6030" i="11"/>
  <c r="I6029" i="11"/>
  <c r="I6028" i="11"/>
  <c r="I6027" i="11"/>
  <c r="I6026" i="11"/>
  <c r="I6025" i="11"/>
  <c r="I6024" i="11"/>
  <c r="I6023" i="11"/>
  <c r="I6022" i="11"/>
  <c r="I6021" i="11"/>
  <c r="I6020" i="11"/>
  <c r="I6019" i="11"/>
  <c r="I6018" i="11"/>
  <c r="I6017" i="11"/>
  <c r="I6016" i="11"/>
  <c r="I6015" i="11"/>
  <c r="I6014" i="11"/>
  <c r="I6013" i="11"/>
  <c r="I6012" i="11"/>
  <c r="I6011" i="11"/>
  <c r="I6010" i="11"/>
  <c r="I6009" i="11"/>
  <c r="I6008" i="11"/>
  <c r="I6007" i="11"/>
  <c r="I6006" i="11"/>
  <c r="I6005" i="11"/>
  <c r="I6004" i="11"/>
  <c r="I6003" i="11"/>
  <c r="I6002" i="11"/>
  <c r="I6001" i="11"/>
  <c r="I6000" i="11"/>
  <c r="I5999" i="11"/>
  <c r="I5998" i="11"/>
  <c r="I5997" i="11"/>
  <c r="I5996" i="11"/>
  <c r="I5995" i="11"/>
  <c r="I5994" i="11"/>
  <c r="I5993" i="11"/>
  <c r="I5992" i="11"/>
  <c r="I5991" i="11"/>
  <c r="I5990" i="11"/>
  <c r="I5989" i="11"/>
  <c r="I5988" i="11"/>
  <c r="I5987" i="11"/>
  <c r="I5986" i="11"/>
  <c r="I5985" i="11"/>
  <c r="I5984" i="11"/>
  <c r="I5983" i="11"/>
  <c r="I5982" i="11"/>
  <c r="I5981" i="11"/>
  <c r="I5980" i="11"/>
  <c r="I5979" i="11"/>
  <c r="I5978" i="11"/>
  <c r="I5977" i="11"/>
  <c r="I5976" i="11"/>
  <c r="I5975" i="11"/>
  <c r="I5974" i="11"/>
  <c r="I5973" i="11"/>
  <c r="I5972" i="11"/>
  <c r="I5971" i="11"/>
  <c r="I5970" i="11"/>
  <c r="I5969" i="11"/>
  <c r="I5968" i="11"/>
  <c r="I5967" i="11"/>
  <c r="I5966" i="11"/>
  <c r="I5965" i="11"/>
  <c r="I5964" i="11"/>
  <c r="I5963" i="11"/>
  <c r="I5962" i="11"/>
  <c r="I5961" i="11"/>
  <c r="I5960" i="11"/>
  <c r="I5959" i="11"/>
  <c r="I5958" i="11"/>
  <c r="I5957" i="11"/>
  <c r="I5956" i="11"/>
  <c r="I5955" i="11"/>
  <c r="I5954" i="11"/>
  <c r="I5953" i="11"/>
  <c r="I5952" i="11"/>
  <c r="I5951" i="11"/>
  <c r="I5950" i="11"/>
  <c r="I5949" i="11"/>
  <c r="I5948" i="11"/>
  <c r="I5947" i="11"/>
  <c r="I5946" i="11"/>
  <c r="I5945" i="11"/>
  <c r="I5944" i="11"/>
  <c r="I5943" i="11"/>
  <c r="I5942" i="11"/>
  <c r="I5941" i="11"/>
  <c r="I5940" i="11"/>
  <c r="I5939" i="11"/>
  <c r="I5938" i="11"/>
  <c r="I5937" i="11"/>
  <c r="I5936" i="11"/>
  <c r="I5935" i="11"/>
  <c r="I5934" i="11"/>
  <c r="I5933" i="11"/>
  <c r="I5932" i="11"/>
  <c r="I5931" i="11"/>
  <c r="I5930" i="11"/>
  <c r="I5929" i="11"/>
  <c r="I5928" i="11"/>
  <c r="I5927" i="11"/>
  <c r="I5926" i="11"/>
  <c r="I5925" i="11"/>
  <c r="I5924" i="11"/>
  <c r="I5923" i="11"/>
  <c r="I5922" i="11"/>
  <c r="I5921" i="11"/>
  <c r="I5920" i="11"/>
  <c r="I5919" i="11"/>
  <c r="I5918" i="11"/>
  <c r="I5917" i="11"/>
  <c r="I5916" i="11"/>
  <c r="I5915" i="11"/>
  <c r="I5914" i="11"/>
  <c r="I5913" i="11"/>
  <c r="I5912" i="11"/>
  <c r="I5911" i="11"/>
  <c r="I5910" i="11"/>
  <c r="I5909" i="11"/>
  <c r="I5908" i="11"/>
  <c r="I5907" i="11"/>
  <c r="I5906" i="11"/>
  <c r="I5905" i="11"/>
  <c r="I5904" i="11"/>
  <c r="I5903" i="11"/>
  <c r="I5902" i="11"/>
  <c r="I5901" i="11"/>
  <c r="I5900" i="11"/>
  <c r="I5899" i="11"/>
  <c r="I5898" i="11"/>
  <c r="I5897" i="11"/>
  <c r="I5896" i="11"/>
  <c r="I5895" i="11"/>
  <c r="I5894" i="11"/>
  <c r="I5893" i="11"/>
  <c r="I5892" i="11"/>
  <c r="I5891" i="11"/>
  <c r="I5890" i="11"/>
  <c r="I5889" i="11"/>
  <c r="I5888" i="11"/>
  <c r="I5887" i="11"/>
  <c r="I5886" i="11"/>
  <c r="I5885" i="11"/>
  <c r="I5884" i="11"/>
  <c r="I5883" i="11"/>
  <c r="I5882" i="11"/>
  <c r="I5881" i="11"/>
  <c r="I5880" i="11"/>
  <c r="I5879" i="11"/>
  <c r="I5878" i="11"/>
  <c r="I5877" i="11"/>
  <c r="I5876" i="11"/>
  <c r="I5875" i="11"/>
  <c r="I5874" i="11"/>
  <c r="I5873" i="11"/>
  <c r="I5872" i="11"/>
  <c r="I5871" i="11"/>
  <c r="I5870" i="11"/>
  <c r="I5869" i="11"/>
  <c r="I5868" i="11"/>
  <c r="I5867" i="11"/>
  <c r="I5866" i="11"/>
  <c r="I5865" i="11"/>
  <c r="I5864" i="11"/>
  <c r="I5863" i="11"/>
  <c r="I5862" i="11"/>
  <c r="I5861" i="11"/>
  <c r="I5860" i="11"/>
  <c r="I5859" i="11"/>
  <c r="I5858" i="11"/>
  <c r="I5857" i="11"/>
  <c r="I5856" i="11"/>
  <c r="I5855" i="11"/>
  <c r="I5854" i="11"/>
  <c r="I5853" i="11"/>
  <c r="I5852" i="11"/>
  <c r="I5851" i="11"/>
  <c r="I5850" i="11"/>
  <c r="I5849" i="11"/>
  <c r="I5848" i="11"/>
  <c r="I5847" i="11"/>
  <c r="I5846" i="11"/>
  <c r="I5845" i="11"/>
  <c r="I5844" i="11"/>
  <c r="I5843" i="11"/>
  <c r="I5842" i="11"/>
  <c r="I5841" i="11"/>
  <c r="I5840" i="11"/>
  <c r="I5839" i="11"/>
  <c r="I5838" i="11"/>
  <c r="I5837" i="11"/>
  <c r="I5836" i="11"/>
  <c r="I5835" i="11"/>
  <c r="I5834" i="11"/>
  <c r="I5833" i="11"/>
  <c r="I5832" i="11"/>
  <c r="I5831" i="11"/>
  <c r="I5830" i="11"/>
  <c r="I5829" i="11"/>
  <c r="I5828" i="11"/>
  <c r="I5827" i="11"/>
  <c r="I5826" i="11"/>
  <c r="I5825" i="11"/>
  <c r="I5824" i="11"/>
  <c r="I5823" i="11"/>
  <c r="I5822" i="11"/>
  <c r="I5821" i="11"/>
  <c r="I5820" i="11"/>
  <c r="I5819" i="11"/>
  <c r="I5818" i="11"/>
  <c r="I5817" i="11"/>
  <c r="I5816" i="11"/>
  <c r="I5815" i="11"/>
  <c r="I5814" i="11"/>
  <c r="I5813" i="11"/>
  <c r="I5812" i="11"/>
  <c r="I5811" i="11"/>
  <c r="I5810" i="11"/>
  <c r="I5809" i="11"/>
  <c r="I5808" i="11"/>
  <c r="I5807" i="11"/>
  <c r="I5806" i="11"/>
  <c r="I5805" i="11"/>
  <c r="I5804" i="11"/>
  <c r="I5803" i="11"/>
  <c r="I5802" i="11"/>
  <c r="I5801" i="11"/>
  <c r="I5800" i="11"/>
  <c r="I5799" i="11"/>
  <c r="I5798" i="11"/>
  <c r="I5797" i="11"/>
  <c r="I5796" i="11"/>
  <c r="I5795" i="11"/>
  <c r="I5794" i="11"/>
  <c r="I5793" i="11"/>
  <c r="I5792" i="11"/>
  <c r="I5791" i="11"/>
  <c r="I5790" i="11"/>
  <c r="I5789" i="11"/>
  <c r="I5788" i="11"/>
  <c r="I5787" i="11"/>
  <c r="I5786" i="11"/>
  <c r="I5785" i="11"/>
  <c r="I5784" i="11"/>
  <c r="I5783" i="11"/>
  <c r="I5782" i="11"/>
  <c r="I5781" i="11"/>
  <c r="I5780" i="11"/>
  <c r="I5779" i="11"/>
  <c r="I5778" i="11"/>
  <c r="I5777" i="11"/>
  <c r="I5776" i="11"/>
  <c r="I5775" i="11"/>
  <c r="I5774" i="11"/>
  <c r="I5773" i="11"/>
  <c r="I5772" i="11"/>
  <c r="I5771" i="11"/>
  <c r="I5770" i="11"/>
  <c r="I5769" i="11"/>
  <c r="I5768" i="11"/>
  <c r="I5767" i="11"/>
  <c r="I5766" i="11"/>
  <c r="I5765" i="11"/>
  <c r="I5764" i="11"/>
  <c r="I5763" i="11"/>
  <c r="I5762" i="11"/>
  <c r="I5761" i="11"/>
  <c r="I5760" i="11"/>
  <c r="I5759" i="11"/>
  <c r="I5758" i="11"/>
  <c r="I5757" i="11"/>
  <c r="I5756" i="11"/>
  <c r="I5755" i="11"/>
  <c r="I5754" i="11"/>
  <c r="I5753" i="11"/>
  <c r="I5752" i="11"/>
  <c r="I5751" i="11"/>
  <c r="I5750" i="11"/>
  <c r="I5749" i="11"/>
  <c r="I5748" i="11"/>
  <c r="I5747" i="11"/>
  <c r="I5746" i="11"/>
  <c r="I5745" i="11"/>
  <c r="I5744" i="11"/>
  <c r="I5743" i="11"/>
  <c r="I5742" i="11"/>
  <c r="I5741" i="11"/>
  <c r="I5740" i="11"/>
  <c r="I5739" i="11"/>
  <c r="I5738" i="11"/>
  <c r="I5737" i="11"/>
  <c r="I5736" i="11"/>
  <c r="I5735" i="11"/>
  <c r="I5734" i="11"/>
  <c r="I5733" i="11"/>
  <c r="I5732" i="11"/>
  <c r="I5731" i="11"/>
  <c r="I5730" i="11"/>
  <c r="I5729" i="11"/>
  <c r="I5728" i="11"/>
  <c r="I5727" i="11"/>
  <c r="I5726" i="11"/>
  <c r="I5725" i="11"/>
  <c r="I5724" i="11"/>
  <c r="I5723" i="11"/>
  <c r="I5722" i="11"/>
  <c r="I5721" i="11"/>
  <c r="I5720" i="11"/>
  <c r="I5719" i="11"/>
  <c r="I5718" i="11"/>
  <c r="I5717" i="11"/>
  <c r="I5716" i="11"/>
  <c r="I5715" i="11"/>
  <c r="I5714" i="11"/>
  <c r="I5713" i="11"/>
  <c r="I5712" i="11"/>
  <c r="I5711" i="11"/>
  <c r="I5710" i="11"/>
  <c r="I5709" i="11"/>
  <c r="I5708" i="11"/>
  <c r="I5707" i="11"/>
  <c r="I5706" i="11"/>
  <c r="I5705" i="11"/>
  <c r="I5704" i="11"/>
  <c r="I5703" i="11"/>
  <c r="I5702" i="11"/>
  <c r="I5701" i="11"/>
  <c r="I5700" i="11"/>
  <c r="I5699" i="11"/>
  <c r="I5698" i="11"/>
  <c r="I5697" i="11"/>
  <c r="I5696" i="11"/>
  <c r="I5695" i="11"/>
  <c r="I5694" i="11"/>
  <c r="I5693" i="11"/>
  <c r="I5692" i="11"/>
  <c r="I5691" i="11"/>
  <c r="I5690" i="11"/>
  <c r="I5689" i="11"/>
  <c r="I5688" i="11"/>
  <c r="I5687" i="11"/>
  <c r="I5686" i="11"/>
  <c r="I5685" i="11"/>
  <c r="I5684" i="11"/>
  <c r="I5683" i="11"/>
  <c r="I5682" i="11"/>
  <c r="I5681" i="11"/>
  <c r="I5680" i="11"/>
  <c r="I5679" i="11"/>
  <c r="I5678" i="11"/>
  <c r="I5677" i="11"/>
  <c r="I5676" i="11"/>
  <c r="I5675" i="11"/>
  <c r="I5674" i="11"/>
  <c r="I5673" i="11"/>
  <c r="I5672" i="11"/>
  <c r="I5671" i="11"/>
  <c r="I5670" i="11"/>
  <c r="I5669" i="11"/>
  <c r="I5668" i="11"/>
  <c r="I5667" i="11"/>
  <c r="I5666" i="11"/>
  <c r="I5665" i="11"/>
  <c r="I5664" i="11"/>
  <c r="I5663" i="11"/>
  <c r="I5662" i="11"/>
  <c r="I5661" i="11"/>
  <c r="I5660" i="11"/>
  <c r="I5659" i="11"/>
  <c r="I5658" i="11"/>
  <c r="I5657" i="11"/>
  <c r="I5656" i="11"/>
  <c r="I5655" i="11"/>
  <c r="I5654" i="11"/>
  <c r="I5653" i="11"/>
  <c r="I5652" i="11"/>
  <c r="I5651" i="11"/>
  <c r="I5650" i="11"/>
  <c r="I5649" i="11"/>
  <c r="I5648" i="11"/>
  <c r="I5647" i="11"/>
  <c r="I5646" i="11"/>
  <c r="I5645" i="11"/>
  <c r="I5644" i="11"/>
  <c r="I5643" i="11"/>
  <c r="I5642" i="11"/>
  <c r="I5641" i="11"/>
  <c r="I5640" i="11"/>
  <c r="I5639" i="11"/>
  <c r="I5638" i="11"/>
  <c r="I5637" i="11"/>
  <c r="I5636" i="11"/>
  <c r="I5635" i="11"/>
  <c r="I5634" i="11"/>
  <c r="I5633" i="11"/>
  <c r="I5632" i="11"/>
  <c r="I5631" i="11"/>
  <c r="I5630" i="11"/>
  <c r="I5629" i="11"/>
  <c r="I5628" i="11"/>
  <c r="I5627" i="11"/>
  <c r="I5626" i="11"/>
  <c r="I5625" i="11"/>
  <c r="I5624" i="11"/>
  <c r="I5623" i="11"/>
  <c r="I5622" i="11"/>
  <c r="I5621" i="11"/>
  <c r="I5620" i="11"/>
  <c r="I5619" i="11"/>
  <c r="I5618" i="11"/>
  <c r="I5617" i="11"/>
  <c r="I5616" i="11"/>
  <c r="I5615" i="11"/>
  <c r="I5614" i="11"/>
  <c r="I5613" i="11"/>
  <c r="I5612" i="11"/>
  <c r="I5611" i="11"/>
  <c r="I5610" i="11"/>
  <c r="I5609" i="11"/>
  <c r="I5608" i="11"/>
  <c r="I5607" i="11"/>
  <c r="I5606" i="11"/>
  <c r="I5605" i="11"/>
  <c r="I5604" i="11"/>
  <c r="I5603" i="11"/>
  <c r="I5602" i="11"/>
  <c r="I5601" i="11"/>
  <c r="I5600" i="11"/>
  <c r="I5599" i="11"/>
  <c r="I5598" i="11"/>
  <c r="I5597" i="11"/>
  <c r="I5596" i="11"/>
  <c r="I5595" i="11"/>
  <c r="I5594" i="11"/>
  <c r="I5593" i="11"/>
  <c r="I5592" i="11"/>
  <c r="I5591" i="11"/>
  <c r="I5590" i="11"/>
  <c r="I5589" i="11"/>
  <c r="I5588" i="11"/>
  <c r="I5587" i="11"/>
  <c r="I5586" i="11"/>
  <c r="I5585" i="11"/>
  <c r="I5584" i="11"/>
  <c r="I5583" i="11"/>
  <c r="I5582" i="11"/>
  <c r="I5581" i="11"/>
  <c r="I5580" i="11"/>
  <c r="I5579" i="11"/>
  <c r="I5578" i="11"/>
  <c r="I5577" i="11"/>
  <c r="I5576" i="11"/>
  <c r="I5575" i="11"/>
  <c r="I5574" i="11"/>
  <c r="I5573" i="11"/>
  <c r="I5572" i="11"/>
  <c r="I5571" i="11"/>
  <c r="I5570" i="11"/>
  <c r="I5569" i="11"/>
  <c r="I5568" i="11"/>
  <c r="I5567" i="11"/>
  <c r="I5566" i="11"/>
  <c r="I5565" i="11"/>
  <c r="I5564" i="11"/>
  <c r="I5563" i="11"/>
  <c r="I5562" i="11"/>
  <c r="I5561" i="11"/>
  <c r="I5560" i="11"/>
  <c r="I5559" i="11"/>
  <c r="I5558" i="11"/>
  <c r="I5557" i="11"/>
  <c r="I5556" i="11"/>
  <c r="I5555" i="11"/>
  <c r="I5554" i="11"/>
  <c r="I5553" i="11"/>
  <c r="I5552" i="11"/>
  <c r="I5551" i="11"/>
  <c r="I5550" i="11"/>
  <c r="I5549" i="11"/>
  <c r="I5548" i="11"/>
  <c r="I5547" i="11"/>
  <c r="I5546" i="11"/>
  <c r="I5545" i="11"/>
  <c r="I5544" i="11"/>
  <c r="I5543" i="11"/>
  <c r="I5542" i="11"/>
  <c r="I5541" i="11"/>
  <c r="I5540" i="11"/>
  <c r="I5539" i="11"/>
  <c r="I5538" i="11"/>
  <c r="I5537" i="11"/>
  <c r="I5536" i="11"/>
  <c r="I5535" i="11"/>
  <c r="I5534" i="11"/>
  <c r="I5533" i="11"/>
  <c r="I5532" i="11"/>
  <c r="I5531" i="11"/>
  <c r="I5530" i="11"/>
  <c r="I5529" i="11"/>
  <c r="I5528" i="11"/>
  <c r="I5527" i="11"/>
  <c r="I5526" i="11"/>
  <c r="I5525" i="11"/>
  <c r="I5524" i="11"/>
  <c r="I5523" i="11"/>
  <c r="I5522" i="11"/>
  <c r="I5521" i="11"/>
  <c r="I5520" i="11"/>
  <c r="I5519" i="11"/>
  <c r="I5518" i="11"/>
  <c r="I5517" i="11"/>
  <c r="I5516" i="11"/>
  <c r="I5515" i="11"/>
  <c r="I5514" i="11"/>
  <c r="I5513" i="11"/>
  <c r="I5512" i="11"/>
  <c r="I5511" i="11"/>
  <c r="I5510" i="11"/>
  <c r="I5509" i="11"/>
  <c r="I5508" i="11"/>
  <c r="I5507" i="11"/>
  <c r="I5506" i="11"/>
  <c r="I5505" i="11"/>
  <c r="I5504" i="11"/>
  <c r="I5503" i="11"/>
  <c r="I5502" i="11"/>
  <c r="I5501" i="11"/>
  <c r="I5500" i="11"/>
  <c r="I5499" i="11"/>
  <c r="I5498" i="11"/>
  <c r="I5497" i="11"/>
  <c r="I5496" i="11"/>
  <c r="I5495" i="11"/>
  <c r="I5494" i="11"/>
  <c r="I5493" i="11"/>
  <c r="I5492" i="11"/>
  <c r="I5491" i="11"/>
  <c r="I5490" i="11"/>
  <c r="I5489" i="11"/>
  <c r="I5488" i="11"/>
  <c r="I5487" i="11"/>
  <c r="I5486" i="11"/>
  <c r="I5485" i="11"/>
  <c r="I5484" i="11"/>
  <c r="I5483" i="11"/>
  <c r="I5482" i="11"/>
  <c r="I5481" i="11"/>
  <c r="I5480" i="11"/>
  <c r="I5479" i="11"/>
  <c r="I5478" i="11"/>
  <c r="I5477" i="11"/>
  <c r="I5476" i="11"/>
  <c r="I5475" i="11"/>
  <c r="I5474" i="11"/>
  <c r="I5473" i="11"/>
  <c r="I5472" i="11"/>
  <c r="I5471" i="11"/>
  <c r="I5470" i="11"/>
  <c r="I5469" i="11"/>
  <c r="I5468" i="11"/>
  <c r="I5467" i="11"/>
  <c r="I5466" i="11"/>
  <c r="I5465" i="11"/>
  <c r="I5464" i="11"/>
  <c r="I5463" i="11"/>
  <c r="I5462" i="11"/>
  <c r="I5461" i="11"/>
  <c r="I5460" i="11"/>
  <c r="I5459" i="11"/>
  <c r="I5458" i="11"/>
  <c r="I5457" i="11"/>
  <c r="I5456" i="11"/>
  <c r="I5455" i="11"/>
  <c r="I5454" i="11"/>
  <c r="I5453" i="11"/>
  <c r="I5452" i="11"/>
  <c r="I5451" i="11"/>
  <c r="I5450" i="11"/>
  <c r="I5449" i="11"/>
  <c r="I5448" i="11"/>
  <c r="I5447" i="11"/>
  <c r="I5446" i="11"/>
  <c r="I5445" i="11"/>
  <c r="I5444" i="11"/>
  <c r="I5443" i="11"/>
  <c r="I5442" i="11"/>
  <c r="I5441" i="11"/>
  <c r="I5440" i="11"/>
  <c r="I5439" i="11"/>
  <c r="I5438" i="11"/>
  <c r="I5437" i="11"/>
  <c r="I5436" i="11"/>
  <c r="I5435" i="11"/>
  <c r="I5434" i="11"/>
  <c r="I5433" i="11"/>
  <c r="I5432" i="11"/>
  <c r="I5431" i="11"/>
  <c r="I5430" i="11"/>
  <c r="I5429" i="11"/>
  <c r="I5428" i="11"/>
  <c r="I5427" i="11"/>
  <c r="I5426" i="11"/>
  <c r="I5425" i="11"/>
  <c r="I5424" i="11"/>
  <c r="I5423" i="11"/>
  <c r="I5422" i="11"/>
  <c r="I5421" i="11"/>
  <c r="I5420" i="11"/>
  <c r="I5419" i="11"/>
  <c r="I5418" i="11"/>
  <c r="I5417" i="11"/>
  <c r="I5416" i="11"/>
  <c r="I5415" i="11"/>
  <c r="I5414" i="11"/>
  <c r="I5413" i="11"/>
  <c r="I5412" i="11"/>
  <c r="I5411" i="11"/>
  <c r="I5410" i="11"/>
  <c r="I5409" i="11"/>
  <c r="I5408" i="11"/>
  <c r="I5407" i="11"/>
  <c r="I5406" i="11"/>
  <c r="I5405" i="11"/>
  <c r="I5404" i="11"/>
  <c r="I5403" i="11"/>
  <c r="I5402" i="11"/>
  <c r="I5401" i="11"/>
  <c r="I5400" i="11"/>
  <c r="I5399" i="11"/>
  <c r="I5398" i="11"/>
  <c r="I5397" i="11"/>
  <c r="I5396" i="11"/>
  <c r="I5395" i="11"/>
  <c r="I5394" i="11"/>
  <c r="I5393" i="11"/>
  <c r="I5392" i="11"/>
  <c r="I5391" i="11"/>
  <c r="I5390" i="11"/>
  <c r="I5389" i="11"/>
  <c r="I5388" i="11"/>
  <c r="I5387" i="11"/>
  <c r="I5386" i="11"/>
  <c r="I5385" i="11"/>
  <c r="I5384" i="11"/>
  <c r="I5383" i="11"/>
  <c r="I5382" i="11"/>
  <c r="I5381" i="11"/>
  <c r="I5380" i="11"/>
  <c r="I5379" i="11"/>
  <c r="I5378" i="11"/>
  <c r="I5377" i="11"/>
  <c r="I5376" i="11"/>
  <c r="I5375" i="11"/>
  <c r="I5374" i="11"/>
  <c r="I5373" i="11"/>
  <c r="I5372" i="11"/>
  <c r="I5371" i="11"/>
  <c r="I5370" i="11"/>
  <c r="I5369" i="11"/>
  <c r="I5368" i="11"/>
  <c r="I5367" i="11"/>
  <c r="I5366" i="11"/>
  <c r="I5365" i="11"/>
  <c r="I5364" i="11"/>
  <c r="I5363" i="11"/>
  <c r="I5362" i="11"/>
  <c r="I5361" i="11"/>
  <c r="I5360" i="11"/>
  <c r="I5359" i="11"/>
  <c r="I5358" i="11"/>
  <c r="I5357" i="11"/>
  <c r="I5356" i="11"/>
  <c r="I5355" i="11"/>
  <c r="I5354" i="11"/>
  <c r="I5353" i="11"/>
  <c r="I5352" i="11"/>
  <c r="I5351" i="11"/>
  <c r="I5350" i="11"/>
  <c r="I5349" i="11"/>
  <c r="I5348" i="11"/>
  <c r="I5347" i="11"/>
  <c r="I5346" i="11"/>
  <c r="I5345" i="11"/>
  <c r="I5344" i="11"/>
  <c r="I5343" i="11"/>
  <c r="I5342" i="11"/>
  <c r="I5341" i="11"/>
  <c r="I5340" i="11"/>
  <c r="I5339" i="11"/>
  <c r="I5338" i="11"/>
  <c r="I5337" i="11"/>
  <c r="I5336" i="11"/>
  <c r="I5335" i="11"/>
  <c r="I5334" i="11"/>
  <c r="I5333" i="11"/>
  <c r="I5332" i="11"/>
  <c r="I5331" i="11"/>
  <c r="I5330" i="11"/>
  <c r="I5329" i="11"/>
  <c r="I5328" i="11"/>
  <c r="I5327" i="11"/>
  <c r="I5326" i="11"/>
  <c r="I5325" i="11"/>
  <c r="I5324" i="11"/>
  <c r="I5323" i="11"/>
  <c r="I5322" i="11"/>
  <c r="I5321" i="11"/>
  <c r="I5320" i="11"/>
  <c r="I5319" i="11"/>
  <c r="I5318" i="11"/>
  <c r="I5317" i="11"/>
  <c r="I5316" i="11"/>
  <c r="I5315" i="11"/>
  <c r="I5314" i="11"/>
  <c r="I5313" i="11"/>
  <c r="I5312" i="11"/>
  <c r="I5311" i="11"/>
  <c r="I5310" i="11"/>
  <c r="I5309" i="11"/>
  <c r="I5308" i="11"/>
  <c r="I5307" i="11"/>
  <c r="I5306" i="11"/>
  <c r="I5305" i="11"/>
  <c r="I5304" i="11"/>
  <c r="I5303" i="11"/>
  <c r="I5302" i="11"/>
  <c r="I5301" i="11"/>
  <c r="I5300" i="11"/>
  <c r="I5299" i="11"/>
  <c r="I5298" i="11"/>
  <c r="I5297" i="11"/>
  <c r="I5296" i="11"/>
  <c r="I5295" i="11"/>
  <c r="I5294" i="11"/>
  <c r="I5293" i="11"/>
  <c r="I5292" i="11"/>
  <c r="I5291" i="11"/>
  <c r="I5290" i="11"/>
  <c r="I5289" i="11"/>
  <c r="I5288" i="11"/>
  <c r="I5287" i="11"/>
  <c r="I5286" i="11"/>
  <c r="I5285" i="11"/>
  <c r="I5284" i="11"/>
  <c r="I5283" i="11"/>
  <c r="I5282" i="11"/>
  <c r="I5281" i="11"/>
  <c r="I5280" i="11"/>
  <c r="I5279" i="11"/>
  <c r="I5278" i="11"/>
  <c r="I5277" i="11"/>
  <c r="I5276" i="11"/>
  <c r="I5275" i="11"/>
  <c r="I5274" i="11"/>
  <c r="I5273" i="11"/>
  <c r="I5272" i="11"/>
  <c r="I5271" i="11"/>
  <c r="I5270" i="11"/>
  <c r="I5269" i="11"/>
  <c r="I5268" i="11"/>
  <c r="I5267" i="11"/>
  <c r="I5266" i="11"/>
  <c r="I5265" i="11"/>
  <c r="I5264" i="11"/>
  <c r="I5263" i="11"/>
  <c r="I5262" i="11"/>
  <c r="I5261" i="11"/>
  <c r="I5260" i="11"/>
  <c r="I5259" i="11"/>
  <c r="I5258" i="11"/>
  <c r="I5257" i="11"/>
  <c r="I5256" i="11"/>
  <c r="I5255" i="11"/>
  <c r="I5254" i="11"/>
  <c r="I5253" i="11"/>
  <c r="I5252" i="11"/>
  <c r="I5251" i="11"/>
  <c r="I5250" i="11"/>
  <c r="I5249" i="11"/>
  <c r="I5248" i="11"/>
  <c r="I5247" i="11"/>
  <c r="I5246" i="11"/>
  <c r="I5245" i="11"/>
  <c r="I5244" i="11"/>
  <c r="I5243" i="11"/>
  <c r="I5242" i="11"/>
  <c r="I5241" i="11"/>
  <c r="I5240" i="11"/>
  <c r="I5239" i="11"/>
  <c r="I5238" i="11"/>
  <c r="I5237" i="11"/>
  <c r="I5236" i="11"/>
  <c r="I5235" i="11"/>
  <c r="I5234" i="11"/>
  <c r="I5233" i="11"/>
  <c r="I5232" i="11"/>
  <c r="I5231" i="11"/>
  <c r="I5230" i="11"/>
  <c r="I5229" i="11"/>
  <c r="I5228" i="11"/>
  <c r="I5227" i="11"/>
  <c r="I5226" i="11"/>
  <c r="I5225" i="11"/>
  <c r="I5224" i="11"/>
  <c r="I5223" i="11"/>
  <c r="I5222" i="11"/>
  <c r="I5221" i="11"/>
  <c r="I5220" i="11"/>
  <c r="I5219" i="11"/>
  <c r="I5218" i="11"/>
  <c r="I5217" i="11"/>
  <c r="I5216" i="11"/>
  <c r="I5215" i="11"/>
  <c r="I5214" i="11"/>
  <c r="I5213" i="11"/>
  <c r="I5212" i="11"/>
  <c r="I5211" i="11"/>
  <c r="I5210" i="11"/>
  <c r="I5209" i="11"/>
  <c r="I5208" i="11"/>
  <c r="I5207" i="11"/>
  <c r="I5206" i="11"/>
  <c r="I5205" i="11"/>
  <c r="I5204" i="11"/>
  <c r="I5203" i="11"/>
  <c r="I5202" i="11"/>
  <c r="I5201" i="11"/>
  <c r="I5200" i="11"/>
  <c r="I5199" i="11"/>
  <c r="I5198" i="11"/>
  <c r="I5197" i="11"/>
  <c r="I5196" i="11"/>
  <c r="I5195" i="11"/>
  <c r="I5194" i="11"/>
  <c r="I5193" i="11"/>
  <c r="I5192" i="11"/>
  <c r="I5191" i="11"/>
  <c r="I5190" i="11"/>
  <c r="I5189" i="11"/>
  <c r="I5188" i="11"/>
  <c r="I5187" i="11"/>
  <c r="I5186" i="11"/>
  <c r="I5185" i="11"/>
  <c r="I5184" i="11"/>
  <c r="I5183" i="11"/>
  <c r="I5182" i="11"/>
  <c r="I5181" i="11"/>
  <c r="I5180" i="11"/>
  <c r="I5179" i="11"/>
  <c r="I5178" i="11"/>
  <c r="I5177" i="11"/>
  <c r="I5176" i="11"/>
  <c r="I5175" i="11"/>
  <c r="I5174" i="11"/>
  <c r="I5173" i="11"/>
  <c r="I5172" i="11"/>
  <c r="I5171" i="11"/>
  <c r="I5170" i="11"/>
  <c r="I5169" i="11"/>
  <c r="I5168" i="11"/>
  <c r="I5167" i="11"/>
  <c r="I5166" i="11"/>
  <c r="I5165" i="11"/>
  <c r="I5164" i="11"/>
  <c r="I5163" i="11"/>
  <c r="I5162" i="11"/>
  <c r="I5161" i="11"/>
  <c r="I5160" i="11"/>
  <c r="I5159" i="11"/>
  <c r="I5158" i="11"/>
  <c r="I5157" i="11"/>
  <c r="I5156" i="11"/>
  <c r="I5155" i="11"/>
  <c r="I5154" i="11"/>
  <c r="I5153" i="11"/>
  <c r="I5152" i="11"/>
  <c r="I5151" i="11"/>
  <c r="I5150" i="11"/>
  <c r="I5149" i="11"/>
  <c r="I5148" i="11"/>
  <c r="I5147" i="11"/>
  <c r="I5146" i="11"/>
  <c r="I5145" i="11"/>
  <c r="I5144" i="11"/>
  <c r="I5143" i="11"/>
  <c r="I5142" i="11"/>
  <c r="I5141" i="11"/>
  <c r="I5140" i="11"/>
  <c r="I5139" i="11"/>
  <c r="I5138" i="11"/>
  <c r="I5137" i="11"/>
  <c r="I5136" i="11"/>
  <c r="I5135" i="11"/>
  <c r="I5134" i="11"/>
  <c r="I5133" i="11"/>
  <c r="I5132" i="11"/>
  <c r="I5131" i="11"/>
  <c r="I5130" i="11"/>
  <c r="I5129" i="11"/>
  <c r="I5128" i="11"/>
  <c r="I5127" i="11"/>
  <c r="I5126" i="11"/>
  <c r="I5125" i="11"/>
  <c r="I5124" i="11"/>
  <c r="I5123" i="11"/>
  <c r="I5122" i="11"/>
  <c r="I5121" i="11"/>
  <c r="I5120" i="11"/>
  <c r="I5119" i="11"/>
  <c r="I5118" i="11"/>
  <c r="I5117" i="11"/>
  <c r="I5116" i="11"/>
  <c r="I5115" i="11"/>
  <c r="I5114" i="11"/>
  <c r="I5113" i="11"/>
  <c r="I5112" i="11"/>
  <c r="I5111" i="11"/>
  <c r="I5110" i="11"/>
  <c r="I5109" i="11"/>
  <c r="I5108" i="11"/>
  <c r="I5107" i="11"/>
  <c r="I5106" i="11"/>
  <c r="I5105" i="11"/>
  <c r="I5104" i="11"/>
  <c r="I5103" i="11"/>
  <c r="I5102" i="11"/>
  <c r="I5101" i="11"/>
  <c r="I5100" i="11"/>
  <c r="I5099" i="11"/>
  <c r="I5098" i="11"/>
  <c r="I5097" i="11"/>
  <c r="I5096" i="11"/>
  <c r="I5095" i="11"/>
  <c r="I5094" i="11"/>
  <c r="I5093" i="11"/>
  <c r="I5092" i="11"/>
  <c r="I5091" i="11"/>
  <c r="I5090" i="11"/>
  <c r="I5089" i="11"/>
  <c r="I5088" i="11"/>
  <c r="I5087" i="11"/>
  <c r="I5086" i="11"/>
  <c r="I5085" i="11"/>
  <c r="I5084" i="11"/>
  <c r="I5083" i="11"/>
  <c r="I5082" i="11"/>
  <c r="I5081" i="11"/>
  <c r="I5080" i="11"/>
  <c r="I5079" i="11"/>
  <c r="I5078" i="11"/>
  <c r="I5077" i="11"/>
  <c r="I5076" i="11"/>
  <c r="I5075" i="11"/>
  <c r="I5074" i="11"/>
  <c r="I5073" i="11"/>
  <c r="I5072" i="11"/>
  <c r="I5071" i="11"/>
  <c r="I5070" i="11"/>
  <c r="I5069" i="11"/>
  <c r="I5068" i="11"/>
  <c r="I5067" i="11"/>
  <c r="I5066" i="11"/>
  <c r="I5065" i="11"/>
  <c r="I5064" i="11"/>
  <c r="I5063" i="11"/>
  <c r="I5062" i="11"/>
  <c r="I5061" i="11"/>
  <c r="I5060" i="11"/>
  <c r="I5059" i="11"/>
  <c r="I5058" i="11"/>
  <c r="I5057" i="11"/>
  <c r="I5056" i="11"/>
  <c r="I5055" i="11"/>
  <c r="I5054" i="11"/>
  <c r="I5053" i="11"/>
  <c r="I5052" i="11"/>
  <c r="I5051" i="11"/>
  <c r="I5050" i="11"/>
  <c r="I5049" i="11"/>
  <c r="I5048" i="11"/>
  <c r="I5047" i="11"/>
  <c r="I5046" i="11"/>
  <c r="I5045" i="11"/>
  <c r="I5044" i="11"/>
  <c r="I5043" i="11"/>
  <c r="I5042" i="11"/>
  <c r="I5041" i="11"/>
  <c r="I5040" i="11"/>
  <c r="I5039" i="11"/>
  <c r="I5038" i="11"/>
  <c r="I5037" i="11"/>
  <c r="I5036" i="11"/>
  <c r="I5035" i="11"/>
  <c r="I5034" i="11"/>
  <c r="I5033" i="11"/>
  <c r="I5032" i="11"/>
  <c r="I5031" i="11"/>
  <c r="I5030" i="11"/>
  <c r="I5029" i="11"/>
  <c r="I5028" i="11"/>
  <c r="I5027" i="11"/>
  <c r="I5026" i="11"/>
  <c r="I5025" i="11"/>
  <c r="I5024" i="11"/>
  <c r="I5023" i="11"/>
  <c r="I5022" i="11"/>
  <c r="I5021" i="11"/>
  <c r="I5020" i="11"/>
  <c r="I5019" i="11"/>
  <c r="I5018" i="11"/>
  <c r="I5017" i="11"/>
  <c r="I5016" i="11"/>
  <c r="I5015" i="11"/>
  <c r="I5014" i="11"/>
  <c r="I5013" i="11"/>
  <c r="I5012" i="11"/>
  <c r="I5011" i="11"/>
  <c r="I5010" i="11"/>
  <c r="I5009" i="11"/>
  <c r="I5008" i="11"/>
  <c r="I5007" i="11"/>
  <c r="I5006" i="11"/>
  <c r="I5005" i="11"/>
  <c r="I5004" i="11"/>
  <c r="I5003" i="11"/>
  <c r="I5002" i="11"/>
  <c r="I5001" i="11"/>
  <c r="I5000" i="11"/>
  <c r="I4999" i="11"/>
  <c r="I4998" i="11"/>
  <c r="I4997" i="11"/>
  <c r="I4996" i="11"/>
  <c r="I4995" i="11"/>
  <c r="I4994" i="11"/>
  <c r="I4993" i="11"/>
  <c r="I4992" i="11"/>
  <c r="I4991" i="11"/>
  <c r="I4990" i="11"/>
  <c r="I4989" i="11"/>
  <c r="I4988" i="11"/>
  <c r="I4987" i="11"/>
  <c r="I4986" i="11"/>
  <c r="I4985" i="11"/>
  <c r="I4984" i="11"/>
  <c r="I4983" i="11"/>
  <c r="I4982" i="11"/>
  <c r="I4981" i="11"/>
  <c r="I4980" i="11"/>
  <c r="I4979" i="11"/>
  <c r="I4978" i="11"/>
  <c r="I4977" i="11"/>
  <c r="I4976" i="11"/>
  <c r="I4975" i="11"/>
  <c r="I4974" i="11"/>
  <c r="I4973" i="11"/>
  <c r="I4972" i="11"/>
  <c r="I4971" i="11"/>
  <c r="I4970" i="11"/>
  <c r="I4969" i="11"/>
  <c r="I4968" i="11"/>
  <c r="I4967" i="11"/>
  <c r="I4966" i="11"/>
  <c r="I4965" i="11"/>
  <c r="I4964" i="11"/>
  <c r="I4963" i="11"/>
  <c r="I4962" i="11"/>
  <c r="I4961" i="11"/>
  <c r="I4960" i="11"/>
  <c r="I4959" i="11"/>
  <c r="I4958" i="11"/>
  <c r="I4957" i="11"/>
  <c r="I4956" i="11"/>
  <c r="I4955" i="11"/>
  <c r="I4954" i="11"/>
  <c r="I4953" i="11"/>
  <c r="I4952" i="11"/>
  <c r="I4951" i="11"/>
  <c r="I4950" i="11"/>
  <c r="I4949" i="11"/>
  <c r="I4948" i="11"/>
  <c r="I4947" i="11"/>
  <c r="I4946" i="11"/>
  <c r="I4945" i="11"/>
  <c r="I4944" i="11"/>
  <c r="I4943" i="11"/>
  <c r="I4942" i="11"/>
  <c r="I4941" i="11"/>
  <c r="I4940" i="11"/>
  <c r="I4939" i="11"/>
  <c r="I4938" i="11"/>
  <c r="I4937" i="11"/>
  <c r="I4936" i="11"/>
  <c r="I4935" i="11"/>
  <c r="I4934" i="11"/>
  <c r="I4933" i="11"/>
  <c r="I4932" i="11"/>
  <c r="I4931" i="11"/>
  <c r="I4930" i="11"/>
  <c r="I4929" i="11"/>
  <c r="I4928" i="11"/>
  <c r="I4927" i="11"/>
  <c r="I4926" i="11"/>
  <c r="I4925" i="11"/>
  <c r="I4924" i="11"/>
  <c r="I4923" i="11"/>
  <c r="I4922" i="11"/>
  <c r="I4921" i="11"/>
  <c r="I4920" i="11"/>
  <c r="I4919" i="11"/>
  <c r="I4918" i="11"/>
  <c r="I4917" i="11"/>
  <c r="I4916" i="11"/>
  <c r="I4915" i="11"/>
  <c r="I4914" i="11"/>
  <c r="I4913" i="11"/>
  <c r="I4912" i="11"/>
  <c r="I4911" i="11"/>
  <c r="I4910" i="11"/>
  <c r="I4909" i="11"/>
  <c r="I4908" i="11"/>
  <c r="I4907" i="11"/>
  <c r="I4906" i="11"/>
  <c r="I4905" i="11"/>
  <c r="I4904" i="11"/>
  <c r="I4903" i="11"/>
  <c r="I4902" i="11"/>
  <c r="I4901" i="11"/>
  <c r="I4900" i="11"/>
  <c r="I4899" i="11"/>
  <c r="I4898" i="11"/>
  <c r="I4897" i="11"/>
  <c r="I4896" i="11"/>
  <c r="I4895" i="11"/>
  <c r="I4894" i="11"/>
  <c r="I4893" i="11"/>
  <c r="I4892" i="11"/>
  <c r="I4891" i="11"/>
  <c r="I4890" i="11"/>
  <c r="I4889" i="11"/>
  <c r="I4888" i="11"/>
  <c r="I4887" i="11"/>
  <c r="I4886" i="11"/>
  <c r="I4885" i="11"/>
  <c r="I4884" i="11"/>
  <c r="I4883" i="11"/>
  <c r="I4882" i="11"/>
  <c r="I4881" i="11"/>
  <c r="I4880" i="11"/>
  <c r="I4879" i="11"/>
  <c r="I4878" i="11"/>
  <c r="I4877" i="11"/>
  <c r="I4876" i="11"/>
  <c r="I4875" i="11"/>
  <c r="I4874" i="11"/>
  <c r="I4873" i="11"/>
  <c r="I4872" i="11"/>
  <c r="I4871" i="11"/>
  <c r="I4870" i="11"/>
  <c r="I4869" i="11"/>
  <c r="I4868" i="11"/>
  <c r="I4867" i="11"/>
  <c r="I4866" i="11"/>
  <c r="I4865" i="11"/>
  <c r="I4864" i="11"/>
  <c r="I4863" i="11"/>
  <c r="I4862" i="11"/>
  <c r="I4861" i="11"/>
  <c r="I4860" i="11"/>
  <c r="I4859" i="11"/>
  <c r="I4858" i="11"/>
  <c r="I4857" i="11"/>
  <c r="I4856" i="11"/>
  <c r="I4855" i="11"/>
  <c r="I4854" i="11"/>
  <c r="I4853" i="11"/>
  <c r="I4852" i="11"/>
  <c r="I4851" i="11"/>
  <c r="I4850" i="11"/>
  <c r="I4849" i="11"/>
  <c r="I4848" i="11"/>
  <c r="I4847" i="11"/>
  <c r="I4846" i="11"/>
  <c r="I4845" i="11"/>
  <c r="I4844" i="11"/>
  <c r="I4843" i="11"/>
  <c r="I4842" i="11"/>
  <c r="I4841" i="11"/>
  <c r="I4840" i="11"/>
  <c r="I4839" i="11"/>
  <c r="I4838" i="11"/>
  <c r="I4837" i="11"/>
  <c r="I4836" i="11"/>
  <c r="I4835" i="11"/>
  <c r="I4834" i="11"/>
  <c r="I4833" i="11"/>
  <c r="I4832" i="11"/>
  <c r="I4831" i="11"/>
  <c r="I4830" i="11"/>
  <c r="I4829" i="11"/>
  <c r="I4828" i="11"/>
  <c r="I4827" i="11"/>
  <c r="I4826" i="11"/>
  <c r="I4825" i="11"/>
  <c r="I4824" i="11"/>
  <c r="I4823" i="11"/>
  <c r="I4822" i="11"/>
  <c r="I4821" i="11"/>
  <c r="I4820" i="11"/>
  <c r="I4819" i="11"/>
  <c r="I4818" i="11"/>
  <c r="I4817" i="11"/>
  <c r="I4816" i="11"/>
  <c r="I4815" i="11"/>
  <c r="I4814" i="11"/>
  <c r="I4813" i="11"/>
  <c r="I4812" i="11"/>
  <c r="I4811" i="11"/>
  <c r="I4810" i="11"/>
  <c r="I4809" i="11"/>
  <c r="I4808" i="11"/>
  <c r="I4807" i="11"/>
  <c r="I4806" i="11"/>
  <c r="I4805" i="11"/>
  <c r="I4804" i="11"/>
  <c r="I4803" i="11"/>
  <c r="I4802" i="11"/>
  <c r="I4801" i="11"/>
  <c r="I4800" i="11"/>
  <c r="I4799" i="11"/>
  <c r="I4798" i="11"/>
  <c r="I4797" i="11"/>
  <c r="I4796" i="11"/>
  <c r="I4795" i="11"/>
  <c r="I4794" i="11"/>
  <c r="I4793" i="11"/>
  <c r="I4792" i="11"/>
  <c r="I4791" i="11"/>
  <c r="I4790" i="11"/>
  <c r="I4789" i="11"/>
  <c r="I4788" i="11"/>
  <c r="I4787" i="11"/>
  <c r="I4786" i="11"/>
  <c r="I4785" i="11"/>
  <c r="I4784" i="11"/>
  <c r="I4783" i="11"/>
  <c r="I4782" i="11"/>
  <c r="I4781" i="11"/>
  <c r="I4780" i="11"/>
  <c r="I4779" i="11"/>
  <c r="I4778" i="11"/>
  <c r="I4777" i="11"/>
  <c r="I4776" i="11"/>
  <c r="I4775" i="11"/>
  <c r="I4774" i="11"/>
  <c r="I4773" i="11"/>
  <c r="I4772" i="11"/>
  <c r="I4771" i="11"/>
  <c r="I4770" i="11"/>
  <c r="I4769" i="11"/>
  <c r="I4768" i="11"/>
  <c r="I4767" i="11"/>
  <c r="I4766" i="11"/>
  <c r="I4765" i="11"/>
  <c r="I4764" i="11"/>
  <c r="I4763" i="11"/>
  <c r="I4762" i="11"/>
  <c r="I4761" i="11"/>
  <c r="I4760" i="11"/>
  <c r="I4759" i="11"/>
  <c r="I4758" i="11"/>
  <c r="I4757" i="11"/>
  <c r="I4756" i="11"/>
  <c r="I4755" i="11"/>
  <c r="I4754" i="11"/>
  <c r="I4753" i="11"/>
  <c r="I4752" i="11"/>
  <c r="I4751" i="11"/>
  <c r="I4750" i="11"/>
  <c r="I4749" i="11"/>
  <c r="I4748" i="11"/>
  <c r="I4747" i="11"/>
  <c r="I4746" i="11"/>
  <c r="I4745" i="11"/>
  <c r="I4744" i="11"/>
  <c r="I4743" i="11"/>
  <c r="I4742" i="11"/>
  <c r="I4741" i="11"/>
  <c r="I4740" i="11"/>
  <c r="I4739" i="11"/>
  <c r="I4738" i="11"/>
  <c r="I4737" i="11"/>
  <c r="I4736" i="11"/>
  <c r="I4735" i="11"/>
  <c r="I4734" i="11"/>
  <c r="I4733" i="11"/>
  <c r="I4732" i="11"/>
  <c r="I4731" i="11"/>
  <c r="I4730" i="11"/>
  <c r="I4729" i="11"/>
  <c r="I4728" i="11"/>
  <c r="I4727" i="11"/>
  <c r="I4726" i="11"/>
  <c r="I4725" i="11"/>
  <c r="I4724" i="11"/>
  <c r="I4723" i="11"/>
  <c r="I4722" i="11"/>
  <c r="I4721" i="11"/>
  <c r="I4720" i="11"/>
  <c r="I4719" i="11"/>
  <c r="I4718" i="11"/>
  <c r="I4717" i="11"/>
  <c r="I4716" i="11"/>
  <c r="I4715" i="11"/>
  <c r="I4714" i="11"/>
  <c r="I4713" i="11"/>
  <c r="I4712" i="11"/>
  <c r="I4711" i="11"/>
  <c r="I4710" i="11"/>
  <c r="I4709" i="11"/>
  <c r="I4708" i="11"/>
  <c r="I4707" i="11"/>
  <c r="I4706" i="11"/>
  <c r="I4705" i="11"/>
  <c r="I4704" i="11"/>
  <c r="I4703" i="11"/>
  <c r="I4702" i="11"/>
  <c r="I4701" i="11"/>
  <c r="I4700" i="11"/>
  <c r="I4699" i="11"/>
  <c r="I4698" i="11"/>
  <c r="I4697" i="11"/>
  <c r="I4696" i="11"/>
  <c r="I4695" i="11"/>
  <c r="I4694" i="11"/>
  <c r="I4693" i="11"/>
  <c r="I4692" i="11"/>
  <c r="I4691" i="11"/>
  <c r="I4690" i="11"/>
  <c r="I4689" i="11"/>
  <c r="I4688" i="11"/>
  <c r="I4687" i="11"/>
  <c r="I4686" i="11"/>
  <c r="I4685" i="11"/>
  <c r="I4684" i="11"/>
  <c r="I4683" i="11"/>
  <c r="I4682" i="11"/>
  <c r="I4681" i="11"/>
  <c r="I4680" i="11"/>
  <c r="I4679" i="11"/>
  <c r="I4678" i="11"/>
  <c r="I4677" i="11"/>
  <c r="I4676" i="11"/>
  <c r="I4675" i="11"/>
  <c r="I4674" i="11"/>
  <c r="I4673" i="11"/>
  <c r="I4672" i="11"/>
  <c r="I4671" i="11"/>
  <c r="I4670" i="11"/>
  <c r="I4669" i="11"/>
  <c r="I4668" i="11"/>
  <c r="I4667" i="11"/>
  <c r="I4666" i="11"/>
  <c r="I4665" i="11"/>
  <c r="I4664" i="11"/>
  <c r="I4663" i="11"/>
  <c r="I4662" i="11"/>
  <c r="I4661" i="11"/>
  <c r="I4660" i="11"/>
  <c r="I4659" i="11"/>
  <c r="I4658" i="11"/>
  <c r="I4657" i="11"/>
  <c r="I4656" i="11"/>
  <c r="I4655" i="11"/>
  <c r="I4654" i="11"/>
  <c r="I4653" i="11"/>
  <c r="I4652" i="11"/>
  <c r="I4651" i="11"/>
  <c r="I4650" i="11"/>
  <c r="I4649" i="11"/>
  <c r="I4648" i="11"/>
  <c r="I4647" i="11"/>
  <c r="I4646" i="11"/>
  <c r="I4645" i="11"/>
  <c r="I4644" i="11"/>
  <c r="I4643" i="11"/>
  <c r="I4642" i="11"/>
  <c r="I4641" i="11"/>
  <c r="I4640" i="11"/>
  <c r="I4639" i="11"/>
  <c r="I4638" i="11"/>
  <c r="I4637" i="11"/>
  <c r="I4636" i="11"/>
  <c r="I4635" i="11"/>
  <c r="I4634" i="11"/>
  <c r="I4633" i="11"/>
  <c r="I4632" i="11"/>
  <c r="I4631" i="11"/>
  <c r="I4630" i="11"/>
  <c r="I4629" i="11"/>
  <c r="I4628" i="11"/>
  <c r="I4627" i="11"/>
  <c r="I4626" i="11"/>
  <c r="I4625" i="11"/>
  <c r="I4624" i="11"/>
  <c r="I4623" i="11"/>
  <c r="I4622" i="11"/>
  <c r="I4621" i="11"/>
  <c r="I4620" i="11"/>
  <c r="I4619" i="11"/>
  <c r="I4618" i="11"/>
  <c r="I4617" i="11"/>
  <c r="I4616" i="11"/>
  <c r="I4615" i="11"/>
  <c r="I4614" i="11"/>
  <c r="I4613" i="11"/>
  <c r="I4612" i="11"/>
  <c r="I4611" i="11"/>
  <c r="I4610" i="11"/>
  <c r="I4609" i="11"/>
  <c r="I4608" i="11"/>
  <c r="I4607" i="11"/>
  <c r="I4606" i="11"/>
  <c r="I4605" i="11"/>
  <c r="I4604" i="11"/>
  <c r="I4603" i="11"/>
  <c r="I4602" i="11"/>
  <c r="I4601" i="11"/>
  <c r="I4600" i="11"/>
  <c r="I4599" i="11"/>
  <c r="I4598" i="11"/>
  <c r="I4597" i="11"/>
  <c r="I4596" i="11"/>
  <c r="I4595" i="11"/>
  <c r="I4594" i="11"/>
  <c r="I4593" i="11"/>
  <c r="I4592" i="11"/>
  <c r="I4591" i="11"/>
  <c r="I4590" i="11"/>
  <c r="I4589" i="11"/>
  <c r="I4588" i="11"/>
  <c r="I4587" i="11"/>
  <c r="I4586" i="11"/>
  <c r="I4585" i="11"/>
  <c r="I4584" i="11"/>
  <c r="I4583" i="11"/>
  <c r="I4582" i="11"/>
  <c r="I4581" i="11"/>
  <c r="I4580" i="11"/>
  <c r="I4579" i="11"/>
  <c r="I4578" i="11"/>
  <c r="I4577" i="11"/>
  <c r="I4576" i="11"/>
  <c r="I4575" i="11"/>
  <c r="I4574" i="11"/>
  <c r="I4573" i="11"/>
  <c r="I4572" i="11"/>
  <c r="I4571" i="11"/>
  <c r="I4570" i="11"/>
  <c r="I4569" i="11"/>
  <c r="I4568" i="11"/>
  <c r="I4567" i="11"/>
  <c r="I4566" i="11"/>
  <c r="I4565" i="11"/>
  <c r="I4564" i="11"/>
  <c r="I4563" i="11"/>
  <c r="I4562" i="11"/>
  <c r="I4561" i="11"/>
  <c r="I4560" i="11"/>
  <c r="I4559" i="11"/>
  <c r="I4558" i="11"/>
  <c r="I4557" i="11"/>
  <c r="I4556" i="11"/>
  <c r="I4555" i="11"/>
  <c r="I4554" i="11"/>
  <c r="I4553" i="11"/>
  <c r="I4552" i="11"/>
  <c r="I4551" i="11"/>
  <c r="I4550" i="11"/>
  <c r="I4549" i="11"/>
  <c r="I4548" i="11"/>
  <c r="I4547" i="11"/>
  <c r="I4546" i="11"/>
  <c r="I4545" i="11"/>
  <c r="I4544" i="11"/>
  <c r="I4543" i="11"/>
  <c r="I4542" i="11"/>
  <c r="I4541" i="11"/>
  <c r="I4540" i="11"/>
  <c r="I4539" i="11"/>
  <c r="I4538" i="11"/>
  <c r="I4537" i="11"/>
  <c r="I4536" i="11"/>
  <c r="I4535" i="11"/>
  <c r="I4534" i="11"/>
  <c r="I4533" i="11"/>
  <c r="I4532" i="11"/>
  <c r="I4531" i="11"/>
  <c r="I4530" i="11"/>
  <c r="I4529" i="11"/>
  <c r="I4528" i="11"/>
  <c r="I4527" i="11"/>
  <c r="I4526" i="11"/>
  <c r="I4525" i="11"/>
  <c r="I4524" i="11"/>
  <c r="I4523" i="11"/>
  <c r="I4522" i="11"/>
  <c r="I4521" i="11"/>
  <c r="I4520" i="11"/>
  <c r="I4519" i="11"/>
  <c r="I4518" i="11"/>
  <c r="I4517" i="11"/>
  <c r="I4516" i="11"/>
  <c r="I4515" i="11"/>
  <c r="I4514" i="11"/>
  <c r="I4513" i="11"/>
  <c r="I4512" i="11"/>
  <c r="I4511" i="11"/>
  <c r="I4510" i="11"/>
  <c r="I4509" i="11"/>
  <c r="I4508" i="11"/>
  <c r="I4507" i="11"/>
  <c r="I4506" i="11"/>
  <c r="I4505" i="11"/>
  <c r="I4504" i="11"/>
  <c r="I4503" i="11"/>
  <c r="I4502" i="11"/>
  <c r="I4501" i="11"/>
  <c r="I4500" i="11"/>
  <c r="I4499" i="11"/>
  <c r="I4498" i="11"/>
  <c r="I4497" i="11"/>
  <c r="I4496" i="11"/>
  <c r="I4495" i="11"/>
  <c r="I4494" i="11"/>
  <c r="I4493" i="11"/>
  <c r="I4492" i="11"/>
  <c r="I4491" i="11"/>
  <c r="I4490" i="11"/>
  <c r="I4489" i="11"/>
  <c r="I4488" i="11"/>
  <c r="I4487" i="11"/>
  <c r="I4486" i="11"/>
  <c r="I4485" i="11"/>
  <c r="I4484" i="11"/>
  <c r="I4483" i="11"/>
  <c r="I4482" i="11"/>
  <c r="I4481" i="11"/>
  <c r="I4480" i="11"/>
  <c r="I4479" i="11"/>
  <c r="I4478" i="11"/>
  <c r="I4477" i="11"/>
  <c r="I4476" i="11"/>
  <c r="I4475" i="11"/>
  <c r="I4474" i="11"/>
  <c r="I4473" i="11"/>
  <c r="I4472" i="11"/>
  <c r="I4471" i="11"/>
  <c r="I4470" i="11"/>
  <c r="I4469" i="11"/>
  <c r="I4468" i="11"/>
  <c r="I4467" i="11"/>
  <c r="I4466" i="11"/>
  <c r="I4465" i="11"/>
  <c r="I4464" i="11"/>
  <c r="I4463" i="11"/>
  <c r="I4462" i="11"/>
  <c r="I4461" i="11"/>
  <c r="I4460" i="11"/>
  <c r="I4459" i="11"/>
  <c r="I4458" i="11"/>
  <c r="I4457" i="11"/>
  <c r="I4456" i="11"/>
  <c r="I4455" i="11"/>
  <c r="I4454" i="11"/>
  <c r="I4453" i="11"/>
  <c r="I4452" i="11"/>
  <c r="I4451" i="11"/>
  <c r="I4450" i="11"/>
  <c r="I4449" i="11"/>
  <c r="I4448" i="11"/>
  <c r="I4447" i="11"/>
  <c r="I4446" i="11"/>
  <c r="I4445" i="11"/>
  <c r="I4444" i="11"/>
  <c r="I4443" i="11"/>
  <c r="I4442" i="11"/>
  <c r="I4441" i="11"/>
  <c r="I4440" i="11"/>
  <c r="I4439" i="11"/>
  <c r="I4438" i="11"/>
  <c r="I4437" i="11"/>
  <c r="I4436" i="11"/>
  <c r="I4435" i="11"/>
  <c r="I4434" i="11"/>
  <c r="I4433" i="11"/>
  <c r="I4432" i="11"/>
  <c r="I4431" i="11"/>
  <c r="I4430" i="11"/>
  <c r="I4429" i="11"/>
  <c r="I4428" i="11"/>
  <c r="I4427" i="11"/>
  <c r="I4426" i="11"/>
  <c r="I4425" i="11"/>
  <c r="I4424" i="11"/>
  <c r="I4423" i="11"/>
  <c r="I4422" i="11"/>
  <c r="I4421" i="11"/>
  <c r="I4420" i="11"/>
  <c r="I4419" i="11"/>
  <c r="I4418" i="11"/>
  <c r="I4417" i="11"/>
  <c r="I4416" i="11"/>
  <c r="I4415" i="11"/>
  <c r="I4414" i="11"/>
  <c r="I4413" i="11"/>
  <c r="I4412" i="11"/>
  <c r="I4411" i="11"/>
  <c r="I4410" i="11"/>
  <c r="I4409" i="11"/>
  <c r="I4408" i="11"/>
  <c r="I4407" i="11"/>
  <c r="I4406" i="11"/>
  <c r="I4405" i="11"/>
  <c r="I4404" i="11"/>
  <c r="I4403" i="11"/>
  <c r="I4402" i="11"/>
  <c r="I4401" i="11"/>
  <c r="I4400" i="11"/>
  <c r="I4399" i="11"/>
  <c r="I4398" i="11"/>
  <c r="I4397" i="11"/>
  <c r="I4396" i="11"/>
  <c r="I4395" i="11"/>
  <c r="I4394" i="11"/>
  <c r="I4393" i="11"/>
  <c r="I4392" i="11"/>
  <c r="I4391" i="11"/>
  <c r="I4390" i="11"/>
  <c r="I4389" i="11"/>
  <c r="I4388" i="11"/>
  <c r="I4387" i="11"/>
  <c r="I4386" i="11"/>
  <c r="I4385" i="11"/>
  <c r="I4384" i="11"/>
  <c r="I4383" i="11"/>
  <c r="I4382" i="11"/>
  <c r="I4381" i="11"/>
  <c r="I4380" i="11"/>
  <c r="I4379" i="11"/>
  <c r="I4378" i="11"/>
  <c r="I4377" i="11"/>
  <c r="I4376" i="11"/>
  <c r="I4375" i="11"/>
  <c r="I4374" i="11"/>
  <c r="I4373" i="11"/>
  <c r="I4372" i="11"/>
  <c r="I4371" i="11"/>
  <c r="I4370" i="11"/>
  <c r="I4369" i="11"/>
  <c r="I4368" i="11"/>
  <c r="I4367" i="11"/>
  <c r="I4366" i="11"/>
  <c r="I4365" i="11"/>
  <c r="I4364" i="11"/>
  <c r="I4363" i="11"/>
  <c r="I4362" i="11"/>
  <c r="I4361" i="11"/>
  <c r="I4360" i="11"/>
  <c r="I4359" i="11"/>
  <c r="I4358" i="11"/>
  <c r="I4357" i="11"/>
  <c r="I4356" i="11"/>
  <c r="I4355" i="11"/>
  <c r="I4354" i="11"/>
  <c r="I4353" i="11"/>
  <c r="I4352" i="11"/>
  <c r="I4351" i="11"/>
  <c r="I4350" i="11"/>
  <c r="I4349" i="11"/>
  <c r="I4348" i="11"/>
  <c r="I4347" i="11"/>
  <c r="I4346" i="11"/>
  <c r="I4345" i="11"/>
  <c r="I4344" i="11"/>
  <c r="I4343" i="11"/>
  <c r="I4342" i="11"/>
  <c r="I4341" i="11"/>
  <c r="I4340" i="11"/>
  <c r="I4339" i="11"/>
  <c r="I4338" i="11"/>
  <c r="I4337" i="11"/>
  <c r="I4336" i="11"/>
  <c r="I4335" i="11"/>
  <c r="I4334" i="11"/>
  <c r="I4333" i="11"/>
  <c r="I4332" i="11"/>
  <c r="I4331" i="11"/>
  <c r="I4330" i="11"/>
  <c r="I4329" i="11"/>
  <c r="I4328" i="11"/>
  <c r="I4327" i="11"/>
  <c r="I4326" i="11"/>
  <c r="I4325" i="11"/>
  <c r="I4324" i="11"/>
  <c r="I4323" i="11"/>
  <c r="I4322" i="11"/>
  <c r="I4321" i="11"/>
  <c r="I4320" i="11"/>
  <c r="I4319" i="11"/>
  <c r="I4318" i="11"/>
  <c r="I4317" i="11"/>
  <c r="I4316" i="11"/>
  <c r="I4315" i="11"/>
  <c r="I4314" i="11"/>
  <c r="I4313" i="11"/>
  <c r="I4312" i="11"/>
  <c r="I4311" i="11"/>
  <c r="I4310" i="11"/>
  <c r="I4309" i="11"/>
  <c r="I4308" i="11"/>
  <c r="I4307" i="11"/>
  <c r="I4306" i="11"/>
  <c r="I4305" i="11"/>
  <c r="I4304" i="11"/>
  <c r="I4303" i="11"/>
  <c r="I4302" i="11"/>
  <c r="I4301" i="11"/>
  <c r="I4300" i="11"/>
  <c r="I4299" i="11"/>
  <c r="I4298" i="11"/>
  <c r="I4297" i="11"/>
  <c r="I4296" i="11"/>
  <c r="I4295" i="11"/>
  <c r="I4294" i="11"/>
  <c r="I4293" i="11"/>
  <c r="I4292" i="11"/>
  <c r="I4291" i="11"/>
  <c r="I4290" i="11"/>
  <c r="I4289" i="11"/>
  <c r="I4288" i="11"/>
  <c r="I4287" i="11"/>
  <c r="I4286" i="11"/>
  <c r="I4285" i="11"/>
  <c r="I4284" i="11"/>
  <c r="I4283" i="11"/>
  <c r="I4282" i="11"/>
  <c r="I4281" i="11"/>
  <c r="I4280" i="11"/>
  <c r="I4279" i="11"/>
  <c r="I4278" i="11"/>
  <c r="I4277" i="11"/>
  <c r="I4276" i="11"/>
  <c r="I4275" i="11"/>
  <c r="I4274" i="11"/>
  <c r="I4273" i="11"/>
  <c r="I4272" i="11"/>
  <c r="I4271" i="11"/>
  <c r="I4270" i="11"/>
  <c r="I4269" i="11"/>
  <c r="I4268" i="11"/>
  <c r="I4267" i="11"/>
  <c r="I4266" i="11"/>
  <c r="I4265" i="11"/>
  <c r="I4264" i="11"/>
  <c r="I4263" i="11"/>
  <c r="I4262" i="11"/>
  <c r="I4261" i="11"/>
  <c r="I4260" i="11"/>
  <c r="I4259" i="11"/>
  <c r="I4258" i="11"/>
  <c r="I4257" i="11"/>
  <c r="I4256" i="11"/>
  <c r="I4255" i="11"/>
  <c r="I4254" i="11"/>
  <c r="I4253" i="11"/>
  <c r="I4252" i="11"/>
  <c r="I4251" i="11"/>
  <c r="I4250" i="11"/>
  <c r="I4249" i="11"/>
  <c r="I4248" i="11"/>
  <c r="I4247" i="11"/>
  <c r="I4246" i="11"/>
  <c r="I4245" i="11"/>
  <c r="I4244" i="11"/>
  <c r="I4243" i="11"/>
  <c r="I4242" i="11"/>
  <c r="I4241" i="11"/>
  <c r="I4240" i="11"/>
  <c r="I4239" i="11"/>
  <c r="I4238" i="11"/>
  <c r="I4237" i="11"/>
  <c r="I4236" i="11"/>
  <c r="I4235" i="11"/>
  <c r="I4234" i="11"/>
  <c r="I4233" i="11"/>
  <c r="I4232" i="11"/>
  <c r="I4231" i="11"/>
  <c r="I4230" i="11"/>
  <c r="I4229" i="11"/>
  <c r="I4228" i="11"/>
  <c r="I4227" i="11"/>
  <c r="I4226" i="11"/>
  <c r="I4225" i="11"/>
  <c r="I4224" i="11"/>
  <c r="I4223" i="11"/>
  <c r="I4222" i="11"/>
  <c r="I4221" i="11"/>
  <c r="I4220" i="11"/>
  <c r="I4219" i="11"/>
  <c r="I4218" i="11"/>
  <c r="I4217" i="11"/>
  <c r="I4216" i="11"/>
  <c r="I4215" i="11"/>
  <c r="I4214" i="11"/>
  <c r="I4213" i="11"/>
  <c r="I4212" i="11"/>
  <c r="I4211" i="11"/>
  <c r="I4210" i="11"/>
  <c r="I4209" i="11"/>
  <c r="I4208" i="11"/>
  <c r="I4207" i="11"/>
  <c r="I4206" i="11"/>
  <c r="I4205" i="11"/>
  <c r="I4204" i="11"/>
  <c r="I4203" i="11"/>
  <c r="I4202" i="11"/>
  <c r="I4201" i="11"/>
  <c r="I4200" i="11"/>
  <c r="I4199" i="11"/>
  <c r="I4198" i="11"/>
  <c r="I4197" i="11"/>
  <c r="I4196" i="11"/>
  <c r="I4195" i="11"/>
  <c r="I4194" i="11"/>
  <c r="I4193" i="11"/>
  <c r="I4192" i="11"/>
  <c r="I4191" i="11"/>
  <c r="I4190" i="11"/>
  <c r="I4189" i="11"/>
  <c r="I4188" i="11"/>
  <c r="I4187" i="11"/>
  <c r="I4186" i="11"/>
  <c r="I4185" i="11"/>
  <c r="I4184" i="11"/>
  <c r="I4183" i="11"/>
  <c r="I4182" i="11"/>
  <c r="I4181" i="11"/>
  <c r="I4180" i="11"/>
  <c r="I4179" i="11"/>
  <c r="I4178" i="11"/>
  <c r="I4177" i="11"/>
  <c r="I4176" i="11"/>
  <c r="I4175" i="11"/>
  <c r="I4174" i="11"/>
  <c r="I4173" i="11"/>
  <c r="I4172" i="11"/>
  <c r="I4171" i="11"/>
  <c r="I4170" i="11"/>
  <c r="I4169" i="11"/>
  <c r="I4168" i="11"/>
  <c r="I4167" i="11"/>
  <c r="I4166" i="11"/>
  <c r="I4165" i="11"/>
  <c r="I4164" i="11"/>
  <c r="I4163" i="11"/>
  <c r="I4162" i="11"/>
  <c r="I4161" i="11"/>
  <c r="I4160" i="11"/>
  <c r="I4159" i="11"/>
  <c r="I4158" i="11"/>
  <c r="I4157" i="11"/>
  <c r="I4156" i="11"/>
  <c r="I4155" i="11"/>
  <c r="I4154" i="11"/>
  <c r="I4153" i="11"/>
  <c r="I4152" i="11"/>
  <c r="I4151" i="11"/>
  <c r="I4150" i="11"/>
  <c r="I4149" i="11"/>
  <c r="I4148" i="11"/>
  <c r="I4147" i="11"/>
  <c r="I4146" i="11"/>
  <c r="I4145" i="11"/>
  <c r="I4144" i="11"/>
  <c r="I4143" i="11"/>
  <c r="I4142" i="11"/>
  <c r="I4141" i="11"/>
  <c r="I4140" i="11"/>
  <c r="I4139" i="11"/>
  <c r="I4138" i="11"/>
  <c r="I4137" i="11"/>
  <c r="I4136" i="11"/>
  <c r="I4135" i="11"/>
  <c r="I4134" i="11"/>
  <c r="I4133" i="11"/>
  <c r="I4132" i="11"/>
  <c r="I4131" i="11"/>
  <c r="I4130" i="11"/>
  <c r="I4129" i="11"/>
  <c r="I4128" i="11"/>
  <c r="I4127" i="11"/>
  <c r="I4126" i="11"/>
  <c r="I4125" i="11"/>
  <c r="I4124" i="11"/>
  <c r="I4123" i="11"/>
  <c r="I4122" i="11"/>
  <c r="I4121" i="11"/>
  <c r="I4120" i="11"/>
  <c r="I4119" i="11"/>
  <c r="I4118" i="11"/>
  <c r="I4117" i="11"/>
  <c r="I4116" i="11"/>
  <c r="I4115" i="11"/>
  <c r="I4114" i="11"/>
  <c r="I4113" i="11"/>
  <c r="I4112" i="11"/>
  <c r="I4111" i="11"/>
  <c r="I4110" i="11"/>
  <c r="I4109" i="11"/>
  <c r="I4108" i="11"/>
  <c r="I4107" i="11"/>
  <c r="I4106" i="11"/>
  <c r="I4105" i="11"/>
  <c r="I4104" i="11"/>
  <c r="I4103" i="11"/>
  <c r="I4102" i="11"/>
  <c r="I4101" i="11"/>
  <c r="I4100" i="11"/>
  <c r="I4099" i="11"/>
  <c r="I4098" i="11"/>
  <c r="I4097" i="11"/>
  <c r="I4096" i="11"/>
  <c r="I4095" i="11"/>
  <c r="I4094" i="11"/>
  <c r="I4093" i="11"/>
  <c r="I4092" i="11"/>
  <c r="I4091" i="11"/>
  <c r="I4090" i="11"/>
  <c r="I4089" i="11"/>
  <c r="I4088" i="11"/>
  <c r="I4087" i="11"/>
  <c r="I4086" i="11"/>
  <c r="I4085" i="11"/>
  <c r="I4084" i="11"/>
  <c r="I4083" i="11"/>
  <c r="I4082" i="11"/>
  <c r="I4081" i="11"/>
  <c r="I4080" i="11"/>
  <c r="I4079" i="11"/>
  <c r="I4078" i="11"/>
  <c r="I4077" i="11"/>
  <c r="I4076" i="11"/>
  <c r="I4075" i="11"/>
  <c r="I4074" i="11"/>
  <c r="I4073" i="11"/>
  <c r="I4072" i="11"/>
  <c r="I4071" i="11"/>
  <c r="I4070" i="11"/>
  <c r="I4069" i="11"/>
  <c r="I4068" i="11"/>
  <c r="I4067" i="11"/>
  <c r="I4066" i="11"/>
  <c r="I4065" i="11"/>
  <c r="I4064" i="11"/>
  <c r="I4063" i="11"/>
  <c r="I4062" i="11"/>
  <c r="I4061" i="11"/>
  <c r="I4060" i="11"/>
  <c r="I4059" i="11"/>
  <c r="I4058" i="11"/>
  <c r="I4057" i="11"/>
  <c r="I4056" i="11"/>
  <c r="I4055" i="11"/>
  <c r="I4054" i="11"/>
  <c r="I4053" i="11"/>
  <c r="I4052" i="11"/>
  <c r="I4051" i="11"/>
  <c r="I4050" i="11"/>
  <c r="I4049" i="11"/>
  <c r="I4048" i="11"/>
  <c r="I4047" i="11"/>
  <c r="I4046" i="11"/>
  <c r="I4045" i="11"/>
  <c r="I4044" i="11"/>
  <c r="I4043" i="11"/>
  <c r="I4042" i="11"/>
  <c r="I4041" i="11"/>
  <c r="I4040" i="11"/>
  <c r="I4039" i="11"/>
  <c r="I4038" i="11"/>
  <c r="I4037" i="11"/>
  <c r="I4036" i="11"/>
  <c r="I4035" i="11"/>
  <c r="I4034" i="11"/>
  <c r="I4033" i="11"/>
  <c r="I4032" i="11"/>
  <c r="I4031" i="11"/>
  <c r="I4030" i="11"/>
  <c r="I4029" i="11"/>
  <c r="I4028" i="11"/>
  <c r="I4027" i="11"/>
  <c r="I4026" i="11"/>
  <c r="I4025" i="11"/>
  <c r="I4024" i="11"/>
  <c r="I4023" i="11"/>
  <c r="I4022" i="11"/>
  <c r="I4021" i="11"/>
  <c r="I4020" i="11"/>
  <c r="I4019" i="11"/>
  <c r="I4018" i="11"/>
  <c r="I4017" i="11"/>
  <c r="I4016" i="11"/>
  <c r="I4015" i="11"/>
  <c r="I4014" i="11"/>
  <c r="I4013" i="11"/>
  <c r="I4012" i="11"/>
  <c r="I4011" i="11"/>
  <c r="I4010" i="11"/>
  <c r="I4009" i="11"/>
  <c r="I4008" i="11"/>
  <c r="I4007" i="11"/>
  <c r="I4006" i="11"/>
  <c r="I4005" i="11"/>
  <c r="I4004" i="11"/>
  <c r="I4003" i="11"/>
  <c r="I4002" i="11"/>
  <c r="I4001" i="11"/>
  <c r="I4000" i="11"/>
  <c r="I3999" i="11"/>
  <c r="I3998" i="11"/>
  <c r="I3997" i="11"/>
  <c r="I3996" i="11"/>
  <c r="I3995" i="11"/>
  <c r="I3994" i="11"/>
  <c r="I3993" i="11"/>
  <c r="I3992" i="11"/>
  <c r="I3991" i="11"/>
  <c r="I3990" i="11"/>
  <c r="I3989" i="11"/>
  <c r="I3988" i="11"/>
  <c r="I3987" i="11"/>
  <c r="I3986" i="11"/>
  <c r="I3985" i="11"/>
  <c r="I3984" i="11"/>
  <c r="I3983" i="11"/>
  <c r="I3982" i="11"/>
  <c r="I3981" i="11"/>
  <c r="I3980" i="11"/>
  <c r="I3979" i="11"/>
  <c r="I3978" i="11"/>
  <c r="I3977" i="11"/>
  <c r="I3976" i="11"/>
  <c r="I3975" i="11"/>
  <c r="I3974" i="11"/>
  <c r="I3973" i="11"/>
  <c r="I3972" i="11"/>
  <c r="I3971" i="11"/>
  <c r="I3970" i="11"/>
  <c r="I3969" i="11"/>
  <c r="I3968" i="11"/>
  <c r="I3967" i="11"/>
  <c r="I3966" i="11"/>
  <c r="I3965" i="11"/>
  <c r="I3964" i="11"/>
  <c r="I3963" i="11"/>
  <c r="I3962" i="11"/>
  <c r="I3961" i="11"/>
  <c r="I3960" i="11"/>
  <c r="I3959" i="11"/>
  <c r="I3958" i="11"/>
  <c r="I3957" i="11"/>
  <c r="I3956" i="11"/>
  <c r="I3955" i="11"/>
  <c r="I3954" i="11"/>
  <c r="I3953" i="11"/>
  <c r="I3952" i="11"/>
  <c r="I3951" i="11"/>
  <c r="I3950" i="11"/>
  <c r="I3949" i="11"/>
  <c r="I3948" i="11"/>
  <c r="I3947" i="11"/>
  <c r="I3946" i="11"/>
  <c r="I3945" i="11"/>
  <c r="I3944" i="11"/>
  <c r="I3943" i="11"/>
  <c r="I3942" i="11"/>
  <c r="I3941" i="11"/>
  <c r="I3940" i="11"/>
  <c r="I3939" i="11"/>
  <c r="I3938" i="11"/>
  <c r="I3937" i="11"/>
  <c r="I3936" i="11"/>
  <c r="I3935" i="11"/>
  <c r="I3934" i="11"/>
  <c r="I3933" i="11"/>
  <c r="I3932" i="11"/>
  <c r="I3931" i="11"/>
  <c r="I3930" i="11"/>
  <c r="I3929" i="11"/>
  <c r="I3928" i="11"/>
  <c r="I3927" i="11"/>
  <c r="I3926" i="11"/>
  <c r="I3925" i="11"/>
  <c r="I3924" i="11"/>
  <c r="I3923" i="11"/>
  <c r="I3922" i="11"/>
  <c r="I3921" i="11"/>
  <c r="I3920" i="11"/>
  <c r="I3919" i="11"/>
  <c r="I3918" i="11"/>
  <c r="I3917" i="11"/>
  <c r="I3916" i="11"/>
  <c r="I3915" i="11"/>
  <c r="I3914" i="11"/>
  <c r="I3913" i="11"/>
  <c r="I3912" i="11"/>
  <c r="I3911" i="11"/>
  <c r="I3910" i="11"/>
  <c r="I3909" i="11"/>
  <c r="I3908" i="11"/>
  <c r="I3907" i="11"/>
  <c r="I3906" i="11"/>
  <c r="I3905" i="11"/>
  <c r="I3904" i="11"/>
  <c r="I3903" i="11"/>
  <c r="I3902" i="11"/>
  <c r="I3901" i="11"/>
  <c r="I3900" i="11"/>
  <c r="I3899" i="11"/>
  <c r="I3898" i="11"/>
  <c r="I3897" i="11"/>
  <c r="I3896" i="11"/>
  <c r="I3895" i="11"/>
  <c r="I3894" i="11"/>
  <c r="I3893" i="11"/>
  <c r="I3892" i="11"/>
  <c r="I3891" i="11"/>
  <c r="I3890" i="11"/>
  <c r="I3889" i="11"/>
  <c r="I3888" i="11"/>
  <c r="I3887" i="11"/>
  <c r="I3886" i="11"/>
  <c r="I3885" i="11"/>
  <c r="I3884" i="11"/>
  <c r="I3883" i="11"/>
  <c r="I3882" i="11"/>
  <c r="I3881" i="11"/>
  <c r="I3880" i="11"/>
  <c r="I3879" i="11"/>
  <c r="I3878" i="11"/>
  <c r="I3877" i="11"/>
  <c r="I3876" i="11"/>
  <c r="I3875" i="11"/>
  <c r="I3874" i="11"/>
  <c r="I3873" i="11"/>
  <c r="I3872" i="11"/>
  <c r="I3871" i="11"/>
  <c r="I3870" i="11"/>
  <c r="I3869" i="11"/>
  <c r="I3868" i="11"/>
  <c r="I3867" i="11"/>
  <c r="I3866" i="11"/>
  <c r="I3865" i="11"/>
  <c r="I3864" i="11"/>
  <c r="I3863" i="11"/>
  <c r="I3862" i="11"/>
  <c r="I3861" i="11"/>
  <c r="I3860" i="11"/>
  <c r="I3859" i="11"/>
  <c r="I3858" i="11"/>
  <c r="I3857" i="11"/>
  <c r="I3856" i="11"/>
  <c r="I3855" i="11"/>
  <c r="I3854" i="11"/>
  <c r="I3853" i="11"/>
  <c r="I3852" i="11"/>
  <c r="I3851" i="11"/>
  <c r="I3850" i="11"/>
  <c r="I3849" i="11"/>
  <c r="I3848" i="11"/>
  <c r="I3847" i="11"/>
  <c r="I3846" i="11"/>
  <c r="I3845" i="11"/>
  <c r="I3844" i="11"/>
  <c r="I3843" i="11"/>
  <c r="I3842" i="11"/>
  <c r="I3841" i="11"/>
  <c r="I3840" i="11"/>
  <c r="I3839" i="11"/>
  <c r="I3838" i="11"/>
  <c r="I3837" i="11"/>
  <c r="I3836" i="11"/>
  <c r="I3835" i="11"/>
  <c r="I3834" i="11"/>
  <c r="I3833" i="11"/>
  <c r="I3832" i="11"/>
  <c r="I3831" i="11"/>
  <c r="I3830" i="11"/>
  <c r="I3829" i="11"/>
  <c r="I3828" i="11"/>
  <c r="I3827" i="11"/>
  <c r="I3826" i="11"/>
  <c r="I3825" i="11"/>
  <c r="I3824" i="11"/>
  <c r="I3823" i="11"/>
  <c r="I3822" i="11"/>
  <c r="I3821" i="11"/>
  <c r="I3820" i="11"/>
  <c r="I3819" i="11"/>
  <c r="I3818" i="11"/>
  <c r="I3817" i="11"/>
  <c r="I3816" i="11"/>
  <c r="I3815" i="11"/>
  <c r="I3814" i="11"/>
  <c r="I3813" i="11"/>
  <c r="I3812" i="11"/>
  <c r="I3811" i="11"/>
  <c r="I3810" i="11"/>
  <c r="I3809" i="11"/>
  <c r="I3808" i="11"/>
  <c r="I3807" i="11"/>
  <c r="I3806" i="11"/>
  <c r="I3805" i="11"/>
  <c r="I3804" i="11"/>
  <c r="I3803" i="11"/>
  <c r="I3802" i="11"/>
  <c r="I3801" i="11"/>
  <c r="I3800" i="11"/>
  <c r="I3799" i="11"/>
  <c r="I3798" i="11"/>
  <c r="I3797" i="11"/>
  <c r="I3796" i="11"/>
  <c r="I3795" i="11"/>
  <c r="I3794" i="11"/>
  <c r="I3793" i="11"/>
  <c r="I3792" i="11"/>
  <c r="I3791" i="11"/>
  <c r="I3790" i="11"/>
  <c r="I3789" i="11"/>
  <c r="I3788" i="11"/>
  <c r="I3787" i="11"/>
  <c r="I3786" i="11"/>
  <c r="I3785" i="11"/>
  <c r="I3784" i="11"/>
  <c r="I3783" i="11"/>
  <c r="I3782" i="11"/>
  <c r="I3781" i="11"/>
  <c r="I3780" i="11"/>
  <c r="I3779" i="11"/>
  <c r="I3778" i="11"/>
  <c r="I3777" i="11"/>
  <c r="I3776" i="11"/>
  <c r="I3775" i="11"/>
  <c r="I3774" i="11"/>
  <c r="I3773" i="11"/>
  <c r="I3772" i="11"/>
  <c r="I3771" i="11"/>
  <c r="I3770" i="11"/>
  <c r="I3769" i="11"/>
  <c r="I3768" i="11"/>
  <c r="I3767" i="11"/>
  <c r="I3766" i="11"/>
  <c r="I3765" i="11"/>
  <c r="I3764" i="11"/>
  <c r="I3763" i="11"/>
  <c r="I3762" i="11"/>
  <c r="I3761" i="11"/>
  <c r="I3760" i="11"/>
  <c r="I3759" i="11"/>
  <c r="I3758" i="11"/>
  <c r="I3757" i="11"/>
  <c r="I3756" i="11"/>
  <c r="I3755" i="11"/>
  <c r="I3754" i="11"/>
  <c r="I3753" i="11"/>
  <c r="I3752" i="11"/>
  <c r="I3751" i="11"/>
  <c r="I3750" i="11"/>
  <c r="I3749" i="11"/>
  <c r="I3748" i="11"/>
  <c r="I3747" i="11"/>
  <c r="I3746" i="11"/>
  <c r="I3745" i="11"/>
  <c r="I3744" i="11"/>
  <c r="I3743" i="11"/>
  <c r="I3742" i="11"/>
  <c r="I3741" i="11"/>
  <c r="I3740" i="11"/>
  <c r="I3739" i="11"/>
  <c r="I3738" i="11"/>
  <c r="I3737" i="11"/>
  <c r="I3736" i="11"/>
  <c r="I3735" i="11"/>
  <c r="I3734" i="11"/>
  <c r="I3733" i="11"/>
  <c r="I3732" i="11"/>
  <c r="I3731" i="11"/>
  <c r="I3730" i="11"/>
  <c r="I3729" i="11"/>
  <c r="I3728" i="11"/>
  <c r="I3727" i="11"/>
  <c r="I3726" i="11"/>
  <c r="I3725" i="11"/>
  <c r="I3724" i="11"/>
  <c r="I3723" i="11"/>
  <c r="I3722" i="11"/>
  <c r="I3721" i="11"/>
  <c r="I3720" i="11"/>
  <c r="I3719" i="11"/>
  <c r="I3718" i="11"/>
  <c r="I3717" i="11"/>
  <c r="I3716" i="11"/>
  <c r="I3715" i="11"/>
  <c r="I3714" i="11"/>
  <c r="I3713" i="11"/>
  <c r="I3712" i="11"/>
  <c r="I3711" i="11"/>
  <c r="I3710" i="11"/>
  <c r="I3709" i="11"/>
  <c r="I3708" i="11"/>
  <c r="I3707" i="11"/>
  <c r="I3706" i="11"/>
  <c r="I3705" i="11"/>
  <c r="I3704" i="11"/>
  <c r="I3703" i="11"/>
  <c r="I3702" i="11"/>
  <c r="I3701" i="11"/>
  <c r="I3700" i="11"/>
  <c r="I3699" i="11"/>
  <c r="I3698" i="11"/>
  <c r="I3697" i="11"/>
  <c r="I3696" i="11"/>
  <c r="I3695" i="11"/>
  <c r="I3694" i="11"/>
  <c r="I3693" i="11"/>
  <c r="I3692" i="11"/>
  <c r="I3691" i="11"/>
  <c r="I3690" i="11"/>
  <c r="I3689" i="11"/>
  <c r="I3688" i="11"/>
  <c r="I3687" i="11"/>
  <c r="I3686" i="11"/>
  <c r="I3685" i="11"/>
  <c r="I3684" i="11"/>
  <c r="I3683" i="11"/>
  <c r="I3682" i="11"/>
  <c r="I3681" i="11"/>
  <c r="I3680" i="11"/>
  <c r="I3679" i="11"/>
  <c r="I3678" i="11"/>
  <c r="I3677" i="11"/>
  <c r="I3676" i="11"/>
  <c r="I3675" i="11"/>
  <c r="I3674" i="11"/>
  <c r="I3673" i="11"/>
  <c r="I3672" i="11"/>
  <c r="I3671" i="11"/>
  <c r="I3670" i="11"/>
  <c r="I3669" i="11"/>
  <c r="I3668" i="11"/>
  <c r="I3667" i="11"/>
  <c r="I3666" i="11"/>
  <c r="I3665" i="11"/>
  <c r="I3664" i="11"/>
  <c r="I3663" i="11"/>
  <c r="I3662" i="11"/>
  <c r="I3661" i="11"/>
  <c r="I3660" i="11"/>
  <c r="I3659" i="11"/>
  <c r="I3658" i="11"/>
  <c r="I3657" i="11"/>
  <c r="I3656" i="11"/>
  <c r="I3655" i="11"/>
  <c r="I3654" i="11"/>
  <c r="I3653" i="11"/>
  <c r="I3652" i="11"/>
  <c r="I3651" i="11"/>
  <c r="I3650" i="11"/>
  <c r="I3649" i="11"/>
  <c r="I3648" i="11"/>
  <c r="I3647" i="11"/>
  <c r="I3646" i="11"/>
  <c r="I3645" i="11"/>
  <c r="I3644" i="11"/>
  <c r="I3643" i="11"/>
  <c r="I3642" i="11"/>
  <c r="I3641" i="11"/>
  <c r="I3640" i="11"/>
  <c r="I3639" i="11"/>
  <c r="I3638" i="11"/>
  <c r="I3637" i="11"/>
  <c r="I3636" i="11"/>
  <c r="I3635" i="11"/>
  <c r="I3634" i="11"/>
  <c r="I3633" i="11"/>
  <c r="I3632" i="11"/>
  <c r="I3631" i="11"/>
  <c r="I3630" i="11"/>
  <c r="I3629" i="11"/>
  <c r="I3628" i="11"/>
  <c r="I3627" i="11"/>
  <c r="I3626" i="11"/>
  <c r="I3625" i="11"/>
  <c r="I3624" i="11"/>
  <c r="I3623" i="11"/>
  <c r="I3622" i="11"/>
  <c r="I3621" i="11"/>
  <c r="I3620" i="11"/>
  <c r="I3619" i="11"/>
  <c r="I3618" i="11"/>
  <c r="I3617" i="11"/>
  <c r="I3616" i="11"/>
  <c r="I3615" i="11"/>
  <c r="I3614" i="11"/>
  <c r="I3613" i="11"/>
  <c r="I3612" i="11"/>
  <c r="I3611" i="11"/>
  <c r="I3610" i="11"/>
  <c r="I3609" i="11"/>
  <c r="I3608" i="11"/>
  <c r="I3607" i="11"/>
  <c r="I3606" i="11"/>
  <c r="I3605" i="11"/>
  <c r="I3604" i="11"/>
  <c r="I3603" i="11"/>
  <c r="I3602" i="11"/>
  <c r="I3601" i="11"/>
  <c r="I3600" i="11"/>
  <c r="I3599" i="11"/>
  <c r="I3598" i="11"/>
  <c r="I3597" i="11"/>
  <c r="I3596" i="11"/>
  <c r="I3595" i="11"/>
  <c r="I3594" i="11"/>
  <c r="I3593" i="11"/>
  <c r="I3592" i="11"/>
  <c r="I3591" i="11"/>
  <c r="I3590" i="11"/>
  <c r="I3589" i="11"/>
  <c r="I3588" i="11"/>
  <c r="I3587" i="11"/>
  <c r="I3586" i="11"/>
  <c r="I3585" i="11"/>
  <c r="I3584" i="11"/>
  <c r="I3583" i="11"/>
  <c r="I3582" i="11"/>
  <c r="I3581" i="11"/>
  <c r="I3580" i="11"/>
  <c r="I3579" i="11"/>
  <c r="I3578" i="11"/>
  <c r="I3577" i="11"/>
  <c r="I3576" i="11"/>
  <c r="I3575" i="11"/>
  <c r="I3574" i="11"/>
  <c r="I3573" i="11"/>
  <c r="I3572" i="11"/>
  <c r="I3571" i="11"/>
  <c r="I3570" i="11"/>
  <c r="I3569" i="11"/>
  <c r="I3568" i="11"/>
  <c r="I3567" i="11"/>
  <c r="I3566" i="11"/>
  <c r="I3565" i="11"/>
  <c r="I3564" i="11"/>
  <c r="I3563" i="11"/>
  <c r="I3562" i="11"/>
  <c r="I3561" i="11"/>
  <c r="I3560" i="11"/>
  <c r="I3559" i="11"/>
  <c r="I3558" i="11"/>
  <c r="I3557" i="11"/>
  <c r="I3556" i="11"/>
  <c r="I3555" i="11"/>
  <c r="I3554" i="11"/>
  <c r="I3553" i="11"/>
  <c r="I3552" i="11"/>
  <c r="I3551" i="11"/>
  <c r="I3550" i="11"/>
  <c r="I3549" i="11"/>
  <c r="I3548" i="11"/>
  <c r="I3547" i="11"/>
  <c r="I3546" i="11"/>
  <c r="I3545" i="11"/>
  <c r="I3544" i="11"/>
  <c r="I3543" i="11"/>
  <c r="I3542" i="11"/>
  <c r="I3541" i="11"/>
  <c r="I3540" i="11"/>
  <c r="I3539" i="11"/>
  <c r="I3538" i="11"/>
  <c r="I3537" i="11"/>
  <c r="I3536" i="11"/>
  <c r="I3535" i="11"/>
  <c r="I3534" i="11"/>
  <c r="I3533" i="11"/>
  <c r="I3532" i="11"/>
  <c r="I3531" i="11"/>
  <c r="I3530" i="11"/>
  <c r="I3529" i="11"/>
  <c r="I3528" i="11"/>
  <c r="I3527" i="11"/>
  <c r="I3526" i="11"/>
  <c r="I3525" i="11"/>
  <c r="I3524" i="11"/>
  <c r="I3523" i="11"/>
  <c r="I3522" i="11"/>
  <c r="I3521" i="11"/>
  <c r="I3520" i="11"/>
  <c r="I3519" i="11"/>
  <c r="I3518" i="11"/>
  <c r="I3517" i="11"/>
  <c r="I3516" i="11"/>
  <c r="I3515" i="11"/>
  <c r="I3514" i="11"/>
  <c r="I3513" i="11"/>
  <c r="I3512" i="11"/>
  <c r="I3511" i="11"/>
  <c r="I3510" i="11"/>
  <c r="I3509" i="11"/>
  <c r="I3508" i="11"/>
  <c r="I3507" i="11"/>
  <c r="I3506" i="11"/>
  <c r="I3505" i="11"/>
  <c r="I3504" i="11"/>
  <c r="I3503" i="11"/>
  <c r="I3502" i="11"/>
  <c r="I3501" i="11"/>
  <c r="I3500" i="11"/>
  <c r="I3499" i="11"/>
  <c r="I3498" i="11"/>
  <c r="I3497" i="11"/>
  <c r="I3496" i="11"/>
  <c r="I3495" i="11"/>
  <c r="I3494" i="11"/>
  <c r="I3493" i="11"/>
  <c r="I3492" i="11"/>
  <c r="I3491" i="11"/>
  <c r="I3490" i="11"/>
  <c r="I3489" i="11"/>
  <c r="I3488" i="11"/>
  <c r="I3487" i="11"/>
  <c r="I3486" i="11"/>
  <c r="I3485" i="11"/>
  <c r="I3484" i="11"/>
  <c r="I3483" i="11"/>
  <c r="I3482" i="11"/>
  <c r="I3481" i="11"/>
  <c r="I3480" i="11"/>
  <c r="I3479" i="11"/>
  <c r="I3478" i="11"/>
  <c r="I3477" i="11"/>
  <c r="I3476" i="11"/>
  <c r="I3475" i="11"/>
  <c r="I3474" i="11"/>
  <c r="I3473" i="11"/>
  <c r="I3472" i="11"/>
  <c r="I3471" i="11"/>
  <c r="I3470" i="11"/>
  <c r="I3469" i="11"/>
  <c r="I3468" i="11"/>
  <c r="I3467" i="11"/>
  <c r="I3466" i="11"/>
  <c r="I3465" i="11"/>
  <c r="I3464" i="11"/>
  <c r="I3463" i="11"/>
  <c r="I3462" i="11"/>
  <c r="I3461" i="11"/>
  <c r="I3460" i="11"/>
  <c r="I3459" i="11"/>
  <c r="I3458" i="11"/>
  <c r="I3457" i="11"/>
  <c r="I3456" i="11"/>
  <c r="I3455" i="11"/>
  <c r="I3454" i="11"/>
  <c r="I3453" i="11"/>
  <c r="I3452" i="11"/>
  <c r="I3451" i="11"/>
  <c r="I3450" i="11"/>
  <c r="I3449" i="11"/>
  <c r="I3448" i="11"/>
  <c r="I3447" i="11"/>
  <c r="I3446" i="11"/>
  <c r="I3445" i="11"/>
  <c r="I3444" i="11"/>
  <c r="I3443" i="11"/>
  <c r="I3442" i="11"/>
  <c r="I3441" i="11"/>
  <c r="I3440" i="11"/>
  <c r="I3439" i="11"/>
  <c r="I3438" i="11"/>
  <c r="I3437" i="11"/>
  <c r="I3436" i="11"/>
  <c r="I3435" i="11"/>
  <c r="I3434" i="11"/>
  <c r="I3433" i="11"/>
  <c r="I3432" i="11"/>
  <c r="I3431" i="11"/>
  <c r="I3430" i="11"/>
  <c r="I3429" i="11"/>
  <c r="I3428" i="11"/>
  <c r="I3427" i="11"/>
  <c r="I3426" i="11"/>
  <c r="I3425" i="11"/>
  <c r="I3424" i="11"/>
  <c r="I3423" i="11"/>
  <c r="I3422" i="11"/>
  <c r="I3421" i="11"/>
  <c r="I3420" i="11"/>
  <c r="I3419" i="11"/>
  <c r="I3418" i="11"/>
  <c r="I3417" i="11"/>
  <c r="I3416" i="11"/>
  <c r="I3415" i="11"/>
  <c r="I3414" i="11"/>
  <c r="I3413" i="11"/>
  <c r="I3412" i="11"/>
  <c r="I3411" i="11"/>
  <c r="I3410" i="11"/>
  <c r="I3409" i="11"/>
  <c r="I3408" i="11"/>
  <c r="I3407" i="11"/>
  <c r="I3406" i="11"/>
  <c r="I3405" i="11"/>
  <c r="I3404" i="11"/>
  <c r="I3403" i="11"/>
  <c r="I3402" i="11"/>
  <c r="I3401" i="11"/>
  <c r="I3400" i="11"/>
  <c r="I3399" i="11"/>
  <c r="I3398" i="11"/>
  <c r="I3397" i="11"/>
  <c r="I3396" i="11"/>
  <c r="I3395" i="11"/>
  <c r="I3394" i="11"/>
  <c r="I3393" i="11"/>
  <c r="I3392" i="11"/>
  <c r="I3391" i="11"/>
  <c r="I3390" i="11"/>
  <c r="I3389" i="11"/>
  <c r="I3388" i="11"/>
  <c r="I3387" i="11"/>
  <c r="I3386" i="11"/>
  <c r="I3385" i="11"/>
  <c r="I3384" i="11"/>
  <c r="I3383" i="11"/>
  <c r="I3382" i="11"/>
  <c r="I3381" i="11"/>
  <c r="I3380" i="11"/>
  <c r="I3379" i="11"/>
  <c r="I3378" i="11"/>
  <c r="I3377" i="11"/>
  <c r="I3376" i="11"/>
  <c r="I3375" i="11"/>
  <c r="I3374" i="11"/>
  <c r="I3373" i="11"/>
  <c r="I3372" i="11"/>
  <c r="I3371" i="11"/>
  <c r="I3370" i="11"/>
  <c r="I3369" i="11"/>
  <c r="I3368" i="11"/>
  <c r="I3367" i="11"/>
  <c r="I3366" i="11"/>
  <c r="I3365" i="11"/>
  <c r="I3364" i="11"/>
  <c r="I3363" i="11"/>
  <c r="I3362" i="11"/>
  <c r="I3361" i="11"/>
  <c r="I3360" i="11"/>
  <c r="I3359" i="11"/>
  <c r="I3358" i="11"/>
  <c r="I3357" i="11"/>
  <c r="I3356" i="11"/>
  <c r="I3355" i="11"/>
  <c r="I3354" i="11"/>
  <c r="I3353" i="11"/>
  <c r="I3352" i="11"/>
  <c r="I3351" i="11"/>
  <c r="I3350" i="11"/>
  <c r="I3349" i="11"/>
  <c r="I3348" i="11"/>
  <c r="I3347" i="11"/>
  <c r="I3346" i="11"/>
  <c r="I3345" i="11"/>
  <c r="I3344" i="11"/>
  <c r="I3343" i="11"/>
  <c r="I3342" i="11"/>
  <c r="I3341" i="11"/>
  <c r="I3340" i="11"/>
  <c r="I3339" i="11"/>
  <c r="I3338" i="11"/>
  <c r="I3337" i="11"/>
  <c r="I3336" i="11"/>
  <c r="I3335" i="11"/>
  <c r="I3334" i="11"/>
  <c r="I3333" i="11"/>
  <c r="I3332" i="11"/>
  <c r="I3331" i="11"/>
  <c r="I3330" i="11"/>
  <c r="I3329" i="11"/>
  <c r="I3328" i="11"/>
  <c r="I3327" i="11"/>
  <c r="I3326" i="11"/>
  <c r="I3325" i="11"/>
  <c r="I3324" i="11"/>
  <c r="I3323" i="11"/>
  <c r="I3322" i="11"/>
  <c r="I3321" i="11"/>
  <c r="I3320" i="11"/>
  <c r="I3319" i="11"/>
  <c r="I3318" i="11"/>
  <c r="I3317" i="11"/>
  <c r="I3316" i="11"/>
  <c r="I3315" i="11"/>
  <c r="I3314" i="11"/>
  <c r="I3313" i="11"/>
  <c r="I3312" i="11"/>
  <c r="I3311" i="11"/>
  <c r="I3310" i="11"/>
  <c r="I3309" i="11"/>
  <c r="I3308" i="11"/>
  <c r="I3307" i="11"/>
  <c r="I3306" i="11"/>
  <c r="I3305" i="11"/>
  <c r="I3304" i="11"/>
  <c r="I3303" i="11"/>
  <c r="I3302" i="11"/>
  <c r="I3301" i="11"/>
  <c r="I3300" i="11"/>
  <c r="I3299" i="11"/>
  <c r="I3298" i="11"/>
  <c r="I3297" i="11"/>
  <c r="I3296" i="11"/>
  <c r="I3295" i="11"/>
  <c r="I3294" i="11"/>
  <c r="I3293" i="11"/>
  <c r="I3292" i="11"/>
  <c r="I3291" i="11"/>
  <c r="I3290" i="11"/>
  <c r="I3289" i="11"/>
  <c r="I3288" i="11"/>
  <c r="I3287" i="11"/>
  <c r="I3286" i="11"/>
  <c r="I3285" i="11"/>
  <c r="I3284" i="11"/>
  <c r="I3283" i="11"/>
  <c r="I3282" i="11"/>
  <c r="I3281" i="11"/>
  <c r="I3280" i="11"/>
  <c r="I3279" i="11"/>
  <c r="I3278" i="11"/>
  <c r="I3277" i="11"/>
  <c r="I3276" i="11"/>
  <c r="I3275" i="11"/>
  <c r="I3274" i="11"/>
  <c r="I3273" i="11"/>
  <c r="I3272" i="11"/>
  <c r="I3271" i="11"/>
  <c r="I3270" i="11"/>
  <c r="I3269" i="11"/>
  <c r="I3268" i="11"/>
  <c r="I3267" i="11"/>
  <c r="I3266" i="11"/>
  <c r="I3265" i="11"/>
  <c r="I3264" i="11"/>
  <c r="I3263" i="11"/>
  <c r="I3262" i="11"/>
  <c r="I3261" i="11"/>
  <c r="I3260" i="11"/>
  <c r="I3259" i="11"/>
  <c r="I3258" i="11"/>
  <c r="I3257" i="11"/>
  <c r="I3256" i="11"/>
  <c r="I3255" i="11"/>
  <c r="I3254" i="11"/>
  <c r="I3253" i="11"/>
  <c r="I3252" i="11"/>
  <c r="I3251" i="11"/>
  <c r="I3250" i="11"/>
  <c r="I3249" i="11"/>
  <c r="I3248" i="11"/>
  <c r="I3247" i="11"/>
  <c r="I3246" i="11"/>
  <c r="I3245" i="11"/>
  <c r="I3244" i="11"/>
  <c r="I3243" i="11"/>
  <c r="I3242" i="11"/>
  <c r="I3241" i="11"/>
  <c r="I3240" i="11"/>
  <c r="I3239" i="11"/>
  <c r="I3238" i="11"/>
  <c r="I3237" i="11"/>
  <c r="I3236" i="11"/>
  <c r="I3235" i="11"/>
  <c r="I3234" i="11"/>
  <c r="I3233" i="11"/>
  <c r="I3232" i="11"/>
  <c r="I3231" i="11"/>
  <c r="I3230" i="11"/>
  <c r="I3229" i="11"/>
  <c r="I3228" i="11"/>
  <c r="I3227" i="11"/>
  <c r="I3226" i="11"/>
  <c r="I3225" i="11"/>
  <c r="I3224" i="11"/>
  <c r="I3223" i="11"/>
  <c r="I3222" i="11"/>
  <c r="I3221" i="11"/>
  <c r="I3220" i="11"/>
  <c r="I3219" i="11"/>
  <c r="I3218" i="11"/>
  <c r="I3217" i="11"/>
  <c r="I3216" i="11"/>
  <c r="I3215" i="11"/>
  <c r="I3214" i="11"/>
  <c r="I3213" i="11"/>
  <c r="I3212" i="11"/>
  <c r="I3211" i="11"/>
  <c r="I3210" i="11"/>
  <c r="I3209" i="11"/>
  <c r="I3208" i="11"/>
  <c r="I3207" i="11"/>
  <c r="I3206" i="11"/>
  <c r="I3205" i="11"/>
  <c r="I3204" i="11"/>
  <c r="I3203" i="11"/>
  <c r="I3202" i="11"/>
  <c r="I3201" i="11"/>
  <c r="I3200" i="11"/>
  <c r="I3199" i="11"/>
  <c r="I3198" i="11"/>
  <c r="I3197" i="11"/>
  <c r="I3196" i="11"/>
  <c r="I3195" i="11"/>
  <c r="I3194" i="11"/>
  <c r="I3193" i="11"/>
  <c r="I3192" i="11"/>
  <c r="I3191" i="11"/>
  <c r="I3190" i="11"/>
  <c r="I3189" i="11"/>
  <c r="I3188" i="11"/>
  <c r="I3187" i="11"/>
  <c r="I3186" i="11"/>
  <c r="I3185" i="11"/>
  <c r="I3184" i="11"/>
  <c r="I3183" i="11"/>
  <c r="I3182" i="11"/>
  <c r="I3181" i="11"/>
  <c r="I3180" i="11"/>
  <c r="I3179" i="11"/>
  <c r="I3178" i="11"/>
  <c r="I3177" i="11"/>
  <c r="I3176" i="11"/>
  <c r="I3175" i="11"/>
  <c r="I3174" i="11"/>
  <c r="I3173" i="11"/>
  <c r="I3172" i="11"/>
  <c r="I3171" i="11"/>
  <c r="I3170" i="11"/>
  <c r="I3169" i="11"/>
  <c r="I3168" i="11"/>
  <c r="I3167" i="11"/>
  <c r="I3166" i="11"/>
  <c r="I3165" i="11"/>
  <c r="I3164" i="11"/>
  <c r="I3163" i="11"/>
  <c r="I3162" i="11"/>
  <c r="I3161" i="11"/>
  <c r="I3160" i="11"/>
  <c r="I3159" i="11"/>
  <c r="I3158" i="11"/>
  <c r="I3157" i="11"/>
  <c r="I3156" i="11"/>
  <c r="I3155" i="11"/>
  <c r="I3154" i="11"/>
  <c r="I3153" i="11"/>
  <c r="I3152" i="11"/>
  <c r="I3151" i="11"/>
  <c r="I3150" i="11"/>
  <c r="I3149" i="11"/>
  <c r="I3148" i="11"/>
  <c r="I3147" i="11"/>
  <c r="I3146" i="11"/>
  <c r="I3145" i="11"/>
  <c r="I3144" i="11"/>
  <c r="I3143" i="11"/>
  <c r="I3142" i="11"/>
  <c r="I3141" i="11"/>
  <c r="I3140" i="11"/>
  <c r="I3139" i="11"/>
  <c r="I3138" i="11"/>
  <c r="I3137" i="11"/>
  <c r="I3136" i="11"/>
  <c r="I3135" i="11"/>
  <c r="I3134" i="11"/>
  <c r="I3133" i="11"/>
  <c r="I3132" i="11"/>
  <c r="I3131" i="11"/>
  <c r="I3130" i="11"/>
  <c r="I3129" i="11"/>
  <c r="I3128" i="11"/>
  <c r="I3127" i="11"/>
  <c r="I3126" i="11"/>
  <c r="I3125" i="11"/>
  <c r="I3124" i="11"/>
  <c r="I3123" i="11"/>
  <c r="I3122" i="11"/>
  <c r="I3121" i="11"/>
  <c r="I3120" i="11"/>
  <c r="I3119" i="11"/>
  <c r="I3118" i="11"/>
  <c r="I3117" i="11"/>
  <c r="I3116" i="11"/>
  <c r="I3115" i="11"/>
  <c r="I3114" i="11"/>
  <c r="I3113" i="11"/>
  <c r="I3112" i="11"/>
  <c r="I3111" i="11"/>
  <c r="I3110" i="11"/>
  <c r="I3109" i="11"/>
  <c r="I3108" i="11"/>
  <c r="I3107" i="11"/>
  <c r="I3106" i="11"/>
  <c r="I3105" i="11"/>
  <c r="I3104" i="11"/>
  <c r="I3103" i="11"/>
  <c r="I3102" i="11"/>
  <c r="I3101" i="11"/>
  <c r="I3100" i="11"/>
  <c r="I3099" i="11"/>
  <c r="I3098" i="11"/>
  <c r="I3097" i="11"/>
  <c r="I3096" i="11"/>
  <c r="I3095" i="11"/>
  <c r="I3094" i="11"/>
  <c r="I3093" i="11"/>
  <c r="I3092" i="11"/>
  <c r="I3091" i="11"/>
  <c r="I3090" i="11"/>
  <c r="I3089" i="11"/>
  <c r="I3088" i="11"/>
  <c r="I3087" i="11"/>
  <c r="I3086" i="11"/>
  <c r="I3085" i="11"/>
  <c r="I3084" i="11"/>
  <c r="I3083" i="11"/>
  <c r="I3082" i="11"/>
  <c r="I3081" i="11"/>
  <c r="I3080" i="11"/>
  <c r="I3079" i="11"/>
  <c r="I3078" i="11"/>
  <c r="I3077" i="11"/>
  <c r="I3076" i="11"/>
  <c r="I3075" i="11"/>
  <c r="I3074" i="11"/>
  <c r="I3073" i="11"/>
  <c r="I3072" i="11"/>
  <c r="I3071" i="11"/>
  <c r="I3070" i="11"/>
  <c r="I3069" i="11"/>
  <c r="I3068" i="11"/>
  <c r="I3067" i="11"/>
  <c r="I3066" i="11"/>
  <c r="I3065" i="11"/>
  <c r="I3064" i="11"/>
  <c r="I3063" i="11"/>
  <c r="I3062" i="11"/>
  <c r="I3061" i="11"/>
  <c r="I3060" i="11"/>
  <c r="I3059" i="11"/>
  <c r="I3058" i="11"/>
  <c r="I3057" i="11"/>
  <c r="I3056" i="11"/>
  <c r="I3055" i="11"/>
  <c r="I3054" i="11"/>
  <c r="I3053" i="11"/>
  <c r="I3052" i="11"/>
  <c r="I3051" i="11"/>
  <c r="I3050" i="11"/>
  <c r="I3049" i="11"/>
  <c r="I3048" i="11"/>
  <c r="I3047" i="11"/>
  <c r="I3046" i="11"/>
  <c r="I3045" i="11"/>
  <c r="I3044" i="11"/>
  <c r="I3043" i="11"/>
  <c r="I3042" i="11"/>
  <c r="I3041" i="11"/>
  <c r="I3040" i="11"/>
  <c r="I3039" i="11"/>
  <c r="I3038" i="11"/>
  <c r="I3037" i="11"/>
  <c r="I3036" i="11"/>
  <c r="I3035" i="11"/>
  <c r="I3034" i="11"/>
  <c r="I3033" i="11"/>
  <c r="I3032" i="11"/>
  <c r="I3031" i="11"/>
  <c r="I3030" i="11"/>
  <c r="I3029" i="11"/>
  <c r="I3028" i="11"/>
  <c r="I3027" i="11"/>
  <c r="I3026" i="11"/>
  <c r="I3025" i="11"/>
  <c r="I3024" i="11"/>
  <c r="I3023" i="11"/>
  <c r="I3022" i="11"/>
  <c r="I3021" i="11"/>
  <c r="I3020" i="11"/>
  <c r="I3019" i="11"/>
  <c r="I3018" i="11"/>
  <c r="I3017" i="11"/>
  <c r="I3016" i="11"/>
  <c r="I3015" i="11"/>
  <c r="I3014" i="11"/>
  <c r="I3013" i="11"/>
  <c r="I3012" i="11"/>
  <c r="I3011" i="11"/>
  <c r="I3010" i="11"/>
  <c r="I3009" i="11"/>
  <c r="I3008" i="11"/>
  <c r="I3007" i="11"/>
  <c r="I3006" i="11"/>
  <c r="I3005" i="11"/>
  <c r="I3004" i="11"/>
  <c r="I3003" i="11"/>
  <c r="I3002" i="11"/>
  <c r="I3001" i="11"/>
  <c r="I3000" i="11"/>
  <c r="I2999" i="11"/>
  <c r="I2998" i="11"/>
  <c r="I2997" i="11"/>
  <c r="I2996" i="11"/>
  <c r="I2995" i="11"/>
  <c r="I2994" i="11"/>
  <c r="I2993" i="11"/>
  <c r="I2992" i="11"/>
  <c r="I2991" i="11"/>
  <c r="I2990" i="11"/>
  <c r="I2989" i="11"/>
  <c r="I2988" i="11"/>
  <c r="I2987" i="11"/>
  <c r="I2986" i="11"/>
  <c r="I2985" i="11"/>
  <c r="I2984" i="11"/>
  <c r="I2983" i="11"/>
  <c r="I2982" i="11"/>
  <c r="I2981" i="11"/>
  <c r="I2980" i="11"/>
  <c r="I2979" i="11"/>
  <c r="I2978" i="11"/>
  <c r="I2977" i="11"/>
  <c r="I2976" i="11"/>
  <c r="I2975" i="11"/>
  <c r="I2974" i="11"/>
  <c r="I2973" i="11"/>
  <c r="I2972" i="11"/>
  <c r="I2971" i="11"/>
  <c r="I2970" i="11"/>
  <c r="I2969" i="11"/>
  <c r="I2968" i="11"/>
  <c r="I2967" i="11"/>
  <c r="I2966" i="11"/>
  <c r="I2965" i="11"/>
  <c r="I2964" i="11"/>
  <c r="I2963" i="11"/>
  <c r="I2962" i="11"/>
  <c r="I2961" i="11"/>
  <c r="I2960" i="11"/>
  <c r="I2959" i="11"/>
  <c r="I2958" i="11"/>
  <c r="I2957" i="11"/>
  <c r="I2956" i="11"/>
  <c r="I2955" i="11"/>
  <c r="I2954" i="11"/>
  <c r="I2953" i="11"/>
  <c r="I2952" i="11"/>
  <c r="I2951" i="11"/>
  <c r="I2950" i="11"/>
  <c r="I2949" i="11"/>
  <c r="I2948" i="11"/>
  <c r="I2947" i="11"/>
  <c r="I2946" i="11"/>
  <c r="I2945" i="11"/>
  <c r="I2944" i="11"/>
  <c r="I2943" i="11"/>
  <c r="I2942" i="11"/>
  <c r="I2941" i="11"/>
  <c r="I2940" i="11"/>
  <c r="I2939" i="11"/>
  <c r="I2938" i="11"/>
  <c r="I2937" i="11"/>
  <c r="I2936" i="11"/>
  <c r="I2935" i="11"/>
  <c r="I2934" i="11"/>
  <c r="I2933" i="11"/>
  <c r="I2932" i="11"/>
  <c r="I2931" i="11"/>
  <c r="I2930" i="11"/>
  <c r="I2929" i="11"/>
  <c r="I2928" i="11"/>
  <c r="I2927" i="11"/>
  <c r="I2926" i="11"/>
  <c r="I2925" i="11"/>
  <c r="I2924" i="11"/>
  <c r="I2923" i="11"/>
  <c r="I2922" i="11"/>
  <c r="I2921" i="11"/>
  <c r="I2920" i="11"/>
  <c r="I2919" i="11"/>
  <c r="I2918" i="11"/>
  <c r="I2917" i="11"/>
  <c r="I2916" i="11"/>
  <c r="I2915" i="11"/>
  <c r="I2914" i="11"/>
  <c r="I2913" i="11"/>
  <c r="I2912" i="11"/>
  <c r="I2911" i="11"/>
  <c r="I2910" i="11"/>
  <c r="I2909" i="11"/>
  <c r="I2908" i="11"/>
  <c r="I2907" i="11"/>
  <c r="I2906" i="11"/>
  <c r="I2905" i="11"/>
  <c r="I2904" i="11"/>
  <c r="I2903" i="11"/>
  <c r="I2902" i="11"/>
  <c r="I2901" i="11"/>
  <c r="I2900" i="11"/>
  <c r="I2899" i="11"/>
  <c r="I2898" i="11"/>
  <c r="I2897" i="11"/>
  <c r="I2896" i="11"/>
  <c r="I2895" i="11"/>
  <c r="I2894" i="11"/>
  <c r="I2893" i="11"/>
  <c r="I2892" i="11"/>
  <c r="I2891" i="11"/>
  <c r="I2890" i="11"/>
  <c r="I2889" i="11"/>
  <c r="I2888" i="11"/>
  <c r="I2887" i="11"/>
  <c r="I2886" i="11"/>
  <c r="I2885" i="11"/>
  <c r="I2884" i="11"/>
  <c r="I2883" i="11"/>
  <c r="I2882" i="11"/>
  <c r="I2881" i="11"/>
  <c r="I2880" i="11"/>
  <c r="I2879" i="11"/>
  <c r="I2878" i="11"/>
  <c r="I2877" i="11"/>
  <c r="I2876" i="11"/>
  <c r="I2875" i="11"/>
  <c r="I2874" i="11"/>
  <c r="I2873" i="11"/>
  <c r="I2872" i="11"/>
  <c r="I2871" i="11"/>
  <c r="I2870" i="11"/>
  <c r="I2869" i="11"/>
  <c r="I2868" i="11"/>
  <c r="I2867" i="11"/>
  <c r="I2866" i="11"/>
  <c r="I2865" i="11"/>
  <c r="I2864" i="11"/>
  <c r="I2863" i="11"/>
  <c r="I2862" i="11"/>
  <c r="I2861" i="11"/>
  <c r="I2860" i="11"/>
  <c r="I2859" i="11"/>
  <c r="I2858" i="11"/>
  <c r="I2857" i="11"/>
  <c r="I2856" i="11"/>
  <c r="I2855" i="11"/>
  <c r="I2854" i="11"/>
  <c r="I2853" i="11"/>
  <c r="I2852" i="11"/>
  <c r="I2851" i="11"/>
  <c r="I2850" i="11"/>
  <c r="I2849" i="11"/>
  <c r="I2848" i="11"/>
  <c r="I2847" i="11"/>
  <c r="I2846" i="11"/>
  <c r="I2845" i="11"/>
  <c r="I2844" i="11"/>
  <c r="I2843" i="11"/>
  <c r="I2842" i="11"/>
  <c r="I2841" i="11"/>
  <c r="I2840" i="11"/>
  <c r="I2839" i="11"/>
  <c r="I2838" i="11"/>
  <c r="I2837" i="11"/>
  <c r="I2836" i="11"/>
  <c r="I2835" i="11"/>
  <c r="I2834" i="11"/>
  <c r="I2833" i="11"/>
  <c r="I2832" i="11"/>
  <c r="I2831" i="11"/>
  <c r="I2830" i="11"/>
  <c r="I2829" i="11"/>
  <c r="I2828" i="11"/>
  <c r="I2827" i="11"/>
  <c r="I2826" i="11"/>
  <c r="I2825" i="11"/>
  <c r="I2824" i="11"/>
  <c r="I2823" i="11"/>
  <c r="I2822" i="11"/>
  <c r="I2821" i="11"/>
  <c r="I2820" i="11"/>
  <c r="I2819" i="11"/>
  <c r="I2818" i="11"/>
  <c r="I2817" i="11"/>
  <c r="I2816" i="11"/>
  <c r="I2815" i="11"/>
  <c r="I2814" i="11"/>
  <c r="I2813" i="11"/>
  <c r="I2812" i="11"/>
  <c r="I2811" i="11"/>
  <c r="I2810" i="11"/>
  <c r="I2809" i="11"/>
  <c r="I2808" i="11"/>
  <c r="I2807" i="11"/>
  <c r="I2806" i="11"/>
  <c r="I2805" i="11"/>
  <c r="I2804" i="11"/>
  <c r="I2803" i="11"/>
  <c r="I2802" i="11"/>
  <c r="I2801" i="11"/>
  <c r="I2800" i="11"/>
  <c r="I2799" i="11"/>
  <c r="I2798" i="11"/>
  <c r="I2797" i="11"/>
  <c r="I2796" i="11"/>
  <c r="I2795" i="11"/>
  <c r="I2794" i="11"/>
  <c r="I2793" i="11"/>
  <c r="I2792" i="11"/>
  <c r="I2791" i="11"/>
  <c r="I2790" i="11"/>
  <c r="I2789" i="11"/>
  <c r="I2788" i="11"/>
  <c r="I2787" i="11"/>
  <c r="I2786" i="11"/>
  <c r="I2785" i="11"/>
  <c r="I2784" i="11"/>
  <c r="I2783" i="11"/>
  <c r="I2782" i="11"/>
  <c r="I2781" i="11"/>
  <c r="I2780" i="11"/>
  <c r="I2779" i="11"/>
  <c r="I2778" i="11"/>
  <c r="I2777" i="11"/>
  <c r="I2776" i="11"/>
  <c r="I2775" i="11"/>
  <c r="I2774" i="11"/>
  <c r="I2773" i="11"/>
  <c r="I2772" i="11"/>
  <c r="I2771" i="11"/>
  <c r="I2770" i="11"/>
  <c r="I2769" i="11"/>
  <c r="I2768" i="11"/>
  <c r="I2767" i="11"/>
  <c r="I2766" i="11"/>
  <c r="I2765" i="11"/>
  <c r="I2764" i="11"/>
  <c r="I2763" i="11"/>
  <c r="I2762" i="11"/>
  <c r="I2761" i="11"/>
  <c r="I2760" i="11"/>
  <c r="I2759" i="11"/>
  <c r="I2758" i="11"/>
  <c r="I2757" i="11"/>
  <c r="I2756" i="11"/>
  <c r="I2755" i="11"/>
  <c r="I2754" i="11"/>
  <c r="I2753" i="11"/>
  <c r="I2752" i="11"/>
  <c r="I2751" i="11"/>
  <c r="I2750" i="11"/>
  <c r="I2749" i="11"/>
  <c r="I2748" i="11"/>
  <c r="I2747" i="11"/>
  <c r="I2746" i="11"/>
  <c r="I2745" i="11"/>
  <c r="I2744" i="11"/>
  <c r="I2743" i="11"/>
  <c r="I2742" i="11"/>
  <c r="I2741" i="11"/>
  <c r="I2740" i="11"/>
  <c r="I2739" i="11"/>
  <c r="I2738" i="11"/>
  <c r="I2737" i="11"/>
  <c r="I2736" i="11"/>
  <c r="I2735" i="11"/>
  <c r="I2734" i="11"/>
  <c r="I2733" i="11"/>
  <c r="I2732" i="11"/>
  <c r="I2731" i="11"/>
  <c r="I2730" i="11"/>
  <c r="I2729" i="11"/>
  <c r="I2728" i="11"/>
  <c r="I2727" i="11"/>
  <c r="I2726" i="11"/>
  <c r="I2725" i="11"/>
  <c r="I2724" i="11"/>
  <c r="I2723" i="11"/>
  <c r="I2722" i="11"/>
  <c r="I2721" i="11"/>
  <c r="I2720" i="11"/>
  <c r="I2719" i="11"/>
  <c r="I2718" i="11"/>
  <c r="I2717" i="11"/>
  <c r="I2716" i="11"/>
  <c r="I2715" i="11"/>
  <c r="I2714" i="11"/>
  <c r="I2713" i="11"/>
  <c r="I2712" i="11"/>
  <c r="I2711" i="11"/>
  <c r="I2710" i="11"/>
  <c r="I2709" i="11"/>
  <c r="I2708" i="11"/>
  <c r="I2707" i="11"/>
  <c r="I2706" i="11"/>
  <c r="I2705" i="11"/>
  <c r="I2704" i="11"/>
  <c r="I2703" i="11"/>
  <c r="I2702" i="11"/>
  <c r="I2701" i="11"/>
  <c r="I2700" i="11"/>
  <c r="I2699" i="11"/>
  <c r="I2698" i="11"/>
  <c r="I2697" i="11"/>
  <c r="I2696" i="11"/>
  <c r="I2695" i="11"/>
  <c r="I2694" i="11"/>
  <c r="I2693" i="11"/>
  <c r="I2692" i="11"/>
  <c r="I2691" i="11"/>
  <c r="I2690" i="11"/>
  <c r="I2689" i="11"/>
  <c r="I2688" i="11"/>
  <c r="I2687" i="11"/>
  <c r="I2686" i="11"/>
  <c r="I2685" i="11"/>
  <c r="I2684" i="11"/>
  <c r="I2683" i="11"/>
  <c r="I2682" i="11"/>
  <c r="I2681" i="11"/>
  <c r="I2680" i="11"/>
  <c r="I2679" i="11"/>
  <c r="I2678" i="11"/>
  <c r="I2677" i="11"/>
  <c r="I2676" i="11"/>
  <c r="I2675" i="11"/>
  <c r="I2674" i="11"/>
  <c r="I2673" i="11"/>
  <c r="I2672" i="11"/>
  <c r="I2671" i="11"/>
  <c r="I2670" i="11"/>
  <c r="I2669" i="11"/>
  <c r="I2668" i="11"/>
  <c r="I2667" i="11"/>
  <c r="I2666" i="11"/>
  <c r="I2665" i="11"/>
  <c r="I2664" i="11"/>
  <c r="I2663" i="11"/>
  <c r="I2662" i="11"/>
  <c r="I2661" i="11"/>
  <c r="I2660" i="11"/>
  <c r="I2659" i="11"/>
  <c r="I2658" i="11"/>
  <c r="I2657" i="11"/>
  <c r="I2656" i="11"/>
  <c r="I2655" i="11"/>
  <c r="I2654" i="11"/>
  <c r="I2653" i="11"/>
  <c r="I2652" i="11"/>
  <c r="I2651" i="11"/>
  <c r="I2650" i="11"/>
  <c r="I2649" i="11"/>
  <c r="I2648" i="11"/>
  <c r="I2647" i="11"/>
  <c r="I2646" i="11"/>
  <c r="I2645" i="11"/>
  <c r="I2644" i="11"/>
  <c r="I2643" i="11"/>
  <c r="I2642" i="11"/>
  <c r="I2641" i="11"/>
  <c r="I2640" i="11"/>
  <c r="I2639" i="11"/>
  <c r="I2638" i="11"/>
  <c r="I2637" i="11"/>
  <c r="I2636" i="11"/>
  <c r="I2635" i="11"/>
  <c r="I2634" i="11"/>
  <c r="I2633" i="11"/>
  <c r="I2632" i="11"/>
  <c r="I2631" i="11"/>
  <c r="I2630" i="11"/>
  <c r="I2629" i="11"/>
  <c r="I2628" i="11"/>
  <c r="I2627" i="11"/>
  <c r="I2626" i="11"/>
  <c r="I2625" i="11"/>
  <c r="I2624" i="11"/>
  <c r="I2623" i="11"/>
  <c r="I2622" i="11"/>
  <c r="I2621" i="11"/>
  <c r="I2620" i="11"/>
  <c r="I2619" i="11"/>
  <c r="I2618" i="11"/>
  <c r="I2617" i="11"/>
  <c r="I2616" i="11"/>
  <c r="I2615" i="11"/>
  <c r="I2614" i="11"/>
  <c r="I2613" i="11"/>
  <c r="I2612" i="11"/>
  <c r="I2611" i="11"/>
  <c r="I2610" i="11"/>
  <c r="I2609" i="11"/>
  <c r="I2608" i="11"/>
  <c r="I2607" i="11"/>
  <c r="I2606" i="11"/>
  <c r="I2605" i="11"/>
  <c r="I2604" i="11"/>
  <c r="I2603" i="11"/>
  <c r="I2602" i="11"/>
  <c r="I2601" i="11"/>
  <c r="I2600" i="11"/>
  <c r="I2599" i="11"/>
  <c r="I2598" i="11"/>
  <c r="I2597" i="11"/>
  <c r="I2596" i="11"/>
  <c r="I2595" i="11"/>
  <c r="I2594" i="11"/>
  <c r="I2593" i="11"/>
  <c r="I2592" i="11"/>
  <c r="I2591" i="11"/>
  <c r="I2590" i="11"/>
  <c r="I2589" i="11"/>
  <c r="I2588" i="11"/>
  <c r="I2587" i="11"/>
  <c r="I2586" i="11"/>
  <c r="I2585" i="11"/>
  <c r="I2584" i="11"/>
  <c r="I2583" i="11"/>
  <c r="I2582" i="11"/>
  <c r="I2581" i="11"/>
  <c r="I2580" i="11"/>
  <c r="I2579" i="11"/>
  <c r="I2578" i="11"/>
  <c r="I2577" i="11"/>
  <c r="I2576" i="11"/>
  <c r="I2575" i="11"/>
  <c r="I2574" i="11"/>
  <c r="I2573" i="11"/>
  <c r="I2572" i="11"/>
  <c r="I2571" i="11"/>
  <c r="I2570" i="11"/>
  <c r="I2569" i="11"/>
  <c r="I2568" i="11"/>
  <c r="I2567" i="11"/>
  <c r="I2566" i="11"/>
  <c r="I2565" i="11"/>
  <c r="I2564" i="11"/>
  <c r="I2563" i="11"/>
  <c r="I2562" i="11"/>
  <c r="I2561" i="11"/>
  <c r="I2560" i="11"/>
  <c r="I2559" i="11"/>
  <c r="I2558" i="11"/>
  <c r="I2557" i="11"/>
  <c r="I2556" i="11"/>
  <c r="I2555" i="11"/>
  <c r="I2554" i="11"/>
  <c r="I2553" i="11"/>
  <c r="I2552" i="11"/>
  <c r="I2551" i="11"/>
  <c r="I2550" i="11"/>
  <c r="I2549" i="11"/>
  <c r="I2548" i="11"/>
  <c r="I2547" i="11"/>
  <c r="I2546" i="11"/>
  <c r="I2545" i="11"/>
  <c r="I2544" i="11"/>
  <c r="I2543" i="11"/>
  <c r="I2542" i="11"/>
  <c r="I2541" i="11"/>
  <c r="I2540" i="11"/>
  <c r="I2539" i="11"/>
  <c r="I2538" i="11"/>
  <c r="I2537" i="11"/>
  <c r="I2536" i="11"/>
  <c r="I2535" i="11"/>
  <c r="I2534" i="11"/>
  <c r="I2533" i="11"/>
  <c r="I2532" i="11"/>
  <c r="I2531" i="11"/>
  <c r="I2530" i="11"/>
  <c r="I2529" i="11"/>
  <c r="I2528" i="11"/>
  <c r="I2527" i="11"/>
  <c r="I2526" i="11"/>
  <c r="I2525" i="11"/>
  <c r="I2524" i="11"/>
  <c r="I2523" i="11"/>
  <c r="I2522" i="11"/>
  <c r="I2521" i="11"/>
  <c r="I2520" i="11"/>
  <c r="I2519" i="11"/>
  <c r="I2518" i="11"/>
  <c r="I2517" i="11"/>
  <c r="I2516" i="11"/>
  <c r="I2515" i="11"/>
  <c r="I2514" i="11"/>
  <c r="I2513" i="11"/>
  <c r="I2512" i="11"/>
  <c r="I2511" i="11"/>
  <c r="I2510" i="11"/>
  <c r="I2509" i="11"/>
  <c r="I2508" i="11"/>
  <c r="I2507" i="11"/>
  <c r="I2506" i="11"/>
  <c r="I2505" i="11"/>
  <c r="I2504" i="11"/>
  <c r="I2503" i="11"/>
  <c r="I2502" i="11"/>
  <c r="I2501" i="11"/>
  <c r="I2500" i="11"/>
  <c r="I2499" i="11"/>
  <c r="I2498" i="11"/>
  <c r="I2497" i="11"/>
  <c r="I2496" i="11"/>
  <c r="I2495" i="11"/>
  <c r="I2494" i="11"/>
  <c r="I2493" i="11"/>
  <c r="I2492" i="11"/>
  <c r="I2491" i="11"/>
  <c r="I2490" i="11"/>
  <c r="I2489" i="11"/>
  <c r="I2488" i="11"/>
  <c r="I2487" i="11"/>
  <c r="I2486" i="11"/>
  <c r="I2485" i="11"/>
  <c r="I2484" i="11"/>
  <c r="I2483" i="11"/>
  <c r="I2482" i="11"/>
  <c r="I2481" i="11"/>
  <c r="I2480" i="11"/>
  <c r="I2479" i="11"/>
  <c r="I2478" i="11"/>
  <c r="I2477" i="11"/>
  <c r="I2476" i="11"/>
  <c r="I2475" i="11"/>
  <c r="I2474" i="11"/>
  <c r="I2473" i="11"/>
  <c r="I2472" i="11"/>
  <c r="I2471" i="11"/>
  <c r="I2470" i="11"/>
  <c r="I2469" i="11"/>
  <c r="I2468" i="11"/>
  <c r="I2467" i="11"/>
  <c r="I2466" i="11"/>
  <c r="I2465" i="11"/>
  <c r="I2464" i="11"/>
  <c r="I2463" i="11"/>
  <c r="I2462" i="11"/>
  <c r="I2461" i="11"/>
  <c r="I2460" i="11"/>
  <c r="I2459" i="11"/>
  <c r="I2458" i="11"/>
  <c r="I2457" i="11"/>
  <c r="I2456" i="11"/>
  <c r="I2455" i="11"/>
  <c r="I2454" i="11"/>
  <c r="I2453" i="11"/>
  <c r="I2452" i="11"/>
  <c r="I2451" i="11"/>
  <c r="I2450" i="11"/>
  <c r="I2449" i="11"/>
  <c r="I2448" i="11"/>
  <c r="I2447" i="11"/>
  <c r="I2446" i="11"/>
  <c r="I2445" i="11"/>
  <c r="I2444" i="11"/>
  <c r="I2443" i="11"/>
  <c r="I2442" i="11"/>
  <c r="I2441" i="11"/>
  <c r="I2440" i="11"/>
  <c r="I2439" i="11"/>
  <c r="I2438" i="11"/>
  <c r="I2437" i="11"/>
  <c r="I2436" i="11"/>
  <c r="I2435" i="11"/>
  <c r="I2434" i="11"/>
  <c r="I2433" i="11"/>
  <c r="I2432" i="11"/>
  <c r="I2431" i="11"/>
  <c r="I2430" i="11"/>
  <c r="I2429" i="11"/>
  <c r="I2428" i="11"/>
  <c r="I2427" i="11"/>
  <c r="I2426" i="11"/>
  <c r="I2425" i="11"/>
  <c r="I2424" i="11"/>
  <c r="I2423" i="11"/>
  <c r="I2422" i="11"/>
  <c r="I2421" i="11"/>
  <c r="I2420" i="11"/>
  <c r="I2419" i="11"/>
  <c r="I2418" i="11"/>
  <c r="I2417" i="11"/>
  <c r="I2416" i="11"/>
  <c r="I2415" i="11"/>
  <c r="I2414" i="11"/>
  <c r="I2413" i="11"/>
  <c r="I2412" i="11"/>
  <c r="I2411" i="11"/>
  <c r="I2410" i="11"/>
  <c r="I2409" i="11"/>
  <c r="I2408" i="11"/>
  <c r="I2407" i="11"/>
  <c r="I2406" i="11"/>
  <c r="I2405" i="11"/>
  <c r="I2404" i="11"/>
  <c r="I2403" i="11"/>
  <c r="I2402" i="11"/>
  <c r="I2401" i="11"/>
  <c r="I2400" i="11"/>
  <c r="I2399" i="11"/>
  <c r="I2398" i="11"/>
  <c r="I2397" i="11"/>
  <c r="I2396" i="11"/>
  <c r="I2395" i="11"/>
  <c r="I2394" i="11"/>
  <c r="I2393" i="11"/>
  <c r="I2392" i="11"/>
  <c r="I2391" i="11"/>
  <c r="I2390" i="11"/>
  <c r="I2389" i="11"/>
  <c r="I2388" i="11"/>
  <c r="I2387" i="11"/>
  <c r="I2386" i="11"/>
  <c r="I2385" i="11"/>
  <c r="I2384" i="11"/>
  <c r="I2383" i="11"/>
  <c r="I2382" i="11"/>
  <c r="I2381" i="11"/>
  <c r="I2380" i="11"/>
  <c r="I2379" i="11"/>
  <c r="I2378" i="11"/>
  <c r="I2377" i="11"/>
  <c r="I2376" i="11"/>
  <c r="I2375" i="11"/>
  <c r="I2374" i="11"/>
  <c r="I2373" i="11"/>
  <c r="I2372" i="11"/>
  <c r="I2371" i="11"/>
  <c r="I2370" i="11"/>
  <c r="I2369" i="11"/>
  <c r="I2368" i="11"/>
  <c r="I2367" i="11"/>
  <c r="I2366" i="11"/>
  <c r="I2365" i="11"/>
  <c r="I2364" i="11"/>
  <c r="I2363" i="11"/>
  <c r="I2362" i="11"/>
  <c r="I2361" i="11"/>
  <c r="I2360" i="11"/>
  <c r="I2359" i="11"/>
  <c r="I2358" i="11"/>
  <c r="I2357" i="11"/>
  <c r="I2356" i="11"/>
  <c r="I2355" i="11"/>
  <c r="I2354" i="11"/>
  <c r="I2353" i="11"/>
  <c r="I2352" i="11"/>
  <c r="I2351" i="11"/>
  <c r="I2350" i="11"/>
  <c r="I2349" i="11"/>
  <c r="I2348" i="11"/>
  <c r="I2347" i="11"/>
  <c r="I2346" i="11"/>
  <c r="I2345" i="11"/>
  <c r="I2344" i="11"/>
  <c r="I2343" i="11"/>
  <c r="I2342" i="11"/>
  <c r="I2341" i="11"/>
  <c r="I2340" i="11"/>
  <c r="I2339" i="11"/>
  <c r="I2338" i="11"/>
  <c r="I2337" i="11"/>
  <c r="I2336" i="11"/>
  <c r="I2335" i="11"/>
  <c r="I2334" i="11"/>
  <c r="I2333" i="11"/>
  <c r="I2332" i="11"/>
  <c r="I2331" i="11"/>
  <c r="I2330" i="11"/>
  <c r="I2329" i="11"/>
  <c r="I2328" i="11"/>
  <c r="I2327" i="11"/>
  <c r="I2326" i="11"/>
  <c r="I2325" i="11"/>
  <c r="I2324" i="11"/>
  <c r="I2323" i="11"/>
  <c r="I2322" i="11"/>
  <c r="I2321" i="11"/>
  <c r="I2320" i="11"/>
  <c r="I2319" i="11"/>
  <c r="I2318" i="11"/>
  <c r="I2317" i="11"/>
  <c r="I2316" i="11"/>
  <c r="I2315" i="11"/>
  <c r="I2314" i="11"/>
  <c r="I2313" i="11"/>
  <c r="I2312" i="11"/>
  <c r="I2311" i="11"/>
  <c r="I2310" i="11"/>
  <c r="I2309" i="11"/>
  <c r="I2308" i="11"/>
  <c r="I2307" i="11"/>
  <c r="I2306" i="11"/>
  <c r="I2305" i="11"/>
  <c r="I2304" i="11"/>
  <c r="I2303" i="11"/>
  <c r="I2302" i="11"/>
  <c r="I2301" i="11"/>
  <c r="I2300" i="11"/>
  <c r="I2299" i="11"/>
  <c r="I2298" i="11"/>
  <c r="I2297" i="11"/>
  <c r="I2296" i="11"/>
  <c r="I2295" i="11"/>
  <c r="I2294" i="11"/>
  <c r="I2293" i="11"/>
  <c r="I2292" i="11"/>
  <c r="I2291" i="11"/>
  <c r="I2290" i="11"/>
  <c r="I2289" i="11"/>
  <c r="I2288" i="11"/>
  <c r="I2287" i="11"/>
  <c r="I2286" i="11"/>
  <c r="I2285" i="11"/>
  <c r="I2284" i="11"/>
  <c r="I2283" i="11"/>
  <c r="I2282" i="11"/>
  <c r="I2281" i="11"/>
  <c r="I2280" i="11"/>
  <c r="I2279" i="11"/>
  <c r="I2278" i="11"/>
  <c r="I2277" i="11"/>
  <c r="I2276" i="11"/>
  <c r="I2275" i="11"/>
  <c r="I2274" i="11"/>
  <c r="I2273" i="11"/>
  <c r="I2272" i="11"/>
  <c r="I2271" i="11"/>
  <c r="I2270" i="11"/>
  <c r="I2269" i="11"/>
  <c r="I2268" i="11"/>
  <c r="I2267" i="11"/>
  <c r="I2266" i="11"/>
  <c r="I2265" i="11"/>
  <c r="I2264" i="11"/>
  <c r="I2263" i="11"/>
  <c r="I2262" i="11"/>
  <c r="I2261" i="11"/>
  <c r="I2260" i="11"/>
  <c r="I2259" i="11"/>
  <c r="I2258" i="11"/>
  <c r="I2257" i="11"/>
  <c r="I2256" i="11"/>
  <c r="I2255" i="11"/>
  <c r="I2254" i="11"/>
  <c r="I2253" i="11"/>
  <c r="I2252" i="11"/>
  <c r="I2251" i="11"/>
  <c r="I2250" i="11"/>
  <c r="I2249" i="11"/>
  <c r="I2248" i="11"/>
  <c r="I2247" i="11"/>
  <c r="I2246" i="11"/>
  <c r="I2245" i="11"/>
  <c r="I2244" i="11"/>
  <c r="I2243" i="11"/>
  <c r="I2242" i="11"/>
  <c r="I2241" i="11"/>
  <c r="I2240" i="11"/>
  <c r="I2239" i="11"/>
  <c r="I2238" i="11"/>
  <c r="I2237" i="11"/>
  <c r="I2236" i="11"/>
  <c r="I2235" i="11"/>
  <c r="I2234" i="11"/>
  <c r="I2233" i="11"/>
  <c r="I2232" i="11"/>
  <c r="I2231" i="11"/>
  <c r="I2230" i="11"/>
  <c r="I2229" i="11"/>
  <c r="I2228" i="11"/>
  <c r="I2227" i="11"/>
  <c r="I2226" i="11"/>
  <c r="I2225" i="11"/>
  <c r="I2224" i="11"/>
  <c r="I2223" i="11"/>
  <c r="I2222" i="11"/>
  <c r="I2221" i="11"/>
  <c r="I2220" i="11"/>
  <c r="I2219" i="11"/>
  <c r="I2218" i="11"/>
  <c r="I2217" i="11"/>
  <c r="I2216" i="11"/>
  <c r="I2215" i="11"/>
  <c r="I2214" i="11"/>
  <c r="I2213" i="11"/>
  <c r="I2212" i="11"/>
  <c r="I2211" i="11"/>
  <c r="I2210" i="11"/>
  <c r="I2209" i="11"/>
  <c r="I2208" i="11"/>
  <c r="I2207" i="11"/>
  <c r="I2206" i="11"/>
  <c r="I2205" i="11"/>
  <c r="I2204" i="11"/>
  <c r="I2203" i="11"/>
  <c r="I2202" i="11"/>
  <c r="I2201" i="11"/>
  <c r="I2200" i="11"/>
  <c r="I2199" i="11"/>
  <c r="I2198" i="11"/>
  <c r="I2197" i="11"/>
  <c r="I2196" i="11"/>
  <c r="I2195" i="11"/>
  <c r="I2194" i="11"/>
  <c r="I2193" i="11"/>
  <c r="I2192" i="11"/>
  <c r="I2191" i="11"/>
  <c r="I2190" i="11"/>
  <c r="I2189" i="11"/>
  <c r="I2188" i="11"/>
  <c r="I2187" i="11"/>
  <c r="I2186" i="11"/>
  <c r="I2185" i="11"/>
  <c r="I2184" i="11"/>
  <c r="I2183" i="11"/>
  <c r="I2182" i="11"/>
  <c r="I2181" i="11"/>
  <c r="I2180" i="11"/>
  <c r="I2179" i="11"/>
  <c r="I2178" i="11"/>
  <c r="I2177" i="11"/>
  <c r="I2176" i="11"/>
  <c r="I2175" i="11"/>
  <c r="I2174" i="11"/>
  <c r="I2173" i="11"/>
  <c r="I2172" i="11"/>
  <c r="I2171" i="11"/>
  <c r="I2170" i="11"/>
  <c r="I2169" i="11"/>
  <c r="I2168" i="11"/>
  <c r="I2167" i="11"/>
  <c r="I2166" i="11"/>
  <c r="I2165" i="11"/>
  <c r="I2164" i="11"/>
  <c r="I2163" i="11"/>
  <c r="I2162" i="11"/>
  <c r="I2161" i="11"/>
  <c r="I2160" i="11"/>
  <c r="I2159" i="11"/>
  <c r="I2158" i="11"/>
  <c r="I2157" i="11"/>
  <c r="I2156" i="11"/>
  <c r="I2155" i="11"/>
  <c r="I2154" i="11"/>
  <c r="I2153" i="11"/>
  <c r="I2152" i="11"/>
  <c r="I2151" i="11"/>
  <c r="I2150" i="11"/>
  <c r="I2149" i="11"/>
  <c r="I2148" i="11"/>
  <c r="I2147" i="11"/>
  <c r="I2146" i="11"/>
  <c r="I2145" i="11"/>
  <c r="I2144" i="11"/>
  <c r="I2143" i="11"/>
  <c r="I2142" i="11"/>
  <c r="I2141" i="11"/>
  <c r="I2140" i="11"/>
  <c r="I2139" i="11"/>
  <c r="I2138" i="11"/>
  <c r="I2137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10" i="11"/>
  <c r="I2109" i="11"/>
  <c r="I2108" i="11"/>
  <c r="I2107" i="11"/>
  <c r="I2106" i="11"/>
  <c r="I2105" i="11"/>
  <c r="I2104" i="11"/>
  <c r="I2103" i="11"/>
  <c r="I2102" i="11"/>
  <c r="I2101" i="11"/>
  <c r="I2100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73" i="11"/>
  <c r="I2072" i="11"/>
  <c r="I2071" i="11"/>
  <c r="I2070" i="11"/>
  <c r="I2069" i="11"/>
  <c r="I2068" i="11"/>
  <c r="I2067" i="11"/>
  <c r="I2066" i="11"/>
  <c r="I2065" i="11"/>
  <c r="I2064" i="11"/>
  <c r="I2063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36" i="11"/>
  <c r="I2035" i="11"/>
  <c r="I2034" i="11"/>
  <c r="I2033" i="11"/>
  <c r="I2032" i="11"/>
  <c r="I2031" i="11"/>
  <c r="I2030" i="11"/>
  <c r="I2029" i="11"/>
  <c r="I2028" i="11"/>
  <c r="I2027" i="11"/>
  <c r="I2026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9" i="11"/>
  <c r="I1998" i="11"/>
  <c r="I1997" i="11"/>
  <c r="I1996" i="11"/>
  <c r="I1995" i="11"/>
  <c r="I1994" i="11"/>
  <c r="I1993" i="11"/>
  <c r="I1992" i="11"/>
  <c r="I1991" i="11"/>
  <c r="I1990" i="11"/>
  <c r="I1989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62" i="11"/>
  <c r="I1961" i="11"/>
  <c r="I1960" i="11"/>
  <c r="I1959" i="11"/>
  <c r="I1958" i="11"/>
  <c r="I1957" i="11"/>
  <c r="I1956" i="11"/>
  <c r="I1955" i="11"/>
  <c r="I1954" i="11"/>
  <c r="I1953" i="11"/>
  <c r="I1952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25" i="11"/>
  <c r="I1924" i="11"/>
  <c r="I1923" i="11"/>
  <c r="I1922" i="11"/>
  <c r="I1921" i="11"/>
  <c r="I1920" i="11"/>
  <c r="I1919" i="11"/>
  <c r="I1918" i="11"/>
  <c r="I1917" i="11"/>
  <c r="I1916" i="11"/>
  <c r="I1915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8" i="11"/>
  <c r="I1887" i="11"/>
  <c r="I1886" i="11"/>
  <c r="I1885" i="11"/>
  <c r="I1884" i="11"/>
  <c r="I1883" i="11"/>
  <c r="I1882" i="11"/>
  <c r="I1881" i="11"/>
  <c r="I1880" i="11"/>
  <c r="I1879" i="11"/>
  <c r="I1878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51" i="11"/>
  <c r="I1850" i="11"/>
  <c r="I1849" i="11"/>
  <c r="I1848" i="11"/>
  <c r="I1847" i="11"/>
  <c r="I1846" i="11"/>
  <c r="I1845" i="11"/>
  <c r="I1844" i="11"/>
  <c r="I1843" i="11"/>
  <c r="I1842" i="11"/>
  <c r="I1841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14" i="11"/>
  <c r="I1813" i="11"/>
  <c r="I1812" i="11"/>
  <c r="I1811" i="11"/>
  <c r="I1810" i="11"/>
  <c r="I1809" i="11"/>
  <c r="I1808" i="11"/>
  <c r="I1807" i="11"/>
  <c r="I1806" i="11"/>
  <c r="I1805" i="11"/>
  <c r="I1804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7" i="11"/>
  <c r="I1776" i="11"/>
  <c r="I1775" i="11"/>
  <c r="I1774" i="11"/>
  <c r="I1773" i="11"/>
  <c r="I1772" i="11"/>
  <c r="I1771" i="11"/>
  <c r="I1770" i="11"/>
  <c r="I1769" i="11"/>
  <c r="I1768" i="11"/>
  <c r="I1767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40" i="11"/>
  <c r="I1739" i="11"/>
  <c r="I1738" i="11"/>
  <c r="I1737" i="11"/>
  <c r="I1736" i="11"/>
  <c r="I1735" i="11"/>
  <c r="I1734" i="11"/>
  <c r="I1733" i="11"/>
  <c r="I1732" i="11"/>
  <c r="I1731" i="11"/>
  <c r="I1730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703" i="11"/>
  <c r="I1702" i="11"/>
  <c r="I1701" i="11"/>
  <c r="I1700" i="11"/>
  <c r="I1699" i="11"/>
  <c r="I1698" i="11"/>
  <c r="I1697" i="11"/>
  <c r="I1696" i="11"/>
  <c r="I1695" i="11"/>
  <c r="I1694" i="11"/>
  <c r="I1693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66" i="11"/>
  <c r="I1665" i="11"/>
  <c r="I1664" i="11"/>
  <c r="I1663" i="11"/>
  <c r="I1662" i="11"/>
  <c r="I1661" i="11"/>
  <c r="I1660" i="11"/>
  <c r="I1659" i="11"/>
  <c r="I1658" i="11"/>
  <c r="I1657" i="11"/>
  <c r="I1656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9" i="11"/>
  <c r="I1628" i="11"/>
  <c r="I1627" i="11"/>
  <c r="I1626" i="11"/>
  <c r="I1625" i="11"/>
  <c r="I1624" i="11"/>
  <c r="I1623" i="11"/>
  <c r="I1622" i="11"/>
  <c r="I1621" i="11"/>
  <c r="I1620" i="11"/>
  <c r="I1619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92" i="11"/>
  <c r="I1591" i="11"/>
  <c r="I1590" i="11"/>
  <c r="I1589" i="11"/>
  <c r="I1588" i="11"/>
  <c r="I1587" i="11"/>
  <c r="I1586" i="11"/>
  <c r="I1585" i="11"/>
  <c r="I1584" i="11"/>
  <c r="I1583" i="11"/>
  <c r="I1582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55" i="11"/>
  <c r="I1554" i="11"/>
  <c r="I1553" i="11"/>
  <c r="I1552" i="11"/>
  <c r="I1551" i="11"/>
  <c r="I1550" i="11"/>
  <c r="I1549" i="11"/>
  <c r="I1548" i="11"/>
  <c r="I1547" i="11"/>
  <c r="I1546" i="11"/>
  <c r="I1545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8" i="11"/>
  <c r="I1517" i="11"/>
  <c r="I1516" i="11"/>
  <c r="I1515" i="11"/>
  <c r="I1514" i="11"/>
  <c r="I1513" i="11"/>
  <c r="I1512" i="11"/>
  <c r="I1511" i="11"/>
  <c r="I1510" i="11"/>
  <c r="I1509" i="11"/>
  <c r="I1508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81" i="11"/>
  <c r="I1480" i="11"/>
  <c r="I1479" i="11"/>
  <c r="I1478" i="11"/>
  <c r="I1477" i="11"/>
  <c r="I1476" i="11"/>
  <c r="I1475" i="11"/>
  <c r="I1474" i="11"/>
  <c r="I1473" i="11"/>
  <c r="I1472" i="11"/>
  <c r="I1471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44" i="11"/>
  <c r="I1443" i="11"/>
  <c r="I1442" i="11"/>
  <c r="I1441" i="11"/>
  <c r="I1440" i="11"/>
  <c r="I1439" i="11"/>
  <c r="I1438" i="11"/>
  <c r="I1437" i="11"/>
  <c r="I1436" i="11"/>
  <c r="I1435" i="11"/>
  <c r="I1434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7" i="11"/>
  <c r="I1406" i="11"/>
  <c r="I1405" i="11"/>
  <c r="I1404" i="11"/>
  <c r="I1403" i="11"/>
  <c r="I1402" i="11"/>
  <c r="I1401" i="11"/>
  <c r="I1400" i="11"/>
  <c r="I1399" i="11"/>
  <c r="I1398" i="11"/>
  <c r="I1397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70" i="11"/>
  <c r="I1369" i="11"/>
  <c r="I1368" i="11"/>
  <c r="I1367" i="11"/>
  <c r="I1366" i="11"/>
  <c r="I1365" i="11"/>
  <c r="I1364" i="11"/>
  <c r="I1363" i="11"/>
  <c r="I1362" i="11"/>
  <c r="I1361" i="11"/>
  <c r="I1360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33" i="11"/>
  <c r="I1332" i="11"/>
  <c r="I1331" i="11"/>
  <c r="I1330" i="11"/>
  <c r="I1329" i="11"/>
  <c r="I1328" i="11"/>
  <c r="I1327" i="11"/>
  <c r="I1326" i="11"/>
  <c r="I1325" i="11"/>
  <c r="I1324" i="11"/>
  <c r="I1323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96" i="11"/>
  <c r="I1295" i="11"/>
  <c r="I1294" i="11"/>
  <c r="I1293" i="11"/>
  <c r="I1292" i="11"/>
  <c r="I1291" i="11"/>
  <c r="I1290" i="11"/>
  <c r="I1289" i="11"/>
  <c r="I1288" i="11"/>
  <c r="I1287" i="11"/>
  <c r="I1286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9" i="11"/>
  <c r="I1258" i="11"/>
  <c r="I1257" i="11"/>
  <c r="I1256" i="11"/>
  <c r="I1255" i="11"/>
  <c r="I1254" i="11"/>
  <c r="I1253" i="11"/>
  <c r="I1252" i="11"/>
  <c r="I1251" i="11"/>
  <c r="I1250" i="11"/>
  <c r="I1249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22" i="11"/>
  <c r="I1221" i="11"/>
  <c r="I1220" i="11"/>
  <c r="I1219" i="11"/>
  <c r="I1218" i="11"/>
  <c r="I1217" i="11"/>
  <c r="I1216" i="11"/>
  <c r="I1215" i="11"/>
  <c r="I1214" i="11"/>
  <c r="I1213" i="11"/>
  <c r="I1212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85" i="11"/>
  <c r="I1184" i="11"/>
  <c r="I1183" i="11"/>
  <c r="I1182" i="11"/>
  <c r="I1181" i="11"/>
  <c r="I1180" i="11"/>
  <c r="I1179" i="11"/>
  <c r="I1178" i="11"/>
  <c r="I1177" i="11"/>
  <c r="I1176" i="11"/>
  <c r="I1175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8" i="11"/>
  <c r="I1147" i="11"/>
  <c r="I1146" i="11"/>
  <c r="I1145" i="11"/>
  <c r="I1144" i="11"/>
  <c r="I1143" i="11"/>
  <c r="I1142" i="11"/>
  <c r="I1141" i="11"/>
  <c r="I1140" i="11"/>
  <c r="I1139" i="11"/>
  <c r="I1138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11" i="11"/>
  <c r="I1110" i="11"/>
  <c r="I1109" i="11"/>
  <c r="I1108" i="11"/>
  <c r="I1107" i="11"/>
  <c r="I1106" i="11"/>
  <c r="I1105" i="11"/>
  <c r="I1104" i="11"/>
  <c r="I1103" i="11"/>
  <c r="I1102" i="11"/>
  <c r="I1101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74" i="11"/>
  <c r="I1073" i="11"/>
  <c r="I1072" i="11"/>
  <c r="I1071" i="11"/>
  <c r="I1070" i="11"/>
  <c r="I1069" i="11"/>
  <c r="I1068" i="11"/>
  <c r="I1067" i="11"/>
  <c r="I1066" i="11"/>
  <c r="I1065" i="11"/>
  <c r="I1064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7" i="11"/>
  <c r="I1036" i="11"/>
  <c r="I1035" i="11"/>
  <c r="I1034" i="11"/>
  <c r="I1033" i="11"/>
  <c r="I1032" i="11"/>
  <c r="I1031" i="11"/>
  <c r="I1030" i="11"/>
  <c r="I1029" i="11"/>
  <c r="I1028" i="11"/>
  <c r="I1027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1000" i="11"/>
  <c r="I999" i="11"/>
  <c r="I998" i="11"/>
  <c r="I997" i="11"/>
  <c r="I996" i="11"/>
  <c r="I995" i="11"/>
  <c r="I994" i="11"/>
  <c r="I993" i="11"/>
  <c r="I992" i="11"/>
  <c r="I991" i="11"/>
  <c r="I990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63" i="11"/>
  <c r="I962" i="11"/>
  <c r="I961" i="11"/>
  <c r="I960" i="11"/>
  <c r="I959" i="11"/>
  <c r="I958" i="11"/>
  <c r="I957" i="11"/>
  <c r="I956" i="11"/>
  <c r="I955" i="11"/>
  <c r="I954" i="11"/>
  <c r="I953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26" i="11"/>
  <c r="I925" i="11"/>
  <c r="I924" i="11"/>
  <c r="I923" i="11"/>
  <c r="I922" i="11"/>
  <c r="I921" i="11"/>
  <c r="I920" i="11"/>
  <c r="I919" i="11"/>
  <c r="I918" i="11"/>
  <c r="I917" i="11"/>
  <c r="I916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9" i="11"/>
  <c r="I888" i="11"/>
  <c r="I887" i="11"/>
  <c r="I886" i="11"/>
  <c r="I885" i="11"/>
  <c r="I884" i="11"/>
  <c r="I883" i="11"/>
  <c r="I882" i="11"/>
  <c r="I881" i="11"/>
  <c r="I880" i="11"/>
  <c r="I879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52" i="11"/>
  <c r="I851" i="11"/>
  <c r="I850" i="11"/>
  <c r="I849" i="11"/>
  <c r="I848" i="11"/>
  <c r="I847" i="11"/>
  <c r="I846" i="11"/>
  <c r="I845" i="11"/>
  <c r="I844" i="11"/>
  <c r="I843" i="11"/>
  <c r="I842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15" i="11"/>
  <c r="I814" i="11"/>
  <c r="I813" i="11"/>
  <c r="I812" i="11"/>
  <c r="I811" i="11"/>
  <c r="I810" i="11"/>
  <c r="I809" i="11"/>
  <c r="I808" i="11"/>
  <c r="I807" i="11"/>
  <c r="I806" i="11"/>
  <c r="I805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8" i="11"/>
  <c r="I777" i="11"/>
  <c r="I776" i="11"/>
  <c r="I775" i="11"/>
  <c r="I774" i="11"/>
  <c r="I773" i="11"/>
  <c r="I772" i="11"/>
  <c r="I771" i="11"/>
  <c r="I770" i="11"/>
  <c r="I769" i="11"/>
  <c r="I768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41" i="11"/>
  <c r="I740" i="11"/>
  <c r="I739" i="11"/>
  <c r="I738" i="11"/>
  <c r="I737" i="11"/>
  <c r="I736" i="11"/>
  <c r="I735" i="11"/>
  <c r="I734" i="11"/>
  <c r="I733" i="11"/>
  <c r="I732" i="11"/>
  <c r="I731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704" i="11"/>
  <c r="I703" i="11"/>
  <c r="I702" i="11"/>
  <c r="I701" i="11"/>
  <c r="I700" i="11"/>
  <c r="I699" i="11"/>
  <c r="I698" i="11"/>
  <c r="I697" i="11"/>
  <c r="I696" i="11"/>
  <c r="I695" i="11"/>
  <c r="I694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7" i="11"/>
  <c r="I666" i="11"/>
  <c r="I665" i="11"/>
  <c r="I664" i="11"/>
  <c r="I663" i="11"/>
  <c r="I662" i="11"/>
  <c r="I661" i="11"/>
  <c r="I660" i="11"/>
  <c r="I659" i="11"/>
  <c r="I658" i="11"/>
  <c r="I657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30" i="11"/>
  <c r="I629" i="11"/>
  <c r="I628" i="11"/>
  <c r="I627" i="11"/>
  <c r="I626" i="11"/>
  <c r="I625" i="11"/>
  <c r="I624" i="11"/>
  <c r="I623" i="11"/>
  <c r="I622" i="11"/>
  <c r="I621" i="11"/>
  <c r="I620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93" i="11"/>
  <c r="I592" i="11"/>
  <c r="I591" i="11"/>
  <c r="I590" i="11"/>
  <c r="I589" i="11"/>
  <c r="I588" i="11"/>
  <c r="I587" i="11"/>
  <c r="I586" i="11"/>
  <c r="I585" i="11"/>
  <c r="I584" i="11"/>
  <c r="I583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I552" i="11"/>
  <c r="I551" i="11"/>
  <c r="I550" i="11"/>
  <c r="I549" i="11"/>
  <c r="I548" i="11"/>
  <c r="I547" i="11"/>
  <c r="I546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9" i="11"/>
  <c r="I518" i="11"/>
  <c r="I517" i="11"/>
  <c r="I516" i="11"/>
  <c r="I515" i="11"/>
  <c r="I514" i="11"/>
  <c r="I513" i="11"/>
  <c r="I512" i="11"/>
  <c r="I511" i="11"/>
  <c r="I510" i="11"/>
  <c r="I509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45" i="11"/>
  <c r="I444" i="11"/>
  <c r="I443" i="11"/>
  <c r="I442" i="11"/>
  <c r="I441" i="11"/>
  <c r="I440" i="11"/>
  <c r="I439" i="11"/>
  <c r="I438" i="11"/>
  <c r="I437" i="11"/>
  <c r="I436" i="11"/>
  <c r="I435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8" i="11"/>
  <c r="I407" i="11"/>
  <c r="I406" i="11"/>
  <c r="I405" i="11"/>
  <c r="I404" i="11"/>
  <c r="I403" i="11"/>
  <c r="I402" i="11"/>
  <c r="I401" i="11"/>
  <c r="I400" i="11"/>
  <c r="I399" i="11"/>
  <c r="I398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71" i="11"/>
  <c r="I370" i="11"/>
  <c r="I369" i="11"/>
  <c r="I368" i="11"/>
  <c r="I367" i="11"/>
  <c r="I366" i="11"/>
  <c r="I365" i="11"/>
  <c r="I364" i="11"/>
  <c r="I363" i="11"/>
  <c r="I362" i="11"/>
  <c r="I361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34" i="11"/>
  <c r="I333" i="11"/>
  <c r="I332" i="11"/>
  <c r="I331" i="11"/>
  <c r="I330" i="11"/>
  <c r="I329" i="11"/>
  <c r="I328" i="11"/>
  <c r="I327" i="11"/>
  <c r="I326" i="11"/>
  <c r="I325" i="11"/>
  <c r="I324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7" i="11"/>
  <c r="I296" i="11"/>
  <c r="I295" i="11"/>
  <c r="I294" i="11"/>
  <c r="I293" i="11"/>
  <c r="I292" i="11"/>
  <c r="I291" i="11"/>
  <c r="I290" i="11"/>
  <c r="I289" i="11"/>
  <c r="I288" i="11"/>
  <c r="I287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60" i="11"/>
  <c r="I259" i="11"/>
  <c r="I258" i="11"/>
  <c r="I257" i="11"/>
  <c r="I256" i="11"/>
  <c r="I255" i="11"/>
  <c r="I254" i="11"/>
  <c r="I253" i="11"/>
  <c r="I252" i="11"/>
  <c r="I251" i="11"/>
  <c r="I250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23" i="11"/>
  <c r="I222" i="11"/>
  <c r="I221" i="11"/>
  <c r="I220" i="11"/>
  <c r="I219" i="11"/>
  <c r="I218" i="11"/>
  <c r="I217" i="1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N8362" i="11" l="1"/>
  <c r="N8126" i="11"/>
  <c r="N7776" i="11"/>
  <c r="N7452" i="11"/>
  <c r="N6647" i="11"/>
  <c r="N8254" i="11"/>
  <c r="N8078" i="11"/>
  <c r="N7862" i="11"/>
  <c r="N7588" i="11"/>
  <c r="N7210" i="11"/>
  <c r="N6227" i="11"/>
  <c r="N8305" i="11"/>
  <c r="N8128" i="11"/>
  <c r="N7989" i="11"/>
  <c r="N7850" i="11"/>
  <c r="N7654" i="11"/>
  <c r="N7386" i="11"/>
  <c r="N7073" i="11"/>
  <c r="N5194" i="11"/>
  <c r="N8369" i="11"/>
  <c r="N8294" i="11"/>
  <c r="N8166" i="11"/>
  <c r="N8049" i="11"/>
  <c r="N7948" i="11"/>
  <c r="N7813" i="11"/>
  <c r="N7670" i="11"/>
  <c r="N7537" i="11"/>
  <c r="N7278" i="11"/>
  <c r="N6960" i="11"/>
  <c r="N5994" i="11"/>
  <c r="N8409" i="11"/>
  <c r="N8334" i="11"/>
  <c r="N8268" i="11"/>
  <c r="N8177" i="11"/>
  <c r="N8090" i="11"/>
  <c r="N7998" i="11"/>
  <c r="N7913" i="11"/>
  <c r="N7822" i="11"/>
  <c r="N7721" i="11"/>
  <c r="N7616" i="11"/>
  <c r="N7481" i="11"/>
  <c r="N7285" i="11"/>
  <c r="N7114" i="11"/>
  <c r="N6746" i="11"/>
  <c r="N5335" i="11"/>
  <c r="N8389" i="11"/>
  <c r="N8353" i="11"/>
  <c r="N8316" i="11"/>
  <c r="N8288" i="11"/>
  <c r="N8252" i="11"/>
  <c r="N8202" i="11"/>
  <c r="N8154" i="11"/>
  <c r="N8117" i="11"/>
  <c r="N8064" i="11"/>
  <c r="N8025" i="11"/>
  <c r="N7977" i="11"/>
  <c r="N7926" i="11"/>
  <c r="N7889" i="11"/>
  <c r="N7846" i="11"/>
  <c r="N7797" i="11"/>
  <c r="N7749" i="11"/>
  <c r="N7705" i="11"/>
  <c r="N7637" i="11"/>
  <c r="N7580" i="11"/>
  <c r="N7520" i="11"/>
  <c r="N7417" i="11"/>
  <c r="N7349" i="11"/>
  <c r="N7249" i="11"/>
  <c r="N7150" i="11"/>
  <c r="N7066" i="11"/>
  <c r="N6868" i="11"/>
  <c r="N6430" i="11"/>
  <c r="N5887" i="11"/>
  <c r="N4777" i="11"/>
  <c r="N8410" i="11"/>
  <c r="N8382" i="11"/>
  <c r="N8345" i="11"/>
  <c r="N8313" i="11"/>
  <c r="N8277" i="11"/>
  <c r="N8230" i="11"/>
  <c r="N8192" i="11"/>
  <c r="N8149" i="11"/>
  <c r="N8100" i="11"/>
  <c r="N8053" i="11"/>
  <c r="N8014" i="11"/>
  <c r="N7964" i="11"/>
  <c r="N7921" i="11"/>
  <c r="N7876" i="11"/>
  <c r="N7825" i="11"/>
  <c r="N7786" i="11"/>
  <c r="N7748" i="11"/>
  <c r="N7684" i="11"/>
  <c r="N7620" i="11"/>
  <c r="N7569" i="11"/>
  <c r="N7486" i="11"/>
  <c r="N7414" i="11"/>
  <c r="N7316" i="11"/>
  <c r="N7216" i="11"/>
  <c r="N7145" i="11"/>
  <c r="N7022" i="11"/>
  <c r="N6772" i="11"/>
  <c r="N6428" i="11"/>
  <c r="N5687" i="11"/>
  <c r="N3320" i="11"/>
  <c r="N8401" i="11"/>
  <c r="N8373" i="11"/>
  <c r="N8352" i="11"/>
  <c r="N8325" i="11"/>
  <c r="N8297" i="11"/>
  <c r="N8276" i="11"/>
  <c r="N8241" i="11"/>
  <c r="N8204" i="11"/>
  <c r="N8176" i="11"/>
  <c r="N8140" i="11"/>
  <c r="N8102" i="11"/>
  <c r="N8074" i="11"/>
  <c r="N8041" i="11"/>
  <c r="N8004" i="11"/>
  <c r="N7974" i="11"/>
  <c r="N7940" i="11"/>
  <c r="N7900" i="11"/>
  <c r="N7872" i="11"/>
  <c r="N7836" i="11"/>
  <c r="N7798" i="11"/>
  <c r="N7770" i="11"/>
  <c r="N7737" i="11"/>
  <c r="N7690" i="11"/>
  <c r="N7652" i="11"/>
  <c r="N7605" i="11"/>
  <c r="N7552" i="11"/>
  <c r="N7514" i="11"/>
  <c r="N7449" i="11"/>
  <c r="N7380" i="11"/>
  <c r="N7313" i="11"/>
  <c r="N7246" i="11"/>
  <c r="N7178" i="11"/>
  <c r="N7110" i="11"/>
  <c r="N7008" i="11"/>
  <c r="N6857" i="11"/>
  <c r="N6590" i="11"/>
  <c r="N6159" i="11"/>
  <c r="N5679" i="11"/>
  <c r="N2607" i="11"/>
  <c r="N3835" i="11"/>
  <c r="N4855" i="11"/>
  <c r="N5434" i="11"/>
  <c r="N5795" i="11"/>
  <c r="N6008" i="11"/>
  <c r="N6264" i="11"/>
  <c r="N6543" i="11"/>
  <c r="N6682" i="11"/>
  <c r="N6782" i="11"/>
  <c r="N6905" i="11"/>
  <c r="N6980" i="11"/>
  <c r="N7029" i="11"/>
  <c r="N7093" i="11"/>
  <c r="N7125" i="11"/>
  <c r="N7161" i="11"/>
  <c r="N7196" i="11"/>
  <c r="N7228" i="11"/>
  <c r="N7264" i="11"/>
  <c r="N7296" i="11"/>
  <c r="N7329" i="11"/>
  <c r="N7364" i="11"/>
  <c r="N7398" i="11"/>
  <c r="N7429" i="11"/>
  <c r="N7465" i="11"/>
  <c r="N7500" i="11"/>
  <c r="N7530" i="11"/>
  <c r="N7566" i="11"/>
  <c r="N7600" i="11"/>
  <c r="N7633" i="11"/>
  <c r="N7665" i="11"/>
  <c r="N7701" i="11"/>
  <c r="N7733" i="11"/>
  <c r="N7758" i="11"/>
  <c r="N7785" i="11"/>
  <c r="N7808" i="11"/>
  <c r="N7834" i="11"/>
  <c r="N7861" i="11"/>
  <c r="N7884" i="11"/>
  <c r="N7910" i="11"/>
  <c r="N7936" i="11"/>
  <c r="N7961" i="11"/>
  <c r="N7985" i="11"/>
  <c r="N8012" i="11"/>
  <c r="N8036" i="11"/>
  <c r="N8062" i="11"/>
  <c r="N8089" i="11"/>
  <c r="N8112" i="11"/>
  <c r="N8138" i="11"/>
  <c r="N8164" i="11"/>
  <c r="N8188" i="11"/>
  <c r="N8213" i="11"/>
  <c r="N8240" i="11"/>
  <c r="N8262" i="11"/>
  <c r="N8284" i="11"/>
  <c r="N8304" i="11"/>
  <c r="N8324" i="11"/>
  <c r="N8341" i="11"/>
  <c r="N8361" i="11"/>
  <c r="N8380" i="11"/>
  <c r="N8398" i="11"/>
  <c r="N4115" i="11"/>
  <c r="N4946" i="11"/>
  <c r="N5567" i="11"/>
  <c r="N5838" i="11"/>
  <c r="N6108" i="11"/>
  <c r="N6364" i="11"/>
  <c r="N6583" i="11"/>
  <c r="N6703" i="11"/>
  <c r="N6821" i="11"/>
  <c r="N6932" i="11"/>
  <c r="N6981" i="11"/>
  <c r="N7046" i="11"/>
  <c r="N7094" i="11"/>
  <c r="N7132" i="11"/>
  <c r="N7164" i="11"/>
  <c r="N7200" i="11"/>
  <c r="N7236" i="11"/>
  <c r="N7265" i="11"/>
  <c r="N7301" i="11"/>
  <c r="N7334" i="11"/>
  <c r="N7366" i="11"/>
  <c r="N7401" i="11"/>
  <c r="N7436" i="11"/>
  <c r="N7466" i="11"/>
  <c r="N7502" i="11"/>
  <c r="N7045" i="11"/>
  <c r="N6997" i="11"/>
  <c r="N6954" i="11"/>
  <c r="N6890" i="11"/>
  <c r="N6814" i="11"/>
  <c r="N6734" i="11"/>
  <c r="N6634" i="11"/>
  <c r="N6520" i="11"/>
  <c r="N6314" i="11"/>
  <c r="N6114" i="11"/>
  <c r="N5946" i="11"/>
  <c r="N5724" i="11"/>
  <c r="N5539" i="11"/>
  <c r="N5097" i="11"/>
  <c r="N4427" i="11"/>
  <c r="N3573" i="11"/>
  <c r="N6468" i="11"/>
  <c r="N6316" i="11"/>
  <c r="N6200" i="11"/>
  <c r="N6046" i="11"/>
  <c r="N5907" i="11"/>
  <c r="N5780" i="11"/>
  <c r="N5612" i="11"/>
  <c r="N5357" i="11"/>
  <c r="N5065" i="11"/>
  <c r="N4621" i="11"/>
  <c r="N3915" i="11"/>
  <c r="N3139" i="11"/>
  <c r="N6487" i="11"/>
  <c r="N6380" i="11"/>
  <c r="N6276" i="11"/>
  <c r="N6163" i="11"/>
  <c r="N6066" i="11"/>
  <c r="N5956" i="11"/>
  <c r="N5843" i="11"/>
  <c r="N5746" i="11"/>
  <c r="N5630" i="11"/>
  <c r="N5481" i="11"/>
  <c r="N5221" i="11"/>
  <c r="N4983" i="11"/>
  <c r="N4648" i="11"/>
  <c r="N4223" i="11"/>
  <c r="N3624" i="11"/>
  <c r="N1350" i="11"/>
  <c r="N8405" i="11"/>
  <c r="N8396" i="11"/>
  <c r="N8388" i="11"/>
  <c r="N8377" i="11"/>
  <c r="N8368" i="11"/>
  <c r="N8358" i="11"/>
  <c r="N8348" i="11"/>
  <c r="N8340" i="11"/>
  <c r="N8330" i="11"/>
  <c r="N8320" i="11"/>
  <c r="N8310" i="11"/>
  <c r="N8302" i="11"/>
  <c r="N8292" i="11"/>
  <c r="N8282" i="11"/>
  <c r="N8273" i="11"/>
  <c r="N8261" i="11"/>
  <c r="N8249" i="11"/>
  <c r="N8234" i="11"/>
  <c r="N8224" i="11"/>
  <c r="N8212" i="11"/>
  <c r="N8197" i="11"/>
  <c r="N8185" i="11"/>
  <c r="N8174" i="11"/>
  <c r="N8160" i="11"/>
  <c r="N8148" i="11"/>
  <c r="N8134" i="11"/>
  <c r="N8121" i="11"/>
  <c r="N8110" i="11"/>
  <c r="N8097" i="11"/>
  <c r="N8084" i="11"/>
  <c r="N8070" i="11"/>
  <c r="N8060" i="11"/>
  <c r="N8046" i="11"/>
  <c r="N8033" i="11"/>
  <c r="N8021" i="11"/>
  <c r="N8006" i="11"/>
  <c r="N7996" i="11"/>
  <c r="N7984" i="11"/>
  <c r="N7969" i="11"/>
  <c r="N7957" i="11"/>
  <c r="N7946" i="11"/>
  <c r="N7932" i="11"/>
  <c r="N7920" i="11"/>
  <c r="N7908" i="11"/>
  <c r="N7893" i="11"/>
  <c r="N7882" i="11"/>
  <c r="N7870" i="11"/>
  <c r="N7856" i="11"/>
  <c r="N7844" i="11"/>
  <c r="N7833" i="11"/>
  <c r="N7818" i="11"/>
  <c r="N7806" i="11"/>
  <c r="N7793" i="11"/>
  <c r="N7780" i="11"/>
  <c r="N7769" i="11"/>
  <c r="N7756" i="11"/>
  <c r="N7742" i="11"/>
  <c r="N7729" i="11"/>
  <c r="N7713" i="11"/>
  <c r="N7694" i="11"/>
  <c r="N7680" i="11"/>
  <c r="N7664" i="11"/>
  <c r="N7644" i="11"/>
  <c r="N7628" i="11"/>
  <c r="N7614" i="11"/>
  <c r="N7594" i="11"/>
  <c r="N7578" i="11"/>
  <c r="N7562" i="11"/>
  <c r="N7542" i="11"/>
  <c r="N7529" i="11"/>
  <c r="N7513" i="11"/>
  <c r="N7493" i="11"/>
  <c r="N7477" i="11"/>
  <c r="N7462" i="11"/>
  <c r="N7444" i="11"/>
  <c r="N7428" i="11"/>
  <c r="N7409" i="11"/>
  <c r="N7392" i="11"/>
  <c r="N7377" i="11"/>
  <c r="N7360" i="11"/>
  <c r="N7342" i="11"/>
  <c r="N7324" i="11"/>
  <c r="N7310" i="11"/>
  <c r="N7292" i="11"/>
  <c r="N7274" i="11"/>
  <c r="N7258" i="11"/>
  <c r="N7238" i="11"/>
  <c r="N7225" i="11"/>
  <c r="N7209" i="11"/>
  <c r="N7189" i="11"/>
  <c r="N7173" i="11"/>
  <c r="N7158" i="11"/>
  <c r="N7140" i="11"/>
  <c r="N7124" i="11"/>
  <c r="N7108" i="11"/>
  <c r="N7082" i="11"/>
  <c r="N7060" i="11"/>
  <c r="N7040" i="11"/>
  <c r="N7017" i="11"/>
  <c r="N6993" i="11"/>
  <c r="N6972" i="11"/>
  <c r="N6945" i="11"/>
  <c r="N6925" i="11"/>
  <c r="N6885" i="11"/>
  <c r="N6841" i="11"/>
  <c r="N6804" i="11"/>
  <c r="N6768" i="11"/>
  <c r="N6720" i="11"/>
  <c r="N6671" i="11"/>
  <c r="N6620" i="11"/>
  <c r="N6563" i="11"/>
  <c r="N6515" i="11"/>
  <c r="N6466" i="11"/>
  <c r="N6402" i="11"/>
  <c r="N6351" i="11"/>
  <c r="N6312" i="11"/>
  <c r="N6248" i="11"/>
  <c r="N6199" i="11"/>
  <c r="N6142" i="11"/>
  <c r="N6084" i="11"/>
  <c r="N6039" i="11"/>
  <c r="N5982" i="11"/>
  <c r="N5924" i="11"/>
  <c r="N5871" i="11"/>
  <c r="N5823" i="11"/>
  <c r="N5772" i="11"/>
  <c r="N5710" i="11"/>
  <c r="N5660" i="11"/>
  <c r="N5587" i="11"/>
  <c r="N5524" i="11"/>
  <c r="N5422" i="11"/>
  <c r="N5279" i="11"/>
  <c r="N5154" i="11"/>
  <c r="N5059" i="11"/>
  <c r="N4909" i="11"/>
  <c r="N4770" i="11"/>
  <c r="N4579" i="11"/>
  <c r="N4307" i="11"/>
  <c r="N4072" i="11"/>
  <c r="N3796" i="11"/>
  <c r="N3440" i="11"/>
  <c r="N2964" i="11"/>
  <c r="N8404" i="11"/>
  <c r="N8394" i="11"/>
  <c r="N8384" i="11"/>
  <c r="N8374" i="11"/>
  <c r="N8366" i="11"/>
  <c r="N8356" i="11"/>
  <c r="N8346" i="11"/>
  <c r="N8337" i="11"/>
  <c r="N8326" i="11"/>
  <c r="N8318" i="11"/>
  <c r="N8309" i="11"/>
  <c r="N8298" i="11"/>
  <c r="N8289" i="11"/>
  <c r="N8281" i="11"/>
  <c r="N8270" i="11"/>
  <c r="N8260" i="11"/>
  <c r="N8245" i="11"/>
  <c r="N8233" i="11"/>
  <c r="N8220" i="11"/>
  <c r="N8206" i="11"/>
  <c r="N8196" i="11"/>
  <c r="N8182" i="11"/>
  <c r="N8169" i="11"/>
  <c r="N8156" i="11"/>
  <c r="N8145" i="11"/>
  <c r="N8132" i="11"/>
  <c r="N8118" i="11"/>
  <c r="N8106" i="11"/>
  <c r="N8092" i="11"/>
  <c r="N8081" i="11"/>
  <c r="N8069" i="11"/>
  <c r="N8054" i="11"/>
  <c r="N8042" i="11"/>
  <c r="N8032" i="11"/>
  <c r="N8017" i="11"/>
  <c r="N8005" i="11"/>
  <c r="N7993" i="11"/>
  <c r="N7978" i="11"/>
  <c r="N7968" i="11"/>
  <c r="N7956" i="11"/>
  <c r="N7941" i="11"/>
  <c r="N7929" i="11"/>
  <c r="N7918" i="11"/>
  <c r="N7904" i="11"/>
  <c r="N7892" i="11"/>
  <c r="N7878" i="11"/>
  <c r="N7865" i="11"/>
  <c r="N7854" i="11"/>
  <c r="N7841" i="11"/>
  <c r="N7828" i="11"/>
  <c r="N7814" i="11"/>
  <c r="N7804" i="11"/>
  <c r="N7790" i="11"/>
  <c r="N7777" i="11"/>
  <c r="N7765" i="11"/>
  <c r="N7750" i="11"/>
  <c r="N7740" i="11"/>
  <c r="N7728" i="11"/>
  <c r="N7708" i="11"/>
  <c r="N7692" i="11"/>
  <c r="N7676" i="11"/>
  <c r="N7657" i="11"/>
  <c r="N7642" i="11"/>
  <c r="N7626" i="11"/>
  <c r="N7606" i="11"/>
  <c r="N7590" i="11"/>
  <c r="N7577" i="11"/>
  <c r="N7557" i="11"/>
  <c r="N7541" i="11"/>
  <c r="N7524" i="11"/>
  <c r="N7505" i="11"/>
  <c r="N7492" i="11"/>
  <c r="N7473" i="11"/>
  <c r="N7456" i="11"/>
  <c r="N7438" i="11"/>
  <c r="N7424" i="11"/>
  <c r="N7406" i="11"/>
  <c r="N7388" i="11"/>
  <c r="N7372" i="11"/>
  <c r="N7353" i="11"/>
  <c r="N7338" i="11"/>
  <c r="N7322" i="11"/>
  <c r="N7302" i="11"/>
  <c r="N7286" i="11"/>
  <c r="N7273" i="11"/>
  <c r="N7253" i="11"/>
  <c r="N7237" i="11"/>
  <c r="N7221" i="11"/>
  <c r="N7201" i="11"/>
  <c r="N7188" i="11"/>
  <c r="N7172" i="11"/>
  <c r="N7152" i="11"/>
  <c r="N7136" i="11"/>
  <c r="N7121" i="11"/>
  <c r="N7097" i="11"/>
  <c r="N7078" i="11"/>
  <c r="N7057" i="11"/>
  <c r="N7030" i="11"/>
  <c r="N7009" i="11"/>
  <c r="N6990" i="11"/>
  <c r="N6965" i="11"/>
  <c r="N6944" i="11"/>
  <c r="N6917" i="11"/>
  <c r="N6869" i="11"/>
  <c r="N6834" i="11"/>
  <c r="N6797" i="11"/>
  <c r="N6754" i="11"/>
  <c r="N6714" i="11"/>
  <c r="N6668" i="11"/>
  <c r="N6606" i="11"/>
  <c r="N6554" i="11"/>
  <c r="N6500" i="11"/>
  <c r="N6444" i="11"/>
  <c r="N6399" i="11"/>
  <c r="N6343" i="11"/>
  <c r="N6286" i="11"/>
  <c r="N6228" i="11"/>
  <c r="N6184" i="11"/>
  <c r="N6127" i="11"/>
  <c r="N6074" i="11"/>
  <c r="N6023" i="11"/>
  <c r="N5960" i="11"/>
  <c r="N5914" i="11"/>
  <c r="N5860" i="11"/>
  <c r="N5804" i="11"/>
  <c r="N5754" i="11"/>
  <c r="N5708" i="11"/>
  <c r="N5640" i="11"/>
  <c r="N5575" i="11"/>
  <c r="N5506" i="11"/>
  <c r="N5373" i="11"/>
  <c r="N5267" i="11"/>
  <c r="N5146" i="11"/>
  <c r="N4995" i="11"/>
  <c r="N4879" i="11"/>
  <c r="N4753" i="11"/>
  <c r="N4493" i="11"/>
  <c r="N4276" i="11"/>
  <c r="N3995" i="11"/>
  <c r="N3659" i="11"/>
  <c r="N3423" i="11"/>
  <c r="N2062" i="11"/>
  <c r="N2232" i="11"/>
  <c r="N3081" i="11"/>
  <c r="N3352" i="11"/>
  <c r="N3545" i="11"/>
  <c r="N3709" i="11"/>
  <c r="N3860" i="11"/>
  <c r="N4051" i="11"/>
  <c r="N4219" i="11"/>
  <c r="N4336" i="11"/>
  <c r="N4469" i="11"/>
  <c r="N4581" i="11"/>
  <c r="N4697" i="11"/>
  <c r="N4819" i="11"/>
  <c r="N4894" i="11"/>
  <c r="N4951" i="11"/>
  <c r="N5033" i="11"/>
  <c r="N5102" i="11"/>
  <c r="N5178" i="11"/>
  <c r="N5253" i="11"/>
  <c r="N5310" i="11"/>
  <c r="N5386" i="11"/>
  <c r="N5463" i="11"/>
  <c r="N5518" i="11"/>
  <c r="N5554" i="11"/>
  <c r="N5594" i="11"/>
  <c r="N5639" i="11"/>
  <c r="N5668" i="11"/>
  <c r="N5704" i="11"/>
  <c r="N5730" i="11"/>
  <c r="N5758" i="11"/>
  <c r="N5794" i="11"/>
  <c r="N5822" i="11"/>
  <c r="N5847" i="11"/>
  <c r="N5880" i="11"/>
  <c r="N5908" i="11"/>
  <c r="N5938" i="11"/>
  <c r="N5972" i="11"/>
  <c r="N5999" i="11"/>
  <c r="N6028" i="11"/>
  <c r="N6060" i="11"/>
  <c r="N6088" i="11"/>
  <c r="N6115" i="11"/>
  <c r="N6151" i="11"/>
  <c r="N6179" i="11"/>
  <c r="N6210" i="11"/>
  <c r="N6242" i="11"/>
  <c r="N6266" i="11"/>
  <c r="N6298" i="11"/>
  <c r="N6330" i="11"/>
  <c r="N6362" i="11"/>
  <c r="N6387" i="11"/>
  <c r="N6419" i="11"/>
  <c r="N6450" i="11"/>
  <c r="N6478" i="11"/>
  <c r="N6514" i="11"/>
  <c r="N6540" i="11"/>
  <c r="N6568" i="11"/>
  <c r="N6600" i="11"/>
  <c r="N6628" i="11"/>
  <c r="N6655" i="11"/>
  <c r="N6691" i="11"/>
  <c r="N6718" i="11"/>
  <c r="N6740" i="11"/>
  <c r="N6765" i="11"/>
  <c r="N6784" i="11"/>
  <c r="N6805" i="11"/>
  <c r="N6832" i="11"/>
  <c r="N6853" i="11"/>
  <c r="N6872" i="11"/>
  <c r="N6898" i="11"/>
  <c r="N6920" i="11"/>
  <c r="N6937" i="11"/>
  <c r="N6950" i="11"/>
  <c r="N6961" i="11"/>
  <c r="N6974" i="11"/>
  <c r="N6988" i="11"/>
  <c r="N7001" i="11"/>
  <c r="N7012" i="11"/>
  <c r="N7025" i="11"/>
  <c r="N7038" i="11"/>
  <c r="N7050" i="11"/>
  <c r="N7065" i="11"/>
  <c r="N7076" i="11"/>
  <c r="N7088" i="11"/>
  <c r="N7102" i="11"/>
  <c r="N2587" i="11"/>
  <c r="N3245" i="11"/>
  <c r="N3480" i="11"/>
  <c r="N3736" i="11"/>
  <c r="N3949" i="11"/>
  <c r="N4185" i="11"/>
  <c r="N4376" i="11"/>
  <c r="N4515" i="11"/>
  <c r="N4696" i="11"/>
  <c r="N4827" i="11"/>
  <c r="N4941" i="11"/>
  <c r="N5015" i="11"/>
  <c r="N5118" i="11"/>
  <c r="N5215" i="11"/>
  <c r="N5306" i="11"/>
  <c r="N5421" i="11"/>
  <c r="N5486" i="11"/>
  <c r="N5544" i="11"/>
  <c r="N5604" i="11"/>
  <c r="N5658" i="11"/>
  <c r="N5690" i="11"/>
  <c r="N5736" i="11"/>
  <c r="N5774" i="11"/>
  <c r="N5811" i="11"/>
  <c r="N5859" i="11"/>
  <c r="N5895" i="11"/>
  <c r="N5932" i="11"/>
  <c r="N5975" i="11"/>
  <c r="N6014" i="11"/>
  <c r="N6050" i="11"/>
  <c r="N6095" i="11"/>
  <c r="N6135" i="11"/>
  <c r="N6174" i="11"/>
  <c r="N6216" i="11"/>
  <c r="N6250" i="11"/>
  <c r="N6292" i="11"/>
  <c r="N6335" i="11"/>
  <c r="N6378" i="11"/>
  <c r="N6412" i="11"/>
  <c r="N6455" i="11"/>
  <c r="N6494" i="11"/>
  <c r="N6532" i="11"/>
  <c r="N6579" i="11"/>
  <c r="N6615" i="11"/>
  <c r="N6654" i="11"/>
  <c r="N6696" i="11"/>
  <c r="N6729" i="11"/>
  <c r="N6756" i="11"/>
  <c r="N6792" i="11"/>
  <c r="N6820" i="11"/>
  <c r="N6848" i="11"/>
  <c r="N6882" i="11"/>
  <c r="N6906" i="11"/>
  <c r="N6933" i="11"/>
  <c r="N6953" i="11"/>
  <c r="N6969" i="11"/>
  <c r="N6982" i="11"/>
  <c r="N7002" i="11"/>
  <c r="N7018" i="11"/>
  <c r="N7036" i="11"/>
  <c r="N7054" i="11"/>
  <c r="N7068" i="11"/>
  <c r="N7086" i="11"/>
  <c r="N7104" i="11"/>
  <c r="N7116" i="11"/>
  <c r="N7130" i="11"/>
  <c r="N7142" i="11"/>
  <c r="N7153" i="11"/>
  <c r="N7168" i="11"/>
  <c r="N7180" i="11"/>
  <c r="N7193" i="11"/>
  <c r="N7206" i="11"/>
  <c r="N7217" i="11"/>
  <c r="N7230" i="11"/>
  <c r="N7244" i="11"/>
  <c r="N7257" i="11"/>
  <c r="N7268" i="11"/>
  <c r="N7281" i="11"/>
  <c r="N7294" i="11"/>
  <c r="N7306" i="11"/>
  <c r="N7321" i="11"/>
  <c r="N7332" i="11"/>
  <c r="N7344" i="11"/>
  <c r="N7358" i="11"/>
  <c r="N7370" i="11"/>
  <c r="N7381" i="11"/>
  <c r="N7396" i="11"/>
  <c r="N7408" i="11"/>
  <c r="N7420" i="11"/>
  <c r="N7434" i="11"/>
  <c r="N7445" i="11"/>
  <c r="N7457" i="11"/>
  <c r="N7472" i="11"/>
  <c r="N7484" i="11"/>
  <c r="N7494" i="11"/>
  <c r="N7509" i="11"/>
  <c r="N7521" i="11"/>
  <c r="N7534" i="11"/>
  <c r="N7548" i="11"/>
  <c r="N7558" i="11"/>
  <c r="N7572" i="11"/>
  <c r="N7585" i="11"/>
  <c r="N7598" i="11"/>
  <c r="N7609" i="11"/>
  <c r="N7622" i="11"/>
  <c r="N7636" i="11"/>
  <c r="N7648" i="11"/>
  <c r="N7662" i="11"/>
  <c r="N7673" i="11"/>
  <c r="N7685" i="11"/>
  <c r="N7700" i="11"/>
  <c r="N7712" i="11"/>
  <c r="N7722" i="11"/>
  <c r="N7734" i="11"/>
  <c r="N7744" i="11"/>
  <c r="N7754" i="11"/>
  <c r="N7764" i="11"/>
  <c r="N7772" i="11"/>
  <c r="N7782" i="11"/>
  <c r="N7792" i="11"/>
  <c r="N7801" i="11"/>
  <c r="N7812" i="11"/>
  <c r="N7820" i="11"/>
  <c r="N7829" i="11"/>
  <c r="N7840" i="11"/>
  <c r="N7849" i="11"/>
  <c r="N7857" i="11"/>
  <c r="N7868" i="11"/>
  <c r="N7877" i="11"/>
  <c r="N7886" i="11"/>
  <c r="N7897" i="11"/>
  <c r="N7905" i="11"/>
  <c r="N7914" i="11"/>
  <c r="N7925" i="11"/>
  <c r="N7934" i="11"/>
  <c r="N7942" i="11"/>
  <c r="N7953" i="11"/>
  <c r="N7962" i="11"/>
  <c r="N7972" i="11"/>
  <c r="N7982" i="11"/>
  <c r="N7990" i="11"/>
  <c r="N8000" i="11"/>
  <c r="N8010" i="11"/>
  <c r="N8020" i="11"/>
  <c r="N8028" i="11"/>
  <c r="N8038" i="11"/>
  <c r="N8048" i="11"/>
  <c r="N8057" i="11"/>
  <c r="N8068" i="11"/>
  <c r="N8076" i="11"/>
  <c r="N8085" i="11"/>
  <c r="N8096" i="11"/>
  <c r="N8105" i="11"/>
  <c r="N8113" i="11"/>
  <c r="N8124" i="11"/>
  <c r="N8133" i="11"/>
  <c r="N8142" i="11"/>
  <c r="N8153" i="11"/>
  <c r="N8161" i="11"/>
  <c r="N8170" i="11"/>
  <c r="N8181" i="11"/>
  <c r="N8190" i="11"/>
  <c r="N8198" i="11"/>
  <c r="N8209" i="11"/>
  <c r="N8218" i="11"/>
  <c r="N8228" i="11"/>
  <c r="N8238" i="11"/>
  <c r="N8246" i="11"/>
  <c r="N8256" i="11"/>
  <c r="N8266" i="11"/>
  <c r="N7726" i="11"/>
  <c r="N7716" i="11"/>
  <c r="N7706" i="11"/>
  <c r="N7697" i="11"/>
  <c r="N7686" i="11"/>
  <c r="N7678" i="11"/>
  <c r="N7669" i="11"/>
  <c r="N7658" i="11"/>
  <c r="N7649" i="11"/>
  <c r="N7641" i="11"/>
  <c r="N7630" i="11"/>
  <c r="N7621" i="11"/>
  <c r="N7612" i="11"/>
  <c r="N7601" i="11"/>
  <c r="N7593" i="11"/>
  <c r="N7584" i="11"/>
  <c r="N7573" i="11"/>
  <c r="N7564" i="11"/>
  <c r="N7556" i="11"/>
  <c r="N7545" i="11"/>
  <c r="N7536" i="11"/>
  <c r="N7526" i="11"/>
  <c r="N7516" i="11"/>
  <c r="N7508" i="11"/>
  <c r="N7498" i="11"/>
  <c r="N7488" i="11"/>
  <c r="N7478" i="11"/>
  <c r="N7470" i="11"/>
  <c r="N7460" i="11"/>
  <c r="N7450" i="11"/>
  <c r="N7441" i="11"/>
  <c r="N7430" i="11"/>
  <c r="N7422" i="11"/>
  <c r="N7413" i="11"/>
  <c r="N7402" i="11"/>
  <c r="N7393" i="11"/>
  <c r="N7385" i="11"/>
  <c r="N7374" i="11"/>
  <c r="N7365" i="11"/>
  <c r="N7356" i="11"/>
  <c r="N7345" i="11"/>
  <c r="N7337" i="11"/>
  <c r="N7328" i="11"/>
  <c r="N7317" i="11"/>
  <c r="N7308" i="11"/>
  <c r="N7300" i="11"/>
  <c r="N7289" i="11"/>
  <c r="N7280" i="11"/>
  <c r="N7270" i="11"/>
  <c r="N7260" i="11"/>
  <c r="N7252" i="11"/>
  <c r="N7242" i="11"/>
  <c r="N7232" i="11"/>
  <c r="N7222" i="11"/>
  <c r="N7214" i="11"/>
  <c r="N7204" i="11"/>
  <c r="N7194" i="11"/>
  <c r="N7185" i="11"/>
  <c r="N7174" i="11"/>
  <c r="N7166" i="11"/>
  <c r="N7157" i="11"/>
  <c r="N7146" i="11"/>
  <c r="N7137" i="11"/>
  <c r="N7129" i="11"/>
  <c r="N7118" i="11"/>
  <c r="N7109" i="11"/>
  <c r="N7100" i="11"/>
  <c r="N7089" i="11"/>
  <c r="N7081" i="11"/>
  <c r="N7072" i="11"/>
  <c r="N7061" i="11"/>
  <c r="N7052" i="11"/>
  <c r="N7044" i="11"/>
  <c r="N7033" i="11"/>
  <c r="N7024" i="11"/>
  <c r="N7014" i="11"/>
  <c r="N7004" i="11"/>
  <c r="N6996" i="11"/>
  <c r="N6986" i="11"/>
  <c r="N6976" i="11"/>
  <c r="N6966" i="11"/>
  <c r="N6958" i="11"/>
  <c r="N6948" i="11"/>
  <c r="N6938" i="11"/>
  <c r="N6928" i="11"/>
  <c r="N6910" i="11"/>
  <c r="N6896" i="11"/>
  <c r="N6878" i="11"/>
  <c r="N6861" i="11"/>
  <c r="N6842" i="11"/>
  <c r="N6829" i="11"/>
  <c r="N6810" i="11"/>
  <c r="N6793" i="11"/>
  <c r="N6777" i="11"/>
  <c r="N6757" i="11"/>
  <c r="N6744" i="11"/>
  <c r="N6728" i="11"/>
  <c r="N6706" i="11"/>
  <c r="N6684" i="11"/>
  <c r="N6664" i="11"/>
  <c r="N6639" i="11"/>
  <c r="N6618" i="11"/>
  <c r="N6596" i="11"/>
  <c r="N6570" i="11"/>
  <c r="N6551" i="11"/>
  <c r="N6530" i="11"/>
  <c r="N6504" i="11"/>
  <c r="N6483" i="11"/>
  <c r="N6463" i="11"/>
  <c r="N6436" i="11"/>
  <c r="N6415" i="11"/>
  <c r="N6392" i="11"/>
  <c r="N6370" i="11"/>
  <c r="N6350" i="11"/>
  <c r="N6327" i="11"/>
  <c r="N6302" i="11"/>
  <c r="N6279" i="11"/>
  <c r="N6259" i="11"/>
  <c r="N6236" i="11"/>
  <c r="N6212" i="11"/>
  <c r="N6191" i="11"/>
  <c r="N6164" i="11"/>
  <c r="N6146" i="11"/>
  <c r="N6124" i="11"/>
  <c r="N6099" i="11"/>
  <c r="N6078" i="11"/>
  <c r="N6058" i="11"/>
  <c r="N6031" i="11"/>
  <c r="N6010" i="11"/>
  <c r="N5988" i="11"/>
  <c r="N5964" i="11"/>
  <c r="N5944" i="11"/>
  <c r="N5923" i="11"/>
  <c r="N5896" i="11"/>
  <c r="N5875" i="11"/>
  <c r="N5858" i="11"/>
  <c r="N5831" i="11"/>
  <c r="N5810" i="11"/>
  <c r="N5786" i="11"/>
  <c r="N5762" i="11"/>
  <c r="N5743" i="11"/>
  <c r="N5719" i="11"/>
  <c r="N5695" i="11"/>
  <c r="N5672" i="11"/>
  <c r="N5652" i="11"/>
  <c r="N5619" i="11"/>
  <c r="N5591" i="11"/>
  <c r="N5562" i="11"/>
  <c r="N5527" i="11"/>
  <c r="N5501" i="11"/>
  <c r="N5458" i="11"/>
  <c r="N5395" i="11"/>
  <c r="N5346" i="11"/>
  <c r="N5299" i="11"/>
  <c r="N5235" i="11"/>
  <c r="N5186" i="11"/>
  <c r="N5130" i="11"/>
  <c r="N5079" i="11"/>
  <c r="N5031" i="11"/>
  <c r="N4975" i="11"/>
  <c r="N4917" i="11"/>
  <c r="N4862" i="11"/>
  <c r="N4806" i="11"/>
  <c r="N4733" i="11"/>
  <c r="N4632" i="11"/>
  <c r="N4543" i="11"/>
  <c r="N4429" i="11"/>
  <c r="N4355" i="11"/>
  <c r="N4261" i="11"/>
  <c r="N4136" i="11"/>
  <c r="N4015" i="11"/>
  <c r="N3901" i="11"/>
  <c r="N3749" i="11"/>
  <c r="N3632" i="11"/>
  <c r="N3509" i="11"/>
  <c r="N3376" i="11"/>
  <c r="N3229" i="11"/>
  <c r="N2848" i="11"/>
  <c r="N1609" i="11"/>
  <c r="N1676" i="11"/>
  <c r="N2036" i="11"/>
  <c r="N2291" i="11"/>
  <c r="N2536" i="11"/>
  <c r="N2724" i="11"/>
  <c r="N2906" i="11"/>
  <c r="N3065" i="11"/>
  <c r="N3129" i="11"/>
  <c r="N3195" i="11"/>
  <c r="N3272" i="11"/>
  <c r="N3341" i="11"/>
  <c r="N3395" i="11"/>
  <c r="N3455" i="11"/>
  <c r="N3508" i="11"/>
  <c r="N3557" i="11"/>
  <c r="N3616" i="11"/>
  <c r="N3661" i="11"/>
  <c r="N3711" i="11"/>
  <c r="N3775" i="11"/>
  <c r="N3824" i="11"/>
  <c r="N3871" i="11"/>
  <c r="N3935" i="11"/>
  <c r="N3984" i="11"/>
  <c r="N4037" i="11"/>
  <c r="N4099" i="11"/>
  <c r="N4137" i="11"/>
  <c r="N4200" i="11"/>
  <c r="N4243" i="11"/>
  <c r="N4287" i="11"/>
  <c r="N4319" i="11"/>
  <c r="N4363" i="11"/>
  <c r="N4404" i="11"/>
  <c r="N4441" i="11"/>
  <c r="N4489" i="11"/>
  <c r="N4521" i="11"/>
  <c r="N4560" i="11"/>
  <c r="N4607" i="11"/>
  <c r="N4645" i="11"/>
  <c r="N4677" i="11"/>
  <c r="N4724" i="11"/>
  <c r="N4754" i="11"/>
  <c r="N4782" i="11"/>
  <c r="N4818" i="11"/>
  <c r="N4845" i="11"/>
  <c r="N4866" i="11"/>
  <c r="N4890" i="11"/>
  <c r="N4911" i="11"/>
  <c r="N4931" i="11"/>
  <c r="N4958" i="11"/>
  <c r="N4979" i="11"/>
  <c r="N5002" i="11"/>
  <c r="N5026" i="11"/>
  <c r="N5045" i="11"/>
  <c r="N5069" i="11"/>
  <c r="N5093" i="11"/>
  <c r="N5117" i="11"/>
  <c r="N5135" i="11"/>
  <c r="N5159" i="11"/>
  <c r="N5182" i="11"/>
  <c r="N5203" i="11"/>
  <c r="N5230" i="11"/>
  <c r="N5250" i="11"/>
  <c r="N5271" i="11"/>
  <c r="N5295" i="11"/>
  <c r="N5317" i="11"/>
  <c r="N5337" i="11"/>
  <c r="N5363" i="11"/>
  <c r="N5385" i="11"/>
  <c r="N5406" i="11"/>
  <c r="N5431" i="11"/>
  <c r="N5450" i="11"/>
  <c r="N5471" i="11"/>
  <c r="N5493" i="11"/>
  <c r="N5508" i="11"/>
  <c r="N5519" i="11"/>
  <c r="N5534" i="11"/>
  <c r="N5546" i="11"/>
  <c r="N5559" i="11"/>
  <c r="N5572" i="11"/>
  <c r="N5583" i="11"/>
  <c r="N5596" i="11"/>
  <c r="N5610" i="11"/>
  <c r="N5623" i="11"/>
  <c r="N5634" i="11"/>
  <c r="N5647" i="11"/>
  <c r="N1740" i="11"/>
  <c r="N2206" i="11"/>
  <c r="N2488" i="11"/>
  <c r="N2758" i="11"/>
  <c r="N3012" i="11"/>
  <c r="N3113" i="11"/>
  <c r="N3220" i="11"/>
  <c r="N3305" i="11"/>
  <c r="N3389" i="11"/>
  <c r="N3465" i="11"/>
  <c r="N3531" i="11"/>
  <c r="N3595" i="11"/>
  <c r="N3680" i="11"/>
  <c r="N3747" i="11"/>
  <c r="N3813" i="11"/>
  <c r="N3896" i="11"/>
  <c r="N3952" i="11"/>
  <c r="N4021" i="11"/>
  <c r="N4105" i="11"/>
  <c r="N4173" i="11"/>
  <c r="N4228" i="11"/>
  <c r="N4291" i="11"/>
  <c r="N4341" i="11"/>
  <c r="N4393" i="11"/>
  <c r="N4456" i="11"/>
  <c r="N4496" i="11"/>
  <c r="N4555" i="11"/>
  <c r="N4611" i="11"/>
  <c r="N4667" i="11"/>
  <c r="N4712" i="11"/>
  <c r="N4759" i="11"/>
  <c r="N4802" i="11"/>
  <c r="N4839" i="11"/>
  <c r="N4874" i="11"/>
  <c r="N4901" i="11"/>
  <c r="N4930" i="11"/>
  <c r="N4965" i="11"/>
  <c r="N4994" i="11"/>
  <c r="N5017" i="11"/>
  <c r="N5053" i="11"/>
  <c r="N5081" i="11"/>
  <c r="N5109" i="11"/>
  <c r="N5145" i="11"/>
  <c r="N5167" i="11"/>
  <c r="N5197" i="11"/>
  <c r="N5231" i="11"/>
  <c r="N5261" i="11"/>
  <c r="N5287" i="11"/>
  <c r="N5321" i="11"/>
  <c r="N5349" i="11"/>
  <c r="N5381" i="11"/>
  <c r="N5413" i="11"/>
  <c r="N5438" i="11"/>
  <c r="N5470" i="11"/>
  <c r="N5495" i="11"/>
  <c r="N5516" i="11"/>
  <c r="N5530" i="11"/>
  <c r="N5548" i="11"/>
  <c r="N5566" i="11"/>
  <c r="N5582" i="11"/>
  <c r="N5602" i="11"/>
  <c r="N5615" i="11"/>
  <c r="N5631" i="11"/>
  <c r="N5651" i="11"/>
  <c r="N5662" i="11"/>
  <c r="N5676" i="11"/>
  <c r="N5688" i="11"/>
  <c r="N5700" i="11"/>
  <c r="N5715" i="11"/>
  <c r="N5726" i="11"/>
  <c r="N5738" i="11"/>
  <c r="N5752" i="11"/>
  <c r="N5764" i="11"/>
  <c r="N5775" i="11"/>
  <c r="N5790" i="11"/>
  <c r="N5802" i="11"/>
  <c r="N5815" i="11"/>
  <c r="N5828" i="11"/>
  <c r="N5839" i="11"/>
  <c r="N5852" i="11"/>
  <c r="N5866" i="11"/>
  <c r="N5879" i="11"/>
  <c r="N5890" i="11"/>
  <c r="N5903" i="11"/>
  <c r="N5916" i="11"/>
  <c r="N5928" i="11"/>
  <c r="N5943" i="11"/>
  <c r="N5954" i="11"/>
  <c r="N5966" i="11"/>
  <c r="N5980" i="11"/>
  <c r="N5992" i="11"/>
  <c r="N6003" i="11"/>
  <c r="N6018" i="11"/>
  <c r="N6030" i="11"/>
  <c r="N6042" i="11"/>
  <c r="N6056" i="11"/>
  <c r="N6067" i="11"/>
  <c r="N6079" i="11"/>
  <c r="N6094" i="11"/>
  <c r="N6106" i="11"/>
  <c r="N6116" i="11"/>
  <c r="N6131" i="11"/>
  <c r="N6143" i="11"/>
  <c r="N6156" i="11"/>
  <c r="N6170" i="11"/>
  <c r="N6180" i="11"/>
  <c r="N6194" i="11"/>
  <c r="N6207" i="11"/>
  <c r="N6220" i="11"/>
  <c r="N6231" i="11"/>
  <c r="N6244" i="11"/>
  <c r="N6258" i="11"/>
  <c r="N6270" i="11"/>
  <c r="N6284" i="11"/>
  <c r="N6295" i="11"/>
  <c r="N6307" i="11"/>
  <c r="N6322" i="11"/>
  <c r="N6334" i="11"/>
  <c r="N6344" i="11"/>
  <c r="N6359" i="11"/>
  <c r="N6371" i="11"/>
  <c r="N6383" i="11"/>
  <c r="N6398" i="11"/>
  <c r="N6408" i="11"/>
  <c r="N6420" i="11"/>
  <c r="N6435" i="11"/>
  <c r="N6447" i="11"/>
  <c r="N6458" i="11"/>
  <c r="N6472" i="11"/>
  <c r="N6484" i="11"/>
  <c r="N6498" i="11"/>
  <c r="N6511" i="11"/>
  <c r="N6522" i="11"/>
  <c r="N6535" i="11"/>
  <c r="N6548" i="11"/>
  <c r="N6562" i="11"/>
  <c r="N6572" i="11"/>
  <c r="N6586" i="11"/>
  <c r="N6599" i="11"/>
  <c r="N6611" i="11"/>
  <c r="N6626" i="11"/>
  <c r="N6636" i="11"/>
  <c r="N6648" i="11"/>
  <c r="N6663" i="11"/>
  <c r="N6675" i="11"/>
  <c r="N6686" i="11"/>
  <c r="N6700" i="11"/>
  <c r="N6712" i="11"/>
  <c r="N6722" i="11"/>
  <c r="N6733" i="11"/>
  <c r="N6741" i="11"/>
  <c r="N6750" i="11"/>
  <c r="N6761" i="11"/>
  <c r="N6770" i="11"/>
  <c r="N6778" i="11"/>
  <c r="N6789" i="11"/>
  <c r="N6798" i="11"/>
  <c r="N6808" i="11"/>
  <c r="N6818" i="11"/>
  <c r="N6826" i="11"/>
  <c r="N6836" i="11"/>
  <c r="N6846" i="11"/>
  <c r="N6856" i="11"/>
  <c r="N6864" i="11"/>
  <c r="N6874" i="11"/>
  <c r="N6884" i="11"/>
  <c r="N6893" i="11"/>
  <c r="N6904" i="11"/>
  <c r="N6912" i="11"/>
  <c r="N6921" i="11"/>
  <c r="N1825" i="11"/>
  <c r="N2387" i="11"/>
  <c r="N2696" i="11"/>
  <c r="N3037" i="11"/>
  <c r="N3163" i="11"/>
  <c r="N3284" i="11"/>
  <c r="N3416" i="11"/>
  <c r="N3497" i="11"/>
  <c r="N3593" i="11"/>
  <c r="N3693" i="11"/>
  <c r="N3781" i="11"/>
  <c r="N3864" i="11"/>
  <c r="N3977" i="11"/>
  <c r="N4067" i="11"/>
  <c r="N4155" i="11"/>
  <c r="N4251" i="11"/>
  <c r="N4313" i="11"/>
  <c r="N4379" i="11"/>
  <c r="N4464" i="11"/>
  <c r="N4532" i="11"/>
  <c r="N4591" i="11"/>
  <c r="N4675" i="11"/>
  <c r="N4739" i="11"/>
  <c r="N4791" i="11"/>
  <c r="N4851" i="11"/>
  <c r="N4882" i="11"/>
  <c r="N4926" i="11"/>
  <c r="N4967" i="11"/>
  <c r="N5007" i="11"/>
  <c r="N5043" i="11"/>
  <c r="N5082" i="11"/>
  <c r="N5129" i="11"/>
  <c r="N5166" i="11"/>
  <c r="N5210" i="11"/>
  <c r="N5245" i="11"/>
  <c r="N5282" i="11"/>
  <c r="N5330" i="11"/>
  <c r="N5367" i="11"/>
  <c r="N5401" i="11"/>
  <c r="N5449" i="11"/>
  <c r="N5485" i="11"/>
  <c r="N5511" i="11"/>
  <c r="N5538" i="11"/>
  <c r="N5555" i="11"/>
  <c r="N5576" i="11"/>
  <c r="N5603" i="11"/>
  <c r="N5624" i="11"/>
  <c r="N5644" i="11"/>
  <c r="N5667" i="11"/>
  <c r="N5682" i="11"/>
  <c r="N5698" i="11"/>
  <c r="N5716" i="11"/>
  <c r="N5732" i="11"/>
  <c r="N5747" i="11"/>
  <c r="N5767" i="11"/>
  <c r="N5783" i="11"/>
  <c r="N5800" i="11"/>
  <c r="N5818" i="11"/>
  <c r="N5832" i="11"/>
  <c r="N5850" i="11"/>
  <c r="N5868" i="11"/>
  <c r="N5886" i="11"/>
  <c r="N5900" i="11"/>
  <c r="N5918" i="11"/>
  <c r="N5935" i="11"/>
  <c r="N5951" i="11"/>
  <c r="N5971" i="11"/>
  <c r="N5986" i="11"/>
  <c r="N6002" i="11"/>
  <c r="N6020" i="11"/>
  <c r="N6036" i="11"/>
  <c r="N6051" i="11"/>
  <c r="N6071" i="11"/>
  <c r="N6087" i="11"/>
  <c r="N6103" i="11"/>
  <c r="N6122" i="11"/>
  <c r="N6136" i="11"/>
  <c r="N6152" i="11"/>
  <c r="N6172" i="11"/>
  <c r="N6188" i="11"/>
  <c r="N6202" i="11"/>
  <c r="N6222" i="11"/>
  <c r="N6238" i="11"/>
  <c r="N6255" i="11"/>
  <c r="N6274" i="11"/>
  <c r="N6287" i="11"/>
  <c r="N6306" i="11"/>
  <c r="N6323" i="11"/>
  <c r="N6340" i="11"/>
  <c r="N6355" i="11"/>
  <c r="N6372" i="11"/>
  <c r="N6391" i="11"/>
  <c r="N6407" i="11"/>
  <c r="N6426" i="11"/>
  <c r="N6440" i="11"/>
  <c r="N6456" i="11"/>
  <c r="N6476" i="11"/>
  <c r="N6492" i="11"/>
  <c r="N6506" i="11"/>
  <c r="N6526" i="11"/>
  <c r="N6542" i="11"/>
  <c r="N6558" i="11"/>
  <c r="N6578" i="11"/>
  <c r="N6591" i="11"/>
  <c r="N6607" i="11"/>
  <c r="N6627" i="11"/>
  <c r="N6643" i="11"/>
  <c r="N6658" i="11"/>
  <c r="N6676" i="11"/>
  <c r="N6692" i="11"/>
  <c r="N6711" i="11"/>
  <c r="N6725" i="11"/>
  <c r="N6736" i="11"/>
  <c r="N6749" i="11"/>
  <c r="N6762" i="11"/>
  <c r="N6776" i="11"/>
  <c r="N6786" i="11"/>
  <c r="N6800" i="11"/>
  <c r="N6813" i="11"/>
  <c r="N6825" i="11"/>
  <c r="N6840" i="11"/>
  <c r="N6850" i="11"/>
  <c r="N6862" i="11"/>
  <c r="N6877" i="11"/>
  <c r="N6889" i="11"/>
  <c r="N6900" i="11"/>
  <c r="N6914" i="11"/>
  <c r="N6926" i="11"/>
  <c r="N6934" i="11"/>
  <c r="N6942" i="11"/>
  <c r="N6949" i="11"/>
  <c r="N6956" i="11"/>
  <c r="N6964" i="11"/>
  <c r="N6970" i="11"/>
  <c r="N6977" i="11"/>
  <c r="N6985" i="11"/>
  <c r="N6992" i="11"/>
  <c r="N6998" i="11"/>
  <c r="N7006" i="11"/>
  <c r="N7013" i="11"/>
  <c r="N7020" i="11"/>
  <c r="N7028" i="11"/>
  <c r="N7034" i="11"/>
  <c r="N7041" i="11"/>
  <c r="N7049" i="11"/>
  <c r="N7056" i="11"/>
  <c r="N7062" i="11"/>
  <c r="N7070" i="11"/>
  <c r="N7077" i="11"/>
  <c r="N7084" i="11"/>
  <c r="N7092" i="11"/>
  <c r="N7098" i="11"/>
  <c r="N7105" i="11"/>
  <c r="N7113" i="11"/>
  <c r="N7120" i="11"/>
  <c r="N7126" i="11"/>
  <c r="N7134" i="11"/>
  <c r="N7141" i="11"/>
  <c r="N7148" i="11"/>
  <c r="N7156" i="11"/>
  <c r="N7162" i="11"/>
  <c r="N7169" i="11"/>
  <c r="N7177" i="11"/>
  <c r="N7184" i="11"/>
  <c r="N7190" i="11"/>
  <c r="N7198" i="11"/>
  <c r="N7205" i="11"/>
  <c r="N7212" i="11"/>
  <c r="N7220" i="11"/>
  <c r="N7226" i="11"/>
  <c r="N7233" i="11"/>
  <c r="N7241" i="11"/>
  <c r="N7248" i="11"/>
  <c r="N7254" i="11"/>
  <c r="N7262" i="11"/>
  <c r="N7269" i="11"/>
  <c r="N7276" i="11"/>
  <c r="N7284" i="11"/>
  <c r="N7290" i="11"/>
  <c r="N7297" i="11"/>
  <c r="N7305" i="11"/>
  <c r="N7312" i="11"/>
  <c r="N7318" i="11"/>
  <c r="N7326" i="11"/>
  <c r="N7333" i="11"/>
  <c r="N7340" i="11"/>
  <c r="N7348" i="11"/>
  <c r="N7354" i="11"/>
  <c r="N7361" i="11"/>
  <c r="N7369" i="11"/>
  <c r="N7376" i="11"/>
  <c r="N7382" i="11"/>
  <c r="N7390" i="11"/>
  <c r="N7397" i="11"/>
  <c r="N7404" i="11"/>
  <c r="N7412" i="11"/>
  <c r="N7418" i="11"/>
  <c r="N7425" i="11"/>
  <c r="N7433" i="11"/>
  <c r="N7440" i="11"/>
  <c r="N7446" i="11"/>
  <c r="N7454" i="11"/>
  <c r="N7461" i="11"/>
  <c r="N7468" i="11"/>
  <c r="N7476" i="11"/>
  <c r="N7482" i="11"/>
  <c r="N7489" i="11"/>
  <c r="N7497" i="11"/>
  <c r="N7504" i="11"/>
  <c r="N7510" i="11"/>
  <c r="N7518" i="11"/>
  <c r="N7525" i="11"/>
  <c r="N7532" i="11"/>
  <c r="N7540" i="11"/>
  <c r="N7546" i="11"/>
  <c r="N7553" i="11"/>
  <c r="N7561" i="11"/>
  <c r="N7568" i="11"/>
  <c r="N7574" i="11"/>
  <c r="N7582" i="11"/>
  <c r="N7589" i="11"/>
  <c r="N7596" i="11"/>
  <c r="N7604" i="11"/>
  <c r="N7610" i="11"/>
  <c r="N7617" i="11"/>
  <c r="N7625" i="11"/>
  <c r="N7632" i="11"/>
  <c r="N7638" i="11"/>
  <c r="N7646" i="11"/>
  <c r="N7653" i="11"/>
  <c r="N7660" i="11"/>
  <c r="N7668" i="11"/>
  <c r="N7674" i="11"/>
  <c r="N7681" i="11"/>
  <c r="N7689" i="11"/>
  <c r="N7696" i="11"/>
  <c r="N7702" i="11"/>
  <c r="N7710" i="11"/>
  <c r="N7717" i="11"/>
  <c r="N7724" i="11"/>
  <c r="N7732" i="11"/>
  <c r="N7738" i="11"/>
  <c r="N7745" i="11"/>
  <c r="N7753" i="11"/>
  <c r="N7760" i="11"/>
  <c r="N7766" i="11"/>
  <c r="N7774" i="11"/>
  <c r="N7781" i="11"/>
  <c r="N7788" i="11"/>
  <c r="N7796" i="11"/>
  <c r="N7802" i="11"/>
  <c r="N7809" i="11"/>
  <c r="N7817" i="11"/>
  <c r="N7824" i="11"/>
  <c r="N7830" i="11"/>
  <c r="N7838" i="11"/>
  <c r="N7845" i="11"/>
  <c r="N7852" i="11"/>
  <c r="N7860" i="11"/>
  <c r="N7866" i="11"/>
  <c r="N7873" i="11"/>
  <c r="N7881" i="11"/>
  <c r="N7888" i="11"/>
  <c r="N7894" i="11"/>
  <c r="N7902" i="11"/>
  <c r="N7909" i="11"/>
  <c r="N7916" i="11"/>
  <c r="N7924" i="11"/>
  <c r="N7930" i="11"/>
  <c r="N7937" i="11"/>
  <c r="N7945" i="11"/>
  <c r="N7952" i="11"/>
  <c r="N7958" i="11"/>
  <c r="N7966" i="11"/>
  <c r="N7973" i="11"/>
  <c r="N7980" i="11"/>
  <c r="N7988" i="11"/>
  <c r="N7994" i="11"/>
  <c r="N8001" i="11"/>
  <c r="N8009" i="11"/>
  <c r="N8016" i="11"/>
  <c r="N8022" i="11"/>
  <c r="N8030" i="11"/>
  <c r="N8037" i="11"/>
  <c r="N8044" i="11"/>
  <c r="N8052" i="11"/>
  <c r="N8058" i="11"/>
  <c r="N8065" i="11"/>
  <c r="N8073" i="11"/>
  <c r="N8080" i="11"/>
  <c r="N8086" i="11"/>
  <c r="N8094" i="11"/>
  <c r="N8101" i="11"/>
  <c r="N8108" i="11"/>
  <c r="N8116" i="11"/>
  <c r="N8122" i="11"/>
  <c r="N8129" i="11"/>
  <c r="N8137" i="11"/>
  <c r="N8144" i="11"/>
  <c r="N8150" i="11"/>
  <c r="N8158" i="11"/>
  <c r="N8165" i="11"/>
  <c r="N8172" i="11"/>
  <c r="N8180" i="11"/>
  <c r="N8186" i="11"/>
  <c r="N8193" i="11"/>
  <c r="N8201" i="11"/>
  <c r="N8208" i="11"/>
  <c r="N8214" i="11"/>
  <c r="N8222" i="11"/>
  <c r="N8229" i="11"/>
  <c r="N8236" i="11"/>
  <c r="N8244" i="11"/>
  <c r="N8250" i="11"/>
  <c r="N8257" i="11"/>
  <c r="N8265" i="11"/>
  <c r="N8272" i="11"/>
  <c r="N8278" i="11"/>
  <c r="N8286" i="11"/>
  <c r="N8293" i="11"/>
  <c r="N8300" i="11"/>
  <c r="N8308" i="11"/>
  <c r="N8314" i="11"/>
  <c r="N8321" i="11"/>
  <c r="N8329" i="11"/>
  <c r="N8336" i="11"/>
  <c r="N8342" i="11"/>
  <c r="N8350" i="11"/>
  <c r="N8357" i="11"/>
  <c r="N8364" i="11"/>
  <c r="N8372" i="11"/>
  <c r="N8378" i="11"/>
  <c r="N8385" i="11"/>
  <c r="N8393" i="11"/>
  <c r="N8400" i="11"/>
  <c r="N8406" i="11"/>
  <c r="N1936" i="11"/>
  <c r="N2410" i="11"/>
  <c r="N2830" i="11"/>
  <c r="N3067" i="11"/>
  <c r="N3181" i="11"/>
  <c r="N8408" i="11"/>
  <c r="N8402" i="11"/>
  <c r="N8397" i="11"/>
  <c r="N8392" i="11"/>
  <c r="N8386" i="11"/>
  <c r="N8381" i="11"/>
  <c r="N8376" i="11"/>
  <c r="N8370" i="11"/>
  <c r="N8365" i="11"/>
  <c r="N8360" i="11"/>
  <c r="N8354" i="11"/>
  <c r="N8349" i="11"/>
  <c r="N8344" i="11"/>
  <c r="N8338" i="11"/>
  <c r="N8333" i="11"/>
  <c r="N8328" i="11"/>
  <c r="N8322" i="11"/>
  <c r="N8317" i="11"/>
  <c r="N8312" i="11"/>
  <c r="N8306" i="11"/>
  <c r="N8301" i="11"/>
  <c r="N8296" i="11"/>
  <c r="N8290" i="11"/>
  <c r="N8285" i="11"/>
  <c r="N8280" i="11"/>
  <c r="N8274" i="11"/>
  <c r="N8269" i="11"/>
  <c r="N8264" i="11"/>
  <c r="N8258" i="11"/>
  <c r="N8253" i="11"/>
  <c r="N8248" i="11"/>
  <c r="N8242" i="11"/>
  <c r="N8237" i="11"/>
  <c r="N8232" i="11"/>
  <c r="N8226" i="11"/>
  <c r="N8221" i="11"/>
  <c r="N8216" i="11"/>
  <c r="N8210" i="11"/>
  <c r="N8205" i="11"/>
  <c r="N8200" i="11"/>
  <c r="N8194" i="11"/>
  <c r="N8189" i="11"/>
  <c r="N8184" i="11"/>
  <c r="N8178" i="11"/>
  <c r="N8173" i="11"/>
  <c r="N8168" i="11"/>
  <c r="N8162" i="11"/>
  <c r="N8157" i="11"/>
  <c r="N8152" i="11"/>
  <c r="N8146" i="11"/>
  <c r="N8141" i="11"/>
  <c r="N8136" i="11"/>
  <c r="N8130" i="11"/>
  <c r="N8125" i="11"/>
  <c r="N8120" i="11"/>
  <c r="N8114" i="11"/>
  <c r="N8109" i="11"/>
  <c r="N8104" i="11"/>
  <c r="N8098" i="11"/>
  <c r="N8093" i="11"/>
  <c r="N8088" i="11"/>
  <c r="N8082" i="11"/>
  <c r="N8077" i="11"/>
  <c r="N8072" i="11"/>
  <c r="N8066" i="11"/>
  <c r="N8061" i="11"/>
  <c r="N8056" i="11"/>
  <c r="N8050" i="11"/>
  <c r="N8045" i="11"/>
  <c r="N8040" i="11"/>
  <c r="N8034" i="11"/>
  <c r="N8029" i="11"/>
  <c r="N8024" i="11"/>
  <c r="N8018" i="11"/>
  <c r="N8013" i="11"/>
  <c r="N8008" i="11"/>
  <c r="N8002" i="11"/>
  <c r="N7997" i="11"/>
  <c r="N7992" i="11"/>
  <c r="N7986" i="11"/>
  <c r="N7981" i="11"/>
  <c r="N7976" i="11"/>
  <c r="N7970" i="11"/>
  <c r="N7965" i="11"/>
  <c r="N7960" i="11"/>
  <c r="N7954" i="11"/>
  <c r="N7949" i="11"/>
  <c r="N7944" i="11"/>
  <c r="N7938" i="11"/>
  <c r="N7933" i="11"/>
  <c r="N7928" i="11"/>
  <c r="N7922" i="11"/>
  <c r="N7917" i="11"/>
  <c r="N7912" i="11"/>
  <c r="N7906" i="11"/>
  <c r="N7901" i="11"/>
  <c r="N7896" i="11"/>
  <c r="N7890" i="11"/>
  <c r="N7885" i="11"/>
  <c r="N7880" i="11"/>
  <c r="N7874" i="11"/>
  <c r="N7869" i="11"/>
  <c r="N7864" i="11"/>
  <c r="N7858" i="11"/>
  <c r="N7853" i="11"/>
  <c r="N7848" i="11"/>
  <c r="N7842" i="11"/>
  <c r="N7837" i="11"/>
  <c r="N7832" i="11"/>
  <c r="N7826" i="11"/>
  <c r="N7821" i="11"/>
  <c r="N7816" i="11"/>
  <c r="N7810" i="11"/>
  <c r="N7805" i="11"/>
  <c r="N7800" i="11"/>
  <c r="N7794" i="11"/>
  <c r="N7789" i="11"/>
  <c r="N7784" i="11"/>
  <c r="N7778" i="11"/>
  <c r="N7773" i="11"/>
  <c r="N7768" i="11"/>
  <c r="N7762" i="11"/>
  <c r="N7757" i="11"/>
  <c r="N7752" i="11"/>
  <c r="N7746" i="11"/>
  <c r="N7741" i="11"/>
  <c r="N7736" i="11"/>
  <c r="N7730" i="11"/>
  <c r="N7725" i="11"/>
  <c r="N7720" i="11"/>
  <c r="N7714" i="11"/>
  <c r="N7709" i="11"/>
  <c r="N7704" i="11"/>
  <c r="N7698" i="11"/>
  <c r="N7693" i="11"/>
  <c r="N7688" i="11"/>
  <c r="N7682" i="11"/>
  <c r="N7677" i="11"/>
  <c r="N7672" i="11"/>
  <c r="N7666" i="11"/>
  <c r="N7661" i="11"/>
  <c r="N7656" i="11"/>
  <c r="N7650" i="11"/>
  <c r="N7645" i="11"/>
  <c r="N7640" i="11"/>
  <c r="N7634" i="11"/>
  <c r="N7629" i="11"/>
  <c r="N7624" i="11"/>
  <c r="N7618" i="11"/>
  <c r="N7613" i="11"/>
  <c r="N7608" i="11"/>
  <c r="N7602" i="11"/>
  <c r="N7597" i="11"/>
  <c r="N7592" i="11"/>
  <c r="N7586" i="11"/>
  <c r="N7581" i="11"/>
  <c r="N7576" i="11"/>
  <c r="N7570" i="11"/>
  <c r="N7565" i="11"/>
  <c r="N7560" i="11"/>
  <c r="N7554" i="11"/>
  <c r="N7549" i="11"/>
  <c r="N7544" i="11"/>
  <c r="N7538" i="11"/>
  <c r="N7533" i="11"/>
  <c r="N7528" i="11"/>
  <c r="N7522" i="11"/>
  <c r="N7517" i="11"/>
  <c r="N7512" i="11"/>
  <c r="N7506" i="11"/>
  <c r="N7501" i="11"/>
  <c r="N7496" i="11"/>
  <c r="N7490" i="11"/>
  <c r="N7485" i="11"/>
  <c r="N7480" i="11"/>
  <c r="N7474" i="11"/>
  <c r="N7469" i="11"/>
  <c r="N7464" i="11"/>
  <c r="N7458" i="11"/>
  <c r="N7453" i="11"/>
  <c r="N7448" i="11"/>
  <c r="N7442" i="11"/>
  <c r="N7437" i="11"/>
  <c r="N7432" i="11"/>
  <c r="N7426" i="11"/>
  <c r="N7421" i="11"/>
  <c r="N7416" i="11"/>
  <c r="N7410" i="11"/>
  <c r="N7405" i="11"/>
  <c r="N7400" i="11"/>
  <c r="N7394" i="11"/>
  <c r="N7389" i="11"/>
  <c r="N7384" i="11"/>
  <c r="N7378" i="11"/>
  <c r="N7373" i="11"/>
  <c r="N7368" i="11"/>
  <c r="N7362" i="11"/>
  <c r="N7357" i="11"/>
  <c r="N7352" i="11"/>
  <c r="N7346" i="11"/>
  <c r="N7341" i="11"/>
  <c r="N7336" i="11"/>
  <c r="N7330" i="11"/>
  <c r="N7325" i="11"/>
  <c r="N7320" i="11"/>
  <c r="N7314" i="11"/>
  <c r="N7309" i="11"/>
  <c r="N7304" i="11"/>
  <c r="N7298" i="11"/>
  <c r="N7293" i="11"/>
  <c r="N7288" i="11"/>
  <c r="N7282" i="11"/>
  <c r="N7277" i="11"/>
  <c r="N7272" i="11"/>
  <c r="N7266" i="11"/>
  <c r="N7261" i="11"/>
  <c r="N7256" i="11"/>
  <c r="N7250" i="11"/>
  <c r="N7245" i="11"/>
  <c r="N7240" i="11"/>
  <c r="N7234" i="11"/>
  <c r="N7229" i="11"/>
  <c r="N7224" i="11"/>
  <c r="N7218" i="11"/>
  <c r="N7213" i="11"/>
  <c r="N7208" i="11"/>
  <c r="N7202" i="11"/>
  <c r="N7197" i="11"/>
  <c r="N7192" i="11"/>
  <c r="N7186" i="11"/>
  <c r="N7181" i="11"/>
  <c r="N7176" i="11"/>
  <c r="N7170" i="11"/>
  <c r="N7165" i="11"/>
  <c r="N7160" i="11"/>
  <c r="N7154" i="11"/>
  <c r="N7149" i="11"/>
  <c r="N7144" i="11"/>
  <c r="N7138" i="11"/>
  <c r="N7133" i="11"/>
  <c r="N7128" i="11"/>
  <c r="N7122" i="11"/>
  <c r="N7117" i="11"/>
  <c r="N7112" i="11"/>
  <c r="N7106" i="11"/>
  <c r="N7101" i="11"/>
  <c r="N7096" i="11"/>
  <c r="N7090" i="11"/>
  <c r="N7085" i="11"/>
  <c r="N7080" i="11"/>
  <c r="N7074" i="11"/>
  <c r="N7069" i="11"/>
  <c r="N7064" i="11"/>
  <c r="N7058" i="11"/>
  <c r="N7053" i="11"/>
  <c r="N7048" i="11"/>
  <c r="N7042" i="11"/>
  <c r="N7037" i="11"/>
  <c r="N7032" i="11"/>
  <c r="N7026" i="11"/>
  <c r="N7021" i="11"/>
  <c r="N7016" i="11"/>
  <c r="N7010" i="11"/>
  <c r="N7005" i="11"/>
  <c r="N7000" i="11"/>
  <c r="N6994" i="11"/>
  <c r="N6989" i="11"/>
  <c r="N6984" i="11"/>
  <c r="N6978" i="11"/>
  <c r="N6973" i="11"/>
  <c r="N6968" i="11"/>
  <c r="N6962" i="11"/>
  <c r="N6957" i="11"/>
  <c r="N6952" i="11"/>
  <c r="N6946" i="11"/>
  <c r="N6941" i="11"/>
  <c r="N6936" i="11"/>
  <c r="N6930" i="11"/>
  <c r="N6922" i="11"/>
  <c r="N6916" i="11"/>
  <c r="N6909" i="11"/>
  <c r="N6901" i="11"/>
  <c r="N6894" i="11"/>
  <c r="N6888" i="11"/>
  <c r="N6880" i="11"/>
  <c r="N6873" i="11"/>
  <c r="N6866" i="11"/>
  <c r="N6858" i="11"/>
  <c r="N6852" i="11"/>
  <c r="N6845" i="11"/>
  <c r="N6837" i="11"/>
  <c r="N6830" i="11"/>
  <c r="N6824" i="11"/>
  <c r="N6816" i="11"/>
  <c r="N6809" i="11"/>
  <c r="N6802" i="11"/>
  <c r="N6794" i="11"/>
  <c r="N6788" i="11"/>
  <c r="N6781" i="11"/>
  <c r="N6773" i="11"/>
  <c r="N6766" i="11"/>
  <c r="N6760" i="11"/>
  <c r="N6752" i="11"/>
  <c r="N6745" i="11"/>
  <c r="N6738" i="11"/>
  <c r="N6730" i="11"/>
  <c r="N6724" i="11"/>
  <c r="N6717" i="11"/>
  <c r="N6707" i="11"/>
  <c r="N6698" i="11"/>
  <c r="N6690" i="11"/>
  <c r="N6679" i="11"/>
  <c r="N6670" i="11"/>
  <c r="N6660" i="11"/>
  <c r="N6650" i="11"/>
  <c r="N6642" i="11"/>
  <c r="N6632" i="11"/>
  <c r="N6622" i="11"/>
  <c r="N6612" i="11"/>
  <c r="N6604" i="11"/>
  <c r="N6594" i="11"/>
  <c r="N6584" i="11"/>
  <c r="N6575" i="11"/>
  <c r="N6564" i="11"/>
  <c r="N6556" i="11"/>
  <c r="N6547" i="11"/>
  <c r="N6536" i="11"/>
  <c r="N6527" i="11"/>
  <c r="N6519" i="11"/>
  <c r="N6508" i="11"/>
  <c r="N6499" i="11"/>
  <c r="N6490" i="11"/>
  <c r="N6479" i="11"/>
  <c r="N6471" i="11"/>
  <c r="N6462" i="11"/>
  <c r="N6451" i="11"/>
  <c r="N6442" i="11"/>
  <c r="N6434" i="11"/>
  <c r="N6423" i="11"/>
  <c r="N6414" i="11"/>
  <c r="N6404" i="11"/>
  <c r="N6394" i="11"/>
  <c r="N6386" i="11"/>
  <c r="N6376" i="11"/>
  <c r="N6366" i="11"/>
  <c r="N6356" i="11"/>
  <c r="N6348" i="11"/>
  <c r="N6338" i="11"/>
  <c r="N6328" i="11"/>
  <c r="N6319" i="11"/>
  <c r="N6308" i="11"/>
  <c r="N6300" i="11"/>
  <c r="N6291" i="11"/>
  <c r="N6280" i="11"/>
  <c r="N6271" i="11"/>
  <c r="N6263" i="11"/>
  <c r="N6252" i="11"/>
  <c r="N6243" i="11"/>
  <c r="N6234" i="11"/>
  <c r="N6223" i="11"/>
  <c r="N6215" i="11"/>
  <c r="N6206" i="11"/>
  <c r="N6195" i="11"/>
  <c r="N6186" i="11"/>
  <c r="N6178" i="11"/>
  <c r="N6167" i="11"/>
  <c r="N6158" i="11"/>
  <c r="N6148" i="11"/>
  <c r="N6138" i="11"/>
  <c r="N6130" i="11"/>
  <c r="N6120" i="11"/>
  <c r="N6110" i="11"/>
  <c r="N6100" i="11"/>
  <c r="N6092" i="11"/>
  <c r="N6082" i="11"/>
  <c r="N6072" i="11"/>
  <c r="N6063" i="11"/>
  <c r="N6052" i="11"/>
  <c r="N6044" i="11"/>
  <c r="N6035" i="11"/>
  <c r="N6024" i="11"/>
  <c r="N6015" i="11"/>
  <c r="N6007" i="11"/>
  <c r="N5996" i="11"/>
  <c r="N5987" i="11"/>
  <c r="N5978" i="11"/>
  <c r="N5967" i="11"/>
  <c r="N5959" i="11"/>
  <c r="N5950" i="11"/>
  <c r="N5939" i="11"/>
  <c r="N5930" i="11"/>
  <c r="N5922" i="11"/>
  <c r="N5911" i="11"/>
  <c r="N5902" i="11"/>
  <c r="N5892" i="11"/>
  <c r="N5882" i="11"/>
  <c r="N5874" i="11"/>
  <c r="N5864" i="11"/>
  <c r="N5854" i="11"/>
  <c r="N5844" i="11"/>
  <c r="N5836" i="11"/>
  <c r="N5826" i="11"/>
  <c r="N5816" i="11"/>
  <c r="N5807" i="11"/>
  <c r="N5796" i="11"/>
  <c r="N5788" i="11"/>
  <c r="N5779" i="11"/>
  <c r="N5768" i="11"/>
  <c r="N5759" i="11"/>
  <c r="N5751" i="11"/>
  <c r="N5740" i="11"/>
  <c r="N5731" i="11"/>
  <c r="N5722" i="11"/>
  <c r="N5711" i="11"/>
  <c r="N5703" i="11"/>
  <c r="N5694" i="11"/>
  <c r="N5683" i="11"/>
  <c r="N5674" i="11"/>
  <c r="N5666" i="11"/>
  <c r="N5655" i="11"/>
  <c r="N5646" i="11"/>
  <c r="N5636" i="11"/>
  <c r="N5626" i="11"/>
  <c r="N5618" i="11"/>
  <c r="N5608" i="11"/>
  <c r="N5598" i="11"/>
  <c r="N5588" i="11"/>
  <c r="N5580" i="11"/>
  <c r="N5570" i="11"/>
  <c r="N5560" i="11"/>
  <c r="N5551" i="11"/>
  <c r="N5540" i="11"/>
  <c r="N5532" i="11"/>
  <c r="N5523" i="11"/>
  <c r="N5512" i="11"/>
  <c r="N5502" i="11"/>
  <c r="N5491" i="11"/>
  <c r="N5477" i="11"/>
  <c r="N5459" i="11"/>
  <c r="N5443" i="11"/>
  <c r="N5423" i="11"/>
  <c r="N5410" i="11"/>
  <c r="N5394" i="11"/>
  <c r="N5374" i="11"/>
  <c r="N5358" i="11"/>
  <c r="N5343" i="11"/>
  <c r="N5325" i="11"/>
  <c r="N5309" i="11"/>
  <c r="N5293" i="11"/>
  <c r="N5273" i="11"/>
  <c r="N5258" i="11"/>
  <c r="N5242" i="11"/>
  <c r="N5223" i="11"/>
  <c r="N5207" i="11"/>
  <c r="N5193" i="11"/>
  <c r="N5173" i="11"/>
  <c r="N5157" i="11"/>
  <c r="N5139" i="11"/>
  <c r="N5122" i="11"/>
  <c r="N5107" i="11"/>
  <c r="N5090" i="11"/>
  <c r="N5071" i="11"/>
  <c r="N5054" i="11"/>
  <c r="N5039" i="11"/>
  <c r="N5022" i="11"/>
  <c r="N5005" i="11"/>
  <c r="N4989" i="11"/>
  <c r="N4969" i="11"/>
  <c r="N4954" i="11"/>
  <c r="N4938" i="11"/>
  <c r="N4919" i="11"/>
  <c r="N4903" i="11"/>
  <c r="N4889" i="11"/>
  <c r="N4869" i="11"/>
  <c r="N4853" i="11"/>
  <c r="N4834" i="11"/>
  <c r="N4809" i="11"/>
  <c r="N4790" i="11"/>
  <c r="N4769" i="11"/>
  <c r="N4742" i="11"/>
  <c r="N4717" i="11"/>
  <c r="N4692" i="11"/>
  <c r="N4656" i="11"/>
  <c r="N4628" i="11"/>
  <c r="N4597" i="11"/>
  <c r="N4564" i="11"/>
  <c r="N4541" i="11"/>
  <c r="N4507" i="11"/>
  <c r="N4477" i="11"/>
  <c r="N4447" i="11"/>
  <c r="N4420" i="11"/>
  <c r="N4389" i="11"/>
  <c r="N4356" i="11"/>
  <c r="N4328" i="11"/>
  <c r="N4293" i="11"/>
  <c r="N4269" i="11"/>
  <c r="N4240" i="11"/>
  <c r="N4201" i="11"/>
  <c r="N4164" i="11"/>
  <c r="N4128" i="11"/>
  <c r="N4085" i="11"/>
  <c r="N4048" i="11"/>
  <c r="N4003" i="11"/>
  <c r="N3963" i="11"/>
  <c r="N3928" i="11"/>
  <c r="N3887" i="11"/>
  <c r="N3844" i="11"/>
  <c r="N3801" i="11"/>
  <c r="N3768" i="11"/>
  <c r="N3725" i="11"/>
  <c r="N3683" i="11"/>
  <c r="N3645" i="11"/>
  <c r="N3597" i="11"/>
  <c r="N3567" i="11"/>
  <c r="N3529" i="11"/>
  <c r="N3481" i="11"/>
  <c r="N3444" i="11"/>
  <c r="N3408" i="11"/>
  <c r="N3365" i="11"/>
  <c r="N3315" i="11"/>
  <c r="N3264" i="11"/>
  <c r="N3200" i="11"/>
  <c r="N3152" i="11"/>
  <c r="N3103" i="11"/>
  <c r="N3044" i="11"/>
  <c r="N2938" i="11"/>
  <c r="N2814" i="11"/>
  <c r="N2651" i="11"/>
  <c r="N2518" i="11"/>
  <c r="N2334" i="11"/>
  <c r="N2121" i="11"/>
  <c r="N1900" i="11"/>
  <c r="N1274" i="11"/>
  <c r="N1438" i="11"/>
  <c r="N1637" i="11"/>
  <c r="N1769" i="11"/>
  <c r="N1882" i="11"/>
  <c r="N1984" i="11"/>
  <c r="N2097" i="11"/>
  <c r="N2196" i="11"/>
  <c r="N2270" i="11"/>
  <c r="N2355" i="11"/>
  <c r="N2432" i="11"/>
  <c r="N2500" i="11"/>
  <c r="N2559" i="11"/>
  <c r="N2623" i="11"/>
  <c r="N2678" i="11"/>
  <c r="N2739" i="11"/>
  <c r="N2803" i="11"/>
  <c r="N2859" i="11"/>
  <c r="N2923" i="11"/>
  <c r="N2980" i="11"/>
  <c r="N3029" i="11"/>
  <c r="N3053" i="11"/>
  <c r="N3077" i="11"/>
  <c r="N3101" i="11"/>
  <c r="N3120" i="11"/>
  <c r="N3144" i="11"/>
  <c r="N3167" i="11"/>
  <c r="N3188" i="11"/>
  <c r="N3215" i="11"/>
  <c r="N3235" i="11"/>
  <c r="N3256" i="11"/>
  <c r="N3280" i="11"/>
  <c r="N3301" i="11"/>
  <c r="N3321" i="11"/>
  <c r="N3348" i="11"/>
  <c r="N3368" i="11"/>
  <c r="N3384" i="11"/>
  <c r="N3403" i="11"/>
  <c r="N3417" i="11"/>
  <c r="N3433" i="11"/>
  <c r="N3453" i="11"/>
  <c r="N3469" i="11"/>
  <c r="N3483" i="11"/>
  <c r="N3503" i="11"/>
  <c r="N3519" i="11"/>
  <c r="N3536" i="11"/>
  <c r="N3555" i="11"/>
  <c r="N3568" i="11"/>
  <c r="N3587" i="11"/>
  <c r="N3604" i="11"/>
  <c r="N3621" i="11"/>
  <c r="N3636" i="11"/>
  <c r="N3653" i="11"/>
  <c r="N3672" i="11"/>
  <c r="N3688" i="11"/>
  <c r="N3707" i="11"/>
  <c r="N3721" i="11"/>
  <c r="N3737" i="11"/>
  <c r="N3757" i="11"/>
  <c r="N3773" i="11"/>
  <c r="N3787" i="11"/>
  <c r="N3807" i="11"/>
  <c r="N3823" i="11"/>
  <c r="N3839" i="11"/>
  <c r="N3859" i="11"/>
  <c r="N3872" i="11"/>
  <c r="N3888" i="11"/>
  <c r="N3908" i="11"/>
  <c r="N3924" i="11"/>
  <c r="N3939" i="11"/>
  <c r="N3957" i="11"/>
  <c r="N3973" i="11"/>
  <c r="N3992" i="11"/>
  <c r="N4009" i="11"/>
  <c r="N4024" i="11"/>
  <c r="N4041" i="11"/>
  <c r="N4059" i="11"/>
  <c r="N4077" i="11"/>
  <c r="N4091" i="11"/>
  <c r="N4109" i="11"/>
  <c r="N4127" i="11"/>
  <c r="N4143" i="11"/>
  <c r="N4163" i="11"/>
  <c r="N4176" i="11"/>
  <c r="N4192" i="11"/>
  <c r="N4212" i="11"/>
  <c r="N1490" i="11"/>
  <c r="N1713" i="11"/>
  <c r="N1850" i="11"/>
  <c r="N2012" i="11"/>
  <c r="N2148" i="11"/>
  <c r="N2254" i="11"/>
  <c r="N2374" i="11"/>
  <c r="N2472" i="11"/>
  <c r="N2544" i="11"/>
  <c r="N2635" i="11"/>
  <c r="N2710" i="11"/>
  <c r="N2787" i="11"/>
  <c r="N2878" i="11"/>
  <c r="N2948" i="11"/>
  <c r="N3028" i="11"/>
  <c r="N3064" i="11"/>
  <c r="N3087" i="11"/>
  <c r="N3115" i="11"/>
  <c r="N3151" i="11"/>
  <c r="N3179" i="11"/>
  <c r="N3205" i="11"/>
  <c r="N3237" i="11"/>
  <c r="N3267" i="11"/>
  <c r="N3295" i="11"/>
  <c r="N3331" i="11"/>
  <c r="N3357" i="11"/>
  <c r="N3380" i="11"/>
  <c r="N3405" i="11"/>
  <c r="N3427" i="11"/>
  <c r="N3445" i="11"/>
  <c r="N3472" i="11"/>
  <c r="N3493" i="11"/>
  <c r="N3517" i="11"/>
  <c r="N3540" i="11"/>
  <c r="N3560" i="11"/>
  <c r="N3583" i="11"/>
  <c r="N3608" i="11"/>
  <c r="N3631" i="11"/>
  <c r="N3651" i="11"/>
  <c r="N3673" i="11"/>
  <c r="N3696" i="11"/>
  <c r="N3717" i="11"/>
  <c r="N3744" i="11"/>
  <c r="N3764" i="11"/>
  <c r="N3785" i="11"/>
  <c r="N3811" i="11"/>
  <c r="N3832" i="11"/>
  <c r="N3851" i="11"/>
  <c r="N3877" i="11"/>
  <c r="N3899" i="11"/>
  <c r="N3920" i="11"/>
  <c r="N3945" i="11"/>
  <c r="N3965" i="11"/>
  <c r="N3987" i="11"/>
  <c r="N4013" i="11"/>
  <c r="N4035" i="11"/>
  <c r="N4052" i="11"/>
  <c r="N4079" i="11"/>
  <c r="N4100" i="11"/>
  <c r="N4123" i="11"/>
  <c r="N4148" i="11"/>
  <c r="N4165" i="11"/>
  <c r="N4191" i="11"/>
  <c r="N4213" i="11"/>
  <c r="N4229" i="11"/>
  <c r="N4249" i="11"/>
  <c r="N4265" i="11"/>
  <c r="N4280" i="11"/>
  <c r="N4299" i="11"/>
  <c r="N4315" i="11"/>
  <c r="N4333" i="11"/>
  <c r="N4351" i="11"/>
  <c r="N4365" i="11"/>
  <c r="N4383" i="11"/>
  <c r="N4400" i="11"/>
  <c r="N4419" i="11"/>
  <c r="N4432" i="11"/>
  <c r="N4451" i="11"/>
  <c r="N4468" i="11"/>
  <c r="N4484" i="11"/>
  <c r="N4504" i="11"/>
  <c r="N4517" i="11"/>
  <c r="N4533" i="11"/>
  <c r="N4553" i="11"/>
  <c r="N4569" i="11"/>
  <c r="N4584" i="11"/>
  <c r="N4603" i="11"/>
  <c r="N4619" i="11"/>
  <c r="N4635" i="11"/>
  <c r="N4655" i="11"/>
  <c r="N4669" i="11"/>
  <c r="N4685" i="11"/>
  <c r="N4704" i="11"/>
  <c r="N4720" i="11"/>
  <c r="N4734" i="11"/>
  <c r="N4749" i="11"/>
  <c r="N4761" i="11"/>
  <c r="N4774" i="11"/>
  <c r="N4787" i="11"/>
  <c r="N4798" i="11"/>
  <c r="N4811" i="11"/>
  <c r="N4825" i="11"/>
  <c r="N4838" i="11"/>
  <c r="N4847" i="11"/>
  <c r="N4858" i="11"/>
  <c r="N4867" i="11"/>
  <c r="N4877" i="11"/>
  <c r="N4887" i="11"/>
  <c r="N4895" i="11"/>
  <c r="N4905" i="11"/>
  <c r="N4915" i="11"/>
  <c r="N4925" i="11"/>
  <c r="N4933" i="11"/>
  <c r="N4943" i="11"/>
  <c r="N4953" i="11"/>
  <c r="N4962" i="11"/>
  <c r="N4973" i="11"/>
  <c r="N4981" i="11"/>
  <c r="N4990" i="11"/>
  <c r="N5001" i="11"/>
  <c r="N5010" i="11"/>
  <c r="N5018" i="11"/>
  <c r="N5029" i="11"/>
  <c r="N5038" i="11"/>
  <c r="N5047" i="11"/>
  <c r="N5058" i="11"/>
  <c r="N5066" i="11"/>
  <c r="N5075" i="11"/>
  <c r="N5086" i="11"/>
  <c r="N5095" i="11"/>
  <c r="N5103" i="11"/>
  <c r="N5114" i="11"/>
  <c r="N5123" i="11"/>
  <c r="N5133" i="11"/>
  <c r="N5143" i="11"/>
  <c r="N5151" i="11"/>
  <c r="N5161" i="11"/>
  <c r="N5171" i="11"/>
  <c r="N5181" i="11"/>
  <c r="N5189" i="11"/>
  <c r="N5199" i="11"/>
  <c r="N5209" i="11"/>
  <c r="N5218" i="11"/>
  <c r="N5229" i="11"/>
  <c r="N5237" i="11"/>
  <c r="N5246" i="11"/>
  <c r="N5257" i="11"/>
  <c r="N5266" i="11"/>
  <c r="N5274" i="11"/>
  <c r="N5285" i="11"/>
  <c r="N5294" i="11"/>
  <c r="N5303" i="11"/>
  <c r="N5314" i="11"/>
  <c r="N5322" i="11"/>
  <c r="N5331" i="11"/>
  <c r="N5342" i="11"/>
  <c r="N5351" i="11"/>
  <c r="N5359" i="11"/>
  <c r="N5370" i="11"/>
  <c r="N5379" i="11"/>
  <c r="N5389" i="11"/>
  <c r="N5399" i="11"/>
  <c r="N5407" i="11"/>
  <c r="N5417" i="11"/>
  <c r="N5427" i="11"/>
  <c r="N5437" i="11"/>
  <c r="N5445" i="11"/>
  <c r="N5455" i="11"/>
  <c r="N5465" i="11"/>
  <c r="N5474" i="11"/>
  <c r="N1554" i="11"/>
  <c r="N1798" i="11"/>
  <c r="N1964" i="11"/>
  <c r="N2174" i="11"/>
  <c r="N2318" i="11"/>
  <c r="N2451" i="11"/>
  <c r="N2575" i="11"/>
  <c r="N2671" i="11"/>
  <c r="N2772" i="11"/>
  <c r="N2891" i="11"/>
  <c r="N2992" i="11"/>
  <c r="N3049" i="11"/>
  <c r="N3093" i="11"/>
  <c r="N3131" i="11"/>
  <c r="N3171" i="11"/>
  <c r="N3216" i="11"/>
  <c r="N3252" i="11"/>
  <c r="N3291" i="11"/>
  <c r="N3333" i="11"/>
  <c r="N3369" i="11"/>
  <c r="N3396" i="11"/>
  <c r="N3432" i="11"/>
  <c r="N3460" i="11"/>
  <c r="N3491" i="11"/>
  <c r="N3523" i="11"/>
  <c r="N3547" i="11"/>
  <c r="N3579" i="11"/>
  <c r="N3611" i="11"/>
  <c r="N3643" i="11"/>
  <c r="N3668" i="11"/>
  <c r="N3700" i="11"/>
  <c r="N3731" i="11"/>
  <c r="N3759" i="11"/>
  <c r="N3795" i="11"/>
  <c r="N3821" i="11"/>
  <c r="N3849" i="11"/>
  <c r="N3881" i="11"/>
  <c r="N3909" i="11"/>
  <c r="N3936" i="11"/>
  <c r="N3972" i="11"/>
  <c r="N4000" i="11"/>
  <c r="N4029" i="11"/>
  <c r="N4063" i="11"/>
  <c r="N4088" i="11"/>
  <c r="N4116" i="11"/>
  <c r="N4152" i="11"/>
  <c r="N4180" i="11"/>
  <c r="N4205" i="11"/>
  <c r="N4237" i="11"/>
  <c r="N4256" i="11"/>
  <c r="N4277" i="11"/>
  <c r="N4304" i="11"/>
  <c r="N4325" i="11"/>
  <c r="N4344" i="11"/>
  <c r="N4371" i="11"/>
  <c r="N4392" i="11"/>
  <c r="N4413" i="11"/>
  <c r="N4440" i="11"/>
  <c r="N4457" i="11"/>
  <c r="N4479" i="11"/>
  <c r="N4505" i="11"/>
  <c r="N4527" i="11"/>
  <c r="N4547" i="11"/>
  <c r="N4571" i="11"/>
  <c r="N4592" i="11"/>
  <c r="N4617" i="11"/>
  <c r="N4640" i="11"/>
  <c r="N4660" i="11"/>
  <c r="N4683" i="11"/>
  <c r="N4707" i="11"/>
  <c r="N4731" i="11"/>
  <c r="N4745" i="11"/>
  <c r="N4763" i="11"/>
  <c r="N4781" i="11"/>
  <c r="N4797" i="11"/>
  <c r="N4817" i="11"/>
  <c r="N4830" i="11"/>
  <c r="N4846" i="11"/>
  <c r="N4861" i="11"/>
  <c r="N4873" i="11"/>
  <c r="N4883" i="11"/>
  <c r="N4898" i="11"/>
  <c r="N4910" i="11"/>
  <c r="N4922" i="11"/>
  <c r="N4937" i="11"/>
  <c r="N4947" i="11"/>
  <c r="N4959" i="11"/>
  <c r="N4974" i="11"/>
  <c r="N4986" i="11"/>
  <c r="N4997" i="11"/>
  <c r="N5011" i="11"/>
  <c r="N5023" i="11"/>
  <c r="N5037" i="11"/>
  <c r="N5050" i="11"/>
  <c r="N5061" i="11"/>
  <c r="N5074" i="11"/>
  <c r="N5087" i="11"/>
  <c r="N5101" i="11"/>
  <c r="N5111" i="11"/>
  <c r="N5125" i="11"/>
  <c r="N5138" i="11"/>
  <c r="N5150" i="11"/>
  <c r="N5165" i="11"/>
  <c r="N5175" i="11"/>
  <c r="N5187" i="11"/>
  <c r="N5202" i="11"/>
  <c r="N5214" i="11"/>
  <c r="N5225" i="11"/>
  <c r="N5239" i="11"/>
  <c r="N5251" i="11"/>
  <c r="N5263" i="11"/>
  <c r="N5278" i="11"/>
  <c r="N5289" i="11"/>
  <c r="N5301" i="11"/>
  <c r="N5315" i="11"/>
  <c r="N5327" i="11"/>
  <c r="N5338" i="11"/>
  <c r="N5353" i="11"/>
  <c r="N5365" i="11"/>
  <c r="N5378" i="11"/>
  <c r="N5391" i="11"/>
  <c r="N5402" i="11"/>
  <c r="N5415" i="11"/>
  <c r="N5429" i="11"/>
  <c r="N5442" i="11"/>
  <c r="N5453" i="11"/>
  <c r="N5466" i="11"/>
  <c r="N5479" i="11"/>
  <c r="N5487" i="11"/>
  <c r="N5498" i="11"/>
  <c r="N5507" i="11"/>
  <c r="N5514" i="11"/>
  <c r="N5522" i="11"/>
  <c r="N5528" i="11"/>
  <c r="N5535" i="11"/>
  <c r="N5543" i="11"/>
  <c r="N5550" i="11"/>
  <c r="N5556" i="11"/>
  <c r="N5564" i="11"/>
  <c r="N5571" i="11"/>
  <c r="N5578" i="11"/>
  <c r="N5586" i="11"/>
  <c r="N5592" i="11"/>
  <c r="N5599" i="11"/>
  <c r="N5607" i="11"/>
  <c r="N5614" i="11"/>
  <c r="N5620" i="11"/>
  <c r="N5628" i="11"/>
  <c r="N5635" i="11"/>
  <c r="N5642" i="11"/>
  <c r="N5650" i="11"/>
  <c r="N5656" i="11"/>
  <c r="N5663" i="11"/>
  <c r="N5671" i="11"/>
  <c r="N5678" i="11"/>
  <c r="N5684" i="11"/>
  <c r="N5692" i="11"/>
  <c r="N5699" i="11"/>
  <c r="N5706" i="11"/>
  <c r="N5714" i="11"/>
  <c r="N5720" i="11"/>
  <c r="N5727" i="11"/>
  <c r="N5735" i="11"/>
  <c r="N5742" i="11"/>
  <c r="N5748" i="11"/>
  <c r="N5756" i="11"/>
  <c r="N5763" i="11"/>
  <c r="N5770" i="11"/>
  <c r="N5778" i="11"/>
  <c r="N5784" i="11"/>
  <c r="N5791" i="11"/>
  <c r="N5799" i="11"/>
  <c r="N5806" i="11"/>
  <c r="N5812" i="11"/>
  <c r="N5820" i="11"/>
  <c r="N5827" i="11"/>
  <c r="N5834" i="11"/>
  <c r="N5842" i="11"/>
  <c r="N5848" i="11"/>
  <c r="N5855" i="11"/>
  <c r="N5863" i="11"/>
  <c r="N5870" i="11"/>
  <c r="N5876" i="11"/>
  <c r="N5884" i="11"/>
  <c r="N5891" i="11"/>
  <c r="N5898" i="11"/>
  <c r="N5906" i="11"/>
  <c r="N5912" i="11"/>
  <c r="N5919" i="11"/>
  <c r="N5927" i="11"/>
  <c r="N5934" i="11"/>
  <c r="N5940" i="11"/>
  <c r="N5948" i="11"/>
  <c r="N5955" i="11"/>
  <c r="N5962" i="11"/>
  <c r="N5970" i="11"/>
  <c r="N5976" i="11"/>
  <c r="N5983" i="11"/>
  <c r="N5991" i="11"/>
  <c r="N5998" i="11"/>
  <c r="N6004" i="11"/>
  <c r="N6012" i="11"/>
  <c r="N6019" i="11"/>
  <c r="N6026" i="11"/>
  <c r="N6034" i="11"/>
  <c r="N6040" i="11"/>
  <c r="N6047" i="11"/>
  <c r="N6055" i="11"/>
  <c r="N6062" i="11"/>
  <c r="N6068" i="11"/>
  <c r="N6076" i="11"/>
  <c r="N6083" i="11"/>
  <c r="N6090" i="11"/>
  <c r="N6098" i="11"/>
  <c r="N6104" i="11"/>
  <c r="N6111" i="11"/>
  <c r="N6119" i="11"/>
  <c r="N6126" i="11"/>
  <c r="N6132" i="11"/>
  <c r="N6140" i="11"/>
  <c r="N6147" i="11"/>
  <c r="N6154" i="11"/>
  <c r="N6162" i="11"/>
  <c r="N6168" i="11"/>
  <c r="N6175" i="11"/>
  <c r="N6183" i="11"/>
  <c r="N6190" i="11"/>
  <c r="N6196" i="11"/>
  <c r="N6204" i="11"/>
  <c r="N6211" i="11"/>
  <c r="N6218" i="11"/>
  <c r="N6226" i="11"/>
  <c r="N6232" i="11"/>
  <c r="N6239" i="11"/>
  <c r="N6247" i="11"/>
  <c r="N6254" i="11"/>
  <c r="N6260" i="11"/>
  <c r="N6268" i="11"/>
  <c r="N6275" i="11"/>
  <c r="N6282" i="11"/>
  <c r="N6290" i="11"/>
  <c r="N6296" i="11"/>
  <c r="N6303" i="11"/>
  <c r="N6311" i="11"/>
  <c r="N6318" i="11"/>
  <c r="N6324" i="11"/>
  <c r="N6332" i="11"/>
  <c r="N6339" i="11"/>
  <c r="N6346" i="11"/>
  <c r="N6354" i="11"/>
  <c r="N6360" i="11"/>
  <c r="N6367" i="11"/>
  <c r="N6375" i="11"/>
  <c r="N6382" i="11"/>
  <c r="N6388" i="11"/>
  <c r="N6396" i="11"/>
  <c r="N6403" i="11"/>
  <c r="N6410" i="11"/>
  <c r="N6418" i="11"/>
  <c r="N6424" i="11"/>
  <c r="N6431" i="11"/>
  <c r="N6439" i="11"/>
  <c r="N6446" i="11"/>
  <c r="N6452" i="11"/>
  <c r="N6460" i="11"/>
  <c r="N6467" i="11"/>
  <c r="N6474" i="11"/>
  <c r="N6482" i="11"/>
  <c r="N6488" i="11"/>
  <c r="N6495" i="11"/>
  <c r="N6503" i="11"/>
  <c r="N6510" i="11"/>
  <c r="N6516" i="11"/>
  <c r="N6524" i="11"/>
  <c r="N6531" i="11"/>
  <c r="N6538" i="11"/>
  <c r="N6546" i="11"/>
  <c r="N6552" i="11"/>
  <c r="N6559" i="11"/>
  <c r="N6567" i="11"/>
  <c r="N6574" i="11"/>
  <c r="N6580" i="11"/>
  <c r="N6588" i="11"/>
  <c r="N6595" i="11"/>
  <c r="N6602" i="11"/>
  <c r="N6610" i="11"/>
  <c r="N6616" i="11"/>
  <c r="N6623" i="11"/>
  <c r="N6631" i="11"/>
  <c r="N6638" i="11"/>
  <c r="N6644" i="11"/>
  <c r="N6652" i="11"/>
  <c r="N6659" i="11"/>
  <c r="N6666" i="11"/>
  <c r="N6674" i="11"/>
  <c r="N6680" i="11"/>
  <c r="N6687" i="11"/>
  <c r="N6695" i="11"/>
  <c r="N6702" i="11"/>
  <c r="N6708" i="11"/>
  <c r="N6716" i="11"/>
  <c r="N6721" i="11"/>
  <c r="N6726" i="11"/>
  <c r="N6732" i="11"/>
  <c r="N6737" i="11"/>
  <c r="N6742" i="11"/>
  <c r="N6748" i="11"/>
  <c r="N6753" i="11"/>
  <c r="N6758" i="11"/>
  <c r="N6764" i="11"/>
  <c r="N6769" i="11"/>
  <c r="N6774" i="11"/>
  <c r="N6780" i="11"/>
  <c r="N6785" i="11"/>
  <c r="N6790" i="11"/>
  <c r="N6796" i="11"/>
  <c r="N6801" i="11"/>
  <c r="N6806" i="11"/>
  <c r="N6812" i="11"/>
  <c r="N6817" i="11"/>
  <c r="N6822" i="11"/>
  <c r="N6828" i="11"/>
  <c r="N6833" i="11"/>
  <c r="N6838" i="11"/>
  <c r="N6844" i="11"/>
  <c r="N6849" i="11"/>
  <c r="N6854" i="11"/>
  <c r="N6860" i="11"/>
  <c r="N6865" i="11"/>
  <c r="N6870" i="11"/>
  <c r="N6876" i="11"/>
  <c r="N6881" i="11"/>
  <c r="N6886" i="11"/>
  <c r="N6892" i="11"/>
  <c r="N6897" i="11"/>
  <c r="N6902" i="11"/>
  <c r="N6908" i="11"/>
  <c r="N6913" i="11"/>
  <c r="N6918" i="11"/>
  <c r="N6924" i="11"/>
  <c r="N6929" i="11"/>
  <c r="N3006" i="11"/>
  <c r="N2974" i="11"/>
  <c r="N2943" i="11"/>
  <c r="N2915" i="11"/>
  <c r="N2879" i="11"/>
  <c r="N2852" i="11"/>
  <c r="N2824" i="11"/>
  <c r="N2792" i="11"/>
  <c r="N2763" i="11"/>
  <c r="N2736" i="11"/>
  <c r="N2702" i="11"/>
  <c r="N2672" i="11"/>
  <c r="N2644" i="11"/>
  <c r="N2611" i="11"/>
  <c r="N2586" i="11"/>
  <c r="N2558" i="11"/>
  <c r="N2522" i="11"/>
  <c r="N2494" i="11"/>
  <c r="N2468" i="11"/>
  <c r="N2422" i="11"/>
  <c r="N2383" i="11"/>
  <c r="N2344" i="11"/>
  <c r="N2298" i="11"/>
  <c r="N2267" i="11"/>
  <c r="N2223" i="11"/>
  <c r="N2182" i="11"/>
  <c r="N2128" i="11"/>
  <c r="N2084" i="11"/>
  <c r="N2026" i="11"/>
  <c r="N1969" i="11"/>
  <c r="N1920" i="11"/>
  <c r="N1861" i="11"/>
  <c r="N1813" i="11"/>
  <c r="N1761" i="11"/>
  <c r="N1684" i="11"/>
  <c r="N1615" i="11"/>
  <c r="N1549" i="11"/>
  <c r="N1393" i="11"/>
  <c r="N3014" i="11"/>
  <c r="N2991" i="11"/>
  <c r="N2963" i="11"/>
  <c r="N2927" i="11"/>
  <c r="N2899" i="11"/>
  <c r="N2872" i="11"/>
  <c r="N2838" i="11"/>
  <c r="N2810" i="11"/>
  <c r="N2778" i="11"/>
  <c r="N2746" i="11"/>
  <c r="N2720" i="11"/>
  <c r="N2688" i="11"/>
  <c r="N2659" i="11"/>
  <c r="N2624" i="11"/>
  <c r="N2602" i="11"/>
  <c r="N2568" i="11"/>
  <c r="N2538" i="11"/>
  <c r="N2510" i="11"/>
  <c r="N2474" i="11"/>
  <c r="N2443" i="11"/>
  <c r="N2404" i="11"/>
  <c r="N2358" i="11"/>
  <c r="N2319" i="11"/>
  <c r="N2287" i="11"/>
  <c r="N2240" i="11"/>
  <c r="N2203" i="11"/>
  <c r="N2164" i="11"/>
  <c r="N2100" i="11"/>
  <c r="N2053" i="11"/>
  <c r="N2004" i="11"/>
  <c r="N1946" i="11"/>
  <c r="N1893" i="11"/>
  <c r="N1846" i="11"/>
  <c r="N1785" i="11"/>
  <c r="N1728" i="11"/>
  <c r="N1657" i="11"/>
  <c r="N1577" i="11"/>
  <c r="N1485" i="11"/>
  <c r="N1313" i="11"/>
  <c r="N8407" i="11"/>
  <c r="N8403" i="11"/>
  <c r="N8399" i="11"/>
  <c r="N8395" i="11"/>
  <c r="N8391" i="11"/>
  <c r="N8387" i="11"/>
  <c r="N8383" i="11"/>
  <c r="N8379" i="11"/>
  <c r="N8375" i="11"/>
  <c r="N8371" i="11"/>
  <c r="N8367" i="11"/>
  <c r="N8363" i="11"/>
  <c r="N8359" i="11"/>
  <c r="N8355" i="11"/>
  <c r="N8351" i="11"/>
  <c r="N8347" i="11"/>
  <c r="N8343" i="11"/>
  <c r="N8339" i="11"/>
  <c r="N8335" i="11"/>
  <c r="N8331" i="11"/>
  <c r="N8327" i="11"/>
  <c r="N8323" i="11"/>
  <c r="N8319" i="11"/>
  <c r="N8315" i="11"/>
  <c r="N8311" i="11"/>
  <c r="N8307" i="11"/>
  <c r="N8303" i="11"/>
  <c r="N8299" i="11"/>
  <c r="N8295" i="11"/>
  <c r="N8291" i="11"/>
  <c r="N8287" i="11"/>
  <c r="N8283" i="11"/>
  <c r="N8279" i="11"/>
  <c r="N8275" i="11"/>
  <c r="N8271" i="11"/>
  <c r="N8267" i="11"/>
  <c r="N8263" i="11"/>
  <c r="N8259" i="11"/>
  <c r="N8255" i="11"/>
  <c r="N8251" i="11"/>
  <c r="N8247" i="11"/>
  <c r="N8243" i="11"/>
  <c r="N8239" i="11"/>
  <c r="N8235" i="11"/>
  <c r="N8231" i="11"/>
  <c r="N8227" i="11"/>
  <c r="N8223" i="11"/>
  <c r="N8219" i="11"/>
  <c r="N8215" i="11"/>
  <c r="N8211" i="11"/>
  <c r="N8207" i="11"/>
  <c r="N8203" i="11"/>
  <c r="N8199" i="11"/>
  <c r="N8195" i="11"/>
  <c r="N8191" i="11"/>
  <c r="N8187" i="11"/>
  <c r="N8183" i="11"/>
  <c r="N8179" i="11"/>
  <c r="N8175" i="11"/>
  <c r="N8171" i="11"/>
  <c r="N8167" i="11"/>
  <c r="N8163" i="11"/>
  <c r="N8159" i="11"/>
  <c r="N8155" i="11"/>
  <c r="N8151" i="11"/>
  <c r="N8147" i="11"/>
  <c r="N8143" i="11"/>
  <c r="N8139" i="11"/>
  <c r="N8135" i="11"/>
  <c r="N8131" i="11"/>
  <c r="N8127" i="11"/>
  <c r="N8123" i="11"/>
  <c r="N8119" i="11"/>
  <c r="N8115" i="11"/>
  <c r="N8111" i="11"/>
  <c r="N8107" i="11"/>
  <c r="N8103" i="11"/>
  <c r="N8099" i="11"/>
  <c r="N8095" i="11"/>
  <c r="N8091" i="11"/>
  <c r="N8087" i="11"/>
  <c r="N8083" i="11"/>
  <c r="N8079" i="11"/>
  <c r="N8075" i="11"/>
  <c r="N8071" i="11"/>
  <c r="N8067" i="11"/>
  <c r="N8063" i="11"/>
  <c r="N8059" i="11"/>
  <c r="N8055" i="11"/>
  <c r="N8051" i="11"/>
  <c r="N8047" i="11"/>
  <c r="N8043" i="11"/>
  <c r="N8039" i="11"/>
  <c r="N8035" i="11"/>
  <c r="N8031" i="11"/>
  <c r="N8027" i="11"/>
  <c r="N8023" i="11"/>
  <c r="N8019" i="11"/>
  <c r="N8015" i="11"/>
  <c r="N8011" i="11"/>
  <c r="N8007" i="11"/>
  <c r="N8003" i="11"/>
  <c r="N7999" i="11"/>
  <c r="N7995" i="11"/>
  <c r="N7991" i="11"/>
  <c r="N7987" i="11"/>
  <c r="N7983" i="11"/>
  <c r="N7979" i="11"/>
  <c r="N7975" i="11"/>
  <c r="N7971" i="11"/>
  <c r="N7967" i="11"/>
  <c r="N7963" i="11"/>
  <c r="N7959" i="11"/>
  <c r="N7955" i="11"/>
  <c r="N7951" i="11"/>
  <c r="N7947" i="11"/>
  <c r="N7943" i="11"/>
  <c r="N7939" i="11"/>
  <c r="N7935" i="11"/>
  <c r="N7931" i="11"/>
  <c r="N7927" i="11"/>
  <c r="N7923" i="11"/>
  <c r="N7919" i="11"/>
  <c r="N7915" i="11"/>
  <c r="N7911" i="11"/>
  <c r="N7907" i="11"/>
  <c r="N7903" i="11"/>
  <c r="N7899" i="11"/>
  <c r="N7895" i="11"/>
  <c r="N7891" i="11"/>
  <c r="N7887" i="11"/>
  <c r="N7883" i="11"/>
  <c r="N7879" i="11"/>
  <c r="N7875" i="11"/>
  <c r="N7871" i="11"/>
  <c r="N7867" i="11"/>
  <c r="N7863" i="11"/>
  <c r="N7859" i="11"/>
  <c r="N7855" i="11"/>
  <c r="N7851" i="11"/>
  <c r="N7847" i="11"/>
  <c r="N7843" i="11"/>
  <c r="N7839" i="11"/>
  <c r="N7835" i="11"/>
  <c r="N7831" i="11"/>
  <c r="N7827" i="11"/>
  <c r="N7823" i="11"/>
  <c r="N7819" i="11"/>
  <c r="N7815" i="11"/>
  <c r="N7811" i="11"/>
  <c r="N7807" i="11"/>
  <c r="N7803" i="11"/>
  <c r="N7799" i="11"/>
  <c r="N7795" i="11"/>
  <c r="N7791" i="11"/>
  <c r="N7787" i="11"/>
  <c r="N7783" i="11"/>
  <c r="N7779" i="11"/>
  <c r="N7775" i="11"/>
  <c r="N7771" i="11"/>
  <c r="N7767" i="11"/>
  <c r="N7763" i="11"/>
  <c r="N7759" i="11"/>
  <c r="N7755" i="11"/>
  <c r="N7751" i="11"/>
  <c r="N7747" i="11"/>
  <c r="N7743" i="11"/>
  <c r="N7739" i="11"/>
  <c r="N7735" i="11"/>
  <c r="N7731" i="11"/>
  <c r="N7727" i="11"/>
  <c r="N7723" i="11"/>
  <c r="N7719" i="11"/>
  <c r="N7715" i="11"/>
  <c r="N7711" i="11"/>
  <c r="N7707" i="11"/>
  <c r="N7703" i="11"/>
  <c r="N7699" i="11"/>
  <c r="N7695" i="11"/>
  <c r="N7691" i="11"/>
  <c r="N7687" i="11"/>
  <c r="N7683" i="11"/>
  <c r="N7679" i="11"/>
  <c r="N7675" i="11"/>
  <c r="N7671" i="11"/>
  <c r="N7667" i="11"/>
  <c r="N7663" i="11"/>
  <c r="N7659" i="11"/>
  <c r="N7655" i="11"/>
  <c r="N7651" i="11"/>
  <c r="N7647" i="11"/>
  <c r="N7643" i="11"/>
  <c r="N7639" i="11"/>
  <c r="N7635" i="11"/>
  <c r="N7631" i="11"/>
  <c r="N7627" i="11"/>
  <c r="N7623" i="11"/>
  <c r="N7619" i="11"/>
  <c r="N7615" i="11"/>
  <c r="N7611" i="11"/>
  <c r="N7607" i="11"/>
  <c r="N7603" i="11"/>
  <c r="N7599" i="11"/>
  <c r="N7595" i="11"/>
  <c r="N7591" i="11"/>
  <c r="N7587" i="11"/>
  <c r="N7583" i="11"/>
  <c r="N7579" i="11"/>
  <c r="N7575" i="11"/>
  <c r="N7571" i="11"/>
  <c r="N7567" i="11"/>
  <c r="N7563" i="11"/>
  <c r="N7559" i="11"/>
  <c r="N7555" i="11"/>
  <c r="N7551" i="11"/>
  <c r="N7547" i="11"/>
  <c r="N7543" i="11"/>
  <c r="N7539" i="11"/>
  <c r="N7535" i="11"/>
  <c r="N7531" i="11"/>
  <c r="N7527" i="11"/>
  <c r="N7523" i="11"/>
  <c r="N7519" i="11"/>
  <c r="N7515" i="11"/>
  <c r="N7511" i="11"/>
  <c r="N7507" i="11"/>
  <c r="N7503" i="11"/>
  <c r="N7499" i="11"/>
  <c r="N7495" i="11"/>
  <c r="N7491" i="11"/>
  <c r="N7487" i="11"/>
  <c r="N7483" i="11"/>
  <c r="N7479" i="11"/>
  <c r="N7475" i="11"/>
  <c r="N7471" i="11"/>
  <c r="N7467" i="11"/>
  <c r="N7463" i="11"/>
  <c r="N7459" i="11"/>
  <c r="N7455" i="11"/>
  <c r="N7451" i="11"/>
  <c r="N7447" i="11"/>
  <c r="N7443" i="11"/>
  <c r="N7439" i="11"/>
  <c r="N7435" i="11"/>
  <c r="N7431" i="11"/>
  <c r="N7427" i="11"/>
  <c r="N7423" i="11"/>
  <c r="N7419" i="11"/>
  <c r="N7415" i="11"/>
  <c r="N7411" i="11"/>
  <c r="N7407" i="11"/>
  <c r="N7403" i="11"/>
  <c r="N7399" i="11"/>
  <c r="N7395" i="11"/>
  <c r="N7391" i="11"/>
  <c r="N7387" i="11"/>
  <c r="N7383" i="11"/>
  <c r="N7379" i="11"/>
  <c r="N7375" i="11"/>
  <c r="N7371" i="11"/>
  <c r="N7367" i="11"/>
  <c r="N7363" i="11"/>
  <c r="N7359" i="11"/>
  <c r="N7355" i="11"/>
  <c r="N7351" i="11"/>
  <c r="N7347" i="11"/>
  <c r="N7343" i="11"/>
  <c r="N7339" i="11"/>
  <c r="N7335" i="11"/>
  <c r="N7331" i="11"/>
  <c r="N7327" i="11"/>
  <c r="N7323" i="11"/>
  <c r="N7319" i="11"/>
  <c r="N7315" i="11"/>
  <c r="N7311" i="11"/>
  <c r="N7307" i="11"/>
  <c r="N7303" i="11"/>
  <c r="N7299" i="11"/>
  <c r="N7295" i="11"/>
  <c r="N7291" i="11"/>
  <c r="N7287" i="11"/>
  <c r="N7283" i="11"/>
  <c r="N7279" i="11"/>
  <c r="N7275" i="11"/>
  <c r="N7271" i="11"/>
  <c r="N7267" i="11"/>
  <c r="N7263" i="11"/>
  <c r="N7259" i="11"/>
  <c r="N7255" i="11"/>
  <c r="N7251" i="11"/>
  <c r="N7247" i="11"/>
  <c r="N7243" i="11"/>
  <c r="N7239" i="11"/>
  <c r="N7235" i="11"/>
  <c r="N7231" i="11"/>
  <c r="N7227" i="11"/>
  <c r="N7223" i="11"/>
  <c r="N7219" i="11"/>
  <c r="N7215" i="11"/>
  <c r="N7211" i="11"/>
  <c r="N7207" i="11"/>
  <c r="N7203" i="11"/>
  <c r="N7199" i="11"/>
  <c r="N7195" i="11"/>
  <c r="N7191" i="11"/>
  <c r="N7187" i="11"/>
  <c r="N7183" i="11"/>
  <c r="N7179" i="11"/>
  <c r="N7175" i="11"/>
  <c r="N7171" i="11"/>
  <c r="N7167" i="11"/>
  <c r="N7163" i="11"/>
  <c r="N7159" i="11"/>
  <c r="N7155" i="11"/>
  <c r="N7151" i="11"/>
  <c r="N7147" i="11"/>
  <c r="N7143" i="11"/>
  <c r="N7139" i="11"/>
  <c r="N7135" i="11"/>
  <c r="N7131" i="11"/>
  <c r="N7127" i="11"/>
  <c r="N7123" i="11"/>
  <c r="N7119" i="11"/>
  <c r="N7115" i="11"/>
  <c r="N7111" i="11"/>
  <c r="N7107" i="11"/>
  <c r="N7103" i="11"/>
  <c r="N7099" i="11"/>
  <c r="N7095" i="11"/>
  <c r="N7091" i="11"/>
  <c r="N7087" i="11"/>
  <c r="N7083" i="11"/>
  <c r="N7079" i="11"/>
  <c r="N7075" i="11"/>
  <c r="N7071" i="11"/>
  <c r="N7067" i="11"/>
  <c r="N7063" i="11"/>
  <c r="N7059" i="11"/>
  <c r="N7055" i="11"/>
  <c r="N7051" i="11"/>
  <c r="N7047" i="11"/>
  <c r="N7043" i="11"/>
  <c r="N7039" i="11"/>
  <c r="N7035" i="11"/>
  <c r="N7031" i="11"/>
  <c r="N7027" i="11"/>
  <c r="N7023" i="11"/>
  <c r="N7019" i="11"/>
  <c r="N7015" i="11"/>
  <c r="N7011" i="11"/>
  <c r="N7007" i="11"/>
  <c r="N7003" i="11"/>
  <c r="N6999" i="11"/>
  <c r="N6995" i="11"/>
  <c r="N6991" i="11"/>
  <c r="N6987" i="11"/>
  <c r="N6983" i="11"/>
  <c r="N6979" i="11"/>
  <c r="N6975" i="11"/>
  <c r="N6971" i="11"/>
  <c r="N6967" i="11"/>
  <c r="N6963" i="11"/>
  <c r="N6959" i="11"/>
  <c r="N6955" i="11"/>
  <c r="N6951" i="11"/>
  <c r="N6947" i="11"/>
  <c r="N6943" i="11"/>
  <c r="N6939" i="11"/>
  <c r="N6935" i="11"/>
  <c r="N6931" i="11"/>
  <c r="N6927" i="11"/>
  <c r="N6923" i="11"/>
  <c r="N6919" i="11"/>
  <c r="N6915" i="11"/>
  <c r="N6911" i="11"/>
  <c r="N6907" i="11"/>
  <c r="N6903" i="11"/>
  <c r="N6899" i="11"/>
  <c r="N6895" i="11"/>
  <c r="N6891" i="11"/>
  <c r="N6887" i="11"/>
  <c r="N6883" i="11"/>
  <c r="N6879" i="11"/>
  <c r="N6875" i="11"/>
  <c r="N6871" i="11"/>
  <c r="N6867" i="11"/>
  <c r="N6863" i="11"/>
  <c r="N6859" i="11"/>
  <c r="N6855" i="11"/>
  <c r="N6851" i="11"/>
  <c r="N6847" i="11"/>
  <c r="N6843" i="11"/>
  <c r="N6839" i="11"/>
  <c r="N6835" i="11"/>
  <c r="N6831" i="11"/>
  <c r="N6827" i="11"/>
  <c r="N6823" i="11"/>
  <c r="N6819" i="11"/>
  <c r="N6815" i="11"/>
  <c r="N6811" i="11"/>
  <c r="N6807" i="11"/>
  <c r="N6803" i="11"/>
  <c r="N6799" i="11"/>
  <c r="N6795" i="11"/>
  <c r="N6791" i="11"/>
  <c r="N6787" i="11"/>
  <c r="N6783" i="11"/>
  <c r="N6779" i="11"/>
  <c r="N6775" i="11"/>
  <c r="N6771" i="11"/>
  <c r="N6767" i="11"/>
  <c r="N6763" i="11"/>
  <c r="N6759" i="11"/>
  <c r="N6755" i="11"/>
  <c r="N6751" i="11"/>
  <c r="N6747" i="11"/>
  <c r="N6743" i="11"/>
  <c r="N6739" i="11"/>
  <c r="N6735" i="11"/>
  <c r="N6731" i="11"/>
  <c r="N6727" i="11"/>
  <c r="N6723" i="11"/>
  <c r="N6719" i="11"/>
  <c r="N6715" i="11"/>
  <c r="N6710" i="11"/>
  <c r="N6704" i="11"/>
  <c r="N6699" i="11"/>
  <c r="N6694" i="11"/>
  <c r="N6688" i="11"/>
  <c r="N6683" i="11"/>
  <c r="N6678" i="11"/>
  <c r="N6672" i="11"/>
  <c r="N6667" i="11"/>
  <c r="N6662" i="11"/>
  <c r="N6656" i="11"/>
  <c r="N6651" i="11"/>
  <c r="N6646" i="11"/>
  <c r="N6640" i="11"/>
  <c r="N6635" i="11"/>
  <c r="N6630" i="11"/>
  <c r="N6624" i="11"/>
  <c r="N6619" i="11"/>
  <c r="N6614" i="11"/>
  <c r="N6608" i="11"/>
  <c r="N6603" i="11"/>
  <c r="N6598" i="11"/>
  <c r="N6592" i="11"/>
  <c r="N6587" i="11"/>
  <c r="N6582" i="11"/>
  <c r="N6576" i="11"/>
  <c r="N6571" i="11"/>
  <c r="N6566" i="11"/>
  <c r="N6560" i="11"/>
  <c r="N6555" i="11"/>
  <c r="N6550" i="11"/>
  <c r="N6544" i="11"/>
  <c r="N6539" i="11"/>
  <c r="N6534" i="11"/>
  <c r="N6528" i="11"/>
  <c r="N6523" i="11"/>
  <c r="N6518" i="11"/>
  <c r="N6512" i="11"/>
  <c r="N6507" i="11"/>
  <c r="N6502" i="11"/>
  <c r="N6496" i="11"/>
  <c r="N6491" i="11"/>
  <c r="N6486" i="11"/>
  <c r="N6480" i="11"/>
  <c r="N6475" i="11"/>
  <c r="N6470" i="11"/>
  <c r="N6464" i="11"/>
  <c r="N6459" i="11"/>
  <c r="N6454" i="11"/>
  <c r="N6448" i="11"/>
  <c r="N6443" i="11"/>
  <c r="N6438" i="11"/>
  <c r="N6432" i="11"/>
  <c r="N6427" i="11"/>
  <c r="N6422" i="11"/>
  <c r="N6416" i="11"/>
  <c r="N6411" i="11"/>
  <c r="N6406" i="11"/>
  <c r="N6400" i="11"/>
  <c r="N6395" i="11"/>
  <c r="N6390" i="11"/>
  <c r="N6384" i="11"/>
  <c r="N6379" i="11"/>
  <c r="N6374" i="11"/>
  <c r="N6368" i="11"/>
  <c r="N6363" i="11"/>
  <c r="N6358" i="11"/>
  <c r="N6352" i="11"/>
  <c r="N6347" i="11"/>
  <c r="N6342" i="11"/>
  <c r="N6336" i="11"/>
  <c r="N6331" i="11"/>
  <c r="N6326" i="11"/>
  <c r="N6320" i="11"/>
  <c r="N6315" i="11"/>
  <c r="N6310" i="11"/>
  <c r="N6304" i="11"/>
  <c r="N6299" i="11"/>
  <c r="N6294" i="11"/>
  <c r="N6288" i="11"/>
  <c r="N6283" i="11"/>
  <c r="N6278" i="11"/>
  <c r="N6272" i="11"/>
  <c r="N6267" i="11"/>
  <c r="N6262" i="11"/>
  <c r="N6256" i="11"/>
  <c r="N6251" i="11"/>
  <c r="N6246" i="11"/>
  <c r="N6240" i="11"/>
  <c r="N6235" i="11"/>
  <c r="N6230" i="11"/>
  <c r="N6224" i="11"/>
  <c r="N6219" i="11"/>
  <c r="N6214" i="11"/>
  <c r="N6208" i="11"/>
  <c r="N6203" i="11"/>
  <c r="N6198" i="11"/>
  <c r="N6192" i="11"/>
  <c r="N6187" i="11"/>
  <c r="N6182" i="11"/>
  <c r="N6176" i="11"/>
  <c r="N6171" i="11"/>
  <c r="N6166" i="11"/>
  <c r="N6160" i="11"/>
  <c r="N6155" i="11"/>
  <c r="N6150" i="11"/>
  <c r="N6144" i="11"/>
  <c r="N6139" i="11"/>
  <c r="N6134" i="11"/>
  <c r="N6128" i="11"/>
  <c r="N6123" i="11"/>
  <c r="N6118" i="11"/>
  <c r="N6112" i="11"/>
  <c r="N6107" i="11"/>
  <c r="N6102" i="11"/>
  <c r="N6096" i="11"/>
  <c r="N6091" i="11"/>
  <c r="N6086" i="11"/>
  <c r="N6080" i="11"/>
  <c r="N6075" i="11"/>
  <c r="N6070" i="11"/>
  <c r="N6064" i="11"/>
  <c r="N6059" i="11"/>
  <c r="N6054" i="11"/>
  <c r="N6048" i="11"/>
  <c r="N6043" i="11"/>
  <c r="N6038" i="11"/>
  <c r="N6032" i="11"/>
  <c r="N6027" i="11"/>
  <c r="N6022" i="11"/>
  <c r="N6016" i="11"/>
  <c r="N6011" i="11"/>
  <c r="N6006" i="11"/>
  <c r="N6000" i="11"/>
  <c r="N5995" i="11"/>
  <c r="N5990" i="11"/>
  <c r="N5984" i="11"/>
  <c r="N5979" i="11"/>
  <c r="N5974" i="11"/>
  <c r="N5968" i="11"/>
  <c r="N5963" i="11"/>
  <c r="N5958" i="11"/>
  <c r="N5952" i="11"/>
  <c r="N5947" i="11"/>
  <c r="N5942" i="11"/>
  <c r="N5936" i="11"/>
  <c r="N5931" i="11"/>
  <c r="N5926" i="11"/>
  <c r="N5920" i="11"/>
  <c r="N5915" i="11"/>
  <c r="N5910" i="11"/>
  <c r="N5904" i="11"/>
  <c r="N5899" i="11"/>
  <c r="N5894" i="11"/>
  <c r="N5888" i="11"/>
  <c r="N5883" i="11"/>
  <c r="N5878" i="11"/>
  <c r="N5872" i="11"/>
  <c r="N5867" i="11"/>
  <c r="N5862" i="11"/>
  <c r="N5856" i="11"/>
  <c r="N5851" i="11"/>
  <c r="N5846" i="11"/>
  <c r="N5840" i="11"/>
  <c r="N5835" i="11"/>
  <c r="N5830" i="11"/>
  <c r="N5824" i="11"/>
  <c r="N5819" i="11"/>
  <c r="N5814" i="11"/>
  <c r="N5808" i="11"/>
  <c r="N5803" i="11"/>
  <c r="N5798" i="11"/>
  <c r="N5792" i="11"/>
  <c r="N5787" i="11"/>
  <c r="N5782" i="11"/>
  <c r="N5776" i="11"/>
  <c r="N5771" i="11"/>
  <c r="N5766" i="11"/>
  <c r="N5760" i="11"/>
  <c r="N5755" i="11"/>
  <c r="N5750" i="11"/>
  <c r="N5744" i="11"/>
  <c r="N5739" i="11"/>
  <c r="N5734" i="11"/>
  <c r="N5728" i="11"/>
  <c r="N5723" i="11"/>
  <c r="N5718" i="11"/>
  <c r="N5712" i="11"/>
  <c r="N5707" i="11"/>
  <c r="N5702" i="11"/>
  <c r="N5696" i="11"/>
  <c r="N5691" i="11"/>
  <c r="N5686" i="11"/>
  <c r="N5680" i="11"/>
  <c r="N5675" i="11"/>
  <c r="N5670" i="11"/>
  <c r="N5664" i="11"/>
  <c r="N5659" i="11"/>
  <c r="N5654" i="11"/>
  <c r="N5648" i="11"/>
  <c r="N5643" i="11"/>
  <c r="N5638" i="11"/>
  <c r="N5632" i="11"/>
  <c r="N5627" i="11"/>
  <c r="N5622" i="11"/>
  <c r="N5616" i="11"/>
  <c r="N5611" i="11"/>
  <c r="N5606" i="11"/>
  <c r="N5600" i="11"/>
  <c r="N5595" i="11"/>
  <c r="N5590" i="11"/>
  <c r="N5584" i="11"/>
  <c r="N5579" i="11"/>
  <c r="N5574" i="11"/>
  <c r="N5568" i="11"/>
  <c r="N5563" i="11"/>
  <c r="N5558" i="11"/>
  <c r="N5552" i="11"/>
  <c r="N5547" i="11"/>
  <c r="N5542" i="11"/>
  <c r="N5536" i="11"/>
  <c r="N5531" i="11"/>
  <c r="N5526" i="11"/>
  <c r="N5520" i="11"/>
  <c r="N5515" i="11"/>
  <c r="N5510" i="11"/>
  <c r="N5503" i="11"/>
  <c r="N5497" i="11"/>
  <c r="N5490" i="11"/>
  <c r="N5482" i="11"/>
  <c r="N5475" i="11"/>
  <c r="N5469" i="11"/>
  <c r="N5461" i="11"/>
  <c r="N5454" i="11"/>
  <c r="N5447" i="11"/>
  <c r="N5439" i="11"/>
  <c r="N5433" i="11"/>
  <c r="N5426" i="11"/>
  <c r="N5418" i="11"/>
  <c r="N5411" i="11"/>
  <c r="N5405" i="11"/>
  <c r="N5397" i="11"/>
  <c r="N5390" i="11"/>
  <c r="N5383" i="11"/>
  <c r="N5375" i="11"/>
  <c r="N5369" i="11"/>
  <c r="N5362" i="11"/>
  <c r="N5354" i="11"/>
  <c r="N5347" i="11"/>
  <c r="N5341" i="11"/>
  <c r="N5333" i="11"/>
  <c r="N5326" i="11"/>
  <c r="N5319" i="11"/>
  <c r="N5311" i="11"/>
  <c r="N5305" i="11"/>
  <c r="N5298" i="11"/>
  <c r="N5290" i="11"/>
  <c r="N5283" i="11"/>
  <c r="N5277" i="11"/>
  <c r="N5269" i="11"/>
  <c r="N5262" i="11"/>
  <c r="N5255" i="11"/>
  <c r="N5247" i="11"/>
  <c r="N5241" i="11"/>
  <c r="N5234" i="11"/>
  <c r="N5226" i="11"/>
  <c r="N5219" i="11"/>
  <c r="N5213" i="11"/>
  <c r="N5205" i="11"/>
  <c r="N5198" i="11"/>
  <c r="N5191" i="11"/>
  <c r="N5183" i="11"/>
  <c r="N5177" i="11"/>
  <c r="N5170" i="11"/>
  <c r="N5162" i="11"/>
  <c r="N5155" i="11"/>
  <c r="N5149" i="11"/>
  <c r="N5141" i="11"/>
  <c r="N5134" i="11"/>
  <c r="N5127" i="11"/>
  <c r="N5119" i="11"/>
  <c r="N5113" i="11"/>
  <c r="N5106" i="11"/>
  <c r="N5098" i="11"/>
  <c r="N5091" i="11"/>
  <c r="N5085" i="11"/>
  <c r="N5077" i="11"/>
  <c r="N5070" i="11"/>
  <c r="N5063" i="11"/>
  <c r="N5055" i="11"/>
  <c r="N5049" i="11"/>
  <c r="N5042" i="11"/>
  <c r="N5034" i="11"/>
  <c r="N5027" i="11"/>
  <c r="N5021" i="11"/>
  <c r="N5013" i="11"/>
  <c r="N5006" i="11"/>
  <c r="N4999" i="11"/>
  <c r="N4991" i="11"/>
  <c r="N4985" i="11"/>
  <c r="N4978" i="11"/>
  <c r="N4970" i="11"/>
  <c r="N4963" i="11"/>
  <c r="N4957" i="11"/>
  <c r="N4949" i="11"/>
  <c r="N4942" i="11"/>
  <c r="N4935" i="11"/>
  <c r="N4927" i="11"/>
  <c r="N4921" i="11"/>
  <c r="N4914" i="11"/>
  <c r="N4906" i="11"/>
  <c r="N4899" i="11"/>
  <c r="N4893" i="11"/>
  <c r="N4885" i="11"/>
  <c r="N4878" i="11"/>
  <c r="N4871" i="11"/>
  <c r="N4863" i="11"/>
  <c r="N4857" i="11"/>
  <c r="N4850" i="11"/>
  <c r="N4841" i="11"/>
  <c r="N4833" i="11"/>
  <c r="N4823" i="11"/>
  <c r="N4813" i="11"/>
  <c r="N4803" i="11"/>
  <c r="N4795" i="11"/>
  <c r="N4785" i="11"/>
  <c r="N4775" i="11"/>
  <c r="N4766" i="11"/>
  <c r="N4755" i="11"/>
  <c r="N4747" i="11"/>
  <c r="N4738" i="11"/>
  <c r="N4725" i="11"/>
  <c r="N4713" i="11"/>
  <c r="N4703" i="11"/>
  <c r="N4688" i="11"/>
  <c r="N4676" i="11"/>
  <c r="N4664" i="11"/>
  <c r="N4649" i="11"/>
  <c r="N4639" i="11"/>
  <c r="N4627" i="11"/>
  <c r="N4612" i="11"/>
  <c r="N4600" i="11"/>
  <c r="N4589" i="11"/>
  <c r="N4575" i="11"/>
  <c r="N4563" i="11"/>
  <c r="N4549" i="11"/>
  <c r="N4536" i="11"/>
  <c r="N4525" i="11"/>
  <c r="N4512" i="11"/>
  <c r="N4499" i="11"/>
  <c r="N4485" i="11"/>
  <c r="N4475" i="11"/>
  <c r="N4461" i="11"/>
  <c r="N4448" i="11"/>
  <c r="N4436" i="11"/>
  <c r="N4421" i="11"/>
  <c r="N4411" i="11"/>
  <c r="N4399" i="11"/>
  <c r="N4384" i="11"/>
  <c r="N4372" i="11"/>
  <c r="N4361" i="11"/>
  <c r="N4347" i="11"/>
  <c r="N4335" i="11"/>
  <c r="N4323" i="11"/>
  <c r="N4308" i="11"/>
  <c r="N4297" i="11"/>
  <c r="N4285" i="11"/>
  <c r="N4271" i="11"/>
  <c r="N4259" i="11"/>
  <c r="N4248" i="11"/>
  <c r="N4233" i="11"/>
  <c r="N4221" i="11"/>
  <c r="N4208" i="11"/>
  <c r="N4195" i="11"/>
  <c r="N4184" i="11"/>
  <c r="N4171" i="11"/>
  <c r="N4157" i="11"/>
  <c r="N4144" i="11"/>
  <c r="N4133" i="11"/>
  <c r="N4120" i="11"/>
  <c r="N4107" i="11"/>
  <c r="N4095" i="11"/>
  <c r="N4080" i="11"/>
  <c r="N4069" i="11"/>
  <c r="N4057" i="11"/>
  <c r="N4043" i="11"/>
  <c r="N4031" i="11"/>
  <c r="N4020" i="11"/>
  <c r="N4005" i="11"/>
  <c r="N3993" i="11"/>
  <c r="N3981" i="11"/>
  <c r="N3967" i="11"/>
  <c r="N3956" i="11"/>
  <c r="N3944" i="11"/>
  <c r="N3929" i="11"/>
  <c r="N3917" i="11"/>
  <c r="N3907" i="11"/>
  <c r="N3892" i="11"/>
  <c r="N3880" i="11"/>
  <c r="N3867" i="11"/>
  <c r="N3853" i="11"/>
  <c r="N3843" i="11"/>
  <c r="N3829" i="11"/>
  <c r="N3816" i="11"/>
  <c r="N3803" i="11"/>
  <c r="N3792" i="11"/>
  <c r="N3779" i="11"/>
  <c r="N3765" i="11"/>
  <c r="N3753" i="11"/>
  <c r="N3739" i="11"/>
  <c r="N3728" i="11"/>
  <c r="N3716" i="11"/>
  <c r="N3701" i="11"/>
  <c r="N3689" i="11"/>
  <c r="N3679" i="11"/>
  <c r="N3664" i="11"/>
  <c r="N3652" i="11"/>
  <c r="N3640" i="11"/>
  <c r="N3625" i="11"/>
  <c r="N3615" i="11"/>
  <c r="N3603" i="11"/>
  <c r="N3588" i="11"/>
  <c r="N3576" i="11"/>
  <c r="N3565" i="11"/>
  <c r="N3551" i="11"/>
  <c r="N3539" i="11"/>
  <c r="N3525" i="11"/>
  <c r="N3512" i="11"/>
  <c r="N3501" i="11"/>
  <c r="N3488" i="11"/>
  <c r="N3475" i="11"/>
  <c r="N3461" i="11"/>
  <c r="N3451" i="11"/>
  <c r="N3437" i="11"/>
  <c r="N3424" i="11"/>
  <c r="N3412" i="11"/>
  <c r="N3397" i="11"/>
  <c r="N3387" i="11"/>
  <c r="N3375" i="11"/>
  <c r="N3359" i="11"/>
  <c r="N3343" i="11"/>
  <c r="N3328" i="11"/>
  <c r="N3309" i="11"/>
  <c r="N3293" i="11"/>
  <c r="N3277" i="11"/>
  <c r="N3257" i="11"/>
  <c r="N3243" i="11"/>
  <c r="N3227" i="11"/>
  <c r="N3208" i="11"/>
  <c r="N3192" i="11"/>
  <c r="N3177" i="11"/>
  <c r="N3157" i="11"/>
  <c r="N3141" i="11"/>
  <c r="N3124" i="11"/>
  <c r="N3107" i="11"/>
  <c r="N3092" i="11"/>
  <c r="N3075" i="11"/>
  <c r="N3056" i="11"/>
  <c r="N3039" i="11"/>
  <c r="N3023" i="11"/>
  <c r="N3000" i="11"/>
  <c r="N2976" i="11"/>
  <c r="N2955" i="11"/>
  <c r="N2928" i="11"/>
  <c r="N2910" i="11"/>
  <c r="N2888" i="11"/>
  <c r="N2863" i="11"/>
  <c r="N2842" i="11"/>
  <c r="N2822" i="11"/>
  <c r="N2795" i="11"/>
  <c r="N2774" i="11"/>
  <c r="N2752" i="11"/>
  <c r="N2728" i="11"/>
  <c r="N2708" i="11"/>
  <c r="N2687" i="11"/>
  <c r="N2660" i="11"/>
  <c r="N2639" i="11"/>
  <c r="N2622" i="11"/>
  <c r="N2595" i="11"/>
  <c r="N2574" i="11"/>
  <c r="N2550" i="11"/>
  <c r="N2526" i="11"/>
  <c r="N2507" i="11"/>
  <c r="N2483" i="11"/>
  <c r="N2458" i="11"/>
  <c r="N2424" i="11"/>
  <c r="N2400" i="11"/>
  <c r="N2367" i="11"/>
  <c r="N2336" i="11"/>
  <c r="N2308" i="11"/>
  <c r="N2272" i="11"/>
  <c r="N2248" i="11"/>
  <c r="N2219" i="11"/>
  <c r="N2184" i="11"/>
  <c r="N2149" i="11"/>
  <c r="N2117" i="11"/>
  <c r="N2070" i="11"/>
  <c r="N2033" i="11"/>
  <c r="N1996" i="11"/>
  <c r="N1948" i="11"/>
  <c r="N1913" i="11"/>
  <c r="N1876" i="11"/>
  <c r="N1833" i="11"/>
  <c r="N1793" i="11"/>
  <c r="N1758" i="11"/>
  <c r="N1700" i="11"/>
  <c r="N1648" i="11"/>
  <c r="N1595" i="11"/>
  <c r="N1513" i="11"/>
  <c r="N1435" i="11"/>
  <c r="N1024" i="11"/>
  <c r="N1050" i="11"/>
  <c r="N1260" i="11"/>
  <c r="N1325" i="11"/>
  <c r="N1379" i="11"/>
  <c r="N1419" i="11"/>
  <c r="N1447" i="11"/>
  <c r="N1483" i="11"/>
  <c r="N1510" i="11"/>
  <c r="N1538" i="11"/>
  <c r="N1562" i="11"/>
  <c r="N1583" i="11"/>
  <c r="N1600" i="11"/>
  <c r="N1620" i="11"/>
  <c r="N1636" i="11"/>
  <c r="N1652" i="11"/>
  <c r="N1671" i="11"/>
  <c r="N1685" i="11"/>
  <c r="N1701" i="11"/>
  <c r="N1721" i="11"/>
  <c r="N1737" i="11"/>
  <c r="N1750" i="11"/>
  <c r="N1765" i="11"/>
  <c r="N1777" i="11"/>
  <c r="N1790" i="11"/>
  <c r="N1804" i="11"/>
  <c r="N1814" i="11"/>
  <c r="N1828" i="11"/>
  <c r="N1841" i="11"/>
  <c r="N1854" i="11"/>
  <c r="N1865" i="11"/>
  <c r="N1878" i="11"/>
  <c r="N1892" i="11"/>
  <c r="N1904" i="11"/>
  <c r="N1918" i="11"/>
  <c r="N1929" i="11"/>
  <c r="N1941" i="11"/>
  <c r="N1956" i="11"/>
  <c r="N1968" i="11"/>
  <c r="N1978" i="11"/>
  <c r="N1993" i="11"/>
  <c r="N2005" i="11"/>
  <c r="N2017" i="11"/>
  <c r="N2032" i="11"/>
  <c r="N2042" i="11"/>
  <c r="N2054" i="11"/>
  <c r="N2069" i="11"/>
  <c r="N2081" i="11"/>
  <c r="N2092" i="11"/>
  <c r="N2106" i="11"/>
  <c r="N2118" i="11"/>
  <c r="N2132" i="11"/>
  <c r="N2145" i="11"/>
  <c r="N2156" i="11"/>
  <c r="N2169" i="11"/>
  <c r="N2180" i="11"/>
  <c r="N2190" i="11"/>
  <c r="N2198" i="11"/>
  <c r="N2208" i="11"/>
  <c r="N2218" i="11"/>
  <c r="N2227" i="11"/>
  <c r="N2238" i="11"/>
  <c r="N2246" i="11"/>
  <c r="N2255" i="11"/>
  <c r="N2266" i="11"/>
  <c r="N2275" i="11"/>
  <c r="N2283" i="11"/>
  <c r="N2294" i="11"/>
  <c r="N2303" i="11"/>
  <c r="N2312" i="11"/>
  <c r="N2323" i="11"/>
  <c r="N2331" i="11"/>
  <c r="N2340" i="11"/>
  <c r="N2351" i="11"/>
  <c r="N2360" i="11"/>
  <c r="N2368" i="11"/>
  <c r="N2379" i="11"/>
  <c r="N2388" i="11"/>
  <c r="N2398" i="11"/>
  <c r="N2408" i="11"/>
  <c r="N2416" i="11"/>
  <c r="N2426" i="11"/>
  <c r="N2436" i="11"/>
  <c r="N2446" i="11"/>
  <c r="N2454" i="11"/>
  <c r="N2464" i="11"/>
  <c r="N1109" i="11"/>
  <c r="N1307" i="11"/>
  <c r="N1369" i="11"/>
  <c r="N1425" i="11"/>
  <c r="N1463" i="11"/>
  <c r="N1502" i="11"/>
  <c r="N1546" i="11"/>
  <c r="N1573" i="11"/>
  <c r="N1599" i="11"/>
  <c r="N1623" i="11"/>
  <c r="N1644" i="11"/>
  <c r="N1664" i="11"/>
  <c r="N1691" i="11"/>
  <c r="N1712" i="11"/>
  <c r="N1733" i="11"/>
  <c r="N1756" i="11"/>
  <c r="N1770" i="11"/>
  <c r="N1786" i="11"/>
  <c r="N1806" i="11"/>
  <c r="N1822" i="11"/>
  <c r="N1836" i="11"/>
  <c r="N1856" i="11"/>
  <c r="N1872" i="11"/>
  <c r="N1889" i="11"/>
  <c r="N1908" i="11"/>
  <c r="N1921" i="11"/>
  <c r="N1940" i="11"/>
  <c r="N1957" i="11"/>
  <c r="N1974" i="11"/>
  <c r="N1989" i="11"/>
  <c r="N2006" i="11"/>
  <c r="N2025" i="11"/>
  <c r="N2041" i="11"/>
  <c r="N2060" i="11"/>
  <c r="N2074" i="11"/>
  <c r="N2090" i="11"/>
  <c r="N2110" i="11"/>
  <c r="N2126" i="11"/>
  <c r="N2140" i="11"/>
  <c r="N2160" i="11"/>
  <c r="N2175" i="11"/>
  <c r="N2187" i="11"/>
  <c r="N2202" i="11"/>
  <c r="N2212" i="11"/>
  <c r="N2224" i="11"/>
  <c r="N2239" i="11"/>
  <c r="N2251" i="11"/>
  <c r="N2262" i="11"/>
  <c r="N2276" i="11"/>
  <c r="N2288" i="11"/>
  <c r="N2302" i="11"/>
  <c r="N2315" i="11"/>
  <c r="N2326" i="11"/>
  <c r="N2339" i="11"/>
  <c r="N2352" i="11"/>
  <c r="N2366" i="11"/>
  <c r="N2376" i="11"/>
  <c r="N2390" i="11"/>
  <c r="N2403" i="11"/>
  <c r="N2415" i="11"/>
  <c r="N2430" i="11"/>
  <c r="N2440" i="11"/>
  <c r="N2452" i="11"/>
  <c r="N2467" i="11"/>
  <c r="N2475" i="11"/>
  <c r="N2486" i="11"/>
  <c r="N2495" i="11"/>
  <c r="N2504" i="11"/>
  <c r="N2515" i="11"/>
  <c r="N2523" i="11"/>
  <c r="N2532" i="11"/>
  <c r="N2543" i="11"/>
  <c r="N2552" i="11"/>
  <c r="N2560" i="11"/>
  <c r="N2571" i="11"/>
  <c r="N2580" i="11"/>
  <c r="N2590" i="11"/>
  <c r="N2600" i="11"/>
  <c r="N2608" i="11"/>
  <c r="N2618" i="11"/>
  <c r="N2628" i="11"/>
  <c r="N2638" i="11"/>
  <c r="N2646" i="11"/>
  <c r="N2656" i="11"/>
  <c r="N2666" i="11"/>
  <c r="N2675" i="11"/>
  <c r="N2686" i="11"/>
  <c r="N2694" i="11"/>
  <c r="N2703" i="11"/>
  <c r="N2714" i="11"/>
  <c r="N2723" i="11"/>
  <c r="N2731" i="11"/>
  <c r="N2742" i="11"/>
  <c r="N2751" i="11"/>
  <c r="N2760" i="11"/>
  <c r="N2771" i="11"/>
  <c r="N2779" i="11"/>
  <c r="N2788" i="11"/>
  <c r="N2799" i="11"/>
  <c r="N2808" i="11"/>
  <c r="N2816" i="11"/>
  <c r="N2827" i="11"/>
  <c r="N2836" i="11"/>
  <c r="N2846" i="11"/>
  <c r="N2856" i="11"/>
  <c r="N2864" i="11"/>
  <c r="N2874" i="11"/>
  <c r="N2884" i="11"/>
  <c r="N2894" i="11"/>
  <c r="N2902" i="11"/>
  <c r="N2912" i="11"/>
  <c r="N2922" i="11"/>
  <c r="N2931" i="11"/>
  <c r="N2942" i="11"/>
  <c r="N2950" i="11"/>
  <c r="N2959" i="11"/>
  <c r="N2970" i="11"/>
  <c r="N2979" i="11"/>
  <c r="N2987" i="11"/>
  <c r="N2998" i="11"/>
  <c r="N3007" i="11"/>
  <c r="N3016" i="11"/>
  <c r="N3027" i="11"/>
  <c r="N3033" i="11"/>
  <c r="N3040" i="11"/>
  <c r="N3048" i="11"/>
  <c r="N3055" i="11"/>
  <c r="N3061" i="11"/>
  <c r="N3069" i="11"/>
  <c r="N3076" i="11"/>
  <c r="N3083" i="11"/>
  <c r="N3091" i="11"/>
  <c r="N3097" i="11"/>
  <c r="N3104" i="11"/>
  <c r="N3112" i="11"/>
  <c r="N3119" i="11"/>
  <c r="N3125" i="11"/>
  <c r="N3133" i="11"/>
  <c r="N3140" i="11"/>
  <c r="N3147" i="11"/>
  <c r="N3155" i="11"/>
  <c r="N3161" i="11"/>
  <c r="N3168" i="11"/>
  <c r="N3176" i="11"/>
  <c r="N3183" i="11"/>
  <c r="N3189" i="11"/>
  <c r="N3197" i="11"/>
  <c r="N3204" i="11"/>
  <c r="N3211" i="11"/>
  <c r="N3219" i="11"/>
  <c r="N3225" i="11"/>
  <c r="N3232" i="11"/>
  <c r="N3240" i="11"/>
  <c r="N3247" i="11"/>
  <c r="N3253" i="11"/>
  <c r="N3261" i="11"/>
  <c r="N3268" i="11"/>
  <c r="N3275" i="11"/>
  <c r="N3283" i="11"/>
  <c r="N3289" i="11"/>
  <c r="N3296" i="11"/>
  <c r="N3304" i="11"/>
  <c r="N3311" i="11"/>
  <c r="N3317" i="11"/>
  <c r="N3325" i="11"/>
  <c r="N3332" i="11"/>
  <c r="N3339" i="11"/>
  <c r="N3347" i="11"/>
  <c r="N3353" i="11"/>
  <c r="N3360" i="11"/>
  <c r="N1170" i="11"/>
  <c r="N1346" i="11"/>
  <c r="N1413" i="11"/>
  <c r="N1470" i="11"/>
  <c r="N1523" i="11"/>
  <c r="N1566" i="11"/>
  <c r="N1607" i="11"/>
  <c r="N1633" i="11"/>
  <c r="N1663" i="11"/>
  <c r="N1695" i="11"/>
  <c r="N1723" i="11"/>
  <c r="N1749" i="11"/>
  <c r="N1776" i="11"/>
  <c r="N1797" i="11"/>
  <c r="N1818" i="11"/>
  <c r="N1844" i="11"/>
  <c r="N1862" i="11"/>
  <c r="N1884" i="11"/>
  <c r="N1910" i="11"/>
  <c r="N1932" i="11"/>
  <c r="N1950" i="11"/>
  <c r="N1977" i="11"/>
  <c r="N1998" i="11"/>
  <c r="N2021" i="11"/>
  <c r="N2046" i="11"/>
  <c r="N2064" i="11"/>
  <c r="N2089" i="11"/>
  <c r="N2112" i="11"/>
  <c r="N2134" i="11"/>
  <c r="N2154" i="11"/>
  <c r="N2176" i="11"/>
  <c r="N2195" i="11"/>
  <c r="N2211" i="11"/>
  <c r="N2230" i="11"/>
  <c r="N2244" i="11"/>
  <c r="N2260" i="11"/>
  <c r="N2280" i="11"/>
  <c r="N2296" i="11"/>
  <c r="N2310" i="11"/>
  <c r="N2330" i="11"/>
  <c r="N2346" i="11"/>
  <c r="N2362" i="11"/>
  <c r="N2382" i="11"/>
  <c r="N2395" i="11"/>
  <c r="N2411" i="11"/>
  <c r="N2431" i="11"/>
  <c r="N2447" i="11"/>
  <c r="N2462" i="11"/>
  <c r="N2479" i="11"/>
  <c r="N2490" i="11"/>
  <c r="N2502" i="11"/>
  <c r="N2516" i="11"/>
  <c r="N2528" i="11"/>
  <c r="N2539" i="11"/>
  <c r="N2554" i="11"/>
  <c r="N2566" i="11"/>
  <c r="N2579" i="11"/>
  <c r="N2592" i="11"/>
  <c r="N2603" i="11"/>
  <c r="N2616" i="11"/>
  <c r="N2630" i="11"/>
  <c r="N2643" i="11"/>
  <c r="N2654" i="11"/>
  <c r="N2667" i="11"/>
  <c r="N2680" i="11"/>
  <c r="N2692" i="11"/>
  <c r="N2707" i="11"/>
  <c r="N2718" i="11"/>
  <c r="N2730" i="11"/>
  <c r="N2744" i="11"/>
  <c r="N2756" i="11"/>
  <c r="N2767" i="11"/>
  <c r="N2782" i="11"/>
  <c r="N2794" i="11"/>
  <c r="N2806" i="11"/>
  <c r="N2820" i="11"/>
  <c r="N2831" i="11"/>
  <c r="N2843" i="11"/>
  <c r="N2858" i="11"/>
  <c r="N2870" i="11"/>
  <c r="N2880" i="11"/>
  <c r="N2895" i="11"/>
  <c r="N2907" i="11"/>
  <c r="N2920" i="11"/>
  <c r="N2934" i="11"/>
  <c r="N2944" i="11"/>
  <c r="N2958" i="11"/>
  <c r="N2971" i="11"/>
  <c r="N2984" i="11"/>
  <c r="N2995" i="11"/>
  <c r="N3008" i="11"/>
  <c r="N3022" i="11"/>
  <c r="N3032" i="11"/>
  <c r="N3043" i="11"/>
  <c r="N3051" i="11"/>
  <c r="N3060" i="11"/>
  <c r="N3071" i="11"/>
  <c r="N3080" i="11"/>
  <c r="N3088" i="11"/>
  <c r="N3099" i="11"/>
  <c r="N3108" i="11"/>
  <c r="N3117" i="11"/>
  <c r="N3128" i="11"/>
  <c r="N3136" i="11"/>
  <c r="N3145" i="11"/>
  <c r="N3156" i="11"/>
  <c r="N3165" i="11"/>
  <c r="N3173" i="11"/>
  <c r="N3184" i="11"/>
  <c r="N3193" i="11"/>
  <c r="N3203" i="11"/>
  <c r="N3213" i="11"/>
  <c r="N3221" i="11"/>
  <c r="N3231" i="11"/>
  <c r="N3241" i="11"/>
  <c r="N3251" i="11"/>
  <c r="N3259" i="11"/>
  <c r="N3269" i="11"/>
  <c r="N3279" i="11"/>
  <c r="N3288" i="11"/>
  <c r="N3299" i="11"/>
  <c r="N3307" i="11"/>
  <c r="N3316" i="11"/>
  <c r="N3327" i="11"/>
  <c r="N3336" i="11"/>
  <c r="N3344" i="11"/>
  <c r="N3355" i="11"/>
  <c r="N3364" i="11"/>
  <c r="N3371" i="11"/>
  <c r="N3379" i="11"/>
  <c r="N3385" i="11"/>
  <c r="N3392" i="11"/>
  <c r="N3400" i="11"/>
  <c r="N3407" i="11"/>
  <c r="N3413" i="11"/>
  <c r="N3421" i="11"/>
  <c r="N3428" i="11"/>
  <c r="N3435" i="11"/>
  <c r="N3443" i="11"/>
  <c r="N3449" i="11"/>
  <c r="N3456" i="11"/>
  <c r="N3464" i="11"/>
  <c r="N3471" i="11"/>
  <c r="N3477" i="11"/>
  <c r="N3485" i="11"/>
  <c r="N3492" i="11"/>
  <c r="N3499" i="11"/>
  <c r="N3507" i="11"/>
  <c r="N3513" i="11"/>
  <c r="N3520" i="11"/>
  <c r="N3528" i="11"/>
  <c r="N3535" i="11"/>
  <c r="N3541" i="11"/>
  <c r="N3549" i="11"/>
  <c r="N3556" i="11"/>
  <c r="N3563" i="11"/>
  <c r="N3571" i="11"/>
  <c r="N3577" i="11"/>
  <c r="N3584" i="11"/>
  <c r="N3592" i="11"/>
  <c r="N3599" i="11"/>
  <c r="N3605" i="11"/>
  <c r="N3613" i="11"/>
  <c r="N3620" i="11"/>
  <c r="N3627" i="11"/>
  <c r="N3635" i="11"/>
  <c r="N3641" i="11"/>
  <c r="N3648" i="11"/>
  <c r="N3656" i="11"/>
  <c r="N3663" i="11"/>
  <c r="N3669" i="11"/>
  <c r="N3677" i="11"/>
  <c r="N3684" i="11"/>
  <c r="N3691" i="11"/>
  <c r="N3699" i="11"/>
  <c r="N3705" i="11"/>
  <c r="N3712" i="11"/>
  <c r="N3720" i="11"/>
  <c r="N3727" i="11"/>
  <c r="N3733" i="11"/>
  <c r="N3741" i="11"/>
  <c r="N3748" i="11"/>
  <c r="N3755" i="11"/>
  <c r="N3763" i="11"/>
  <c r="N3769" i="11"/>
  <c r="N3776" i="11"/>
  <c r="N3784" i="11"/>
  <c r="N3791" i="11"/>
  <c r="N3797" i="11"/>
  <c r="N3805" i="11"/>
  <c r="N3812" i="11"/>
  <c r="N3819" i="11"/>
  <c r="N3827" i="11"/>
  <c r="N3833" i="11"/>
  <c r="N3840" i="11"/>
  <c r="N3848" i="11"/>
  <c r="N3855" i="11"/>
  <c r="N3861" i="11"/>
  <c r="N3869" i="11"/>
  <c r="N3876" i="11"/>
  <c r="N3883" i="11"/>
  <c r="N3891" i="11"/>
  <c r="N3897" i="11"/>
  <c r="N3904" i="11"/>
  <c r="N3912" i="11"/>
  <c r="N3919" i="11"/>
  <c r="N3925" i="11"/>
  <c r="N3933" i="11"/>
  <c r="N3940" i="11"/>
  <c r="N3947" i="11"/>
  <c r="N3955" i="11"/>
  <c r="N3961" i="11"/>
  <c r="N3968" i="11"/>
  <c r="N3976" i="11"/>
  <c r="N3983" i="11"/>
  <c r="N3989" i="11"/>
  <c r="N3997" i="11"/>
  <c r="N4004" i="11"/>
  <c r="N4011" i="11"/>
  <c r="N4019" i="11"/>
  <c r="N4025" i="11"/>
  <c r="N4032" i="11"/>
  <c r="N4040" i="11"/>
  <c r="N4047" i="11"/>
  <c r="N4053" i="11"/>
  <c r="N4061" i="11"/>
  <c r="N4068" i="11"/>
  <c r="N4075" i="11"/>
  <c r="N4083" i="11"/>
  <c r="N4089" i="11"/>
  <c r="N4096" i="11"/>
  <c r="N4104" i="11"/>
  <c r="N4111" i="11"/>
  <c r="N4117" i="11"/>
  <c r="N4125" i="11"/>
  <c r="N4132" i="11"/>
  <c r="N4139" i="11"/>
  <c r="N4147" i="11"/>
  <c r="N4153" i="11"/>
  <c r="N4160" i="11"/>
  <c r="N4168" i="11"/>
  <c r="N4175" i="11"/>
  <c r="N4181" i="11"/>
  <c r="N4189" i="11"/>
  <c r="N4196" i="11"/>
  <c r="N4203" i="11"/>
  <c r="N4211" i="11"/>
  <c r="N4217" i="11"/>
  <c r="N4224" i="11"/>
  <c r="N4232" i="11"/>
  <c r="N4239" i="11"/>
  <c r="N4245" i="11"/>
  <c r="N4253" i="11"/>
  <c r="N4260" i="11"/>
  <c r="N4267" i="11"/>
  <c r="N4275" i="11"/>
  <c r="N4281" i="11"/>
  <c r="N4288" i="11"/>
  <c r="N4296" i="11"/>
  <c r="N4303" i="11"/>
  <c r="N4309" i="11"/>
  <c r="N4317" i="11"/>
  <c r="N4324" i="11"/>
  <c r="N4331" i="11"/>
  <c r="N4339" i="11"/>
  <c r="N4345" i="11"/>
  <c r="N4352" i="11"/>
  <c r="N4360" i="11"/>
  <c r="N4367" i="11"/>
  <c r="N4373" i="11"/>
  <c r="N4381" i="11"/>
  <c r="N4388" i="11"/>
  <c r="N4395" i="11"/>
  <c r="N4403" i="11"/>
  <c r="N4409" i="11"/>
  <c r="N4416" i="11"/>
  <c r="N4424" i="11"/>
  <c r="N4431" i="11"/>
  <c r="N4437" i="11"/>
  <c r="N4445" i="11"/>
  <c r="N4452" i="11"/>
  <c r="N4459" i="11"/>
  <c r="N4467" i="11"/>
  <c r="N4473" i="11"/>
  <c r="N4480" i="11"/>
  <c r="N4488" i="11"/>
  <c r="N4495" i="11"/>
  <c r="N4501" i="11"/>
  <c r="N4509" i="11"/>
  <c r="N4516" i="11"/>
  <c r="N4523" i="11"/>
  <c r="N4531" i="11"/>
  <c r="N4537" i="11"/>
  <c r="N4544" i="11"/>
  <c r="N4552" i="11"/>
  <c r="N4559" i="11"/>
  <c r="N4565" i="11"/>
  <c r="N4573" i="11"/>
  <c r="N4580" i="11"/>
  <c r="N4587" i="11"/>
  <c r="N4595" i="11"/>
  <c r="N4601" i="11"/>
  <c r="N4608" i="11"/>
  <c r="N4616" i="11"/>
  <c r="N4623" i="11"/>
  <c r="N4629" i="11"/>
  <c r="N4637" i="11"/>
  <c r="N4644" i="11"/>
  <c r="N4651" i="11"/>
  <c r="N4659" i="11"/>
  <c r="N4665" i="11"/>
  <c r="N4672" i="11"/>
  <c r="N4680" i="11"/>
  <c r="N4687" i="11"/>
  <c r="N4693" i="11"/>
  <c r="N4701" i="11"/>
  <c r="N4708" i="11"/>
  <c r="N4715" i="11"/>
  <c r="N4723" i="11"/>
  <c r="N4729" i="11"/>
  <c r="N4735" i="11"/>
  <c r="N4741" i="11"/>
  <c r="N4746" i="11"/>
  <c r="N4751" i="11"/>
  <c r="N4757" i="11"/>
  <c r="N4762" i="11"/>
  <c r="N4767" i="11"/>
  <c r="N4773" i="11"/>
  <c r="N4778" i="11"/>
  <c r="N4783" i="11"/>
  <c r="N4789" i="11"/>
  <c r="N4794" i="11"/>
  <c r="N4799" i="11"/>
  <c r="N4805" i="11"/>
  <c r="N4810" i="11"/>
  <c r="N4815" i="11"/>
  <c r="N4821" i="11"/>
  <c r="N4826" i="11"/>
  <c r="N4831" i="11"/>
  <c r="N4837" i="11"/>
  <c r="N4842" i="11"/>
  <c r="N1216" i="11"/>
  <c r="N1391" i="11"/>
  <c r="N1457" i="11"/>
  <c r="N1533" i="11"/>
  <c r="N1587" i="11"/>
  <c r="N1627" i="11"/>
  <c r="N1673" i="11"/>
  <c r="N1708" i="11"/>
  <c r="N1748" i="11"/>
  <c r="N1780" i="11"/>
  <c r="N1808" i="11"/>
  <c r="N1834" i="11"/>
  <c r="N1870" i="11"/>
  <c r="N1898" i="11"/>
  <c r="N1926" i="11"/>
  <c r="N1961" i="11"/>
  <c r="N1985" i="11"/>
  <c r="N2014" i="11"/>
  <c r="N2049" i="11"/>
  <c r="N2078" i="11"/>
  <c r="N2102" i="11"/>
  <c r="N2138" i="11"/>
  <c r="N2166" i="11"/>
  <c r="N2191" i="11"/>
  <c r="N2216" i="11"/>
  <c r="N2234" i="11"/>
  <c r="N2259" i="11"/>
  <c r="N2282" i="11"/>
  <c r="N2304" i="11"/>
  <c r="N2324" i="11"/>
  <c r="N2347" i="11"/>
  <c r="N2372" i="11"/>
  <c r="N2394" i="11"/>
  <c r="N2419" i="11"/>
  <c r="N2438" i="11"/>
  <c r="N2459" i="11"/>
  <c r="N2480" i="11"/>
  <c r="N2496" i="11"/>
  <c r="N2511" i="11"/>
  <c r="N2531" i="11"/>
  <c r="N2547" i="11"/>
  <c r="N2564" i="11"/>
  <c r="N2582" i="11"/>
  <c r="N2596" i="11"/>
  <c r="N2614" i="11"/>
  <c r="N2632" i="11"/>
  <c r="N2650" i="11"/>
  <c r="N2664" i="11"/>
  <c r="N2682" i="11"/>
  <c r="N2699" i="11"/>
  <c r="N2715" i="11"/>
  <c r="N2735" i="11"/>
  <c r="N2750" i="11"/>
  <c r="N2766" i="11"/>
  <c r="N2784" i="11"/>
  <c r="N2800" i="11"/>
  <c r="N2815" i="11"/>
  <c r="N2835" i="11"/>
  <c r="N2851" i="11"/>
  <c r="N2867" i="11"/>
  <c r="N2886" i="11"/>
  <c r="N2900" i="11"/>
  <c r="N2916" i="11"/>
  <c r="N2936" i="11"/>
  <c r="N2952" i="11"/>
  <c r="N2966" i="11"/>
  <c r="N2986" i="11"/>
  <c r="N3002" i="11"/>
  <c r="N3019" i="11"/>
  <c r="N3035" i="11"/>
  <c r="N3045" i="11"/>
  <c r="N3059" i="11"/>
  <c r="N3072" i="11"/>
  <c r="N3085" i="11"/>
  <c r="N3096" i="11"/>
  <c r="N3109" i="11"/>
  <c r="N3123" i="11"/>
  <c r="N3135" i="11"/>
  <c r="N3149" i="11"/>
  <c r="N3160" i="11"/>
  <c r="N3172" i="11"/>
  <c r="N3187" i="11"/>
  <c r="N3199" i="11"/>
  <c r="N3209" i="11"/>
  <c r="N3224" i="11"/>
  <c r="N3236" i="11"/>
  <c r="N3248" i="11"/>
  <c r="N3263" i="11"/>
  <c r="N3273" i="11"/>
  <c r="N3285" i="11"/>
  <c r="N3300" i="11"/>
  <c r="N3312" i="11"/>
  <c r="N3323" i="11"/>
  <c r="N3337" i="11"/>
  <c r="N3349" i="11"/>
  <c r="N3363" i="11"/>
  <c r="N3373" i="11"/>
  <c r="N3381" i="11"/>
  <c r="N3391" i="11"/>
  <c r="N3401" i="11"/>
  <c r="N3411" i="11"/>
  <c r="N3419" i="11"/>
  <c r="N3429" i="11"/>
  <c r="N3439" i="11"/>
  <c r="N3448" i="11"/>
  <c r="N3459" i="11"/>
  <c r="N3467" i="11"/>
  <c r="N3476" i="11"/>
  <c r="N3487" i="11"/>
  <c r="N3496" i="11"/>
  <c r="N3504" i="11"/>
  <c r="N3515" i="11"/>
  <c r="N3524" i="11"/>
  <c r="N3533" i="11"/>
  <c r="N3544" i="11"/>
  <c r="N3552" i="11"/>
  <c r="N3561" i="11"/>
  <c r="N3572" i="11"/>
  <c r="N3581" i="11"/>
  <c r="N3589" i="11"/>
  <c r="N3600" i="11"/>
  <c r="N3609" i="11"/>
  <c r="N3619" i="11"/>
  <c r="N3629" i="11"/>
  <c r="N3637" i="11"/>
  <c r="N3647" i="11"/>
  <c r="N3657" i="11"/>
  <c r="N3667" i="11"/>
  <c r="N3675" i="11"/>
  <c r="N3685" i="11"/>
  <c r="N3695" i="11"/>
  <c r="N3704" i="11"/>
  <c r="N3715" i="11"/>
  <c r="N3723" i="11"/>
  <c r="N3732" i="11"/>
  <c r="N3743" i="11"/>
  <c r="N3752" i="11"/>
  <c r="N3760" i="11"/>
  <c r="N3771" i="11"/>
  <c r="N3780" i="11"/>
  <c r="N3789" i="11"/>
  <c r="N3800" i="11"/>
  <c r="N3808" i="11"/>
  <c r="N3817" i="11"/>
  <c r="N3828" i="11"/>
  <c r="N3837" i="11"/>
  <c r="N3845" i="11"/>
  <c r="N3856" i="11"/>
  <c r="N3865" i="11"/>
  <c r="N3875" i="11"/>
  <c r="N3885" i="11"/>
  <c r="N3893" i="11"/>
  <c r="N3903" i="11"/>
  <c r="N3913" i="11"/>
  <c r="N3923" i="11"/>
  <c r="N3931" i="11"/>
  <c r="N3941" i="11"/>
  <c r="N3951" i="11"/>
  <c r="N3960" i="11"/>
  <c r="N3971" i="11"/>
  <c r="N3979" i="11"/>
  <c r="N3988" i="11"/>
  <c r="N3999" i="11"/>
  <c r="N4008" i="11"/>
  <c r="N4016" i="11"/>
  <c r="N4027" i="11"/>
  <c r="N4036" i="11"/>
  <c r="N4045" i="11"/>
  <c r="N4056" i="11"/>
  <c r="N4064" i="11"/>
  <c r="N4073" i="11"/>
  <c r="N4084" i="11"/>
  <c r="N4093" i="11"/>
  <c r="N4101" i="11"/>
  <c r="N4112" i="11"/>
  <c r="N4121" i="11"/>
  <c r="N4131" i="11"/>
  <c r="N4141" i="11"/>
  <c r="N4149" i="11"/>
  <c r="N4159" i="11"/>
  <c r="N4169" i="11"/>
  <c r="N4179" i="11"/>
  <c r="N4187" i="11"/>
  <c r="N4197" i="11"/>
  <c r="N4207" i="11"/>
  <c r="N4216" i="11"/>
  <c r="N4227" i="11"/>
  <c r="N4235" i="11"/>
  <c r="N4244" i="11"/>
  <c r="N4255" i="11"/>
  <c r="N4264" i="11"/>
  <c r="N4272" i="11"/>
  <c r="N4283" i="11"/>
  <c r="N4292" i="11"/>
  <c r="N4301" i="11"/>
  <c r="N4312" i="11"/>
  <c r="N4320" i="11"/>
  <c r="N4329" i="11"/>
  <c r="N4340" i="11"/>
  <c r="N4349" i="11"/>
  <c r="N4357" i="11"/>
  <c r="N4368" i="11"/>
  <c r="N4377" i="11"/>
  <c r="N4387" i="11"/>
  <c r="N4397" i="11"/>
  <c r="N4405" i="11"/>
  <c r="N4415" i="11"/>
  <c r="N4425" i="11"/>
  <c r="N4435" i="11"/>
  <c r="N4443" i="11"/>
  <c r="N4453" i="11"/>
  <c r="N4463" i="11"/>
  <c r="N4472" i="11"/>
  <c r="N4483" i="11"/>
  <c r="N4491" i="11"/>
  <c r="N4500" i="11"/>
  <c r="N4511" i="11"/>
  <c r="N4520" i="11"/>
  <c r="N4528" i="11"/>
  <c r="N4539" i="11"/>
  <c r="N4548" i="11"/>
  <c r="N4557" i="11"/>
  <c r="N4568" i="11"/>
  <c r="N4576" i="11"/>
  <c r="N4585" i="11"/>
  <c r="N4596" i="11"/>
  <c r="N4605" i="11"/>
  <c r="N4613" i="11"/>
  <c r="N4624" i="11"/>
  <c r="N4633" i="11"/>
  <c r="N4643" i="11"/>
  <c r="N4653" i="11"/>
  <c r="N4661" i="11"/>
  <c r="N4671" i="11"/>
  <c r="N4681" i="11"/>
  <c r="N4691" i="11"/>
  <c r="N4699" i="11"/>
  <c r="N4709" i="11"/>
  <c r="N4719" i="11"/>
  <c r="N4728" i="11"/>
  <c r="N4737" i="11"/>
  <c r="N4743" i="11"/>
  <c r="N4750" i="11"/>
  <c r="N4758" i="11"/>
  <c r="N4765" i="11"/>
  <c r="N4771" i="11"/>
  <c r="N4779" i="11"/>
  <c r="N4786" i="11"/>
  <c r="N4793" i="11"/>
  <c r="N4801" i="11"/>
  <c r="N4807" i="11"/>
  <c r="N4814" i="11"/>
  <c r="N4822" i="11"/>
  <c r="N4829" i="11"/>
  <c r="N4835" i="11"/>
  <c r="N4843" i="11"/>
  <c r="N4849" i="11"/>
  <c r="N4854" i="11"/>
  <c r="N4859" i="11"/>
  <c r="N4865" i="11"/>
  <c r="N4870" i="11"/>
  <c r="N4875" i="11"/>
  <c r="N4881" i="11"/>
  <c r="N4886" i="11"/>
  <c r="N4891" i="11"/>
  <c r="N4897" i="11"/>
  <c r="N4902" i="11"/>
  <c r="N4907" i="11"/>
  <c r="N4913" i="11"/>
  <c r="N4918" i="11"/>
  <c r="N4923" i="11"/>
  <c r="N4929" i="11"/>
  <c r="N4934" i="11"/>
  <c r="N4939" i="11"/>
  <c r="N4945" i="11"/>
  <c r="N4950" i="11"/>
  <c r="N4955" i="11"/>
  <c r="N4961" i="11"/>
  <c r="N4966" i="11"/>
  <c r="N4971" i="11"/>
  <c r="N4977" i="11"/>
  <c r="N4982" i="11"/>
  <c r="N4987" i="11"/>
  <c r="N4993" i="11"/>
  <c r="N4998" i="11"/>
  <c r="N5003" i="11"/>
  <c r="N5009" i="11"/>
  <c r="N5014" i="11"/>
  <c r="N5019" i="11"/>
  <c r="N5025" i="11"/>
  <c r="N5030" i="11"/>
  <c r="N5035" i="11"/>
  <c r="N5041" i="11"/>
  <c r="N5046" i="11"/>
  <c r="N5051" i="11"/>
  <c r="N5057" i="11"/>
  <c r="N5062" i="11"/>
  <c r="N5067" i="11"/>
  <c r="N5073" i="11"/>
  <c r="N5078" i="11"/>
  <c r="N5083" i="11"/>
  <c r="N5089" i="11"/>
  <c r="N5094" i="11"/>
  <c r="N5099" i="11"/>
  <c r="N5105" i="11"/>
  <c r="N5110" i="11"/>
  <c r="N5115" i="11"/>
  <c r="N5121" i="11"/>
  <c r="N5126" i="11"/>
  <c r="N5131" i="11"/>
  <c r="N5137" i="11"/>
  <c r="N5142" i="11"/>
  <c r="N5147" i="11"/>
  <c r="N5153" i="11"/>
  <c r="N5158" i="11"/>
  <c r="N5163" i="11"/>
  <c r="N5169" i="11"/>
  <c r="N5174" i="11"/>
  <c r="N5179" i="11"/>
  <c r="N5185" i="11"/>
  <c r="N5190" i="11"/>
  <c r="N5195" i="11"/>
  <c r="N5201" i="11"/>
  <c r="N5206" i="11"/>
  <c r="N5211" i="11"/>
  <c r="N5217" i="11"/>
  <c r="N5222" i="11"/>
  <c r="N5227" i="11"/>
  <c r="N5233" i="11"/>
  <c r="N5238" i="11"/>
  <c r="N5243" i="11"/>
  <c r="N5249" i="11"/>
  <c r="N5254" i="11"/>
  <c r="N5259" i="11"/>
  <c r="N5265" i="11"/>
  <c r="N5270" i="11"/>
  <c r="N5275" i="11"/>
  <c r="N5281" i="11"/>
  <c r="N5286" i="11"/>
  <c r="N5291" i="11"/>
  <c r="N5297" i="11"/>
  <c r="N5302" i="11"/>
  <c r="N5307" i="11"/>
  <c r="N5313" i="11"/>
  <c r="N5318" i="11"/>
  <c r="N5323" i="11"/>
  <c r="N5329" i="11"/>
  <c r="N5334" i="11"/>
  <c r="N5339" i="11"/>
  <c r="N5345" i="11"/>
  <c r="N5350" i="11"/>
  <c r="N5355" i="11"/>
  <c r="N5361" i="11"/>
  <c r="N5366" i="11"/>
  <c r="N5371" i="11"/>
  <c r="N5377" i="11"/>
  <c r="N5382" i="11"/>
  <c r="N5387" i="11"/>
  <c r="N5393" i="11"/>
  <c r="N5398" i="11"/>
  <c r="N5403" i="11"/>
  <c r="N5409" i="11"/>
  <c r="N5414" i="11"/>
  <c r="N5419" i="11"/>
  <c r="N5425" i="11"/>
  <c r="N5430" i="11"/>
  <c r="N5435" i="11"/>
  <c r="N5441" i="11"/>
  <c r="N5446" i="11"/>
  <c r="N5451" i="11"/>
  <c r="N5457" i="11"/>
  <c r="N5462" i="11"/>
  <c r="N5467" i="11"/>
  <c r="N5473" i="11"/>
  <c r="N5478" i="11"/>
  <c r="N5483" i="11"/>
  <c r="N5489" i="11"/>
  <c r="N5494" i="11"/>
  <c r="N5499" i="11"/>
  <c r="N5505" i="11"/>
  <c r="N5509" i="11"/>
  <c r="N5513" i="11"/>
  <c r="N5517" i="11"/>
  <c r="N5521" i="11"/>
  <c r="N5525" i="11"/>
  <c r="N5529" i="11"/>
  <c r="N5533" i="11"/>
  <c r="N5537" i="11"/>
  <c r="N5541" i="11"/>
  <c r="N5545" i="11"/>
  <c r="N5549" i="11"/>
  <c r="N5553" i="11"/>
  <c r="N5557" i="11"/>
  <c r="N5561" i="11"/>
  <c r="N5565" i="11"/>
  <c r="N5569" i="11"/>
  <c r="N5573" i="11"/>
  <c r="N5577" i="11"/>
  <c r="N5581" i="11"/>
  <c r="N5585" i="11"/>
  <c r="N5589" i="11"/>
  <c r="N5593" i="11"/>
  <c r="N5597" i="11"/>
  <c r="N5601" i="11"/>
  <c r="N5605" i="11"/>
  <c r="N5609" i="11"/>
  <c r="N5613" i="11"/>
  <c r="N5617" i="11"/>
  <c r="N5621" i="11"/>
  <c r="N5625" i="11"/>
  <c r="N5629" i="11"/>
  <c r="N5633" i="11"/>
  <c r="N5637" i="11"/>
  <c r="N5641" i="11"/>
  <c r="N5645" i="11"/>
  <c r="N5649" i="11"/>
  <c r="N5653" i="11"/>
  <c r="N5657" i="11"/>
  <c r="N5661" i="11"/>
  <c r="N5665" i="11"/>
  <c r="N5669" i="11"/>
  <c r="N5673" i="11"/>
  <c r="N5677" i="11"/>
  <c r="N5681" i="11"/>
  <c r="N5685" i="11"/>
  <c r="N5689" i="11"/>
  <c r="N5693" i="11"/>
  <c r="N5697" i="11"/>
  <c r="N5701" i="11"/>
  <c r="N5705" i="11"/>
  <c r="N5709" i="11"/>
  <c r="N5713" i="11"/>
  <c r="N5717" i="11"/>
  <c r="N5721" i="11"/>
  <c r="N5725" i="11"/>
  <c r="N5729" i="11"/>
  <c r="N5733" i="11"/>
  <c r="N5737" i="11"/>
  <c r="N5741" i="11"/>
  <c r="N5745" i="11"/>
  <c r="N5749" i="11"/>
  <c r="N5753" i="11"/>
  <c r="N5757" i="11"/>
  <c r="N5761" i="11"/>
  <c r="N5765" i="11"/>
  <c r="N5769" i="11"/>
  <c r="N5773" i="11"/>
  <c r="N5777" i="11"/>
  <c r="N5781" i="11"/>
  <c r="N5785" i="11"/>
  <c r="N5789" i="11"/>
  <c r="N5793" i="11"/>
  <c r="N5797" i="11"/>
  <c r="N5801" i="11"/>
  <c r="N5805" i="11"/>
  <c r="N5809" i="11"/>
  <c r="N5813" i="11"/>
  <c r="N5817" i="11"/>
  <c r="N5821" i="11"/>
  <c r="N5825" i="11"/>
  <c r="N5829" i="11"/>
  <c r="N5833" i="11"/>
  <c r="N5837" i="11"/>
  <c r="N5841" i="11"/>
  <c r="N5845" i="11"/>
  <c r="N5849" i="11"/>
  <c r="N5853" i="11"/>
  <c r="N5857" i="11"/>
  <c r="N5861" i="11"/>
  <c r="N5865" i="11"/>
  <c r="N5869" i="11"/>
  <c r="N5873" i="11"/>
  <c r="N5877" i="11"/>
  <c r="N5881" i="11"/>
  <c r="N5885" i="11"/>
  <c r="N5889" i="11"/>
  <c r="N5893" i="11"/>
  <c r="N5897" i="11"/>
  <c r="N5901" i="11"/>
  <c r="N5905" i="11"/>
  <c r="N5909" i="11"/>
  <c r="N5913" i="11"/>
  <c r="N5917" i="11"/>
  <c r="N5921" i="11"/>
  <c r="N5925" i="11"/>
  <c r="N5929" i="11"/>
  <c r="N5933" i="11"/>
  <c r="N5937" i="11"/>
  <c r="N5941" i="11"/>
  <c r="N5945" i="11"/>
  <c r="N5949" i="11"/>
  <c r="N5953" i="11"/>
  <c r="N5957" i="11"/>
  <c r="N5961" i="11"/>
  <c r="N5965" i="11"/>
  <c r="N5969" i="11"/>
  <c r="N5973" i="11"/>
  <c r="N5977" i="11"/>
  <c r="N5981" i="11"/>
  <c r="N5985" i="11"/>
  <c r="N5989" i="11"/>
  <c r="N5993" i="11"/>
  <c r="N5997" i="11"/>
  <c r="N6001" i="11"/>
  <c r="N6005" i="11"/>
  <c r="N6009" i="11"/>
  <c r="N6013" i="11"/>
  <c r="N6017" i="11"/>
  <c r="N6021" i="11"/>
  <c r="N6025" i="11"/>
  <c r="N6029" i="11"/>
  <c r="N6033" i="11"/>
  <c r="N6037" i="11"/>
  <c r="N6041" i="11"/>
  <c r="N6045" i="11"/>
  <c r="N6049" i="11"/>
  <c r="N6053" i="11"/>
  <c r="N6057" i="11"/>
  <c r="N6061" i="11"/>
  <c r="N6065" i="11"/>
  <c r="N6069" i="11"/>
  <c r="N6073" i="11"/>
  <c r="N6077" i="11"/>
  <c r="N6081" i="11"/>
  <c r="N6085" i="11"/>
  <c r="N6089" i="11"/>
  <c r="N6093" i="11"/>
  <c r="N6097" i="11"/>
  <c r="N6101" i="11"/>
  <c r="N6105" i="11"/>
  <c r="N6109" i="11"/>
  <c r="N6113" i="11"/>
  <c r="N6117" i="11"/>
  <c r="N6121" i="11"/>
  <c r="N6125" i="11"/>
  <c r="N6129" i="11"/>
  <c r="N6133" i="11"/>
  <c r="N6137" i="11"/>
  <c r="N6141" i="11"/>
  <c r="N6145" i="11"/>
  <c r="N6149" i="11"/>
  <c r="N6153" i="11"/>
  <c r="N6157" i="11"/>
  <c r="N6161" i="11"/>
  <c r="N6165" i="11"/>
  <c r="N6169" i="11"/>
  <c r="N6173" i="11"/>
  <c r="N6177" i="11"/>
  <c r="N6181" i="11"/>
  <c r="N6185" i="11"/>
  <c r="N6189" i="11"/>
  <c r="N6193" i="11"/>
  <c r="N6197" i="11"/>
  <c r="N6201" i="11"/>
  <c r="N6205" i="11"/>
  <c r="N6209" i="11"/>
  <c r="N6213" i="11"/>
  <c r="N6217" i="11"/>
  <c r="N6221" i="11"/>
  <c r="N6225" i="11"/>
  <c r="N6229" i="11"/>
  <c r="N6233" i="11"/>
  <c r="N6237" i="11"/>
  <c r="N6241" i="11"/>
  <c r="N6245" i="11"/>
  <c r="N6249" i="11"/>
  <c r="N6253" i="11"/>
  <c r="N6257" i="11"/>
  <c r="N6261" i="11"/>
  <c r="N6265" i="11"/>
  <c r="N6269" i="11"/>
  <c r="N6273" i="11"/>
  <c r="N6277" i="11"/>
  <c r="N6281" i="11"/>
  <c r="N6285" i="11"/>
  <c r="N6289" i="11"/>
  <c r="N6293" i="11"/>
  <c r="N6297" i="11"/>
  <c r="N6301" i="11"/>
  <c r="N6305" i="11"/>
  <c r="N6309" i="11"/>
  <c r="N6313" i="11"/>
  <c r="N6317" i="11"/>
  <c r="N6321" i="11"/>
  <c r="N6325" i="11"/>
  <c r="N6329" i="11"/>
  <c r="N6333" i="11"/>
  <c r="N6337" i="11"/>
  <c r="N6341" i="11"/>
  <c r="N6345" i="11"/>
  <c r="N6349" i="11"/>
  <c r="N6353" i="11"/>
  <c r="N6357" i="11"/>
  <c r="N6361" i="11"/>
  <c r="N6365" i="11"/>
  <c r="N6369" i="11"/>
  <c r="N6373" i="11"/>
  <c r="N6377" i="11"/>
  <c r="N6381" i="11"/>
  <c r="N6385" i="11"/>
  <c r="N6389" i="11"/>
  <c r="N6393" i="11"/>
  <c r="N6397" i="11"/>
  <c r="N6401" i="11"/>
  <c r="N6405" i="11"/>
  <c r="N6409" i="11"/>
  <c r="N6413" i="11"/>
  <c r="N6417" i="11"/>
  <c r="N6421" i="11"/>
  <c r="N6425" i="11"/>
  <c r="N6429" i="11"/>
  <c r="N6433" i="11"/>
  <c r="N6437" i="11"/>
  <c r="N6441" i="11"/>
  <c r="N6445" i="11"/>
  <c r="N6449" i="11"/>
  <c r="N6453" i="11"/>
  <c r="N6457" i="11"/>
  <c r="N6461" i="11"/>
  <c r="N6465" i="11"/>
  <c r="N6469" i="11"/>
  <c r="N6473" i="11"/>
  <c r="N6477" i="11"/>
  <c r="N6481" i="11"/>
  <c r="N6485" i="11"/>
  <c r="N6489" i="11"/>
  <c r="N6493" i="11"/>
  <c r="N6497" i="11"/>
  <c r="N6501" i="11"/>
  <c r="N6505" i="11"/>
  <c r="N6509" i="11"/>
  <c r="N6513" i="11"/>
  <c r="N6517" i="11"/>
  <c r="N6521" i="11"/>
  <c r="N6525" i="11"/>
  <c r="N6529" i="11"/>
  <c r="N6533" i="11"/>
  <c r="N6537" i="11"/>
  <c r="N6541" i="11"/>
  <c r="N6545" i="11"/>
  <c r="N6549" i="11"/>
  <c r="N6553" i="11"/>
  <c r="N6557" i="11"/>
  <c r="N6561" i="11"/>
  <c r="N6565" i="11"/>
  <c r="N6569" i="11"/>
  <c r="N6573" i="11"/>
  <c r="N6577" i="11"/>
  <c r="N6581" i="11"/>
  <c r="N6585" i="11"/>
  <c r="N6589" i="11"/>
  <c r="N6593" i="11"/>
  <c r="N6597" i="11"/>
  <c r="N6601" i="11"/>
  <c r="N6605" i="11"/>
  <c r="N6609" i="11"/>
  <c r="N6613" i="11"/>
  <c r="N6617" i="11"/>
  <c r="N6621" i="11"/>
  <c r="N6625" i="11"/>
  <c r="N6629" i="11"/>
  <c r="N6633" i="11"/>
  <c r="N6637" i="11"/>
  <c r="N6641" i="11"/>
  <c r="N6645" i="11"/>
  <c r="N6649" i="11"/>
  <c r="N6653" i="11"/>
  <c r="N6657" i="11"/>
  <c r="N6661" i="11"/>
  <c r="N6665" i="11"/>
  <c r="N6669" i="11"/>
  <c r="N6673" i="11"/>
  <c r="N6677" i="11"/>
  <c r="N6681" i="11"/>
  <c r="N6685" i="11"/>
  <c r="N6689" i="11"/>
  <c r="N6693" i="11"/>
  <c r="N6697" i="11"/>
  <c r="N6701" i="11"/>
  <c r="N6705" i="11"/>
  <c r="N6709" i="11"/>
  <c r="N6713" i="11"/>
  <c r="N5504" i="11"/>
  <c r="N5500" i="11"/>
  <c r="N5496" i="11"/>
  <c r="N5492" i="11"/>
  <c r="N5488" i="11"/>
  <c r="N5484" i="11"/>
  <c r="N5480" i="11"/>
  <c r="N5476" i="11"/>
  <c r="N5472" i="11"/>
  <c r="N5468" i="11"/>
  <c r="N5464" i="11"/>
  <c r="N5460" i="11"/>
  <c r="N5456" i="11"/>
  <c r="N5452" i="11"/>
  <c r="N5448" i="11"/>
  <c r="N5444" i="11"/>
  <c r="N5440" i="11"/>
  <c r="N5436" i="11"/>
  <c r="N5432" i="11"/>
  <c r="N5428" i="11"/>
  <c r="N5424" i="11"/>
  <c r="N5420" i="11"/>
  <c r="N5416" i="11"/>
  <c r="N5412" i="11"/>
  <c r="N5408" i="11"/>
  <c r="N5404" i="11"/>
  <c r="N5400" i="11"/>
  <c r="N5396" i="11"/>
  <c r="N5392" i="11"/>
  <c r="N5388" i="11"/>
  <c r="N5384" i="11"/>
  <c r="N5380" i="11"/>
  <c r="N5376" i="11"/>
  <c r="N5372" i="11"/>
  <c r="N5368" i="11"/>
  <c r="N5364" i="11"/>
  <c r="N5360" i="11"/>
  <c r="N5356" i="11"/>
  <c r="N5352" i="11"/>
  <c r="N5348" i="11"/>
  <c r="N5344" i="11"/>
  <c r="N5340" i="11"/>
  <c r="N5336" i="11"/>
  <c r="N5332" i="11"/>
  <c r="N5328" i="11"/>
  <c r="N5324" i="11"/>
  <c r="N5320" i="11"/>
  <c r="N5316" i="11"/>
  <c r="N5312" i="11"/>
  <c r="N5308" i="11"/>
  <c r="N5304" i="11"/>
  <c r="N5300" i="11"/>
  <c r="N5296" i="11"/>
  <c r="N5292" i="11"/>
  <c r="N5288" i="11"/>
  <c r="N5284" i="11"/>
  <c r="N5280" i="11"/>
  <c r="N5276" i="11"/>
  <c r="N5272" i="11"/>
  <c r="N5268" i="11"/>
  <c r="N5264" i="11"/>
  <c r="N5260" i="11"/>
  <c r="N5256" i="11"/>
  <c r="N5252" i="11"/>
  <c r="N5248" i="11"/>
  <c r="N5244" i="11"/>
  <c r="N5240" i="11"/>
  <c r="N5236" i="11"/>
  <c r="N5232" i="11"/>
  <c r="N5228" i="11"/>
  <c r="N5224" i="11"/>
  <c r="N5220" i="11"/>
  <c r="N5216" i="11"/>
  <c r="N5212" i="11"/>
  <c r="N5208" i="11"/>
  <c r="N5204" i="11"/>
  <c r="N5200" i="11"/>
  <c r="N5196" i="11"/>
  <c r="N5192" i="11"/>
  <c r="N5188" i="11"/>
  <c r="N5184" i="11"/>
  <c r="N5180" i="11"/>
  <c r="N5176" i="11"/>
  <c r="N5172" i="11"/>
  <c r="N5168" i="11"/>
  <c r="N5164" i="11"/>
  <c r="N5160" i="11"/>
  <c r="N5156" i="11"/>
  <c r="N5152" i="11"/>
  <c r="N5148" i="11"/>
  <c r="N5144" i="11"/>
  <c r="N5140" i="11"/>
  <c r="N5136" i="11"/>
  <c r="N5132" i="11"/>
  <c r="N5128" i="11"/>
  <c r="N5124" i="11"/>
  <c r="N5120" i="11"/>
  <c r="N5116" i="11"/>
  <c r="N5112" i="11"/>
  <c r="N5108" i="11"/>
  <c r="N5104" i="11"/>
  <c r="N5100" i="11"/>
  <c r="N5096" i="11"/>
  <c r="N5092" i="11"/>
  <c r="N5088" i="11"/>
  <c r="N5084" i="11"/>
  <c r="N5080" i="11"/>
  <c r="N5076" i="11"/>
  <c r="N5072" i="11"/>
  <c r="N5068" i="11"/>
  <c r="N5064" i="11"/>
  <c r="N5060" i="11"/>
  <c r="N5056" i="11"/>
  <c r="N5052" i="11"/>
  <c r="N5048" i="11"/>
  <c r="N5044" i="11"/>
  <c r="N5040" i="11"/>
  <c r="N5036" i="11"/>
  <c r="N5032" i="11"/>
  <c r="N5028" i="11"/>
  <c r="N5024" i="11"/>
  <c r="N5020" i="11"/>
  <c r="N5016" i="11"/>
  <c r="N5012" i="11"/>
  <c r="N5008" i="11"/>
  <c r="N5004" i="11"/>
  <c r="N5000" i="11"/>
  <c r="N4996" i="11"/>
  <c r="N4992" i="11"/>
  <c r="N4988" i="11"/>
  <c r="N4984" i="11"/>
  <c r="N4980" i="11"/>
  <c r="N4976" i="11"/>
  <c r="N4972" i="11"/>
  <c r="N4968" i="11"/>
  <c r="N4964" i="11"/>
  <c r="N4960" i="11"/>
  <c r="N4956" i="11"/>
  <c r="N4952" i="11"/>
  <c r="N4948" i="11"/>
  <c r="N4944" i="11"/>
  <c r="N4940" i="11"/>
  <c r="N4936" i="11"/>
  <c r="N4932" i="11"/>
  <c r="N4928" i="11"/>
  <c r="N4924" i="11"/>
  <c r="N4920" i="11"/>
  <c r="N4916" i="11"/>
  <c r="N4912" i="11"/>
  <c r="N4908" i="11"/>
  <c r="N4904" i="11"/>
  <c r="N4900" i="11"/>
  <c r="N4896" i="11"/>
  <c r="N4892" i="11"/>
  <c r="N4888" i="11"/>
  <c r="N4884" i="11"/>
  <c r="N4880" i="11"/>
  <c r="N4876" i="11"/>
  <c r="N4872" i="11"/>
  <c r="N4868" i="11"/>
  <c r="N4864" i="11"/>
  <c r="N4860" i="11"/>
  <c r="N4856" i="11"/>
  <c r="N4852" i="11"/>
  <c r="N4848" i="11"/>
  <c r="N4844" i="11"/>
  <c r="N4840" i="11"/>
  <c r="N4836" i="11"/>
  <c r="N4832" i="11"/>
  <c r="N4828" i="11"/>
  <c r="N4824" i="11"/>
  <c r="N4820" i="11"/>
  <c r="N4816" i="11"/>
  <c r="N4812" i="11"/>
  <c r="N4808" i="11"/>
  <c r="N4804" i="11"/>
  <c r="N4800" i="11"/>
  <c r="N4796" i="11"/>
  <c r="N4792" i="11"/>
  <c r="N4788" i="11"/>
  <c r="N4784" i="11"/>
  <c r="N4780" i="11"/>
  <c r="N4776" i="11"/>
  <c r="N4772" i="11"/>
  <c r="N4768" i="11"/>
  <c r="N4764" i="11"/>
  <c r="N4760" i="11"/>
  <c r="N4756" i="11"/>
  <c r="N4752" i="11"/>
  <c r="N4748" i="11"/>
  <c r="N4744" i="11"/>
  <c r="N4740" i="11"/>
  <c r="N4736" i="11"/>
  <c r="N4732" i="11"/>
  <c r="N4727" i="11"/>
  <c r="N4721" i="11"/>
  <c r="N4716" i="11"/>
  <c r="N4711" i="11"/>
  <c r="N4705" i="11"/>
  <c r="N4700" i="11"/>
  <c r="N4695" i="11"/>
  <c r="N4689" i="11"/>
  <c r="N4684" i="11"/>
  <c r="N4679" i="11"/>
  <c r="N4673" i="11"/>
  <c r="N4668" i="11"/>
  <c r="N4663" i="11"/>
  <c r="N4657" i="11"/>
  <c r="N4652" i="11"/>
  <c r="N4647" i="11"/>
  <c r="N4641" i="11"/>
  <c r="N4636" i="11"/>
  <c r="N4631" i="11"/>
  <c r="N4625" i="11"/>
  <c r="N4620" i="11"/>
  <c r="N4615" i="11"/>
  <c r="N4609" i="11"/>
  <c r="N4604" i="11"/>
  <c r="N4599" i="11"/>
  <c r="N4593" i="11"/>
  <c r="N4588" i="11"/>
  <c r="N4583" i="11"/>
  <c r="N4577" i="11"/>
  <c r="N4572" i="11"/>
  <c r="N4567" i="11"/>
  <c r="N4561" i="11"/>
  <c r="N4556" i="11"/>
  <c r="N4551" i="11"/>
  <c r="N4545" i="11"/>
  <c r="N4540" i="11"/>
  <c r="N4535" i="11"/>
  <c r="N4529" i="11"/>
  <c r="N4524" i="11"/>
  <c r="N4519" i="11"/>
  <c r="N4513" i="11"/>
  <c r="N4508" i="11"/>
  <c r="N4503" i="11"/>
  <c r="N4497" i="11"/>
  <c r="N4492" i="11"/>
  <c r="N4487" i="11"/>
  <c r="N4481" i="11"/>
  <c r="N4476" i="11"/>
  <c r="N4471" i="11"/>
  <c r="N4465" i="11"/>
  <c r="N4460" i="11"/>
  <c r="N4455" i="11"/>
  <c r="N4449" i="11"/>
  <c r="N4444" i="11"/>
  <c r="N4439" i="11"/>
  <c r="N4433" i="11"/>
  <c r="N4428" i="11"/>
  <c r="N4423" i="11"/>
  <c r="N4417" i="11"/>
  <c r="N4412" i="11"/>
  <c r="N4407" i="11"/>
  <c r="N4401" i="11"/>
  <c r="N4396" i="11"/>
  <c r="N4391" i="11"/>
  <c r="N4385" i="11"/>
  <c r="N4380" i="11"/>
  <c r="N4375" i="11"/>
  <c r="N4369" i="11"/>
  <c r="N4364" i="11"/>
  <c r="N4359" i="11"/>
  <c r="N4353" i="11"/>
  <c r="N4348" i="11"/>
  <c r="N4343" i="11"/>
  <c r="N4337" i="11"/>
  <c r="N4332" i="11"/>
  <c r="N4327" i="11"/>
  <c r="N4321" i="11"/>
  <c r="N4316" i="11"/>
  <c r="N4311" i="11"/>
  <c r="N4305" i="11"/>
  <c r="N4300" i="11"/>
  <c r="N4295" i="11"/>
  <c r="N4289" i="11"/>
  <c r="N4284" i="11"/>
  <c r="N4279" i="11"/>
  <c r="N4273" i="11"/>
  <c r="N4268" i="11"/>
  <c r="N4263" i="11"/>
  <c r="N4257" i="11"/>
  <c r="N4252" i="11"/>
  <c r="N4247" i="11"/>
  <c r="N4241" i="11"/>
  <c r="N4236" i="11"/>
  <c r="N4231" i="11"/>
  <c r="N4225" i="11"/>
  <c r="N4220" i="11"/>
  <c r="N4215" i="11"/>
  <c r="N4209" i="11"/>
  <c r="N4204" i="11"/>
  <c r="N4199" i="11"/>
  <c r="N4193" i="11"/>
  <c r="N4188" i="11"/>
  <c r="N4183" i="11"/>
  <c r="N4177" i="11"/>
  <c r="N4172" i="11"/>
  <c r="N4167" i="11"/>
  <c r="N4161" i="11"/>
  <c r="N4156" i="11"/>
  <c r="N4151" i="11"/>
  <c r="N4145" i="11"/>
  <c r="N4140" i="11"/>
  <c r="N4135" i="11"/>
  <c r="N4129" i="11"/>
  <c r="N4124" i="11"/>
  <c r="N4119" i="11"/>
  <c r="N4113" i="11"/>
  <c r="N4108" i="11"/>
  <c r="N4103" i="11"/>
  <c r="N4097" i="11"/>
  <c r="N4092" i="11"/>
  <c r="N4087" i="11"/>
  <c r="N4081" i="11"/>
  <c r="N4076" i="11"/>
  <c r="N4071" i="11"/>
  <c r="N4065" i="11"/>
  <c r="N4060" i="11"/>
  <c r="N4055" i="11"/>
  <c r="N4049" i="11"/>
  <c r="N4044" i="11"/>
  <c r="N4039" i="11"/>
  <c r="N4033" i="11"/>
  <c r="N4028" i="11"/>
  <c r="N4023" i="11"/>
  <c r="N4017" i="11"/>
  <c r="N4012" i="11"/>
  <c r="N4007" i="11"/>
  <c r="N4001" i="11"/>
  <c r="N3996" i="11"/>
  <c r="N3991" i="11"/>
  <c r="N3985" i="11"/>
  <c r="N3980" i="11"/>
  <c r="N3975" i="11"/>
  <c r="N3969" i="11"/>
  <c r="N3964" i="11"/>
  <c r="N3959" i="11"/>
  <c r="N3953" i="11"/>
  <c r="N3948" i="11"/>
  <c r="N3943" i="11"/>
  <c r="N3937" i="11"/>
  <c r="N3932" i="11"/>
  <c r="N3927" i="11"/>
  <c r="N3921" i="11"/>
  <c r="N3916" i="11"/>
  <c r="N3911" i="11"/>
  <c r="N3905" i="11"/>
  <c r="N3900" i="11"/>
  <c r="N3895" i="11"/>
  <c r="N3889" i="11"/>
  <c r="N3884" i="11"/>
  <c r="N3879" i="11"/>
  <c r="N3873" i="11"/>
  <c r="N3868" i="11"/>
  <c r="N3863" i="11"/>
  <c r="N3857" i="11"/>
  <c r="N3852" i="11"/>
  <c r="N3847" i="11"/>
  <c r="N3841" i="11"/>
  <c r="N3836" i="11"/>
  <c r="N3831" i="11"/>
  <c r="N3825" i="11"/>
  <c r="N3820" i="11"/>
  <c r="N3815" i="11"/>
  <c r="N3809" i="11"/>
  <c r="N3804" i="11"/>
  <c r="N3799" i="11"/>
  <c r="N3793" i="11"/>
  <c r="N3788" i="11"/>
  <c r="N3783" i="11"/>
  <c r="N3777" i="11"/>
  <c r="N3772" i="11"/>
  <c r="N3767" i="11"/>
  <c r="N3761" i="11"/>
  <c r="N3756" i="11"/>
  <c r="N3751" i="11"/>
  <c r="N3745" i="11"/>
  <c r="N3740" i="11"/>
  <c r="N3735" i="11"/>
  <c r="N3729" i="11"/>
  <c r="N3724" i="11"/>
  <c r="N3719" i="11"/>
  <c r="N3713" i="11"/>
  <c r="N3708" i="11"/>
  <c r="N3703" i="11"/>
  <c r="N3697" i="11"/>
  <c r="N3692" i="11"/>
  <c r="N3687" i="11"/>
  <c r="N3681" i="11"/>
  <c r="N3676" i="11"/>
  <c r="N3671" i="11"/>
  <c r="N3665" i="11"/>
  <c r="N3660" i="11"/>
  <c r="N3655" i="11"/>
  <c r="N3649" i="11"/>
  <c r="N3644" i="11"/>
  <c r="N3639" i="11"/>
  <c r="N3633" i="11"/>
  <c r="N3628" i="11"/>
  <c r="N3623" i="11"/>
  <c r="N3617" i="11"/>
  <c r="N3612" i="11"/>
  <c r="N3607" i="11"/>
  <c r="N3601" i="11"/>
  <c r="N3596" i="11"/>
  <c r="N3591" i="11"/>
  <c r="N3585" i="11"/>
  <c r="N3580" i="11"/>
  <c r="N3575" i="11"/>
  <c r="N3569" i="11"/>
  <c r="N3564" i="11"/>
  <c r="N3559" i="11"/>
  <c r="N3553" i="11"/>
  <c r="N3548" i="11"/>
  <c r="N3543" i="11"/>
  <c r="N3537" i="11"/>
  <c r="N3532" i="11"/>
  <c r="N3527" i="11"/>
  <c r="N3521" i="11"/>
  <c r="N3516" i="11"/>
  <c r="N3511" i="11"/>
  <c r="N3505" i="11"/>
  <c r="N3500" i="11"/>
  <c r="N3495" i="11"/>
  <c r="N3489" i="11"/>
  <c r="N3484" i="11"/>
  <c r="N3479" i="11"/>
  <c r="N3473" i="11"/>
  <c r="N3468" i="11"/>
  <c r="N3463" i="11"/>
  <c r="N3457" i="11"/>
  <c r="N3452" i="11"/>
  <c r="N3447" i="11"/>
  <c r="N3441" i="11"/>
  <c r="N3436" i="11"/>
  <c r="N3431" i="11"/>
  <c r="N3425" i="11"/>
  <c r="N3420" i="11"/>
  <c r="N3415" i="11"/>
  <c r="N3409" i="11"/>
  <c r="N3404" i="11"/>
  <c r="N3399" i="11"/>
  <c r="N3393" i="11"/>
  <c r="N3388" i="11"/>
  <c r="N3383" i="11"/>
  <c r="N3377" i="11"/>
  <c r="N3372" i="11"/>
  <c r="N3367" i="11"/>
  <c r="N3361" i="11"/>
  <c r="N3356" i="11"/>
  <c r="N3351" i="11"/>
  <c r="N3345" i="11"/>
  <c r="N3340" i="11"/>
  <c r="N3335" i="11"/>
  <c r="N3329" i="11"/>
  <c r="N3324" i="11"/>
  <c r="N3319" i="11"/>
  <c r="N3313" i="11"/>
  <c r="N3308" i="11"/>
  <c r="N3303" i="11"/>
  <c r="N3297" i="11"/>
  <c r="N3292" i="11"/>
  <c r="N3287" i="11"/>
  <c r="N3281" i="11"/>
  <c r="N3276" i="11"/>
  <c r="N3271" i="11"/>
  <c r="N3265" i="11"/>
  <c r="N3260" i="11"/>
  <c r="N3255" i="11"/>
  <c r="N3249" i="11"/>
  <c r="N3244" i="11"/>
  <c r="N3239" i="11"/>
  <c r="N3233" i="11"/>
  <c r="N3228" i="11"/>
  <c r="N3223" i="11"/>
  <c r="N3217" i="11"/>
  <c r="N3212" i="11"/>
  <c r="N3207" i="11"/>
  <c r="N3201" i="11"/>
  <c r="N3196" i="11"/>
  <c r="N3191" i="11"/>
  <c r="N3185" i="11"/>
  <c r="N3180" i="11"/>
  <c r="N3175" i="11"/>
  <c r="N3169" i="11"/>
  <c r="N3164" i="11"/>
  <c r="N3159" i="11"/>
  <c r="N3153" i="11"/>
  <c r="N3148" i="11"/>
  <c r="N3143" i="11"/>
  <c r="N3137" i="11"/>
  <c r="N3132" i="11"/>
  <c r="N3127" i="11"/>
  <c r="N3121" i="11"/>
  <c r="N3116" i="11"/>
  <c r="N3111" i="11"/>
  <c r="N3105" i="11"/>
  <c r="N3100" i="11"/>
  <c r="N3095" i="11"/>
  <c r="N3089" i="11"/>
  <c r="N3084" i="11"/>
  <c r="N3079" i="11"/>
  <c r="N3073" i="11"/>
  <c r="N3068" i="11"/>
  <c r="N3063" i="11"/>
  <c r="N3057" i="11"/>
  <c r="N3052" i="11"/>
  <c r="N3047" i="11"/>
  <c r="N3041" i="11"/>
  <c r="N3036" i="11"/>
  <c r="N3031" i="11"/>
  <c r="N3024" i="11"/>
  <c r="N3018" i="11"/>
  <c r="N3011" i="11"/>
  <c r="N3003" i="11"/>
  <c r="N2996" i="11"/>
  <c r="N2990" i="11"/>
  <c r="N2982" i="11"/>
  <c r="N2975" i="11"/>
  <c r="N2968" i="11"/>
  <c r="N2960" i="11"/>
  <c r="N2954" i="11"/>
  <c r="N2947" i="11"/>
  <c r="N2939" i="11"/>
  <c r="N2932" i="11"/>
  <c r="N2926" i="11"/>
  <c r="N2918" i="11"/>
  <c r="N2911" i="11"/>
  <c r="N2904" i="11"/>
  <c r="N2896" i="11"/>
  <c r="N2890" i="11"/>
  <c r="N2883" i="11"/>
  <c r="N2875" i="11"/>
  <c r="N2868" i="11"/>
  <c r="N2862" i="11"/>
  <c r="N2854" i="11"/>
  <c r="N2847" i="11"/>
  <c r="N2840" i="11"/>
  <c r="N2832" i="11"/>
  <c r="N2826" i="11"/>
  <c r="N2819" i="11"/>
  <c r="N2811" i="11"/>
  <c r="N2804" i="11"/>
  <c r="N2798" i="11"/>
  <c r="N2790" i="11"/>
  <c r="N2783" i="11"/>
  <c r="N2776" i="11"/>
  <c r="N2768" i="11"/>
  <c r="N2762" i="11"/>
  <c r="N2755" i="11"/>
  <c r="N2747" i="11"/>
  <c r="N2740" i="11"/>
  <c r="N2734" i="11"/>
  <c r="N2726" i="11"/>
  <c r="N2719" i="11"/>
  <c r="N2712" i="11"/>
  <c r="N2704" i="11"/>
  <c r="N2698" i="11"/>
  <c r="N2691" i="11"/>
  <c r="N2683" i="11"/>
  <c r="N2676" i="11"/>
  <c r="N2670" i="11"/>
  <c r="N2662" i="11"/>
  <c r="N2655" i="11"/>
  <c r="N2648" i="11"/>
  <c r="N2640" i="11"/>
  <c r="N2634" i="11"/>
  <c r="N2627" i="11"/>
  <c r="N2619" i="11"/>
  <c r="N2612" i="11"/>
  <c r="N2606" i="11"/>
  <c r="N2598" i="11"/>
  <c r="N2591" i="11"/>
  <c r="N2584" i="11"/>
  <c r="N2576" i="11"/>
  <c r="N2570" i="11"/>
  <c r="N2563" i="11"/>
  <c r="N2555" i="11"/>
  <c r="N2548" i="11"/>
  <c r="N2542" i="11"/>
  <c r="N2534" i="11"/>
  <c r="N2527" i="11"/>
  <c r="N2520" i="11"/>
  <c r="N2512" i="11"/>
  <c r="N2506" i="11"/>
  <c r="N2499" i="11"/>
  <c r="N2491" i="11"/>
  <c r="N2484" i="11"/>
  <c r="N2478" i="11"/>
  <c r="N2470" i="11"/>
  <c r="N2463" i="11"/>
  <c r="N2456" i="11"/>
  <c r="N2448" i="11"/>
  <c r="N2442" i="11"/>
  <c r="N2435" i="11"/>
  <c r="N2427" i="11"/>
  <c r="N2420" i="11"/>
  <c r="N2414" i="11"/>
  <c r="N2406" i="11"/>
  <c r="N2399" i="11"/>
  <c r="N2392" i="11"/>
  <c r="N2384" i="11"/>
  <c r="N2378" i="11"/>
  <c r="N2371" i="11"/>
  <c r="N2363" i="11"/>
  <c r="N2356" i="11"/>
  <c r="N2350" i="11"/>
  <c r="N2342" i="11"/>
  <c r="N2335" i="11"/>
  <c r="N2328" i="11"/>
  <c r="N2320" i="11"/>
  <c r="N2314" i="11"/>
  <c r="N2307" i="11"/>
  <c r="N2299" i="11"/>
  <c r="N2292" i="11"/>
  <c r="N2286" i="11"/>
  <c r="N2278" i="11"/>
  <c r="N2271" i="11"/>
  <c r="N2264" i="11"/>
  <c r="N2256" i="11"/>
  <c r="N2250" i="11"/>
  <c r="N2243" i="11"/>
  <c r="N2235" i="11"/>
  <c r="N2228" i="11"/>
  <c r="N2222" i="11"/>
  <c r="N2214" i="11"/>
  <c r="N2207" i="11"/>
  <c r="N2200" i="11"/>
  <c r="N2192" i="11"/>
  <c r="N2186" i="11"/>
  <c r="N2179" i="11"/>
  <c r="N2170" i="11"/>
  <c r="N2161" i="11"/>
  <c r="N2153" i="11"/>
  <c r="N2142" i="11"/>
  <c r="N2133" i="11"/>
  <c r="N2124" i="11"/>
  <c r="N2113" i="11"/>
  <c r="N2105" i="11"/>
  <c r="N2096" i="11"/>
  <c r="N2085" i="11"/>
  <c r="N2076" i="11"/>
  <c r="N2068" i="11"/>
  <c r="N2057" i="11"/>
  <c r="N2048" i="11"/>
  <c r="N2038" i="11"/>
  <c r="N2028" i="11"/>
  <c r="N2020" i="11"/>
  <c r="N2010" i="11"/>
  <c r="N2000" i="11"/>
  <c r="N1990" i="11"/>
  <c r="N1982" i="11"/>
  <c r="N1972" i="11"/>
  <c r="N1962" i="11"/>
  <c r="N1953" i="11"/>
  <c r="N1942" i="11"/>
  <c r="N1934" i="11"/>
  <c r="N1925" i="11"/>
  <c r="N1914" i="11"/>
  <c r="N1905" i="11"/>
  <c r="N1897" i="11"/>
  <c r="N1886" i="11"/>
  <c r="N1877" i="11"/>
  <c r="N1868" i="11"/>
  <c r="N1857" i="11"/>
  <c r="N1849" i="11"/>
  <c r="N1840" i="11"/>
  <c r="N1829" i="11"/>
  <c r="N1820" i="11"/>
  <c r="N1812" i="11"/>
  <c r="N1801" i="11"/>
  <c r="N1792" i="11"/>
  <c r="N1782" i="11"/>
  <c r="N1772" i="11"/>
  <c r="N1764" i="11"/>
  <c r="N1754" i="11"/>
  <c r="N1743" i="11"/>
  <c r="N1729" i="11"/>
  <c r="N1719" i="11"/>
  <c r="N1705" i="11"/>
  <c r="N1692" i="11"/>
  <c r="N1680" i="11"/>
  <c r="N1665" i="11"/>
  <c r="N1655" i="11"/>
  <c r="N1643" i="11"/>
  <c r="N1628" i="11"/>
  <c r="N1616" i="11"/>
  <c r="N1605" i="11"/>
  <c r="N1591" i="11"/>
  <c r="N1575" i="11"/>
  <c r="N1559" i="11"/>
  <c r="N1539" i="11"/>
  <c r="N1521" i="11"/>
  <c r="N1499" i="11"/>
  <c r="N1474" i="11"/>
  <c r="N1453" i="11"/>
  <c r="N1433" i="11"/>
  <c r="N1402" i="11"/>
  <c r="N1374" i="11"/>
  <c r="N1334" i="11"/>
  <c r="N1290" i="11"/>
  <c r="N1202" i="11"/>
  <c r="N16" i="11"/>
  <c r="N457" i="11"/>
  <c r="N953" i="11"/>
  <c r="N1084" i="11"/>
  <c r="N1144" i="11"/>
  <c r="N1186" i="11"/>
  <c r="N1225" i="11"/>
  <c r="N1258" i="11"/>
  <c r="N1285" i="11"/>
  <c r="N1303" i="11"/>
  <c r="N1314" i="11"/>
  <c r="N1326" i="11"/>
  <c r="N1341" i="11"/>
  <c r="N1353" i="11"/>
  <c r="N1363" i="11"/>
  <c r="N1377" i="11"/>
  <c r="N1386" i="11"/>
  <c r="N1395" i="11"/>
  <c r="N1406" i="11"/>
  <c r="N1414" i="11"/>
  <c r="N1422" i="11"/>
  <c r="N1430" i="11"/>
  <c r="N1437" i="11"/>
  <c r="N1443" i="11"/>
  <c r="N1451" i="11"/>
  <c r="N1458" i="11"/>
  <c r="N1465" i="11"/>
  <c r="N1473" i="11"/>
  <c r="N1479" i="11"/>
  <c r="N1486" i="11"/>
  <c r="N1494" i="11"/>
  <c r="N1501" i="11"/>
  <c r="N1507" i="11"/>
  <c r="N1515" i="11"/>
  <c r="N1522" i="11"/>
  <c r="N1529" i="11"/>
  <c r="N1537" i="11"/>
  <c r="N1542" i="11"/>
  <c r="N1547" i="11"/>
  <c r="N1553" i="11"/>
  <c r="N1558" i="11"/>
  <c r="N1563" i="11"/>
  <c r="N1569" i="11"/>
  <c r="N1574" i="11"/>
  <c r="N1579" i="11"/>
  <c r="N1585" i="11"/>
  <c r="N1590" i="11"/>
  <c r="N1594" i="11"/>
  <c r="N1598" i="11"/>
  <c r="N1602" i="11"/>
  <c r="N1606" i="11"/>
  <c r="N1610" i="11"/>
  <c r="N1614" i="11"/>
  <c r="N1618" i="11"/>
  <c r="N1622" i="11"/>
  <c r="N1626" i="11"/>
  <c r="N1630" i="11"/>
  <c r="N1634" i="11"/>
  <c r="N1638" i="11"/>
  <c r="N1642" i="11"/>
  <c r="N1646" i="11"/>
  <c r="N1650" i="11"/>
  <c r="N1654" i="11"/>
  <c r="N1658" i="11"/>
  <c r="N1662" i="11"/>
  <c r="N1666" i="11"/>
  <c r="N1670" i="11"/>
  <c r="N1674" i="11"/>
  <c r="N1678" i="11"/>
  <c r="N1682" i="11"/>
  <c r="N1686" i="11"/>
  <c r="N1690" i="11"/>
  <c r="N1694" i="11"/>
  <c r="N1698" i="11"/>
  <c r="N1702" i="11"/>
  <c r="N1706" i="11"/>
  <c r="N1710" i="11"/>
  <c r="N1714" i="11"/>
  <c r="N1718" i="11"/>
  <c r="N1722" i="11"/>
  <c r="N1726" i="11"/>
  <c r="N1730" i="11"/>
  <c r="N1734" i="11"/>
  <c r="N1738" i="11"/>
  <c r="N1742" i="11"/>
  <c r="N1746" i="11"/>
  <c r="N661" i="11"/>
  <c r="N1025" i="11"/>
  <c r="N1121" i="11"/>
  <c r="N1201" i="11"/>
  <c r="N1240" i="11"/>
  <c r="N1281" i="11"/>
  <c r="N1305" i="11"/>
  <c r="N1321" i="11"/>
  <c r="N1335" i="11"/>
  <c r="N1355" i="11"/>
  <c r="N1371" i="11"/>
  <c r="N1385" i="11"/>
  <c r="N1398" i="11"/>
  <c r="N1409" i="11"/>
  <c r="N1421" i="11"/>
  <c r="N1431" i="11"/>
  <c r="N1441" i="11"/>
  <c r="N1449" i="11"/>
  <c r="N1459" i="11"/>
  <c r="N1469" i="11"/>
  <c r="N1478" i="11"/>
  <c r="N1489" i="11"/>
  <c r="N1497" i="11"/>
  <c r="N1506" i="11"/>
  <c r="N1517" i="11"/>
  <c r="N1526" i="11"/>
  <c r="N1534" i="11"/>
  <c r="N1543" i="11"/>
  <c r="N1550" i="11"/>
  <c r="N1557" i="11"/>
  <c r="N1565" i="11"/>
  <c r="N1571" i="11"/>
  <c r="N1578" i="11"/>
  <c r="N1586" i="11"/>
  <c r="N1592" i="11"/>
  <c r="N1597" i="11"/>
  <c r="N1603" i="11"/>
  <c r="N1608" i="11"/>
  <c r="N1613" i="11"/>
  <c r="N1619" i="11"/>
  <c r="N1624" i="11"/>
  <c r="N1629" i="11"/>
  <c r="N1635" i="11"/>
  <c r="N1640" i="11"/>
  <c r="N1645" i="11"/>
  <c r="N1651" i="11"/>
  <c r="N1656" i="11"/>
  <c r="N1661" i="11"/>
  <c r="N1667" i="11"/>
  <c r="N1672" i="11"/>
  <c r="N1677" i="11"/>
  <c r="N1683" i="11"/>
  <c r="N1688" i="11"/>
  <c r="N1693" i="11"/>
  <c r="N1699" i="11"/>
  <c r="N1704" i="11"/>
  <c r="N1709" i="11"/>
  <c r="N1715" i="11"/>
  <c r="N1720" i="11"/>
  <c r="N1725" i="11"/>
  <c r="N1731" i="11"/>
  <c r="N1736" i="11"/>
  <c r="N1741" i="11"/>
  <c r="N1747" i="11"/>
  <c r="N1751" i="11"/>
  <c r="N1755" i="11"/>
  <c r="N1759" i="11"/>
  <c r="N1763" i="11"/>
  <c r="N1767" i="11"/>
  <c r="N1771" i="11"/>
  <c r="N1775" i="11"/>
  <c r="N1779" i="11"/>
  <c r="N1783" i="11"/>
  <c r="N1787" i="11"/>
  <c r="N1791" i="11"/>
  <c r="N1795" i="11"/>
  <c r="N1799" i="11"/>
  <c r="N1803" i="11"/>
  <c r="N1807" i="11"/>
  <c r="N1811" i="11"/>
  <c r="N1815" i="11"/>
  <c r="N1819" i="11"/>
  <c r="N1823" i="11"/>
  <c r="N1827" i="11"/>
  <c r="N1831" i="11"/>
  <c r="N1835" i="11"/>
  <c r="N1839" i="11"/>
  <c r="N1843" i="11"/>
  <c r="N1847" i="11"/>
  <c r="N1851" i="11"/>
  <c r="N1855" i="11"/>
  <c r="N1859" i="11"/>
  <c r="N1863" i="11"/>
  <c r="N1867" i="11"/>
  <c r="N1871" i="11"/>
  <c r="N1875" i="11"/>
  <c r="N1879" i="11"/>
  <c r="N1883" i="11"/>
  <c r="N1887" i="11"/>
  <c r="N1891" i="11"/>
  <c r="N1895" i="11"/>
  <c r="N1899" i="11"/>
  <c r="N1903" i="11"/>
  <c r="N1907" i="11"/>
  <c r="N1911" i="11"/>
  <c r="N1915" i="11"/>
  <c r="N1919" i="11"/>
  <c r="N1923" i="11"/>
  <c r="N1927" i="11"/>
  <c r="N1931" i="11"/>
  <c r="N1935" i="11"/>
  <c r="N1939" i="11"/>
  <c r="N1943" i="11"/>
  <c r="N1947" i="11"/>
  <c r="N1951" i="11"/>
  <c r="N1955" i="11"/>
  <c r="N1959" i="11"/>
  <c r="N1963" i="11"/>
  <c r="N1967" i="11"/>
  <c r="N1971" i="11"/>
  <c r="N1975" i="11"/>
  <c r="N1979" i="11"/>
  <c r="N1983" i="11"/>
  <c r="N1987" i="11"/>
  <c r="N1991" i="11"/>
  <c r="N1995" i="11"/>
  <c r="N1999" i="11"/>
  <c r="N2003" i="11"/>
  <c r="N2007" i="11"/>
  <c r="N2011" i="11"/>
  <c r="N2015" i="11"/>
  <c r="N2019" i="11"/>
  <c r="N2023" i="11"/>
  <c r="N2027" i="11"/>
  <c r="N2031" i="11"/>
  <c r="N2035" i="11"/>
  <c r="N2039" i="11"/>
  <c r="N2043" i="11"/>
  <c r="N2047" i="11"/>
  <c r="N2051" i="11"/>
  <c r="N2055" i="11"/>
  <c r="N2059" i="11"/>
  <c r="N2063" i="11"/>
  <c r="N2067" i="11"/>
  <c r="N2071" i="11"/>
  <c r="N2075" i="11"/>
  <c r="N2079" i="11"/>
  <c r="N2083" i="11"/>
  <c r="N2087" i="11"/>
  <c r="N2091" i="11"/>
  <c r="N2095" i="11"/>
  <c r="N2099" i="11"/>
  <c r="N2103" i="11"/>
  <c r="N2107" i="11"/>
  <c r="N2111" i="11"/>
  <c r="N2115" i="11"/>
  <c r="N2119" i="11"/>
  <c r="N2123" i="11"/>
  <c r="N2127" i="11"/>
  <c r="N2131" i="11"/>
  <c r="N2135" i="11"/>
  <c r="N2139" i="11"/>
  <c r="N2143" i="11"/>
  <c r="N2147" i="11"/>
  <c r="N2151" i="11"/>
  <c r="N2155" i="11"/>
  <c r="N2159" i="11"/>
  <c r="N2163" i="11"/>
  <c r="N2167" i="11"/>
  <c r="N2171" i="11"/>
  <c r="N805" i="11"/>
  <c r="N1093" i="11"/>
  <c r="N1182" i="11"/>
  <c r="N1253" i="11"/>
  <c r="N1296" i="11"/>
  <c r="N1318" i="11"/>
  <c r="N1342" i="11"/>
  <c r="N1362" i="11"/>
  <c r="N1381" i="11"/>
  <c r="N1401" i="11"/>
  <c r="N1417" i="11"/>
  <c r="N1427" i="11"/>
  <c r="N1442" i="11"/>
  <c r="N1454" i="11"/>
  <c r="N1467" i="11"/>
  <c r="N1481" i="11"/>
  <c r="N1491" i="11"/>
  <c r="N1505" i="11"/>
  <c r="N1518" i="11"/>
  <c r="N1531" i="11"/>
  <c r="N1541" i="11"/>
  <c r="N1551" i="11"/>
  <c r="N1561" i="11"/>
  <c r="N1570" i="11"/>
  <c r="N1581" i="11"/>
  <c r="N1589" i="11"/>
  <c r="N1596" i="11"/>
  <c r="N1604" i="11"/>
  <c r="N1611" i="11"/>
  <c r="N1617" i="11"/>
  <c r="N1625" i="11"/>
  <c r="N1632" i="11"/>
  <c r="N1639" i="11"/>
  <c r="N1647" i="11"/>
  <c r="N1653" i="11"/>
  <c r="N1660" i="11"/>
  <c r="N1668" i="11"/>
  <c r="N1675" i="11"/>
  <c r="N1681" i="11"/>
  <c r="N1689" i="11"/>
  <c r="N1696" i="11"/>
  <c r="N1703" i="11"/>
  <c r="N1711" i="11"/>
  <c r="N1717" i="11"/>
  <c r="N1724" i="11"/>
  <c r="N1732" i="11"/>
  <c r="N1739" i="11"/>
  <c r="N1745" i="11"/>
  <c r="N1752" i="11"/>
  <c r="N1757" i="11"/>
  <c r="N1762" i="11"/>
  <c r="N1768" i="11"/>
  <c r="N1773" i="11"/>
  <c r="N1778" i="11"/>
  <c r="N1784" i="11"/>
  <c r="N1789" i="11"/>
  <c r="N1794" i="11"/>
  <c r="N1800" i="11"/>
  <c r="N1805" i="11"/>
  <c r="N1810" i="11"/>
  <c r="N1816" i="11"/>
  <c r="N1821" i="11"/>
  <c r="N1826" i="11"/>
  <c r="N1832" i="11"/>
  <c r="N1837" i="11"/>
  <c r="N1842" i="11"/>
  <c r="N1848" i="11"/>
  <c r="N1853" i="11"/>
  <c r="N1858" i="11"/>
  <c r="N1864" i="11"/>
  <c r="N1869" i="11"/>
  <c r="N1874" i="11"/>
  <c r="N1880" i="11"/>
  <c r="N1885" i="11"/>
  <c r="N1890" i="11"/>
  <c r="N1896" i="11"/>
  <c r="N1901" i="11"/>
  <c r="N1906" i="11"/>
  <c r="N1912" i="11"/>
  <c r="N1917" i="11"/>
  <c r="N1922" i="11"/>
  <c r="N1928" i="11"/>
  <c r="N1933" i="11"/>
  <c r="N1938" i="11"/>
  <c r="N1944" i="11"/>
  <c r="N1949" i="11"/>
  <c r="N1954" i="11"/>
  <c r="N1960" i="11"/>
  <c r="N1965" i="11"/>
  <c r="N1970" i="11"/>
  <c r="N1976" i="11"/>
  <c r="N1981" i="11"/>
  <c r="N1986" i="11"/>
  <c r="N1992" i="11"/>
  <c r="N1997" i="11"/>
  <c r="N2002" i="11"/>
  <c r="N2008" i="11"/>
  <c r="N2013" i="11"/>
  <c r="N2018" i="11"/>
  <c r="N2024" i="11"/>
  <c r="N2029" i="11"/>
  <c r="N2034" i="11"/>
  <c r="N2040" i="11"/>
  <c r="N2045" i="11"/>
  <c r="N2050" i="11"/>
  <c r="N2056" i="11"/>
  <c r="N2061" i="11"/>
  <c r="N2066" i="11"/>
  <c r="N2072" i="11"/>
  <c r="N2077" i="11"/>
  <c r="N2082" i="11"/>
  <c r="N2088" i="11"/>
  <c r="N2093" i="11"/>
  <c r="N2098" i="11"/>
  <c r="N2104" i="11"/>
  <c r="N2109" i="11"/>
  <c r="N2114" i="11"/>
  <c r="N2120" i="11"/>
  <c r="N2125" i="11"/>
  <c r="N2130" i="11"/>
  <c r="N2136" i="11"/>
  <c r="N2141" i="11"/>
  <c r="N2146" i="11"/>
  <c r="N2152" i="11"/>
  <c r="N2157" i="11"/>
  <c r="N2162" i="11"/>
  <c r="N2168" i="11"/>
  <c r="N2173" i="11"/>
  <c r="N2177" i="11"/>
  <c r="N2181" i="11"/>
  <c r="N2185" i="11"/>
  <c r="N2189" i="11"/>
  <c r="N2193" i="11"/>
  <c r="N2197" i="11"/>
  <c r="N2201" i="11"/>
  <c r="N2205" i="11"/>
  <c r="N2209" i="11"/>
  <c r="N2213" i="11"/>
  <c r="N2217" i="11"/>
  <c r="N2221" i="11"/>
  <c r="N2225" i="11"/>
  <c r="N2229" i="11"/>
  <c r="N2233" i="11"/>
  <c r="N2237" i="11"/>
  <c r="N2241" i="11"/>
  <c r="N2245" i="11"/>
  <c r="N2249" i="11"/>
  <c r="N2253" i="11"/>
  <c r="N2257" i="11"/>
  <c r="N2261" i="11"/>
  <c r="N2265" i="11"/>
  <c r="N2269" i="11"/>
  <c r="N2273" i="11"/>
  <c r="N2277" i="11"/>
  <c r="N2281" i="11"/>
  <c r="N2285" i="11"/>
  <c r="N2289" i="11"/>
  <c r="N2293" i="11"/>
  <c r="N2297" i="11"/>
  <c r="N2301" i="11"/>
  <c r="N2305" i="11"/>
  <c r="N2309" i="11"/>
  <c r="N2313" i="11"/>
  <c r="N2317" i="11"/>
  <c r="N2321" i="11"/>
  <c r="N2325" i="11"/>
  <c r="N2329" i="11"/>
  <c r="N2333" i="11"/>
  <c r="N2337" i="11"/>
  <c r="N2341" i="11"/>
  <c r="N2345" i="11"/>
  <c r="N2349" i="11"/>
  <c r="N2353" i="11"/>
  <c r="N2357" i="11"/>
  <c r="N2361" i="11"/>
  <c r="N2365" i="11"/>
  <c r="N2369" i="11"/>
  <c r="N2373" i="11"/>
  <c r="N2377" i="11"/>
  <c r="N2381" i="11"/>
  <c r="N2385" i="11"/>
  <c r="N2389" i="11"/>
  <c r="N2393" i="11"/>
  <c r="N2397" i="11"/>
  <c r="N2401" i="11"/>
  <c r="N2405" i="11"/>
  <c r="N2409" i="11"/>
  <c r="N2413" i="11"/>
  <c r="N2417" i="11"/>
  <c r="N2421" i="11"/>
  <c r="N2425" i="11"/>
  <c r="N2429" i="11"/>
  <c r="N2433" i="11"/>
  <c r="N2437" i="11"/>
  <c r="N2441" i="11"/>
  <c r="N2445" i="11"/>
  <c r="N2449" i="11"/>
  <c r="N2453" i="11"/>
  <c r="N2457" i="11"/>
  <c r="N2461" i="11"/>
  <c r="N2465" i="11"/>
  <c r="N2469" i="11"/>
  <c r="N2473" i="11"/>
  <c r="N2477" i="11"/>
  <c r="N2481" i="11"/>
  <c r="N2485" i="11"/>
  <c r="N2489" i="11"/>
  <c r="N2493" i="11"/>
  <c r="N2497" i="11"/>
  <c r="N2501" i="11"/>
  <c r="N2505" i="11"/>
  <c r="N2509" i="11"/>
  <c r="N2513" i="11"/>
  <c r="N2517" i="11"/>
  <c r="N2521" i="11"/>
  <c r="N2525" i="11"/>
  <c r="N2529" i="11"/>
  <c r="N2533" i="11"/>
  <c r="N2537" i="11"/>
  <c r="N2541" i="11"/>
  <c r="N2545" i="11"/>
  <c r="N2549" i="11"/>
  <c r="N2553" i="11"/>
  <c r="N2557" i="11"/>
  <c r="N2561" i="11"/>
  <c r="N2565" i="11"/>
  <c r="N2569" i="11"/>
  <c r="N2573" i="11"/>
  <c r="N2577" i="11"/>
  <c r="N2581" i="11"/>
  <c r="N2585" i="11"/>
  <c r="N2589" i="11"/>
  <c r="N2593" i="11"/>
  <c r="N2597" i="11"/>
  <c r="N2601" i="11"/>
  <c r="N2605" i="11"/>
  <c r="N2609" i="11"/>
  <c r="N2613" i="11"/>
  <c r="N2617" i="11"/>
  <c r="N2621" i="11"/>
  <c r="N2625" i="11"/>
  <c r="N2629" i="11"/>
  <c r="N2633" i="11"/>
  <c r="N2637" i="11"/>
  <c r="N2641" i="11"/>
  <c r="N2645" i="11"/>
  <c r="N2649" i="11"/>
  <c r="N2653" i="11"/>
  <c r="N2657" i="11"/>
  <c r="N2661" i="11"/>
  <c r="N2665" i="11"/>
  <c r="N2669" i="11"/>
  <c r="N2673" i="11"/>
  <c r="N2677" i="11"/>
  <c r="N2681" i="11"/>
  <c r="N2685" i="11"/>
  <c r="N2689" i="11"/>
  <c r="N2693" i="11"/>
  <c r="N2697" i="11"/>
  <c r="N2701" i="11"/>
  <c r="N2705" i="11"/>
  <c r="N2709" i="11"/>
  <c r="N2713" i="11"/>
  <c r="N2717" i="11"/>
  <c r="N2721" i="11"/>
  <c r="N2725" i="11"/>
  <c r="N2729" i="11"/>
  <c r="N2733" i="11"/>
  <c r="N2737" i="11"/>
  <c r="N2741" i="11"/>
  <c r="N2745" i="11"/>
  <c r="N2749" i="11"/>
  <c r="N2753" i="11"/>
  <c r="N2757" i="11"/>
  <c r="N2761" i="11"/>
  <c r="N2765" i="11"/>
  <c r="N2769" i="11"/>
  <c r="N2773" i="11"/>
  <c r="N2777" i="11"/>
  <c r="N2781" i="11"/>
  <c r="N2785" i="11"/>
  <c r="N2789" i="11"/>
  <c r="N2793" i="11"/>
  <c r="N2797" i="11"/>
  <c r="N2801" i="11"/>
  <c r="N2805" i="11"/>
  <c r="N2809" i="11"/>
  <c r="N2813" i="11"/>
  <c r="N2817" i="11"/>
  <c r="N2821" i="11"/>
  <c r="N2825" i="11"/>
  <c r="N2829" i="11"/>
  <c r="N2833" i="11"/>
  <c r="N2837" i="11"/>
  <c r="N2841" i="11"/>
  <c r="N2845" i="11"/>
  <c r="N2849" i="11"/>
  <c r="N2853" i="11"/>
  <c r="N2857" i="11"/>
  <c r="N2861" i="11"/>
  <c r="N2865" i="11"/>
  <c r="N2869" i="11"/>
  <c r="N2873" i="11"/>
  <c r="N2877" i="11"/>
  <c r="N2881" i="11"/>
  <c r="N2885" i="11"/>
  <c r="N2889" i="11"/>
  <c r="N2893" i="11"/>
  <c r="N2897" i="11"/>
  <c r="N2901" i="11"/>
  <c r="N2905" i="11"/>
  <c r="N2909" i="11"/>
  <c r="N2913" i="11"/>
  <c r="N2917" i="11"/>
  <c r="N2921" i="11"/>
  <c r="N2925" i="11"/>
  <c r="N2929" i="11"/>
  <c r="N2933" i="11"/>
  <c r="N2937" i="11"/>
  <c r="N2941" i="11"/>
  <c r="N2945" i="11"/>
  <c r="N2949" i="11"/>
  <c r="N2953" i="11"/>
  <c r="N2957" i="11"/>
  <c r="N2961" i="11"/>
  <c r="N2965" i="11"/>
  <c r="N2969" i="11"/>
  <c r="N2973" i="11"/>
  <c r="N2977" i="11"/>
  <c r="N2981" i="11"/>
  <c r="N2985" i="11"/>
  <c r="N2989" i="11"/>
  <c r="N2993" i="11"/>
  <c r="N2997" i="11"/>
  <c r="N3001" i="11"/>
  <c r="N3005" i="11"/>
  <c r="N3009" i="11"/>
  <c r="N3013" i="11"/>
  <c r="N3017" i="11"/>
  <c r="N3021" i="11"/>
  <c r="N3025" i="11"/>
  <c r="N920" i="11"/>
  <c r="N1148" i="11"/>
  <c r="N1232" i="11"/>
  <c r="N1297" i="11"/>
  <c r="N1331" i="11"/>
  <c r="N1361" i="11"/>
  <c r="N1387" i="11"/>
  <c r="N1407" i="11"/>
  <c r="N1426" i="11"/>
  <c r="N1446" i="11"/>
  <c r="N1462" i="11"/>
  <c r="N1475" i="11"/>
  <c r="N1495" i="11"/>
  <c r="N1511" i="11"/>
  <c r="N1527" i="11"/>
  <c r="N1545" i="11"/>
  <c r="N1555" i="11"/>
  <c r="N1567" i="11"/>
  <c r="N1582" i="11"/>
  <c r="N1593" i="11"/>
  <c r="N1601" i="11"/>
  <c r="N1612" i="11"/>
  <c r="N1621" i="11"/>
  <c r="N1631" i="11"/>
  <c r="N1641" i="11"/>
  <c r="N1649" i="11"/>
  <c r="N1659" i="11"/>
  <c r="N1669" i="11"/>
  <c r="N1679" i="11"/>
  <c r="N1687" i="11"/>
  <c r="N1697" i="11"/>
  <c r="N1707" i="11"/>
  <c r="N1716" i="11"/>
  <c r="N1727" i="11"/>
  <c r="N1735" i="11"/>
  <c r="N1744" i="11"/>
  <c r="N1753" i="11"/>
  <c r="N1760" i="11"/>
  <c r="N1766" i="11"/>
  <c r="N1774" i="11"/>
  <c r="N1781" i="11"/>
  <c r="N1788" i="11"/>
  <c r="N1796" i="11"/>
  <c r="N1802" i="11"/>
  <c r="N1809" i="11"/>
  <c r="N1817" i="11"/>
  <c r="N1824" i="11"/>
  <c r="N1830" i="11"/>
  <c r="N1838" i="11"/>
  <c r="N1845" i="11"/>
  <c r="N1852" i="11"/>
  <c r="N1860" i="11"/>
  <c r="N1866" i="11"/>
  <c r="N1873" i="11"/>
  <c r="N1881" i="11"/>
  <c r="N1888" i="11"/>
  <c r="N1894" i="11"/>
  <c r="N1902" i="11"/>
  <c r="N1909" i="11"/>
  <c r="N1916" i="11"/>
  <c r="N1924" i="11"/>
  <c r="N1930" i="11"/>
  <c r="N1937" i="11"/>
  <c r="N1945" i="11"/>
  <c r="N1952" i="11"/>
  <c r="N1958" i="11"/>
  <c r="N1966" i="11"/>
  <c r="N1973" i="11"/>
  <c r="N1980" i="11"/>
  <c r="N1988" i="11"/>
  <c r="N1994" i="11"/>
  <c r="N2001" i="11"/>
  <c r="N2009" i="11"/>
  <c r="N2016" i="11"/>
  <c r="N2022" i="11"/>
  <c r="N2030" i="11"/>
  <c r="N2037" i="11"/>
  <c r="N2044" i="11"/>
  <c r="N2052" i="11"/>
  <c r="N2058" i="11"/>
  <c r="N2065" i="11"/>
  <c r="N2073" i="11"/>
  <c r="N2080" i="11"/>
  <c r="N2086" i="11"/>
  <c r="N2094" i="11"/>
  <c r="N2101" i="11"/>
  <c r="N2108" i="11"/>
  <c r="N2116" i="11"/>
  <c r="N2122" i="11"/>
  <c r="N2129" i="11"/>
  <c r="N2137" i="11"/>
  <c r="N2144" i="11"/>
  <c r="N2150" i="11"/>
  <c r="N2158" i="11"/>
  <c r="N2165" i="11"/>
  <c r="N2172" i="11"/>
  <c r="N2178" i="11"/>
  <c r="N2183" i="11"/>
  <c r="N2188" i="11"/>
  <c r="N2194" i="11"/>
  <c r="N2199" i="11"/>
  <c r="N2204" i="11"/>
  <c r="N2210" i="11"/>
  <c r="N2215" i="11"/>
  <c r="N2220" i="11"/>
  <c r="N2226" i="11"/>
  <c r="N2231" i="11"/>
  <c r="N2236" i="11"/>
  <c r="N2242" i="11"/>
  <c r="N2247" i="11"/>
  <c r="N2252" i="11"/>
  <c r="N2258" i="11"/>
  <c r="N2263" i="11"/>
  <c r="N2268" i="11"/>
  <c r="N2274" i="11"/>
  <c r="N2279" i="11"/>
  <c r="N2284" i="11"/>
  <c r="N2290" i="11"/>
  <c r="N2295" i="11"/>
  <c r="N2300" i="11"/>
  <c r="N2306" i="11"/>
  <c r="N2311" i="11"/>
  <c r="N2316" i="11"/>
  <c r="N2322" i="11"/>
  <c r="N2327" i="11"/>
  <c r="N2332" i="11"/>
  <c r="N2338" i="11"/>
  <c r="N2343" i="11"/>
  <c r="N2348" i="11"/>
  <c r="N2354" i="11"/>
  <c r="N2359" i="11"/>
  <c r="N2364" i="11"/>
  <c r="N2370" i="11"/>
  <c r="N2375" i="11"/>
  <c r="N2380" i="11"/>
  <c r="N2386" i="11"/>
  <c r="N2391" i="11"/>
  <c r="N2396" i="11"/>
  <c r="N2402" i="11"/>
  <c r="N2407" i="11"/>
  <c r="N2412" i="11"/>
  <c r="N2418" i="11"/>
  <c r="N2423" i="11"/>
  <c r="N2428" i="11"/>
  <c r="N2434" i="11"/>
  <c r="N2439" i="11"/>
  <c r="N2444" i="11"/>
  <c r="N2450" i="11"/>
  <c r="N2455" i="11"/>
  <c r="N2460" i="11"/>
  <c r="N2466" i="11"/>
  <c r="N2471" i="11"/>
  <c r="N2476" i="11"/>
  <c r="N2482" i="11"/>
  <c r="N2487" i="11"/>
  <c r="N2492" i="11"/>
  <c r="N2498" i="11"/>
  <c r="N2503" i="11"/>
  <c r="N2508" i="11"/>
  <c r="N2514" i="11"/>
  <c r="N2519" i="11"/>
  <c r="N2524" i="11"/>
  <c r="N2530" i="11"/>
  <c r="N2535" i="11"/>
  <c r="N2540" i="11"/>
  <c r="N2546" i="11"/>
  <c r="N2551" i="11"/>
  <c r="N2556" i="11"/>
  <c r="N2562" i="11"/>
  <c r="N2567" i="11"/>
  <c r="N2572" i="11"/>
  <c r="N2578" i="11"/>
  <c r="N2583" i="11"/>
  <c r="N2588" i="11"/>
  <c r="N2594" i="11"/>
  <c r="N2599" i="11"/>
  <c r="N2604" i="11"/>
  <c r="N2610" i="11"/>
  <c r="N2615" i="11"/>
  <c r="N2620" i="11"/>
  <c r="N2626" i="11"/>
  <c r="N2631" i="11"/>
  <c r="N2636" i="11"/>
  <c r="N2642" i="11"/>
  <c r="N2647" i="11"/>
  <c r="N2652" i="11"/>
  <c r="N2658" i="11"/>
  <c r="N2663" i="11"/>
  <c r="N2668" i="11"/>
  <c r="N2674" i="11"/>
  <c r="N2679" i="11"/>
  <c r="N2684" i="11"/>
  <c r="N2690" i="11"/>
  <c r="N2695" i="11"/>
  <c r="N2700" i="11"/>
  <c r="N2706" i="11"/>
  <c r="N2711" i="11"/>
  <c r="N2716" i="11"/>
  <c r="N2722" i="11"/>
  <c r="N2727" i="11"/>
  <c r="N2732" i="11"/>
  <c r="N2738" i="11"/>
  <c r="N2743" i="11"/>
  <c r="N2748" i="11"/>
  <c r="N2754" i="11"/>
  <c r="N2759" i="11"/>
  <c r="N2764" i="11"/>
  <c r="N2770" i="11"/>
  <c r="N2775" i="11"/>
  <c r="N2780" i="11"/>
  <c r="N2786" i="11"/>
  <c r="N2791" i="11"/>
  <c r="N2796" i="11"/>
  <c r="N2802" i="11"/>
  <c r="N2807" i="11"/>
  <c r="N2812" i="11"/>
  <c r="N2818" i="11"/>
  <c r="N2823" i="11"/>
  <c r="N2828" i="11"/>
  <c r="N2834" i="11"/>
  <c r="N2839" i="11"/>
  <c r="N2844" i="11"/>
  <c r="N2850" i="11"/>
  <c r="N2855" i="11"/>
  <c r="N2860" i="11"/>
  <c r="N2866" i="11"/>
  <c r="N2871" i="11"/>
  <c r="N2876" i="11"/>
  <c r="N2882" i="11"/>
  <c r="N2887" i="11"/>
  <c r="N2892" i="11"/>
  <c r="N2898" i="11"/>
  <c r="N2903" i="11"/>
  <c r="N2908" i="11"/>
  <c r="N2914" i="11"/>
  <c r="N2919" i="11"/>
  <c r="N2924" i="11"/>
  <c r="N2930" i="11"/>
  <c r="N2935" i="11"/>
  <c r="N2940" i="11"/>
  <c r="N2946" i="11"/>
  <c r="N2951" i="11"/>
  <c r="N2956" i="11"/>
  <c r="N2962" i="11"/>
  <c r="N2967" i="11"/>
  <c r="N2972" i="11"/>
  <c r="N2978" i="11"/>
  <c r="N2983" i="11"/>
  <c r="N2988" i="11"/>
  <c r="N2994" i="11"/>
  <c r="N2999" i="11"/>
  <c r="N3004" i="11"/>
  <c r="N3010" i="11"/>
  <c r="N3015" i="11"/>
  <c r="N3020" i="11"/>
  <c r="N3026" i="11"/>
  <c r="N3030" i="11"/>
  <c r="N3034" i="11"/>
  <c r="N3038" i="11"/>
  <c r="N3042" i="11"/>
  <c r="N3046" i="11"/>
  <c r="N3050" i="11"/>
  <c r="N3054" i="11"/>
  <c r="N3058" i="11"/>
  <c r="N3062" i="11"/>
  <c r="N3066" i="11"/>
  <c r="N3070" i="11"/>
  <c r="N3074" i="11"/>
  <c r="N3078" i="11"/>
  <c r="N3082" i="11"/>
  <c r="N3086" i="11"/>
  <c r="N3090" i="11"/>
  <c r="N3094" i="11"/>
  <c r="N3098" i="11"/>
  <c r="N3102" i="11"/>
  <c r="N3106" i="11"/>
  <c r="N3110" i="11"/>
  <c r="N3114" i="11"/>
  <c r="N3118" i="11"/>
  <c r="N3122" i="11"/>
  <c r="N3126" i="11"/>
  <c r="N3130" i="11"/>
  <c r="N3134" i="11"/>
  <c r="N3138" i="11"/>
  <c r="N3142" i="11"/>
  <c r="N3146" i="11"/>
  <c r="N3150" i="11"/>
  <c r="N3154" i="11"/>
  <c r="N3158" i="11"/>
  <c r="N3162" i="11"/>
  <c r="N3166" i="11"/>
  <c r="N3170" i="11"/>
  <c r="N3174" i="11"/>
  <c r="N3178" i="11"/>
  <c r="N3182" i="11"/>
  <c r="N3186" i="11"/>
  <c r="N3190" i="11"/>
  <c r="N3194" i="11"/>
  <c r="N3198" i="11"/>
  <c r="N3202" i="11"/>
  <c r="N3206" i="11"/>
  <c r="N3210" i="11"/>
  <c r="N3214" i="11"/>
  <c r="N3218" i="11"/>
  <c r="N3222" i="11"/>
  <c r="N3226" i="11"/>
  <c r="N3230" i="11"/>
  <c r="N3234" i="11"/>
  <c r="N3238" i="11"/>
  <c r="N3242" i="11"/>
  <c r="N3246" i="11"/>
  <c r="N3250" i="11"/>
  <c r="N3254" i="11"/>
  <c r="N3258" i="11"/>
  <c r="N3262" i="11"/>
  <c r="N3266" i="11"/>
  <c r="N3270" i="11"/>
  <c r="N3274" i="11"/>
  <c r="N3278" i="11"/>
  <c r="N3282" i="11"/>
  <c r="N3286" i="11"/>
  <c r="N3290" i="11"/>
  <c r="N3294" i="11"/>
  <c r="N3298" i="11"/>
  <c r="N3302" i="11"/>
  <c r="N3306" i="11"/>
  <c r="N3310" i="11"/>
  <c r="N3314" i="11"/>
  <c r="N3318" i="11"/>
  <c r="N3322" i="11"/>
  <c r="N3326" i="11"/>
  <c r="N3330" i="11"/>
  <c r="N3334" i="11"/>
  <c r="N3338" i="11"/>
  <c r="N3342" i="11"/>
  <c r="N3346" i="11"/>
  <c r="N3350" i="11"/>
  <c r="N3354" i="11"/>
  <c r="N3358" i="11"/>
  <c r="N3362" i="11"/>
  <c r="N3366" i="11"/>
  <c r="N3370" i="11"/>
  <c r="N3374" i="11"/>
  <c r="N3378" i="11"/>
  <c r="N3382" i="11"/>
  <c r="N3386" i="11"/>
  <c r="N3390" i="11"/>
  <c r="N3394" i="11"/>
  <c r="N3398" i="11"/>
  <c r="N3402" i="11"/>
  <c r="N3406" i="11"/>
  <c r="N3410" i="11"/>
  <c r="N3414" i="11"/>
  <c r="N3418" i="11"/>
  <c r="N3422" i="11"/>
  <c r="N3426" i="11"/>
  <c r="N3430" i="11"/>
  <c r="N3434" i="11"/>
  <c r="N3438" i="11"/>
  <c r="N3442" i="11"/>
  <c r="N3446" i="11"/>
  <c r="N3450" i="11"/>
  <c r="N3454" i="11"/>
  <c r="N3458" i="11"/>
  <c r="N3462" i="11"/>
  <c r="N3466" i="11"/>
  <c r="N3470" i="11"/>
  <c r="N3474" i="11"/>
  <c r="N3478" i="11"/>
  <c r="N3482" i="11"/>
  <c r="N3486" i="11"/>
  <c r="N3490" i="11"/>
  <c r="N3494" i="11"/>
  <c r="N3498" i="11"/>
  <c r="N3502" i="11"/>
  <c r="N3506" i="11"/>
  <c r="N3510" i="11"/>
  <c r="N3514" i="11"/>
  <c r="N3518" i="11"/>
  <c r="N3522" i="11"/>
  <c r="N3526" i="11"/>
  <c r="N3530" i="11"/>
  <c r="N3534" i="11"/>
  <c r="N3538" i="11"/>
  <c r="N3542" i="11"/>
  <c r="N3546" i="11"/>
  <c r="N3550" i="11"/>
  <c r="N3554" i="11"/>
  <c r="N3558" i="11"/>
  <c r="N3562" i="11"/>
  <c r="N3566" i="11"/>
  <c r="N3570" i="11"/>
  <c r="N3574" i="11"/>
  <c r="N3578" i="11"/>
  <c r="N3582" i="11"/>
  <c r="N3586" i="11"/>
  <c r="N3590" i="11"/>
  <c r="N3594" i="11"/>
  <c r="N3598" i="11"/>
  <c r="N3602" i="11"/>
  <c r="N3606" i="11"/>
  <c r="N3610" i="11"/>
  <c r="N3614" i="11"/>
  <c r="N3618" i="11"/>
  <c r="N3622" i="11"/>
  <c r="N3626" i="11"/>
  <c r="N3630" i="11"/>
  <c r="N3634" i="11"/>
  <c r="N3638" i="11"/>
  <c r="N3642" i="11"/>
  <c r="N3646" i="11"/>
  <c r="N3650" i="11"/>
  <c r="N3654" i="11"/>
  <c r="N3658" i="11"/>
  <c r="N3662" i="11"/>
  <c r="N3666" i="11"/>
  <c r="N3670" i="11"/>
  <c r="N3674" i="11"/>
  <c r="N3678" i="11"/>
  <c r="N3682" i="11"/>
  <c r="N3686" i="11"/>
  <c r="N3690" i="11"/>
  <c r="N3694" i="11"/>
  <c r="N3698" i="11"/>
  <c r="N3702" i="11"/>
  <c r="N3706" i="11"/>
  <c r="N3710" i="11"/>
  <c r="N3714" i="11"/>
  <c r="N3718" i="11"/>
  <c r="N3722" i="11"/>
  <c r="N3726" i="11"/>
  <c r="N3730" i="11"/>
  <c r="N3734" i="11"/>
  <c r="N3738" i="11"/>
  <c r="N3742" i="11"/>
  <c r="N3746" i="11"/>
  <c r="N3750" i="11"/>
  <c r="N3754" i="11"/>
  <c r="N3758" i="11"/>
  <c r="N3762" i="11"/>
  <c r="N3766" i="11"/>
  <c r="N3770" i="11"/>
  <c r="N3774" i="11"/>
  <c r="N3778" i="11"/>
  <c r="N3782" i="11"/>
  <c r="N3786" i="11"/>
  <c r="N3790" i="11"/>
  <c r="N3794" i="11"/>
  <c r="N3798" i="11"/>
  <c r="N3802" i="11"/>
  <c r="N3806" i="11"/>
  <c r="N3810" i="11"/>
  <c r="N3814" i="11"/>
  <c r="N3818" i="11"/>
  <c r="N3822" i="11"/>
  <c r="N3826" i="11"/>
  <c r="N3830" i="11"/>
  <c r="N3834" i="11"/>
  <c r="N3838" i="11"/>
  <c r="N3842" i="11"/>
  <c r="N3846" i="11"/>
  <c r="N3850" i="11"/>
  <c r="N3854" i="11"/>
  <c r="N3858" i="11"/>
  <c r="N3862" i="11"/>
  <c r="N3866" i="11"/>
  <c r="N3870" i="11"/>
  <c r="N3874" i="11"/>
  <c r="N3878" i="11"/>
  <c r="N3882" i="11"/>
  <c r="N3886" i="11"/>
  <c r="N3890" i="11"/>
  <c r="N3894" i="11"/>
  <c r="N3898" i="11"/>
  <c r="N3902" i="11"/>
  <c r="N3906" i="11"/>
  <c r="N3910" i="11"/>
  <c r="N3914" i="11"/>
  <c r="N3918" i="11"/>
  <c r="N3922" i="11"/>
  <c r="N3926" i="11"/>
  <c r="N3930" i="11"/>
  <c r="N3934" i="11"/>
  <c r="N3938" i="11"/>
  <c r="N3942" i="11"/>
  <c r="N3946" i="11"/>
  <c r="N3950" i="11"/>
  <c r="N3954" i="11"/>
  <c r="N3958" i="11"/>
  <c r="N3962" i="11"/>
  <c r="N3966" i="11"/>
  <c r="N3970" i="11"/>
  <c r="N3974" i="11"/>
  <c r="N3978" i="11"/>
  <c r="N3982" i="11"/>
  <c r="N3986" i="11"/>
  <c r="N3990" i="11"/>
  <c r="N3994" i="11"/>
  <c r="N3998" i="11"/>
  <c r="N4002" i="11"/>
  <c r="N4006" i="11"/>
  <c r="N4010" i="11"/>
  <c r="N4014" i="11"/>
  <c r="N4018" i="11"/>
  <c r="N4022" i="11"/>
  <c r="N4026" i="11"/>
  <c r="N4030" i="11"/>
  <c r="N4034" i="11"/>
  <c r="N4038" i="11"/>
  <c r="N4042" i="11"/>
  <c r="N4046" i="11"/>
  <c r="N4050" i="11"/>
  <c r="N4054" i="11"/>
  <c r="N4058" i="11"/>
  <c r="N4062" i="11"/>
  <c r="N4066" i="11"/>
  <c r="N4070" i="11"/>
  <c r="N4074" i="11"/>
  <c r="N4078" i="11"/>
  <c r="N4082" i="11"/>
  <c r="N4086" i="11"/>
  <c r="N4090" i="11"/>
  <c r="N4094" i="11"/>
  <c r="N4098" i="11"/>
  <c r="N4102" i="11"/>
  <c r="N4106" i="11"/>
  <c r="N4110" i="11"/>
  <c r="N4114" i="11"/>
  <c r="N4118" i="11"/>
  <c r="N4122" i="11"/>
  <c r="N4126" i="11"/>
  <c r="N4130" i="11"/>
  <c r="N4134" i="11"/>
  <c r="N4138" i="11"/>
  <c r="N4142" i="11"/>
  <c r="N4146" i="11"/>
  <c r="N4150" i="11"/>
  <c r="N4154" i="11"/>
  <c r="N4158" i="11"/>
  <c r="N4162" i="11"/>
  <c r="N4166" i="11"/>
  <c r="N4170" i="11"/>
  <c r="N4174" i="11"/>
  <c r="N4178" i="11"/>
  <c r="N4182" i="11"/>
  <c r="N4186" i="11"/>
  <c r="N4190" i="11"/>
  <c r="N4194" i="11"/>
  <c r="N4198" i="11"/>
  <c r="N4202" i="11"/>
  <c r="N4206" i="11"/>
  <c r="N4210" i="11"/>
  <c r="N4214" i="11"/>
  <c r="N4218" i="11"/>
  <c r="N4222" i="11"/>
  <c r="N4226" i="11"/>
  <c r="N4230" i="11"/>
  <c r="N4234" i="11"/>
  <c r="N4238" i="11"/>
  <c r="N4242" i="11"/>
  <c r="N4246" i="11"/>
  <c r="N4250" i="11"/>
  <c r="N4254" i="11"/>
  <c r="N4258" i="11"/>
  <c r="N4262" i="11"/>
  <c r="N4266" i="11"/>
  <c r="N4270" i="11"/>
  <c r="N4274" i="11"/>
  <c r="N4278" i="11"/>
  <c r="N4282" i="11"/>
  <c r="N4286" i="11"/>
  <c r="N4290" i="11"/>
  <c r="N4294" i="11"/>
  <c r="N4298" i="11"/>
  <c r="N4302" i="11"/>
  <c r="N4306" i="11"/>
  <c r="N4310" i="11"/>
  <c r="N4314" i="11"/>
  <c r="N4318" i="11"/>
  <c r="N4322" i="11"/>
  <c r="N4326" i="11"/>
  <c r="N4330" i="11"/>
  <c r="N4334" i="11"/>
  <c r="N4338" i="11"/>
  <c r="N4342" i="11"/>
  <c r="N4346" i="11"/>
  <c r="N4350" i="11"/>
  <c r="N4354" i="11"/>
  <c r="N4358" i="11"/>
  <c r="N4362" i="11"/>
  <c r="N4366" i="11"/>
  <c r="N4370" i="11"/>
  <c r="N4374" i="11"/>
  <c r="N4378" i="11"/>
  <c r="N4382" i="11"/>
  <c r="N4386" i="11"/>
  <c r="N4390" i="11"/>
  <c r="N4394" i="11"/>
  <c r="N4398" i="11"/>
  <c r="N4402" i="11"/>
  <c r="N4406" i="11"/>
  <c r="N4410" i="11"/>
  <c r="N4414" i="11"/>
  <c r="N4418" i="11"/>
  <c r="N4422" i="11"/>
  <c r="N4426" i="11"/>
  <c r="N4430" i="11"/>
  <c r="N4434" i="11"/>
  <c r="N4438" i="11"/>
  <c r="N4442" i="11"/>
  <c r="N4446" i="11"/>
  <c r="N4450" i="11"/>
  <c r="N4454" i="11"/>
  <c r="N4458" i="11"/>
  <c r="N4462" i="11"/>
  <c r="N4466" i="11"/>
  <c r="N4470" i="11"/>
  <c r="N4474" i="11"/>
  <c r="N4478" i="11"/>
  <c r="N4482" i="11"/>
  <c r="N4486" i="11"/>
  <c r="N4490" i="11"/>
  <c r="N4494" i="11"/>
  <c r="N4498" i="11"/>
  <c r="N4502" i="11"/>
  <c r="N4506" i="11"/>
  <c r="N4510" i="11"/>
  <c r="N4514" i="11"/>
  <c r="N4518" i="11"/>
  <c r="N4522" i="11"/>
  <c r="N4526" i="11"/>
  <c r="N4530" i="11"/>
  <c r="N4534" i="11"/>
  <c r="N4538" i="11"/>
  <c r="N4542" i="11"/>
  <c r="N4546" i="11"/>
  <c r="N4550" i="11"/>
  <c r="N4554" i="11"/>
  <c r="N4558" i="11"/>
  <c r="N4562" i="11"/>
  <c r="N4566" i="11"/>
  <c r="N4570" i="11"/>
  <c r="N4574" i="11"/>
  <c r="N4578" i="11"/>
  <c r="N4582" i="11"/>
  <c r="N4586" i="11"/>
  <c r="N4590" i="11"/>
  <c r="N4594" i="11"/>
  <c r="N4598" i="11"/>
  <c r="N4602" i="11"/>
  <c r="N4606" i="11"/>
  <c r="N4610" i="11"/>
  <c r="N4614" i="11"/>
  <c r="N4618" i="11"/>
  <c r="N4622" i="11"/>
  <c r="N4626" i="11"/>
  <c r="N4630" i="11"/>
  <c r="N4634" i="11"/>
  <c r="N4638" i="11"/>
  <c r="N4642" i="11"/>
  <c r="N4646" i="11"/>
  <c r="N4650" i="11"/>
  <c r="N4654" i="11"/>
  <c r="N4658" i="11"/>
  <c r="N4662" i="11"/>
  <c r="N4666" i="11"/>
  <c r="N4670" i="11"/>
  <c r="N4674" i="11"/>
  <c r="N4678" i="11"/>
  <c r="N4682" i="11"/>
  <c r="N4686" i="11"/>
  <c r="N4690" i="11"/>
  <c r="N4694" i="11"/>
  <c r="N4698" i="11"/>
  <c r="N4702" i="11"/>
  <c r="N4706" i="11"/>
  <c r="N4710" i="11"/>
  <c r="N4714" i="11"/>
  <c r="N4718" i="11"/>
  <c r="N4722" i="11"/>
  <c r="N4726" i="11"/>
  <c r="N4730" i="11"/>
  <c r="N1535" i="11"/>
  <c r="N1530" i="11"/>
  <c r="N1525" i="11"/>
  <c r="N1519" i="11"/>
  <c r="N1514" i="11"/>
  <c r="N1509" i="11"/>
  <c r="N1503" i="11"/>
  <c r="N1498" i="11"/>
  <c r="N1493" i="11"/>
  <c r="N1487" i="11"/>
  <c r="N1482" i="11"/>
  <c r="N1477" i="11"/>
  <c r="N1471" i="11"/>
  <c r="N1466" i="11"/>
  <c r="N1461" i="11"/>
  <c r="N1455" i="11"/>
  <c r="N1450" i="11"/>
  <c r="N1445" i="11"/>
  <c r="N1439" i="11"/>
  <c r="N1434" i="11"/>
  <c r="N1429" i="11"/>
  <c r="N1423" i="11"/>
  <c r="N1418" i="11"/>
  <c r="N1411" i="11"/>
  <c r="N1403" i="11"/>
  <c r="N1397" i="11"/>
  <c r="N1390" i="11"/>
  <c r="N1382" i="11"/>
  <c r="N1375" i="11"/>
  <c r="N1367" i="11"/>
  <c r="N1357" i="11"/>
  <c r="N1347" i="11"/>
  <c r="N1339" i="11"/>
  <c r="N1329" i="11"/>
  <c r="N1319" i="11"/>
  <c r="N1310" i="11"/>
  <c r="N1298" i="11"/>
  <c r="N1289" i="11"/>
  <c r="N1273" i="11"/>
  <c r="N1244" i="11"/>
  <c r="N1217" i="11"/>
  <c r="N1196" i="11"/>
  <c r="N1160" i="11"/>
  <c r="N1120" i="11"/>
  <c r="N1072" i="11"/>
  <c r="N968" i="11"/>
  <c r="N732" i="11"/>
  <c r="N1415" i="11"/>
  <c r="N1410" i="11"/>
  <c r="N1405" i="11"/>
  <c r="N1399" i="11"/>
  <c r="N1394" i="11"/>
  <c r="N1389" i="11"/>
  <c r="N1383" i="11"/>
  <c r="N1378" i="11"/>
  <c r="N1373" i="11"/>
  <c r="N1366" i="11"/>
  <c r="N1358" i="11"/>
  <c r="N1351" i="11"/>
  <c r="N1345" i="11"/>
  <c r="N1337" i="11"/>
  <c r="N1330" i="11"/>
  <c r="N1323" i="11"/>
  <c r="N1315" i="11"/>
  <c r="N1309" i="11"/>
  <c r="N1302" i="11"/>
  <c r="N1292" i="11"/>
  <c r="N1282" i="11"/>
  <c r="N1266" i="11"/>
  <c r="N1246" i="11"/>
  <c r="N1230" i="11"/>
  <c r="N1210" i="11"/>
  <c r="N1189" i="11"/>
  <c r="N1169" i="11"/>
  <c r="N1134" i="11"/>
  <c r="N1096" i="11"/>
  <c r="N1065" i="11"/>
  <c r="N1006" i="11"/>
  <c r="N833" i="11"/>
  <c r="N634" i="11"/>
  <c r="N1370" i="11"/>
  <c r="N1365" i="11"/>
  <c r="N1359" i="11"/>
  <c r="N1354" i="11"/>
  <c r="N1349" i="11"/>
  <c r="N1343" i="11"/>
  <c r="N1338" i="11"/>
  <c r="N1333" i="11"/>
  <c r="N1327" i="11"/>
  <c r="N1322" i="11"/>
  <c r="N1317" i="11"/>
  <c r="N1311" i="11"/>
  <c r="N1306" i="11"/>
  <c r="N1301" i="11"/>
  <c r="N1294" i="11"/>
  <c r="N1288" i="11"/>
  <c r="N1280" i="11"/>
  <c r="N1265" i="11"/>
  <c r="N1250" i="11"/>
  <c r="N1237" i="11"/>
  <c r="N1224" i="11"/>
  <c r="N1209" i="11"/>
  <c r="N1194" i="11"/>
  <c r="N1178" i="11"/>
  <c r="N1157" i="11"/>
  <c r="N1130" i="11"/>
  <c r="N1105" i="11"/>
  <c r="N1081" i="11"/>
  <c r="N1045" i="11"/>
  <c r="N992" i="11"/>
  <c r="N917" i="11"/>
  <c r="N720" i="11"/>
  <c r="N286" i="11"/>
  <c r="N1278" i="11"/>
  <c r="N1272" i="11"/>
  <c r="N1264" i="11"/>
  <c r="N1257" i="11"/>
  <c r="N1249" i="11"/>
  <c r="N1242" i="11"/>
  <c r="N1234" i="11"/>
  <c r="N1228" i="11"/>
  <c r="N1221" i="11"/>
  <c r="N1214" i="11"/>
  <c r="N1208" i="11"/>
  <c r="N1200" i="11"/>
  <c r="N1193" i="11"/>
  <c r="N1185" i="11"/>
  <c r="N1177" i="11"/>
  <c r="N1166" i="11"/>
  <c r="N1152" i="11"/>
  <c r="N1141" i="11"/>
  <c r="N1129" i="11"/>
  <c r="N1114" i="11"/>
  <c r="N1102" i="11"/>
  <c r="N1090" i="11"/>
  <c r="N1077" i="11"/>
  <c r="N1061" i="11"/>
  <c r="N1040" i="11"/>
  <c r="N1016" i="11"/>
  <c r="N990" i="11"/>
  <c r="N946" i="11"/>
  <c r="N874" i="11"/>
  <c r="N789" i="11"/>
  <c r="N718" i="11"/>
  <c r="N577" i="11"/>
  <c r="N236" i="11"/>
  <c r="N1276" i="11"/>
  <c r="N1269" i="11"/>
  <c r="N1262" i="11"/>
  <c r="N1256" i="11"/>
  <c r="N1248" i="11"/>
  <c r="N1241" i="11"/>
  <c r="N1233" i="11"/>
  <c r="N1226" i="11"/>
  <c r="N1218" i="11"/>
  <c r="N1212" i="11"/>
  <c r="N1205" i="11"/>
  <c r="N1198" i="11"/>
  <c r="N1192" i="11"/>
  <c r="N1184" i="11"/>
  <c r="N1176" i="11"/>
  <c r="N1162" i="11"/>
  <c r="N1150" i="11"/>
  <c r="N1137" i="11"/>
  <c r="N1122" i="11"/>
  <c r="N1113" i="11"/>
  <c r="N1100" i="11"/>
  <c r="N1086" i="11"/>
  <c r="N1073" i="11"/>
  <c r="N1058" i="11"/>
  <c r="N1033" i="11"/>
  <c r="N1010" i="11"/>
  <c r="N976" i="11"/>
  <c r="N930" i="11"/>
  <c r="N862" i="11"/>
  <c r="N776" i="11"/>
  <c r="N674" i="11"/>
  <c r="N464" i="11"/>
  <c r="N172" i="11"/>
  <c r="N1180" i="11"/>
  <c r="N1173" i="11"/>
  <c r="N1164" i="11"/>
  <c r="N1154" i="11"/>
  <c r="N1145" i="11"/>
  <c r="N1136" i="11"/>
  <c r="N1128" i="11"/>
  <c r="N1116" i="11"/>
  <c r="N1106" i="11"/>
  <c r="N1098" i="11"/>
  <c r="N1088" i="11"/>
  <c r="N1080" i="11"/>
  <c r="N1070" i="11"/>
  <c r="N1052" i="11"/>
  <c r="N1036" i="11"/>
  <c r="N1022" i="11"/>
  <c r="N1000" i="11"/>
  <c r="N974" i="11"/>
  <c r="N938" i="11"/>
  <c r="N889" i="11"/>
  <c r="N832" i="11"/>
  <c r="N761" i="11"/>
  <c r="N689" i="11"/>
  <c r="N618" i="11"/>
  <c r="N400" i="11"/>
  <c r="N114" i="11"/>
  <c r="N1168" i="11"/>
  <c r="N1161" i="11"/>
  <c r="N1153" i="11"/>
  <c r="N1146" i="11"/>
  <c r="N1138" i="11"/>
  <c r="N1132" i="11"/>
  <c r="N1125" i="11"/>
  <c r="N1118" i="11"/>
  <c r="N1112" i="11"/>
  <c r="N1104" i="11"/>
  <c r="N1097" i="11"/>
  <c r="N1089" i="11"/>
  <c r="N1082" i="11"/>
  <c r="N1074" i="11"/>
  <c r="N1068" i="11"/>
  <c r="N1054" i="11"/>
  <c r="N1042" i="11"/>
  <c r="N1032" i="11"/>
  <c r="N1017" i="11"/>
  <c r="N1002" i="11"/>
  <c r="N988" i="11"/>
  <c r="N960" i="11"/>
  <c r="N933" i="11"/>
  <c r="N904" i="11"/>
  <c r="N846" i="11"/>
  <c r="N802" i="11"/>
  <c r="N748" i="11"/>
  <c r="N690" i="11"/>
  <c r="N648" i="11"/>
  <c r="N570" i="11"/>
  <c r="N344" i="11"/>
  <c r="N122" i="11"/>
  <c r="N1066" i="11"/>
  <c r="N1057" i="11"/>
  <c r="N1048" i="11"/>
  <c r="N1038" i="11"/>
  <c r="N1029" i="11"/>
  <c r="N1018" i="11"/>
  <c r="N1009" i="11"/>
  <c r="N997" i="11"/>
  <c r="N981" i="11"/>
  <c r="N961" i="11"/>
  <c r="N945" i="11"/>
  <c r="N924" i="11"/>
  <c r="N890" i="11"/>
  <c r="N860" i="11"/>
  <c r="N817" i="11"/>
  <c r="N777" i="11"/>
  <c r="N746" i="11"/>
  <c r="N704" i="11"/>
  <c r="N664" i="11"/>
  <c r="N633" i="11"/>
  <c r="N513" i="11"/>
  <c r="N350" i="11"/>
  <c r="N229" i="11"/>
  <c r="N58" i="11"/>
  <c r="N1064" i="11"/>
  <c r="N1056" i="11"/>
  <c r="N1049" i="11"/>
  <c r="N1041" i="11"/>
  <c r="N1034" i="11"/>
  <c r="N1026" i="11"/>
  <c r="N1020" i="11"/>
  <c r="N1013" i="11"/>
  <c r="N1004" i="11"/>
  <c r="N994" i="11"/>
  <c r="N984" i="11"/>
  <c r="N969" i="11"/>
  <c r="N954" i="11"/>
  <c r="N940" i="11"/>
  <c r="N926" i="11"/>
  <c r="N905" i="11"/>
  <c r="N876" i="11"/>
  <c r="N848" i="11"/>
  <c r="N818" i="11"/>
  <c r="N792" i="11"/>
  <c r="N762" i="11"/>
  <c r="N734" i="11"/>
  <c r="N705" i="11"/>
  <c r="N677" i="11"/>
  <c r="N649" i="11"/>
  <c r="N620" i="11"/>
  <c r="N521" i="11"/>
  <c r="N408" i="11"/>
  <c r="N293" i="11"/>
  <c r="N178" i="11"/>
  <c r="N65" i="11"/>
  <c r="N1008" i="11"/>
  <c r="N1001" i="11"/>
  <c r="N993" i="11"/>
  <c r="N986" i="11"/>
  <c r="N978" i="11"/>
  <c r="N972" i="11"/>
  <c r="N965" i="11"/>
  <c r="N958" i="11"/>
  <c r="N952" i="11"/>
  <c r="N944" i="11"/>
  <c r="N937" i="11"/>
  <c r="N929" i="11"/>
  <c r="N922" i="11"/>
  <c r="N912" i="11"/>
  <c r="N897" i="11"/>
  <c r="N882" i="11"/>
  <c r="N869" i="11"/>
  <c r="N856" i="11"/>
  <c r="N841" i="11"/>
  <c r="N826" i="11"/>
  <c r="N812" i="11"/>
  <c r="N798" i="11"/>
  <c r="N784" i="11"/>
  <c r="N769" i="11"/>
  <c r="N754" i="11"/>
  <c r="N741" i="11"/>
  <c r="N728" i="11"/>
  <c r="N713" i="11"/>
  <c r="N698" i="11"/>
  <c r="N684" i="11"/>
  <c r="N670" i="11"/>
  <c r="N656" i="11"/>
  <c r="N641" i="11"/>
  <c r="N626" i="11"/>
  <c r="N606" i="11"/>
  <c r="N549" i="11"/>
  <c r="N492" i="11"/>
  <c r="N434" i="11"/>
  <c r="N378" i="11"/>
  <c r="N321" i="11"/>
  <c r="N265" i="11"/>
  <c r="N208" i="11"/>
  <c r="N152" i="11"/>
  <c r="N94" i="11"/>
  <c r="N37" i="11"/>
  <c r="N985" i="11"/>
  <c r="N977" i="11"/>
  <c r="N970" i="11"/>
  <c r="N962" i="11"/>
  <c r="N956" i="11"/>
  <c r="N949" i="11"/>
  <c r="N942" i="11"/>
  <c r="N936" i="11"/>
  <c r="N928" i="11"/>
  <c r="N921" i="11"/>
  <c r="N910" i="11"/>
  <c r="N896" i="11"/>
  <c r="N881" i="11"/>
  <c r="N866" i="11"/>
  <c r="N853" i="11"/>
  <c r="N840" i="11"/>
  <c r="N825" i="11"/>
  <c r="N810" i="11"/>
  <c r="N796" i="11"/>
  <c r="N782" i="11"/>
  <c r="N768" i="11"/>
  <c r="N753" i="11"/>
  <c r="N738" i="11"/>
  <c r="N725" i="11"/>
  <c r="N712" i="11"/>
  <c r="N697" i="11"/>
  <c r="N682" i="11"/>
  <c r="N668" i="11"/>
  <c r="N654" i="11"/>
  <c r="N640" i="11"/>
  <c r="N625" i="11"/>
  <c r="N600" i="11"/>
  <c r="N542" i="11"/>
  <c r="N485" i="11"/>
  <c r="N428" i="11"/>
  <c r="N370" i="11"/>
  <c r="N314" i="11"/>
  <c r="N257" i="11"/>
  <c r="N201" i="11"/>
  <c r="N144" i="11"/>
  <c r="N88" i="11"/>
  <c r="N30" i="11"/>
  <c r="N914" i="11"/>
  <c r="N908" i="11"/>
  <c r="N901" i="11"/>
  <c r="N894" i="11"/>
  <c r="N888" i="11"/>
  <c r="N880" i="11"/>
  <c r="N873" i="11"/>
  <c r="N865" i="11"/>
  <c r="N858" i="11"/>
  <c r="N850" i="11"/>
  <c r="N844" i="11"/>
  <c r="N837" i="11"/>
  <c r="N830" i="11"/>
  <c r="N824" i="11"/>
  <c r="N816" i="11"/>
  <c r="N809" i="11"/>
  <c r="N801" i="11"/>
  <c r="N794" i="11"/>
  <c r="N786" i="11"/>
  <c r="N780" i="11"/>
  <c r="N773" i="11"/>
  <c r="N766" i="11"/>
  <c r="N760" i="11"/>
  <c r="N752" i="11"/>
  <c r="N745" i="11"/>
  <c r="N737" i="11"/>
  <c r="N730" i="11"/>
  <c r="N722" i="11"/>
  <c r="N716" i="11"/>
  <c r="N709" i="11"/>
  <c r="N702" i="11"/>
  <c r="N696" i="11"/>
  <c r="N688" i="11"/>
  <c r="N681" i="11"/>
  <c r="N673" i="11"/>
  <c r="N666" i="11"/>
  <c r="N658" i="11"/>
  <c r="N652" i="11"/>
  <c r="N645" i="11"/>
  <c r="N638" i="11"/>
  <c r="N632" i="11"/>
  <c r="N624" i="11"/>
  <c r="N617" i="11"/>
  <c r="N592" i="11"/>
  <c r="N562" i="11"/>
  <c r="N536" i="11"/>
  <c r="N506" i="11"/>
  <c r="N478" i="11"/>
  <c r="N449" i="11"/>
  <c r="N421" i="11"/>
  <c r="N393" i="11"/>
  <c r="N364" i="11"/>
  <c r="N336" i="11"/>
  <c r="N306" i="11"/>
  <c r="N280" i="11"/>
  <c r="N250" i="11"/>
  <c r="N222" i="11"/>
  <c r="N193" i="11"/>
  <c r="N165" i="11"/>
  <c r="N137" i="11"/>
  <c r="N108" i="11"/>
  <c r="N80" i="11"/>
  <c r="N50" i="11"/>
  <c r="N24" i="11"/>
  <c r="N913" i="11"/>
  <c r="N906" i="11"/>
  <c r="N898" i="11"/>
  <c r="N892" i="11"/>
  <c r="N885" i="11"/>
  <c r="N878" i="11"/>
  <c r="N872" i="11"/>
  <c r="N864" i="11"/>
  <c r="N857" i="11"/>
  <c r="N849" i="11"/>
  <c r="N842" i="11"/>
  <c r="N834" i="11"/>
  <c r="N828" i="11"/>
  <c r="N821" i="11"/>
  <c r="N814" i="11"/>
  <c r="N808" i="11"/>
  <c r="N800" i="11"/>
  <c r="N793" i="11"/>
  <c r="N785" i="11"/>
  <c r="N778" i="11"/>
  <c r="N770" i="11"/>
  <c r="N764" i="11"/>
  <c r="N757" i="11"/>
  <c r="N750" i="11"/>
  <c r="N744" i="11"/>
  <c r="N736" i="11"/>
  <c r="N729" i="11"/>
  <c r="N721" i="11"/>
  <c r="N714" i="11"/>
  <c r="N706" i="11"/>
  <c r="N700" i="11"/>
  <c r="N693" i="11"/>
  <c r="N686" i="11"/>
  <c r="N680" i="11"/>
  <c r="N672" i="11"/>
  <c r="N665" i="11"/>
  <c r="N657" i="11"/>
  <c r="N650" i="11"/>
  <c r="N642" i="11"/>
  <c r="N636" i="11"/>
  <c r="N629" i="11"/>
  <c r="N622" i="11"/>
  <c r="N613" i="11"/>
  <c r="N585" i="11"/>
  <c r="N556" i="11"/>
  <c r="N528" i="11"/>
  <c r="N498" i="11"/>
  <c r="N472" i="11"/>
  <c r="N442" i="11"/>
  <c r="N414" i="11"/>
  <c r="N385" i="11"/>
  <c r="N357" i="11"/>
  <c r="N329" i="11"/>
  <c r="N300" i="11"/>
  <c r="N272" i="11"/>
  <c r="N242" i="11"/>
  <c r="N216" i="11"/>
  <c r="N186" i="11"/>
  <c r="N158" i="11"/>
  <c r="N129" i="11"/>
  <c r="N101" i="11"/>
  <c r="N73" i="11"/>
  <c r="N44" i="11"/>
  <c r="N17" i="11"/>
  <c r="N25" i="11"/>
  <c r="N32" i="11"/>
  <c r="N40" i="11"/>
  <c r="N46" i="11"/>
  <c r="N53" i="11"/>
  <c r="N60" i="11"/>
  <c r="N66" i="11"/>
  <c r="N74" i="11"/>
  <c r="N81" i="11"/>
  <c r="N89" i="11"/>
  <c r="N96" i="11"/>
  <c r="N104" i="11"/>
  <c r="N110" i="11"/>
  <c r="N117" i="11"/>
  <c r="N124" i="11"/>
  <c r="N130" i="11"/>
  <c r="N138" i="11"/>
  <c r="N145" i="11"/>
  <c r="N153" i="11"/>
  <c r="N160" i="11"/>
  <c r="N168" i="11"/>
  <c r="N174" i="11"/>
  <c r="N181" i="11"/>
  <c r="N188" i="11"/>
  <c r="N194" i="11"/>
  <c r="N202" i="11"/>
  <c r="N209" i="11"/>
  <c r="N217" i="11"/>
  <c r="N224" i="11"/>
  <c r="N232" i="11"/>
  <c r="N238" i="11"/>
  <c r="N245" i="11"/>
  <c r="N252" i="11"/>
  <c r="N258" i="11"/>
  <c r="N266" i="11"/>
  <c r="N273" i="11"/>
  <c r="N281" i="11"/>
  <c r="N288" i="11"/>
  <c r="N296" i="11"/>
  <c r="N302" i="11"/>
  <c r="N309" i="11"/>
  <c r="N316" i="11"/>
  <c r="N322" i="11"/>
  <c r="N330" i="11"/>
  <c r="N337" i="11"/>
  <c r="N345" i="11"/>
  <c r="N352" i="11"/>
  <c r="N360" i="11"/>
  <c r="N366" i="11"/>
  <c r="N373" i="11"/>
  <c r="N380" i="11"/>
  <c r="N386" i="11"/>
  <c r="N394" i="11"/>
  <c r="N401" i="11"/>
  <c r="N409" i="11"/>
  <c r="N416" i="11"/>
  <c r="N424" i="11"/>
  <c r="N430" i="11"/>
  <c r="N437" i="11"/>
  <c r="N444" i="11"/>
  <c r="N450" i="11"/>
  <c r="N458" i="11"/>
  <c r="N465" i="11"/>
  <c r="N473" i="11"/>
  <c r="N480" i="11"/>
  <c r="N488" i="11"/>
  <c r="N494" i="11"/>
  <c r="N501" i="11"/>
  <c r="N508" i="11"/>
  <c r="N514" i="11"/>
  <c r="N522" i="11"/>
  <c r="N529" i="11"/>
  <c r="N537" i="11"/>
  <c r="N544" i="11"/>
  <c r="N552" i="11"/>
  <c r="N558" i="11"/>
  <c r="N565" i="11"/>
  <c r="N572" i="11"/>
  <c r="N578" i="11"/>
  <c r="N586" i="11"/>
  <c r="N593" i="11"/>
  <c r="N601" i="11"/>
  <c r="N608" i="11"/>
  <c r="N616" i="11"/>
  <c r="N18" i="11"/>
  <c r="N26" i="11"/>
  <c r="N33" i="11"/>
  <c r="N41" i="11"/>
  <c r="N48" i="11"/>
  <c r="N56" i="11"/>
  <c r="N62" i="11"/>
  <c r="N69" i="11"/>
  <c r="N76" i="11"/>
  <c r="N82" i="11"/>
  <c r="N90" i="11"/>
  <c r="N97" i="11"/>
  <c r="N105" i="11"/>
  <c r="N112" i="11"/>
  <c r="N120" i="11"/>
  <c r="N126" i="11"/>
  <c r="N133" i="11"/>
  <c r="N140" i="11"/>
  <c r="N146" i="11"/>
  <c r="N154" i="11"/>
  <c r="N161" i="11"/>
  <c r="N169" i="11"/>
  <c r="N176" i="11"/>
  <c r="N184" i="11"/>
  <c r="N190" i="11"/>
  <c r="N197" i="11"/>
  <c r="N204" i="11"/>
  <c r="N210" i="11"/>
  <c r="N218" i="11"/>
  <c r="N225" i="11"/>
  <c r="N233" i="11"/>
  <c r="N240" i="11"/>
  <c r="N248" i="11"/>
  <c r="N254" i="11"/>
  <c r="N261" i="11"/>
  <c r="N268" i="11"/>
  <c r="N274" i="11"/>
  <c r="N282" i="11"/>
  <c r="N289" i="11"/>
  <c r="N297" i="11"/>
  <c r="N304" i="11"/>
  <c r="N312" i="11"/>
  <c r="N318" i="11"/>
  <c r="N325" i="11"/>
  <c r="N332" i="11"/>
  <c r="N338" i="11"/>
  <c r="N346" i="11"/>
  <c r="N353" i="11"/>
  <c r="N361" i="11"/>
  <c r="N368" i="11"/>
  <c r="N376" i="11"/>
  <c r="N382" i="11"/>
  <c r="N389" i="11"/>
  <c r="N396" i="11"/>
  <c r="N402" i="11"/>
  <c r="N410" i="11"/>
  <c r="N417" i="11"/>
  <c r="N425" i="11"/>
  <c r="N432" i="11"/>
  <c r="N440" i="11"/>
  <c r="N446" i="11"/>
  <c r="N453" i="11"/>
  <c r="N460" i="11"/>
  <c r="N466" i="11"/>
  <c r="N474" i="11"/>
  <c r="N481" i="11"/>
  <c r="N489" i="11"/>
  <c r="N496" i="11"/>
  <c r="N504" i="11"/>
  <c r="N510" i="11"/>
  <c r="N517" i="11"/>
  <c r="N524" i="11"/>
  <c r="N530" i="11"/>
  <c r="N538" i="11"/>
  <c r="N545" i="11"/>
  <c r="N553" i="11"/>
  <c r="N560" i="11"/>
  <c r="N568" i="11"/>
  <c r="N574" i="11"/>
  <c r="N581" i="11"/>
  <c r="N588" i="11"/>
  <c r="N594" i="11"/>
  <c r="N602" i="11"/>
  <c r="N609" i="11"/>
  <c r="N14" i="11"/>
  <c r="N21" i="11"/>
  <c r="N28" i="11"/>
  <c r="N34" i="11"/>
  <c r="N42" i="11"/>
  <c r="N49" i="11"/>
  <c r="N57" i="11"/>
  <c r="N64" i="11"/>
  <c r="N72" i="11"/>
  <c r="N78" i="11"/>
  <c r="N85" i="11"/>
  <c r="N92" i="11"/>
  <c r="N98" i="11"/>
  <c r="N106" i="11"/>
  <c r="N113" i="11"/>
  <c r="N121" i="11"/>
  <c r="N128" i="11"/>
  <c r="N136" i="11"/>
  <c r="N142" i="11"/>
  <c r="N149" i="11"/>
  <c r="N156" i="11"/>
  <c r="N162" i="11"/>
  <c r="N170" i="11"/>
  <c r="N177" i="11"/>
  <c r="N185" i="11"/>
  <c r="N192" i="11"/>
  <c r="N200" i="11"/>
  <c r="N206" i="11"/>
  <c r="N213" i="11"/>
  <c r="N220" i="11"/>
  <c r="N226" i="11"/>
  <c r="N234" i="11"/>
  <c r="N241" i="11"/>
  <c r="N249" i="11"/>
  <c r="N256" i="11"/>
  <c r="N264" i="11"/>
  <c r="N270" i="11"/>
  <c r="N277" i="11"/>
  <c r="N284" i="11"/>
  <c r="N290" i="11"/>
  <c r="N298" i="11"/>
  <c r="N305" i="11"/>
  <c r="N313" i="11"/>
  <c r="N320" i="11"/>
  <c r="N328" i="11"/>
  <c r="N334" i="11"/>
  <c r="N341" i="11"/>
  <c r="N348" i="11"/>
  <c r="N354" i="11"/>
  <c r="N362" i="11"/>
  <c r="N369" i="11"/>
  <c r="N377" i="11"/>
  <c r="N384" i="11"/>
  <c r="N392" i="11"/>
  <c r="N398" i="11"/>
  <c r="N405" i="11"/>
  <c r="N412" i="11"/>
  <c r="N418" i="11"/>
  <c r="N426" i="11"/>
  <c r="N433" i="11"/>
  <c r="N441" i="11"/>
  <c r="N448" i="11"/>
  <c r="N456" i="11"/>
  <c r="N462" i="11"/>
  <c r="N469" i="11"/>
  <c r="N476" i="11"/>
  <c r="N482" i="11"/>
  <c r="N490" i="11"/>
  <c r="N497" i="11"/>
  <c r="N505" i="11"/>
  <c r="N512" i="11"/>
  <c r="N520" i="11"/>
  <c r="N526" i="11"/>
  <c r="N533" i="11"/>
  <c r="N540" i="11"/>
  <c r="N546" i="11"/>
  <c r="N554" i="11"/>
  <c r="N561" i="11"/>
  <c r="N569" i="11"/>
  <c r="N576" i="11"/>
  <c r="N584" i="11"/>
  <c r="N590" i="11"/>
  <c r="N597" i="11"/>
  <c r="N604" i="11"/>
  <c r="N610" i="11"/>
  <c r="N12" i="11"/>
  <c r="P10" i="11"/>
  <c r="N15" i="11"/>
  <c r="N19" i="11"/>
  <c r="N23" i="11"/>
  <c r="N27" i="11"/>
  <c r="N31" i="11"/>
  <c r="N35" i="11"/>
  <c r="N39" i="11"/>
  <c r="N43" i="11"/>
  <c r="N47" i="11"/>
  <c r="N51" i="11"/>
  <c r="N55" i="11"/>
  <c r="N59" i="11"/>
  <c r="N63" i="11"/>
  <c r="N67" i="11"/>
  <c r="N71" i="11"/>
  <c r="N75" i="11"/>
  <c r="N79" i="11"/>
  <c r="N83" i="11"/>
  <c r="N87" i="11"/>
  <c r="N91" i="11"/>
  <c r="N95" i="11"/>
  <c r="N99" i="11"/>
  <c r="N103" i="11"/>
  <c r="N107" i="11"/>
  <c r="N111" i="11"/>
  <c r="N115" i="11"/>
  <c r="N119" i="11"/>
  <c r="N123" i="11"/>
  <c r="N127" i="11"/>
  <c r="N131" i="11"/>
  <c r="N135" i="11"/>
  <c r="N139" i="11"/>
  <c r="N143" i="11"/>
  <c r="N147" i="11"/>
  <c r="N151" i="11"/>
  <c r="N155" i="11"/>
  <c r="N159" i="11"/>
  <c r="N163" i="11"/>
  <c r="N167" i="11"/>
  <c r="N171" i="11"/>
  <c r="N175" i="11"/>
  <c r="N179" i="11"/>
  <c r="N183" i="11"/>
  <c r="N187" i="11"/>
  <c r="N191" i="11"/>
  <c r="N195" i="11"/>
  <c r="N199" i="11"/>
  <c r="N203" i="11"/>
  <c r="N207" i="11"/>
  <c r="N211" i="11"/>
  <c r="N215" i="11"/>
  <c r="N219" i="11"/>
  <c r="N223" i="11"/>
  <c r="N227" i="11"/>
  <c r="N231" i="11"/>
  <c r="N235" i="11"/>
  <c r="N239" i="11"/>
  <c r="N243" i="11"/>
  <c r="N247" i="11"/>
  <c r="N251" i="11"/>
  <c r="N255" i="11"/>
  <c r="N259" i="11"/>
  <c r="N263" i="11"/>
  <c r="N267" i="11"/>
  <c r="N271" i="11"/>
  <c r="N275" i="11"/>
  <c r="N279" i="11"/>
  <c r="N283" i="11"/>
  <c r="N287" i="11"/>
  <c r="N291" i="11"/>
  <c r="N295" i="11"/>
  <c r="N299" i="11"/>
  <c r="N303" i="11"/>
  <c r="N307" i="11"/>
  <c r="N311" i="11"/>
  <c r="N315" i="11"/>
  <c r="N319" i="11"/>
  <c r="N323" i="11"/>
  <c r="N327" i="11"/>
  <c r="N331" i="11"/>
  <c r="N335" i="11"/>
  <c r="N339" i="11"/>
  <c r="N343" i="11"/>
  <c r="N347" i="11"/>
  <c r="N351" i="11"/>
  <c r="N355" i="11"/>
  <c r="N359" i="11"/>
  <c r="N363" i="11"/>
  <c r="N367" i="11"/>
  <c r="N371" i="11"/>
  <c r="N375" i="11"/>
  <c r="N379" i="11"/>
  <c r="N383" i="11"/>
  <c r="N387" i="11"/>
  <c r="N391" i="11"/>
  <c r="N395" i="11"/>
  <c r="N399" i="11"/>
  <c r="N403" i="11"/>
  <c r="N407" i="11"/>
  <c r="N411" i="11"/>
  <c r="N415" i="11"/>
  <c r="N419" i="11"/>
  <c r="N423" i="11"/>
  <c r="N427" i="11"/>
  <c r="N431" i="11"/>
  <c r="N435" i="11"/>
  <c r="N439" i="11"/>
  <c r="N443" i="11"/>
  <c r="N447" i="11"/>
  <c r="N451" i="11"/>
  <c r="N455" i="11"/>
  <c r="N459" i="11"/>
  <c r="N463" i="11"/>
  <c r="N467" i="11"/>
  <c r="N471" i="11"/>
  <c r="N475" i="11"/>
  <c r="N479" i="11"/>
  <c r="N483" i="11"/>
  <c r="N487" i="11"/>
  <c r="N491" i="11"/>
  <c r="N495" i="11"/>
  <c r="N499" i="11"/>
  <c r="N503" i="11"/>
  <c r="N507" i="11"/>
  <c r="N511" i="11"/>
  <c r="N515" i="11"/>
  <c r="N519" i="11"/>
  <c r="N523" i="11"/>
  <c r="N527" i="11"/>
  <c r="N531" i="11"/>
  <c r="N535" i="11"/>
  <c r="N539" i="11"/>
  <c r="N543" i="11"/>
  <c r="N547" i="11"/>
  <c r="N551" i="11"/>
  <c r="N555" i="11"/>
  <c r="N559" i="11"/>
  <c r="N563" i="11"/>
  <c r="N567" i="11"/>
  <c r="N571" i="11"/>
  <c r="N575" i="11"/>
  <c r="N579" i="11"/>
  <c r="N583" i="11"/>
  <c r="N587" i="11"/>
  <c r="N591" i="11"/>
  <c r="N595" i="11"/>
  <c r="N599" i="11"/>
  <c r="N603" i="11"/>
  <c r="N607" i="11"/>
  <c r="N611" i="11"/>
  <c r="N615" i="11"/>
  <c r="N619" i="11"/>
  <c r="N623" i="11"/>
  <c r="N627" i="11"/>
  <c r="N631" i="11"/>
  <c r="N635" i="11"/>
  <c r="N639" i="11"/>
  <c r="N643" i="11"/>
  <c r="N647" i="11"/>
  <c r="N651" i="11"/>
  <c r="N655" i="11"/>
  <c r="N659" i="11"/>
  <c r="N663" i="11"/>
  <c r="N667" i="11"/>
  <c r="N671" i="11"/>
  <c r="N675" i="11"/>
  <c r="N679" i="11"/>
  <c r="N683" i="11"/>
  <c r="N687" i="11"/>
  <c r="N691" i="11"/>
  <c r="N695" i="11"/>
  <c r="N699" i="11"/>
  <c r="N703" i="11"/>
  <c r="N707" i="11"/>
  <c r="N711" i="11"/>
  <c r="N715" i="11"/>
  <c r="N719" i="11"/>
  <c r="N723" i="11"/>
  <c r="N727" i="11"/>
  <c r="N731" i="11"/>
  <c r="N735" i="11"/>
  <c r="N739" i="11"/>
  <c r="N743" i="11"/>
  <c r="N747" i="11"/>
  <c r="N751" i="11"/>
  <c r="N755" i="11"/>
  <c r="N759" i="11"/>
  <c r="N763" i="11"/>
  <c r="N767" i="11"/>
  <c r="N771" i="11"/>
  <c r="N775" i="11"/>
  <c r="N779" i="11"/>
  <c r="N783" i="11"/>
  <c r="N787" i="11"/>
  <c r="N791" i="11"/>
  <c r="N795" i="11"/>
  <c r="N799" i="11"/>
  <c r="N803" i="11"/>
  <c r="N807" i="11"/>
  <c r="N811" i="11"/>
  <c r="N815" i="11"/>
  <c r="N819" i="11"/>
  <c r="N823" i="11"/>
  <c r="N827" i="11"/>
  <c r="N831" i="11"/>
  <c r="N835" i="11"/>
  <c r="N839" i="11"/>
  <c r="N843" i="11"/>
  <c r="N847" i="11"/>
  <c r="N851" i="11"/>
  <c r="N855" i="11"/>
  <c r="N859" i="11"/>
  <c r="N863" i="11"/>
  <c r="N867" i="11"/>
  <c r="N871" i="11"/>
  <c r="N875" i="11"/>
  <c r="N879" i="11"/>
  <c r="N883" i="11"/>
  <c r="N887" i="11"/>
  <c r="N891" i="11"/>
  <c r="N895" i="11"/>
  <c r="N899" i="11"/>
  <c r="N903" i="11"/>
  <c r="N907" i="11"/>
  <c r="N911" i="11"/>
  <c r="N915" i="11"/>
  <c r="N919" i="11"/>
  <c r="N923" i="11"/>
  <c r="N927" i="11"/>
  <c r="N931" i="11"/>
  <c r="N935" i="11"/>
  <c r="N939" i="11"/>
  <c r="N943" i="11"/>
  <c r="N947" i="11"/>
  <c r="N951" i="11"/>
  <c r="N955" i="11"/>
  <c r="N959" i="11"/>
  <c r="N963" i="11"/>
  <c r="N967" i="11"/>
  <c r="N971" i="11"/>
  <c r="N975" i="11"/>
  <c r="N979" i="11"/>
  <c r="N983" i="11"/>
  <c r="N987" i="11"/>
  <c r="N991" i="11"/>
  <c r="N995" i="11"/>
  <c r="N999" i="11"/>
  <c r="N1003" i="11"/>
  <c r="N1007" i="11"/>
  <c r="N1011" i="11"/>
  <c r="N1015" i="11"/>
  <c r="N1019" i="11"/>
  <c r="N1023" i="11"/>
  <c r="N1027" i="11"/>
  <c r="N1031" i="11"/>
  <c r="N1035" i="11"/>
  <c r="N1039" i="11"/>
  <c r="N1043" i="11"/>
  <c r="N1047" i="11"/>
  <c r="N1051" i="11"/>
  <c r="N1055" i="11"/>
  <c r="N1059" i="11"/>
  <c r="N1063" i="11"/>
  <c r="N1067" i="11"/>
  <c r="N1071" i="11"/>
  <c r="N1075" i="11"/>
  <c r="N1079" i="11"/>
  <c r="N1083" i="11"/>
  <c r="N1087" i="11"/>
  <c r="N1091" i="11"/>
  <c r="N1095" i="11"/>
  <c r="N1099" i="11"/>
  <c r="N1103" i="11"/>
  <c r="N1107" i="11"/>
  <c r="N1111" i="11"/>
  <c r="N1115" i="11"/>
  <c r="N1119" i="11"/>
  <c r="N1123" i="11"/>
  <c r="N1127" i="11"/>
  <c r="N1131" i="11"/>
  <c r="N1135" i="11"/>
  <c r="N1139" i="11"/>
  <c r="N1143" i="11"/>
  <c r="N1147" i="11"/>
  <c r="N1151" i="11"/>
  <c r="N1155" i="11"/>
  <c r="N1159" i="11"/>
  <c r="N1163" i="11"/>
  <c r="N1167" i="11"/>
  <c r="N1171" i="11"/>
  <c r="N1175" i="11"/>
  <c r="N1179" i="11"/>
  <c r="N1183" i="11"/>
  <c r="N1187" i="11"/>
  <c r="N1191" i="11"/>
  <c r="N1195" i="11"/>
  <c r="N1199" i="11"/>
  <c r="N1203" i="11"/>
  <c r="N1207" i="11"/>
  <c r="N1211" i="11"/>
  <c r="N1215" i="11"/>
  <c r="N1219" i="11"/>
  <c r="N1223" i="11"/>
  <c r="N1227" i="11"/>
  <c r="N1231" i="11"/>
  <c r="N1235" i="11"/>
  <c r="N1239" i="11"/>
  <c r="N1243" i="11"/>
  <c r="N1247" i="11"/>
  <c r="N1251" i="11"/>
  <c r="N1255" i="11"/>
  <c r="N1259" i="11"/>
  <c r="N1263" i="11"/>
  <c r="N1267" i="11"/>
  <c r="N1271" i="11"/>
  <c r="N1275" i="11"/>
  <c r="N1279" i="11"/>
  <c r="N1283" i="11"/>
  <c r="N1287" i="11"/>
  <c r="N1291" i="11"/>
  <c r="N1295" i="11"/>
  <c r="N1299" i="11"/>
  <c r="N13" i="11"/>
  <c r="N20" i="11"/>
  <c r="N22" i="11"/>
  <c r="N29" i="11"/>
  <c r="N36" i="11"/>
  <c r="N38" i="11"/>
  <c r="N45" i="11"/>
  <c r="N52" i="11"/>
  <c r="N54" i="11"/>
  <c r="N61" i="11"/>
  <c r="N68" i="11"/>
  <c r="N70" i="11"/>
  <c r="N77" i="11"/>
  <c r="N84" i="11"/>
  <c r="N86" i="11"/>
  <c r="N93" i="11"/>
  <c r="N100" i="11"/>
  <c r="N102" i="11"/>
  <c r="N109" i="11"/>
  <c r="N116" i="11"/>
  <c r="N118" i="11"/>
  <c r="N125" i="11"/>
  <c r="N132" i="11"/>
  <c r="N134" i="11"/>
  <c r="N141" i="11"/>
  <c r="N148" i="11"/>
  <c r="N150" i="11"/>
  <c r="N157" i="11"/>
  <c r="N164" i="11"/>
  <c r="N166" i="11"/>
  <c r="N173" i="11"/>
  <c r="N180" i="11"/>
  <c r="N182" i="11"/>
  <c r="N189" i="11"/>
  <c r="N196" i="11"/>
  <c r="N198" i="11"/>
  <c r="N205" i="11"/>
  <c r="N212" i="11"/>
  <c r="N214" i="11"/>
  <c r="N221" i="11"/>
  <c r="N228" i="11"/>
  <c r="N230" i="11"/>
  <c r="N237" i="11"/>
  <c r="N244" i="11"/>
  <c r="N246" i="11"/>
  <c r="N253" i="11"/>
  <c r="N260" i="11"/>
  <c r="N262" i="11"/>
  <c r="N269" i="11"/>
  <c r="N276" i="11"/>
  <c r="N278" i="11"/>
  <c r="N285" i="11"/>
  <c r="N292" i="11"/>
  <c r="N294" i="11"/>
  <c r="N301" i="11"/>
  <c r="N308" i="11"/>
  <c r="N310" i="11"/>
  <c r="N317" i="11"/>
  <c r="N324" i="11"/>
  <c r="N326" i="11"/>
  <c r="N333" i="11"/>
  <c r="N340" i="11"/>
  <c r="N342" i="11"/>
  <c r="N349" i="11"/>
  <c r="N356" i="11"/>
  <c r="N358" i="11"/>
  <c r="N365" i="11"/>
  <c r="N372" i="11"/>
  <c r="N374" i="11"/>
  <c r="N381" i="11"/>
  <c r="N388" i="11"/>
  <c r="N390" i="11"/>
  <c r="N397" i="11"/>
  <c r="N404" i="11"/>
  <c r="N406" i="11"/>
  <c r="N413" i="11"/>
  <c r="N420" i="11"/>
  <c r="N422" i="11"/>
  <c r="N429" i="11"/>
  <c r="N436" i="11"/>
  <c r="N438" i="11"/>
  <c r="N445" i="11"/>
  <c r="N452" i="11"/>
  <c r="N454" i="11"/>
  <c r="N461" i="11"/>
  <c r="N468" i="11"/>
  <c r="N470" i="11"/>
  <c r="N477" i="11"/>
  <c r="N484" i="11"/>
  <c r="N486" i="11"/>
  <c r="N493" i="11"/>
  <c r="N500" i="11"/>
  <c r="N502" i="11"/>
  <c r="N509" i="11"/>
  <c r="N516" i="11"/>
  <c r="N518" i="11"/>
  <c r="N525" i="11"/>
  <c r="N532" i="11"/>
  <c r="N534" i="11"/>
  <c r="N541" i="11"/>
  <c r="N548" i="11"/>
  <c r="N550" i="11"/>
  <c r="N557" i="11"/>
  <c r="N564" i="11"/>
  <c r="N566" i="11"/>
  <c r="N573" i="11"/>
  <c r="N580" i="11"/>
  <c r="N582" i="11"/>
  <c r="N589" i="11"/>
  <c r="N596" i="11"/>
  <c r="N598" i="11"/>
  <c r="N605" i="11"/>
  <c r="N612" i="11"/>
  <c r="N614" i="11"/>
  <c r="N621" i="11"/>
  <c r="N628" i="11"/>
  <c r="N630" i="11"/>
  <c r="N637" i="11"/>
  <c r="N644" i="11"/>
  <c r="N646" i="11"/>
  <c r="N653" i="11"/>
  <c r="N660" i="11"/>
  <c r="N662" i="11"/>
  <c r="N669" i="11"/>
  <c r="N676" i="11"/>
  <c r="N678" i="11"/>
  <c r="N685" i="11"/>
  <c r="N692" i="11"/>
  <c r="N694" i="11"/>
  <c r="N701" i="11"/>
  <c r="N708" i="11"/>
  <c r="N710" i="11"/>
  <c r="N717" i="11"/>
  <c r="N724" i="11"/>
  <c r="N726" i="11"/>
  <c r="N733" i="11"/>
  <c r="N740" i="11"/>
  <c r="N742" i="11"/>
  <c r="N749" i="11"/>
  <c r="N756" i="11"/>
  <c r="N758" i="11"/>
  <c r="N765" i="11"/>
  <c r="N772" i="11"/>
  <c r="N774" i="11"/>
  <c r="N781" i="11"/>
  <c r="N788" i="11"/>
  <c r="N790" i="11"/>
  <c r="N797" i="11"/>
  <c r="N804" i="11"/>
  <c r="N806" i="11"/>
  <c r="N813" i="11"/>
  <c r="N820" i="11"/>
  <c r="N822" i="11"/>
  <c r="N829" i="11"/>
  <c r="N836" i="11"/>
  <c r="N838" i="11"/>
  <c r="N845" i="11"/>
  <c r="N852" i="11"/>
  <c r="N854" i="11"/>
  <c r="N861" i="11"/>
  <c r="N868" i="11"/>
  <c r="N870" i="11"/>
  <c r="N877" i="11"/>
  <c r="N884" i="11"/>
  <c r="N886" i="11"/>
  <c r="N893" i="11"/>
  <c r="N900" i="11"/>
  <c r="N902" i="11"/>
  <c r="N909" i="11"/>
  <c r="N916" i="11"/>
  <c r="N918" i="11"/>
  <c r="N925" i="11"/>
  <c r="N932" i="11"/>
  <c r="N934" i="11"/>
  <c r="N941" i="11"/>
  <c r="N948" i="11"/>
  <c r="N950" i="11"/>
  <c r="N957" i="11"/>
  <c r="N964" i="11"/>
  <c r="N966" i="11"/>
  <c r="N973" i="11"/>
  <c r="N980" i="11"/>
  <c r="N982" i="11"/>
  <c r="N989" i="11"/>
  <c r="N996" i="11"/>
  <c r="N998" i="11"/>
  <c r="N1005" i="11"/>
  <c r="N1012" i="11"/>
  <c r="N1014" i="11"/>
  <c r="N1021" i="11"/>
  <c r="N1028" i="11"/>
  <c r="N1030" i="11"/>
  <c r="N1037" i="11"/>
  <c r="N1044" i="11"/>
  <c r="N1046" i="11"/>
  <c r="N1053" i="11"/>
  <c r="N1060" i="11"/>
  <c r="N1062" i="11"/>
  <c r="N1069" i="11"/>
  <c r="N1076" i="11"/>
  <c r="N1078" i="11"/>
  <c r="N1085" i="11"/>
  <c r="N1092" i="11"/>
  <c r="N1094" i="11"/>
  <c r="N1101" i="11"/>
  <c r="N1108" i="11"/>
  <c r="N1110" i="11"/>
  <c r="N1117" i="11"/>
  <c r="N1124" i="11"/>
  <c r="N1126" i="11"/>
  <c r="N1133" i="11"/>
  <c r="N1140" i="11"/>
  <c r="N1142" i="11"/>
  <c r="N1149" i="11"/>
  <c r="N1156" i="11"/>
  <c r="N1158" i="11"/>
  <c r="N1165" i="11"/>
  <c r="N1172" i="11"/>
  <c r="N1174" i="11"/>
  <c r="N1181" i="11"/>
  <c r="N1188" i="11"/>
  <c r="N1190" i="11"/>
  <c r="N1197" i="11"/>
  <c r="N1204" i="11"/>
  <c r="N1206" i="11"/>
  <c r="N1213" i="11"/>
  <c r="N1220" i="11"/>
  <c r="N1222" i="11"/>
  <c r="N1229" i="11"/>
  <c r="N1236" i="11"/>
  <c r="N1238" i="11"/>
  <c r="N1245" i="11"/>
  <c r="N1252" i="11"/>
  <c r="N1254" i="11"/>
  <c r="N1261" i="11"/>
  <c r="N1268" i="11"/>
  <c r="N1270" i="11"/>
  <c r="N1277" i="11"/>
  <c r="N1284" i="11"/>
  <c r="N1286" i="11"/>
  <c r="N1293" i="11"/>
  <c r="N1300" i="11"/>
  <c r="N1304" i="11"/>
  <c r="N1308" i="11"/>
  <c r="N1312" i="11"/>
  <c r="N1316" i="11"/>
  <c r="N1320" i="11"/>
  <c r="N1324" i="11"/>
  <c r="N1328" i="11"/>
  <c r="N1332" i="11"/>
  <c r="N1336" i="11"/>
  <c r="N1340" i="11"/>
  <c r="N1344" i="11"/>
  <c r="N1348" i="11"/>
  <c r="N1352" i="11"/>
  <c r="N1356" i="11"/>
  <c r="N1360" i="11"/>
  <c r="N1364" i="11"/>
  <c r="N1368" i="11"/>
  <c r="N1372" i="11"/>
  <c r="N1376" i="11"/>
  <c r="N1380" i="11"/>
  <c r="N1384" i="11"/>
  <c r="N1388" i="11"/>
  <c r="N1392" i="11"/>
  <c r="N1396" i="11"/>
  <c r="N1400" i="11"/>
  <c r="N1404" i="11"/>
  <c r="N1408" i="11"/>
  <c r="N1412" i="11"/>
  <c r="N1416" i="11"/>
  <c r="N1420" i="11"/>
  <c r="N1424" i="11"/>
  <c r="N1428" i="11"/>
  <c r="N1432" i="11"/>
  <c r="N1436" i="11"/>
  <c r="N1440" i="11"/>
  <c r="N1444" i="11"/>
  <c r="N1448" i="11"/>
  <c r="N1452" i="11"/>
  <c r="N1456" i="11"/>
  <c r="N1460" i="11"/>
  <c r="N1464" i="11"/>
  <c r="N1468" i="11"/>
  <c r="N1472" i="11"/>
  <c r="N1476" i="11"/>
  <c r="N1480" i="11"/>
  <c r="N1484" i="11"/>
  <c r="N1488" i="11"/>
  <c r="N1492" i="11"/>
  <c r="N1496" i="11"/>
  <c r="N1500" i="11"/>
  <c r="N1504" i="11"/>
  <c r="N1508" i="11"/>
  <c r="N1512" i="11"/>
  <c r="N1516" i="11"/>
  <c r="N1520" i="11"/>
  <c r="N1524" i="11"/>
  <c r="N1528" i="11"/>
  <c r="N1532" i="11"/>
  <c r="N1536" i="11"/>
  <c r="N1540" i="11"/>
  <c r="N1544" i="11"/>
  <c r="N1548" i="11"/>
  <c r="N1552" i="11"/>
  <c r="N1556" i="11"/>
  <c r="N1560" i="11"/>
  <c r="N1564" i="11"/>
  <c r="N1568" i="11"/>
  <c r="N1572" i="11"/>
  <c r="N1576" i="11"/>
  <c r="N1580" i="11"/>
  <c r="N1584" i="11"/>
  <c r="N1588" i="11"/>
  <c r="P12" i="11" l="1"/>
  <c r="P15" i="11"/>
  <c r="P19" i="11"/>
  <c r="P23" i="11"/>
  <c r="P27" i="11"/>
  <c r="P31" i="11"/>
  <c r="P35" i="11"/>
  <c r="P39" i="11"/>
  <c r="P43" i="11"/>
  <c r="P47" i="11"/>
  <c r="P51" i="11"/>
  <c r="P55" i="11"/>
  <c r="P59" i="11"/>
  <c r="P63" i="11"/>
  <c r="P67" i="11"/>
  <c r="P71" i="11"/>
  <c r="P75" i="11"/>
  <c r="P79" i="11"/>
  <c r="P83" i="11"/>
  <c r="P87" i="11"/>
  <c r="P91" i="11"/>
  <c r="P95" i="11"/>
  <c r="P99" i="11"/>
  <c r="P103" i="11"/>
  <c r="P107" i="11"/>
  <c r="P111" i="11"/>
  <c r="P115" i="11"/>
  <c r="P119" i="11"/>
  <c r="P123" i="11"/>
  <c r="P127" i="11"/>
  <c r="P131" i="11"/>
  <c r="P135" i="11"/>
  <c r="P139" i="11"/>
  <c r="P143" i="11"/>
  <c r="P147" i="11"/>
  <c r="P151" i="11"/>
  <c r="P155" i="11"/>
  <c r="P159" i="11"/>
  <c r="P163" i="11"/>
  <c r="P167" i="11"/>
  <c r="P171" i="11"/>
  <c r="P175" i="11"/>
  <c r="P179" i="11"/>
  <c r="P183" i="11"/>
  <c r="P187" i="11"/>
  <c r="P191" i="11"/>
  <c r="P195" i="11"/>
  <c r="P199" i="11"/>
  <c r="P203" i="11"/>
  <c r="P207" i="11"/>
  <c r="P211" i="11"/>
  <c r="P215" i="11"/>
  <c r="P219" i="11"/>
  <c r="P223" i="11"/>
  <c r="P227" i="11"/>
  <c r="P231" i="11"/>
  <c r="P235" i="11"/>
  <c r="P239" i="11"/>
  <c r="P243" i="11"/>
  <c r="P247" i="11"/>
  <c r="P251" i="11"/>
  <c r="P255" i="11"/>
  <c r="P259" i="11"/>
  <c r="P263" i="11"/>
  <c r="P267" i="11"/>
  <c r="P271" i="11"/>
  <c r="P275" i="11"/>
  <c r="P279" i="11"/>
  <c r="P283" i="11"/>
  <c r="P287" i="11"/>
  <c r="P291" i="11"/>
  <c r="P295" i="11"/>
  <c r="P299" i="11"/>
  <c r="P303" i="11"/>
  <c r="P307" i="11"/>
  <c r="P311" i="11"/>
  <c r="P315" i="11"/>
  <c r="P319" i="11"/>
  <c r="P323" i="11"/>
  <c r="P327" i="11"/>
  <c r="P331" i="11"/>
  <c r="P335" i="11"/>
  <c r="P339" i="11"/>
  <c r="P14" i="11"/>
  <c r="P20" i="11"/>
  <c r="P25" i="11"/>
  <c r="P30" i="11"/>
  <c r="P36" i="11"/>
  <c r="P41" i="11"/>
  <c r="P46" i="11"/>
  <c r="P52" i="11"/>
  <c r="P57" i="11"/>
  <c r="P62" i="11"/>
  <c r="P68" i="11"/>
  <c r="P73" i="11"/>
  <c r="P78" i="11"/>
  <c r="P84" i="11"/>
  <c r="P89" i="11"/>
  <c r="P94" i="11"/>
  <c r="P100" i="11"/>
  <c r="P105" i="11"/>
  <c r="P110" i="11"/>
  <c r="P116" i="11"/>
  <c r="P121" i="11"/>
  <c r="P126" i="11"/>
  <c r="P132" i="11"/>
  <c r="P137" i="11"/>
  <c r="P142" i="11"/>
  <c r="P148" i="11"/>
  <c r="P153" i="11"/>
  <c r="P158" i="11"/>
  <c r="P164" i="11"/>
  <c r="P169" i="11"/>
  <c r="P174" i="11"/>
  <c r="P180" i="11"/>
  <c r="P185" i="11"/>
  <c r="P190" i="11"/>
  <c r="P196" i="11"/>
  <c r="P201" i="11"/>
  <c r="P206" i="11"/>
  <c r="P212" i="11"/>
  <c r="P217" i="11"/>
  <c r="P222" i="11"/>
  <c r="P228" i="11"/>
  <c r="P233" i="11"/>
  <c r="P238" i="11"/>
  <c r="P244" i="11"/>
  <c r="P249" i="11"/>
  <c r="P254" i="11"/>
  <c r="P260" i="11"/>
  <c r="P265" i="11"/>
  <c r="P270" i="11"/>
  <c r="P276" i="11"/>
  <c r="P281" i="11"/>
  <c r="P286" i="11"/>
  <c r="P292" i="11"/>
  <c r="P297" i="11"/>
  <c r="P302" i="11"/>
  <c r="P308" i="11"/>
  <c r="P313" i="11"/>
  <c r="P318" i="11"/>
  <c r="P324" i="11"/>
  <c r="P329" i="11"/>
  <c r="P334" i="11"/>
  <c r="P340" i="11"/>
  <c r="P344" i="11"/>
  <c r="P348" i="11"/>
  <c r="P352" i="11"/>
  <c r="P356" i="11"/>
  <c r="P360" i="11"/>
  <c r="P364" i="11"/>
  <c r="P368" i="11"/>
  <c r="P372" i="11"/>
  <c r="P376" i="11"/>
  <c r="P380" i="11"/>
  <c r="P384" i="11"/>
  <c r="P388" i="11"/>
  <c r="P392" i="11"/>
  <c r="P396" i="11"/>
  <c r="P400" i="11"/>
  <c r="P404" i="11"/>
  <c r="P408" i="11"/>
  <c r="P412" i="11"/>
  <c r="P416" i="11"/>
  <c r="P420" i="11"/>
  <c r="P424" i="11"/>
  <c r="P428" i="11"/>
  <c r="P432" i="11"/>
  <c r="P436" i="11"/>
  <c r="P440" i="11"/>
  <c r="P444" i="11"/>
  <c r="P448" i="11"/>
  <c r="P452" i="11"/>
  <c r="P456" i="11"/>
  <c r="P460" i="11"/>
  <c r="P464" i="11"/>
  <c r="P468" i="11"/>
  <c r="P472" i="11"/>
  <c r="P476" i="11"/>
  <c r="P480" i="11"/>
  <c r="P484" i="11"/>
  <c r="P488" i="11"/>
  <c r="P492" i="11"/>
  <c r="P496" i="11"/>
  <c r="P500" i="11"/>
  <c r="P504" i="11"/>
  <c r="P508" i="11"/>
  <c r="P512" i="11"/>
  <c r="P516" i="11"/>
  <c r="P520" i="11"/>
  <c r="P524" i="11"/>
  <c r="P528" i="11"/>
  <c r="P532" i="11"/>
  <c r="P536" i="11"/>
  <c r="P540" i="11"/>
  <c r="P544" i="11"/>
  <c r="P548" i="11"/>
  <c r="P552" i="11"/>
  <c r="P556" i="11"/>
  <c r="P560" i="11"/>
  <c r="P564" i="11"/>
  <c r="P568" i="11"/>
  <c r="P572" i="11"/>
  <c r="P576" i="11"/>
  <c r="P580" i="11"/>
  <c r="P584" i="11"/>
  <c r="P588" i="11"/>
  <c r="P592" i="11"/>
  <c r="P596" i="11"/>
  <c r="P600" i="11"/>
  <c r="P604" i="11"/>
  <c r="P608" i="11"/>
  <c r="P612" i="11"/>
  <c r="P616" i="11"/>
  <c r="P620" i="11"/>
  <c r="P624" i="11"/>
  <c r="P628" i="11"/>
  <c r="P632" i="11"/>
  <c r="P636" i="11"/>
  <c r="P640" i="11"/>
  <c r="P644" i="11"/>
  <c r="P648" i="11"/>
  <c r="P652" i="11"/>
  <c r="P656" i="11"/>
  <c r="P660" i="11"/>
  <c r="P664" i="11"/>
  <c r="P668" i="11"/>
  <c r="P672" i="11"/>
  <c r="P676" i="11"/>
  <c r="P680" i="11"/>
  <c r="P684" i="11"/>
  <c r="P688" i="11"/>
  <c r="P692" i="11"/>
  <c r="P696" i="11"/>
  <c r="P700" i="11"/>
  <c r="P704" i="11"/>
  <c r="P708" i="11"/>
  <c r="P712" i="11"/>
  <c r="P716" i="11"/>
  <c r="P720" i="11"/>
  <c r="P724" i="11"/>
  <c r="P728" i="11"/>
  <c r="P732" i="11"/>
  <c r="P736" i="11"/>
  <c r="P740" i="11"/>
  <c r="P744" i="11"/>
  <c r="P748" i="11"/>
  <c r="P752" i="11"/>
  <c r="P756" i="11"/>
  <c r="P760" i="11"/>
  <c r="P764" i="11"/>
  <c r="P18" i="11"/>
  <c r="P26" i="11"/>
  <c r="P33" i="11"/>
  <c r="P40" i="11"/>
  <c r="P48" i="11"/>
  <c r="P54" i="11"/>
  <c r="P61" i="11"/>
  <c r="P69" i="11"/>
  <c r="P76" i="11"/>
  <c r="P82" i="11"/>
  <c r="P90" i="11"/>
  <c r="P97" i="11"/>
  <c r="P104" i="11"/>
  <c r="P112" i="11"/>
  <c r="P118" i="11"/>
  <c r="P125" i="11"/>
  <c r="P133" i="11"/>
  <c r="P140" i="11"/>
  <c r="P146" i="11"/>
  <c r="P154" i="11"/>
  <c r="P161" i="11"/>
  <c r="P168" i="11"/>
  <c r="P176" i="11"/>
  <c r="P182" i="11"/>
  <c r="P189" i="11"/>
  <c r="P197" i="11"/>
  <c r="P204" i="11"/>
  <c r="P210" i="11"/>
  <c r="P218" i="11"/>
  <c r="P225" i="11"/>
  <c r="P232" i="11"/>
  <c r="P240" i="11"/>
  <c r="P246" i="11"/>
  <c r="P253" i="11"/>
  <c r="P261" i="11"/>
  <c r="P268" i="11"/>
  <c r="P274" i="11"/>
  <c r="P282" i="11"/>
  <c r="P289" i="11"/>
  <c r="P296" i="11"/>
  <c r="P304" i="11"/>
  <c r="P310" i="11"/>
  <c r="P317" i="11"/>
  <c r="P325" i="11"/>
  <c r="P332" i="11"/>
  <c r="P338" i="11"/>
  <c r="P345" i="11"/>
  <c r="P350" i="11"/>
  <c r="P355" i="11"/>
  <c r="P361" i="11"/>
  <c r="P366" i="11"/>
  <c r="P371" i="11"/>
  <c r="P377" i="11"/>
  <c r="P382" i="11"/>
  <c r="P387" i="11"/>
  <c r="P393" i="11"/>
  <c r="P398" i="11"/>
  <c r="P403" i="11"/>
  <c r="P409" i="11"/>
  <c r="P414" i="11"/>
  <c r="P419" i="11"/>
  <c r="P425" i="11"/>
  <c r="P430" i="11"/>
  <c r="P435" i="11"/>
  <c r="P441" i="11"/>
  <c r="P446" i="11"/>
  <c r="P451" i="11"/>
  <c r="P457" i="11"/>
  <c r="P462" i="11"/>
  <c r="P467" i="11"/>
  <c r="P473" i="11"/>
  <c r="P478" i="11"/>
  <c r="P483" i="11"/>
  <c r="P489" i="11"/>
  <c r="P494" i="11"/>
  <c r="P499" i="11"/>
  <c r="P505" i="11"/>
  <c r="P510" i="11"/>
  <c r="P515" i="11"/>
  <c r="P521" i="11"/>
  <c r="P526" i="11"/>
  <c r="P531" i="11"/>
  <c r="P537" i="11"/>
  <c r="P542" i="11"/>
  <c r="P547" i="11"/>
  <c r="P553" i="11"/>
  <c r="P558" i="11"/>
  <c r="P563" i="11"/>
  <c r="P569" i="11"/>
  <c r="P574" i="11"/>
  <c r="P579" i="11"/>
  <c r="P585" i="11"/>
  <c r="P590" i="11"/>
  <c r="P595" i="11"/>
  <c r="P601" i="11"/>
  <c r="P606" i="11"/>
  <c r="P611" i="11"/>
  <c r="P617" i="11"/>
  <c r="P622" i="11"/>
  <c r="P627" i="11"/>
  <c r="P633" i="11"/>
  <c r="P638" i="11"/>
  <c r="P643" i="11"/>
  <c r="P649" i="11"/>
  <c r="P654" i="11"/>
  <c r="P659" i="11"/>
  <c r="P665" i="11"/>
  <c r="P670" i="11"/>
  <c r="P675" i="11"/>
  <c r="P681" i="11"/>
  <c r="P686" i="11"/>
  <c r="P691" i="11"/>
  <c r="P697" i="11"/>
  <c r="P702" i="11"/>
  <c r="P707" i="11"/>
  <c r="P713" i="11"/>
  <c r="P718" i="11"/>
  <c r="P723" i="11"/>
  <c r="P729" i="11"/>
  <c r="P734" i="11"/>
  <c r="P739" i="11"/>
  <c r="P745" i="11"/>
  <c r="P750" i="11"/>
  <c r="P755" i="11"/>
  <c r="P761" i="11"/>
  <c r="P766" i="11"/>
  <c r="P770" i="11"/>
  <c r="P774" i="11"/>
  <c r="P778" i="11"/>
  <c r="P782" i="11"/>
  <c r="P786" i="11"/>
  <c r="P790" i="11"/>
  <c r="P794" i="11"/>
  <c r="P798" i="11"/>
  <c r="P802" i="11"/>
  <c r="P806" i="11"/>
  <c r="P810" i="11"/>
  <c r="P814" i="11"/>
  <c r="P818" i="11"/>
  <c r="P822" i="11"/>
  <c r="P826" i="11"/>
  <c r="P830" i="11"/>
  <c r="P834" i="11"/>
  <c r="P838" i="11"/>
  <c r="P842" i="11"/>
  <c r="P846" i="11"/>
  <c r="P850" i="11"/>
  <c r="P854" i="11"/>
  <c r="P858" i="11"/>
  <c r="P862" i="11"/>
  <c r="P866" i="11"/>
  <c r="P870" i="11"/>
  <c r="P874" i="11"/>
  <c r="P878" i="11"/>
  <c r="P882" i="11"/>
  <c r="P886" i="11"/>
  <c r="P890" i="11"/>
  <c r="P894" i="11"/>
  <c r="P898" i="11"/>
  <c r="P902" i="11"/>
  <c r="P906" i="11"/>
  <c r="P910" i="11"/>
  <c r="P914" i="11"/>
  <c r="P918" i="11"/>
  <c r="P922" i="11"/>
  <c r="P926" i="11"/>
  <c r="P930" i="11"/>
  <c r="P934" i="11"/>
  <c r="P938" i="11"/>
  <c r="P942" i="11"/>
  <c r="P946" i="11"/>
  <c r="P950" i="11"/>
  <c r="P954" i="11"/>
  <c r="P958" i="11"/>
  <c r="P962" i="11"/>
  <c r="P966" i="11"/>
  <c r="P970" i="11"/>
  <c r="P974" i="11"/>
  <c r="P978" i="11"/>
  <c r="P982" i="11"/>
  <c r="P986" i="11"/>
  <c r="P990" i="11"/>
  <c r="P994" i="11"/>
  <c r="P998" i="11"/>
  <c r="P1002" i="11"/>
  <c r="P1006" i="11"/>
  <c r="P1010" i="11"/>
  <c r="P1014" i="11"/>
  <c r="P1018" i="11"/>
  <c r="P1022" i="11"/>
  <c r="P1026" i="11"/>
  <c r="P1030" i="11"/>
  <c r="P1034" i="11"/>
  <c r="P1038" i="11"/>
  <c r="P1042" i="11"/>
  <c r="P1046" i="11"/>
  <c r="P1050" i="11"/>
  <c r="P1054" i="11"/>
  <c r="P1058" i="11"/>
  <c r="P1062" i="11"/>
  <c r="P1066" i="11"/>
  <c r="P1070" i="11"/>
  <c r="P1074" i="11"/>
  <c r="P1078" i="11"/>
  <c r="P1082" i="11"/>
  <c r="P1086" i="11"/>
  <c r="P1090" i="11"/>
  <c r="P1094" i="11"/>
  <c r="P1098" i="11"/>
  <c r="P1102" i="11"/>
  <c r="P1106" i="11"/>
  <c r="P1110" i="11"/>
  <c r="P1114" i="11"/>
  <c r="P1118" i="11"/>
  <c r="P1122" i="11"/>
  <c r="P1126" i="11"/>
  <c r="P1130" i="11"/>
  <c r="P1134" i="11"/>
  <c r="P1138" i="11"/>
  <c r="P1142" i="11"/>
  <c r="P1146" i="11"/>
  <c r="P1150" i="11"/>
  <c r="P1154" i="11"/>
  <c r="P1158" i="11"/>
  <c r="P1162" i="11"/>
  <c r="P1166" i="11"/>
  <c r="P1170" i="11"/>
  <c r="P1174" i="11"/>
  <c r="P1178" i="11"/>
  <c r="P1182" i="11"/>
  <c r="P1186" i="11"/>
  <c r="P1190" i="11"/>
  <c r="P1194" i="11"/>
  <c r="P1198" i="11"/>
  <c r="P1202" i="11"/>
  <c r="P1206" i="11"/>
  <c r="P1210" i="11"/>
  <c r="P1214" i="11"/>
  <c r="P1218" i="11"/>
  <c r="P1222" i="11"/>
  <c r="P1226" i="11"/>
  <c r="P1230" i="11"/>
  <c r="P1234" i="11"/>
  <c r="P1238" i="11"/>
  <c r="P1242" i="11"/>
  <c r="P1246" i="11"/>
  <c r="P1250" i="11"/>
  <c r="P1254" i="11"/>
  <c r="P1258" i="11"/>
  <c r="P1262" i="11"/>
  <c r="P1266" i="11"/>
  <c r="P1270" i="11"/>
  <c r="P1274" i="11"/>
  <c r="P1278" i="11"/>
  <c r="P1282" i="11"/>
  <c r="P1286" i="11"/>
  <c r="P1290" i="11"/>
  <c r="P1294" i="11"/>
  <c r="P1298" i="11"/>
  <c r="P1302" i="11"/>
  <c r="P1306" i="11"/>
  <c r="P1310" i="11"/>
  <c r="P1314" i="11"/>
  <c r="P1318" i="11"/>
  <c r="P1322" i="11"/>
  <c r="P1326" i="11"/>
  <c r="P1330" i="11"/>
  <c r="P1334" i="11"/>
  <c r="P1338" i="11"/>
  <c r="P1342" i="11"/>
  <c r="P1346" i="11"/>
  <c r="P1350" i="11"/>
  <c r="P1354" i="11"/>
  <c r="P1358" i="11"/>
  <c r="P1362" i="11"/>
  <c r="P1366" i="11"/>
  <c r="P1370" i="11"/>
  <c r="P1374" i="11"/>
  <c r="P1378" i="11"/>
  <c r="P1382" i="11"/>
  <c r="P1386" i="11"/>
  <c r="P1390" i="11"/>
  <c r="P1394" i="11"/>
  <c r="P1398" i="11"/>
  <c r="P1402" i="11"/>
  <c r="P1406" i="11"/>
  <c r="P1410" i="11"/>
  <c r="P1414" i="11"/>
  <c r="P1418" i="11"/>
  <c r="P1422" i="11"/>
  <c r="P1426" i="11"/>
  <c r="P1430" i="11"/>
  <c r="P1434" i="11"/>
  <c r="P1438" i="11"/>
  <c r="P1442" i="11"/>
  <c r="P1446" i="11"/>
  <c r="P1450" i="11"/>
  <c r="P1454" i="11"/>
  <c r="P1458" i="11"/>
  <c r="P1462" i="11"/>
  <c r="P1466" i="11"/>
  <c r="P1470" i="11"/>
  <c r="P1474" i="11"/>
  <c r="P1478" i="11"/>
  <c r="P1482" i="11"/>
  <c r="P1486" i="11"/>
  <c r="P1490" i="11"/>
  <c r="P1494" i="11"/>
  <c r="P1498" i="11"/>
  <c r="P1502" i="11"/>
  <c r="P1506" i="11"/>
  <c r="P1510" i="11"/>
  <c r="P1514" i="11"/>
  <c r="P1518" i="11"/>
  <c r="P1522" i="11"/>
  <c r="P1526" i="11"/>
  <c r="P1530" i="11"/>
  <c r="P1534" i="11"/>
  <c r="P1538" i="11"/>
  <c r="P1542" i="11"/>
  <c r="P1546" i="11"/>
  <c r="P1550" i="11"/>
  <c r="P1554" i="11"/>
  <c r="P1558" i="11"/>
  <c r="P1562" i="11"/>
  <c r="P1566" i="11"/>
  <c r="P1570" i="11"/>
  <c r="P1574" i="11"/>
  <c r="P1578" i="11"/>
  <c r="P1582" i="11"/>
  <c r="P1586" i="11"/>
  <c r="P1590" i="11"/>
  <c r="P1594" i="11"/>
  <c r="P1598" i="11"/>
  <c r="P1602" i="11"/>
  <c r="P1606" i="11"/>
  <c r="P1610" i="11"/>
  <c r="P1614" i="11"/>
  <c r="P1618" i="11"/>
  <c r="P16" i="11"/>
  <c r="P24" i="11"/>
  <c r="P34" i="11"/>
  <c r="P44" i="11"/>
  <c r="P53" i="11"/>
  <c r="P64" i="11"/>
  <c r="P72" i="11"/>
  <c r="P81" i="11"/>
  <c r="P92" i="11"/>
  <c r="P101" i="11"/>
  <c r="P109" i="11"/>
  <c r="P120" i="11"/>
  <c r="P129" i="11"/>
  <c r="P138" i="11"/>
  <c r="P149" i="11"/>
  <c r="P157" i="11"/>
  <c r="P166" i="11"/>
  <c r="P177" i="11"/>
  <c r="P186" i="11"/>
  <c r="P194" i="11"/>
  <c r="P205" i="11"/>
  <c r="P214" i="11"/>
  <c r="P224" i="11"/>
  <c r="P234" i="11"/>
  <c r="P242" i="11"/>
  <c r="P252" i="11"/>
  <c r="P262" i="11"/>
  <c r="P272" i="11"/>
  <c r="P280" i="11"/>
  <c r="P290" i="11"/>
  <c r="P300" i="11"/>
  <c r="P309" i="11"/>
  <c r="P320" i="11"/>
  <c r="P328" i="11"/>
  <c r="P337" i="11"/>
  <c r="P346" i="11"/>
  <c r="P353" i="11"/>
  <c r="P359" i="11"/>
  <c r="P367" i="11"/>
  <c r="P374" i="11"/>
  <c r="P381" i="11"/>
  <c r="P389" i="11"/>
  <c r="P395" i="11"/>
  <c r="P402" i="11"/>
  <c r="P410" i="11"/>
  <c r="P417" i="11"/>
  <c r="P423" i="11"/>
  <c r="P431" i="11"/>
  <c r="P438" i="11"/>
  <c r="P445" i="11"/>
  <c r="P453" i="11"/>
  <c r="P459" i="11"/>
  <c r="P466" i="11"/>
  <c r="P474" i="11"/>
  <c r="P481" i="11"/>
  <c r="P487" i="11"/>
  <c r="P495" i="11"/>
  <c r="P502" i="11"/>
  <c r="P509" i="11"/>
  <c r="P517" i="11"/>
  <c r="P523" i="11"/>
  <c r="P530" i="11"/>
  <c r="P538" i="11"/>
  <c r="P545" i="11"/>
  <c r="P551" i="11"/>
  <c r="P559" i="11"/>
  <c r="P566" i="11"/>
  <c r="P573" i="11"/>
  <c r="P581" i="11"/>
  <c r="P587" i="11"/>
  <c r="P594" i="11"/>
  <c r="P602" i="11"/>
  <c r="P609" i="11"/>
  <c r="P615" i="11"/>
  <c r="P623" i="11"/>
  <c r="P630" i="11"/>
  <c r="P637" i="11"/>
  <c r="P645" i="11"/>
  <c r="P651" i="11"/>
  <c r="P658" i="11"/>
  <c r="P666" i="11"/>
  <c r="P673" i="11"/>
  <c r="P679" i="11"/>
  <c r="P687" i="11"/>
  <c r="P694" i="11"/>
  <c r="P701" i="11"/>
  <c r="P709" i="11"/>
  <c r="P715" i="11"/>
  <c r="P722" i="11"/>
  <c r="P730" i="11"/>
  <c r="P737" i="11"/>
  <c r="P743" i="11"/>
  <c r="P751" i="11"/>
  <c r="P758" i="11"/>
  <c r="P765" i="11"/>
  <c r="P771" i="11"/>
  <c r="P776" i="11"/>
  <c r="P781" i="11"/>
  <c r="P787" i="11"/>
  <c r="P792" i="11"/>
  <c r="P797" i="11"/>
  <c r="P803" i="11"/>
  <c r="P808" i="11"/>
  <c r="P813" i="11"/>
  <c r="P819" i="11"/>
  <c r="P824" i="11"/>
  <c r="P829" i="11"/>
  <c r="P835" i="11"/>
  <c r="P840" i="11"/>
  <c r="P845" i="11"/>
  <c r="P851" i="11"/>
  <c r="P856" i="11"/>
  <c r="P861" i="11"/>
  <c r="P867" i="11"/>
  <c r="P872" i="11"/>
  <c r="P877" i="11"/>
  <c r="P883" i="11"/>
  <c r="P888" i="11"/>
  <c r="P893" i="11"/>
  <c r="P899" i="11"/>
  <c r="P904" i="11"/>
  <c r="P909" i="11"/>
  <c r="P915" i="11"/>
  <c r="P920" i="11"/>
  <c r="P925" i="11"/>
  <c r="P931" i="11"/>
  <c r="P936" i="11"/>
  <c r="P941" i="11"/>
  <c r="P947" i="11"/>
  <c r="P952" i="11"/>
  <c r="P957" i="11"/>
  <c r="P963" i="11"/>
  <c r="P968" i="11"/>
  <c r="P973" i="11"/>
  <c r="P979" i="11"/>
  <c r="P984" i="11"/>
  <c r="P989" i="11"/>
  <c r="P995" i="11"/>
  <c r="P1000" i="11"/>
  <c r="P1005" i="11"/>
  <c r="P1011" i="11"/>
  <c r="P1016" i="11"/>
  <c r="P1021" i="11"/>
  <c r="P1027" i="11"/>
  <c r="P1032" i="11"/>
  <c r="P1037" i="11"/>
  <c r="P1043" i="11"/>
  <c r="P1048" i="11"/>
  <c r="P1053" i="11"/>
  <c r="P1059" i="11"/>
  <c r="P1064" i="11"/>
  <c r="P1069" i="11"/>
  <c r="P1075" i="11"/>
  <c r="P1080" i="11"/>
  <c r="P1085" i="11"/>
  <c r="P1091" i="11"/>
  <c r="P1096" i="11"/>
  <c r="P1101" i="11"/>
  <c r="P1107" i="11"/>
  <c r="P1112" i="11"/>
  <c r="P1117" i="11"/>
  <c r="P1123" i="11"/>
  <c r="P1128" i="11"/>
  <c r="P1133" i="11"/>
  <c r="P1139" i="11"/>
  <c r="P1144" i="11"/>
  <c r="P1149" i="11"/>
  <c r="P1155" i="11"/>
  <c r="P1160" i="11"/>
  <c r="P1165" i="11"/>
  <c r="P1171" i="11"/>
  <c r="P1176" i="11"/>
  <c r="P1181" i="11"/>
  <c r="P1187" i="11"/>
  <c r="P1192" i="11"/>
  <c r="P1197" i="11"/>
  <c r="P1203" i="11"/>
  <c r="P1208" i="11"/>
  <c r="P1213" i="11"/>
  <c r="P1219" i="11"/>
  <c r="P1224" i="11"/>
  <c r="P1229" i="11"/>
  <c r="P1235" i="11"/>
  <c r="P1240" i="11"/>
  <c r="P1245" i="11"/>
  <c r="P1251" i="11"/>
  <c r="P1256" i="11"/>
  <c r="P1261" i="11"/>
  <c r="P1267" i="11"/>
  <c r="P1272" i="11"/>
  <c r="P1277" i="11"/>
  <c r="P1283" i="11"/>
  <c r="P1288" i="11"/>
  <c r="P1293" i="11"/>
  <c r="P1299" i="11"/>
  <c r="P1304" i="11"/>
  <c r="P1309" i="11"/>
  <c r="P1315" i="11"/>
  <c r="P1320" i="11"/>
  <c r="P1325" i="11"/>
  <c r="P1331" i="11"/>
  <c r="P1336" i="11"/>
  <c r="P1341" i="11"/>
  <c r="P1347" i="11"/>
  <c r="P1352" i="11"/>
  <c r="P1357" i="11"/>
  <c r="P1363" i="11"/>
  <c r="P1368" i="11"/>
  <c r="P1373" i="11"/>
  <c r="P1379" i="11"/>
  <c r="P1384" i="11"/>
  <c r="P1389" i="11"/>
  <c r="P1395" i="11"/>
  <c r="P1400" i="11"/>
  <c r="P1405" i="11"/>
  <c r="P1411" i="11"/>
  <c r="P1416" i="11"/>
  <c r="P1421" i="11"/>
  <c r="P1427" i="11"/>
  <c r="P1432" i="11"/>
  <c r="P1437" i="11"/>
  <c r="P1443" i="11"/>
  <c r="P1448" i="11"/>
  <c r="P1453" i="11"/>
  <c r="P1459" i="11"/>
  <c r="P1464" i="11"/>
  <c r="P1469" i="11"/>
  <c r="P1475" i="11"/>
  <c r="P1480" i="11"/>
  <c r="P1485" i="11"/>
  <c r="P1491" i="11"/>
  <c r="P1496" i="11"/>
  <c r="P1501" i="11"/>
  <c r="P1507" i="11"/>
  <c r="P1512" i="11"/>
  <c r="P1517" i="11"/>
  <c r="P1523" i="11"/>
  <c r="P1528" i="11"/>
  <c r="P1533" i="11"/>
  <c r="P1539" i="11"/>
  <c r="P1544" i="11"/>
  <c r="P1549" i="11"/>
  <c r="P1555" i="11"/>
  <c r="P1560" i="11"/>
  <c r="P1565" i="11"/>
  <c r="P1571" i="11"/>
  <c r="P1576" i="11"/>
  <c r="P1581" i="11"/>
  <c r="P1587" i="11"/>
  <c r="P1592" i="11"/>
  <c r="P1597" i="11"/>
  <c r="P1603" i="11"/>
  <c r="P1608" i="11"/>
  <c r="P1613" i="11"/>
  <c r="P1619" i="11"/>
  <c r="P1623" i="11"/>
  <c r="P1627" i="11"/>
  <c r="P1631" i="11"/>
  <c r="P1635" i="11"/>
  <c r="P1639" i="11"/>
  <c r="P1643" i="11"/>
  <c r="P1647" i="11"/>
  <c r="P1651" i="11"/>
  <c r="P1655" i="11"/>
  <c r="P1659" i="11"/>
  <c r="P1663" i="11"/>
  <c r="P1667" i="11"/>
  <c r="P1671" i="11"/>
  <c r="P1675" i="11"/>
  <c r="P1679" i="11"/>
  <c r="P1683" i="11"/>
  <c r="P1687" i="11"/>
  <c r="P1691" i="11"/>
  <c r="P1695" i="11"/>
  <c r="P1699" i="11"/>
  <c r="P1703" i="11"/>
  <c r="P1707" i="11"/>
  <c r="P1711" i="11"/>
  <c r="P1715" i="11"/>
  <c r="P1719" i="11"/>
  <c r="P1723" i="11"/>
  <c r="P1727" i="11"/>
  <c r="P1731" i="11"/>
  <c r="P1735" i="11"/>
  <c r="P1739" i="11"/>
  <c r="P1743" i="11"/>
  <c r="P1747" i="11"/>
  <c r="P1751" i="11"/>
  <c r="P1755" i="11"/>
  <c r="P1759" i="11"/>
  <c r="P1763" i="11"/>
  <c r="P1767" i="11"/>
  <c r="P1771" i="11"/>
  <c r="P1775" i="11"/>
  <c r="P1779" i="11"/>
  <c r="P1783" i="11"/>
  <c r="P1787" i="11"/>
  <c r="P1791" i="11"/>
  <c r="P1795" i="11"/>
  <c r="P1799" i="11"/>
  <c r="P1803" i="11"/>
  <c r="P1807" i="11"/>
  <c r="P1811" i="11"/>
  <c r="P1815" i="11"/>
  <c r="P1819" i="11"/>
  <c r="P1823" i="11"/>
  <c r="P1827" i="11"/>
  <c r="P1831" i="11"/>
  <c r="P1835" i="11"/>
  <c r="P1839" i="11"/>
  <c r="P1843" i="11"/>
  <c r="P1847" i="11"/>
  <c r="P1851" i="11"/>
  <c r="P1855" i="11"/>
  <c r="P1859" i="11"/>
  <c r="P1863" i="11"/>
  <c r="P1867" i="11"/>
  <c r="P1871" i="11"/>
  <c r="P1875" i="11"/>
  <c r="P1879" i="11"/>
  <c r="P1883" i="11"/>
  <c r="P1887" i="11"/>
  <c r="P1891" i="11"/>
  <c r="P1895" i="11"/>
  <c r="P1899" i="11"/>
  <c r="P1903" i="11"/>
  <c r="P1907" i="11"/>
  <c r="P1911" i="11"/>
  <c r="P1915" i="11"/>
  <c r="P1919" i="11"/>
  <c r="P1923" i="11"/>
  <c r="P1927" i="11"/>
  <c r="P1931" i="11"/>
  <c r="P1935" i="11"/>
  <c r="P1939" i="11"/>
  <c r="P1943" i="11"/>
  <c r="P1947" i="11"/>
  <c r="P1951" i="11"/>
  <c r="P1955" i="11"/>
  <c r="P1959" i="11"/>
  <c r="P1963" i="11"/>
  <c r="P1967" i="11"/>
  <c r="P1971" i="11"/>
  <c r="P1975" i="11"/>
  <c r="P1979" i="11"/>
  <c r="P1983" i="11"/>
  <c r="P1987" i="11"/>
  <c r="P1991" i="11"/>
  <c r="P1995" i="11"/>
  <c r="P1999" i="11"/>
  <c r="P2003" i="11"/>
  <c r="P2007" i="11"/>
  <c r="P2011" i="11"/>
  <c r="P2015" i="11"/>
  <c r="P2019" i="11"/>
  <c r="P2023" i="11"/>
  <c r="P2027" i="11"/>
  <c r="P2031" i="11"/>
  <c r="P2035" i="11"/>
  <c r="P2039" i="11"/>
  <c r="P2043" i="11"/>
  <c r="P2047" i="11"/>
  <c r="P2051" i="11"/>
  <c r="P2055" i="11"/>
  <c r="P2059" i="11"/>
  <c r="P2063" i="11"/>
  <c r="P2067" i="11"/>
  <c r="P2071" i="11"/>
  <c r="P2075" i="11"/>
  <c r="P2079" i="11"/>
  <c r="P2083" i="11"/>
  <c r="P2087" i="11"/>
  <c r="P2091" i="11"/>
  <c r="P2095" i="11"/>
  <c r="P2099" i="11"/>
  <c r="P2103" i="11"/>
  <c r="P2107" i="11"/>
  <c r="P2111" i="11"/>
  <c r="P2115" i="11"/>
  <c r="P2119" i="11"/>
  <c r="P2123" i="11"/>
  <c r="P2127" i="11"/>
  <c r="P2131" i="11"/>
  <c r="P2135" i="11"/>
  <c r="P2139" i="11"/>
  <c r="P2143" i="11"/>
  <c r="P2147" i="11"/>
  <c r="P2151" i="11"/>
  <c r="P2155" i="11"/>
  <c r="P2159" i="11"/>
  <c r="P2163" i="11"/>
  <c r="P2167" i="11"/>
  <c r="P2171" i="11"/>
  <c r="P2175" i="11"/>
  <c r="P2179" i="11"/>
  <c r="P2183" i="11"/>
  <c r="P2187" i="11"/>
  <c r="P2191" i="11"/>
  <c r="P2195" i="11"/>
  <c r="P2199" i="11"/>
  <c r="P2203" i="11"/>
  <c r="P2207" i="11"/>
  <c r="P2211" i="11"/>
  <c r="P2215" i="11"/>
  <c r="P2219" i="11"/>
  <c r="P2223" i="11"/>
  <c r="P2227" i="11"/>
  <c r="P2231" i="11"/>
  <c r="P2235" i="11"/>
  <c r="P2239" i="11"/>
  <c r="P2243" i="11"/>
  <c r="P2247" i="11"/>
  <c r="P2251" i="11"/>
  <c r="P2255" i="11"/>
  <c r="P2259" i="11"/>
  <c r="P2263" i="11"/>
  <c r="P2267" i="11"/>
  <c r="P2271" i="11"/>
  <c r="P2275" i="11"/>
  <c r="P2279" i="11"/>
  <c r="P2283" i="11"/>
  <c r="P2287" i="11"/>
  <c r="P2291" i="11"/>
  <c r="P2295" i="11"/>
  <c r="P2299" i="11"/>
  <c r="P2303" i="11"/>
  <c r="P2307" i="11"/>
  <c r="P2311" i="11"/>
  <c r="P2315" i="11"/>
  <c r="P2319" i="11"/>
  <c r="P2323" i="11"/>
  <c r="P2327" i="11"/>
  <c r="P2331" i="11"/>
  <c r="P2335" i="11"/>
  <c r="P2339" i="11"/>
  <c r="P2343" i="11"/>
  <c r="P2347" i="11"/>
  <c r="P2351" i="11"/>
  <c r="P2355" i="11"/>
  <c r="P2359" i="11"/>
  <c r="P2363" i="11"/>
  <c r="P2367" i="11"/>
  <c r="P2371" i="11"/>
  <c r="P2375" i="11"/>
  <c r="P2379" i="11"/>
  <c r="P2383" i="11"/>
  <c r="P2387" i="11"/>
  <c r="P2391" i="11"/>
  <c r="P2395" i="11"/>
  <c r="P2399" i="11"/>
  <c r="P2403" i="11"/>
  <c r="P2407" i="11"/>
  <c r="P2411" i="11"/>
  <c r="P2415" i="11"/>
  <c r="P2419" i="11"/>
  <c r="P2423" i="11"/>
  <c r="P2427" i="11"/>
  <c r="P2431" i="11"/>
  <c r="P2435" i="11"/>
  <c r="P2439" i="11"/>
  <c r="P2443" i="11"/>
  <c r="P2447" i="11"/>
  <c r="P2451" i="11"/>
  <c r="P2455" i="11"/>
  <c r="P2459" i="11"/>
  <c r="P2463" i="11"/>
  <c r="P2467" i="11"/>
  <c r="P2471" i="11"/>
  <c r="P2475" i="11"/>
  <c r="P2479" i="11"/>
  <c r="P2483" i="11"/>
  <c r="P2487" i="11"/>
  <c r="P2491" i="11"/>
  <c r="P2495" i="11"/>
  <c r="P2499" i="11"/>
  <c r="P2503" i="11"/>
  <c r="P2507" i="11"/>
  <c r="P2511" i="11"/>
  <c r="P2515" i="11"/>
  <c r="P2519" i="11"/>
  <c r="P2523" i="11"/>
  <c r="P2527" i="11"/>
  <c r="P2531" i="11"/>
  <c r="P2535" i="11"/>
  <c r="P2539" i="11"/>
  <c r="P2543" i="11"/>
  <c r="P2547" i="11"/>
  <c r="P2551" i="11"/>
  <c r="P2555" i="11"/>
  <c r="P2559" i="11"/>
  <c r="P2563" i="11"/>
  <c r="P2567" i="11"/>
  <c r="P2571" i="11"/>
  <c r="P2575" i="11"/>
  <c r="P2579" i="11"/>
  <c r="P2583" i="11"/>
  <c r="P2587" i="11"/>
  <c r="P2591" i="11"/>
  <c r="P2595" i="11"/>
  <c r="P2599" i="11"/>
  <c r="P2603" i="11"/>
  <c r="P2607" i="11"/>
  <c r="P2611" i="11"/>
  <c r="P2615" i="11"/>
  <c r="P2619" i="11"/>
  <c r="P2623" i="11"/>
  <c r="P2627" i="11"/>
  <c r="P2631" i="11"/>
  <c r="P2635" i="11"/>
  <c r="P2639" i="11"/>
  <c r="P2643" i="11"/>
  <c r="P2647" i="11"/>
  <c r="P2651" i="11"/>
  <c r="P2655" i="11"/>
  <c r="P2659" i="11"/>
  <c r="P2663" i="11"/>
  <c r="P2667" i="11"/>
  <c r="P2671" i="11"/>
  <c r="P2675" i="11"/>
  <c r="P2679" i="11"/>
  <c r="P2683" i="11"/>
  <c r="P2687" i="11"/>
  <c r="P2691" i="11"/>
  <c r="P2695" i="11"/>
  <c r="P2699" i="11"/>
  <c r="P2703" i="11"/>
  <c r="P2707" i="11"/>
  <c r="P2711" i="11"/>
  <c r="P2715" i="11"/>
  <c r="P2719" i="11"/>
  <c r="P2723" i="11"/>
  <c r="P2727" i="11"/>
  <c r="P2731" i="11"/>
  <c r="P2735" i="11"/>
  <c r="P2739" i="11"/>
  <c r="P2743" i="11"/>
  <c r="P2747" i="11"/>
  <c r="P2751" i="11"/>
  <c r="P2755" i="11"/>
  <c r="P2759" i="11"/>
  <c r="P2763" i="11"/>
  <c r="P2767" i="11"/>
  <c r="P2771" i="11"/>
  <c r="P2775" i="11"/>
  <c r="P2779" i="11"/>
  <c r="P2783" i="11"/>
  <c r="P2787" i="11"/>
  <c r="P2791" i="11"/>
  <c r="P2795" i="11"/>
  <c r="P2799" i="11"/>
  <c r="P2803" i="11"/>
  <c r="P2807" i="11"/>
  <c r="P2811" i="11"/>
  <c r="P2815" i="11"/>
  <c r="P2819" i="11"/>
  <c r="P2823" i="11"/>
  <c r="P2827" i="11"/>
  <c r="P2831" i="11"/>
  <c r="P2835" i="11"/>
  <c r="P2839" i="11"/>
  <c r="P2843" i="11"/>
  <c r="P2847" i="11"/>
  <c r="P2851" i="11"/>
  <c r="P2855" i="11"/>
  <c r="P2859" i="11"/>
  <c r="P2863" i="11"/>
  <c r="P2867" i="11"/>
  <c r="P2871" i="11"/>
  <c r="P2875" i="11"/>
  <c r="P2879" i="11"/>
  <c r="P2883" i="11"/>
  <c r="P2887" i="11"/>
  <c r="P2891" i="11"/>
  <c r="P2895" i="11"/>
  <c r="P2899" i="11"/>
  <c r="P2903" i="11"/>
  <c r="P2907" i="11"/>
  <c r="P2911" i="11"/>
  <c r="P2915" i="11"/>
  <c r="P2919" i="11"/>
  <c r="P2923" i="11"/>
  <c r="P2927" i="11"/>
  <c r="P2931" i="11"/>
  <c r="P2935" i="11"/>
  <c r="P2939" i="11"/>
  <c r="P2943" i="11"/>
  <c r="P2947" i="11"/>
  <c r="P2951" i="11"/>
  <c r="P2955" i="11"/>
  <c r="P2959" i="11"/>
  <c r="P2963" i="11"/>
  <c r="P2967" i="11"/>
  <c r="P2971" i="11"/>
  <c r="P2975" i="11"/>
  <c r="P2979" i="11"/>
  <c r="P2983" i="11"/>
  <c r="P2987" i="11"/>
  <c r="P2991" i="11"/>
  <c r="P2995" i="11"/>
  <c r="P2999" i="11"/>
  <c r="P3003" i="11"/>
  <c r="P3007" i="11"/>
  <c r="P3011" i="11"/>
  <c r="P3015" i="11"/>
  <c r="P3019" i="11"/>
  <c r="P3023" i="11"/>
  <c r="P3027" i="11"/>
  <c r="P3031" i="11"/>
  <c r="P3035" i="11"/>
  <c r="P3039" i="11"/>
  <c r="P3043" i="11"/>
  <c r="P3047" i="11"/>
  <c r="P3051" i="11"/>
  <c r="P3055" i="11"/>
  <c r="P3059" i="11"/>
  <c r="P3063" i="11"/>
  <c r="P3067" i="11"/>
  <c r="P3071" i="11"/>
  <c r="P3075" i="11"/>
  <c r="P3079" i="11"/>
  <c r="P3083" i="11"/>
  <c r="P3087" i="11"/>
  <c r="P3091" i="11"/>
  <c r="P3095" i="11"/>
  <c r="P3099" i="11"/>
  <c r="P3103" i="11"/>
  <c r="P3107" i="11"/>
  <c r="P3111" i="11"/>
  <c r="P3115" i="11"/>
  <c r="P3119" i="11"/>
  <c r="P3123" i="11"/>
  <c r="P3127" i="11"/>
  <c r="P3131" i="11"/>
  <c r="P3135" i="11"/>
  <c r="P3139" i="11"/>
  <c r="P3143" i="11"/>
  <c r="P3147" i="11"/>
  <c r="P3151" i="11"/>
  <c r="P3155" i="11"/>
  <c r="P3159" i="11"/>
  <c r="P3163" i="11"/>
  <c r="P3167" i="11"/>
  <c r="P3171" i="11"/>
  <c r="P3175" i="11"/>
  <c r="P3179" i="11"/>
  <c r="P3183" i="11"/>
  <c r="P3187" i="11"/>
  <c r="P3191" i="11"/>
  <c r="P3195" i="11"/>
  <c r="P3199" i="11"/>
  <c r="P3203" i="11"/>
  <c r="P3207" i="11"/>
  <c r="P3211" i="11"/>
  <c r="P3215" i="11"/>
  <c r="P3219" i="11"/>
  <c r="P3223" i="11"/>
  <c r="P3227" i="11"/>
  <c r="P3231" i="11"/>
  <c r="P3235" i="11"/>
  <c r="P3239" i="11"/>
  <c r="P3243" i="11"/>
  <c r="P3247" i="11"/>
  <c r="P3251" i="11"/>
  <c r="P3255" i="11"/>
  <c r="P3259" i="11"/>
  <c r="P3263" i="11"/>
  <c r="P3267" i="11"/>
  <c r="P3271" i="11"/>
  <c r="P3275" i="11"/>
  <c r="P3279" i="11"/>
  <c r="P3283" i="11"/>
  <c r="P3287" i="11"/>
  <c r="P3291" i="11"/>
  <c r="P3295" i="11"/>
  <c r="P3299" i="11"/>
  <c r="P3303" i="11"/>
  <c r="P3307" i="11"/>
  <c r="P3311" i="11"/>
  <c r="P3315" i="11"/>
  <c r="P3319" i="11"/>
  <c r="P3323" i="11"/>
  <c r="P21" i="11"/>
  <c r="P32" i="11"/>
  <c r="P45" i="11"/>
  <c r="P58" i="11"/>
  <c r="P70" i="11"/>
  <c r="P85" i="11"/>
  <c r="P96" i="11"/>
  <c r="P108" i="11"/>
  <c r="P122" i="11"/>
  <c r="P134" i="11"/>
  <c r="P145" i="11"/>
  <c r="P160" i="11"/>
  <c r="P172" i="11"/>
  <c r="P184" i="11"/>
  <c r="P198" i="11"/>
  <c r="P209" i="11"/>
  <c r="P221" i="11"/>
  <c r="P236" i="11"/>
  <c r="P248" i="11"/>
  <c r="P258" i="11"/>
  <c r="P273" i="11"/>
  <c r="P285" i="11"/>
  <c r="P298" i="11"/>
  <c r="P312" i="11"/>
  <c r="P322" i="11"/>
  <c r="P336" i="11"/>
  <c r="P347" i="11"/>
  <c r="P357" i="11"/>
  <c r="P365" i="11"/>
  <c r="P375" i="11"/>
  <c r="P385" i="11"/>
  <c r="P394" i="11"/>
  <c r="P405" i="11"/>
  <c r="P413" i="11"/>
  <c r="P422" i="11"/>
  <c r="P433" i="11"/>
  <c r="P442" i="11"/>
  <c r="P450" i="11"/>
  <c r="P461" i="11"/>
  <c r="P470" i="11"/>
  <c r="P479" i="11"/>
  <c r="P490" i="11"/>
  <c r="P498" i="11"/>
  <c r="P507" i="11"/>
  <c r="P518" i="11"/>
  <c r="P527" i="11"/>
  <c r="P535" i="11"/>
  <c r="P546" i="11"/>
  <c r="P555" i="11"/>
  <c r="P565" i="11"/>
  <c r="P575" i="11"/>
  <c r="P583" i="11"/>
  <c r="P593" i="11"/>
  <c r="P603" i="11"/>
  <c r="P613" i="11"/>
  <c r="P621" i="11"/>
  <c r="P631" i="11"/>
  <c r="P641" i="11"/>
  <c r="P650" i="11"/>
  <c r="P661" i="11"/>
  <c r="P669" i="11"/>
  <c r="P678" i="11"/>
  <c r="P689" i="11"/>
  <c r="P698" i="11"/>
  <c r="P706" i="11"/>
  <c r="P717" i="11"/>
  <c r="P726" i="11"/>
  <c r="P735" i="11"/>
  <c r="P746" i="11"/>
  <c r="P754" i="11"/>
  <c r="P763" i="11"/>
  <c r="P772" i="11"/>
  <c r="P779" i="11"/>
  <c r="P785" i="11"/>
  <c r="P793" i="11"/>
  <c r="P800" i="11"/>
  <c r="P807" i="11"/>
  <c r="P815" i="11"/>
  <c r="P821" i="11"/>
  <c r="P828" i="11"/>
  <c r="P836" i="11"/>
  <c r="P843" i="11"/>
  <c r="P849" i="11"/>
  <c r="P857" i="11"/>
  <c r="P864" i="11"/>
  <c r="P871" i="11"/>
  <c r="P879" i="11"/>
  <c r="P885" i="11"/>
  <c r="P892" i="11"/>
  <c r="P900" i="11"/>
  <c r="P907" i="11"/>
  <c r="P913" i="11"/>
  <c r="P921" i="11"/>
  <c r="P928" i="11"/>
  <c r="P935" i="11"/>
  <c r="P943" i="11"/>
  <c r="P949" i="11"/>
  <c r="P956" i="11"/>
  <c r="P964" i="11"/>
  <c r="P971" i="11"/>
  <c r="P977" i="11"/>
  <c r="P985" i="11"/>
  <c r="P992" i="11"/>
  <c r="P999" i="11"/>
  <c r="P1007" i="11"/>
  <c r="P1013" i="11"/>
  <c r="P1020" i="11"/>
  <c r="P1028" i="11"/>
  <c r="P1035" i="11"/>
  <c r="P1041" i="11"/>
  <c r="P1049" i="11"/>
  <c r="P1056" i="11"/>
  <c r="P1063" i="11"/>
  <c r="P1071" i="11"/>
  <c r="P1077" i="11"/>
  <c r="P1084" i="11"/>
  <c r="P1092" i="11"/>
  <c r="P1099" i="11"/>
  <c r="P1105" i="11"/>
  <c r="P1113" i="11"/>
  <c r="P1120" i="11"/>
  <c r="P1127" i="11"/>
  <c r="P1135" i="11"/>
  <c r="P1141" i="11"/>
  <c r="P1148" i="11"/>
  <c r="P1156" i="11"/>
  <c r="P1163" i="11"/>
  <c r="P1169" i="11"/>
  <c r="P1177" i="11"/>
  <c r="P1184" i="11"/>
  <c r="P1191" i="11"/>
  <c r="P1199" i="11"/>
  <c r="P1205" i="11"/>
  <c r="P1212" i="11"/>
  <c r="P1220" i="11"/>
  <c r="P1227" i="11"/>
  <c r="P1233" i="11"/>
  <c r="P1241" i="11"/>
  <c r="P1248" i="11"/>
  <c r="P1255" i="11"/>
  <c r="P1263" i="11"/>
  <c r="P1269" i="11"/>
  <c r="P1276" i="11"/>
  <c r="P1284" i="11"/>
  <c r="P1291" i="11"/>
  <c r="P1297" i="11"/>
  <c r="P1305" i="11"/>
  <c r="P1312" i="11"/>
  <c r="P1319" i="11"/>
  <c r="P1327" i="11"/>
  <c r="P1333" i="11"/>
  <c r="P1340" i="11"/>
  <c r="P1348" i="11"/>
  <c r="P1355" i="11"/>
  <c r="P1361" i="11"/>
  <c r="P1369" i="11"/>
  <c r="P1376" i="11"/>
  <c r="P1383" i="11"/>
  <c r="P1391" i="11"/>
  <c r="P1397" i="11"/>
  <c r="P1404" i="11"/>
  <c r="P1412" i="11"/>
  <c r="P1419" i="11"/>
  <c r="P1425" i="11"/>
  <c r="P1433" i="11"/>
  <c r="P1440" i="11"/>
  <c r="P1447" i="11"/>
  <c r="P1455" i="11"/>
  <c r="P1461" i="11"/>
  <c r="P1468" i="11"/>
  <c r="P1476" i="11"/>
  <c r="P1483" i="11"/>
  <c r="P1489" i="11"/>
  <c r="P1497" i="11"/>
  <c r="P1504" i="11"/>
  <c r="P1511" i="11"/>
  <c r="P1519" i="11"/>
  <c r="P1525" i="11"/>
  <c r="P1532" i="11"/>
  <c r="P1540" i="11"/>
  <c r="P1547" i="11"/>
  <c r="P1553" i="11"/>
  <c r="P1561" i="11"/>
  <c r="P1568" i="11"/>
  <c r="P1575" i="11"/>
  <c r="P1583" i="11"/>
  <c r="P1589" i="11"/>
  <c r="P1596" i="11"/>
  <c r="P1604" i="11"/>
  <c r="P1611" i="11"/>
  <c r="P1617" i="11"/>
  <c r="P1624" i="11"/>
  <c r="P1629" i="11"/>
  <c r="P1634" i="11"/>
  <c r="P1640" i="11"/>
  <c r="P1645" i="11"/>
  <c r="P1650" i="11"/>
  <c r="P1656" i="11"/>
  <c r="P1661" i="11"/>
  <c r="P1666" i="11"/>
  <c r="P1672" i="11"/>
  <c r="P1677" i="11"/>
  <c r="P1682" i="11"/>
  <c r="P1688" i="11"/>
  <c r="P1693" i="11"/>
  <c r="P1698" i="11"/>
  <c r="P1704" i="11"/>
  <c r="P1709" i="11"/>
  <c r="P1714" i="11"/>
  <c r="P1720" i="11"/>
  <c r="P1725" i="11"/>
  <c r="P1730" i="11"/>
  <c r="P1736" i="11"/>
  <c r="P1741" i="11"/>
  <c r="P1746" i="11"/>
  <c r="P1752" i="11"/>
  <c r="P1757" i="11"/>
  <c r="P1762" i="11"/>
  <c r="P1768" i="11"/>
  <c r="P1773" i="11"/>
  <c r="P1778" i="11"/>
  <c r="P1784" i="11"/>
  <c r="P1789" i="11"/>
  <c r="P1794" i="11"/>
  <c r="P1800" i="11"/>
  <c r="P1805" i="11"/>
  <c r="P1810" i="11"/>
  <c r="P1816" i="11"/>
  <c r="P1821" i="11"/>
  <c r="P1826" i="11"/>
  <c r="P1832" i="11"/>
  <c r="P1837" i="11"/>
  <c r="P1842" i="11"/>
  <c r="P1848" i="11"/>
  <c r="P1853" i="11"/>
  <c r="P1858" i="11"/>
  <c r="P1864" i="11"/>
  <c r="P1869" i="11"/>
  <c r="P1874" i="11"/>
  <c r="P1880" i="11"/>
  <c r="P1885" i="11"/>
  <c r="P1890" i="11"/>
  <c r="P1896" i="11"/>
  <c r="P1901" i="11"/>
  <c r="P1906" i="11"/>
  <c r="P1912" i="11"/>
  <c r="P1917" i="11"/>
  <c r="P1922" i="11"/>
  <c r="P1928" i="11"/>
  <c r="P1933" i="11"/>
  <c r="P1938" i="11"/>
  <c r="P1944" i="11"/>
  <c r="P1949" i="11"/>
  <c r="P1954" i="11"/>
  <c r="P1960" i="11"/>
  <c r="P1965" i="11"/>
  <c r="P1970" i="11"/>
  <c r="P1976" i="11"/>
  <c r="P1981" i="11"/>
  <c r="P1986" i="11"/>
  <c r="P1992" i="11"/>
  <c r="P1997" i="11"/>
  <c r="P2002" i="11"/>
  <c r="P2008" i="11"/>
  <c r="P2013" i="11"/>
  <c r="P2018" i="11"/>
  <c r="P2024" i="11"/>
  <c r="P2029" i="11"/>
  <c r="P2034" i="11"/>
  <c r="P2040" i="11"/>
  <c r="P2045" i="11"/>
  <c r="P2050" i="11"/>
  <c r="P2056" i="11"/>
  <c r="P2061" i="11"/>
  <c r="P2066" i="11"/>
  <c r="P2072" i="11"/>
  <c r="P2077" i="11"/>
  <c r="P2082" i="11"/>
  <c r="P2088" i="11"/>
  <c r="P2093" i="11"/>
  <c r="P2098" i="11"/>
  <c r="P2104" i="11"/>
  <c r="P2109" i="11"/>
  <c r="P2114" i="11"/>
  <c r="P2120" i="11"/>
  <c r="P2125" i="11"/>
  <c r="P2130" i="11"/>
  <c r="P2136" i="11"/>
  <c r="P2141" i="11"/>
  <c r="P2146" i="11"/>
  <c r="P2152" i="11"/>
  <c r="P2157" i="11"/>
  <c r="P2162" i="11"/>
  <c r="P2168" i="11"/>
  <c r="P2173" i="11"/>
  <c r="P2178" i="11"/>
  <c r="P2184" i="11"/>
  <c r="P2189" i="11"/>
  <c r="P2194" i="11"/>
  <c r="P2200" i="11"/>
  <c r="P2205" i="11"/>
  <c r="P2210" i="11"/>
  <c r="P2216" i="11"/>
  <c r="P2221" i="11"/>
  <c r="P2226" i="11"/>
  <c r="P2232" i="11"/>
  <c r="P2237" i="11"/>
  <c r="P2242" i="11"/>
  <c r="P2248" i="11"/>
  <c r="P2253" i="11"/>
  <c r="P2258" i="11"/>
  <c r="P2264" i="11"/>
  <c r="P2269" i="11"/>
  <c r="P2274" i="11"/>
  <c r="P2280" i="11"/>
  <c r="P2285" i="11"/>
  <c r="P2290" i="11"/>
  <c r="P2296" i="11"/>
  <c r="P2301" i="11"/>
  <c r="P2306" i="11"/>
  <c r="P2312" i="11"/>
  <c r="P2317" i="11"/>
  <c r="P2322" i="11"/>
  <c r="P2328" i="11"/>
  <c r="P2333" i="11"/>
  <c r="P2338" i="11"/>
  <c r="P2344" i="11"/>
  <c r="P2349" i="11"/>
  <c r="P2354" i="11"/>
  <c r="P2360" i="11"/>
  <c r="P2365" i="11"/>
  <c r="P2370" i="11"/>
  <c r="P2376" i="11"/>
  <c r="P2381" i="11"/>
  <c r="P2386" i="11"/>
  <c r="P2392" i="11"/>
  <c r="P2397" i="11"/>
  <c r="P2402" i="11"/>
  <c r="P2408" i="11"/>
  <c r="P2413" i="11"/>
  <c r="P2418" i="11"/>
  <c r="P2424" i="11"/>
  <c r="P2429" i="11"/>
  <c r="P2434" i="11"/>
  <c r="P2440" i="11"/>
  <c r="P2445" i="11"/>
  <c r="P2450" i="11"/>
  <c r="P2456" i="11"/>
  <c r="P2461" i="11"/>
  <c r="P2466" i="11"/>
  <c r="P2472" i="11"/>
  <c r="P2477" i="11"/>
  <c r="P2482" i="11"/>
  <c r="P2488" i="11"/>
  <c r="P2493" i="11"/>
  <c r="P2498" i="11"/>
  <c r="P2504" i="11"/>
  <c r="P2509" i="11"/>
  <c r="P2514" i="11"/>
  <c r="P2520" i="11"/>
  <c r="P2525" i="11"/>
  <c r="P2530" i="11"/>
  <c r="P2536" i="11"/>
  <c r="P2541" i="11"/>
  <c r="P2546" i="11"/>
  <c r="P2552" i="11"/>
  <c r="P2557" i="11"/>
  <c r="P2562" i="11"/>
  <c r="P2568" i="11"/>
  <c r="P2573" i="11"/>
  <c r="P2578" i="11"/>
  <c r="P2584" i="11"/>
  <c r="P2589" i="11"/>
  <c r="P2594" i="11"/>
  <c r="P2600" i="11"/>
  <c r="P2605" i="11"/>
  <c r="P2610" i="11"/>
  <c r="P2616" i="11"/>
  <c r="P2621" i="11"/>
  <c r="P2626" i="11"/>
  <c r="P2632" i="11"/>
  <c r="P2637" i="11"/>
  <c r="P2642" i="11"/>
  <c r="P2648" i="11"/>
  <c r="P2653" i="11"/>
  <c r="P2658" i="11"/>
  <c r="P2664" i="11"/>
  <c r="P2669" i="11"/>
  <c r="P2674" i="11"/>
  <c r="P2680" i="11"/>
  <c r="P2685" i="11"/>
  <c r="P2690" i="11"/>
  <c r="P2696" i="11"/>
  <c r="P2701" i="11"/>
  <c r="P2706" i="11"/>
  <c r="P2712" i="11"/>
  <c r="P2717" i="11"/>
  <c r="P2722" i="11"/>
  <c r="P2728" i="11"/>
  <c r="P2733" i="11"/>
  <c r="P2738" i="11"/>
  <c r="P2744" i="11"/>
  <c r="P2749" i="11"/>
  <c r="P2754" i="11"/>
  <c r="P2760" i="11"/>
  <c r="P2765" i="11"/>
  <c r="P2770" i="11"/>
  <c r="P2776" i="11"/>
  <c r="P2781" i="11"/>
  <c r="P2786" i="11"/>
  <c r="P2792" i="11"/>
  <c r="P2797" i="11"/>
  <c r="P2802" i="11"/>
  <c r="P2808" i="11"/>
  <c r="P2813" i="11"/>
  <c r="P2818" i="11"/>
  <c r="P2824" i="11"/>
  <c r="P2829" i="11"/>
  <c r="P2834" i="11"/>
  <c r="P2840" i="11"/>
  <c r="P2845" i="11"/>
  <c r="P2850" i="11"/>
  <c r="P2856" i="11"/>
  <c r="P2861" i="11"/>
  <c r="P2866" i="11"/>
  <c r="P2872" i="11"/>
  <c r="P2877" i="11"/>
  <c r="P2882" i="11"/>
  <c r="P2888" i="11"/>
  <c r="P2893" i="11"/>
  <c r="P2898" i="11"/>
  <c r="P2904" i="11"/>
  <c r="P2909" i="11"/>
  <c r="P2914" i="11"/>
  <c r="P2920" i="11"/>
  <c r="P2925" i="11"/>
  <c r="P2930" i="11"/>
  <c r="P2936" i="11"/>
  <c r="P2941" i="11"/>
  <c r="P2946" i="11"/>
  <c r="P2952" i="11"/>
  <c r="P2957" i="11"/>
  <c r="P2962" i="11"/>
  <c r="P2968" i="11"/>
  <c r="P2973" i="11"/>
  <c r="P2978" i="11"/>
  <c r="P2984" i="11"/>
  <c r="P2989" i="11"/>
  <c r="P2994" i="11"/>
  <c r="P3000" i="11"/>
  <c r="P3005" i="11"/>
  <c r="P3010" i="11"/>
  <c r="P3016" i="11"/>
  <c r="P3021" i="11"/>
  <c r="P3026" i="11"/>
  <c r="P3032" i="11"/>
  <c r="P3037" i="11"/>
  <c r="P3042" i="11"/>
  <c r="P3048" i="11"/>
  <c r="P3053" i="11"/>
  <c r="P3058" i="11"/>
  <c r="P3064" i="11"/>
  <c r="P3069" i="11"/>
  <c r="P3074" i="11"/>
  <c r="P3080" i="11"/>
  <c r="P3085" i="11"/>
  <c r="P3090" i="11"/>
  <c r="P3096" i="11"/>
  <c r="P3101" i="11"/>
  <c r="P3106" i="11"/>
  <c r="P3112" i="11"/>
  <c r="P3117" i="11"/>
  <c r="P3122" i="11"/>
  <c r="P3128" i="11"/>
  <c r="P3133" i="11"/>
  <c r="P3138" i="11"/>
  <c r="P3144" i="11"/>
  <c r="P3149" i="11"/>
  <c r="P3154" i="11"/>
  <c r="P3160" i="11"/>
  <c r="P3165" i="11"/>
  <c r="P3170" i="11"/>
  <c r="P3176" i="11"/>
  <c r="P3181" i="11"/>
  <c r="P3186" i="11"/>
  <c r="P3192" i="11"/>
  <c r="P3197" i="11"/>
  <c r="P3202" i="11"/>
  <c r="P3208" i="11"/>
  <c r="P3213" i="11"/>
  <c r="P3218" i="11"/>
  <c r="P3224" i="11"/>
  <c r="P3229" i="11"/>
  <c r="P3234" i="11"/>
  <c r="P3240" i="11"/>
  <c r="P3245" i="11"/>
  <c r="P3250" i="11"/>
  <c r="P3256" i="11"/>
  <c r="P3261" i="11"/>
  <c r="P3266" i="11"/>
  <c r="P3272" i="11"/>
  <c r="P3277" i="11"/>
  <c r="P3282" i="11"/>
  <c r="P3288" i="11"/>
  <c r="P3293" i="11"/>
  <c r="P3298" i="11"/>
  <c r="P3304" i="11"/>
  <c r="P3309" i="11"/>
  <c r="P3314" i="11"/>
  <c r="P3320" i="11"/>
  <c r="P3325" i="11"/>
  <c r="P3329" i="11"/>
  <c r="P3333" i="11"/>
  <c r="P3337" i="11"/>
  <c r="P3341" i="11"/>
  <c r="P3345" i="11"/>
  <c r="P3349" i="11"/>
  <c r="P3353" i="11"/>
  <c r="P3357" i="11"/>
  <c r="P3361" i="11"/>
  <c r="P3365" i="11"/>
  <c r="P3369" i="11"/>
  <c r="P3373" i="11"/>
  <c r="P3377" i="11"/>
  <c r="P3381" i="11"/>
  <c r="P3385" i="11"/>
  <c r="P3389" i="11"/>
  <c r="P3393" i="11"/>
  <c r="P3397" i="11"/>
  <c r="P3401" i="11"/>
  <c r="P3405" i="11"/>
  <c r="P3409" i="11"/>
  <c r="P3413" i="11"/>
  <c r="P3417" i="11"/>
  <c r="P3421" i="11"/>
  <c r="P3425" i="11"/>
  <c r="P3429" i="11"/>
  <c r="P3433" i="11"/>
  <c r="P3437" i="11"/>
  <c r="P3441" i="11"/>
  <c r="P3445" i="11"/>
  <c r="P3449" i="11"/>
  <c r="P3453" i="11"/>
  <c r="P3457" i="11"/>
  <c r="P3461" i="11"/>
  <c r="P3465" i="11"/>
  <c r="P3469" i="11"/>
  <c r="P3473" i="11"/>
  <c r="P3477" i="11"/>
  <c r="P3481" i="11"/>
  <c r="P3485" i="11"/>
  <c r="P3489" i="11"/>
  <c r="P3493" i="11"/>
  <c r="P3497" i="11"/>
  <c r="P3501" i="11"/>
  <c r="P3505" i="11"/>
  <c r="P3509" i="11"/>
  <c r="P3513" i="11"/>
  <c r="P3517" i="11"/>
  <c r="P3521" i="11"/>
  <c r="P3525" i="11"/>
  <c r="P3529" i="11"/>
  <c r="P3533" i="11"/>
  <c r="P3537" i="11"/>
  <c r="P3541" i="11"/>
  <c r="P3545" i="11"/>
  <c r="P3549" i="11"/>
  <c r="P3553" i="11"/>
  <c r="P3557" i="11"/>
  <c r="P3561" i="11"/>
  <c r="P3565" i="11"/>
  <c r="P3569" i="11"/>
  <c r="P3573" i="11"/>
  <c r="P3577" i="11"/>
  <c r="P3581" i="11"/>
  <c r="P3585" i="11"/>
  <c r="P3589" i="11"/>
  <c r="P3593" i="11"/>
  <c r="P3597" i="11"/>
  <c r="P3601" i="11"/>
  <c r="P3605" i="11"/>
  <c r="P3609" i="11"/>
  <c r="P3613" i="11"/>
  <c r="P3617" i="11"/>
  <c r="P3621" i="11"/>
  <c r="P3625" i="11"/>
  <c r="P3629" i="11"/>
  <c r="P3633" i="11"/>
  <c r="P3637" i="11"/>
  <c r="P3641" i="11"/>
  <c r="P3645" i="11"/>
  <c r="P3649" i="11"/>
  <c r="P3653" i="11"/>
  <c r="P3657" i="11"/>
  <c r="P3661" i="11"/>
  <c r="P3665" i="11"/>
  <c r="P3669" i="11"/>
  <c r="P3673" i="11"/>
  <c r="P3677" i="11"/>
  <c r="P3681" i="11"/>
  <c r="P3685" i="11"/>
  <c r="P3689" i="11"/>
  <c r="P3693" i="11"/>
  <c r="P3697" i="11"/>
  <c r="P3701" i="11"/>
  <c r="P3705" i="11"/>
  <c r="P3709" i="11"/>
  <c r="P3713" i="11"/>
  <c r="P3717" i="11"/>
  <c r="P3721" i="11"/>
  <c r="P3725" i="11"/>
  <c r="P3729" i="11"/>
  <c r="P3733" i="11"/>
  <c r="P3737" i="11"/>
  <c r="P3741" i="11"/>
  <c r="P3745" i="11"/>
  <c r="P3749" i="11"/>
  <c r="P3753" i="11"/>
  <c r="P3757" i="11"/>
  <c r="P3761" i="11"/>
  <c r="P3765" i="11"/>
  <c r="P3769" i="11"/>
  <c r="P3773" i="11"/>
  <c r="P3777" i="11"/>
  <c r="P3781" i="11"/>
  <c r="P3785" i="11"/>
  <c r="P3789" i="11"/>
  <c r="P3793" i="11"/>
  <c r="P3797" i="11"/>
  <c r="P3801" i="11"/>
  <c r="P3805" i="11"/>
  <c r="P3809" i="11"/>
  <c r="P3813" i="11"/>
  <c r="P3817" i="11"/>
  <c r="P3821" i="11"/>
  <c r="P3825" i="11"/>
  <c r="P3829" i="11"/>
  <c r="P3833" i="11"/>
  <c r="P3837" i="11"/>
  <c r="P3841" i="11"/>
  <c r="P3845" i="11"/>
  <c r="P3849" i="11"/>
  <c r="P3853" i="11"/>
  <c r="P3857" i="11"/>
  <c r="P3861" i="11"/>
  <c r="P3865" i="11"/>
  <c r="P3869" i="11"/>
  <c r="P3873" i="11"/>
  <c r="P3877" i="11"/>
  <c r="P3881" i="11"/>
  <c r="P3885" i="11"/>
  <c r="P3889" i="11"/>
  <c r="P3893" i="11"/>
  <c r="P3897" i="11"/>
  <c r="P3901" i="11"/>
  <c r="P3905" i="11"/>
  <c r="P3909" i="11"/>
  <c r="P3913" i="11"/>
  <c r="P3917" i="11"/>
  <c r="P3921" i="11"/>
  <c r="P3925" i="11"/>
  <c r="P3929" i="11"/>
  <c r="P3933" i="11"/>
  <c r="P3937" i="11"/>
  <c r="P3941" i="11"/>
  <c r="P3945" i="11"/>
  <c r="P3949" i="11"/>
  <c r="P3953" i="11"/>
  <c r="P3957" i="11"/>
  <c r="P3961" i="11"/>
  <c r="P3965" i="11"/>
  <c r="P3969" i="11"/>
  <c r="P3973" i="11"/>
  <c r="P3977" i="11"/>
  <c r="P3981" i="11"/>
  <c r="P3985" i="11"/>
  <c r="P3989" i="11"/>
  <c r="P3993" i="11"/>
  <c r="P3997" i="11"/>
  <c r="P4001" i="11"/>
  <c r="P4005" i="11"/>
  <c r="P4009" i="11"/>
  <c r="P4013" i="11"/>
  <c r="P4017" i="11"/>
  <c r="P4021" i="11"/>
  <c r="P4025" i="11"/>
  <c r="P4029" i="11"/>
  <c r="P4033" i="11"/>
  <c r="P4037" i="11"/>
  <c r="P4041" i="11"/>
  <c r="P4045" i="11"/>
  <c r="P4049" i="11"/>
  <c r="P4053" i="11"/>
  <c r="P4057" i="11"/>
  <c r="P4061" i="11"/>
  <c r="P4065" i="11"/>
  <c r="P4069" i="11"/>
  <c r="P4073" i="11"/>
  <c r="P4077" i="11"/>
  <c r="P4081" i="11"/>
  <c r="P4085" i="11"/>
  <c r="P4089" i="11"/>
  <c r="P4093" i="11"/>
  <c r="P4097" i="11"/>
  <c r="P4101" i="11"/>
  <c r="P4105" i="11"/>
  <c r="P4109" i="11"/>
  <c r="P4113" i="11"/>
  <c r="P4117" i="11"/>
  <c r="P4121" i="11"/>
  <c r="P4125" i="11"/>
  <c r="P4129" i="11"/>
  <c r="P4133" i="11"/>
  <c r="P4137" i="11"/>
  <c r="P4141" i="11"/>
  <c r="P4145" i="11"/>
  <c r="P4149" i="11"/>
  <c r="P4153" i="11"/>
  <c r="P4157" i="11"/>
  <c r="P4161" i="11"/>
  <c r="P4165" i="11"/>
  <c r="P4169" i="11"/>
  <c r="P4173" i="11"/>
  <c r="P4177" i="11"/>
  <c r="P4181" i="11"/>
  <c r="P4185" i="11"/>
  <c r="P4189" i="11"/>
  <c r="P4193" i="11"/>
  <c r="P4197" i="11"/>
  <c r="P4201" i="11"/>
  <c r="P4205" i="11"/>
  <c r="P4209" i="11"/>
  <c r="P4213" i="11"/>
  <c r="P4217" i="11"/>
  <c r="P4221" i="11"/>
  <c r="P4225" i="11"/>
  <c r="P4229" i="11"/>
  <c r="P4233" i="11"/>
  <c r="P4237" i="11"/>
  <c r="P4241" i="11"/>
  <c r="P4245" i="11"/>
  <c r="P4249" i="11"/>
  <c r="P4253" i="11"/>
  <c r="P4257" i="11"/>
  <c r="P4261" i="11"/>
  <c r="P4265" i="11"/>
  <c r="P4269" i="11"/>
  <c r="P4273" i="11"/>
  <c r="P4277" i="11"/>
  <c r="P4281" i="11"/>
  <c r="P4285" i="11"/>
  <c r="P4289" i="11"/>
  <c r="P4293" i="11"/>
  <c r="P4297" i="11"/>
  <c r="P4301" i="11"/>
  <c r="P4305" i="11"/>
  <c r="P4309" i="11"/>
  <c r="P4313" i="11"/>
  <c r="P4317" i="11"/>
  <c r="P4321" i="11"/>
  <c r="P4325" i="11"/>
  <c r="P4329" i="11"/>
  <c r="P4333" i="11"/>
  <c r="P4337" i="11"/>
  <c r="P4341" i="11"/>
  <c r="P4345" i="11"/>
  <c r="P4349" i="11"/>
  <c r="P4353" i="11"/>
  <c r="P4357" i="11"/>
  <c r="P4361" i="11"/>
  <c r="P4365" i="11"/>
  <c r="P4369" i="11"/>
  <c r="P4373" i="11"/>
  <c r="P4377" i="11"/>
  <c r="P4381" i="11"/>
  <c r="P4385" i="11"/>
  <c r="P4389" i="11"/>
  <c r="P4393" i="11"/>
  <c r="P4397" i="11"/>
  <c r="P4401" i="11"/>
  <c r="P4405" i="11"/>
  <c r="P4409" i="11"/>
  <c r="P4413" i="11"/>
  <c r="P4417" i="11"/>
  <c r="P4421" i="11"/>
  <c r="P4425" i="11"/>
  <c r="P4429" i="11"/>
  <c r="P4433" i="11"/>
  <c r="P4437" i="11"/>
  <c r="P4441" i="11"/>
  <c r="P4445" i="11"/>
  <c r="P4449" i="11"/>
  <c r="P4453" i="11"/>
  <c r="P4457" i="11"/>
  <c r="P4461" i="11"/>
  <c r="P4465" i="11"/>
  <c r="P4469" i="11"/>
  <c r="P4473" i="11"/>
  <c r="P4477" i="11"/>
  <c r="P4481" i="11"/>
  <c r="P4485" i="11"/>
  <c r="P4489" i="11"/>
  <c r="P4493" i="11"/>
  <c r="P4497" i="11"/>
  <c r="P4501" i="11"/>
  <c r="P4505" i="11"/>
  <c r="P4509" i="11"/>
  <c r="P4513" i="11"/>
  <c r="P4517" i="11"/>
  <c r="P4521" i="11"/>
  <c r="P4525" i="11"/>
  <c r="P4529" i="11"/>
  <c r="P4533" i="11"/>
  <c r="P4537" i="11"/>
  <c r="P4541" i="11"/>
  <c r="P4545" i="11"/>
  <c r="P4549" i="11"/>
  <c r="P4553" i="11"/>
  <c r="P4557" i="11"/>
  <c r="P4561" i="11"/>
  <c r="P4565" i="11"/>
  <c r="P4569" i="11"/>
  <c r="P4573" i="11"/>
  <c r="P4577" i="11"/>
  <c r="P4581" i="11"/>
  <c r="P4585" i="11"/>
  <c r="P4589" i="11"/>
  <c r="P4593" i="11"/>
  <c r="P4597" i="11"/>
  <c r="P4601" i="11"/>
  <c r="P4605" i="11"/>
  <c r="P4609" i="11"/>
  <c r="P4613" i="11"/>
  <c r="P4617" i="11"/>
  <c r="P4621" i="11"/>
  <c r="P4625" i="11"/>
  <c r="P4629" i="11"/>
  <c r="P4633" i="11"/>
  <c r="P4637" i="11"/>
  <c r="P4641" i="11"/>
  <c r="P4645" i="11"/>
  <c r="P4649" i="11"/>
  <c r="P4653" i="11"/>
  <c r="P4657" i="11"/>
  <c r="P4661" i="11"/>
  <c r="P4665" i="11"/>
  <c r="P4669" i="11"/>
  <c r="P4673" i="11"/>
  <c r="P4677" i="11"/>
  <c r="P4681" i="11"/>
  <c r="P4685" i="11"/>
  <c r="P4689" i="11"/>
  <c r="P4693" i="11"/>
  <c r="P4697" i="11"/>
  <c r="P4701" i="11"/>
  <c r="P4705" i="11"/>
  <c r="P4709" i="11"/>
  <c r="P4713" i="11"/>
  <c r="P4717" i="11"/>
  <c r="P4721" i="11"/>
  <c r="P4725" i="11"/>
  <c r="P4729" i="11"/>
  <c r="P4733" i="11"/>
  <c r="P4737" i="11"/>
  <c r="P4741" i="11"/>
  <c r="P4745" i="11"/>
  <c r="P4749" i="11"/>
  <c r="P4753" i="11"/>
  <c r="P4757" i="11"/>
  <c r="P4761" i="11"/>
  <c r="P4765" i="11"/>
  <c r="P4769" i="11"/>
  <c r="P4773" i="11"/>
  <c r="P4777" i="11"/>
  <c r="P4781" i="11"/>
  <c r="P4785" i="11"/>
  <c r="P4789" i="11"/>
  <c r="P4793" i="11"/>
  <c r="P4797" i="11"/>
  <c r="P4801" i="11"/>
  <c r="P4805" i="11"/>
  <c r="P4809" i="11"/>
  <c r="P4813" i="11"/>
  <c r="P4817" i="11"/>
  <c r="P4821" i="11"/>
  <c r="P4825" i="11"/>
  <c r="P4829" i="11"/>
  <c r="P4833" i="11"/>
  <c r="P4837" i="11"/>
  <c r="P4841" i="11"/>
  <c r="P4845" i="11"/>
  <c r="P4849" i="11"/>
  <c r="P4853" i="11"/>
  <c r="P4857" i="11"/>
  <c r="P4861" i="11"/>
  <c r="P4865" i="11"/>
  <c r="P4869" i="11"/>
  <c r="P4873" i="11"/>
  <c r="P4877" i="11"/>
  <c r="P4881" i="11"/>
  <c r="P4885" i="11"/>
  <c r="P4889" i="11"/>
  <c r="P4893" i="11"/>
  <c r="P4897" i="11"/>
  <c r="P4901" i="11"/>
  <c r="P4905" i="11"/>
  <c r="P4909" i="11"/>
  <c r="P4913" i="11"/>
  <c r="P4917" i="11"/>
  <c r="P4921" i="11"/>
  <c r="P4925" i="11"/>
  <c r="P4929" i="11"/>
  <c r="P4933" i="11"/>
  <c r="P4937" i="11"/>
  <c r="P4941" i="11"/>
  <c r="P4945" i="11"/>
  <c r="P4949" i="11"/>
  <c r="P4953" i="11"/>
  <c r="P4957" i="11"/>
  <c r="P4961" i="11"/>
  <c r="P4965" i="11"/>
  <c r="P4969" i="11"/>
  <c r="P4973" i="11"/>
  <c r="P4977" i="11"/>
  <c r="P4981" i="11"/>
  <c r="P4985" i="11"/>
  <c r="P4989" i="11"/>
  <c r="P4993" i="11"/>
  <c r="P4997" i="11"/>
  <c r="P5001" i="11"/>
  <c r="P5005" i="11"/>
  <c r="P5009" i="11"/>
  <c r="P5013" i="11"/>
  <c r="P5017" i="11"/>
  <c r="P5021" i="11"/>
  <c r="P5025" i="11"/>
  <c r="P5029" i="11"/>
  <c r="P5033" i="11"/>
  <c r="P5037" i="11"/>
  <c r="P5041" i="11"/>
  <c r="P5045" i="11"/>
  <c r="P5049" i="11"/>
  <c r="P5053" i="11"/>
  <c r="P5057" i="11"/>
  <c r="P5061" i="11"/>
  <c r="P5065" i="11"/>
  <c r="P5069" i="11"/>
  <c r="P5073" i="11"/>
  <c r="P5077" i="11"/>
  <c r="P5081" i="11"/>
  <c r="P5085" i="11"/>
  <c r="P5089" i="11"/>
  <c r="P5093" i="11"/>
  <c r="P5097" i="11"/>
  <c r="P5101" i="11"/>
  <c r="P5105" i="11"/>
  <c r="P5109" i="11"/>
  <c r="P5113" i="11"/>
  <c r="P5117" i="11"/>
  <c r="P5121" i="11"/>
  <c r="P5125" i="11"/>
  <c r="P5129" i="11"/>
  <c r="P5133" i="11"/>
  <c r="P5137" i="11"/>
  <c r="P5141" i="11"/>
  <c r="P5145" i="11"/>
  <c r="P5149" i="11"/>
  <c r="P5153" i="11"/>
  <c r="P5157" i="11"/>
  <c r="P5161" i="11"/>
  <c r="P5165" i="11"/>
  <c r="P5169" i="11"/>
  <c r="P5173" i="11"/>
  <c r="P5177" i="11"/>
  <c r="P5181" i="11"/>
  <c r="P5185" i="11"/>
  <c r="P5189" i="11"/>
  <c r="P5193" i="11"/>
  <c r="P5197" i="11"/>
  <c r="P5201" i="11"/>
  <c r="P5205" i="11"/>
  <c r="P5209" i="11"/>
  <c r="P5213" i="11"/>
  <c r="P5217" i="11"/>
  <c r="P5221" i="11"/>
  <c r="P5225" i="11"/>
  <c r="P5229" i="11"/>
  <c r="P5233" i="11"/>
  <c r="P5237" i="11"/>
  <c r="P5241" i="11"/>
  <c r="P5245" i="11"/>
  <c r="P5249" i="11"/>
  <c r="P5253" i="11"/>
  <c r="P5257" i="11"/>
  <c r="P5261" i="11"/>
  <c r="P5265" i="11"/>
  <c r="P5269" i="11"/>
  <c r="P5273" i="11"/>
  <c r="P5277" i="11"/>
  <c r="P5281" i="11"/>
  <c r="P5285" i="11"/>
  <c r="P5289" i="11"/>
  <c r="P5293" i="11"/>
  <c r="P5297" i="11"/>
  <c r="P5301" i="11"/>
  <c r="P5305" i="11"/>
  <c r="P5309" i="11"/>
  <c r="P5313" i="11"/>
  <c r="P5317" i="11"/>
  <c r="P5321" i="11"/>
  <c r="P5325" i="11"/>
  <c r="P5329" i="11"/>
  <c r="P5333" i="11"/>
  <c r="P5337" i="11"/>
  <c r="P5341" i="11"/>
  <c r="P5345" i="11"/>
  <c r="P5349" i="11"/>
  <c r="P5353" i="11"/>
  <c r="P5357" i="11"/>
  <c r="P5361" i="11"/>
  <c r="P5365" i="11"/>
  <c r="P5369" i="11"/>
  <c r="P5373" i="11"/>
  <c r="P5377" i="11"/>
  <c r="P5381" i="11"/>
  <c r="P5385" i="11"/>
  <c r="P5389" i="11"/>
  <c r="P5393" i="11"/>
  <c r="P5397" i="11"/>
  <c r="P5401" i="11"/>
  <c r="P5405" i="11"/>
  <c r="P5409" i="11"/>
  <c r="P5413" i="11"/>
  <c r="P5417" i="11"/>
  <c r="P5421" i="11"/>
  <c r="P5425" i="11"/>
  <c r="P5429" i="11"/>
  <c r="P5433" i="11"/>
  <c r="P5437" i="11"/>
  <c r="P5441" i="11"/>
  <c r="P5445" i="11"/>
  <c r="P5449" i="11"/>
  <c r="P5453" i="11"/>
  <c r="P5457" i="11"/>
  <c r="P5461" i="11"/>
  <c r="P5465" i="11"/>
  <c r="P5469" i="11"/>
  <c r="P5473" i="11"/>
  <c r="P5477" i="11"/>
  <c r="P5481" i="11"/>
  <c r="P5485" i="11"/>
  <c r="P5489" i="11"/>
  <c r="P5493" i="11"/>
  <c r="P5497" i="11"/>
  <c r="P5501" i="11"/>
  <c r="P5505" i="11"/>
  <c r="P5509" i="11"/>
  <c r="P5513" i="11"/>
  <c r="P5517" i="11"/>
  <c r="P5521" i="11"/>
  <c r="P5525" i="11"/>
  <c r="P5529" i="11"/>
  <c r="P5533" i="11"/>
  <c r="P5537" i="11"/>
  <c r="P5541" i="11"/>
  <c r="P5545" i="11"/>
  <c r="P5549" i="11"/>
  <c r="P5553" i="11"/>
  <c r="P5557" i="11"/>
  <c r="P5561" i="11"/>
  <c r="P5565" i="11"/>
  <c r="P5569" i="11"/>
  <c r="P5573" i="11"/>
  <c r="P5577" i="11"/>
  <c r="P5581" i="11"/>
  <c r="P5585" i="11"/>
  <c r="P5589" i="11"/>
  <c r="P5593" i="11"/>
  <c r="P5597" i="11"/>
  <c r="P5601" i="11"/>
  <c r="P5605" i="11"/>
  <c r="P5609" i="11"/>
  <c r="P5613" i="11"/>
  <c r="P5617" i="11"/>
  <c r="P5621" i="11"/>
  <c r="P5625" i="11"/>
  <c r="P5629" i="11"/>
  <c r="P5633" i="11"/>
  <c r="P5637" i="11"/>
  <c r="P5641" i="11"/>
  <c r="P5645" i="11"/>
  <c r="P5649" i="11"/>
  <c r="P5653" i="11"/>
  <c r="P5657" i="11"/>
  <c r="P5661" i="11"/>
  <c r="P5665" i="11"/>
  <c r="P5669" i="11"/>
  <c r="P5673" i="11"/>
  <c r="P5677" i="11"/>
  <c r="P5681" i="11"/>
  <c r="P5685" i="11"/>
  <c r="P5689" i="11"/>
  <c r="P5693" i="11"/>
  <c r="P5697" i="11"/>
  <c r="P5701" i="11"/>
  <c r="P5705" i="11"/>
  <c r="P5709" i="11"/>
  <c r="P5713" i="11"/>
  <c r="P5717" i="11"/>
  <c r="P5721" i="11"/>
  <c r="P5725" i="11"/>
  <c r="P5729" i="11"/>
  <c r="P5733" i="11"/>
  <c r="P5737" i="11"/>
  <c r="P5741" i="11"/>
  <c r="P5745" i="11"/>
  <c r="P5749" i="11"/>
  <c r="P5753" i="11"/>
  <c r="P5757" i="11"/>
  <c r="P5761" i="11"/>
  <c r="P5765" i="11"/>
  <c r="P5769" i="11"/>
  <c r="P5773" i="11"/>
  <c r="P5777" i="11"/>
  <c r="P5781" i="11"/>
  <c r="P5785" i="11"/>
  <c r="P5789" i="11"/>
  <c r="P5793" i="11"/>
  <c r="P5797" i="11"/>
  <c r="P5801" i="11"/>
  <c r="P5805" i="11"/>
  <c r="P5809" i="11"/>
  <c r="P5813" i="11"/>
  <c r="P5817" i="11"/>
  <c r="P5821" i="11"/>
  <c r="P5825" i="11"/>
  <c r="P5829" i="11"/>
  <c r="P5833" i="11"/>
  <c r="P5837" i="11"/>
  <c r="P5841" i="11"/>
  <c r="P5845" i="11"/>
  <c r="P5849" i="11"/>
  <c r="P5853" i="11"/>
  <c r="P5857" i="11"/>
  <c r="P5861" i="11"/>
  <c r="P5865" i="11"/>
  <c r="P5869" i="11"/>
  <c r="P5873" i="11"/>
  <c r="P5877" i="11"/>
  <c r="P5881" i="11"/>
  <c r="P5885" i="11"/>
  <c r="P5889" i="11"/>
  <c r="P5893" i="11"/>
  <c r="P5897" i="11"/>
  <c r="P5901" i="11"/>
  <c r="P5905" i="11"/>
  <c r="P5909" i="11"/>
  <c r="P5913" i="11"/>
  <c r="P5917" i="11"/>
  <c r="P5921" i="11"/>
  <c r="P5925" i="11"/>
  <c r="P5929" i="11"/>
  <c r="P5933" i="11"/>
  <c r="P5937" i="11"/>
  <c r="P5941" i="11"/>
  <c r="P5945" i="11"/>
  <c r="P5949" i="11"/>
  <c r="P5953" i="11"/>
  <c r="P5957" i="11"/>
  <c r="P5961" i="11"/>
  <c r="P5965" i="11"/>
  <c r="P5969" i="11"/>
  <c r="P5973" i="11"/>
  <c r="P5977" i="11"/>
  <c r="P5981" i="11"/>
  <c r="P5985" i="11"/>
  <c r="P5989" i="11"/>
  <c r="P5993" i="11"/>
  <c r="P5997" i="11"/>
  <c r="P6001" i="11"/>
  <c r="P6005" i="11"/>
  <c r="P6009" i="11"/>
  <c r="P6013" i="11"/>
  <c r="P6017" i="11"/>
  <c r="P6021" i="11"/>
  <c r="P6025" i="11"/>
  <c r="P6029" i="11"/>
  <c r="P6033" i="11"/>
  <c r="P6037" i="11"/>
  <c r="P6041" i="11"/>
  <c r="P6045" i="11"/>
  <c r="P6049" i="11"/>
  <c r="P6053" i="11"/>
  <c r="P6057" i="11"/>
  <c r="P6061" i="11"/>
  <c r="P6065" i="11"/>
  <c r="P6069" i="11"/>
  <c r="P6073" i="11"/>
  <c r="P6077" i="11"/>
  <c r="P6081" i="11"/>
  <c r="P6085" i="11"/>
  <c r="P6089" i="11"/>
  <c r="P6093" i="11"/>
  <c r="P6097" i="11"/>
  <c r="P6101" i="11"/>
  <c r="P6105" i="11"/>
  <c r="P6109" i="11"/>
  <c r="P6113" i="11"/>
  <c r="P6117" i="11"/>
  <c r="P6121" i="11"/>
  <c r="P6125" i="11"/>
  <c r="P6129" i="11"/>
  <c r="P6133" i="11"/>
  <c r="P6137" i="11"/>
  <c r="P6141" i="11"/>
  <c r="P6145" i="11"/>
  <c r="P6149" i="11"/>
  <c r="P6153" i="11"/>
  <c r="P6157" i="11"/>
  <c r="P6161" i="11"/>
  <c r="P6165" i="11"/>
  <c r="P6169" i="11"/>
  <c r="P6173" i="11"/>
  <c r="P6177" i="11"/>
  <c r="P6181" i="11"/>
  <c r="P6185" i="11"/>
  <c r="P6189" i="11"/>
  <c r="P6193" i="11"/>
  <c r="P6197" i="11"/>
  <c r="P6201" i="11"/>
  <c r="P6205" i="11"/>
  <c r="P6209" i="11"/>
  <c r="P6213" i="11"/>
  <c r="P6217" i="11"/>
  <c r="P6221" i="11"/>
  <c r="P6225" i="11"/>
  <c r="P6229" i="11"/>
  <c r="P6233" i="11"/>
  <c r="P6237" i="11"/>
  <c r="P6241" i="11"/>
  <c r="P6245" i="11"/>
  <c r="P6249" i="11"/>
  <c r="P6253" i="11"/>
  <c r="P6257" i="11"/>
  <c r="P6261" i="11"/>
  <c r="P6265" i="11"/>
  <c r="P6269" i="11"/>
  <c r="P6273" i="11"/>
  <c r="P6277" i="11"/>
  <c r="P6281" i="11"/>
  <c r="P6285" i="11"/>
  <c r="P6289" i="11"/>
  <c r="P6293" i="11"/>
  <c r="P6297" i="11"/>
  <c r="P6301" i="11"/>
  <c r="P6305" i="11"/>
  <c r="P6309" i="11"/>
  <c r="P6313" i="11"/>
  <c r="P6317" i="11"/>
  <c r="P6321" i="11"/>
  <c r="P6325" i="11"/>
  <c r="P6329" i="11"/>
  <c r="P6333" i="11"/>
  <c r="P6337" i="11"/>
  <c r="P6341" i="11"/>
  <c r="P6345" i="11"/>
  <c r="P6349" i="11"/>
  <c r="P6353" i="11"/>
  <c r="P6357" i="11"/>
  <c r="P6361" i="11"/>
  <c r="P6365" i="11"/>
  <c r="P6369" i="11"/>
  <c r="P6373" i="11"/>
  <c r="P6377" i="11"/>
  <c r="P6381" i="11"/>
  <c r="P6385" i="11"/>
  <c r="P6389" i="11"/>
  <c r="P6393" i="11"/>
  <c r="P6397" i="11"/>
  <c r="P6401" i="11"/>
  <c r="P6405" i="11"/>
  <c r="P6409" i="11"/>
  <c r="P6413" i="11"/>
  <c r="P6417" i="11"/>
  <c r="P6421" i="11"/>
  <c r="P6425" i="11"/>
  <c r="P6429" i="11"/>
  <c r="P6433" i="11"/>
  <c r="P6437" i="11"/>
  <c r="P6441" i="11"/>
  <c r="P6445" i="11"/>
  <c r="P6449" i="11"/>
  <c r="P6453" i="11"/>
  <c r="P6457" i="11"/>
  <c r="P6461" i="11"/>
  <c r="P6465" i="11"/>
  <c r="P6469" i="11"/>
  <c r="P6473" i="11"/>
  <c r="P6477" i="11"/>
  <c r="P6481" i="11"/>
  <c r="P6485" i="11"/>
  <c r="P6489" i="11"/>
  <c r="P6493" i="11"/>
  <c r="P6497" i="11"/>
  <c r="P6501" i="11"/>
  <c r="P6505" i="11"/>
  <c r="P6509" i="11"/>
  <c r="P6513" i="11"/>
  <c r="P6517" i="11"/>
  <c r="P6521" i="11"/>
  <c r="P6525" i="11"/>
  <c r="P6529" i="11"/>
  <c r="P6533" i="11"/>
  <c r="P6537" i="11"/>
  <c r="P6541" i="11"/>
  <c r="P6545" i="11"/>
  <c r="P6549" i="11"/>
  <c r="P6553" i="11"/>
  <c r="P6557" i="11"/>
  <c r="P6561" i="11"/>
  <c r="P6565" i="11"/>
  <c r="P6569" i="11"/>
  <c r="P6573" i="11"/>
  <c r="P6577" i="11"/>
  <c r="P6581" i="11"/>
  <c r="P6585" i="11"/>
  <c r="P6589" i="11"/>
  <c r="P6593" i="11"/>
  <c r="P6597" i="11"/>
  <c r="P6601" i="11"/>
  <c r="P6605" i="11"/>
  <c r="P6609" i="11"/>
  <c r="P6613" i="11"/>
  <c r="P6617" i="11"/>
  <c r="P6621" i="11"/>
  <c r="P6625" i="11"/>
  <c r="P6629" i="11"/>
  <c r="P6633" i="11"/>
  <c r="P6637" i="11"/>
  <c r="P6641" i="11"/>
  <c r="P6645" i="11"/>
  <c r="P6649" i="11"/>
  <c r="P6653" i="11"/>
  <c r="P6657" i="11"/>
  <c r="P6661" i="11"/>
  <c r="P6665" i="11"/>
  <c r="P6669" i="11"/>
  <c r="P6673" i="11"/>
  <c r="P6677" i="11"/>
  <c r="P6681" i="11"/>
  <c r="P6685" i="11"/>
  <c r="P6689" i="11"/>
  <c r="P6693" i="11"/>
  <c r="P6697" i="11"/>
  <c r="P6701" i="11"/>
  <c r="P6705" i="11"/>
  <c r="P6709" i="11"/>
  <c r="P6713" i="11"/>
  <c r="P6717" i="11"/>
  <c r="P6721" i="11"/>
  <c r="P6725" i="11"/>
  <c r="P6729" i="11"/>
  <c r="P6733" i="11"/>
  <c r="P6737" i="11"/>
  <c r="P28" i="11"/>
  <c r="P42" i="11"/>
  <c r="P60" i="11"/>
  <c r="P77" i="11"/>
  <c r="P93" i="11"/>
  <c r="P113" i="11"/>
  <c r="P128" i="11"/>
  <c r="P144" i="11"/>
  <c r="P162" i="11"/>
  <c r="P178" i="11"/>
  <c r="P193" i="11"/>
  <c r="P213" i="11"/>
  <c r="P229" i="11"/>
  <c r="P245" i="11"/>
  <c r="P264" i="11"/>
  <c r="P278" i="11"/>
  <c r="P294" i="11"/>
  <c r="P314" i="11"/>
  <c r="P330" i="11"/>
  <c r="P343" i="11"/>
  <c r="P358" i="11"/>
  <c r="P370" i="11"/>
  <c r="P383" i="11"/>
  <c r="P397" i="11"/>
  <c r="P407" i="11"/>
  <c r="P421" i="11"/>
  <c r="P434" i="11"/>
  <c r="P447" i="11"/>
  <c r="P458" i="11"/>
  <c r="P471" i="11"/>
  <c r="P485" i="11"/>
  <c r="P497" i="11"/>
  <c r="P511" i="11"/>
  <c r="P522" i="11"/>
  <c r="P534" i="11"/>
  <c r="P549" i="11"/>
  <c r="P561" i="11"/>
  <c r="P571" i="11"/>
  <c r="P586" i="11"/>
  <c r="P598" i="11"/>
  <c r="P610" i="11"/>
  <c r="P625" i="11"/>
  <c r="P635" i="11"/>
  <c r="P647" i="11"/>
  <c r="P662" i="11"/>
  <c r="P674" i="11"/>
  <c r="P685" i="11"/>
  <c r="P699" i="11"/>
  <c r="P711" i="11"/>
  <c r="P725" i="11"/>
  <c r="P738" i="11"/>
  <c r="P749" i="11"/>
  <c r="P762" i="11"/>
  <c r="P773" i="11"/>
  <c r="P783" i="11"/>
  <c r="P791" i="11"/>
  <c r="P801" i="11"/>
  <c r="P811" i="11"/>
  <c r="P820" i="11"/>
  <c r="P831" i="11"/>
  <c r="P839" i="11"/>
  <c r="P848" i="11"/>
  <c r="P859" i="11"/>
  <c r="P868" i="11"/>
  <c r="P876" i="11"/>
  <c r="P887" i="11"/>
  <c r="P896" i="11"/>
  <c r="P905" i="11"/>
  <c r="P916" i="11"/>
  <c r="P924" i="11"/>
  <c r="P933" i="11"/>
  <c r="P944" i="11"/>
  <c r="P953" i="11"/>
  <c r="P961" i="11"/>
  <c r="P972" i="11"/>
  <c r="P981" i="11"/>
  <c r="P991" i="11"/>
  <c r="P1001" i="11"/>
  <c r="P1009" i="11"/>
  <c r="P1019" i="11"/>
  <c r="P1029" i="11"/>
  <c r="P1039" i="11"/>
  <c r="P1047" i="11"/>
  <c r="P1057" i="11"/>
  <c r="P1067" i="11"/>
  <c r="P1076" i="11"/>
  <c r="P1087" i="11"/>
  <c r="P1095" i="11"/>
  <c r="P1104" i="11"/>
  <c r="P1115" i="11"/>
  <c r="P1124" i="11"/>
  <c r="P1132" i="11"/>
  <c r="P1143" i="11"/>
  <c r="P1152" i="11"/>
  <c r="P1161" i="11"/>
  <c r="P1172" i="11"/>
  <c r="P1180" i="11"/>
  <c r="P1189" i="11"/>
  <c r="P1200" i="11"/>
  <c r="P1209" i="11"/>
  <c r="P1217" i="11"/>
  <c r="P1228" i="11"/>
  <c r="P1237" i="11"/>
  <c r="P1247" i="11"/>
  <c r="P1257" i="11"/>
  <c r="P1265" i="11"/>
  <c r="P1275" i="11"/>
  <c r="P1285" i="11"/>
  <c r="P1295" i="11"/>
  <c r="P1303" i="11"/>
  <c r="P1313" i="11"/>
  <c r="P1323" i="11"/>
  <c r="P1332" i="11"/>
  <c r="P1343" i="11"/>
  <c r="P1351" i="11"/>
  <c r="P1360" i="11"/>
  <c r="P1371" i="11"/>
  <c r="P1380" i="11"/>
  <c r="P1388" i="11"/>
  <c r="P1399" i="11"/>
  <c r="P1408" i="11"/>
  <c r="P1417" i="11"/>
  <c r="P1428" i="11"/>
  <c r="P1436" i="11"/>
  <c r="P1445" i="11"/>
  <c r="P1456" i="11"/>
  <c r="P1465" i="11"/>
  <c r="P1473" i="11"/>
  <c r="P1484" i="11"/>
  <c r="P1493" i="11"/>
  <c r="P1503" i="11"/>
  <c r="P1513" i="11"/>
  <c r="P1521" i="11"/>
  <c r="P1531" i="11"/>
  <c r="P1541" i="11"/>
  <c r="P1551" i="11"/>
  <c r="P1559" i="11"/>
  <c r="P1569" i="11"/>
  <c r="P1579" i="11"/>
  <c r="P1588" i="11"/>
  <c r="P1599" i="11"/>
  <c r="P1607" i="11"/>
  <c r="P1616" i="11"/>
  <c r="P1625" i="11"/>
  <c r="P1632" i="11"/>
  <c r="P1638" i="11"/>
  <c r="P1646" i="11"/>
  <c r="P1653" i="11"/>
  <c r="P1660" i="11"/>
  <c r="P1668" i="11"/>
  <c r="P1674" i="11"/>
  <c r="P1681" i="11"/>
  <c r="P1689" i="11"/>
  <c r="P1696" i="11"/>
  <c r="P1702" i="11"/>
  <c r="P1710" i="11"/>
  <c r="P1717" i="11"/>
  <c r="P1724" i="11"/>
  <c r="P1732" i="11"/>
  <c r="P1738" i="11"/>
  <c r="P1745" i="11"/>
  <c r="P1753" i="11"/>
  <c r="P1760" i="11"/>
  <c r="P1766" i="11"/>
  <c r="P1774" i="11"/>
  <c r="P1781" i="11"/>
  <c r="P1788" i="11"/>
  <c r="P1796" i="11"/>
  <c r="P1802" i="11"/>
  <c r="P1809" i="11"/>
  <c r="P1817" i="11"/>
  <c r="P1824" i="11"/>
  <c r="P1830" i="11"/>
  <c r="P1838" i="11"/>
  <c r="P1845" i="11"/>
  <c r="P1852" i="11"/>
  <c r="P1860" i="11"/>
  <c r="P1866" i="11"/>
  <c r="P1873" i="11"/>
  <c r="P1881" i="11"/>
  <c r="P1888" i="11"/>
  <c r="P1894" i="11"/>
  <c r="P1902" i="11"/>
  <c r="P1909" i="11"/>
  <c r="P1916" i="11"/>
  <c r="P1924" i="11"/>
  <c r="P1930" i="11"/>
  <c r="P1937" i="11"/>
  <c r="P1945" i="11"/>
  <c r="P1952" i="11"/>
  <c r="P1958" i="11"/>
  <c r="P1966" i="11"/>
  <c r="P1973" i="11"/>
  <c r="P1980" i="11"/>
  <c r="P1988" i="11"/>
  <c r="P1994" i="11"/>
  <c r="P2001" i="11"/>
  <c r="P2009" i="11"/>
  <c r="P2016" i="11"/>
  <c r="P2022" i="11"/>
  <c r="P2030" i="11"/>
  <c r="P2037" i="11"/>
  <c r="P2044" i="11"/>
  <c r="P2052" i="11"/>
  <c r="P2058" i="11"/>
  <c r="P2065" i="11"/>
  <c r="P2073" i="11"/>
  <c r="P2080" i="11"/>
  <c r="P2086" i="11"/>
  <c r="P2094" i="11"/>
  <c r="P2101" i="11"/>
  <c r="P2108" i="11"/>
  <c r="P2116" i="11"/>
  <c r="P2122" i="11"/>
  <c r="P2129" i="11"/>
  <c r="P2137" i="11"/>
  <c r="P2144" i="11"/>
  <c r="P2150" i="11"/>
  <c r="P2158" i="11"/>
  <c r="P2165" i="11"/>
  <c r="P2172" i="11"/>
  <c r="P2180" i="11"/>
  <c r="P2186" i="11"/>
  <c r="P2193" i="11"/>
  <c r="P2201" i="11"/>
  <c r="P2208" i="11"/>
  <c r="P2214" i="11"/>
  <c r="P2222" i="11"/>
  <c r="P2229" i="11"/>
  <c r="P2236" i="11"/>
  <c r="P2244" i="11"/>
  <c r="P2250" i="11"/>
  <c r="P2257" i="11"/>
  <c r="P2265" i="11"/>
  <c r="P2272" i="11"/>
  <c r="P2278" i="11"/>
  <c r="P2286" i="11"/>
  <c r="P2293" i="11"/>
  <c r="P2300" i="11"/>
  <c r="P2308" i="11"/>
  <c r="P2314" i="11"/>
  <c r="P2321" i="11"/>
  <c r="P2329" i="11"/>
  <c r="P2336" i="11"/>
  <c r="P2342" i="11"/>
  <c r="P2350" i="11"/>
  <c r="P2357" i="11"/>
  <c r="P2364" i="11"/>
  <c r="P2372" i="11"/>
  <c r="P2378" i="11"/>
  <c r="P2385" i="11"/>
  <c r="P2393" i="11"/>
  <c r="P2400" i="11"/>
  <c r="P2406" i="11"/>
  <c r="P2414" i="11"/>
  <c r="P2421" i="11"/>
  <c r="P2428" i="11"/>
  <c r="P2436" i="11"/>
  <c r="P2442" i="11"/>
  <c r="P2449" i="11"/>
  <c r="P2457" i="11"/>
  <c r="P2464" i="11"/>
  <c r="P2470" i="11"/>
  <c r="P2478" i="11"/>
  <c r="P2485" i="11"/>
  <c r="P2492" i="11"/>
  <c r="P2500" i="11"/>
  <c r="P2506" i="11"/>
  <c r="P2513" i="11"/>
  <c r="P2521" i="11"/>
  <c r="P2528" i="11"/>
  <c r="P2534" i="11"/>
  <c r="P2542" i="11"/>
  <c r="P2549" i="11"/>
  <c r="P2556" i="11"/>
  <c r="P2564" i="11"/>
  <c r="P2570" i="11"/>
  <c r="P2577" i="11"/>
  <c r="P2585" i="11"/>
  <c r="P2592" i="11"/>
  <c r="P2598" i="11"/>
  <c r="P2606" i="11"/>
  <c r="P2613" i="11"/>
  <c r="P2620" i="11"/>
  <c r="P2628" i="11"/>
  <c r="P2634" i="11"/>
  <c r="P2641" i="11"/>
  <c r="P2649" i="11"/>
  <c r="P2656" i="11"/>
  <c r="P2662" i="11"/>
  <c r="P2670" i="11"/>
  <c r="P2677" i="11"/>
  <c r="P2684" i="11"/>
  <c r="P2692" i="11"/>
  <c r="P2698" i="11"/>
  <c r="P2705" i="11"/>
  <c r="P2713" i="11"/>
  <c r="P2720" i="11"/>
  <c r="P2726" i="11"/>
  <c r="P2734" i="11"/>
  <c r="P2741" i="11"/>
  <c r="P2748" i="11"/>
  <c r="P2756" i="11"/>
  <c r="P2762" i="11"/>
  <c r="P2769" i="11"/>
  <c r="P2777" i="11"/>
  <c r="P2784" i="11"/>
  <c r="P2790" i="11"/>
  <c r="P2798" i="11"/>
  <c r="P2805" i="11"/>
  <c r="P2812" i="11"/>
  <c r="P2820" i="11"/>
  <c r="P2826" i="11"/>
  <c r="P2833" i="11"/>
  <c r="P2841" i="11"/>
  <c r="P2848" i="11"/>
  <c r="P2854" i="11"/>
  <c r="P2862" i="11"/>
  <c r="P2869" i="11"/>
  <c r="P2876" i="11"/>
  <c r="P2884" i="11"/>
  <c r="P2890" i="11"/>
  <c r="P2897" i="11"/>
  <c r="P2905" i="11"/>
  <c r="P2912" i="11"/>
  <c r="P2918" i="11"/>
  <c r="P2926" i="11"/>
  <c r="P2933" i="11"/>
  <c r="P2940" i="11"/>
  <c r="P2948" i="11"/>
  <c r="P2954" i="11"/>
  <c r="P2961" i="11"/>
  <c r="P2969" i="11"/>
  <c r="P2976" i="11"/>
  <c r="P2982" i="11"/>
  <c r="P2990" i="11"/>
  <c r="P2997" i="11"/>
  <c r="P3004" i="11"/>
  <c r="P3012" i="11"/>
  <c r="P3018" i="11"/>
  <c r="P3025" i="11"/>
  <c r="P3033" i="11"/>
  <c r="P3040" i="11"/>
  <c r="P3046" i="11"/>
  <c r="P3054" i="11"/>
  <c r="P3061" i="11"/>
  <c r="P3068" i="11"/>
  <c r="P3076" i="11"/>
  <c r="P3082" i="11"/>
  <c r="P3089" i="11"/>
  <c r="P3097" i="11"/>
  <c r="P3104" i="11"/>
  <c r="P3110" i="11"/>
  <c r="P3118" i="11"/>
  <c r="P3125" i="11"/>
  <c r="P3132" i="11"/>
  <c r="P3140" i="11"/>
  <c r="P3146" i="11"/>
  <c r="P3153" i="11"/>
  <c r="P3161" i="11"/>
  <c r="P3168" i="11"/>
  <c r="P3174" i="11"/>
  <c r="P3182" i="11"/>
  <c r="P3189" i="11"/>
  <c r="P3196" i="11"/>
  <c r="P3204" i="11"/>
  <c r="P3210" i="11"/>
  <c r="P3217" i="11"/>
  <c r="P3225" i="11"/>
  <c r="P3232" i="11"/>
  <c r="P3238" i="11"/>
  <c r="P3246" i="11"/>
  <c r="P3253" i="11"/>
  <c r="P3260" i="11"/>
  <c r="P3268" i="11"/>
  <c r="P3274" i="11"/>
  <c r="P3281" i="11"/>
  <c r="P3289" i="11"/>
  <c r="P3296" i="11"/>
  <c r="P3302" i="11"/>
  <c r="P3310" i="11"/>
  <c r="P3317" i="11"/>
  <c r="P3324" i="11"/>
  <c r="P3330" i="11"/>
  <c r="P3335" i="11"/>
  <c r="P3340" i="11"/>
  <c r="P3346" i="11"/>
  <c r="P3351" i="11"/>
  <c r="P3356" i="11"/>
  <c r="P3362" i="11"/>
  <c r="P3367" i="11"/>
  <c r="P3372" i="11"/>
  <c r="P3378" i="11"/>
  <c r="P3383" i="11"/>
  <c r="P3388" i="11"/>
  <c r="P3394" i="11"/>
  <c r="P3399" i="11"/>
  <c r="P3404" i="11"/>
  <c r="P3410" i="11"/>
  <c r="P3415" i="11"/>
  <c r="P3420" i="11"/>
  <c r="P3426" i="11"/>
  <c r="P3431" i="11"/>
  <c r="P3436" i="11"/>
  <c r="P3442" i="11"/>
  <c r="P3447" i="11"/>
  <c r="P3452" i="11"/>
  <c r="P3458" i="11"/>
  <c r="P3463" i="11"/>
  <c r="P3468" i="11"/>
  <c r="P3474" i="11"/>
  <c r="P3479" i="11"/>
  <c r="P3484" i="11"/>
  <c r="P3490" i="11"/>
  <c r="P3495" i="11"/>
  <c r="P3500" i="11"/>
  <c r="P3506" i="11"/>
  <c r="P3511" i="11"/>
  <c r="P3516" i="11"/>
  <c r="P3522" i="11"/>
  <c r="P3527" i="11"/>
  <c r="P3532" i="11"/>
  <c r="P3538" i="11"/>
  <c r="P3543" i="11"/>
  <c r="P3548" i="11"/>
  <c r="P3554" i="11"/>
  <c r="P3559" i="11"/>
  <c r="P3564" i="11"/>
  <c r="P3570" i="11"/>
  <c r="P3575" i="11"/>
  <c r="P3580" i="11"/>
  <c r="P3586" i="11"/>
  <c r="P3591" i="11"/>
  <c r="P3596" i="11"/>
  <c r="P3602" i="11"/>
  <c r="P3607" i="11"/>
  <c r="P3612" i="11"/>
  <c r="P3618" i="11"/>
  <c r="P3623" i="11"/>
  <c r="P3628" i="11"/>
  <c r="P3634" i="11"/>
  <c r="P3639" i="11"/>
  <c r="P3644" i="11"/>
  <c r="P3650" i="11"/>
  <c r="P3655" i="11"/>
  <c r="P3660" i="11"/>
  <c r="P3666" i="11"/>
  <c r="P3671" i="11"/>
  <c r="P3676" i="11"/>
  <c r="P3682" i="11"/>
  <c r="P3687" i="11"/>
  <c r="P3692" i="11"/>
  <c r="P3698" i="11"/>
  <c r="P3703" i="11"/>
  <c r="P3708" i="11"/>
  <c r="P3714" i="11"/>
  <c r="P3719" i="11"/>
  <c r="P3724" i="11"/>
  <c r="P3730" i="11"/>
  <c r="P3735" i="11"/>
  <c r="P3740" i="11"/>
  <c r="P3746" i="11"/>
  <c r="P3751" i="11"/>
  <c r="P3756" i="11"/>
  <c r="P3762" i="11"/>
  <c r="P3767" i="11"/>
  <c r="P3772" i="11"/>
  <c r="P3778" i="11"/>
  <c r="P3783" i="11"/>
  <c r="P3788" i="11"/>
  <c r="P3794" i="11"/>
  <c r="P3799" i="11"/>
  <c r="P3804" i="11"/>
  <c r="P3810" i="11"/>
  <c r="P3815" i="11"/>
  <c r="P3820" i="11"/>
  <c r="P3826" i="11"/>
  <c r="P3831" i="11"/>
  <c r="P3836" i="11"/>
  <c r="P3842" i="11"/>
  <c r="P3847" i="11"/>
  <c r="P3852" i="11"/>
  <c r="P3858" i="11"/>
  <c r="P3863" i="11"/>
  <c r="P3868" i="11"/>
  <c r="P3874" i="11"/>
  <c r="P3879" i="11"/>
  <c r="P3884" i="11"/>
  <c r="P3890" i="11"/>
  <c r="P3895" i="11"/>
  <c r="P3900" i="11"/>
  <c r="P3906" i="11"/>
  <c r="P3911" i="11"/>
  <c r="P3916" i="11"/>
  <c r="P3922" i="11"/>
  <c r="P3927" i="11"/>
  <c r="P3932" i="11"/>
  <c r="P3938" i="11"/>
  <c r="P3943" i="11"/>
  <c r="P3948" i="11"/>
  <c r="P3954" i="11"/>
  <c r="P3959" i="11"/>
  <c r="P3964" i="11"/>
  <c r="P3970" i="11"/>
  <c r="P3975" i="11"/>
  <c r="P3980" i="11"/>
  <c r="P3986" i="11"/>
  <c r="P3991" i="11"/>
  <c r="P3996" i="11"/>
  <c r="P4002" i="11"/>
  <c r="P4007" i="11"/>
  <c r="P4012" i="11"/>
  <c r="P4018" i="11"/>
  <c r="P4023" i="11"/>
  <c r="P4028" i="11"/>
  <c r="P4034" i="11"/>
  <c r="P4039" i="11"/>
  <c r="P4044" i="11"/>
  <c r="P4050" i="11"/>
  <c r="P4055" i="11"/>
  <c r="P4060" i="11"/>
  <c r="P4066" i="11"/>
  <c r="P4071" i="11"/>
  <c r="P4076" i="11"/>
  <c r="P4082" i="11"/>
  <c r="P4087" i="11"/>
  <c r="P4092" i="11"/>
  <c r="P4098" i="11"/>
  <c r="P4103" i="11"/>
  <c r="P4108" i="11"/>
  <c r="P4114" i="11"/>
  <c r="P4119" i="11"/>
  <c r="P4124" i="11"/>
  <c r="P4130" i="11"/>
  <c r="P4135" i="11"/>
  <c r="P4140" i="11"/>
  <c r="P4146" i="11"/>
  <c r="P4151" i="11"/>
  <c r="P4156" i="11"/>
  <c r="P4162" i="11"/>
  <c r="P4167" i="11"/>
  <c r="P4172" i="11"/>
  <c r="P4178" i="11"/>
  <c r="P4183" i="11"/>
  <c r="P4188" i="11"/>
  <c r="P4194" i="11"/>
  <c r="P4199" i="11"/>
  <c r="P4204" i="11"/>
  <c r="P4210" i="11"/>
  <c r="P4215" i="11"/>
  <c r="P4220" i="11"/>
  <c r="P4226" i="11"/>
  <c r="P4231" i="11"/>
  <c r="P4236" i="11"/>
  <c r="P4242" i="11"/>
  <c r="P4247" i="11"/>
  <c r="P4252" i="11"/>
  <c r="P4258" i="11"/>
  <c r="P4263" i="11"/>
  <c r="P4268" i="11"/>
  <c r="P4274" i="11"/>
  <c r="P4279" i="11"/>
  <c r="P4284" i="11"/>
  <c r="P4290" i="11"/>
  <c r="P4295" i="11"/>
  <c r="P4300" i="11"/>
  <c r="P4306" i="11"/>
  <c r="P4311" i="11"/>
  <c r="P4316" i="11"/>
  <c r="P4322" i="11"/>
  <c r="P4327" i="11"/>
  <c r="P4332" i="11"/>
  <c r="P4338" i="11"/>
  <c r="P4343" i="11"/>
  <c r="P4348" i="11"/>
  <c r="P4354" i="11"/>
  <c r="P4359" i="11"/>
  <c r="P4364" i="11"/>
  <c r="P4370" i="11"/>
  <c r="P4375" i="11"/>
  <c r="P4380" i="11"/>
  <c r="P4386" i="11"/>
  <c r="P4391" i="11"/>
  <c r="P4396" i="11"/>
  <c r="P4402" i="11"/>
  <c r="P4407" i="11"/>
  <c r="P4412" i="11"/>
  <c r="P4418" i="11"/>
  <c r="P4423" i="11"/>
  <c r="P4428" i="11"/>
  <c r="P4434" i="11"/>
  <c r="P4439" i="11"/>
  <c r="P4444" i="11"/>
  <c r="P4450" i="11"/>
  <c r="P4455" i="11"/>
  <c r="P4460" i="11"/>
  <c r="P4466" i="11"/>
  <c r="P4471" i="11"/>
  <c r="P4476" i="11"/>
  <c r="P4482" i="11"/>
  <c r="P4487" i="11"/>
  <c r="P4492" i="11"/>
  <c r="P4498" i="11"/>
  <c r="P4503" i="11"/>
  <c r="P4508" i="11"/>
  <c r="P4514" i="11"/>
  <c r="P4519" i="11"/>
  <c r="P4524" i="11"/>
  <c r="P4530" i="11"/>
  <c r="P4535" i="11"/>
  <c r="P4540" i="11"/>
  <c r="P4546" i="11"/>
  <c r="P4551" i="11"/>
  <c r="P4556" i="11"/>
  <c r="P4562" i="11"/>
  <c r="P4567" i="11"/>
  <c r="P4572" i="11"/>
  <c r="P4578" i="11"/>
  <c r="P4583" i="11"/>
  <c r="P4588" i="11"/>
  <c r="P4594" i="11"/>
  <c r="P4599" i="11"/>
  <c r="P4604" i="11"/>
  <c r="P4610" i="11"/>
  <c r="P4615" i="11"/>
  <c r="P4620" i="11"/>
  <c r="P4626" i="11"/>
  <c r="P4631" i="11"/>
  <c r="P4636" i="11"/>
  <c r="P4642" i="11"/>
  <c r="P4647" i="11"/>
  <c r="P4652" i="11"/>
  <c r="P4658" i="11"/>
  <c r="P4663" i="11"/>
  <c r="P4668" i="11"/>
  <c r="P4674" i="11"/>
  <c r="P4679" i="11"/>
  <c r="P4684" i="11"/>
  <c r="P4690" i="11"/>
  <c r="P4695" i="11"/>
  <c r="P4700" i="11"/>
  <c r="P4706" i="11"/>
  <c r="P4711" i="11"/>
  <c r="P4716" i="11"/>
  <c r="P4722" i="11"/>
  <c r="P4727" i="11"/>
  <c r="P4732" i="11"/>
  <c r="P4738" i="11"/>
  <c r="P4743" i="11"/>
  <c r="P4748" i="11"/>
  <c r="P4754" i="11"/>
  <c r="P4759" i="11"/>
  <c r="P4764" i="11"/>
  <c r="P4770" i="11"/>
  <c r="P4775" i="11"/>
  <c r="P4780" i="11"/>
  <c r="P4786" i="11"/>
  <c r="P4791" i="11"/>
  <c r="P4796" i="11"/>
  <c r="P4802" i="11"/>
  <c r="P4807" i="11"/>
  <c r="P4812" i="11"/>
  <c r="P4818" i="11"/>
  <c r="P4823" i="11"/>
  <c r="P4828" i="11"/>
  <c r="P4834" i="11"/>
  <c r="P4839" i="11"/>
  <c r="P4844" i="11"/>
  <c r="P4850" i="11"/>
  <c r="P4855" i="11"/>
  <c r="P4860" i="11"/>
  <c r="P4866" i="11"/>
  <c r="P4871" i="11"/>
  <c r="P4876" i="11"/>
  <c r="P4882" i="11"/>
  <c r="P4887" i="11"/>
  <c r="P4892" i="11"/>
  <c r="P4898" i="11"/>
  <c r="P4903" i="11"/>
  <c r="P4908" i="11"/>
  <c r="P4914" i="11"/>
  <c r="P4919" i="11"/>
  <c r="P4924" i="11"/>
  <c r="P4930" i="11"/>
  <c r="P4935" i="11"/>
  <c r="P4940" i="11"/>
  <c r="P4946" i="11"/>
  <c r="P4951" i="11"/>
  <c r="P4956" i="11"/>
  <c r="P4962" i="11"/>
  <c r="P4967" i="11"/>
  <c r="P4972" i="11"/>
  <c r="P4978" i="11"/>
  <c r="P4983" i="11"/>
  <c r="P4988" i="11"/>
  <c r="P4994" i="11"/>
  <c r="P4999" i="11"/>
  <c r="P5004" i="11"/>
  <c r="P5010" i="11"/>
  <c r="P5015" i="11"/>
  <c r="P5020" i="11"/>
  <c r="P5026" i="11"/>
  <c r="P5031" i="11"/>
  <c r="P5036" i="11"/>
  <c r="P5042" i="11"/>
  <c r="P5047" i="11"/>
  <c r="P5052" i="11"/>
  <c r="P5058" i="11"/>
  <c r="P5063" i="11"/>
  <c r="P5068" i="11"/>
  <c r="P5074" i="11"/>
  <c r="P5079" i="11"/>
  <c r="P5084" i="11"/>
  <c r="P5090" i="11"/>
  <c r="P5095" i="11"/>
  <c r="P5100" i="11"/>
  <c r="P5106" i="11"/>
  <c r="P5111" i="11"/>
  <c r="P5116" i="11"/>
  <c r="P5122" i="11"/>
  <c r="P5127" i="11"/>
  <c r="P5132" i="11"/>
  <c r="P5138" i="11"/>
  <c r="P5143" i="11"/>
  <c r="P5148" i="11"/>
  <c r="P5154" i="11"/>
  <c r="P5159" i="11"/>
  <c r="P5164" i="11"/>
  <c r="P5170" i="11"/>
  <c r="P5175" i="11"/>
  <c r="P5180" i="11"/>
  <c r="P5186" i="11"/>
  <c r="P5191" i="11"/>
  <c r="P5196" i="11"/>
  <c r="P5202" i="11"/>
  <c r="P5207" i="11"/>
  <c r="P5212" i="11"/>
  <c r="P5218" i="11"/>
  <c r="P5223" i="11"/>
  <c r="P5228" i="11"/>
  <c r="P5234" i="11"/>
  <c r="P5239" i="11"/>
  <c r="P5244" i="11"/>
  <c r="P5250" i="11"/>
  <c r="P5255" i="11"/>
  <c r="P5260" i="11"/>
  <c r="P5266" i="11"/>
  <c r="P5271" i="11"/>
  <c r="P5276" i="11"/>
  <c r="P5282" i="11"/>
  <c r="P5287" i="11"/>
  <c r="P5292" i="11"/>
  <c r="P5298" i="11"/>
  <c r="P5303" i="11"/>
  <c r="P5308" i="11"/>
  <c r="P5314" i="11"/>
  <c r="P5319" i="11"/>
  <c r="P5324" i="11"/>
  <c r="P5330" i="11"/>
  <c r="P5335" i="11"/>
  <c r="P5340" i="11"/>
  <c r="P5346" i="11"/>
  <c r="P5351" i="11"/>
  <c r="P5356" i="11"/>
  <c r="P5362" i="11"/>
  <c r="P5367" i="11"/>
  <c r="P5372" i="11"/>
  <c r="P5378" i="11"/>
  <c r="P5383" i="11"/>
  <c r="P5388" i="11"/>
  <c r="P5394" i="11"/>
  <c r="P5399" i="11"/>
  <c r="P5404" i="11"/>
  <c r="P5410" i="11"/>
  <c r="P5415" i="11"/>
  <c r="P5420" i="11"/>
  <c r="P5426" i="11"/>
  <c r="P5431" i="11"/>
  <c r="P5436" i="11"/>
  <c r="P5442" i="11"/>
  <c r="P5447" i="11"/>
  <c r="P5452" i="11"/>
  <c r="P5458" i="11"/>
  <c r="P5463" i="11"/>
  <c r="P5468" i="11"/>
  <c r="P5474" i="11"/>
  <c r="P5479" i="11"/>
  <c r="P5484" i="11"/>
  <c r="P5490" i="11"/>
  <c r="P5495" i="11"/>
  <c r="P5500" i="11"/>
  <c r="P5506" i="11"/>
  <c r="P5511" i="11"/>
  <c r="P5516" i="11"/>
  <c r="P5522" i="11"/>
  <c r="P5527" i="11"/>
  <c r="P5532" i="11"/>
  <c r="P5538" i="11"/>
  <c r="P5543" i="11"/>
  <c r="P5548" i="11"/>
  <c r="P5554" i="11"/>
  <c r="P5559" i="11"/>
  <c r="P5564" i="11"/>
  <c r="P5570" i="11"/>
  <c r="P5575" i="11"/>
  <c r="P5580" i="11"/>
  <c r="P5586" i="11"/>
  <c r="P5591" i="11"/>
  <c r="P5596" i="11"/>
  <c r="P5602" i="11"/>
  <c r="P5607" i="11"/>
  <c r="P5612" i="11"/>
  <c r="P5618" i="11"/>
  <c r="P5623" i="11"/>
  <c r="P5628" i="11"/>
  <c r="P5634" i="11"/>
  <c r="P5639" i="11"/>
  <c r="P5644" i="11"/>
  <c r="P5650" i="11"/>
  <c r="P5655" i="11"/>
  <c r="P5660" i="11"/>
  <c r="P5666" i="11"/>
  <c r="P5671" i="11"/>
  <c r="P5676" i="11"/>
  <c r="P5682" i="11"/>
  <c r="P5687" i="11"/>
  <c r="P5692" i="11"/>
  <c r="P5698" i="11"/>
  <c r="P5703" i="11"/>
  <c r="P5708" i="11"/>
  <c r="P5714" i="11"/>
  <c r="P5719" i="11"/>
  <c r="P5724" i="11"/>
  <c r="P5730" i="11"/>
  <c r="P5735" i="11"/>
  <c r="P5740" i="11"/>
  <c r="P5746" i="11"/>
  <c r="P5751" i="11"/>
  <c r="P5756" i="11"/>
  <c r="P5762" i="11"/>
  <c r="P5767" i="11"/>
  <c r="P5772" i="11"/>
  <c r="P5778" i="11"/>
  <c r="P5783" i="11"/>
  <c r="P5788" i="11"/>
  <c r="P5794" i="11"/>
  <c r="P5799" i="11"/>
  <c r="P5804" i="11"/>
  <c r="P5810" i="11"/>
  <c r="P5815" i="11"/>
  <c r="P5820" i="11"/>
  <c r="P5826" i="11"/>
  <c r="P5831" i="11"/>
  <c r="P5836" i="11"/>
  <c r="P5842" i="11"/>
  <c r="P5847" i="11"/>
  <c r="P5852" i="11"/>
  <c r="P5858" i="11"/>
  <c r="P5863" i="11"/>
  <c r="P5868" i="11"/>
  <c r="P5874" i="11"/>
  <c r="P5879" i="11"/>
  <c r="P5884" i="11"/>
  <c r="P5890" i="11"/>
  <c r="P5895" i="11"/>
  <c r="P5900" i="11"/>
  <c r="P5906" i="11"/>
  <c r="P5911" i="11"/>
  <c r="P5916" i="11"/>
  <c r="P5922" i="11"/>
  <c r="P5927" i="11"/>
  <c r="P5932" i="11"/>
  <c r="P5938" i="11"/>
  <c r="P5943" i="11"/>
  <c r="P5948" i="11"/>
  <c r="P5954" i="11"/>
  <c r="P5959" i="11"/>
  <c r="P5964" i="11"/>
  <c r="P5970" i="11"/>
  <c r="P5975" i="11"/>
  <c r="P5980" i="11"/>
  <c r="P5986" i="11"/>
  <c r="P5991" i="11"/>
  <c r="P5996" i="11"/>
  <c r="P6002" i="11"/>
  <c r="P6007" i="11"/>
  <c r="P6012" i="11"/>
  <c r="P6018" i="11"/>
  <c r="P6023" i="11"/>
  <c r="P6028" i="11"/>
  <c r="P6034" i="11"/>
  <c r="P6039" i="11"/>
  <c r="P6044" i="11"/>
  <c r="P6050" i="11"/>
  <c r="P6055" i="11"/>
  <c r="P6060" i="11"/>
  <c r="P6066" i="11"/>
  <c r="P6071" i="11"/>
  <c r="P6076" i="11"/>
  <c r="P6082" i="11"/>
  <c r="P6087" i="11"/>
  <c r="P6092" i="11"/>
  <c r="P6098" i="11"/>
  <c r="P6103" i="11"/>
  <c r="P6108" i="11"/>
  <c r="P6114" i="11"/>
  <c r="P6119" i="11"/>
  <c r="P6124" i="11"/>
  <c r="P6130" i="11"/>
  <c r="P6135" i="11"/>
  <c r="P6140" i="11"/>
  <c r="P6146" i="11"/>
  <c r="P6151" i="11"/>
  <c r="P6156" i="11"/>
  <c r="P6162" i="11"/>
  <c r="P6167" i="11"/>
  <c r="P6172" i="11"/>
  <c r="P6178" i="11"/>
  <c r="P6183" i="11"/>
  <c r="P6188" i="11"/>
  <c r="P6194" i="11"/>
  <c r="P6199" i="11"/>
  <c r="P6204" i="11"/>
  <c r="P6210" i="11"/>
  <c r="P6215" i="11"/>
  <c r="P6220" i="11"/>
  <c r="P6226" i="11"/>
  <c r="P6231" i="11"/>
  <c r="P6236" i="11"/>
  <c r="P6242" i="11"/>
  <c r="P6247" i="11"/>
  <c r="P6252" i="11"/>
  <c r="P6258" i="11"/>
  <c r="P6263" i="11"/>
  <c r="P6268" i="11"/>
  <c r="P6274" i="11"/>
  <c r="P6279" i="11"/>
  <c r="P6284" i="11"/>
  <c r="P6290" i="11"/>
  <c r="P6295" i="11"/>
  <c r="P6300" i="11"/>
  <c r="P6306" i="11"/>
  <c r="P6311" i="11"/>
  <c r="P6316" i="11"/>
  <c r="P6322" i="11"/>
  <c r="P6327" i="11"/>
  <c r="P6332" i="11"/>
  <c r="P6338" i="11"/>
  <c r="P6343" i="11"/>
  <c r="P6348" i="11"/>
  <c r="P6354" i="11"/>
  <c r="P6359" i="11"/>
  <c r="P6364" i="11"/>
  <c r="P6370" i="11"/>
  <c r="P6375" i="11"/>
  <c r="P6380" i="11"/>
  <c r="P6386" i="11"/>
  <c r="P6391" i="11"/>
  <c r="P6396" i="11"/>
  <c r="P6402" i="11"/>
  <c r="P6407" i="11"/>
  <c r="P6412" i="11"/>
  <c r="P6418" i="11"/>
  <c r="P6423" i="11"/>
  <c r="P6428" i="11"/>
  <c r="P6434" i="11"/>
  <c r="P6439" i="11"/>
  <c r="P6444" i="11"/>
  <c r="P6450" i="11"/>
  <c r="P6455" i="11"/>
  <c r="P6460" i="11"/>
  <c r="P6466" i="11"/>
  <c r="P6471" i="11"/>
  <c r="P6476" i="11"/>
  <c r="P6482" i="11"/>
  <c r="P6487" i="11"/>
  <c r="P6492" i="11"/>
  <c r="P6498" i="11"/>
  <c r="P6503" i="11"/>
  <c r="P6508" i="11"/>
  <c r="P6514" i="11"/>
  <c r="P6519" i="11"/>
  <c r="P6524" i="11"/>
  <c r="P6530" i="11"/>
  <c r="P6535" i="11"/>
  <c r="P6540" i="11"/>
  <c r="P6546" i="11"/>
  <c r="P6551" i="11"/>
  <c r="P6556" i="11"/>
  <c r="P6562" i="11"/>
  <c r="P6567" i="11"/>
  <c r="P6572" i="11"/>
  <c r="P6578" i="11"/>
  <c r="P6583" i="11"/>
  <c r="P6588" i="11"/>
  <c r="P6594" i="11"/>
  <c r="P6599" i="11"/>
  <c r="P6604" i="11"/>
  <c r="P6610" i="11"/>
  <c r="P6615" i="11"/>
  <c r="P6620" i="11"/>
  <c r="P6626" i="11"/>
  <c r="P6631" i="11"/>
  <c r="P6636" i="11"/>
  <c r="P6642" i="11"/>
  <c r="P6647" i="11"/>
  <c r="P6652" i="11"/>
  <c r="P6658" i="11"/>
  <c r="P6663" i="11"/>
  <c r="P6668" i="11"/>
  <c r="P6674" i="11"/>
  <c r="P6679" i="11"/>
  <c r="P6684" i="11"/>
  <c r="P6690" i="11"/>
  <c r="P6695" i="11"/>
  <c r="P6700" i="11"/>
  <c r="P6706" i="11"/>
  <c r="P6711" i="11"/>
  <c r="P6716" i="11"/>
  <c r="P6722" i="11"/>
  <c r="P6727" i="11"/>
  <c r="P6732" i="11"/>
  <c r="P6738" i="11"/>
  <c r="P6742" i="11"/>
  <c r="P6746" i="11"/>
  <c r="P6750" i="11"/>
  <c r="P6754" i="11"/>
  <c r="P6758" i="11"/>
  <c r="P6762" i="11"/>
  <c r="P6766" i="11"/>
  <c r="P6770" i="11"/>
  <c r="P6774" i="11"/>
  <c r="P6778" i="11"/>
  <c r="P6782" i="11"/>
  <c r="P6786" i="11"/>
  <c r="P6790" i="11"/>
  <c r="P6794" i="11"/>
  <c r="P6798" i="11"/>
  <c r="P6802" i="11"/>
  <c r="P6806" i="11"/>
  <c r="P6810" i="11"/>
  <c r="P6814" i="11"/>
  <c r="P6818" i="11"/>
  <c r="P6822" i="11"/>
  <c r="P6826" i="11"/>
  <c r="P6830" i="11"/>
  <c r="P6834" i="11"/>
  <c r="P6838" i="11"/>
  <c r="P6842" i="11"/>
  <c r="P6846" i="11"/>
  <c r="P6850" i="11"/>
  <c r="P6854" i="11"/>
  <c r="P6858" i="11"/>
  <c r="P6862" i="11"/>
  <c r="P6866" i="11"/>
  <c r="P6870" i="11"/>
  <c r="P6874" i="11"/>
  <c r="P6878" i="11"/>
  <c r="P6882" i="11"/>
  <c r="P6886" i="11"/>
  <c r="P6890" i="11"/>
  <c r="P6894" i="11"/>
  <c r="P6898" i="11"/>
  <c r="P6902" i="11"/>
  <c r="P6906" i="11"/>
  <c r="P6910" i="11"/>
  <c r="P6914" i="11"/>
  <c r="P6918" i="11"/>
  <c r="P6922" i="11"/>
  <c r="P6926" i="11"/>
  <c r="P6930" i="11"/>
  <c r="P6934" i="11"/>
  <c r="P6938" i="11"/>
  <c r="P6942" i="11"/>
  <c r="P6946" i="11"/>
  <c r="P6950" i="11"/>
  <c r="P6954" i="11"/>
  <c r="P6958" i="11"/>
  <c r="P6962" i="11"/>
  <c r="P6966" i="11"/>
  <c r="P6970" i="11"/>
  <c r="P6974" i="11"/>
  <c r="P6978" i="11"/>
  <c r="P6982" i="11"/>
  <c r="P6986" i="11"/>
  <c r="P6990" i="11"/>
  <c r="P6994" i="11"/>
  <c r="P6998" i="11"/>
  <c r="P7002" i="11"/>
  <c r="P7006" i="11"/>
  <c r="P7010" i="11"/>
  <c r="P7014" i="11"/>
  <c r="P7018" i="11"/>
  <c r="P7022" i="11"/>
  <c r="P7026" i="11"/>
  <c r="P7030" i="11"/>
  <c r="P7034" i="11"/>
  <c r="P7038" i="11"/>
  <c r="P7042" i="11"/>
  <c r="P7046" i="11"/>
  <c r="P7050" i="11"/>
  <c r="P7054" i="11"/>
  <c r="P7058" i="11"/>
  <c r="P7062" i="11"/>
  <c r="P7066" i="11"/>
  <c r="P7070" i="11"/>
  <c r="P7074" i="11"/>
  <c r="P7078" i="11"/>
  <c r="P7082" i="11"/>
  <c r="P7086" i="11"/>
  <c r="P7090" i="11"/>
  <c r="P7094" i="11"/>
  <c r="P7098" i="11"/>
  <c r="P7102" i="11"/>
  <c r="P7106" i="11"/>
  <c r="P7110" i="11"/>
  <c r="P7114" i="11"/>
  <c r="P7118" i="11"/>
  <c r="P7122" i="11"/>
  <c r="P7126" i="11"/>
  <c r="P7130" i="11"/>
  <c r="P7134" i="11"/>
  <c r="P7138" i="11"/>
  <c r="P7142" i="11"/>
  <c r="P7146" i="11"/>
  <c r="P7150" i="11"/>
  <c r="P7154" i="11"/>
  <c r="P7158" i="11"/>
  <c r="P7162" i="11"/>
  <c r="P7166" i="11"/>
  <c r="P7170" i="11"/>
  <c r="P7174" i="11"/>
  <c r="P7178" i="11"/>
  <c r="P7182" i="11"/>
  <c r="P7186" i="11"/>
  <c r="P7190" i="11"/>
  <c r="P7194" i="11"/>
  <c r="P7198" i="11"/>
  <c r="P7202" i="11"/>
  <c r="P7206" i="11"/>
  <c r="P7210" i="11"/>
  <c r="P7214" i="11"/>
  <c r="P7218" i="11"/>
  <c r="P7222" i="11"/>
  <c r="P7226" i="11"/>
  <c r="P7230" i="11"/>
  <c r="P7234" i="11"/>
  <c r="P7238" i="11"/>
  <c r="P7242" i="11"/>
  <c r="P7246" i="11"/>
  <c r="P7250" i="11"/>
  <c r="P7254" i="11"/>
  <c r="P7258" i="11"/>
  <c r="P7262" i="11"/>
  <c r="P7266" i="11"/>
  <c r="P7270" i="11"/>
  <c r="P7274" i="11"/>
  <c r="P7278" i="11"/>
  <c r="P7282" i="11"/>
  <c r="P7286" i="11"/>
  <c r="P7290" i="11"/>
  <c r="P7294" i="11"/>
  <c r="P7298" i="11"/>
  <c r="P7302" i="11"/>
  <c r="P7306" i="11"/>
  <c r="P7310" i="11"/>
  <c r="P7314" i="11"/>
  <c r="P7318" i="11"/>
  <c r="P7322" i="11"/>
  <c r="P7326" i="11"/>
  <c r="P7330" i="11"/>
  <c r="P7334" i="11"/>
  <c r="P7338" i="11"/>
  <c r="P7342" i="11"/>
  <c r="P7346" i="11"/>
  <c r="P7350" i="11"/>
  <c r="P7354" i="11"/>
  <c r="P7358" i="11"/>
  <c r="P7362" i="11"/>
  <c r="P7366" i="11"/>
  <c r="P7370" i="11"/>
  <c r="P7374" i="11"/>
  <c r="P7378" i="11"/>
  <c r="P7382" i="11"/>
  <c r="P7386" i="11"/>
  <c r="P7390" i="11"/>
  <c r="P7394" i="11"/>
  <c r="P7398" i="11"/>
  <c r="P7402" i="11"/>
  <c r="P7406" i="11"/>
  <c r="P7410" i="11"/>
  <c r="P7414" i="11"/>
  <c r="P7418" i="11"/>
  <c r="P7422" i="11"/>
  <c r="P7426" i="11"/>
  <c r="P7430" i="11"/>
  <c r="P7434" i="11"/>
  <c r="P7438" i="11"/>
  <c r="P7442" i="11"/>
  <c r="P7446" i="11"/>
  <c r="P7450" i="11"/>
  <c r="P7454" i="11"/>
  <c r="P7458" i="11"/>
  <c r="P7462" i="11"/>
  <c r="P7466" i="11"/>
  <c r="P7470" i="11"/>
  <c r="P7474" i="11"/>
  <c r="P7478" i="11"/>
  <c r="P7482" i="11"/>
  <c r="P7486" i="11"/>
  <c r="P7490" i="11"/>
  <c r="P7494" i="11"/>
  <c r="P7498" i="11"/>
  <c r="P7502" i="11"/>
  <c r="P7506" i="11"/>
  <c r="P7510" i="11"/>
  <c r="P7514" i="11"/>
  <c r="P7518" i="11"/>
  <c r="P7522" i="11"/>
  <c r="P7526" i="11"/>
  <c r="P7530" i="11"/>
  <c r="P7534" i="11"/>
  <c r="P7538" i="11"/>
  <c r="P7542" i="11"/>
  <c r="P7546" i="11"/>
  <c r="P7550" i="11"/>
  <c r="P7554" i="11"/>
  <c r="P7558" i="11"/>
  <c r="P7562" i="11"/>
  <c r="P7566" i="11"/>
  <c r="P7570" i="11"/>
  <c r="P7574" i="11"/>
  <c r="P7578" i="11"/>
  <c r="P7582" i="11"/>
  <c r="P7586" i="11"/>
  <c r="P7590" i="11"/>
  <c r="P7594" i="11"/>
  <c r="P7598" i="11"/>
  <c r="P7602" i="11"/>
  <c r="P7606" i="11"/>
  <c r="P7610" i="11"/>
  <c r="P7614" i="11"/>
  <c r="P7618" i="11"/>
  <c r="P7622" i="11"/>
  <c r="P7626" i="11"/>
  <c r="P7630" i="11"/>
  <c r="P7634" i="11"/>
  <c r="P7638" i="11"/>
  <c r="P7642" i="11"/>
  <c r="P7646" i="11"/>
  <c r="P7650" i="11"/>
  <c r="P7654" i="11"/>
  <c r="P7658" i="11"/>
  <c r="P7662" i="11"/>
  <c r="P7666" i="11"/>
  <c r="P7670" i="11"/>
  <c r="P7674" i="11"/>
  <c r="P7678" i="11"/>
  <c r="P7682" i="11"/>
  <c r="P7686" i="11"/>
  <c r="P7690" i="11"/>
  <c r="P7694" i="11"/>
  <c r="P7698" i="11"/>
  <c r="P7702" i="11"/>
  <c r="P7706" i="11"/>
  <c r="P7710" i="11"/>
  <c r="P7714" i="11"/>
  <c r="P7718" i="11"/>
  <c r="P7722" i="11"/>
  <c r="P7726" i="11"/>
  <c r="P7730" i="11"/>
  <c r="P7734" i="11"/>
  <c r="P7738" i="11"/>
  <c r="P7742" i="11"/>
  <c r="P7746" i="11"/>
  <c r="P7750" i="11"/>
  <c r="P7754" i="11"/>
  <c r="P7758" i="11"/>
  <c r="P7762" i="11"/>
  <c r="P7766" i="11"/>
  <c r="P7770" i="11"/>
  <c r="P7774" i="11"/>
  <c r="P7778" i="11"/>
  <c r="P7782" i="11"/>
  <c r="P7786" i="11"/>
  <c r="P7790" i="11"/>
  <c r="P7794" i="11"/>
  <c r="P7798" i="11"/>
  <c r="P7802" i="11"/>
  <c r="P7806" i="11"/>
  <c r="P7810" i="11"/>
  <c r="P7814" i="11"/>
  <c r="P7818" i="11"/>
  <c r="P7822" i="11"/>
  <c r="P7826" i="11"/>
  <c r="P7830" i="11"/>
  <c r="P7834" i="11"/>
  <c r="P7838" i="11"/>
  <c r="P7842" i="11"/>
  <c r="P7846" i="11"/>
  <c r="P7850" i="11"/>
  <c r="P7854" i="11"/>
  <c r="P7858" i="11"/>
  <c r="P7862" i="11"/>
  <c r="P7866" i="11"/>
  <c r="P7870" i="11"/>
  <c r="P7874" i="11"/>
  <c r="P7878" i="11"/>
  <c r="P7882" i="11"/>
  <c r="P7886" i="11"/>
  <c r="P7890" i="11"/>
  <c r="P7894" i="11"/>
  <c r="P7898" i="11"/>
  <c r="P7902" i="11"/>
  <c r="P7906" i="11"/>
  <c r="P7910" i="11"/>
  <c r="P7914" i="11"/>
  <c r="P7918" i="11"/>
  <c r="P7922" i="11"/>
  <c r="P7926" i="11"/>
  <c r="P7930" i="11"/>
  <c r="P7934" i="11"/>
  <c r="P7938" i="11"/>
  <c r="P7942" i="11"/>
  <c r="P7946" i="11"/>
  <c r="P7950" i="11"/>
  <c r="P7954" i="11"/>
  <c r="P7958" i="11"/>
  <c r="P7962" i="11"/>
  <c r="P7966" i="11"/>
  <c r="P7970" i="11"/>
  <c r="P7974" i="11"/>
  <c r="P7978" i="11"/>
  <c r="P7982" i="11"/>
  <c r="P7986" i="11"/>
  <c r="P7990" i="11"/>
  <c r="P7994" i="11"/>
  <c r="P7998" i="11"/>
  <c r="P8002" i="11"/>
  <c r="P8006" i="11"/>
  <c r="P8010" i="11"/>
  <c r="P8014" i="11"/>
  <c r="P8018" i="11"/>
  <c r="P8022" i="11"/>
  <c r="P8026" i="11"/>
  <c r="P8030" i="11"/>
  <c r="P8034" i="11"/>
  <c r="P8038" i="11"/>
  <c r="P8042" i="11"/>
  <c r="P8046" i="11"/>
  <c r="P8050" i="11"/>
  <c r="P8054" i="11"/>
  <c r="P8058" i="11"/>
  <c r="P8062" i="11"/>
  <c r="P8066" i="11"/>
  <c r="P8070" i="11"/>
  <c r="P8074" i="11"/>
  <c r="P8078" i="11"/>
  <c r="P8082" i="11"/>
  <c r="P8086" i="11"/>
  <c r="P8090" i="11"/>
  <c r="P8094" i="11"/>
  <c r="P8098" i="11"/>
  <c r="P8102" i="11"/>
  <c r="P8106" i="11"/>
  <c r="P8110" i="11"/>
  <c r="P8114" i="11"/>
  <c r="P8118" i="11"/>
  <c r="P8122" i="11"/>
  <c r="P8126" i="11"/>
  <c r="P8130" i="11"/>
  <c r="P8134" i="11"/>
  <c r="P8138" i="11"/>
  <c r="P8142" i="11"/>
  <c r="P8146" i="11"/>
  <c r="P8150" i="11"/>
  <c r="P8154" i="11"/>
  <c r="P8158" i="11"/>
  <c r="P8162" i="11"/>
  <c r="P8166" i="11"/>
  <c r="P8170" i="11"/>
  <c r="P8174" i="11"/>
  <c r="P8178" i="11"/>
  <c r="P8182" i="11"/>
  <c r="P8186" i="11"/>
  <c r="P8190" i="11"/>
  <c r="P8194" i="11"/>
  <c r="P8198" i="11"/>
  <c r="P8202" i="11"/>
  <c r="P8206" i="11"/>
  <c r="P8210" i="11"/>
  <c r="P8214" i="11"/>
  <c r="P8218" i="11"/>
  <c r="P8222" i="11"/>
  <c r="P8226" i="11"/>
  <c r="P8230" i="11"/>
  <c r="P8234" i="11"/>
  <c r="P8238" i="11"/>
  <c r="P8242" i="11"/>
  <c r="P8246" i="11"/>
  <c r="P8250" i="11"/>
  <c r="P8254" i="11"/>
  <c r="P8258" i="11"/>
  <c r="P8262" i="11"/>
  <c r="P8266" i="11"/>
  <c r="P8270" i="11"/>
  <c r="P8274" i="11"/>
  <c r="P8278" i="11"/>
  <c r="P8282" i="11"/>
  <c r="P8286" i="11"/>
  <c r="P8290" i="11"/>
  <c r="P8294" i="11"/>
  <c r="P8298" i="11"/>
  <c r="P8302" i="11"/>
  <c r="P8306" i="11"/>
  <c r="P8310" i="11"/>
  <c r="P8314" i="11"/>
  <c r="P8318" i="11"/>
  <c r="P8322" i="11"/>
  <c r="P8326" i="11"/>
  <c r="P8330" i="11"/>
  <c r="P8334" i="11"/>
  <c r="P8338" i="11"/>
  <c r="P8342" i="11"/>
  <c r="P8346" i="11"/>
  <c r="P8350" i="11"/>
  <c r="P8354" i="11"/>
  <c r="P8358" i="11"/>
  <c r="P8362" i="11"/>
  <c r="P8366" i="11"/>
  <c r="P8370" i="11"/>
  <c r="P8374" i="11"/>
  <c r="P8378" i="11"/>
  <c r="P8382" i="11"/>
  <c r="P8386" i="11"/>
  <c r="P8390" i="11"/>
  <c r="P8394" i="11"/>
  <c r="P8398" i="11"/>
  <c r="P8402" i="11"/>
  <c r="P8406" i="11"/>
  <c r="P8410" i="11"/>
  <c r="P13" i="11"/>
  <c r="P37" i="11"/>
  <c r="P56" i="11"/>
  <c r="P80" i="11"/>
  <c r="P102" i="11"/>
  <c r="P124" i="11"/>
  <c r="P150" i="11"/>
  <c r="P170" i="11"/>
  <c r="P192" i="11"/>
  <c r="P216" i="11"/>
  <c r="P237" i="11"/>
  <c r="P257" i="11"/>
  <c r="P284" i="11"/>
  <c r="P305" i="11"/>
  <c r="P326" i="11"/>
  <c r="P349" i="11"/>
  <c r="P363" i="11"/>
  <c r="P379" i="11"/>
  <c r="P399" i="11"/>
  <c r="P415" i="11"/>
  <c r="P429" i="11"/>
  <c r="P449" i="11"/>
  <c r="P465" i="11"/>
  <c r="P482" i="11"/>
  <c r="P501" i="11"/>
  <c r="P514" i="11"/>
  <c r="P533" i="11"/>
  <c r="P550" i="11"/>
  <c r="P567" i="11"/>
  <c r="P582" i="11"/>
  <c r="P599" i="11"/>
  <c r="P618" i="11"/>
  <c r="P634" i="11"/>
  <c r="P653" i="11"/>
  <c r="P667" i="11"/>
  <c r="P683" i="11"/>
  <c r="P703" i="11"/>
  <c r="P719" i="11"/>
  <c r="P733" i="11"/>
  <c r="P753" i="11"/>
  <c r="P768" i="11"/>
  <c r="P780" i="11"/>
  <c r="P795" i="11"/>
  <c r="P805" i="11"/>
  <c r="P817" i="11"/>
  <c r="P832" i="11"/>
  <c r="P844" i="11"/>
  <c r="P855" i="11"/>
  <c r="P869" i="11"/>
  <c r="P881" i="11"/>
  <c r="P895" i="11"/>
  <c r="P908" i="11"/>
  <c r="P919" i="11"/>
  <c r="P932" i="11"/>
  <c r="P945" i="11"/>
  <c r="P959" i="11"/>
  <c r="P969" i="11"/>
  <c r="P983" i="11"/>
  <c r="P996" i="11"/>
  <c r="P1008" i="11"/>
  <c r="P1023" i="11"/>
  <c r="P1033" i="11"/>
  <c r="P1045" i="11"/>
  <c r="P1060" i="11"/>
  <c r="P1072" i="11"/>
  <c r="P1083" i="11"/>
  <c r="P1097" i="11"/>
  <c r="P1109" i="11"/>
  <c r="P1121" i="11"/>
  <c r="P1136" i="11"/>
  <c r="P1147" i="11"/>
  <c r="P1159" i="11"/>
  <c r="P1173" i="11"/>
  <c r="P1185" i="11"/>
  <c r="P1196" i="11"/>
  <c r="P1211" i="11"/>
  <c r="P1223" i="11"/>
  <c r="P1236" i="11"/>
  <c r="P1249" i="11"/>
  <c r="P1260" i="11"/>
  <c r="P1273" i="11"/>
  <c r="P1287" i="11"/>
  <c r="P1300" i="11"/>
  <c r="P1311" i="11"/>
  <c r="P1324" i="11"/>
  <c r="P1337" i="11"/>
  <c r="P1349" i="11"/>
  <c r="P1364" i="11"/>
  <c r="P1375" i="11"/>
  <c r="P1387" i="11"/>
  <c r="P1401" i="11"/>
  <c r="P1413" i="11"/>
  <c r="P1424" i="11"/>
  <c r="P1439" i="11"/>
  <c r="P1451" i="11"/>
  <c r="P1463" i="11"/>
  <c r="P1477" i="11"/>
  <c r="P1488" i="11"/>
  <c r="P1500" i="11"/>
  <c r="P1515" i="11"/>
  <c r="P1527" i="11"/>
  <c r="P1537" i="11"/>
  <c r="P1552" i="11"/>
  <c r="P1564" i="11"/>
  <c r="P1577" i="11"/>
  <c r="P1591" i="11"/>
  <c r="P1601" i="11"/>
  <c r="P1615" i="11"/>
  <c r="P1626" i="11"/>
  <c r="P1636" i="11"/>
  <c r="P1644" i="11"/>
  <c r="P1654" i="11"/>
  <c r="P1664" i="11"/>
  <c r="P1673" i="11"/>
  <c r="P1684" i="11"/>
  <c r="P1692" i="11"/>
  <c r="P1701" i="11"/>
  <c r="P1712" i="11"/>
  <c r="P1721" i="11"/>
  <c r="P1729" i="11"/>
  <c r="P1740" i="11"/>
  <c r="P1749" i="11"/>
  <c r="P1758" i="11"/>
  <c r="P1769" i="11"/>
  <c r="P1777" i="11"/>
  <c r="P1786" i="11"/>
  <c r="P1797" i="11"/>
  <c r="P1806" i="11"/>
  <c r="P1814" i="11"/>
  <c r="P1825" i="11"/>
  <c r="P1834" i="11"/>
  <c r="P1844" i="11"/>
  <c r="P1854" i="11"/>
  <c r="P1862" i="11"/>
  <c r="P1872" i="11"/>
  <c r="P1882" i="11"/>
  <c r="P1892" i="11"/>
  <c r="P1900" i="11"/>
  <c r="P1910" i="11"/>
  <c r="P1920" i="11"/>
  <c r="P1929" i="11"/>
  <c r="P1940" i="11"/>
  <c r="P1948" i="11"/>
  <c r="P1957" i="11"/>
  <c r="P1968" i="11"/>
  <c r="P1977" i="11"/>
  <c r="P1985" i="11"/>
  <c r="P1996" i="11"/>
  <c r="P2005" i="11"/>
  <c r="P2014" i="11"/>
  <c r="P2025" i="11"/>
  <c r="P2033" i="11"/>
  <c r="P2042" i="11"/>
  <c r="P2053" i="11"/>
  <c r="P2062" i="11"/>
  <c r="P2070" i="11"/>
  <c r="P2081" i="11"/>
  <c r="P2090" i="11"/>
  <c r="P2100" i="11"/>
  <c r="P2110" i="11"/>
  <c r="P2118" i="11"/>
  <c r="P2128" i="11"/>
  <c r="P2138" i="11"/>
  <c r="P2148" i="11"/>
  <c r="P2156" i="11"/>
  <c r="P2166" i="11"/>
  <c r="P2176" i="11"/>
  <c r="P2185" i="11"/>
  <c r="P2196" i="11"/>
  <c r="P2204" i="11"/>
  <c r="P2213" i="11"/>
  <c r="P2224" i="11"/>
  <c r="P2233" i="11"/>
  <c r="P2241" i="11"/>
  <c r="P2252" i="11"/>
  <c r="P2261" i="11"/>
  <c r="P2270" i="11"/>
  <c r="P2281" i="11"/>
  <c r="P2289" i="11"/>
  <c r="P2298" i="11"/>
  <c r="P2309" i="11"/>
  <c r="P2318" i="11"/>
  <c r="P2326" i="11"/>
  <c r="P2337" i="11"/>
  <c r="P2346" i="11"/>
  <c r="P2356" i="11"/>
  <c r="P2366" i="11"/>
  <c r="P2374" i="11"/>
  <c r="P2384" i="11"/>
  <c r="P2394" i="11"/>
  <c r="P2404" i="11"/>
  <c r="P2412" i="11"/>
  <c r="P2422" i="11"/>
  <c r="P2432" i="11"/>
  <c r="P2441" i="11"/>
  <c r="P2452" i="11"/>
  <c r="P2460" i="11"/>
  <c r="P2469" i="11"/>
  <c r="P2480" i="11"/>
  <c r="P2489" i="11"/>
  <c r="P2497" i="11"/>
  <c r="P2508" i="11"/>
  <c r="P2517" i="11"/>
  <c r="P2526" i="11"/>
  <c r="P2537" i="11"/>
  <c r="P2545" i="11"/>
  <c r="P2554" i="11"/>
  <c r="P2565" i="11"/>
  <c r="P2574" i="11"/>
  <c r="P2582" i="11"/>
  <c r="P2593" i="11"/>
  <c r="P2602" i="11"/>
  <c r="P2612" i="11"/>
  <c r="P2622" i="11"/>
  <c r="P2630" i="11"/>
  <c r="P2640" i="11"/>
  <c r="P2650" i="11"/>
  <c r="P2660" i="11"/>
  <c r="P2668" i="11"/>
  <c r="P2678" i="11"/>
  <c r="P2688" i="11"/>
  <c r="P2697" i="11"/>
  <c r="P2708" i="11"/>
  <c r="P2716" i="11"/>
  <c r="P2725" i="11"/>
  <c r="P2736" i="11"/>
  <c r="P2745" i="11"/>
  <c r="P2753" i="11"/>
  <c r="P2764" i="11"/>
  <c r="P2773" i="11"/>
  <c r="P2782" i="11"/>
  <c r="P2793" i="11"/>
  <c r="P2801" i="11"/>
  <c r="P2810" i="11"/>
  <c r="P2821" i="11"/>
  <c r="P2830" i="11"/>
  <c r="P2838" i="11"/>
  <c r="P2849" i="11"/>
  <c r="P2858" i="11"/>
  <c r="P2868" i="11"/>
  <c r="P2878" i="11"/>
  <c r="P2886" i="11"/>
  <c r="P2896" i="11"/>
  <c r="P2906" i="11"/>
  <c r="P2916" i="11"/>
  <c r="P2924" i="11"/>
  <c r="P2934" i="11"/>
  <c r="P2944" i="11"/>
  <c r="P2953" i="11"/>
  <c r="P2964" i="11"/>
  <c r="P2972" i="11"/>
  <c r="P2981" i="11"/>
  <c r="P2992" i="11"/>
  <c r="P3001" i="11"/>
  <c r="P3009" i="11"/>
  <c r="P3020" i="11"/>
  <c r="P3029" i="11"/>
  <c r="P3038" i="11"/>
  <c r="P3049" i="11"/>
  <c r="P3057" i="11"/>
  <c r="P3066" i="11"/>
  <c r="P3077" i="11"/>
  <c r="P3086" i="11"/>
  <c r="P3094" i="11"/>
  <c r="P3105" i="11"/>
  <c r="P3114" i="11"/>
  <c r="P3124" i="11"/>
  <c r="P3134" i="11"/>
  <c r="P3142" i="11"/>
  <c r="P3152" i="11"/>
  <c r="P3162" i="11"/>
  <c r="P3172" i="11"/>
  <c r="P3180" i="11"/>
  <c r="P3190" i="11"/>
  <c r="P3200" i="11"/>
  <c r="P3209" i="11"/>
  <c r="P3220" i="11"/>
  <c r="P3228" i="11"/>
  <c r="P3237" i="11"/>
  <c r="P3248" i="11"/>
  <c r="P3257" i="11"/>
  <c r="P3265" i="11"/>
  <c r="P3276" i="11"/>
  <c r="P3285" i="11"/>
  <c r="P3294" i="11"/>
  <c r="P3305" i="11"/>
  <c r="P3313" i="11"/>
  <c r="P3322" i="11"/>
  <c r="P3331" i="11"/>
  <c r="P3338" i="11"/>
  <c r="P3344" i="11"/>
  <c r="P3352" i="11"/>
  <c r="P3359" i="11"/>
  <c r="P3366" i="11"/>
  <c r="P3374" i="11"/>
  <c r="P3380" i="11"/>
  <c r="P3387" i="11"/>
  <c r="P3395" i="11"/>
  <c r="P3402" i="11"/>
  <c r="P3408" i="11"/>
  <c r="P3416" i="11"/>
  <c r="P3423" i="11"/>
  <c r="P3430" i="11"/>
  <c r="P3438" i="11"/>
  <c r="P3444" i="11"/>
  <c r="P3451" i="11"/>
  <c r="P3459" i="11"/>
  <c r="P3466" i="11"/>
  <c r="P3472" i="11"/>
  <c r="P3480" i="11"/>
  <c r="P3487" i="11"/>
  <c r="P3494" i="11"/>
  <c r="P3502" i="11"/>
  <c r="P3508" i="11"/>
  <c r="P3515" i="11"/>
  <c r="P3523" i="11"/>
  <c r="P3530" i="11"/>
  <c r="P3536" i="11"/>
  <c r="P3544" i="11"/>
  <c r="P3551" i="11"/>
  <c r="P3558" i="11"/>
  <c r="P3566" i="11"/>
  <c r="P3572" i="11"/>
  <c r="P3579" i="11"/>
  <c r="P3587" i="11"/>
  <c r="P3594" i="11"/>
  <c r="P3600" i="11"/>
  <c r="P3608" i="11"/>
  <c r="P3615" i="11"/>
  <c r="P3622" i="11"/>
  <c r="P3630" i="11"/>
  <c r="P3636" i="11"/>
  <c r="P3643" i="11"/>
  <c r="P3651" i="11"/>
  <c r="P3658" i="11"/>
  <c r="P3664" i="11"/>
  <c r="P3672" i="11"/>
  <c r="P3679" i="11"/>
  <c r="P3686" i="11"/>
  <c r="P3694" i="11"/>
  <c r="P3700" i="11"/>
  <c r="P3707" i="11"/>
  <c r="P3715" i="11"/>
  <c r="P3722" i="11"/>
  <c r="P3728" i="11"/>
  <c r="P3736" i="11"/>
  <c r="P3743" i="11"/>
  <c r="P3750" i="11"/>
  <c r="P3758" i="11"/>
  <c r="P3764" i="11"/>
  <c r="P3771" i="11"/>
  <c r="P3779" i="11"/>
  <c r="P3786" i="11"/>
  <c r="P3792" i="11"/>
  <c r="P3800" i="11"/>
  <c r="P3807" i="11"/>
  <c r="P3814" i="11"/>
  <c r="P3822" i="11"/>
  <c r="P3828" i="11"/>
  <c r="P3835" i="11"/>
  <c r="P3843" i="11"/>
  <c r="P3850" i="11"/>
  <c r="P3856" i="11"/>
  <c r="P3864" i="11"/>
  <c r="P3871" i="11"/>
  <c r="P3878" i="11"/>
  <c r="P3886" i="11"/>
  <c r="P3892" i="11"/>
  <c r="P3899" i="11"/>
  <c r="P3907" i="11"/>
  <c r="P3914" i="11"/>
  <c r="P3920" i="11"/>
  <c r="P3928" i="11"/>
  <c r="P3935" i="11"/>
  <c r="P3942" i="11"/>
  <c r="P3950" i="11"/>
  <c r="P3956" i="11"/>
  <c r="P3963" i="11"/>
  <c r="P3971" i="11"/>
  <c r="P3978" i="11"/>
  <c r="P3984" i="11"/>
  <c r="P3992" i="11"/>
  <c r="P3999" i="11"/>
  <c r="P4006" i="11"/>
  <c r="P4014" i="11"/>
  <c r="P4020" i="11"/>
  <c r="P4027" i="11"/>
  <c r="P4035" i="11"/>
  <c r="P4042" i="11"/>
  <c r="P4048" i="11"/>
  <c r="P4056" i="11"/>
  <c r="P4063" i="11"/>
  <c r="P4070" i="11"/>
  <c r="P4078" i="11"/>
  <c r="P4084" i="11"/>
  <c r="P4091" i="11"/>
  <c r="P4099" i="11"/>
  <c r="P4106" i="11"/>
  <c r="P4112" i="11"/>
  <c r="P4120" i="11"/>
  <c r="P4127" i="11"/>
  <c r="P4134" i="11"/>
  <c r="P4142" i="11"/>
  <c r="P4148" i="11"/>
  <c r="P4155" i="11"/>
  <c r="P4163" i="11"/>
  <c r="P4170" i="11"/>
  <c r="P4176" i="11"/>
  <c r="P4184" i="11"/>
  <c r="P4191" i="11"/>
  <c r="P4198" i="11"/>
  <c r="P4206" i="11"/>
  <c r="P4212" i="11"/>
  <c r="P4219" i="11"/>
  <c r="P4227" i="11"/>
  <c r="P4234" i="11"/>
  <c r="P4240" i="11"/>
  <c r="P4248" i="11"/>
  <c r="P4255" i="11"/>
  <c r="P4262" i="11"/>
  <c r="P4270" i="11"/>
  <c r="P4276" i="11"/>
  <c r="P4283" i="11"/>
  <c r="P4291" i="11"/>
  <c r="P4298" i="11"/>
  <c r="P4304" i="11"/>
  <c r="P4312" i="11"/>
  <c r="P4319" i="11"/>
  <c r="P4326" i="11"/>
  <c r="P4334" i="11"/>
  <c r="P4340" i="11"/>
  <c r="P4347" i="11"/>
  <c r="P4355" i="11"/>
  <c r="P4362" i="11"/>
  <c r="P4368" i="11"/>
  <c r="P4376" i="11"/>
  <c r="P4383" i="11"/>
  <c r="P4390" i="11"/>
  <c r="P4398" i="11"/>
  <c r="P4404" i="11"/>
  <c r="P4411" i="11"/>
  <c r="P4419" i="11"/>
  <c r="P4426" i="11"/>
  <c r="P4432" i="11"/>
  <c r="P4440" i="11"/>
  <c r="P4447" i="11"/>
  <c r="P4454" i="11"/>
  <c r="P4462" i="11"/>
  <c r="P4468" i="11"/>
  <c r="P4475" i="11"/>
  <c r="P4483" i="11"/>
  <c r="P4490" i="11"/>
  <c r="P4496" i="11"/>
  <c r="P4504" i="11"/>
  <c r="P4511" i="11"/>
  <c r="P4518" i="11"/>
  <c r="P4526" i="11"/>
  <c r="P4532" i="11"/>
  <c r="P4539" i="11"/>
  <c r="P4547" i="11"/>
  <c r="P4554" i="11"/>
  <c r="P4560" i="11"/>
  <c r="P4568" i="11"/>
  <c r="P4575" i="11"/>
  <c r="P4582" i="11"/>
  <c r="P4590" i="11"/>
  <c r="P4596" i="11"/>
  <c r="P4603" i="11"/>
  <c r="P4611" i="11"/>
  <c r="P4618" i="11"/>
  <c r="P4624" i="11"/>
  <c r="P4632" i="11"/>
  <c r="P4639" i="11"/>
  <c r="P4646" i="11"/>
  <c r="P4654" i="11"/>
  <c r="P4660" i="11"/>
  <c r="P4667" i="11"/>
  <c r="P4675" i="11"/>
  <c r="P4682" i="11"/>
  <c r="P4688" i="11"/>
  <c r="P4696" i="11"/>
  <c r="P4703" i="11"/>
  <c r="P4710" i="11"/>
  <c r="P4718" i="11"/>
  <c r="P4724" i="11"/>
  <c r="P4731" i="11"/>
  <c r="P4739" i="11"/>
  <c r="P4746" i="11"/>
  <c r="P4752" i="11"/>
  <c r="P4760" i="11"/>
  <c r="P4767" i="11"/>
  <c r="P4774" i="11"/>
  <c r="P4782" i="11"/>
  <c r="P4788" i="11"/>
  <c r="P4795" i="11"/>
  <c r="P4803" i="11"/>
  <c r="P4810" i="11"/>
  <c r="P4816" i="11"/>
  <c r="P4824" i="11"/>
  <c r="P4831" i="11"/>
  <c r="P4838" i="11"/>
  <c r="P4846" i="11"/>
  <c r="P4852" i="11"/>
  <c r="P4859" i="11"/>
  <c r="P4867" i="11"/>
  <c r="P4874" i="11"/>
  <c r="P4880" i="11"/>
  <c r="P4888" i="11"/>
  <c r="P4895" i="11"/>
  <c r="P4902" i="11"/>
  <c r="P4910" i="11"/>
  <c r="P4916" i="11"/>
  <c r="P4923" i="11"/>
  <c r="P4931" i="11"/>
  <c r="P4938" i="11"/>
  <c r="P4944" i="11"/>
  <c r="P4952" i="11"/>
  <c r="P4959" i="11"/>
  <c r="P4966" i="11"/>
  <c r="P4974" i="11"/>
  <c r="P4980" i="11"/>
  <c r="P4987" i="11"/>
  <c r="P4995" i="11"/>
  <c r="P5002" i="11"/>
  <c r="P5008" i="11"/>
  <c r="P5016" i="11"/>
  <c r="P5023" i="11"/>
  <c r="P5030" i="11"/>
  <c r="P5038" i="11"/>
  <c r="P5044" i="11"/>
  <c r="P5051" i="11"/>
  <c r="P5059" i="11"/>
  <c r="P5066" i="11"/>
  <c r="P5072" i="11"/>
  <c r="P5080" i="11"/>
  <c r="P5087" i="11"/>
  <c r="P5094" i="11"/>
  <c r="P5102" i="11"/>
  <c r="P5108" i="11"/>
  <c r="P5115" i="11"/>
  <c r="P5123" i="11"/>
  <c r="P5130" i="11"/>
  <c r="P5136" i="11"/>
  <c r="P5144" i="11"/>
  <c r="P5151" i="11"/>
  <c r="P5158" i="11"/>
  <c r="P5166" i="11"/>
  <c r="P5172" i="11"/>
  <c r="P5179" i="11"/>
  <c r="P5187" i="11"/>
  <c r="P5194" i="11"/>
  <c r="P5200" i="11"/>
  <c r="P5208" i="11"/>
  <c r="P5215" i="11"/>
  <c r="P5222" i="11"/>
  <c r="P5230" i="11"/>
  <c r="P5236" i="11"/>
  <c r="P5243" i="11"/>
  <c r="P5251" i="11"/>
  <c r="P5258" i="11"/>
  <c r="P5264" i="11"/>
  <c r="P5272" i="11"/>
  <c r="P5279" i="11"/>
  <c r="P5286" i="11"/>
  <c r="P5294" i="11"/>
  <c r="P5300" i="11"/>
  <c r="P5307" i="11"/>
  <c r="P5315" i="11"/>
  <c r="P5322" i="11"/>
  <c r="P5328" i="11"/>
  <c r="P5336" i="11"/>
  <c r="P5343" i="11"/>
  <c r="P5350" i="11"/>
  <c r="P5358" i="11"/>
  <c r="P5364" i="11"/>
  <c r="P5371" i="11"/>
  <c r="P5379" i="11"/>
  <c r="P5386" i="11"/>
  <c r="P5392" i="11"/>
  <c r="P5400" i="11"/>
  <c r="P5407" i="11"/>
  <c r="P5414" i="11"/>
  <c r="P5422" i="11"/>
  <c r="P5428" i="11"/>
  <c r="P5435" i="11"/>
  <c r="P5443" i="11"/>
  <c r="P5450" i="11"/>
  <c r="P5456" i="11"/>
  <c r="P5464" i="11"/>
  <c r="P5471" i="11"/>
  <c r="P5478" i="11"/>
  <c r="P5486" i="11"/>
  <c r="P5492" i="11"/>
  <c r="P5499" i="11"/>
  <c r="P5507" i="11"/>
  <c r="P5514" i="11"/>
  <c r="P5520" i="11"/>
  <c r="P5528" i="11"/>
  <c r="P5535" i="11"/>
  <c r="P5542" i="11"/>
  <c r="P5550" i="11"/>
  <c r="P5556" i="11"/>
  <c r="P5563" i="11"/>
  <c r="P5571" i="11"/>
  <c r="P5578" i="11"/>
  <c r="P5584" i="11"/>
  <c r="P5592" i="11"/>
  <c r="P5599" i="11"/>
  <c r="P5606" i="11"/>
  <c r="P5614" i="11"/>
  <c r="P5620" i="11"/>
  <c r="P5627" i="11"/>
  <c r="P5635" i="11"/>
  <c r="P5642" i="11"/>
  <c r="P5648" i="11"/>
  <c r="P5656" i="11"/>
  <c r="P5663" i="11"/>
  <c r="P5670" i="11"/>
  <c r="P5678" i="11"/>
  <c r="P5684" i="11"/>
  <c r="P5691" i="11"/>
  <c r="P5699" i="11"/>
  <c r="P5706" i="11"/>
  <c r="P5712" i="11"/>
  <c r="P5720" i="11"/>
  <c r="P5727" i="11"/>
  <c r="P5734" i="11"/>
  <c r="P5742" i="11"/>
  <c r="P5748" i="11"/>
  <c r="P5755" i="11"/>
  <c r="P5763" i="11"/>
  <c r="P5770" i="11"/>
  <c r="P5776" i="11"/>
  <c r="P5784" i="11"/>
  <c r="P5791" i="11"/>
  <c r="P5798" i="11"/>
  <c r="P5806" i="11"/>
  <c r="P5812" i="11"/>
  <c r="P5819" i="11"/>
  <c r="P5827" i="11"/>
  <c r="P5834" i="11"/>
  <c r="P5840" i="11"/>
  <c r="P5848" i="11"/>
  <c r="P5855" i="11"/>
  <c r="P5862" i="11"/>
  <c r="P5870" i="11"/>
  <c r="P5876" i="11"/>
  <c r="P5883" i="11"/>
  <c r="P5891" i="11"/>
  <c r="P5898" i="11"/>
  <c r="P5904" i="11"/>
  <c r="P5912" i="11"/>
  <c r="P5919" i="11"/>
  <c r="P5926" i="11"/>
  <c r="P5934" i="11"/>
  <c r="P5940" i="11"/>
  <c r="P5947" i="11"/>
  <c r="P5955" i="11"/>
  <c r="P5962" i="11"/>
  <c r="P5968" i="11"/>
  <c r="P5976" i="11"/>
  <c r="P5983" i="11"/>
  <c r="P5990" i="11"/>
  <c r="P5998" i="11"/>
  <c r="P6004" i="11"/>
  <c r="P6011" i="11"/>
  <c r="P6019" i="11"/>
  <c r="P6026" i="11"/>
  <c r="P6032" i="11"/>
  <c r="P6040" i="11"/>
  <c r="P6047" i="11"/>
  <c r="P6054" i="11"/>
  <c r="P6062" i="11"/>
  <c r="P6068" i="11"/>
  <c r="P6075" i="11"/>
  <c r="P6083" i="11"/>
  <c r="P6090" i="11"/>
  <c r="P6096" i="11"/>
  <c r="P6104" i="11"/>
  <c r="P6111" i="11"/>
  <c r="P6118" i="11"/>
  <c r="P6126" i="11"/>
  <c r="P6132" i="11"/>
  <c r="P6139" i="11"/>
  <c r="P6147" i="11"/>
  <c r="P6154" i="11"/>
  <c r="P6160" i="11"/>
  <c r="P6168" i="11"/>
  <c r="P6175" i="11"/>
  <c r="P6182" i="11"/>
  <c r="P6190" i="11"/>
  <c r="P6196" i="11"/>
  <c r="P6203" i="11"/>
  <c r="P6211" i="11"/>
  <c r="P6218" i="11"/>
  <c r="P6224" i="11"/>
  <c r="P6232" i="11"/>
  <c r="P6239" i="11"/>
  <c r="P6246" i="11"/>
  <c r="P6254" i="11"/>
  <c r="P6260" i="11"/>
  <c r="P6267" i="11"/>
  <c r="P6275" i="11"/>
  <c r="P6282" i="11"/>
  <c r="P6288" i="11"/>
  <c r="P6296" i="11"/>
  <c r="P6303" i="11"/>
  <c r="P6310" i="11"/>
  <c r="P6318" i="11"/>
  <c r="P6324" i="11"/>
  <c r="P6331" i="11"/>
  <c r="P6339" i="11"/>
  <c r="P6346" i="11"/>
  <c r="P6352" i="11"/>
  <c r="P6360" i="11"/>
  <c r="P6367" i="11"/>
  <c r="P6374" i="11"/>
  <c r="P6382" i="11"/>
  <c r="P6388" i="11"/>
  <c r="P6395" i="11"/>
  <c r="P6403" i="11"/>
  <c r="P6410" i="11"/>
  <c r="P6416" i="11"/>
  <c r="P6424" i="11"/>
  <c r="P6431" i="11"/>
  <c r="P6438" i="11"/>
  <c r="P6446" i="11"/>
  <c r="P6452" i="11"/>
  <c r="P6459" i="11"/>
  <c r="P6467" i="11"/>
  <c r="P6474" i="11"/>
  <c r="P6480" i="11"/>
  <c r="P6488" i="11"/>
  <c r="P6495" i="11"/>
  <c r="P6502" i="11"/>
  <c r="P6510" i="11"/>
  <c r="P6516" i="11"/>
  <c r="P6523" i="11"/>
  <c r="P6531" i="11"/>
  <c r="P6538" i="11"/>
  <c r="P6544" i="11"/>
  <c r="P6552" i="11"/>
  <c r="P6559" i="11"/>
  <c r="P6566" i="11"/>
  <c r="P6574" i="11"/>
  <c r="P6580" i="11"/>
  <c r="P6587" i="11"/>
  <c r="P6595" i="11"/>
  <c r="P6602" i="11"/>
  <c r="P6608" i="11"/>
  <c r="P6616" i="11"/>
  <c r="P6623" i="11"/>
  <c r="P6630" i="11"/>
  <c r="P6638" i="11"/>
  <c r="P6644" i="11"/>
  <c r="P6651" i="11"/>
  <c r="P6659" i="11"/>
  <c r="P6666" i="11"/>
  <c r="P6672" i="11"/>
  <c r="P6680" i="11"/>
  <c r="P6687" i="11"/>
  <c r="P6694" i="11"/>
  <c r="P6702" i="11"/>
  <c r="P6708" i="11"/>
  <c r="P6715" i="11"/>
  <c r="P6723" i="11"/>
  <c r="P6730" i="11"/>
  <c r="P6736" i="11"/>
  <c r="P6743" i="11"/>
  <c r="P6748" i="11"/>
  <c r="P6753" i="11"/>
  <c r="P6759" i="11"/>
  <c r="P6764" i="11"/>
  <c r="P6769" i="11"/>
  <c r="P6775" i="11"/>
  <c r="P6780" i="11"/>
  <c r="P6785" i="11"/>
  <c r="P6791" i="11"/>
  <c r="P6796" i="11"/>
  <c r="P6801" i="11"/>
  <c r="P6807" i="11"/>
  <c r="P6812" i="11"/>
  <c r="P6817" i="11"/>
  <c r="P6823" i="11"/>
  <c r="P6828" i="11"/>
  <c r="P6833" i="11"/>
  <c r="P6839" i="11"/>
  <c r="P6844" i="11"/>
  <c r="P6849" i="11"/>
  <c r="P6855" i="11"/>
  <c r="P6860" i="11"/>
  <c r="P6865" i="11"/>
  <c r="P6871" i="11"/>
  <c r="P6876" i="11"/>
  <c r="P6881" i="11"/>
  <c r="P6887" i="11"/>
  <c r="P6892" i="11"/>
  <c r="P6897" i="11"/>
  <c r="P6903" i="11"/>
  <c r="P6908" i="11"/>
  <c r="P6913" i="11"/>
  <c r="P6919" i="11"/>
  <c r="P6924" i="11"/>
  <c r="P6929" i="11"/>
  <c r="P6935" i="11"/>
  <c r="P6940" i="11"/>
  <c r="P6945" i="11"/>
  <c r="P6951" i="11"/>
  <c r="P6956" i="11"/>
  <c r="P6961" i="11"/>
  <c r="P6967" i="11"/>
  <c r="P6972" i="11"/>
  <c r="P6977" i="11"/>
  <c r="P6983" i="11"/>
  <c r="P6988" i="11"/>
  <c r="P6993" i="11"/>
  <c r="P6999" i="11"/>
  <c r="P7004" i="11"/>
  <c r="P7009" i="11"/>
  <c r="P7015" i="11"/>
  <c r="P7020" i="11"/>
  <c r="P7025" i="11"/>
  <c r="P7031" i="11"/>
  <c r="P7036" i="11"/>
  <c r="P7041" i="11"/>
  <c r="P7047" i="11"/>
  <c r="P7052" i="11"/>
  <c r="P7057" i="11"/>
  <c r="P7063" i="11"/>
  <c r="P7068" i="11"/>
  <c r="P7073" i="11"/>
  <c r="P7079" i="11"/>
  <c r="P7084" i="11"/>
  <c r="P7089" i="11"/>
  <c r="P7095" i="11"/>
  <c r="P7100" i="11"/>
  <c r="P7105" i="11"/>
  <c r="P7111" i="11"/>
  <c r="P7116" i="11"/>
  <c r="P7121" i="11"/>
  <c r="P7127" i="11"/>
  <c r="P7132" i="11"/>
  <c r="P7137" i="11"/>
  <c r="P7143" i="11"/>
  <c r="P7148" i="11"/>
  <c r="P7153" i="11"/>
  <c r="P7159" i="11"/>
  <c r="P7164" i="11"/>
  <c r="P7169" i="11"/>
  <c r="P7175" i="11"/>
  <c r="P7180" i="11"/>
  <c r="P7185" i="11"/>
  <c r="P7191" i="11"/>
  <c r="P7196" i="11"/>
  <c r="P7201" i="11"/>
  <c r="P7207" i="11"/>
  <c r="P7212" i="11"/>
  <c r="P7217" i="11"/>
  <c r="P7223" i="11"/>
  <c r="P7228" i="11"/>
  <c r="P7233" i="11"/>
  <c r="P7239" i="11"/>
  <c r="P7244" i="11"/>
  <c r="P7249" i="11"/>
  <c r="P7255" i="11"/>
  <c r="P7260" i="11"/>
  <c r="P7265" i="11"/>
  <c r="P7271" i="11"/>
  <c r="P7276" i="11"/>
  <c r="P7281" i="11"/>
  <c r="P7287" i="11"/>
  <c r="P7292" i="11"/>
  <c r="P7297" i="11"/>
  <c r="P7303" i="11"/>
  <c r="P7308" i="11"/>
  <c r="P7313" i="11"/>
  <c r="P7319" i="11"/>
  <c r="P7324" i="11"/>
  <c r="P7329" i="11"/>
  <c r="P7335" i="11"/>
  <c r="P7340" i="11"/>
  <c r="P7345" i="11"/>
  <c r="P7351" i="11"/>
  <c r="P7356" i="11"/>
  <c r="P7361" i="11"/>
  <c r="P7367" i="11"/>
  <c r="P7372" i="11"/>
  <c r="P7377" i="11"/>
  <c r="P7383" i="11"/>
  <c r="P7388" i="11"/>
  <c r="P7393" i="11"/>
  <c r="P7399" i="11"/>
  <c r="P7404" i="11"/>
  <c r="P7409" i="11"/>
  <c r="P7415" i="11"/>
  <c r="P7420" i="11"/>
  <c r="P7425" i="11"/>
  <c r="P7431" i="11"/>
  <c r="P7436" i="11"/>
  <c r="P7441" i="11"/>
  <c r="P7447" i="11"/>
  <c r="P7452" i="11"/>
  <c r="P7457" i="11"/>
  <c r="P7463" i="11"/>
  <c r="P7468" i="11"/>
  <c r="P7473" i="11"/>
  <c r="P7479" i="11"/>
  <c r="P7484" i="11"/>
  <c r="P7489" i="11"/>
  <c r="P7495" i="11"/>
  <c r="P7500" i="11"/>
  <c r="P7505" i="11"/>
  <c r="P7511" i="11"/>
  <c r="P7516" i="11"/>
  <c r="P7521" i="11"/>
  <c r="P7527" i="11"/>
  <c r="P7532" i="11"/>
  <c r="P7537" i="11"/>
  <c r="P7543" i="11"/>
  <c r="P7548" i="11"/>
  <c r="P7553" i="11"/>
  <c r="P7559" i="11"/>
  <c r="P7564" i="11"/>
  <c r="P7569" i="11"/>
  <c r="P7575" i="11"/>
  <c r="P7580" i="11"/>
  <c r="P7585" i="11"/>
  <c r="P7591" i="11"/>
  <c r="P7596" i="11"/>
  <c r="P7601" i="11"/>
  <c r="P7607" i="11"/>
  <c r="P7612" i="11"/>
  <c r="P7617" i="11"/>
  <c r="P7623" i="11"/>
  <c r="P7628" i="11"/>
  <c r="P7633" i="11"/>
  <c r="P7639" i="11"/>
  <c r="P7644" i="11"/>
  <c r="P7649" i="11"/>
  <c r="P7655" i="11"/>
  <c r="P7660" i="11"/>
  <c r="P7665" i="11"/>
  <c r="P7671" i="11"/>
  <c r="P7676" i="11"/>
  <c r="P7681" i="11"/>
  <c r="P7687" i="11"/>
  <c r="P7692" i="11"/>
  <c r="P7697" i="11"/>
  <c r="P7703" i="11"/>
  <c r="P7708" i="11"/>
  <c r="P7713" i="11"/>
  <c r="P7719" i="11"/>
  <c r="P7724" i="11"/>
  <c r="P7729" i="11"/>
  <c r="P7735" i="11"/>
  <c r="P7740" i="11"/>
  <c r="P7745" i="11"/>
  <c r="P7751" i="11"/>
  <c r="P7756" i="11"/>
  <c r="P7761" i="11"/>
  <c r="P7767" i="11"/>
  <c r="P7772" i="11"/>
  <c r="P7777" i="11"/>
  <c r="P7783" i="11"/>
  <c r="P7788" i="11"/>
  <c r="P7793" i="11"/>
  <c r="P7799" i="11"/>
  <c r="P7804" i="11"/>
  <c r="P7809" i="11"/>
  <c r="P7815" i="11"/>
  <c r="P7820" i="11"/>
  <c r="P7825" i="11"/>
  <c r="P7831" i="11"/>
  <c r="P7836" i="11"/>
  <c r="P7841" i="11"/>
  <c r="P7847" i="11"/>
  <c r="P7852" i="11"/>
  <c r="P7857" i="11"/>
  <c r="P7863" i="11"/>
  <c r="P7868" i="11"/>
  <c r="P7873" i="11"/>
  <c r="P7879" i="11"/>
  <c r="P7884" i="11"/>
  <c r="P7889" i="11"/>
  <c r="P7895" i="11"/>
  <c r="P7900" i="11"/>
  <c r="P7905" i="11"/>
  <c r="P7911" i="11"/>
  <c r="P7916" i="11"/>
  <c r="P7921" i="11"/>
  <c r="P7927" i="11"/>
  <c r="P7932" i="11"/>
  <c r="P7937" i="11"/>
  <c r="P7943" i="11"/>
  <c r="P7948" i="11"/>
  <c r="P7953" i="11"/>
  <c r="P7959" i="11"/>
  <c r="P7964" i="11"/>
  <c r="P7969" i="11"/>
  <c r="P7975" i="11"/>
  <c r="P7980" i="11"/>
  <c r="P7985" i="11"/>
  <c r="P7991" i="11"/>
  <c r="P7996" i="11"/>
  <c r="P8001" i="11"/>
  <c r="P8007" i="11"/>
  <c r="P8012" i="11"/>
  <c r="P8017" i="11"/>
  <c r="P8023" i="11"/>
  <c r="P8028" i="11"/>
  <c r="P8033" i="11"/>
  <c r="P8039" i="11"/>
  <c r="P8044" i="11"/>
  <c r="P8049" i="11"/>
  <c r="P8055" i="11"/>
  <c r="P8060" i="11"/>
  <c r="P8065" i="11"/>
  <c r="P8071" i="11"/>
  <c r="P8076" i="11"/>
  <c r="P8081" i="11"/>
  <c r="P8087" i="11"/>
  <c r="P8092" i="11"/>
  <c r="P8097" i="11"/>
  <c r="P8103" i="11"/>
  <c r="P8108" i="11"/>
  <c r="P8113" i="11"/>
  <c r="P8119" i="11"/>
  <c r="P8124" i="11"/>
  <c r="P8129" i="11"/>
  <c r="P8135" i="11"/>
  <c r="P8140" i="11"/>
  <c r="P8145" i="11"/>
  <c r="P8151" i="11"/>
  <c r="P8156" i="11"/>
  <c r="P8161" i="11"/>
  <c r="P8167" i="11"/>
  <c r="P8172" i="11"/>
  <c r="P8177" i="11"/>
  <c r="P8183" i="11"/>
  <c r="P8188" i="11"/>
  <c r="P8193" i="11"/>
  <c r="P8199" i="11"/>
  <c r="P8204" i="11"/>
  <c r="P8209" i="11"/>
  <c r="P8215" i="11"/>
  <c r="P8220" i="11"/>
  <c r="P8225" i="11"/>
  <c r="P8231" i="11"/>
  <c r="P8236" i="11"/>
  <c r="P8241" i="11"/>
  <c r="P8247" i="11"/>
  <c r="P8252" i="11"/>
  <c r="P8257" i="11"/>
  <c r="P8263" i="11"/>
  <c r="P8268" i="11"/>
  <c r="P8273" i="11"/>
  <c r="P8279" i="11"/>
  <c r="P8284" i="11"/>
  <c r="P8289" i="11"/>
  <c r="P8295" i="11"/>
  <c r="P8300" i="11"/>
  <c r="P8305" i="11"/>
  <c r="P8311" i="11"/>
  <c r="P8316" i="11"/>
  <c r="P8321" i="11"/>
  <c r="P8327" i="11"/>
  <c r="P8332" i="11"/>
  <c r="P8337" i="11"/>
  <c r="P8343" i="11"/>
  <c r="P8348" i="11"/>
  <c r="P8353" i="11"/>
  <c r="P8359" i="11"/>
  <c r="P8364" i="11"/>
  <c r="P8369" i="11"/>
  <c r="P8375" i="11"/>
  <c r="P8380" i="11"/>
  <c r="P8385" i="11"/>
  <c r="P8391" i="11"/>
  <c r="P8396" i="11"/>
  <c r="P8401" i="11"/>
  <c r="P8407" i="11"/>
  <c r="P29" i="11"/>
  <c r="P65" i="11"/>
  <c r="P88" i="11"/>
  <c r="P117" i="11"/>
  <c r="P152" i="11"/>
  <c r="P181" i="11"/>
  <c r="P208" i="11"/>
  <c r="P241" i="11"/>
  <c r="P269" i="11"/>
  <c r="P301" i="11"/>
  <c r="P333" i="11"/>
  <c r="P354" i="11"/>
  <c r="P378" i="11"/>
  <c r="P401" i="11"/>
  <c r="P426" i="11"/>
  <c r="P443" i="11"/>
  <c r="P469" i="11"/>
  <c r="P491" i="11"/>
  <c r="P513" i="11"/>
  <c r="P539" i="11"/>
  <c r="P557" i="11"/>
  <c r="P578" i="11"/>
  <c r="P605" i="11"/>
  <c r="P626" i="11"/>
  <c r="P646" i="11"/>
  <c r="P671" i="11"/>
  <c r="P693" i="11"/>
  <c r="P714" i="11"/>
  <c r="P741" i="11"/>
  <c r="P759" i="11"/>
  <c r="P777" i="11"/>
  <c r="P796" i="11"/>
  <c r="P812" i="11"/>
  <c r="P827" i="11"/>
  <c r="P847" i="11"/>
  <c r="P863" i="11"/>
  <c r="P880" i="11"/>
  <c r="P897" i="11"/>
  <c r="P912" i="11"/>
  <c r="P929" i="11"/>
  <c r="P948" i="11"/>
  <c r="P965" i="11"/>
  <c r="P980" i="11"/>
  <c r="P997" i="11"/>
  <c r="P1015" i="11"/>
  <c r="P1031" i="11"/>
  <c r="P1051" i="11"/>
  <c r="P1065" i="11"/>
  <c r="P1081" i="11"/>
  <c r="P1100" i="11"/>
  <c r="P1116" i="11"/>
  <c r="P1131" i="11"/>
  <c r="P1151" i="11"/>
  <c r="P1167" i="11"/>
  <c r="P1183" i="11"/>
  <c r="P1201" i="11"/>
  <c r="P1216" i="11"/>
  <c r="P1232" i="11"/>
  <c r="P1252" i="11"/>
  <c r="P1268" i="11"/>
  <c r="P1281" i="11"/>
  <c r="P1301" i="11"/>
  <c r="P1317" i="11"/>
  <c r="P1335" i="11"/>
  <c r="P1353" i="11"/>
  <c r="P1367" i="11"/>
  <c r="P1385" i="11"/>
  <c r="P1403" i="11"/>
  <c r="P1420" i="11"/>
  <c r="P1435" i="11"/>
  <c r="P1452" i="11"/>
  <c r="P1471" i="11"/>
  <c r="P1487" i="11"/>
  <c r="P1505" i="11"/>
  <c r="P1520" i="11"/>
  <c r="P1536" i="11"/>
  <c r="P1556" i="11"/>
  <c r="P1572" i="11"/>
  <c r="P1585" i="11"/>
  <c r="P1605" i="11"/>
  <c r="P1621" i="11"/>
  <c r="P1633" i="11"/>
  <c r="P1648" i="11"/>
  <c r="P1658" i="11"/>
  <c r="P17" i="11"/>
  <c r="P49" i="11"/>
  <c r="P74" i="11"/>
  <c r="P106" i="11"/>
  <c r="P136" i="11"/>
  <c r="P165" i="11"/>
  <c r="P200" i="11"/>
  <c r="P226" i="11"/>
  <c r="P256" i="11"/>
  <c r="P288" i="11"/>
  <c r="P316" i="11"/>
  <c r="P342" i="11"/>
  <c r="P369" i="11"/>
  <c r="P390" i="11"/>
  <c r="P411" i="11"/>
  <c r="P437" i="11"/>
  <c r="P455" i="11"/>
  <c r="P477" i="11"/>
  <c r="P503" i="11"/>
  <c r="P525" i="11"/>
  <c r="P543" i="11"/>
  <c r="P570" i="11"/>
  <c r="P591" i="11"/>
  <c r="P614" i="11"/>
  <c r="P639" i="11"/>
  <c r="P657" i="11"/>
  <c r="P682" i="11"/>
  <c r="P705" i="11"/>
  <c r="P727" i="11"/>
  <c r="P747" i="11"/>
  <c r="P769" i="11"/>
  <c r="P788" i="11"/>
  <c r="P804" i="11"/>
  <c r="P823" i="11"/>
  <c r="P837" i="11"/>
  <c r="P853" i="11"/>
  <c r="P873" i="11"/>
  <c r="P889" i="11"/>
  <c r="P903" i="11"/>
  <c r="P923" i="11"/>
  <c r="P939" i="11"/>
  <c r="P955" i="11"/>
  <c r="P975" i="11"/>
  <c r="P988" i="11"/>
  <c r="P1004" i="11"/>
  <c r="P1024" i="11"/>
  <c r="P1040" i="11"/>
  <c r="P1055" i="11"/>
  <c r="P1073" i="11"/>
  <c r="P1089" i="11"/>
  <c r="P1108" i="11"/>
  <c r="P1125" i="11"/>
  <c r="P1140" i="11"/>
  <c r="P1157" i="11"/>
  <c r="P1175" i="11"/>
  <c r="P1193" i="11"/>
  <c r="P1207" i="11"/>
  <c r="P1225" i="11"/>
  <c r="P1243" i="11"/>
  <c r="P1259" i="11"/>
  <c r="P1279" i="11"/>
  <c r="P1292" i="11"/>
  <c r="P1308" i="11"/>
  <c r="P1328" i="11"/>
  <c r="P1344" i="11"/>
  <c r="P1359" i="11"/>
  <c r="P1377" i="11"/>
  <c r="P1393" i="11"/>
  <c r="P1409" i="11"/>
  <c r="P1429" i="11"/>
  <c r="P1444" i="11"/>
  <c r="P1460" i="11"/>
  <c r="P1479" i="11"/>
  <c r="P1495" i="11"/>
  <c r="P1509" i="11"/>
  <c r="P1529" i="11"/>
  <c r="P1545" i="11"/>
  <c r="P1563" i="11"/>
  <c r="P1580" i="11"/>
  <c r="P1595" i="11"/>
  <c r="P1612" i="11"/>
  <c r="P1628" i="11"/>
  <c r="P1641" i="11"/>
  <c r="P1652" i="11"/>
  <c r="P1665" i="11"/>
  <c r="P1678" i="11"/>
  <c r="P1690" i="11"/>
  <c r="P1705" i="11"/>
  <c r="P1716" i="11"/>
  <c r="P1728" i="11"/>
  <c r="P1742" i="11"/>
  <c r="P1754" i="11"/>
  <c r="P1765" i="11"/>
  <c r="P1780" i="11"/>
  <c r="P1792" i="11"/>
  <c r="P1804" i="11"/>
  <c r="P1818" i="11"/>
  <c r="P1829" i="11"/>
  <c r="P1841" i="11"/>
  <c r="P1856" i="11"/>
  <c r="P1868" i="11"/>
  <c r="P1878" i="11"/>
  <c r="P1893" i="11"/>
  <c r="P1905" i="11"/>
  <c r="P1918" i="11"/>
  <c r="P1932" i="11"/>
  <c r="P1942" i="11"/>
  <c r="P1956" i="11"/>
  <c r="P1969" i="11"/>
  <c r="P1982" i="11"/>
  <c r="P1993" i="11"/>
  <c r="P2006" i="11"/>
  <c r="P2020" i="11"/>
  <c r="P2032" i="11"/>
  <c r="P2046" i="11"/>
  <c r="P2057" i="11"/>
  <c r="P2069" i="11"/>
  <c r="P2084" i="11"/>
  <c r="P2096" i="11"/>
  <c r="P2106" i="11"/>
  <c r="P2121" i="11"/>
  <c r="P2133" i="11"/>
  <c r="P2145" i="11"/>
  <c r="P2160" i="11"/>
  <c r="P2170" i="11"/>
  <c r="P2182" i="11"/>
  <c r="P2197" i="11"/>
  <c r="P2209" i="11"/>
  <c r="P2220" i="11"/>
  <c r="P2234" i="11"/>
  <c r="P2246" i="11"/>
  <c r="P2260" i="11"/>
  <c r="P2273" i="11"/>
  <c r="P2284" i="11"/>
  <c r="P2297" i="11"/>
  <c r="P2310" i="11"/>
  <c r="P2324" i="11"/>
  <c r="P2334" i="11"/>
  <c r="P2348" i="11"/>
  <c r="P2361" i="11"/>
  <c r="P2373" i="11"/>
  <c r="P2388" i="11"/>
  <c r="P2398" i="11"/>
  <c r="P2410" i="11"/>
  <c r="P2425" i="11"/>
  <c r="P2437" i="11"/>
  <c r="P2448" i="11"/>
  <c r="P2462" i="11"/>
  <c r="P2474" i="11"/>
  <c r="P2486" i="11"/>
  <c r="P2501" i="11"/>
  <c r="P2512" i="11"/>
  <c r="P2524" i="11"/>
  <c r="P2538" i="11"/>
  <c r="P2550" i="11"/>
  <c r="P2561" i="11"/>
  <c r="P2576" i="11"/>
  <c r="P2588" i="11"/>
  <c r="P2601" i="11"/>
  <c r="P2614" i="11"/>
  <c r="P2625" i="11"/>
  <c r="P2638" i="11"/>
  <c r="P2652" i="11"/>
  <c r="P2665" i="11"/>
  <c r="P2676" i="11"/>
  <c r="P2689" i="11"/>
  <c r="P2702" i="11"/>
  <c r="P2714" i="11"/>
  <c r="P2729" i="11"/>
  <c r="P2740" i="11"/>
  <c r="P2752" i="11"/>
  <c r="P2766" i="11"/>
  <c r="P2778" i="11"/>
  <c r="P2789" i="11"/>
  <c r="P2804" i="11"/>
  <c r="P2816" i="11"/>
  <c r="P2828" i="11"/>
  <c r="P2842" i="11"/>
  <c r="P2853" i="11"/>
  <c r="P2865" i="11"/>
  <c r="P2880" i="11"/>
  <c r="P2892" i="11"/>
  <c r="P2902" i="11"/>
  <c r="P2917" i="11"/>
  <c r="P2929" i="11"/>
  <c r="P2942" i="11"/>
  <c r="P2956" i="11"/>
  <c r="P2966" i="11"/>
  <c r="P2980" i="11"/>
  <c r="P2993" i="11"/>
  <c r="P3006" i="11"/>
  <c r="P3017" i="11"/>
  <c r="P3030" i="11"/>
  <c r="P3044" i="11"/>
  <c r="P3056" i="11"/>
  <c r="P3070" i="11"/>
  <c r="P3081" i="11"/>
  <c r="P3093" i="11"/>
  <c r="P3108" i="11"/>
  <c r="P3120" i="11"/>
  <c r="P3130" i="11"/>
  <c r="P3145" i="11"/>
  <c r="P3157" i="11"/>
  <c r="P3169" i="11"/>
  <c r="P3184" i="11"/>
  <c r="P3194" i="11"/>
  <c r="P3206" i="11"/>
  <c r="P3221" i="11"/>
  <c r="P3233" i="11"/>
  <c r="P3244" i="11"/>
  <c r="P3258" i="11"/>
  <c r="P3270" i="11"/>
  <c r="P3284" i="11"/>
  <c r="P3297" i="11"/>
  <c r="P3308" i="11"/>
  <c r="P3321" i="11"/>
  <c r="P3332" i="11"/>
  <c r="P3342" i="11"/>
  <c r="P3350" i="11"/>
  <c r="P3360" i="11"/>
  <c r="P3370" i="11"/>
  <c r="P3379" i="11"/>
  <c r="P3390" i="11"/>
  <c r="P3398" i="11"/>
  <c r="P3407" i="11"/>
  <c r="P3418" i="11"/>
  <c r="P3427" i="11"/>
  <c r="P3435" i="11"/>
  <c r="P3446" i="11"/>
  <c r="P3455" i="11"/>
  <c r="P3464" i="11"/>
  <c r="P3475" i="11"/>
  <c r="P3483" i="11"/>
  <c r="P3492" i="11"/>
  <c r="P3503" i="11"/>
  <c r="P3512" i="11"/>
  <c r="P3520" i="11"/>
  <c r="P3531" i="11"/>
  <c r="P3540" i="11"/>
  <c r="P3550" i="11"/>
  <c r="P3560" i="11"/>
  <c r="P3568" i="11"/>
  <c r="P3578" i="11"/>
  <c r="P3588" i="11"/>
  <c r="P3598" i="11"/>
  <c r="P3606" i="11"/>
  <c r="P3616" i="11"/>
  <c r="P3626" i="11"/>
  <c r="P3635" i="11"/>
  <c r="P3646" i="11"/>
  <c r="P3654" i="11"/>
  <c r="P3663" i="11"/>
  <c r="P3674" i="11"/>
  <c r="P3683" i="11"/>
  <c r="P3691" i="11"/>
  <c r="P3702" i="11"/>
  <c r="P3711" i="11"/>
  <c r="P3720" i="11"/>
  <c r="P3731" i="11"/>
  <c r="P3739" i="11"/>
  <c r="P3748" i="11"/>
  <c r="P3759" i="11"/>
  <c r="P3768" i="11"/>
  <c r="P3776" i="11"/>
  <c r="P3787" i="11"/>
  <c r="P3796" i="11"/>
  <c r="P3806" i="11"/>
  <c r="P3816" i="11"/>
  <c r="P3824" i="11"/>
  <c r="P3834" i="11"/>
  <c r="P3844" i="11"/>
  <c r="P3854" i="11"/>
  <c r="P3862" i="11"/>
  <c r="P3872" i="11"/>
  <c r="P3882" i="11"/>
  <c r="P3891" i="11"/>
  <c r="P3902" i="11"/>
  <c r="P3910" i="11"/>
  <c r="P3919" i="11"/>
  <c r="P3930" i="11"/>
  <c r="P3939" i="11"/>
  <c r="P3947" i="11"/>
  <c r="P3958" i="11"/>
  <c r="P3967" i="11"/>
  <c r="P3976" i="11"/>
  <c r="P3987" i="11"/>
  <c r="P3995" i="11"/>
  <c r="P4004" i="11"/>
  <c r="P4015" i="11"/>
  <c r="P4024" i="11"/>
  <c r="P4032" i="11"/>
  <c r="P4043" i="11"/>
  <c r="P4052" i="11"/>
  <c r="P4062" i="11"/>
  <c r="P4072" i="11"/>
  <c r="P4080" i="11"/>
  <c r="P4090" i="11"/>
  <c r="P4100" i="11"/>
  <c r="P4110" i="11"/>
  <c r="P4118" i="11"/>
  <c r="P4128" i="11"/>
  <c r="P4138" i="11"/>
  <c r="P4147" i="11"/>
  <c r="P4158" i="11"/>
  <c r="P4166" i="11"/>
  <c r="P4175" i="11"/>
  <c r="P4186" i="11"/>
  <c r="P4195" i="11"/>
  <c r="P4203" i="11"/>
  <c r="P4214" i="11"/>
  <c r="P4223" i="11"/>
  <c r="P4232" i="11"/>
  <c r="P4243" i="11"/>
  <c r="P4251" i="11"/>
  <c r="P4260" i="11"/>
  <c r="P4271" i="11"/>
  <c r="P4280" i="11"/>
  <c r="P4288" i="11"/>
  <c r="P4299" i="11"/>
  <c r="P4308" i="11"/>
  <c r="P4318" i="11"/>
  <c r="P4328" i="11"/>
  <c r="P4336" i="11"/>
  <c r="P4346" i="11"/>
  <c r="P4356" i="11"/>
  <c r="P4366" i="11"/>
  <c r="P4374" i="11"/>
  <c r="P4384" i="11"/>
  <c r="P4394" i="11"/>
  <c r="P4403" i="11"/>
  <c r="P4414" i="11"/>
  <c r="P4422" i="11"/>
  <c r="P4431" i="11"/>
  <c r="P4442" i="11"/>
  <c r="P4451" i="11"/>
  <c r="P4459" i="11"/>
  <c r="P4470" i="11"/>
  <c r="P4479" i="11"/>
  <c r="P4488" i="11"/>
  <c r="P4499" i="11"/>
  <c r="P4507" i="11"/>
  <c r="P4516" i="11"/>
  <c r="P4527" i="11"/>
  <c r="P4536" i="11"/>
  <c r="P4544" i="11"/>
  <c r="P4555" i="11"/>
  <c r="P4564" i="11"/>
  <c r="P4574" i="11"/>
  <c r="P4584" i="11"/>
  <c r="P4592" i="11"/>
  <c r="P4602" i="11"/>
  <c r="P4612" i="11"/>
  <c r="P4622" i="11"/>
  <c r="P4630" i="11"/>
  <c r="P4640" i="11"/>
  <c r="P4650" i="11"/>
  <c r="P4659" i="11"/>
  <c r="P4670" i="11"/>
  <c r="P4678" i="11"/>
  <c r="P4687" i="11"/>
  <c r="P4698" i="11"/>
  <c r="P4707" i="11"/>
  <c r="P4715" i="11"/>
  <c r="P4726" i="11"/>
  <c r="P4735" i="11"/>
  <c r="P4744" i="11"/>
  <c r="P4755" i="11"/>
  <c r="P4763" i="11"/>
  <c r="P4772" i="11"/>
  <c r="P4783" i="11"/>
  <c r="P4792" i="11"/>
  <c r="P4800" i="11"/>
  <c r="P4811" i="11"/>
  <c r="P4820" i="11"/>
  <c r="P4830" i="11"/>
  <c r="P4840" i="11"/>
  <c r="P4848" i="11"/>
  <c r="P4858" i="11"/>
  <c r="P4868" i="11"/>
  <c r="P4878" i="11"/>
  <c r="P4886" i="11"/>
  <c r="P4896" i="11"/>
  <c r="P4906" i="11"/>
  <c r="P4915" i="11"/>
  <c r="P4926" i="11"/>
  <c r="P4934" i="11"/>
  <c r="P4943" i="11"/>
  <c r="P4954" i="11"/>
  <c r="P4963" i="11"/>
  <c r="P4971" i="11"/>
  <c r="P4982" i="11"/>
  <c r="P4991" i="11"/>
  <c r="P5000" i="11"/>
  <c r="P5011" i="11"/>
  <c r="P5019" i="11"/>
  <c r="P5028" i="11"/>
  <c r="P5039" i="11"/>
  <c r="P5048" i="11"/>
  <c r="P5056" i="11"/>
  <c r="P5067" i="11"/>
  <c r="P5076" i="11"/>
  <c r="P5086" i="11"/>
  <c r="P5096" i="11"/>
  <c r="P5104" i="11"/>
  <c r="P5114" i="11"/>
  <c r="P5124" i="11"/>
  <c r="P5134" i="11"/>
  <c r="P5142" i="11"/>
  <c r="P5152" i="11"/>
  <c r="P5162" i="11"/>
  <c r="P5171" i="11"/>
  <c r="P5182" i="11"/>
  <c r="P5190" i="11"/>
  <c r="P5199" i="11"/>
  <c r="P5210" i="11"/>
  <c r="P5219" i="11"/>
  <c r="P5227" i="11"/>
  <c r="P5238" i="11"/>
  <c r="P5247" i="11"/>
  <c r="P5256" i="11"/>
  <c r="P5267" i="11"/>
  <c r="P5275" i="11"/>
  <c r="P5284" i="11"/>
  <c r="P5295" i="11"/>
  <c r="P5304" i="11"/>
  <c r="P5312" i="11"/>
  <c r="P5323" i="11"/>
  <c r="P5332" i="11"/>
  <c r="P5342" i="11"/>
  <c r="P5352" i="11"/>
  <c r="P5360" i="11"/>
  <c r="P5370" i="11"/>
  <c r="P5380" i="11"/>
  <c r="P5390" i="11"/>
  <c r="P5398" i="11"/>
  <c r="P5408" i="11"/>
  <c r="P5418" i="11"/>
  <c r="P5427" i="11"/>
  <c r="P5438" i="11"/>
  <c r="P5446" i="11"/>
  <c r="P5455" i="11"/>
  <c r="P5466" i="11"/>
  <c r="P5475" i="11"/>
  <c r="P5483" i="11"/>
  <c r="P5494" i="11"/>
  <c r="P5503" i="11"/>
  <c r="P5512" i="11"/>
  <c r="P5523" i="11"/>
  <c r="P5531" i="11"/>
  <c r="P5540" i="11"/>
  <c r="P5551" i="11"/>
  <c r="P5560" i="11"/>
  <c r="P5568" i="11"/>
  <c r="P5579" i="11"/>
  <c r="P5588" i="11"/>
  <c r="P5598" i="11"/>
  <c r="P5608" i="11"/>
  <c r="P5616" i="11"/>
  <c r="P5626" i="11"/>
  <c r="P5636" i="11"/>
  <c r="P5646" i="11"/>
  <c r="P5654" i="11"/>
  <c r="P5664" i="11"/>
  <c r="P5674" i="11"/>
  <c r="P5683" i="11"/>
  <c r="P5694" i="11"/>
  <c r="P5702" i="11"/>
  <c r="P5711" i="11"/>
  <c r="P5722" i="11"/>
  <c r="P5731" i="11"/>
  <c r="P5739" i="11"/>
  <c r="P5750" i="11"/>
  <c r="P5759" i="11"/>
  <c r="P5768" i="11"/>
  <c r="P5779" i="11"/>
  <c r="P5787" i="11"/>
  <c r="P5796" i="11"/>
  <c r="P5807" i="11"/>
  <c r="P5816" i="11"/>
  <c r="P5824" i="11"/>
  <c r="P5835" i="11"/>
  <c r="P5844" i="11"/>
  <c r="P5854" i="11"/>
  <c r="P5864" i="11"/>
  <c r="P5872" i="11"/>
  <c r="P5882" i="11"/>
  <c r="P5892" i="11"/>
  <c r="P5902" i="11"/>
  <c r="P5910" i="11"/>
  <c r="P5920" i="11"/>
  <c r="P5930" i="11"/>
  <c r="P5939" i="11"/>
  <c r="P5950" i="11"/>
  <c r="P5958" i="11"/>
  <c r="P5967" i="11"/>
  <c r="P5978" i="11"/>
  <c r="P5987" i="11"/>
  <c r="P5995" i="11"/>
  <c r="P6006" i="11"/>
  <c r="P6015" i="11"/>
  <c r="P6024" i="11"/>
  <c r="P6035" i="11"/>
  <c r="P6043" i="11"/>
  <c r="P6052" i="11"/>
  <c r="P6063" i="11"/>
  <c r="P6072" i="11"/>
  <c r="P6080" i="11"/>
  <c r="P6091" i="11"/>
  <c r="P6100" i="11"/>
  <c r="P6110" i="11"/>
  <c r="P6120" i="11"/>
  <c r="P6128" i="11"/>
  <c r="P6138" i="11"/>
  <c r="P6148" i="11"/>
  <c r="P6158" i="11"/>
  <c r="P6166" i="11"/>
  <c r="P6176" i="11"/>
  <c r="P6186" i="11"/>
  <c r="P6195" i="11"/>
  <c r="P6206" i="11"/>
  <c r="P6214" i="11"/>
  <c r="P6223" i="11"/>
  <c r="P6234" i="11"/>
  <c r="P6243" i="11"/>
  <c r="P6251" i="11"/>
  <c r="P6262" i="11"/>
  <c r="P6271" i="11"/>
  <c r="P6280" i="11"/>
  <c r="P6291" i="11"/>
  <c r="P6299" i="11"/>
  <c r="P6308" i="11"/>
  <c r="P6319" i="11"/>
  <c r="P6328" i="11"/>
  <c r="P6336" i="11"/>
  <c r="P6347" i="11"/>
  <c r="P6356" i="11"/>
  <c r="P6366" i="11"/>
  <c r="P6376" i="11"/>
  <c r="P6384" i="11"/>
  <c r="P6394" i="11"/>
  <c r="P6404" i="11"/>
  <c r="P6414" i="11"/>
  <c r="P6422" i="11"/>
  <c r="P6432" i="11"/>
  <c r="P6442" i="11"/>
  <c r="P6451" i="11"/>
  <c r="P6462" i="11"/>
  <c r="P6470" i="11"/>
  <c r="P6479" i="11"/>
  <c r="P6490" i="11"/>
  <c r="P6499" i="11"/>
  <c r="P6507" i="11"/>
  <c r="P6518" i="11"/>
  <c r="P6527" i="11"/>
  <c r="P6536" i="11"/>
  <c r="P6547" i="11"/>
  <c r="P6555" i="11"/>
  <c r="P6564" i="11"/>
  <c r="P6575" i="11"/>
  <c r="P6584" i="11"/>
  <c r="P6592" i="11"/>
  <c r="P6603" i="11"/>
  <c r="P6612" i="11"/>
  <c r="P6622" i="11"/>
  <c r="P6632" i="11"/>
  <c r="P6640" i="11"/>
  <c r="P6650" i="11"/>
  <c r="P6660" i="11"/>
  <c r="P6670" i="11"/>
  <c r="P6678" i="11"/>
  <c r="P6688" i="11"/>
  <c r="P6698" i="11"/>
  <c r="P6707" i="11"/>
  <c r="P6718" i="11"/>
  <c r="P6726" i="11"/>
  <c r="P6735" i="11"/>
  <c r="P6744" i="11"/>
  <c r="P6751" i="11"/>
  <c r="P6757" i="11"/>
  <c r="P6765" i="11"/>
  <c r="P6772" i="11"/>
  <c r="P6779" i="11"/>
  <c r="P6787" i="11"/>
  <c r="P6793" i="11"/>
  <c r="P6800" i="11"/>
  <c r="P6808" i="11"/>
  <c r="P6815" i="11"/>
  <c r="P6821" i="11"/>
  <c r="P6829" i="11"/>
  <c r="P6836" i="11"/>
  <c r="P6843" i="11"/>
  <c r="P6851" i="11"/>
  <c r="P6857" i="11"/>
  <c r="P6864" i="11"/>
  <c r="P6872" i="11"/>
  <c r="P6879" i="11"/>
  <c r="P6885" i="11"/>
  <c r="P6893" i="11"/>
  <c r="P6900" i="11"/>
  <c r="P6907" i="11"/>
  <c r="P6915" i="11"/>
  <c r="P6921" i="11"/>
  <c r="P6928" i="11"/>
  <c r="P6936" i="11"/>
  <c r="P6943" i="11"/>
  <c r="P6949" i="11"/>
  <c r="P6957" i="11"/>
  <c r="P6964" i="11"/>
  <c r="P6971" i="11"/>
  <c r="P6979" i="11"/>
  <c r="P6985" i="11"/>
  <c r="P6992" i="11"/>
  <c r="P7000" i="11"/>
  <c r="P7007" i="11"/>
  <c r="P7013" i="11"/>
  <c r="P7021" i="11"/>
  <c r="P7028" i="11"/>
  <c r="P7035" i="11"/>
  <c r="P7043" i="11"/>
  <c r="P7049" i="11"/>
  <c r="P7056" i="11"/>
  <c r="P7064" i="11"/>
  <c r="P7071" i="11"/>
  <c r="P7077" i="11"/>
  <c r="P7085" i="11"/>
  <c r="P7092" i="11"/>
  <c r="P7099" i="11"/>
  <c r="P7107" i="11"/>
  <c r="P7113" i="11"/>
  <c r="P7120" i="11"/>
  <c r="P7128" i="11"/>
  <c r="P7135" i="11"/>
  <c r="P7141" i="11"/>
  <c r="P7149" i="11"/>
  <c r="P7156" i="11"/>
  <c r="P7163" i="11"/>
  <c r="P7171" i="11"/>
  <c r="P7177" i="11"/>
  <c r="P7184" i="11"/>
  <c r="P7192" i="11"/>
  <c r="P7199" i="11"/>
  <c r="P7205" i="11"/>
  <c r="P7213" i="11"/>
  <c r="P7220" i="11"/>
  <c r="P7227" i="11"/>
  <c r="P7235" i="11"/>
  <c r="P7241" i="11"/>
  <c r="P7248" i="11"/>
  <c r="P7256" i="11"/>
  <c r="P7263" i="11"/>
  <c r="P7269" i="11"/>
  <c r="P7277" i="11"/>
  <c r="P7284" i="11"/>
  <c r="P7291" i="11"/>
  <c r="P7299" i="11"/>
  <c r="P7305" i="11"/>
  <c r="P7312" i="11"/>
  <c r="P7320" i="11"/>
  <c r="P7327" i="11"/>
  <c r="P7333" i="11"/>
  <c r="P7341" i="11"/>
  <c r="P7348" i="11"/>
  <c r="P7355" i="11"/>
  <c r="P7363" i="11"/>
  <c r="P7369" i="11"/>
  <c r="P7376" i="11"/>
  <c r="P7384" i="11"/>
  <c r="P7391" i="11"/>
  <c r="P7397" i="11"/>
  <c r="P7405" i="11"/>
  <c r="P7412" i="11"/>
  <c r="P7419" i="11"/>
  <c r="P7427" i="11"/>
  <c r="P7433" i="11"/>
  <c r="P7440" i="11"/>
  <c r="P7448" i="11"/>
  <c r="P7455" i="11"/>
  <c r="P7461" i="11"/>
  <c r="P7469" i="11"/>
  <c r="P7476" i="11"/>
  <c r="P7483" i="11"/>
  <c r="P7491" i="11"/>
  <c r="P7497" i="11"/>
  <c r="P7504" i="11"/>
  <c r="P7512" i="11"/>
  <c r="P7519" i="11"/>
  <c r="P7525" i="11"/>
  <c r="P7533" i="11"/>
  <c r="P7540" i="11"/>
  <c r="P7547" i="11"/>
  <c r="P7555" i="11"/>
  <c r="P7561" i="11"/>
  <c r="P7568" i="11"/>
  <c r="P7576" i="11"/>
  <c r="P7583" i="11"/>
  <c r="P7589" i="11"/>
  <c r="P7597" i="11"/>
  <c r="P7604" i="11"/>
  <c r="P7611" i="11"/>
  <c r="P7619" i="11"/>
  <c r="P7625" i="11"/>
  <c r="P7632" i="11"/>
  <c r="P7640" i="11"/>
  <c r="P7647" i="11"/>
  <c r="P7653" i="11"/>
  <c r="P7661" i="11"/>
  <c r="P7668" i="11"/>
  <c r="P7675" i="11"/>
  <c r="P7683" i="11"/>
  <c r="P7689" i="11"/>
  <c r="P7696" i="11"/>
  <c r="P7704" i="11"/>
  <c r="P7711" i="11"/>
  <c r="P7717" i="11"/>
  <c r="P7725" i="11"/>
  <c r="P7732" i="11"/>
  <c r="P7739" i="11"/>
  <c r="P7747" i="11"/>
  <c r="P7753" i="11"/>
  <c r="P7760" i="11"/>
  <c r="P7768" i="11"/>
  <c r="P7775" i="11"/>
  <c r="P7781" i="11"/>
  <c r="P7789" i="11"/>
  <c r="P7796" i="11"/>
  <c r="P7803" i="11"/>
  <c r="P7811" i="11"/>
  <c r="P7817" i="11"/>
  <c r="P7824" i="11"/>
  <c r="P7832" i="11"/>
  <c r="P7839" i="11"/>
  <c r="P7845" i="11"/>
  <c r="P7853" i="11"/>
  <c r="P7860" i="11"/>
  <c r="P7867" i="11"/>
  <c r="P7875" i="11"/>
  <c r="P7881" i="11"/>
  <c r="P7888" i="11"/>
  <c r="P7896" i="11"/>
  <c r="P7903" i="11"/>
  <c r="P7909" i="11"/>
  <c r="P7917" i="11"/>
  <c r="P7924" i="11"/>
  <c r="P7931" i="11"/>
  <c r="P7939" i="11"/>
  <c r="P7945" i="11"/>
  <c r="P7952" i="11"/>
  <c r="P7960" i="11"/>
  <c r="P7967" i="11"/>
  <c r="P7973" i="11"/>
  <c r="P7981" i="11"/>
  <c r="P7988" i="11"/>
  <c r="P7995" i="11"/>
  <c r="P8003" i="11"/>
  <c r="P8009" i="11"/>
  <c r="P8016" i="11"/>
  <c r="P8024" i="11"/>
  <c r="P8031" i="11"/>
  <c r="P8037" i="11"/>
  <c r="P8045" i="11"/>
  <c r="P8052" i="11"/>
  <c r="P8059" i="11"/>
  <c r="P8067" i="11"/>
  <c r="P8073" i="11"/>
  <c r="P8080" i="11"/>
  <c r="P8088" i="11"/>
  <c r="P8095" i="11"/>
  <c r="P8101" i="11"/>
  <c r="P8109" i="11"/>
  <c r="P8116" i="11"/>
  <c r="P8123" i="11"/>
  <c r="P8131" i="11"/>
  <c r="P8137" i="11"/>
  <c r="P8144" i="11"/>
  <c r="P8152" i="11"/>
  <c r="P8159" i="11"/>
  <c r="P8165" i="11"/>
  <c r="P8173" i="11"/>
  <c r="P8180" i="11"/>
  <c r="P8187" i="11"/>
  <c r="P8195" i="11"/>
  <c r="P8201" i="11"/>
  <c r="P8208" i="11"/>
  <c r="P8216" i="11"/>
  <c r="P8223" i="11"/>
  <c r="P8229" i="11"/>
  <c r="P8237" i="11"/>
  <c r="P8244" i="11"/>
  <c r="P8251" i="11"/>
  <c r="P8259" i="11"/>
  <c r="P8265" i="11"/>
  <c r="P8272" i="11"/>
  <c r="P8280" i="11"/>
  <c r="P8287" i="11"/>
  <c r="P8293" i="11"/>
  <c r="P8301" i="11"/>
  <c r="P8308" i="11"/>
  <c r="P8315" i="11"/>
  <c r="P8323" i="11"/>
  <c r="P8329" i="11"/>
  <c r="P8336" i="11"/>
  <c r="P8344" i="11"/>
  <c r="P8351" i="11"/>
  <c r="P8357" i="11"/>
  <c r="P8365" i="11"/>
  <c r="P8372" i="11"/>
  <c r="P8379" i="11"/>
  <c r="P8387" i="11"/>
  <c r="P8393" i="11"/>
  <c r="P8400" i="11"/>
  <c r="P8408" i="11"/>
  <c r="P50" i="11"/>
  <c r="P114" i="11"/>
  <c r="P173" i="11"/>
  <c r="P230" i="11"/>
  <c r="P293" i="11"/>
  <c r="P351" i="11"/>
  <c r="P391" i="11"/>
  <c r="P439" i="11"/>
  <c r="P486" i="11"/>
  <c r="P529" i="11"/>
  <c r="P577" i="11"/>
  <c r="P619" i="11"/>
  <c r="P663" i="11"/>
  <c r="P710" i="11"/>
  <c r="P757" i="11"/>
  <c r="P789" i="11"/>
  <c r="P825" i="11"/>
  <c r="P860" i="11"/>
  <c r="P891" i="11"/>
  <c r="P927" i="11"/>
  <c r="P960" i="11"/>
  <c r="P993" i="11"/>
  <c r="P1025" i="11"/>
  <c r="P1061" i="11"/>
  <c r="P1093" i="11"/>
  <c r="P1129" i="11"/>
  <c r="P1164" i="11"/>
  <c r="P1195" i="11"/>
  <c r="P1231" i="11"/>
  <c r="P1264" i="11"/>
  <c r="P1296" i="11"/>
  <c r="P1329" i="11"/>
  <c r="P1365" i="11"/>
  <c r="P1396" i="11"/>
  <c r="P1431" i="11"/>
  <c r="P1467" i="11"/>
  <c r="P1499" i="11"/>
  <c r="P1535" i="11"/>
  <c r="P1567" i="11"/>
  <c r="P1600" i="11"/>
  <c r="P1630" i="11"/>
  <c r="P1657" i="11"/>
  <c r="P1676" i="11"/>
  <c r="P1694" i="11"/>
  <c r="P1708" i="11"/>
  <c r="P1726" i="11"/>
  <c r="P1744" i="11"/>
  <c r="P1761" i="11"/>
  <c r="P1776" i="11"/>
  <c r="P1793" i="11"/>
  <c r="P1812" i="11"/>
  <c r="P1828" i="11"/>
  <c r="P1846" i="11"/>
  <c r="P1861" i="11"/>
  <c r="P1877" i="11"/>
  <c r="P1897" i="11"/>
  <c r="P1913" i="11"/>
  <c r="P1926" i="11"/>
  <c r="P1946" i="11"/>
  <c r="P1962" i="11"/>
  <c r="P1978" i="11"/>
  <c r="P1998" i="11"/>
  <c r="P2012" i="11"/>
  <c r="P2028" i="11"/>
  <c r="P2048" i="11"/>
  <c r="P2064" i="11"/>
  <c r="P2078" i="11"/>
  <c r="P2097" i="11"/>
  <c r="P2113" i="11"/>
  <c r="P2132" i="11"/>
  <c r="P2149" i="11"/>
  <c r="P2164" i="11"/>
  <c r="P2181" i="11"/>
  <c r="P2198" i="11"/>
  <c r="P2217" i="11"/>
  <c r="P2230" i="11"/>
  <c r="P2249" i="11"/>
  <c r="P2266" i="11"/>
  <c r="P2282" i="11"/>
  <c r="P2302" i="11"/>
  <c r="P2316" i="11"/>
  <c r="P2332" i="11"/>
  <c r="P2352" i="11"/>
  <c r="P2368" i="11"/>
  <c r="P2382" i="11"/>
  <c r="P38" i="11"/>
  <c r="P98" i="11"/>
  <c r="P156" i="11"/>
  <c r="P220" i="11"/>
  <c r="P277" i="11"/>
  <c r="P341" i="11"/>
  <c r="P386" i="11"/>
  <c r="P427" i="11"/>
  <c r="P475" i="11"/>
  <c r="P519" i="11"/>
  <c r="P562" i="11"/>
  <c r="P607" i="11"/>
  <c r="P655" i="11"/>
  <c r="P695" i="11"/>
  <c r="P742" i="11"/>
  <c r="P784" i="11"/>
  <c r="P816" i="11"/>
  <c r="P852" i="11"/>
  <c r="P884" i="11"/>
  <c r="P917" i="11"/>
  <c r="P951" i="11"/>
  <c r="P987" i="11"/>
  <c r="P1017" i="11"/>
  <c r="P1052" i="11"/>
  <c r="P1088" i="11"/>
  <c r="P1119" i="11"/>
  <c r="P1153" i="11"/>
  <c r="P1188" i="11"/>
  <c r="P1221" i="11"/>
  <c r="P1253" i="11"/>
  <c r="P1289" i="11"/>
  <c r="P1321" i="11"/>
  <c r="P1356" i="11"/>
  <c r="P1392" i="11"/>
  <c r="P1423" i="11"/>
  <c r="P1457" i="11"/>
  <c r="P1492" i="11"/>
  <c r="P1524" i="11"/>
  <c r="P1557" i="11"/>
  <c r="P1593" i="11"/>
  <c r="P1622" i="11"/>
  <c r="P1649" i="11"/>
  <c r="P1670" i="11"/>
  <c r="P1686" i="11"/>
  <c r="P1706" i="11"/>
  <c r="P1722" i="11"/>
  <c r="P1737" i="11"/>
  <c r="P1756" i="11"/>
  <c r="P1772" i="11"/>
  <c r="P1790" i="11"/>
  <c r="P1808" i="11"/>
  <c r="P1822" i="11"/>
  <c r="P1840" i="11"/>
  <c r="P1857" i="11"/>
  <c r="P1876" i="11"/>
  <c r="P1889" i="11"/>
  <c r="P1908" i="11"/>
  <c r="P1925" i="11"/>
  <c r="P1941" i="11"/>
  <c r="P1961" i="11"/>
  <c r="P1974" i="11"/>
  <c r="P1990" i="11"/>
  <c r="P2010" i="11"/>
  <c r="P2026" i="11"/>
  <c r="P2041" i="11"/>
  <c r="P2060" i="11"/>
  <c r="P2076" i="11"/>
  <c r="P2092" i="11"/>
  <c r="P2112" i="11"/>
  <c r="P2126" i="11"/>
  <c r="P2142" i="11"/>
  <c r="P2161" i="11"/>
  <c r="P2177" i="11"/>
  <c r="P2192" i="11"/>
  <c r="P2212" i="11"/>
  <c r="P2228" i="11"/>
  <c r="P2245" i="11"/>
  <c r="P2262" i="11"/>
  <c r="P2277" i="11"/>
  <c r="P2294" i="11"/>
  <c r="P2313" i="11"/>
  <c r="P2330" i="11"/>
  <c r="P2345" i="11"/>
  <c r="P2362" i="11"/>
  <c r="P2380" i="11"/>
  <c r="P2396" i="11"/>
  <c r="P2416" i="11"/>
  <c r="P2430" i="11"/>
  <c r="P2446" i="11"/>
  <c r="P2465" i="11"/>
  <c r="P2481" i="11"/>
  <c r="P2496" i="11"/>
  <c r="P2516" i="11"/>
  <c r="P2532" i="11"/>
  <c r="P2548" i="11"/>
  <c r="P2566" i="11"/>
  <c r="P2581" i="11"/>
  <c r="P2597" i="11"/>
  <c r="P2617" i="11"/>
  <c r="P2633" i="11"/>
  <c r="P2646" i="11"/>
  <c r="P2666" i="11"/>
  <c r="P2682" i="11"/>
  <c r="P2700" i="11"/>
  <c r="P2718" i="11"/>
  <c r="P2732" i="11"/>
  <c r="P2750" i="11"/>
  <c r="P2768" i="11"/>
  <c r="P2785" i="11"/>
  <c r="P2800" i="11"/>
  <c r="P2817" i="11"/>
  <c r="P2836" i="11"/>
  <c r="P2852" i="11"/>
  <c r="P2870" i="11"/>
  <c r="P2885" i="11"/>
  <c r="P2901" i="11"/>
  <c r="P2921" i="11"/>
  <c r="P2937" i="11"/>
  <c r="P2950" i="11"/>
  <c r="P2970" i="11"/>
  <c r="P2986" i="11"/>
  <c r="P3002" i="11"/>
  <c r="P3022" i="11"/>
  <c r="P3036" i="11"/>
  <c r="P3052" i="11"/>
  <c r="P3072" i="11"/>
  <c r="P3088" i="11"/>
  <c r="P3102" i="11"/>
  <c r="P3121" i="11"/>
  <c r="P3137" i="11"/>
  <c r="P3156" i="11"/>
  <c r="P3173" i="11"/>
  <c r="P3188" i="11"/>
  <c r="P3205" i="11"/>
  <c r="P3222" i="11"/>
  <c r="P3241" i="11"/>
  <c r="P3254" i="11"/>
  <c r="P3273" i="11"/>
  <c r="P3290" i="11"/>
  <c r="P3306" i="11"/>
  <c r="P3326" i="11"/>
  <c r="P86" i="11"/>
  <c r="P202" i="11"/>
  <c r="P321" i="11"/>
  <c r="P418" i="11"/>
  <c r="P506" i="11"/>
  <c r="P597" i="11"/>
  <c r="P690" i="11"/>
  <c r="P775" i="11"/>
  <c r="P841" i="11"/>
  <c r="P911" i="11"/>
  <c r="P976" i="11"/>
  <c r="P1044" i="11"/>
  <c r="P1111" i="11"/>
  <c r="P1179" i="11"/>
  <c r="P1244" i="11"/>
  <c r="P1316" i="11"/>
  <c r="P1381" i="11"/>
  <c r="P1449" i="11"/>
  <c r="P1516" i="11"/>
  <c r="P1584" i="11"/>
  <c r="P1642" i="11"/>
  <c r="P1685" i="11"/>
  <c r="P1718" i="11"/>
  <c r="P1750" i="11"/>
  <c r="P1785" i="11"/>
  <c r="P1820" i="11"/>
  <c r="P1850" i="11"/>
  <c r="P1886" i="11"/>
  <c r="P1921" i="11"/>
  <c r="P1953" i="11"/>
  <c r="P1989" i="11"/>
  <c r="P2021" i="11"/>
  <c r="P2054" i="11"/>
  <c r="P2089" i="11"/>
  <c r="P2124" i="11"/>
  <c r="P2154" i="11"/>
  <c r="P2190" i="11"/>
  <c r="P2225" i="11"/>
  <c r="P2256" i="11"/>
  <c r="P2292" i="11"/>
  <c r="P2325" i="11"/>
  <c r="P2358" i="11"/>
  <c r="P2390" i="11"/>
  <c r="P2417" i="11"/>
  <c r="P2438" i="11"/>
  <c r="P2458" i="11"/>
  <c r="P2484" i="11"/>
  <c r="P2505" i="11"/>
  <c r="P2529" i="11"/>
  <c r="P2553" i="11"/>
  <c r="P2572" i="11"/>
  <c r="P2596" i="11"/>
  <c r="P2618" i="11"/>
  <c r="P2644" i="11"/>
  <c r="P2661" i="11"/>
  <c r="P2686" i="11"/>
  <c r="P2709" i="11"/>
  <c r="P2730" i="11"/>
  <c r="P2757" i="11"/>
  <c r="P2774" i="11"/>
  <c r="P2796" i="11"/>
  <c r="P2822" i="11"/>
  <c r="P2844" i="11"/>
  <c r="P2864" i="11"/>
  <c r="P2889" i="11"/>
  <c r="P2910" i="11"/>
  <c r="P2932" i="11"/>
  <c r="P2958" i="11"/>
  <c r="P2977" i="11"/>
  <c r="P2998" i="11"/>
  <c r="P3024" i="11"/>
  <c r="P3045" i="11"/>
  <c r="P3065" i="11"/>
  <c r="P3092" i="11"/>
  <c r="P3113" i="11"/>
  <c r="P3136" i="11"/>
  <c r="P3158" i="11"/>
  <c r="P3178" i="11"/>
  <c r="P3201" i="11"/>
  <c r="P3226" i="11"/>
  <c r="P3249" i="11"/>
  <c r="P3269" i="11"/>
  <c r="P3292" i="11"/>
  <c r="P3316" i="11"/>
  <c r="P3334" i="11"/>
  <c r="P3347" i="11"/>
  <c r="P3358" i="11"/>
  <c r="P3371" i="11"/>
  <c r="P3384" i="11"/>
  <c r="P3396" i="11"/>
  <c r="P3411" i="11"/>
  <c r="P3422" i="11"/>
  <c r="P3434" i="11"/>
  <c r="P3448" i="11"/>
  <c r="P3460" i="11"/>
  <c r="P3471" i="11"/>
  <c r="P3486" i="11"/>
  <c r="P3498" i="11"/>
  <c r="P3510" i="11"/>
  <c r="P3524" i="11"/>
  <c r="P3535" i="11"/>
  <c r="P3547" i="11"/>
  <c r="P3562" i="11"/>
  <c r="P3574" i="11"/>
  <c r="P3584" i="11"/>
  <c r="P3599" i="11"/>
  <c r="P3611" i="11"/>
  <c r="P3624" i="11"/>
  <c r="P3638" i="11"/>
  <c r="P3648" i="11"/>
  <c r="P3662" i="11"/>
  <c r="P3675" i="11"/>
  <c r="P3688" i="11"/>
  <c r="P3699" i="11"/>
  <c r="P3712" i="11"/>
  <c r="P3726" i="11"/>
  <c r="P3738" i="11"/>
  <c r="P3752" i="11"/>
  <c r="P3763" i="11"/>
  <c r="P3775" i="11"/>
  <c r="P3790" i="11"/>
  <c r="P3802" i="11"/>
  <c r="P3812" i="11"/>
  <c r="P3827" i="11"/>
  <c r="P3839" i="11"/>
  <c r="P3851" i="11"/>
  <c r="P3866" i="11"/>
  <c r="P3876" i="11"/>
  <c r="P3888" i="11"/>
  <c r="P3903" i="11"/>
  <c r="P3915" i="11"/>
  <c r="P3926" i="11"/>
  <c r="P3940" i="11"/>
  <c r="P3952" i="11"/>
  <c r="P3966" i="11"/>
  <c r="P3979" i="11"/>
  <c r="P3990" i="11"/>
  <c r="P4003" i="11"/>
  <c r="P4016" i="11"/>
  <c r="P4030" i="11"/>
  <c r="P4040" i="11"/>
  <c r="P4054" i="11"/>
  <c r="P4067" i="11"/>
  <c r="P4079" i="11"/>
  <c r="P4094" i="11"/>
  <c r="P4104" i="11"/>
  <c r="P4116" i="11"/>
  <c r="P4131" i="11"/>
  <c r="P4143" i="11"/>
  <c r="P4154" i="11"/>
  <c r="P4168" i="11"/>
  <c r="P4180" i="11"/>
  <c r="P4192" i="11"/>
  <c r="P4207" i="11"/>
  <c r="P4218" i="11"/>
  <c r="P4230" i="11"/>
  <c r="P4244" i="11"/>
  <c r="P4256" i="11"/>
  <c r="P4267" i="11"/>
  <c r="P4282" i="11"/>
  <c r="P4294" i="11"/>
  <c r="P4307" i="11"/>
  <c r="P4320" i="11"/>
  <c r="P4331" i="11"/>
  <c r="P4344" i="11"/>
  <c r="P4358" i="11"/>
  <c r="P4371" i="11"/>
  <c r="P4382" i="11"/>
  <c r="P4395" i="11"/>
  <c r="P4408" i="11"/>
  <c r="P66" i="11"/>
  <c r="P188" i="11"/>
  <c r="P306" i="11"/>
  <c r="P406" i="11"/>
  <c r="P493" i="11"/>
  <c r="P589" i="11"/>
  <c r="P677" i="11"/>
  <c r="P767" i="11"/>
  <c r="P833" i="11"/>
  <c r="P901" i="11"/>
  <c r="P967" i="11"/>
  <c r="P1036" i="11"/>
  <c r="P1103" i="11"/>
  <c r="P1168" i="11"/>
  <c r="P1239" i="11"/>
  <c r="P1307" i="11"/>
  <c r="P1372" i="11"/>
  <c r="P1441" i="11"/>
  <c r="P1508" i="11"/>
  <c r="P1573" i="11"/>
  <c r="P1637" i="11"/>
  <c r="P1680" i="11"/>
  <c r="P1713" i="11"/>
  <c r="P1748" i="11"/>
  <c r="P1782" i="11"/>
  <c r="P1813" i="11"/>
  <c r="P1849" i="11"/>
  <c r="P1884" i="11"/>
  <c r="P1914" i="11"/>
  <c r="P1950" i="11"/>
  <c r="P1984" i="11"/>
  <c r="P2017" i="11"/>
  <c r="P2049" i="11"/>
  <c r="P2085" i="11"/>
  <c r="P2117" i="11"/>
  <c r="P2153" i="11"/>
  <c r="P2188" i="11"/>
  <c r="P2218" i="11"/>
  <c r="P2254" i="11"/>
  <c r="P2288" i="11"/>
  <c r="P2320" i="11"/>
  <c r="P2353" i="11"/>
  <c r="P2389" i="11"/>
  <c r="P2409" i="11"/>
  <c r="P2433" i="11"/>
  <c r="P2454" i="11"/>
  <c r="P2476" i="11"/>
  <c r="P2502" i="11"/>
  <c r="P2522" i="11"/>
  <c r="P2544" i="11"/>
  <c r="P2569" i="11"/>
  <c r="P2590" i="11"/>
  <c r="P2609" i="11"/>
  <c r="P2636" i="11"/>
  <c r="P2657" i="11"/>
  <c r="P2681" i="11"/>
  <c r="P2704" i="11"/>
  <c r="P2724" i="11"/>
  <c r="P2746" i="11"/>
  <c r="P2772" i="11"/>
  <c r="P2794" i="11"/>
  <c r="P2814" i="11"/>
  <c r="P2837" i="11"/>
  <c r="P2860" i="11"/>
  <c r="P2881" i="11"/>
  <c r="P2908" i="11"/>
  <c r="P2928" i="11"/>
  <c r="P2949" i="11"/>
  <c r="P2974" i="11"/>
  <c r="P2996" i="11"/>
  <c r="P3014" i="11"/>
  <c r="P3041" i="11"/>
  <c r="P3062" i="11"/>
  <c r="P3084" i="11"/>
  <c r="P3109" i="11"/>
  <c r="P3129" i="11"/>
  <c r="P3150" i="11"/>
  <c r="P3177" i="11"/>
  <c r="P3198" i="11"/>
  <c r="P3216" i="11"/>
  <c r="P3242" i="11"/>
  <c r="P3264" i="11"/>
  <c r="P3286" i="11"/>
  <c r="P3312" i="11"/>
  <c r="P3328" i="11"/>
  <c r="P3343" i="11"/>
  <c r="P3355" i="11"/>
  <c r="P3368" i="11"/>
  <c r="P3382" i="11"/>
  <c r="P3392" i="11"/>
  <c r="P3406" i="11"/>
  <c r="P3419" i="11"/>
  <c r="P3432" i="11"/>
  <c r="P3443" i="11"/>
  <c r="P3456" i="11"/>
  <c r="P3470" i="11"/>
  <c r="P3482" i="11"/>
  <c r="P3496" i="11"/>
  <c r="P3507" i="11"/>
  <c r="P3519" i="11"/>
  <c r="P3534" i="11"/>
  <c r="P3546" i="11"/>
  <c r="P3556" i="11"/>
  <c r="P3571" i="11"/>
  <c r="P3583" i="11"/>
  <c r="P3595" i="11"/>
  <c r="P3610" i="11"/>
  <c r="P3620" i="11"/>
  <c r="P3632" i="11"/>
  <c r="P3647" i="11"/>
  <c r="P3659" i="11"/>
  <c r="P3670" i="11"/>
  <c r="P3684" i="11"/>
  <c r="P3696" i="11"/>
  <c r="P3710" i="11"/>
  <c r="P3723" i="11"/>
  <c r="P3734" i="11"/>
  <c r="P3747" i="11"/>
  <c r="P3760" i="11"/>
  <c r="P3774" i="11"/>
  <c r="P3784" i="11"/>
  <c r="P3798" i="11"/>
  <c r="P3811" i="11"/>
  <c r="P3823" i="11"/>
  <c r="P3838" i="11"/>
  <c r="P3848" i="11"/>
  <c r="P3860" i="11"/>
  <c r="P3875" i="11"/>
  <c r="P3887" i="11"/>
  <c r="P3898" i="11"/>
  <c r="P3912" i="11"/>
  <c r="P3924" i="11"/>
  <c r="P3936" i="11"/>
  <c r="P3951" i="11"/>
  <c r="P3962" i="11"/>
  <c r="P3974" i="11"/>
  <c r="P3988" i="11"/>
  <c r="P4000" i="11"/>
  <c r="P4011" i="11"/>
  <c r="P4026" i="11"/>
  <c r="P4038" i="11"/>
  <c r="P4051" i="11"/>
  <c r="P4064" i="11"/>
  <c r="P4075" i="11"/>
  <c r="P4088" i="11"/>
  <c r="P4102" i="11"/>
  <c r="P4115" i="11"/>
  <c r="P4126" i="11"/>
  <c r="P4139" i="11"/>
  <c r="P4152" i="11"/>
  <c r="P4164" i="11"/>
  <c r="P4179" i="11"/>
  <c r="P4190" i="11"/>
  <c r="P4202" i="11"/>
  <c r="P4216" i="11"/>
  <c r="P4228" i="11"/>
  <c r="P4239" i="11"/>
  <c r="P4254" i="11"/>
  <c r="P4266" i="11"/>
  <c r="P4278" i="11"/>
  <c r="P4292" i="11"/>
  <c r="P4303" i="11"/>
  <c r="P4315" i="11"/>
  <c r="P4330" i="11"/>
  <c r="P4342" i="11"/>
  <c r="P4352" i="11"/>
  <c r="P4367" i="11"/>
  <c r="P4379" i="11"/>
  <c r="P4392" i="11"/>
  <c r="P4406" i="11"/>
  <c r="P4416" i="11"/>
  <c r="P4430" i="11"/>
  <c r="P4443" i="11"/>
  <c r="P4456" i="11"/>
  <c r="P4467" i="11"/>
  <c r="P4480" i="11"/>
  <c r="P4494" i="11"/>
  <c r="P4506" i="11"/>
  <c r="P4520" i="11"/>
  <c r="P4531" i="11"/>
  <c r="P4543" i="11"/>
  <c r="P4558" i="11"/>
  <c r="P4570" i="11"/>
  <c r="P4580" i="11"/>
  <c r="P4595" i="11"/>
  <c r="P4607" i="11"/>
  <c r="P4619" i="11"/>
  <c r="P4634" i="11"/>
  <c r="P4644" i="11"/>
  <c r="P4656" i="11"/>
  <c r="P4671" i="11"/>
  <c r="P4683" i="11"/>
  <c r="P4694" i="11"/>
  <c r="P4708" i="11"/>
  <c r="P4720" i="11"/>
  <c r="P4734" i="11"/>
  <c r="P4747" i="11"/>
  <c r="P4758" i="11"/>
  <c r="P4771" i="11"/>
  <c r="P4784" i="11"/>
  <c r="P4798" i="11"/>
  <c r="P4808" i="11"/>
  <c r="P4822" i="11"/>
  <c r="P4835" i="11"/>
  <c r="P4847" i="11"/>
  <c r="P4862" i="11"/>
  <c r="P4872" i="11"/>
  <c r="P4884" i="11"/>
  <c r="P4899" i="11"/>
  <c r="P4911" i="11"/>
  <c r="P4922" i="11"/>
  <c r="P4936" i="11"/>
  <c r="P4948" i="11"/>
  <c r="P4960" i="11"/>
  <c r="P4975" i="11"/>
  <c r="P4986" i="11"/>
  <c r="P4998" i="11"/>
  <c r="P5012" i="11"/>
  <c r="P5024" i="11"/>
  <c r="P5035" i="11"/>
  <c r="P5050" i="11"/>
  <c r="P5062" i="11"/>
  <c r="P141" i="11"/>
  <c r="P373" i="11"/>
  <c r="P554" i="11"/>
  <c r="P731" i="11"/>
  <c r="P875" i="11"/>
  <c r="P1012" i="11"/>
  <c r="P1145" i="11"/>
  <c r="P1280" i="11"/>
  <c r="P1415" i="11"/>
  <c r="P1548" i="11"/>
  <c r="P1669" i="11"/>
  <c r="P1734" i="11"/>
  <c r="P1801" i="11"/>
  <c r="P1870" i="11"/>
  <c r="P1936" i="11"/>
  <c r="P2004" i="11"/>
  <c r="P2074" i="11"/>
  <c r="P2140" i="11"/>
  <c r="P2206" i="11"/>
  <c r="P2276" i="11"/>
  <c r="P2341" i="11"/>
  <c r="P2405" i="11"/>
  <c r="P2453" i="11"/>
  <c r="P2494" i="11"/>
  <c r="P2540" i="11"/>
  <c r="P2586" i="11"/>
  <c r="P2629" i="11"/>
  <c r="P2673" i="11"/>
  <c r="P2721" i="11"/>
  <c r="P2761" i="11"/>
  <c r="P2809" i="11"/>
  <c r="P2857" i="11"/>
  <c r="P2900" i="11"/>
  <c r="P2945" i="11"/>
  <c r="P2988" i="11"/>
  <c r="P3034" i="11"/>
  <c r="P3078" i="11"/>
  <c r="P3126" i="11"/>
  <c r="P3166" i="11"/>
  <c r="P3214" i="11"/>
  <c r="P3262" i="11"/>
  <c r="P3301" i="11"/>
  <c r="P3339" i="11"/>
  <c r="P3364" i="11"/>
  <c r="P3391" i="11"/>
  <c r="P3414" i="11"/>
  <c r="P3440" i="11"/>
  <c r="P3467" i="11"/>
  <c r="P3491" i="11"/>
  <c r="P3518" i="11"/>
  <c r="P3542" i="11"/>
  <c r="P3567" i="11"/>
  <c r="P3592" i="11"/>
  <c r="P3619" i="11"/>
  <c r="P3642" i="11"/>
  <c r="P3668" i="11"/>
  <c r="P3695" i="11"/>
  <c r="P3718" i="11"/>
  <c r="P3744" i="11"/>
  <c r="P3770" i="11"/>
  <c r="P3795" i="11"/>
  <c r="P3819" i="11"/>
  <c r="P3846" i="11"/>
  <c r="P3870" i="11"/>
  <c r="P3896" i="11"/>
  <c r="P3923" i="11"/>
  <c r="P3946" i="11"/>
  <c r="P3972" i="11"/>
  <c r="P3998" i="11"/>
  <c r="P4022" i="11"/>
  <c r="P4047" i="11"/>
  <c r="P4074" i="11"/>
  <c r="P4096" i="11"/>
  <c r="P4123" i="11"/>
  <c r="P4150" i="11"/>
  <c r="P4174" i="11"/>
  <c r="P4200" i="11"/>
  <c r="P4224" i="11"/>
  <c r="P4250" i="11"/>
  <c r="P4275" i="11"/>
  <c r="P4302" i="11"/>
  <c r="P4324" i="11"/>
  <c r="P4351" i="11"/>
  <c r="P4378" i="11"/>
  <c r="P4400" i="11"/>
  <c r="P4424" i="11"/>
  <c r="P4438" i="11"/>
  <c r="P4458" i="11"/>
  <c r="P4474" i="11"/>
  <c r="P4491" i="11"/>
  <c r="P4510" i="11"/>
  <c r="P4523" i="11"/>
  <c r="P4542" i="11"/>
  <c r="P4559" i="11"/>
  <c r="P4576" i="11"/>
  <c r="P4591" i="11"/>
  <c r="P4608" i="11"/>
  <c r="P4627" i="11"/>
  <c r="P4643" i="11"/>
  <c r="P4662" i="11"/>
  <c r="P4676" i="11"/>
  <c r="P4692" i="11"/>
  <c r="P4712" i="11"/>
  <c r="P4728" i="11"/>
  <c r="P4742" i="11"/>
  <c r="P4762" i="11"/>
  <c r="P4778" i="11"/>
  <c r="P4794" i="11"/>
  <c r="P4814" i="11"/>
  <c r="P4827" i="11"/>
  <c r="P4843" i="11"/>
  <c r="P4863" i="11"/>
  <c r="P4879" i="11"/>
  <c r="P4894" i="11"/>
  <c r="P4912" i="11"/>
  <c r="P4928" i="11"/>
  <c r="P4947" i="11"/>
  <c r="P4964" i="11"/>
  <c r="P4979" i="11"/>
  <c r="P4996" i="11"/>
  <c r="P5014" i="11"/>
  <c r="P5032" i="11"/>
  <c r="P5046" i="11"/>
  <c r="P5064" i="11"/>
  <c r="P5078" i="11"/>
  <c r="P5091" i="11"/>
  <c r="P5103" i="11"/>
  <c r="P5118" i="11"/>
  <c r="P5128" i="11"/>
  <c r="P5140" i="11"/>
  <c r="P5155" i="11"/>
  <c r="P5167" i="11"/>
  <c r="P5178" i="11"/>
  <c r="P5192" i="11"/>
  <c r="P5204" i="11"/>
  <c r="P5216" i="11"/>
  <c r="P5231" i="11"/>
  <c r="P5242" i="11"/>
  <c r="P5254" i="11"/>
  <c r="P5268" i="11"/>
  <c r="P5280" i="11"/>
  <c r="P5291" i="11"/>
  <c r="P5306" i="11"/>
  <c r="P5318" i="11"/>
  <c r="P5331" i="11"/>
  <c r="P5344" i="11"/>
  <c r="P5355" i="11"/>
  <c r="P5368" i="11"/>
  <c r="P5382" i="11"/>
  <c r="P5395" i="11"/>
  <c r="P5406" i="11"/>
  <c r="P5419" i="11"/>
  <c r="P5432" i="11"/>
  <c r="P5444" i="11"/>
  <c r="P5459" i="11"/>
  <c r="P5470" i="11"/>
  <c r="P5482" i="11"/>
  <c r="P5496" i="11"/>
  <c r="P5508" i="11"/>
  <c r="P5519" i="11"/>
  <c r="P5534" i="11"/>
  <c r="P5546" i="11"/>
  <c r="P5558" i="11"/>
  <c r="P5572" i="11"/>
  <c r="P5583" i="11"/>
  <c r="P5595" i="11"/>
  <c r="P5610" i="11"/>
  <c r="P5622" i="11"/>
  <c r="P5632" i="11"/>
  <c r="P5647" i="11"/>
  <c r="P5659" i="11"/>
  <c r="P5672" i="11"/>
  <c r="P5686" i="11"/>
  <c r="P5696" i="11"/>
  <c r="P5710" i="11"/>
  <c r="P5723" i="11"/>
  <c r="P5736" i="11"/>
  <c r="P5747" i="11"/>
  <c r="P5760" i="11"/>
  <c r="P5774" i="11"/>
  <c r="P5786" i="11"/>
  <c r="P5800" i="11"/>
  <c r="P5811" i="11"/>
  <c r="P5823" i="11"/>
  <c r="P5838" i="11"/>
  <c r="P5850" i="11"/>
  <c r="P5860" i="11"/>
  <c r="P5875" i="11"/>
  <c r="P5887" i="11"/>
  <c r="P5899" i="11"/>
  <c r="P5914" i="11"/>
  <c r="P5924" i="11"/>
  <c r="P5936" i="11"/>
  <c r="P5951" i="11"/>
  <c r="P5963" i="11"/>
  <c r="P5974" i="11"/>
  <c r="P5988" i="11"/>
  <c r="P6000" i="11"/>
  <c r="P6014" i="11"/>
  <c r="P6027" i="11"/>
  <c r="P6038" i="11"/>
  <c r="P6051" i="11"/>
  <c r="P6064" i="11"/>
  <c r="P6078" i="11"/>
  <c r="P6088" i="11"/>
  <c r="P6102" i="11"/>
  <c r="P6115" i="11"/>
  <c r="P6127" i="11"/>
  <c r="P6142" i="11"/>
  <c r="P6152" i="11"/>
  <c r="P6164" i="11"/>
  <c r="P6179" i="11"/>
  <c r="P6191" i="11"/>
  <c r="P6202" i="11"/>
  <c r="P6216" i="11"/>
  <c r="P6228" i="11"/>
  <c r="P6240" i="11"/>
  <c r="P6255" i="11"/>
  <c r="P6266" i="11"/>
  <c r="P6278" i="11"/>
  <c r="P6292" i="11"/>
  <c r="P6304" i="11"/>
  <c r="P6315" i="11"/>
  <c r="P6330" i="11"/>
  <c r="P6342" i="11"/>
  <c r="P6355" i="11"/>
  <c r="P6368" i="11"/>
  <c r="P6379" i="11"/>
  <c r="P6392" i="11"/>
  <c r="P6406" i="11"/>
  <c r="P6419" i="11"/>
  <c r="P6430" i="11"/>
  <c r="P6443" i="11"/>
  <c r="P6456" i="11"/>
  <c r="P6468" i="11"/>
  <c r="P6483" i="11"/>
  <c r="P250" i="11"/>
  <c r="P454" i="11"/>
  <c r="P629" i="11"/>
  <c r="P799" i="11"/>
  <c r="P937" i="11"/>
  <c r="P1068" i="11"/>
  <c r="P1204" i="11"/>
  <c r="P1339" i="11"/>
  <c r="P1472" i="11"/>
  <c r="P1609" i="11"/>
  <c r="P1697" i="11"/>
  <c r="P1764" i="11"/>
  <c r="P1833" i="11"/>
  <c r="P1898" i="11"/>
  <c r="P1964" i="11"/>
  <c r="P2036" i="11"/>
  <c r="P2102" i="11"/>
  <c r="P2169" i="11"/>
  <c r="P2238" i="11"/>
  <c r="P2304" i="11"/>
  <c r="P2369" i="11"/>
  <c r="P2420" i="11"/>
  <c r="P2468" i="11"/>
  <c r="P2510" i="11"/>
  <c r="P2558" i="11"/>
  <c r="P2604" i="11"/>
  <c r="P2645" i="11"/>
  <c r="P2693" i="11"/>
  <c r="P2737" i="11"/>
  <c r="P2780" i="11"/>
  <c r="P2825" i="11"/>
  <c r="P2873" i="11"/>
  <c r="P2913" i="11"/>
  <c r="P2960" i="11"/>
  <c r="P3008" i="11"/>
  <c r="P3050" i="11"/>
  <c r="P3098" i="11"/>
  <c r="P3141" i="11"/>
  <c r="P3185" i="11"/>
  <c r="P3230" i="11"/>
  <c r="P3278" i="11"/>
  <c r="P3318" i="11"/>
  <c r="P3348" i="11"/>
  <c r="P3375" i="11"/>
  <c r="P3400" i="11"/>
  <c r="P3424" i="11"/>
  <c r="P3450" i="11"/>
  <c r="P3476" i="11"/>
  <c r="P3499" i="11"/>
  <c r="P3526" i="11"/>
  <c r="P3552" i="11"/>
  <c r="P3576" i="11"/>
  <c r="P3603" i="11"/>
  <c r="P3627" i="11"/>
  <c r="P3652" i="11"/>
  <c r="P3678" i="11"/>
  <c r="P3704" i="11"/>
  <c r="P3727" i="11"/>
  <c r="P3754" i="11"/>
  <c r="P3780" i="11"/>
  <c r="P3803" i="11"/>
  <c r="P3830" i="11"/>
  <c r="P3855" i="11"/>
  <c r="P3880" i="11"/>
  <c r="P3904" i="11"/>
  <c r="P3931" i="11"/>
  <c r="P3955" i="11"/>
  <c r="P3982" i="11"/>
  <c r="P4008" i="11"/>
  <c r="P4031" i="11"/>
  <c r="P4058" i="11"/>
  <c r="P4083" i="11"/>
  <c r="P4107" i="11"/>
  <c r="P4132" i="11"/>
  <c r="P4159" i="11"/>
  <c r="P4182" i="11"/>
  <c r="P4208" i="11"/>
  <c r="P4235" i="11"/>
  <c r="P4259" i="11"/>
  <c r="P4286" i="11"/>
  <c r="P4310" i="11"/>
  <c r="P4335" i="11"/>
  <c r="P4360" i="11"/>
  <c r="P4387" i="11"/>
  <c r="P4410" i="11"/>
  <c r="P4427" i="11"/>
  <c r="P4446" i="11"/>
  <c r="P4463" i="11"/>
  <c r="P4478" i="11"/>
  <c r="P4495" i="11"/>
  <c r="P4512" i="11"/>
  <c r="P4528" i="11"/>
  <c r="P4548" i="11"/>
  <c r="P4563" i="11"/>
  <c r="P4579" i="11"/>
  <c r="P4598" i="11"/>
  <c r="P4614" i="11"/>
  <c r="P4628" i="11"/>
  <c r="P4648" i="11"/>
  <c r="P4664" i="11"/>
  <c r="P4680" i="11"/>
  <c r="P4699" i="11"/>
  <c r="P4714" i="11"/>
  <c r="P4730" i="11"/>
  <c r="P4750" i="11"/>
  <c r="P4766" i="11"/>
  <c r="P4779" i="11"/>
  <c r="P4799" i="11"/>
  <c r="P4815" i="11"/>
  <c r="P4832" i="11"/>
  <c r="P4851" i="11"/>
  <c r="P4864" i="11"/>
  <c r="P4883" i="11"/>
  <c r="P4900" i="11"/>
  <c r="P4918" i="11"/>
  <c r="P4932" i="11"/>
  <c r="P4950" i="11"/>
  <c r="P4968" i="11"/>
  <c r="P4984" i="11"/>
  <c r="P5003" i="11"/>
  <c r="P5018" i="11"/>
  <c r="P5034" i="11"/>
  <c r="P5054" i="11"/>
  <c r="P5070" i="11"/>
  <c r="P5082" i="11"/>
  <c r="P5092" i="11"/>
  <c r="P5107" i="11"/>
  <c r="P5119" i="11"/>
  <c r="P5131" i="11"/>
  <c r="P5146" i="11"/>
  <c r="P5156" i="11"/>
  <c r="P5168" i="11"/>
  <c r="P5183" i="11"/>
  <c r="P5195" i="11"/>
  <c r="P5206" i="11"/>
  <c r="P5220" i="11"/>
  <c r="P5232" i="11"/>
  <c r="P5246" i="11"/>
  <c r="P5259" i="11"/>
  <c r="P5270" i="11"/>
  <c r="P5283" i="11"/>
  <c r="P5296" i="11"/>
  <c r="P5310" i="11"/>
  <c r="P5320" i="11"/>
  <c r="P5334" i="11"/>
  <c r="P5347" i="11"/>
  <c r="P5359" i="11"/>
  <c r="P5374" i="11"/>
  <c r="P5384" i="11"/>
  <c r="P5396" i="11"/>
  <c r="P5411" i="11"/>
  <c r="P5423" i="11"/>
  <c r="P5434" i="11"/>
  <c r="P5448" i="11"/>
  <c r="P5460" i="11"/>
  <c r="P5472" i="11"/>
  <c r="P5487" i="11"/>
  <c r="P5498" i="11"/>
  <c r="P5510" i="11"/>
  <c r="P5524" i="11"/>
  <c r="P5536" i="11"/>
  <c r="P5547" i="11"/>
  <c r="P5562" i="11"/>
  <c r="P5574" i="11"/>
  <c r="P5587" i="11"/>
  <c r="P5600" i="11"/>
  <c r="P5611" i="11"/>
  <c r="P5624" i="11"/>
  <c r="P5638" i="11"/>
  <c r="P5651" i="11"/>
  <c r="P266" i="11"/>
  <c r="P642" i="11"/>
  <c r="P940" i="11"/>
  <c r="P1215" i="11"/>
  <c r="P1481" i="11"/>
  <c r="P1700" i="11"/>
  <c r="P1836" i="11"/>
  <c r="P1972" i="11"/>
  <c r="P2105" i="11"/>
  <c r="P2240" i="11"/>
  <c r="P2377" i="11"/>
  <c r="P2473" i="11"/>
  <c r="P2560" i="11"/>
  <c r="P2654" i="11"/>
  <c r="P2742" i="11"/>
  <c r="P2832" i="11"/>
  <c r="P2922" i="11"/>
  <c r="P3013" i="11"/>
  <c r="P3100" i="11"/>
  <c r="P3193" i="11"/>
  <c r="P3280" i="11"/>
  <c r="P3354" i="11"/>
  <c r="P3403" i="11"/>
  <c r="P3454" i="11"/>
  <c r="P3504" i="11"/>
  <c r="P3555" i="11"/>
  <c r="P3604" i="11"/>
  <c r="P3656" i="11"/>
  <c r="P3706" i="11"/>
  <c r="P3755" i="11"/>
  <c r="P3808" i="11"/>
  <c r="P3859" i="11"/>
  <c r="P3908" i="11"/>
  <c r="P3960" i="11"/>
  <c r="P4010" i="11"/>
  <c r="P4059" i="11"/>
  <c r="P4111" i="11"/>
  <c r="P4160" i="11"/>
  <c r="P4211" i="11"/>
  <c r="P4264" i="11"/>
  <c r="P4314" i="11"/>
  <c r="P4363" i="11"/>
  <c r="P4415" i="11"/>
  <c r="P4448" i="11"/>
  <c r="P4484" i="11"/>
  <c r="P4515" i="11"/>
  <c r="P4550" i="11"/>
  <c r="P4586" i="11"/>
  <c r="P4616" i="11"/>
  <c r="P4651" i="11"/>
  <c r="P4686" i="11"/>
  <c r="P4719" i="11"/>
  <c r="P4751" i="11"/>
  <c r="P4787" i="11"/>
  <c r="P4819" i="11"/>
  <c r="P4854" i="11"/>
  <c r="P4890" i="11"/>
  <c r="P4920" i="11"/>
  <c r="P4955" i="11"/>
  <c r="P4990" i="11"/>
  <c r="P5022" i="11"/>
  <c r="P5055" i="11"/>
  <c r="P5083" i="11"/>
  <c r="P5110" i="11"/>
  <c r="P5135" i="11"/>
  <c r="P5160" i="11"/>
  <c r="P5184" i="11"/>
  <c r="P5211" i="11"/>
  <c r="P5235" i="11"/>
  <c r="P5262" i="11"/>
  <c r="P5288" i="11"/>
  <c r="P5311" i="11"/>
  <c r="P5338" i="11"/>
  <c r="P5363" i="11"/>
  <c r="P5387" i="11"/>
  <c r="P5412" i="11"/>
  <c r="P5439" i="11"/>
  <c r="P5462" i="11"/>
  <c r="P5488" i="11"/>
  <c r="P5515" i="11"/>
  <c r="P5539" i="11"/>
  <c r="P5566" i="11"/>
  <c r="P5590" i="11"/>
  <c r="P5615" i="11"/>
  <c r="P5640" i="11"/>
  <c r="P5662" i="11"/>
  <c r="P5679" i="11"/>
  <c r="P5695" i="11"/>
  <c r="P5715" i="11"/>
  <c r="P5728" i="11"/>
  <c r="P5744" i="11"/>
  <c r="P5764" i="11"/>
  <c r="P5780" i="11"/>
  <c r="P5795" i="11"/>
  <c r="P5814" i="11"/>
  <c r="P5830" i="11"/>
  <c r="P5846" i="11"/>
  <c r="P5866" i="11"/>
  <c r="P5880" i="11"/>
  <c r="P5896" i="11"/>
  <c r="P5915" i="11"/>
  <c r="P5931" i="11"/>
  <c r="P5946" i="11"/>
  <c r="P5966" i="11"/>
  <c r="P5982" i="11"/>
  <c r="P5999" i="11"/>
  <c r="P6016" i="11"/>
  <c r="P6031" i="11"/>
  <c r="P6048" i="11"/>
  <c r="P6067" i="11"/>
  <c r="P6084" i="11"/>
  <c r="P6099" i="11"/>
  <c r="P6116" i="11"/>
  <c r="P6134" i="11"/>
  <c r="P6150" i="11"/>
  <c r="P6170" i="11"/>
  <c r="P6184" i="11"/>
  <c r="P6200" i="11"/>
  <c r="P6219" i="11"/>
  <c r="P6235" i="11"/>
  <c r="P6250" i="11"/>
  <c r="P6270" i="11"/>
  <c r="P6286" i="11"/>
  <c r="P6302" i="11"/>
  <c r="P6320" i="11"/>
  <c r="P6335" i="11"/>
  <c r="P6351" i="11"/>
  <c r="P6371" i="11"/>
  <c r="P6387" i="11"/>
  <c r="P6400" i="11"/>
  <c r="P6420" i="11"/>
  <c r="P6436" i="11"/>
  <c r="P6454" i="11"/>
  <c r="P6472" i="11"/>
  <c r="P6486" i="11"/>
  <c r="P6500" i="11"/>
  <c r="P6512" i="11"/>
  <c r="P6526" i="11"/>
  <c r="P6539" i="11"/>
  <c r="P6550" i="11"/>
  <c r="P6563" i="11"/>
  <c r="P6576" i="11"/>
  <c r="P6590" i="11"/>
  <c r="P6600" i="11"/>
  <c r="P6614" i="11"/>
  <c r="P6627" i="11"/>
  <c r="P6639" i="11"/>
  <c r="P6654" i="11"/>
  <c r="P6664" i="11"/>
  <c r="P6676" i="11"/>
  <c r="P6691" i="11"/>
  <c r="P6703" i="11"/>
  <c r="P6714" i="11"/>
  <c r="P6728" i="11"/>
  <c r="P6740" i="11"/>
  <c r="P6749" i="11"/>
  <c r="P6760" i="11"/>
  <c r="P6768" i="11"/>
  <c r="P6777" i="11"/>
  <c r="P6788" i="11"/>
  <c r="P6797" i="11"/>
  <c r="P6805" i="11"/>
  <c r="P6816" i="11"/>
  <c r="P6825" i="11"/>
  <c r="P6835" i="11"/>
  <c r="P6845" i="11"/>
  <c r="P6853" i="11"/>
  <c r="P6863" i="11"/>
  <c r="P6873" i="11"/>
  <c r="P6883" i="11"/>
  <c r="P6891" i="11"/>
  <c r="P6901" i="11"/>
  <c r="P6911" i="11"/>
  <c r="P6920" i="11"/>
  <c r="P6931" i="11"/>
  <c r="P6939" i="11"/>
  <c r="P6948" i="11"/>
  <c r="P6959" i="11"/>
  <c r="P6968" i="11"/>
  <c r="P6976" i="11"/>
  <c r="P6987" i="11"/>
  <c r="P6996" i="11"/>
  <c r="P7005" i="11"/>
  <c r="P7016" i="11"/>
  <c r="P7024" i="11"/>
  <c r="P7033" i="11"/>
  <c r="P7044" i="11"/>
  <c r="P7053" i="11"/>
  <c r="P7061" i="11"/>
  <c r="P7072" i="11"/>
  <c r="P7081" i="11"/>
  <c r="P7091" i="11"/>
  <c r="P7101" i="11"/>
  <c r="P7109" i="11"/>
  <c r="P7119" i="11"/>
  <c r="P7129" i="11"/>
  <c r="P7139" i="11"/>
  <c r="P7147" i="11"/>
  <c r="P7157" i="11"/>
  <c r="P7167" i="11"/>
  <c r="P7176" i="11"/>
  <c r="P7187" i="11"/>
  <c r="P7195" i="11"/>
  <c r="P7204" i="11"/>
  <c r="P7215" i="11"/>
  <c r="P7224" i="11"/>
  <c r="P7232" i="11"/>
  <c r="P7243" i="11"/>
  <c r="P7252" i="11"/>
  <c r="P7261" i="11"/>
  <c r="P7272" i="11"/>
  <c r="P7280" i="11"/>
  <c r="P7289" i="11"/>
  <c r="P7300" i="11"/>
  <c r="P7309" i="11"/>
  <c r="P7317" i="11"/>
  <c r="P7328" i="11"/>
  <c r="P7337" i="11"/>
  <c r="P7347" i="11"/>
  <c r="P7357" i="11"/>
  <c r="P7365" i="11"/>
  <c r="P7375" i="11"/>
  <c r="P7385" i="11"/>
  <c r="P7395" i="11"/>
  <c r="P7403" i="11"/>
  <c r="P7413" i="11"/>
  <c r="P7423" i="11"/>
  <c r="P7432" i="11"/>
  <c r="P7443" i="11"/>
  <c r="P7451" i="11"/>
  <c r="P7460" i="11"/>
  <c r="P7471" i="11"/>
  <c r="P7480" i="11"/>
  <c r="P7488" i="11"/>
  <c r="P7499" i="11"/>
  <c r="P7508" i="11"/>
  <c r="P7517" i="11"/>
  <c r="P7528" i="11"/>
  <c r="P7536" i="11"/>
  <c r="P7545" i="11"/>
  <c r="P7556" i="11"/>
  <c r="P7565" i="11"/>
  <c r="P7573" i="11"/>
  <c r="P7584" i="11"/>
  <c r="P7593" i="11"/>
  <c r="P7603" i="11"/>
  <c r="P7613" i="11"/>
  <c r="P7621" i="11"/>
  <c r="P7631" i="11"/>
  <c r="P7641" i="11"/>
  <c r="P7651" i="11"/>
  <c r="P7659" i="11"/>
  <c r="P7669" i="11"/>
  <c r="P7679" i="11"/>
  <c r="P7688" i="11"/>
  <c r="P7699" i="11"/>
  <c r="P7707" i="11"/>
  <c r="P7716" i="11"/>
  <c r="P7727" i="11"/>
  <c r="P7736" i="11"/>
  <c r="P7744" i="11"/>
  <c r="P7755" i="11"/>
  <c r="P7764" i="11"/>
  <c r="P7773" i="11"/>
  <c r="P7784" i="11"/>
  <c r="P7792" i="11"/>
  <c r="P7801" i="11"/>
  <c r="P7812" i="11"/>
  <c r="P7821" i="11"/>
  <c r="P7829" i="11"/>
  <c r="P7840" i="11"/>
  <c r="P7849" i="11"/>
  <c r="P7859" i="11"/>
  <c r="P7869" i="11"/>
  <c r="P7877" i="11"/>
  <c r="P7887" i="11"/>
  <c r="P7897" i="11"/>
  <c r="P7907" i="11"/>
  <c r="P7915" i="11"/>
  <c r="P7925" i="11"/>
  <c r="P7935" i="11"/>
  <c r="P7944" i="11"/>
  <c r="P7955" i="11"/>
  <c r="P7963" i="11"/>
  <c r="P7972" i="11"/>
  <c r="P7983" i="11"/>
  <c r="P7992" i="11"/>
  <c r="P8000" i="11"/>
  <c r="P8011" i="11"/>
  <c r="P8020" i="11"/>
  <c r="P8029" i="11"/>
  <c r="P8040" i="11"/>
  <c r="P8048" i="11"/>
  <c r="P8057" i="11"/>
  <c r="P8068" i="11"/>
  <c r="P8077" i="11"/>
  <c r="P8085" i="11"/>
  <c r="P8096" i="11"/>
  <c r="P8105" i="11"/>
  <c r="P8115" i="11"/>
  <c r="P8125" i="11"/>
  <c r="P8133" i="11"/>
  <c r="P8143" i="11"/>
  <c r="P8153" i="11"/>
  <c r="P8163" i="11"/>
  <c r="P8171" i="11"/>
  <c r="P8181" i="11"/>
  <c r="P8191" i="11"/>
  <c r="P8200" i="11"/>
  <c r="P8211" i="11"/>
  <c r="P8219" i="11"/>
  <c r="P8228" i="11"/>
  <c r="P8239" i="11"/>
  <c r="P8248" i="11"/>
  <c r="P8256" i="11"/>
  <c r="P8267" i="11"/>
  <c r="P8276" i="11"/>
  <c r="P8285" i="11"/>
  <c r="P8296" i="11"/>
  <c r="P8304" i="11"/>
  <c r="P8313" i="11"/>
  <c r="P8324" i="11"/>
  <c r="P8333" i="11"/>
  <c r="P8341" i="11"/>
  <c r="P8352" i="11"/>
  <c r="P8361" i="11"/>
  <c r="P8371" i="11"/>
  <c r="P8381" i="11"/>
  <c r="P8389" i="11"/>
  <c r="P8399" i="11"/>
  <c r="P8409" i="11"/>
  <c r="P130" i="11"/>
  <c r="P541" i="11"/>
  <c r="P865" i="11"/>
  <c r="P1137" i="11"/>
  <c r="P1407" i="11"/>
  <c r="P1662" i="11"/>
  <c r="P1798" i="11"/>
  <c r="P1934" i="11"/>
  <c r="P2068" i="11"/>
  <c r="P2202" i="11"/>
  <c r="P2340" i="11"/>
  <c r="P2444" i="11"/>
  <c r="P2533" i="11"/>
  <c r="P2624" i="11"/>
  <c r="P2710" i="11"/>
  <c r="P2806" i="11"/>
  <c r="P2894" i="11"/>
  <c r="P2985" i="11"/>
  <c r="P3073" i="11"/>
  <c r="P3164" i="11"/>
  <c r="P3252" i="11"/>
  <c r="P3336" i="11"/>
  <c r="P3386" i="11"/>
  <c r="P3439" i="11"/>
  <c r="P3488" i="11"/>
  <c r="P3539" i="11"/>
  <c r="P3590" i="11"/>
  <c r="P3640" i="11"/>
  <c r="P3690" i="11"/>
  <c r="P3742" i="11"/>
  <c r="P3791" i="11"/>
  <c r="P3840" i="11"/>
  <c r="P3894" i="11"/>
  <c r="P3944" i="11"/>
  <c r="P3994" i="11"/>
  <c r="P4046" i="11"/>
  <c r="P4095" i="11"/>
  <c r="P4144" i="11"/>
  <c r="P4196" i="11"/>
  <c r="P4246" i="11"/>
  <c r="P4296" i="11"/>
  <c r="P4350" i="11"/>
  <c r="P4399" i="11"/>
  <c r="P4436" i="11"/>
  <c r="P4472" i="11"/>
  <c r="P4502" i="11"/>
  <c r="P4538" i="11"/>
  <c r="P4571" i="11"/>
  <c r="P4606" i="11"/>
  <c r="P4638" i="11"/>
  <c r="P4672" i="11"/>
  <c r="P4704" i="11"/>
  <c r="P4740" i="11"/>
  <c r="P4776" i="11"/>
  <c r="P4806" i="11"/>
  <c r="P4842" i="11"/>
  <c r="P4875" i="11"/>
  <c r="P4907" i="11"/>
  <c r="P4942" i="11"/>
  <c r="P4976" i="11"/>
  <c r="P5007" i="11"/>
  <c r="P5043" i="11"/>
  <c r="P5075" i="11"/>
  <c r="P5099" i="11"/>
  <c r="P5126" i="11"/>
  <c r="P5150" i="11"/>
  <c r="P5176" i="11"/>
  <c r="P5203" i="11"/>
  <c r="P5226" i="11"/>
  <c r="P5252" i="11"/>
  <c r="P5278" i="11"/>
  <c r="P5302" i="11"/>
  <c r="P5327" i="11"/>
  <c r="P5354" i="11"/>
  <c r="P5376" i="11"/>
  <c r="P5403" i="11"/>
  <c r="P5430" i="11"/>
  <c r="P5454" i="11"/>
  <c r="P5480" i="11"/>
  <c r="P5504" i="11"/>
  <c r="P5530" i="11"/>
  <c r="P5555" i="11"/>
  <c r="P5582" i="11"/>
  <c r="P5604" i="11"/>
  <c r="P5631" i="11"/>
  <c r="P5658" i="11"/>
  <c r="P5675" i="11"/>
  <c r="P5690" i="11"/>
  <c r="P5707" i="11"/>
  <c r="P5726" i="11"/>
  <c r="P5743" i="11"/>
  <c r="P5758" i="11"/>
  <c r="P5775" i="11"/>
  <c r="P5792" i="11"/>
  <c r="P5808" i="11"/>
  <c r="P5828" i="11"/>
  <c r="P5843" i="11"/>
  <c r="P5859" i="11"/>
  <c r="P5878" i="11"/>
  <c r="P5894" i="11"/>
  <c r="P5908" i="11"/>
  <c r="P5928" i="11"/>
  <c r="P5944" i="11"/>
  <c r="P5960" i="11"/>
  <c r="P5979" i="11"/>
  <c r="P5994" i="11"/>
  <c r="P6010" i="11"/>
  <c r="P6030" i="11"/>
  <c r="P6046" i="11"/>
  <c r="P6059" i="11"/>
  <c r="P6079" i="11"/>
  <c r="P6095" i="11"/>
  <c r="P6112" i="11"/>
  <c r="P6131" i="11"/>
  <c r="P6144" i="11"/>
  <c r="P6163" i="11"/>
  <c r="P6180" i="11"/>
  <c r="P6198" i="11"/>
  <c r="P6212" i="11"/>
  <c r="P6230" i="11"/>
  <c r="P6248" i="11"/>
  <c r="P6264" i="11"/>
  <c r="P6283" i="11"/>
  <c r="P6298" i="11"/>
  <c r="P6314" i="11"/>
  <c r="P6334" i="11"/>
  <c r="P6350" i="11"/>
  <c r="P6363" i="11"/>
  <c r="P6383" i="11"/>
  <c r="P6399" i="11"/>
  <c r="P6415" i="11"/>
  <c r="P6435" i="11"/>
  <c r="P6448" i="11"/>
  <c r="P6464" i="11"/>
  <c r="P6484" i="11"/>
  <c r="P6496" i="11"/>
  <c r="P6511" i="11"/>
  <c r="P6522" i="11"/>
  <c r="P6534" i="11"/>
  <c r="P6548" i="11"/>
  <c r="P6560" i="11"/>
  <c r="P6571" i="11"/>
  <c r="P6586" i="11"/>
  <c r="P6598" i="11"/>
  <c r="P6611" i="11"/>
  <c r="P6624" i="11"/>
  <c r="P6635" i="11"/>
  <c r="P6648" i="11"/>
  <c r="P6662" i="11"/>
  <c r="P6675" i="11"/>
  <c r="P6686" i="11"/>
  <c r="P6699" i="11"/>
  <c r="P6712" i="11"/>
  <c r="P6724" i="11"/>
  <c r="P6739" i="11"/>
  <c r="P6747" i="11"/>
  <c r="P6756" i="11"/>
  <c r="P6767" i="11"/>
  <c r="P6776" i="11"/>
  <c r="P6784" i="11"/>
  <c r="P6795" i="11"/>
  <c r="P6804" i="11"/>
  <c r="P6813" i="11"/>
  <c r="P6824" i="11"/>
  <c r="P6832" i="11"/>
  <c r="P6841" i="11"/>
  <c r="P6852" i="11"/>
  <c r="P6861" i="11"/>
  <c r="P6869" i="11"/>
  <c r="P6880" i="11"/>
  <c r="P6889" i="11"/>
  <c r="P6899" i="11"/>
  <c r="P6909" i="11"/>
  <c r="P6917" i="11"/>
  <c r="P6927" i="11"/>
  <c r="P6937" i="11"/>
  <c r="P6947" i="11"/>
  <c r="P6955" i="11"/>
  <c r="P6965" i="11"/>
  <c r="P6975" i="11"/>
  <c r="P6984" i="11"/>
  <c r="P6995" i="11"/>
  <c r="P7003" i="11"/>
  <c r="P7012" i="11"/>
  <c r="P7023" i="11"/>
  <c r="P7032" i="11"/>
  <c r="P7040" i="11"/>
  <c r="P7051" i="11"/>
  <c r="P7060" i="11"/>
  <c r="P7069" i="11"/>
  <c r="P7080" i="11"/>
  <c r="P7088" i="11"/>
  <c r="P7097" i="11"/>
  <c r="P7108" i="11"/>
  <c r="P7117" i="11"/>
  <c r="P7125" i="11"/>
  <c r="P7136" i="11"/>
  <c r="P7145" i="11"/>
  <c r="P7155" i="11"/>
  <c r="P7165" i="11"/>
  <c r="P7173" i="11"/>
  <c r="P7183" i="11"/>
  <c r="P7193" i="11"/>
  <c r="P7203" i="11"/>
  <c r="P7211" i="11"/>
  <c r="P7221" i="11"/>
  <c r="P7231" i="11"/>
  <c r="P7240" i="11"/>
  <c r="P7251" i="11"/>
  <c r="P7259" i="11"/>
  <c r="P7268" i="11"/>
  <c r="P7279" i="11"/>
  <c r="P7288" i="11"/>
  <c r="P7296" i="11"/>
  <c r="P7307" i="11"/>
  <c r="P7316" i="11"/>
  <c r="P7325" i="11"/>
  <c r="P7336" i="11"/>
  <c r="P7344" i="11"/>
  <c r="P7353" i="11"/>
  <c r="P7364" i="11"/>
  <c r="P7373" i="11"/>
  <c r="P7381" i="11"/>
  <c r="P7392" i="11"/>
  <c r="P7401" i="11"/>
  <c r="P7411" i="11"/>
  <c r="P7421" i="11"/>
  <c r="P7429" i="11"/>
  <c r="P7439" i="11"/>
  <c r="P7449" i="11"/>
  <c r="P7459" i="11"/>
  <c r="P7467" i="11"/>
  <c r="P7477" i="11"/>
  <c r="P7487" i="11"/>
  <c r="P7496" i="11"/>
  <c r="P7507" i="11"/>
  <c r="P7515" i="11"/>
  <c r="P7524" i="11"/>
  <c r="P7535" i="11"/>
  <c r="P7544" i="11"/>
  <c r="P7552" i="11"/>
  <c r="P7563" i="11"/>
  <c r="P7572" i="11"/>
  <c r="P7581" i="11"/>
  <c r="P7592" i="11"/>
  <c r="P7600" i="11"/>
  <c r="P7609" i="11"/>
  <c r="P7620" i="11"/>
  <c r="P7629" i="11"/>
  <c r="P7637" i="11"/>
  <c r="P7648" i="11"/>
  <c r="P7657" i="11"/>
  <c r="P7667" i="11"/>
  <c r="P7677" i="11"/>
  <c r="P7685" i="11"/>
  <c r="P7695" i="11"/>
  <c r="P7705" i="11"/>
  <c r="P7715" i="11"/>
  <c r="P7723" i="11"/>
  <c r="P7733" i="11"/>
  <c r="P7743" i="11"/>
  <c r="P7752" i="11"/>
  <c r="P7763" i="11"/>
  <c r="P7771" i="11"/>
  <c r="P7780" i="11"/>
  <c r="P7791" i="11"/>
  <c r="P7800" i="11"/>
  <c r="P7808" i="11"/>
  <c r="P7819" i="11"/>
  <c r="P7828" i="11"/>
  <c r="P7837" i="11"/>
  <c r="P7848" i="11"/>
  <c r="P7856" i="11"/>
  <c r="P7865" i="11"/>
  <c r="P7876" i="11"/>
  <c r="P7885" i="11"/>
  <c r="P7893" i="11"/>
  <c r="P7904" i="11"/>
  <c r="P7913" i="11"/>
  <c r="P7923" i="11"/>
  <c r="P7933" i="11"/>
  <c r="P7941" i="11"/>
  <c r="P7951" i="11"/>
  <c r="P7961" i="11"/>
  <c r="P7971" i="11"/>
  <c r="P7979" i="11"/>
  <c r="P7989" i="11"/>
  <c r="P7999" i="11"/>
  <c r="P8008" i="11"/>
  <c r="P8019" i="11"/>
  <c r="P8027" i="11"/>
  <c r="P8036" i="11"/>
  <c r="P8047" i="11"/>
  <c r="P8056" i="11"/>
  <c r="P8064" i="11"/>
  <c r="P8075" i="11"/>
  <c r="P8084" i="11"/>
  <c r="P8093" i="11"/>
  <c r="P8104" i="11"/>
  <c r="P8112" i="11"/>
  <c r="P8121" i="11"/>
  <c r="P8132" i="11"/>
  <c r="P8141" i="11"/>
  <c r="P8149" i="11"/>
  <c r="P8160" i="11"/>
  <c r="P8169" i="11"/>
  <c r="P8179" i="11"/>
  <c r="P8189" i="11"/>
  <c r="P8197" i="11"/>
  <c r="P8207" i="11"/>
  <c r="P8217" i="11"/>
  <c r="P8227" i="11"/>
  <c r="P8235" i="11"/>
  <c r="P8245" i="11"/>
  <c r="P8255" i="11"/>
  <c r="P8264" i="11"/>
  <c r="P8275" i="11"/>
  <c r="P8283" i="11"/>
  <c r="P8292" i="11"/>
  <c r="P8303" i="11"/>
  <c r="P8312" i="11"/>
  <c r="P8320" i="11"/>
  <c r="P8331" i="11"/>
  <c r="P8340" i="11"/>
  <c r="P8349" i="11"/>
  <c r="P8360" i="11"/>
  <c r="P8368" i="11"/>
  <c r="P8377" i="11"/>
  <c r="P8388" i="11"/>
  <c r="P8397" i="11"/>
  <c r="P8405" i="11"/>
  <c r="P463" i="11"/>
  <c r="P1079" i="11"/>
  <c r="P1620" i="11"/>
  <c r="P1904" i="11"/>
  <c r="P2174" i="11"/>
  <c r="P2426" i="11"/>
  <c r="P2608" i="11"/>
  <c r="P2788" i="11"/>
  <c r="P2965" i="11"/>
  <c r="P3148" i="11"/>
  <c r="P3327" i="11"/>
  <c r="P3428" i="11"/>
  <c r="P3528" i="11"/>
  <c r="P3631" i="11"/>
  <c r="P3732" i="11"/>
  <c r="P3832" i="11"/>
  <c r="P3934" i="11"/>
  <c r="P4036" i="11"/>
  <c r="P4136" i="11"/>
  <c r="P4238" i="11"/>
  <c r="P4339" i="11"/>
  <c r="P4435" i="11"/>
  <c r="P4500" i="11"/>
  <c r="P4566" i="11"/>
  <c r="P4635" i="11"/>
  <c r="P4702" i="11"/>
  <c r="P4768" i="11"/>
  <c r="P4836" i="11"/>
  <c r="P4904" i="11"/>
  <c r="P4970" i="11"/>
  <c r="P5040" i="11"/>
  <c r="P5098" i="11"/>
  <c r="P5147" i="11"/>
  <c r="P5198" i="11"/>
  <c r="P5248" i="11"/>
  <c r="P5299" i="11"/>
  <c r="P5348" i="11"/>
  <c r="P5402" i="11"/>
  <c r="P5451" i="11"/>
  <c r="P5502" i="11"/>
  <c r="P5552" i="11"/>
  <c r="P5603" i="11"/>
  <c r="P5652" i="11"/>
  <c r="P5688" i="11"/>
  <c r="P5718" i="11"/>
  <c r="P5754" i="11"/>
  <c r="P5790" i="11"/>
  <c r="P5822" i="11"/>
  <c r="P5856" i="11"/>
  <c r="P5888" i="11"/>
  <c r="P5923" i="11"/>
  <c r="P5956" i="11"/>
  <c r="P5992" i="11"/>
  <c r="P6022" i="11"/>
  <c r="P6058" i="11"/>
  <c r="P6094" i="11"/>
  <c r="P6123" i="11"/>
  <c r="P6159" i="11"/>
  <c r="P6192" i="11"/>
  <c r="P6227" i="11"/>
  <c r="P6259" i="11"/>
  <c r="P6294" i="11"/>
  <c r="P6326" i="11"/>
  <c r="P6362" i="11"/>
  <c r="P6398" i="11"/>
  <c r="P6427" i="11"/>
  <c r="P6463" i="11"/>
  <c r="P6494" i="11"/>
  <c r="P6520" i="11"/>
  <c r="P6543" i="11"/>
  <c r="P6570" i="11"/>
  <c r="P6596" i="11"/>
  <c r="P6619" i="11"/>
  <c r="P6646" i="11"/>
  <c r="P6671" i="11"/>
  <c r="P6696" i="11"/>
  <c r="P6720" i="11"/>
  <c r="P6745" i="11"/>
  <c r="P6763" i="11"/>
  <c r="P6783" i="11"/>
  <c r="P6803" i="11"/>
  <c r="P6820" i="11"/>
  <c r="P6840" i="11"/>
  <c r="P6859" i="11"/>
  <c r="P6877" i="11"/>
  <c r="P6896" i="11"/>
  <c r="P6916" i="11"/>
  <c r="P6933" i="11"/>
  <c r="P6953" i="11"/>
  <c r="P6973" i="11"/>
  <c r="P6991" i="11"/>
  <c r="P7011" i="11"/>
  <c r="P7029" i="11"/>
  <c r="P7048" i="11"/>
  <c r="P7067" i="11"/>
  <c r="P7087" i="11"/>
  <c r="P7104" i="11"/>
  <c r="P7124" i="11"/>
  <c r="P7144" i="11"/>
  <c r="P7161" i="11"/>
  <c r="P7181" i="11"/>
  <c r="P7200" i="11"/>
  <c r="P7219" i="11"/>
  <c r="P7237" i="11"/>
  <c r="P7257" i="11"/>
  <c r="P7275" i="11"/>
  <c r="P7295" i="11"/>
  <c r="P7315" i="11"/>
  <c r="P7332" i="11"/>
  <c r="P7352" i="11"/>
  <c r="P7371" i="11"/>
  <c r="P7389" i="11"/>
  <c r="P7408" i="11"/>
  <c r="P7428" i="11"/>
  <c r="P7445" i="11"/>
  <c r="P7465" i="11"/>
  <c r="P7485" i="11"/>
  <c r="P7503" i="11"/>
  <c r="P7523" i="11"/>
  <c r="P7541" i="11"/>
  <c r="P7560" i="11"/>
  <c r="P7579" i="11"/>
  <c r="P7599" i="11"/>
  <c r="P7616" i="11"/>
  <c r="P7636" i="11"/>
  <c r="P7656" i="11"/>
  <c r="P7673" i="11"/>
  <c r="P7693" i="11"/>
  <c r="P7712" i="11"/>
  <c r="P7731" i="11"/>
  <c r="P7749" i="11"/>
  <c r="P7769" i="11"/>
  <c r="P7787" i="11"/>
  <c r="P7807" i="11"/>
  <c r="P7827" i="11"/>
  <c r="P7844" i="11"/>
  <c r="P7864" i="11"/>
  <c r="P7883" i="11"/>
  <c r="P7901" i="11"/>
  <c r="P7920" i="11"/>
  <c r="P7940" i="11"/>
  <c r="P7957" i="11"/>
  <c r="P7977" i="11"/>
  <c r="P7997" i="11"/>
  <c r="P8015" i="11"/>
  <c r="P8035" i="11"/>
  <c r="P8053" i="11"/>
  <c r="P8072" i="11"/>
  <c r="P8091" i="11"/>
  <c r="P8111" i="11"/>
  <c r="P8128" i="11"/>
  <c r="P8148" i="11"/>
  <c r="P8168" i="11"/>
  <c r="P8185" i="11"/>
  <c r="P8205" i="11"/>
  <c r="P8224" i="11"/>
  <c r="P8243" i="11"/>
  <c r="P8261" i="11"/>
  <c r="P8281" i="11"/>
  <c r="P8299" i="11"/>
  <c r="P8319" i="11"/>
  <c r="P8339" i="11"/>
  <c r="P8356" i="11"/>
  <c r="P8376" i="11"/>
  <c r="P8395" i="11"/>
  <c r="P721" i="11"/>
  <c r="P1271" i="11"/>
  <c r="P1733" i="11"/>
  <c r="P2000" i="11"/>
  <c r="P2268" i="11"/>
  <c r="P2490" i="11"/>
  <c r="P2672" i="11"/>
  <c r="P2846" i="11"/>
  <c r="P3028" i="11"/>
  <c r="P3212" i="11"/>
  <c r="P3363" i="11"/>
  <c r="P3462" i="11"/>
  <c r="P3563" i="11"/>
  <c r="P3667" i="11"/>
  <c r="P3766" i="11"/>
  <c r="P3867" i="11"/>
  <c r="P3968" i="11"/>
  <c r="P4068" i="11"/>
  <c r="P4171" i="11"/>
  <c r="P4272" i="11"/>
  <c r="P4372" i="11"/>
  <c r="P4452" i="11"/>
  <c r="P4522" i="11"/>
  <c r="P4587" i="11"/>
  <c r="P4655" i="11"/>
  <c r="P4723" i="11"/>
  <c r="P4790" i="11"/>
  <c r="P4856" i="11"/>
  <c r="P4927" i="11"/>
  <c r="P4992" i="11"/>
  <c r="P5060" i="11"/>
  <c r="P5112" i="11"/>
  <c r="P5163" i="11"/>
  <c r="P5214" i="11"/>
  <c r="P5263" i="11"/>
  <c r="P5316" i="11"/>
  <c r="P5366" i="11"/>
  <c r="P5416" i="11"/>
  <c r="P5467" i="11"/>
  <c r="P5518" i="11"/>
  <c r="P5567" i="11"/>
  <c r="P5619" i="11"/>
  <c r="P5667" i="11"/>
  <c r="P5700" i="11"/>
  <c r="P5732" i="11"/>
  <c r="P5766" i="11"/>
  <c r="P5802" i="11"/>
  <c r="P5832" i="11"/>
  <c r="P5867" i="11"/>
  <c r="P5903" i="11"/>
  <c r="P5935" i="11"/>
  <c r="P5971" i="11"/>
  <c r="P6003" i="11"/>
  <c r="P6036" i="11"/>
  <c r="P6070" i="11"/>
  <c r="P6106" i="11"/>
  <c r="P6136" i="11"/>
  <c r="P6171" i="11"/>
  <c r="P6207" i="11"/>
  <c r="P6238" i="11"/>
  <c r="P6272" i="11"/>
  <c r="P6307" i="11"/>
  <c r="P6340" i="11"/>
  <c r="P6372" i="11"/>
  <c r="P6408" i="11"/>
  <c r="P6440" i="11"/>
  <c r="P6475" i="11"/>
  <c r="P6504" i="11"/>
  <c r="P6528" i="11"/>
  <c r="P6554" i="11"/>
  <c r="P6579" i="11"/>
  <c r="P6606" i="11"/>
  <c r="P6628" i="11"/>
  <c r="P6655" i="11"/>
  <c r="P6682" i="11"/>
  <c r="P6704" i="11"/>
  <c r="P6731" i="11"/>
  <c r="P6752" i="11"/>
  <c r="P6771" i="11"/>
  <c r="P6789" i="11"/>
  <c r="P6809" i="11"/>
  <c r="P6827" i="11"/>
  <c r="P6847" i="11"/>
  <c r="P6867" i="11"/>
  <c r="P6884" i="11"/>
  <c r="P6904" i="11"/>
  <c r="P6923" i="11"/>
  <c r="P6941" i="11"/>
  <c r="P6960" i="11"/>
  <c r="P6980" i="11"/>
  <c r="P6997" i="11"/>
  <c r="P7017" i="11"/>
  <c r="P7037" i="11"/>
  <c r="P7055" i="11"/>
  <c r="P7075" i="11"/>
  <c r="P7093" i="11"/>
  <c r="P7112" i="11"/>
  <c r="P7131" i="11"/>
  <c r="P7151" i="11"/>
  <c r="P7168" i="11"/>
  <c r="P7188" i="11"/>
  <c r="P7208" i="11"/>
  <c r="P7225" i="11"/>
  <c r="P7245" i="11"/>
  <c r="P7264" i="11"/>
  <c r="P7283" i="11"/>
  <c r="P7301" i="11"/>
  <c r="P7321" i="11"/>
  <c r="P7339" i="11"/>
  <c r="P7359" i="11"/>
  <c r="P7379" i="11"/>
  <c r="P7396" i="11"/>
  <c r="P7416" i="11"/>
  <c r="P7435" i="11"/>
  <c r="P7453" i="11"/>
  <c r="P7472" i="11"/>
  <c r="P7492" i="11"/>
  <c r="P7509" i="11"/>
  <c r="P7529" i="11"/>
  <c r="P7549" i="11"/>
  <c r="P7567" i="11"/>
  <c r="P7587" i="11"/>
  <c r="P7605" i="11"/>
  <c r="P7624" i="11"/>
  <c r="P7643" i="11"/>
  <c r="P7663" i="11"/>
  <c r="P7680" i="11"/>
  <c r="P7700" i="11"/>
  <c r="P7720" i="11"/>
  <c r="P7737" i="11"/>
  <c r="P7757" i="11"/>
  <c r="P7776" i="11"/>
  <c r="P7795" i="11"/>
  <c r="P7813" i="11"/>
  <c r="P7833" i="11"/>
  <c r="P7851" i="11"/>
  <c r="P7871" i="11"/>
  <c r="P7891" i="11"/>
  <c r="P7908" i="11"/>
  <c r="P7928" i="11"/>
  <c r="P7947" i="11"/>
  <c r="P7965" i="11"/>
  <c r="P7984" i="11"/>
  <c r="P8004" i="11"/>
  <c r="P8021" i="11"/>
  <c r="P8041" i="11"/>
  <c r="P8061" i="11"/>
  <c r="P8079" i="11"/>
  <c r="P8099" i="11"/>
  <c r="P8117" i="11"/>
  <c r="P8136" i="11"/>
  <c r="P8155" i="11"/>
  <c r="P8175" i="11"/>
  <c r="P8192" i="11"/>
  <c r="P8212" i="11"/>
  <c r="P8232" i="11"/>
  <c r="P8249" i="11"/>
  <c r="P8269" i="11"/>
  <c r="P8288" i="11"/>
  <c r="P8307" i="11"/>
  <c r="P8325" i="11"/>
  <c r="P8345" i="11"/>
  <c r="P8363" i="11"/>
  <c r="P8383" i="11"/>
  <c r="P8403" i="11"/>
  <c r="P362" i="11"/>
  <c r="P1003" i="11"/>
  <c r="P1543" i="11"/>
  <c r="P1865" i="11"/>
  <c r="P2134" i="11"/>
  <c r="P2401" i="11"/>
  <c r="P2580" i="11"/>
  <c r="P2758" i="11"/>
  <c r="P2938" i="11"/>
  <c r="P3116" i="11"/>
  <c r="P3300" i="11"/>
  <c r="P3412" i="11"/>
  <c r="P3514" i="11"/>
  <c r="P3614" i="11"/>
  <c r="P3716" i="11"/>
  <c r="P3818" i="11"/>
  <c r="P3918" i="11"/>
  <c r="P4019" i="11"/>
  <c r="P4122" i="11"/>
  <c r="P4222" i="11"/>
  <c r="P4323" i="11"/>
  <c r="P4420" i="11"/>
  <c r="P4486" i="11"/>
  <c r="P4552" i="11"/>
  <c r="P4623" i="11"/>
  <c r="P4691" i="11"/>
  <c r="P4756" i="11"/>
  <c r="P4826" i="11"/>
  <c r="P4891" i="11"/>
  <c r="P4958" i="11"/>
  <c r="P5027" i="11"/>
  <c r="P5088" i="11"/>
  <c r="P5139" i="11"/>
  <c r="P5188" i="11"/>
  <c r="P5240" i="11"/>
  <c r="P5290" i="11"/>
  <c r="P5339" i="11"/>
  <c r="P5391" i="11"/>
  <c r="P5440" i="11"/>
  <c r="P5491" i="11"/>
  <c r="P5544" i="11"/>
  <c r="P5594" i="11"/>
  <c r="P5643" i="11"/>
  <c r="P5680" i="11"/>
  <c r="P5716" i="11"/>
  <c r="P5752" i="11"/>
  <c r="P5782" i="11"/>
  <c r="P5818" i="11"/>
  <c r="P5851" i="11"/>
  <c r="P5886" i="11"/>
  <c r="P5918" i="11"/>
  <c r="P5952" i="11"/>
  <c r="P5984" i="11"/>
  <c r="P6020" i="11"/>
  <c r="P6056" i="11"/>
  <c r="P6086" i="11"/>
  <c r="P6122" i="11"/>
  <c r="P6155" i="11"/>
  <c r="P6187" i="11"/>
  <c r="P6222" i="11"/>
  <c r="P6256" i="11"/>
  <c r="P6287" i="11"/>
  <c r="P6323" i="11"/>
  <c r="P6358" i="11"/>
  <c r="P6390" i="11"/>
  <c r="P6426" i="11"/>
  <c r="P6458" i="11"/>
  <c r="P6491" i="11"/>
  <c r="P6515" i="11"/>
  <c r="P6542" i="11"/>
  <c r="P6568" i="11"/>
  <c r="P6591" i="11"/>
  <c r="P6618" i="11"/>
  <c r="P6643" i="11"/>
  <c r="P6667" i="11"/>
  <c r="P6692" i="11"/>
  <c r="P6719" i="11"/>
  <c r="P6741" i="11"/>
  <c r="P6761" i="11"/>
  <c r="P6781" i="11"/>
  <c r="P6799" i="11"/>
  <c r="P6819" i="11"/>
  <c r="P6837" i="11"/>
  <c r="P6856" i="11"/>
  <c r="P6875" i="11"/>
  <c r="P6895" i="11"/>
  <c r="P6912" i="11"/>
  <c r="P6932" i="11"/>
  <c r="P6952" i="11"/>
  <c r="P6969" i="11"/>
  <c r="P6989" i="11"/>
  <c r="P7008" i="11"/>
  <c r="P7027" i="11"/>
  <c r="P7045" i="11"/>
  <c r="P7065" i="11"/>
  <c r="P7083" i="11"/>
  <c r="P7103" i="11"/>
  <c r="P7123" i="11"/>
  <c r="P7140" i="11"/>
  <c r="P7160" i="11"/>
  <c r="P7179" i="11"/>
  <c r="P7197" i="11"/>
  <c r="P7216" i="11"/>
  <c r="P7236" i="11"/>
  <c r="P7253" i="11"/>
  <c r="P7273" i="11"/>
  <c r="P7293" i="11"/>
  <c r="P7311" i="11"/>
  <c r="P7331" i="11"/>
  <c r="P7349" i="11"/>
  <c r="P7368" i="11"/>
  <c r="P7387" i="11"/>
  <c r="P7407" i="11"/>
  <c r="P7424" i="11"/>
  <c r="P7444" i="11"/>
  <c r="P7464" i="11"/>
  <c r="P7481" i="11"/>
  <c r="P7501" i="11"/>
  <c r="P7520" i="11"/>
  <c r="P7539" i="11"/>
  <c r="P7557" i="11"/>
  <c r="P7577" i="11"/>
  <c r="P7595" i="11"/>
  <c r="P7615" i="11"/>
  <c r="P7635" i="11"/>
  <c r="P7652" i="11"/>
  <c r="P7672" i="11"/>
  <c r="P7691" i="11"/>
  <c r="P7709" i="11"/>
  <c r="P7728" i="11"/>
  <c r="P7748" i="11"/>
  <c r="P7765" i="11"/>
  <c r="P7785" i="11"/>
  <c r="P7805" i="11"/>
  <c r="P7823" i="11"/>
  <c r="P7843" i="11"/>
  <c r="P7861" i="11"/>
  <c r="P7880" i="11"/>
  <c r="P7899" i="11"/>
  <c r="P7919" i="11"/>
  <c r="P7936" i="11"/>
  <c r="P7956" i="11"/>
  <c r="P7976" i="11"/>
  <c r="P7993" i="11"/>
  <c r="P8013" i="11"/>
  <c r="P8032" i="11"/>
  <c r="P8051" i="11"/>
  <c r="P8069" i="11"/>
  <c r="P8089" i="11"/>
  <c r="P8107" i="11"/>
  <c r="P8127" i="11"/>
  <c r="P8147" i="11"/>
  <c r="P8164" i="11"/>
  <c r="P8184" i="11"/>
  <c r="P8203" i="11"/>
  <c r="P8221" i="11"/>
  <c r="P8240" i="11"/>
  <c r="P8260" i="11"/>
  <c r="P8277" i="11"/>
  <c r="P8297" i="11"/>
  <c r="P8317" i="11"/>
  <c r="P8335" i="11"/>
  <c r="P8355" i="11"/>
  <c r="P8373" i="11"/>
  <c r="P8392" i="11"/>
  <c r="P1345" i="11"/>
  <c r="P2518" i="11"/>
  <c r="P3236" i="11"/>
  <c r="P3680" i="11"/>
  <c r="P4086" i="11"/>
  <c r="P4464" i="11"/>
  <c r="P4736" i="11"/>
  <c r="P5006" i="11"/>
  <c r="P5224" i="11"/>
  <c r="P5424" i="11"/>
  <c r="P5630" i="11"/>
  <c r="P5771" i="11"/>
  <c r="P5907" i="11"/>
  <c r="P6042" i="11"/>
  <c r="P6174" i="11"/>
  <c r="P6312" i="11"/>
  <c r="P6447" i="11"/>
  <c r="P6558" i="11"/>
  <c r="P6656" i="11"/>
  <c r="P6755" i="11"/>
  <c r="P6831" i="11"/>
  <c r="P6905" i="11"/>
  <c r="P6981" i="11"/>
  <c r="P7059" i="11"/>
  <c r="P7133" i="11"/>
  <c r="P7209" i="11"/>
  <c r="P7285" i="11"/>
  <c r="P7360" i="11"/>
  <c r="P7437" i="11"/>
  <c r="P7513" i="11"/>
  <c r="P7588" i="11"/>
  <c r="P7664" i="11"/>
  <c r="P7741" i="11"/>
  <c r="P7816" i="11"/>
  <c r="P7892" i="11"/>
  <c r="P7968" i="11"/>
  <c r="P8043" i="11"/>
  <c r="P8120" i="11"/>
  <c r="P8196" i="11"/>
  <c r="P8271" i="11"/>
  <c r="P8347" i="11"/>
  <c r="P1770" i="11"/>
  <c r="P2694" i="11"/>
  <c r="P3376" i="11"/>
  <c r="P3782" i="11"/>
  <c r="P4187" i="11"/>
  <c r="P4534" i="11"/>
  <c r="P4804" i="11"/>
  <c r="P5071" i="11"/>
  <c r="P5274" i="11"/>
  <c r="P5476" i="11"/>
  <c r="P5668" i="11"/>
  <c r="P5803" i="11"/>
  <c r="P5942" i="11"/>
  <c r="P6074" i="11"/>
  <c r="P6208" i="11"/>
  <c r="P6344" i="11"/>
  <c r="P6478" i="11"/>
  <c r="P6582" i="11"/>
  <c r="P6683" i="11"/>
  <c r="P6773" i="11"/>
  <c r="P6848" i="11"/>
  <c r="P6925" i="11"/>
  <c r="P7001" i="11"/>
  <c r="P7076" i="11"/>
  <c r="P7152" i="11"/>
  <c r="P7229" i="11"/>
  <c r="P7304" i="11"/>
  <c r="P7380" i="11"/>
  <c r="P7456" i="11"/>
  <c r="P7531" i="11"/>
  <c r="P7608" i="11"/>
  <c r="P7684" i="11"/>
  <c r="P7759" i="11"/>
  <c r="P7835" i="11"/>
  <c r="P7912" i="11"/>
  <c r="P7987" i="11"/>
  <c r="P8063" i="11"/>
  <c r="P8139" i="11"/>
  <c r="P8213" i="11"/>
  <c r="P8291" i="11"/>
  <c r="P8367" i="11"/>
  <c r="P809" i="11"/>
  <c r="P2305" i="11"/>
  <c r="P3060" i="11"/>
  <c r="P3582" i="11"/>
  <c r="P3983" i="11"/>
  <c r="P4388" i="11"/>
  <c r="P4666" i="11"/>
  <c r="P4939" i="11"/>
  <c r="P5174" i="11"/>
  <c r="P5375" i="11"/>
  <c r="P5576" i="11"/>
  <c r="P5738" i="11"/>
  <c r="P5871" i="11"/>
  <c r="P6008" i="11"/>
  <c r="P6143" i="11"/>
  <c r="P6276" i="11"/>
  <c r="P6411" i="11"/>
  <c r="P6532" i="11"/>
  <c r="P6634" i="11"/>
  <c r="P6734" i="11"/>
  <c r="P6811" i="11"/>
  <c r="P6888" i="11"/>
  <c r="P6963" i="11"/>
  <c r="P7039" i="11"/>
  <c r="P7115" i="11"/>
  <c r="P7189" i="11"/>
  <c r="P7267" i="11"/>
  <c r="P7343" i="11"/>
  <c r="P7417" i="11"/>
  <c r="P7493" i="11"/>
  <c r="P7571" i="11"/>
  <c r="P7645" i="11"/>
  <c r="P7721" i="11"/>
  <c r="P7797" i="11"/>
  <c r="P7872" i="11"/>
  <c r="P7949" i="11"/>
  <c r="P8025" i="11"/>
  <c r="P8100" i="11"/>
  <c r="P8176" i="11"/>
  <c r="P8253" i="11"/>
  <c r="P8328" i="11"/>
  <c r="P8404" i="11"/>
  <c r="P2874" i="11"/>
  <c r="P4600" i="11"/>
  <c r="P5526" i="11"/>
  <c r="P6107" i="11"/>
  <c r="P6607" i="11"/>
  <c r="P6944" i="11"/>
  <c r="P7247" i="11"/>
  <c r="P7551" i="11"/>
  <c r="P7855" i="11"/>
  <c r="P8157" i="11"/>
  <c r="P3478" i="11"/>
  <c r="P4870" i="11"/>
  <c r="P5704" i="11"/>
  <c r="P6244" i="11"/>
  <c r="P6710" i="11"/>
  <c r="P7019" i="11"/>
  <c r="P7323" i="11"/>
  <c r="P7627" i="11"/>
  <c r="P7929" i="11"/>
  <c r="P8233" i="11"/>
  <c r="P2038" i="11"/>
  <c r="P4287" i="11"/>
  <c r="P5326" i="11"/>
  <c r="P5972" i="11"/>
  <c r="P6506" i="11"/>
  <c r="P6868" i="11"/>
  <c r="P7172" i="11"/>
  <c r="P7475" i="11"/>
  <c r="P7779" i="11"/>
  <c r="P8083" i="11"/>
  <c r="P8384" i="11"/>
  <c r="P5120" i="11"/>
  <c r="P7096" i="11"/>
  <c r="P8309" i="11"/>
  <c r="P5839" i="11"/>
  <c r="P7400" i="11"/>
  <c r="P3883" i="11"/>
  <c r="P6792" i="11"/>
  <c r="P8005" i="11"/>
  <c r="P7701" i="11"/>
  <c r="P6378" i="11"/>
  <c r="P22" i="11"/>
  <c r="P5" i="11" l="1"/>
  <c r="P1" i="11"/>
  <c r="P2" i="11"/>
  <c r="P4" i="11"/>
  <c r="O30" i="11" l="1"/>
  <c r="Q30" i="11" s="1"/>
  <c r="O37" i="11"/>
  <c r="Q37" i="11" s="1"/>
  <c r="O42" i="11"/>
  <c r="Q42" i="11" s="1"/>
  <c r="O74" i="11"/>
  <c r="Q74" i="11" s="1"/>
  <c r="O94" i="11"/>
  <c r="Q94" i="11" s="1"/>
  <c r="O133" i="11"/>
  <c r="Q133" i="11" s="1"/>
  <c r="O154" i="11"/>
  <c r="Q154" i="11" s="1"/>
  <c r="O170" i="11"/>
  <c r="Q170" i="11" s="1"/>
  <c r="O202" i="11"/>
  <c r="Q202" i="11" s="1"/>
  <c r="O222" i="11"/>
  <c r="Q222" i="11" s="1"/>
  <c r="O261" i="11"/>
  <c r="Q261" i="11" s="1"/>
  <c r="O282" i="11"/>
  <c r="Q282" i="11" s="1"/>
  <c r="O298" i="11"/>
  <c r="Q298" i="11" s="1"/>
  <c r="O330" i="11"/>
  <c r="Q330" i="11" s="1"/>
  <c r="O341" i="11"/>
  <c r="Q341" i="11" s="1"/>
  <c r="O346" i="11"/>
  <c r="Q346" i="11" s="1"/>
  <c r="O353" i="11"/>
  <c r="Q353" i="11" s="1"/>
  <c r="O398" i="11"/>
  <c r="Q398" i="11" s="1"/>
  <c r="O405" i="11"/>
  <c r="Q405" i="11" s="1"/>
  <c r="O410" i="11"/>
  <c r="Q410" i="11" s="1"/>
  <c r="O417" i="11"/>
  <c r="Q417" i="11" s="1"/>
  <c r="O462" i="11"/>
  <c r="Q462" i="11" s="1"/>
  <c r="O469" i="11"/>
  <c r="Q469" i="11" s="1"/>
  <c r="O474" i="11"/>
  <c r="Q474" i="11" s="1"/>
  <c r="O481" i="11"/>
  <c r="Q481" i="11" s="1"/>
  <c r="O526" i="11"/>
  <c r="Q526" i="11" s="1"/>
  <c r="O533" i="11"/>
  <c r="Q533" i="11" s="1"/>
  <c r="O538" i="11"/>
  <c r="Q538" i="11" s="1"/>
  <c r="O545" i="11"/>
  <c r="Q545" i="11" s="1"/>
  <c r="O590" i="11"/>
  <c r="Q590" i="11" s="1"/>
  <c r="O597" i="11"/>
  <c r="Q597" i="11" s="1"/>
  <c r="O602" i="11"/>
  <c r="Q602" i="11" s="1"/>
  <c r="O609" i="11"/>
  <c r="Q609" i="11" s="1"/>
  <c r="O654" i="11"/>
  <c r="Q654" i="11" s="1"/>
  <c r="O661" i="11"/>
  <c r="Q661" i="11" s="1"/>
  <c r="O666" i="11"/>
  <c r="Q666" i="11" s="1"/>
  <c r="O673" i="11"/>
  <c r="Q673" i="11" s="1"/>
  <c r="O718" i="11"/>
  <c r="Q718" i="11" s="1"/>
  <c r="O725" i="11"/>
  <c r="Q725" i="11" s="1"/>
  <c r="O730" i="11"/>
  <c r="Q730" i="11" s="1"/>
  <c r="O737" i="11"/>
  <c r="Q737" i="11" s="1"/>
  <c r="O782" i="11"/>
  <c r="Q782" i="11" s="1"/>
  <c r="O789" i="11"/>
  <c r="Q789" i="11" s="1"/>
  <c r="O794" i="11"/>
  <c r="Q794" i="11" s="1"/>
  <c r="O801" i="11"/>
  <c r="Q801" i="11" s="1"/>
  <c r="O846" i="11"/>
  <c r="Q846" i="11" s="1"/>
  <c r="O853" i="11"/>
  <c r="Q853" i="11" s="1"/>
  <c r="O858" i="11"/>
  <c r="Q858" i="11" s="1"/>
  <c r="O865" i="11"/>
  <c r="Q865" i="11" s="1"/>
  <c r="O910" i="11"/>
  <c r="Q910" i="11" s="1"/>
  <c r="O917" i="11"/>
  <c r="Q917" i="11" s="1"/>
  <c r="O922" i="11"/>
  <c r="Q922" i="11" s="1"/>
  <c r="O929" i="11"/>
  <c r="Q929" i="11" s="1"/>
  <c r="O26" i="11"/>
  <c r="Q26" i="11" s="1"/>
  <c r="O62" i="11"/>
  <c r="Q62" i="11" s="1"/>
  <c r="O78" i="11"/>
  <c r="Q78" i="11" s="1"/>
  <c r="O81" i="11"/>
  <c r="Q81" i="11" s="1"/>
  <c r="O97" i="11"/>
  <c r="Q97" i="11" s="1"/>
  <c r="O113" i="11"/>
  <c r="Q113" i="11" s="1"/>
  <c r="O149" i="11"/>
  <c r="Q149" i="11" s="1"/>
  <c r="O165" i="11"/>
  <c r="Q165" i="11" s="1"/>
  <c r="O190" i="11"/>
  <c r="Q190" i="11" s="1"/>
  <c r="O206" i="11"/>
  <c r="Q206" i="11" s="1"/>
  <c r="O209" i="11"/>
  <c r="Q209" i="11" s="1"/>
  <c r="O225" i="11"/>
  <c r="Q225" i="11" s="1"/>
  <c r="O241" i="11"/>
  <c r="Q241" i="11" s="1"/>
  <c r="O277" i="11"/>
  <c r="Q277" i="11" s="1"/>
  <c r="O293" i="11"/>
  <c r="Q293" i="11" s="1"/>
  <c r="O318" i="11"/>
  <c r="Q318" i="11" s="1"/>
  <c r="O334" i="11"/>
  <c r="Q334" i="11" s="1"/>
  <c r="O337" i="11"/>
  <c r="Q337" i="11" s="1"/>
  <c r="O382" i="11"/>
  <c r="Q382" i="11" s="1"/>
  <c r="O389" i="11"/>
  <c r="Q389" i="11" s="1"/>
  <c r="O394" i="11"/>
  <c r="Q394" i="11" s="1"/>
  <c r="O401" i="11"/>
  <c r="Q401" i="11" s="1"/>
  <c r="O446" i="11"/>
  <c r="Q446" i="11" s="1"/>
  <c r="O453" i="11"/>
  <c r="Q453" i="11" s="1"/>
  <c r="O458" i="11"/>
  <c r="Q458" i="11" s="1"/>
  <c r="O465" i="11"/>
  <c r="Q465" i="11" s="1"/>
  <c r="O510" i="11"/>
  <c r="Q510" i="11" s="1"/>
  <c r="O517" i="11"/>
  <c r="Q517" i="11" s="1"/>
  <c r="O522" i="11"/>
  <c r="Q522" i="11" s="1"/>
  <c r="O529" i="11"/>
  <c r="Q529" i="11" s="1"/>
  <c r="O21" i="11"/>
  <c r="Q21" i="11" s="1"/>
  <c r="O33" i="11"/>
  <c r="Q33" i="11" s="1"/>
  <c r="O49" i="11"/>
  <c r="Q49" i="11" s="1"/>
  <c r="O101" i="11"/>
  <c r="Q101" i="11" s="1"/>
  <c r="O177" i="11"/>
  <c r="Q177" i="11" s="1"/>
  <c r="O229" i="11"/>
  <c r="Q229" i="11" s="1"/>
  <c r="O305" i="11"/>
  <c r="Q305" i="11" s="1"/>
  <c r="O17" i="11"/>
  <c r="Q17" i="11" s="1"/>
  <c r="O90" i="11"/>
  <c r="Q90" i="11" s="1"/>
  <c r="O106" i="11"/>
  <c r="Q106" i="11" s="1"/>
  <c r="O138" i="11"/>
  <c r="Q138" i="11" s="1"/>
  <c r="O197" i="11"/>
  <c r="Q197" i="11" s="1"/>
  <c r="O286" i="11"/>
  <c r="Q286" i="11" s="1"/>
  <c r="O366" i="11"/>
  <c r="Q366" i="11" s="1"/>
  <c r="O437" i="11"/>
  <c r="Q437" i="11" s="1"/>
  <c r="O442" i="11"/>
  <c r="Q442" i="11" s="1"/>
  <c r="O494" i="11"/>
  <c r="Q494" i="11" s="1"/>
  <c r="O565" i="11"/>
  <c r="Q565" i="11" s="1"/>
  <c r="O586" i="11"/>
  <c r="Q586" i="11" s="1"/>
  <c r="O629" i="11"/>
  <c r="Q629" i="11" s="1"/>
  <c r="O650" i="11"/>
  <c r="Q650" i="11" s="1"/>
  <c r="O693" i="11"/>
  <c r="Q693" i="11" s="1"/>
  <c r="O714" i="11"/>
  <c r="Q714" i="11" s="1"/>
  <c r="O757" i="11"/>
  <c r="Q757" i="11" s="1"/>
  <c r="O778" i="11"/>
  <c r="Q778" i="11" s="1"/>
  <c r="O821" i="11"/>
  <c r="Q821" i="11" s="1"/>
  <c r="O842" i="11"/>
  <c r="Q842" i="11" s="1"/>
  <c r="O885" i="11"/>
  <c r="Q885" i="11" s="1"/>
  <c r="O906" i="11"/>
  <c r="Q906" i="11" s="1"/>
  <c r="O949" i="11"/>
  <c r="Q949" i="11" s="1"/>
  <c r="O970" i="11"/>
  <c r="Q970" i="11" s="1"/>
  <c r="O986" i="11"/>
  <c r="Q986" i="11" s="1"/>
  <c r="O1018" i="11"/>
  <c r="Q1018" i="11" s="1"/>
  <c r="O1038" i="11"/>
  <c r="Q1038" i="11" s="1"/>
  <c r="O1077" i="11"/>
  <c r="Q1077" i="11" s="1"/>
  <c r="O1098" i="11"/>
  <c r="Q1098" i="11" s="1"/>
  <c r="O1114" i="11"/>
  <c r="Q1114" i="11" s="1"/>
  <c r="O1146" i="11"/>
  <c r="Q1146" i="11" s="1"/>
  <c r="O1166" i="11"/>
  <c r="Q1166" i="11" s="1"/>
  <c r="O1205" i="11"/>
  <c r="Q1205" i="11" s="1"/>
  <c r="O1226" i="11"/>
  <c r="Q1226" i="11" s="1"/>
  <c r="O1242" i="11"/>
  <c r="Q1242" i="11" s="1"/>
  <c r="O1274" i="11"/>
  <c r="Q1274" i="11" s="1"/>
  <c r="O1294" i="11"/>
  <c r="Q1294" i="11" s="1"/>
  <c r="O14" i="11"/>
  <c r="Q14" i="11" s="1"/>
  <c r="O385" i="11"/>
  <c r="Q385" i="11" s="1"/>
  <c r="O513" i="11"/>
  <c r="Q513" i="11" s="1"/>
  <c r="O574" i="11"/>
  <c r="Q574" i="11" s="1"/>
  <c r="O638" i="11"/>
  <c r="Q638" i="11" s="1"/>
  <c r="O702" i="11"/>
  <c r="Q702" i="11" s="1"/>
  <c r="O766" i="11"/>
  <c r="Q766" i="11" s="1"/>
  <c r="O830" i="11"/>
  <c r="Q830" i="11" s="1"/>
  <c r="O894" i="11"/>
  <c r="Q894" i="11" s="1"/>
  <c r="O958" i="11"/>
  <c r="Q958" i="11" s="1"/>
  <c r="O981" i="11"/>
  <c r="Q981" i="11" s="1"/>
  <c r="O1057" i="11"/>
  <c r="Q1057" i="11" s="1"/>
  <c r="O1109" i="11"/>
  <c r="Q1109" i="11" s="1"/>
  <c r="O1185" i="11"/>
  <c r="Q1185" i="11" s="1"/>
  <c r="O1237" i="11"/>
  <c r="Q1237" i="11" s="1"/>
  <c r="O449" i="11"/>
  <c r="Q449" i="11" s="1"/>
  <c r="O993" i="11"/>
  <c r="Q993" i="11" s="1"/>
  <c r="O1045" i="11"/>
  <c r="Q1045" i="11" s="1"/>
  <c r="O1121" i="11"/>
  <c r="Q1121" i="11" s="1"/>
  <c r="O1173" i="11"/>
  <c r="Q1173" i="11" s="1"/>
  <c r="O1249" i="11"/>
  <c r="Q1249" i="11" s="1"/>
  <c r="O234" i="11"/>
  <c r="Q234" i="11" s="1"/>
  <c r="O325" i="11"/>
  <c r="Q325" i="11" s="1"/>
  <c r="O558" i="11"/>
  <c r="Q558" i="11" s="1"/>
  <c r="O581" i="11"/>
  <c r="Q581" i="11" s="1"/>
  <c r="O657" i="11"/>
  <c r="Q657" i="11" s="1"/>
  <c r="O837" i="11"/>
  <c r="Q837" i="11" s="1"/>
  <c r="O913" i="11"/>
  <c r="Q913" i="11" s="1"/>
  <c r="O974" i="11"/>
  <c r="Q974" i="11" s="1"/>
  <c r="O1034" i="11"/>
  <c r="Q1034" i="11" s="1"/>
  <c r="O1050" i="11"/>
  <c r="Q1050" i="11" s="1"/>
  <c r="O1082" i="11"/>
  <c r="Q1082" i="11" s="1"/>
  <c r="O1141" i="11"/>
  <c r="Q1141" i="11" s="1"/>
  <c r="O1230" i="11"/>
  <c r="Q1230" i="11" s="1"/>
  <c r="O1290" i="11"/>
  <c r="Q1290" i="11" s="1"/>
  <c r="O158" i="11"/>
  <c r="Q158" i="11" s="1"/>
  <c r="O218" i="11"/>
  <c r="Q218" i="11" s="1"/>
  <c r="O501" i="11"/>
  <c r="Q501" i="11" s="1"/>
  <c r="O506" i="11"/>
  <c r="Q506" i="11" s="1"/>
  <c r="O593" i="11"/>
  <c r="Q593" i="11" s="1"/>
  <c r="O773" i="11"/>
  <c r="Q773" i="11" s="1"/>
  <c r="O849" i="11"/>
  <c r="Q849" i="11" s="1"/>
  <c r="O373" i="11"/>
  <c r="Q373" i="11" s="1"/>
  <c r="O378" i="11"/>
  <c r="Q378" i="11" s="1"/>
  <c r="O645" i="11"/>
  <c r="Q645" i="11" s="1"/>
  <c r="O721" i="11"/>
  <c r="Q721" i="11" s="1"/>
  <c r="O901" i="11"/>
  <c r="Q901" i="11" s="1"/>
  <c r="O430" i="11"/>
  <c r="Q430" i="11" s="1"/>
  <c r="O965" i="11"/>
  <c r="Q965" i="11" s="1"/>
  <c r="O69" i="11"/>
  <c r="Q69" i="11" s="1"/>
  <c r="O709" i="11"/>
  <c r="Q709" i="11" s="1"/>
  <c r="O1178" i="11"/>
  <c r="Q1178" i="11" s="1"/>
  <c r="O1269" i="11"/>
  <c r="Q1269" i="11" s="1"/>
  <c r="O1013" i="11"/>
  <c r="Q1013" i="11" s="1"/>
  <c r="O1210" i="11"/>
  <c r="Q1210" i="11" s="1"/>
  <c r="O1102" i="11"/>
  <c r="Q1102" i="11" s="1"/>
  <c r="O266" i="11"/>
  <c r="Q266" i="11" s="1"/>
  <c r="O1162" i="11"/>
  <c r="Q1162" i="11" s="1"/>
  <c r="O4714" i="11"/>
  <c r="Q4714" i="11" s="1"/>
  <c r="O4715" i="11"/>
  <c r="Q4715" i="11" s="1"/>
  <c r="O4716" i="11"/>
  <c r="Q4716" i="11" s="1"/>
  <c r="O4717" i="11"/>
  <c r="Q4717" i="11" s="1"/>
  <c r="O4718" i="11"/>
  <c r="Q4718" i="11" s="1"/>
  <c r="O4719" i="11"/>
  <c r="Q4719" i="11" s="1"/>
  <c r="O4720" i="11"/>
  <c r="Q4720" i="11" s="1"/>
  <c r="O4721" i="11"/>
  <c r="Q4721" i="11" s="1"/>
  <c r="O4722" i="11"/>
  <c r="Q4722" i="11" s="1"/>
  <c r="O4723" i="11"/>
  <c r="Q4723" i="11" s="1"/>
  <c r="O4724" i="11"/>
  <c r="Q4724" i="11" s="1"/>
  <c r="O4725" i="11"/>
  <c r="Q4725" i="11" s="1"/>
  <c r="O4726" i="11"/>
  <c r="Q4726" i="11" s="1"/>
  <c r="O4727" i="11"/>
  <c r="Q4727" i="11" s="1"/>
  <c r="O4728" i="11"/>
  <c r="Q4728" i="11" s="1"/>
  <c r="O4729" i="11"/>
  <c r="Q4729" i="11" s="1"/>
  <c r="O785" i="11"/>
  <c r="Q785" i="11" s="1"/>
  <c r="O7581" i="11"/>
  <c r="Q7581" i="11" s="1"/>
  <c r="O7582" i="11"/>
  <c r="Q7582" i="11" s="1"/>
  <c r="O7583" i="11"/>
  <c r="Q7583" i="11" s="1"/>
  <c r="O7584" i="11"/>
  <c r="Q7584" i="11" s="1"/>
  <c r="O7585" i="11"/>
  <c r="Q7585" i="11" s="1"/>
  <c r="O7586" i="11"/>
  <c r="Q7586" i="11" s="1"/>
  <c r="O7587" i="11"/>
  <c r="Q7587" i="11" s="1"/>
  <c r="O7588" i="11"/>
  <c r="Q7588" i="11" s="1"/>
  <c r="O7589" i="11"/>
  <c r="Q7589" i="11" s="1"/>
  <c r="O7590" i="11"/>
  <c r="Q7590" i="11" s="1"/>
  <c r="O7591" i="11"/>
  <c r="Q7591" i="11" s="1"/>
  <c r="O7592" i="11"/>
  <c r="Q7592" i="11" s="1"/>
  <c r="O7593" i="11"/>
  <c r="Q7593" i="11" s="1"/>
  <c r="O7594" i="11"/>
  <c r="Q7594" i="11" s="1"/>
  <c r="O7595" i="11"/>
  <c r="Q7595" i="11" s="1"/>
  <c r="O7596" i="11"/>
  <c r="Q7596" i="11" s="1"/>
  <c r="O7597" i="11"/>
  <c r="Q7597" i="11" s="1"/>
  <c r="O7598" i="11"/>
  <c r="Q7598" i="11" s="1"/>
  <c r="O7599" i="11"/>
  <c r="Q7599" i="11" s="1"/>
  <c r="O7600" i="11"/>
  <c r="Q7600" i="11" s="1"/>
  <c r="O7601" i="11"/>
  <c r="Q7601" i="11" s="1"/>
  <c r="O7602" i="11"/>
  <c r="Q7602" i="11" s="1"/>
  <c r="O7603" i="11"/>
  <c r="Q7603" i="11" s="1"/>
  <c r="O7604" i="11"/>
  <c r="Q7604" i="11" s="1"/>
  <c r="O7605" i="11"/>
  <c r="Q7605" i="11" s="1"/>
  <c r="O7606" i="11"/>
  <c r="Q7606" i="11" s="1"/>
  <c r="O7607" i="11"/>
  <c r="Q7607" i="11" s="1"/>
  <c r="O7608" i="11"/>
  <c r="Q7608" i="11" s="1"/>
  <c r="O7609" i="11"/>
  <c r="Q7609" i="11" s="1"/>
  <c r="O7610" i="11"/>
  <c r="Q7610" i="11" s="1"/>
  <c r="O7611" i="11"/>
  <c r="Q7611" i="11" s="1"/>
  <c r="O7612" i="11"/>
  <c r="Q7612" i="11" s="1"/>
  <c r="O7613" i="11"/>
  <c r="Q7613" i="11" s="1"/>
  <c r="O7614" i="11"/>
  <c r="Q7614" i="11" s="1"/>
  <c r="O7615" i="11"/>
  <c r="Q7615" i="11" s="1"/>
  <c r="O7616" i="11"/>
  <c r="Q7616" i="11" s="1"/>
  <c r="O7617" i="11"/>
  <c r="Q7617" i="11" s="1"/>
  <c r="O7618" i="11"/>
  <c r="Q7618" i="11" s="1"/>
  <c r="O7619" i="11"/>
  <c r="Q7619" i="11" s="1"/>
  <c r="O7620" i="11"/>
  <c r="Q7620" i="11" s="1"/>
  <c r="O7621" i="11"/>
  <c r="Q7621" i="11" s="1"/>
  <c r="O7622" i="11"/>
  <c r="Q7622" i="11" s="1"/>
  <c r="O7623" i="11"/>
  <c r="Q7623" i="11" s="1"/>
  <c r="O7624" i="11"/>
  <c r="Q7624" i="11" s="1"/>
  <c r="O7625" i="11"/>
  <c r="Q7625" i="11" s="1"/>
  <c r="O7626" i="11"/>
  <c r="Q7626" i="11" s="1"/>
  <c r="O7627" i="11"/>
  <c r="Q7627" i="11" s="1"/>
  <c r="O7628" i="11"/>
  <c r="Q7628" i="11" s="1"/>
  <c r="O7629" i="11"/>
  <c r="Q7629" i="11" s="1"/>
  <c r="O7630" i="11"/>
  <c r="Q7630" i="11" s="1"/>
  <c r="O7631" i="11"/>
  <c r="Q7631" i="11" s="1"/>
  <c r="O7632" i="11"/>
  <c r="Q7632" i="11" s="1"/>
  <c r="O7633" i="11"/>
  <c r="Q7633" i="11" s="1"/>
  <c r="O7634" i="11"/>
  <c r="Q7634" i="11" s="1"/>
  <c r="O7635" i="11"/>
  <c r="Q7635" i="11" s="1"/>
  <c r="O7636" i="11"/>
  <c r="Q7636" i="11" s="1"/>
  <c r="O7637" i="11"/>
  <c r="Q7637" i="11" s="1"/>
  <c r="O7638" i="11"/>
  <c r="Q7638" i="11" s="1"/>
  <c r="O7639" i="11"/>
  <c r="Q7639" i="11" s="1"/>
  <c r="O7640" i="11"/>
  <c r="Q7640" i="11" s="1"/>
  <c r="O7641" i="11"/>
  <c r="Q7641" i="11" s="1"/>
  <c r="O7642" i="11"/>
  <c r="Q7642" i="11" s="1"/>
  <c r="O7643" i="11"/>
  <c r="Q7643" i="11" s="1"/>
  <c r="O7644" i="11"/>
  <c r="Q7644" i="11" s="1"/>
  <c r="O7645" i="11"/>
  <c r="Q7645" i="11" s="1"/>
  <c r="O7646" i="11"/>
  <c r="Q7646" i="11" s="1"/>
  <c r="O7647" i="11"/>
  <c r="Q7647" i="11" s="1"/>
  <c r="O7648" i="11"/>
  <c r="Q7648" i="11" s="1"/>
  <c r="O7649" i="11"/>
  <c r="Q7649" i="11" s="1"/>
  <c r="O7650" i="11"/>
  <c r="Q7650" i="11" s="1"/>
  <c r="O7651" i="11"/>
  <c r="Q7651" i="11" s="1"/>
  <c r="O7652" i="11"/>
  <c r="Q7652" i="11" s="1"/>
  <c r="O7653" i="11"/>
  <c r="Q7653" i="11" s="1"/>
  <c r="O7654" i="11"/>
  <c r="Q7654" i="11" s="1"/>
  <c r="O7655" i="11"/>
  <c r="Q7655" i="11" s="1"/>
  <c r="O7656" i="11"/>
  <c r="Q7656" i="11" s="1"/>
  <c r="O7657" i="11"/>
  <c r="Q7657" i="11" s="1"/>
  <c r="O7658" i="11"/>
  <c r="Q7658" i="11" s="1"/>
  <c r="O7659" i="11"/>
  <c r="Q7659" i="11" s="1"/>
  <c r="O7660" i="11"/>
  <c r="Q7660" i="11" s="1"/>
  <c r="O7661" i="11"/>
  <c r="Q7661" i="11" s="1"/>
  <c r="O7662" i="11"/>
  <c r="Q7662" i="11" s="1"/>
  <c r="O7663" i="11"/>
  <c r="Q7663" i="11" s="1"/>
  <c r="O7664" i="11"/>
  <c r="Q7664" i="11" s="1"/>
  <c r="O7665" i="11"/>
  <c r="Q7665" i="11" s="1"/>
  <c r="O7666" i="11"/>
  <c r="Q7666" i="11" s="1"/>
  <c r="O7667" i="11"/>
  <c r="Q7667" i="11" s="1"/>
  <c r="O7668" i="11"/>
  <c r="Q7668" i="11" s="1"/>
  <c r="O7669" i="11"/>
  <c r="Q7669" i="11" s="1"/>
  <c r="O7670" i="11"/>
  <c r="Q7670" i="11" s="1"/>
  <c r="O7671" i="11"/>
  <c r="Q7671" i="11" s="1"/>
  <c r="O7672" i="11"/>
  <c r="Q7672" i="11" s="1"/>
  <c r="O7673" i="11"/>
  <c r="Q7673" i="11" s="1"/>
  <c r="O7674" i="11"/>
  <c r="Q7674" i="11" s="1"/>
  <c r="O7675" i="11"/>
  <c r="Q7675" i="11" s="1"/>
  <c r="O7676" i="11"/>
  <c r="Q7676" i="11" s="1"/>
  <c r="O7677" i="11"/>
  <c r="Q7677" i="11" s="1"/>
  <c r="O7678" i="11"/>
  <c r="Q7678" i="11" s="1"/>
  <c r="O7679" i="11"/>
  <c r="Q7679" i="11" s="1"/>
  <c r="O7680" i="11"/>
  <c r="Q7680" i="11" s="1"/>
  <c r="O7681" i="11"/>
  <c r="Q7681" i="11" s="1"/>
  <c r="O7682" i="11"/>
  <c r="Q7682" i="11" s="1"/>
  <c r="O7683" i="11"/>
  <c r="Q7683" i="11" s="1"/>
  <c r="O7684" i="11"/>
  <c r="Q7684" i="11" s="1"/>
  <c r="O7685" i="11"/>
  <c r="Q7685" i="11" s="1"/>
  <c r="O7686" i="11"/>
  <c r="Q7686" i="11" s="1"/>
  <c r="O7687" i="11"/>
  <c r="Q7687" i="11" s="1"/>
  <c r="O7688" i="11"/>
  <c r="Q7688" i="11" s="1"/>
  <c r="O7689" i="11"/>
  <c r="Q7689" i="11" s="1"/>
  <c r="O7690" i="11"/>
  <c r="Q7690" i="11" s="1"/>
  <c r="O7691" i="11"/>
  <c r="Q7691" i="11" s="1"/>
  <c r="O7692" i="11"/>
  <c r="Q7692" i="11" s="1"/>
  <c r="O7693" i="11"/>
  <c r="Q7693" i="11" s="1"/>
  <c r="O7694" i="11"/>
  <c r="Q7694" i="11" s="1"/>
  <c r="O7695" i="11"/>
  <c r="Q7695" i="11" s="1"/>
  <c r="O7696" i="11"/>
  <c r="Q7696" i="11" s="1"/>
  <c r="O7697" i="11"/>
  <c r="Q7697" i="11" s="1"/>
  <c r="O7698" i="11"/>
  <c r="Q7698" i="11" s="1"/>
  <c r="O7699" i="11"/>
  <c r="Q7699" i="11" s="1"/>
  <c r="O7700" i="11"/>
  <c r="Q7700" i="11" s="1"/>
  <c r="O7701" i="11"/>
  <c r="Q7701" i="11" s="1"/>
  <c r="O7702" i="11"/>
  <c r="Q7702" i="11" s="1"/>
  <c r="O7703" i="11"/>
  <c r="Q7703" i="11" s="1"/>
  <c r="O7704" i="11"/>
  <c r="Q7704" i="11" s="1"/>
  <c r="O7705" i="11"/>
  <c r="Q7705" i="11" s="1"/>
  <c r="O7706" i="11"/>
  <c r="Q7706" i="11" s="1"/>
  <c r="O7707" i="11"/>
  <c r="Q7707" i="11" s="1"/>
  <c r="O7708" i="11"/>
  <c r="Q7708" i="11" s="1"/>
  <c r="O7709" i="11"/>
  <c r="Q7709" i="11" s="1"/>
  <c r="O7710" i="11"/>
  <c r="Q7710" i="11" s="1"/>
  <c r="O7711" i="11"/>
  <c r="Q7711" i="11" s="1"/>
  <c r="O7712" i="11"/>
  <c r="Q7712" i="11" s="1"/>
  <c r="O7713" i="11"/>
  <c r="Q7713" i="11" s="1"/>
  <c r="O7714" i="11"/>
  <c r="Q7714" i="11" s="1"/>
  <c r="O7715" i="11"/>
  <c r="Q7715" i="11" s="1"/>
  <c r="O7716" i="11"/>
  <c r="Q7716" i="11" s="1"/>
  <c r="O7717" i="11"/>
  <c r="Q7717" i="11" s="1"/>
  <c r="O7718" i="11"/>
  <c r="Q7718" i="11" s="1"/>
  <c r="O7719" i="11"/>
  <c r="Q7719" i="11" s="1"/>
  <c r="O7720" i="11"/>
  <c r="Q7720" i="11" s="1"/>
  <c r="O7721" i="11"/>
  <c r="Q7721" i="11" s="1"/>
  <c r="O7722" i="11"/>
  <c r="Q7722" i="11" s="1"/>
  <c r="O7723" i="11"/>
  <c r="Q7723" i="11" s="1"/>
  <c r="O7724" i="11"/>
  <c r="Q7724" i="11" s="1"/>
  <c r="O8405" i="11"/>
  <c r="Q8405" i="11" s="1"/>
  <c r="O8373" i="11"/>
  <c r="Q8373" i="11" s="1"/>
  <c r="O8337" i="11"/>
  <c r="Q8337" i="11" s="1"/>
  <c r="O8305" i="11"/>
  <c r="Q8305" i="11" s="1"/>
  <c r="O8273" i="11"/>
  <c r="Q8273" i="11" s="1"/>
  <c r="O8241" i="11"/>
  <c r="Q8241" i="11" s="1"/>
  <c r="O8213" i="11"/>
  <c r="Q8213" i="11" s="1"/>
  <c r="O8177" i="11"/>
  <c r="Q8177" i="11" s="1"/>
  <c r="O8149" i="11"/>
  <c r="Q8149" i="11" s="1"/>
  <c r="O8113" i="11"/>
  <c r="Q8113" i="11" s="1"/>
  <c r="O8081" i="11"/>
  <c r="Q8081" i="11" s="1"/>
  <c r="O8053" i="11"/>
  <c r="Q8053" i="11" s="1"/>
  <c r="O8017" i="11"/>
  <c r="Q8017" i="11" s="1"/>
  <c r="O7989" i="11"/>
  <c r="Q7989" i="11" s="1"/>
  <c r="O7953" i="11"/>
  <c r="Q7953" i="11" s="1"/>
  <c r="O7929" i="11"/>
  <c r="Q7929" i="11" s="1"/>
  <c r="O7913" i="11"/>
  <c r="Q7913" i="11" s="1"/>
  <c r="O7897" i="11"/>
  <c r="Q7897" i="11" s="1"/>
  <c r="O7881" i="11"/>
  <c r="Q7881" i="11" s="1"/>
  <c r="O7865" i="11"/>
  <c r="Q7865" i="11" s="1"/>
  <c r="O7849" i="11"/>
  <c r="Q7849" i="11" s="1"/>
  <c r="O7725" i="11"/>
  <c r="Q7725" i="11" s="1"/>
  <c r="O8385" i="11"/>
  <c r="Q8385" i="11" s="1"/>
  <c r="O8353" i="11"/>
  <c r="Q8353" i="11" s="1"/>
  <c r="O8325" i="11"/>
  <c r="Q8325" i="11" s="1"/>
  <c r="O8293" i="11"/>
  <c r="Q8293" i="11" s="1"/>
  <c r="O8261" i="11"/>
  <c r="Q8261" i="11" s="1"/>
  <c r="O8229" i="11"/>
  <c r="Q8229" i="11" s="1"/>
  <c r="O8197" i="11"/>
  <c r="Q8197" i="11" s="1"/>
  <c r="O8165" i="11"/>
  <c r="Q8165" i="11" s="1"/>
  <c r="O8133" i="11"/>
  <c r="Q8133" i="11" s="1"/>
  <c r="O8101" i="11"/>
  <c r="Q8101" i="11" s="1"/>
  <c r="O8069" i="11"/>
  <c r="Q8069" i="11" s="1"/>
  <c r="O8037" i="11"/>
  <c r="Q8037" i="11" s="1"/>
  <c r="O8001" i="11"/>
  <c r="Q8001" i="11" s="1"/>
  <c r="O7969" i="11"/>
  <c r="Q7969" i="11" s="1"/>
  <c r="O7941" i="11"/>
  <c r="Q7941" i="11" s="1"/>
  <c r="O7821" i="11"/>
  <c r="Q7821" i="11" s="1"/>
  <c r="O7805" i="11"/>
  <c r="Q7805" i="11" s="1"/>
  <c r="O7789" i="11"/>
  <c r="Q7789" i="11" s="1"/>
  <c r="O7773" i="11"/>
  <c r="Q7773" i="11" s="1"/>
  <c r="O7757" i="11"/>
  <c r="Q7757" i="11" s="1"/>
  <c r="O7741" i="11"/>
  <c r="Q7741" i="11" s="1"/>
  <c r="O8407" i="11"/>
  <c r="Q8407" i="11" s="1"/>
  <c r="O8391" i="11"/>
  <c r="Q8391" i="11" s="1"/>
  <c r="O8375" i="11"/>
  <c r="Q8375" i="11" s="1"/>
  <c r="O8359" i="11"/>
  <c r="Q8359" i="11" s="1"/>
  <c r="O8343" i="11"/>
  <c r="Q8343" i="11" s="1"/>
  <c r="O8327" i="11"/>
  <c r="Q8327" i="11" s="1"/>
  <c r="O8311" i="11"/>
  <c r="Q8311" i="11" s="1"/>
  <c r="O8295" i="11"/>
  <c r="Q8295" i="11" s="1"/>
  <c r="O8279" i="11"/>
  <c r="Q8279" i="11" s="1"/>
  <c r="O8263" i="11"/>
  <c r="Q8263" i="11" s="1"/>
  <c r="O8247" i="11"/>
  <c r="Q8247" i="11" s="1"/>
  <c r="O8231" i="11"/>
  <c r="Q8231" i="11" s="1"/>
  <c r="O8215" i="11"/>
  <c r="Q8215" i="11" s="1"/>
  <c r="O8199" i="11"/>
  <c r="Q8199" i="11" s="1"/>
  <c r="O8183" i="11"/>
  <c r="Q8183" i="11" s="1"/>
  <c r="O8167" i="11"/>
  <c r="Q8167" i="11" s="1"/>
  <c r="O8151" i="11"/>
  <c r="Q8151" i="11" s="1"/>
  <c r="O8135" i="11"/>
  <c r="Q8135" i="11" s="1"/>
  <c r="O8119" i="11"/>
  <c r="Q8119" i="11" s="1"/>
  <c r="O8103" i="11"/>
  <c r="Q8103" i="11" s="1"/>
  <c r="O8087" i="11"/>
  <c r="Q8087" i="11" s="1"/>
  <c r="O8071" i="11"/>
  <c r="Q8071" i="11" s="1"/>
  <c r="O8055" i="11"/>
  <c r="Q8055" i="11" s="1"/>
  <c r="O8039" i="11"/>
  <c r="Q8039" i="11" s="1"/>
  <c r="O8023" i="11"/>
  <c r="Q8023" i="11" s="1"/>
  <c r="O8007" i="11"/>
  <c r="Q8007" i="11" s="1"/>
  <c r="O7991" i="11"/>
  <c r="Q7991" i="11" s="1"/>
  <c r="O7975" i="11"/>
  <c r="Q7975" i="11" s="1"/>
  <c r="O7959" i="11"/>
  <c r="Q7959" i="11" s="1"/>
  <c r="O7943" i="11"/>
  <c r="Q7943" i="11" s="1"/>
  <c r="O7927" i="11"/>
  <c r="Q7927" i="11" s="1"/>
  <c r="O7911" i="11"/>
  <c r="Q7911" i="11" s="1"/>
  <c r="O7895" i="11"/>
  <c r="Q7895" i="11" s="1"/>
  <c r="O7879" i="11"/>
  <c r="Q7879" i="11" s="1"/>
  <c r="O7863" i="11"/>
  <c r="Q7863" i="11" s="1"/>
  <c r="O7847" i="11"/>
  <c r="Q7847" i="11" s="1"/>
  <c r="O7831" i="11"/>
  <c r="Q7831" i="11" s="1"/>
  <c r="O7815" i="11"/>
  <c r="Q7815" i="11" s="1"/>
  <c r="O7799" i="11"/>
  <c r="Q7799" i="11" s="1"/>
  <c r="O7783" i="11"/>
  <c r="Q7783" i="11" s="1"/>
  <c r="O7767" i="11"/>
  <c r="Q7767" i="11" s="1"/>
  <c r="O7751" i="11"/>
  <c r="Q7751" i="11" s="1"/>
  <c r="O7735" i="11"/>
  <c r="Q7735" i="11" s="1"/>
  <c r="O7571" i="11"/>
  <c r="Q7571" i="11" s="1"/>
  <c r="O7539" i="11"/>
  <c r="Q7539" i="11" s="1"/>
  <c r="O7507" i="11"/>
  <c r="Q7507" i="11" s="1"/>
  <c r="O7475" i="11"/>
  <c r="Q7475" i="11" s="1"/>
  <c r="O7443" i="11"/>
  <c r="Q7443" i="11" s="1"/>
  <c r="O7411" i="11"/>
  <c r="Q7411" i="11" s="1"/>
  <c r="O7379" i="11"/>
  <c r="Q7379" i="11" s="1"/>
  <c r="O7347" i="11"/>
  <c r="Q7347" i="11" s="1"/>
  <c r="O7315" i="11"/>
  <c r="Q7315" i="11" s="1"/>
  <c r="O7283" i="11"/>
  <c r="Q7283" i="11" s="1"/>
  <c r="O7251" i="11"/>
  <c r="Q7251" i="11" s="1"/>
  <c r="O7219" i="11"/>
  <c r="Q7219" i="11" s="1"/>
  <c r="O7187" i="11"/>
  <c r="Q7187" i="11" s="1"/>
  <c r="O7155" i="11"/>
  <c r="Q7155" i="11" s="1"/>
  <c r="O7123" i="11"/>
  <c r="Q7123" i="11" s="1"/>
  <c r="O7091" i="11"/>
  <c r="Q7091" i="11" s="1"/>
  <c r="O7059" i="11"/>
  <c r="Q7059" i="11" s="1"/>
  <c r="O7027" i="11"/>
  <c r="Q7027" i="11" s="1"/>
  <c r="O6995" i="11"/>
  <c r="Q6995" i="11" s="1"/>
  <c r="O6963" i="11"/>
  <c r="Q6963" i="11" s="1"/>
  <c r="O6931" i="11"/>
  <c r="Q6931" i="11" s="1"/>
  <c r="O6899" i="11"/>
  <c r="Q6899" i="11" s="1"/>
  <c r="O6867" i="11"/>
  <c r="Q6867" i="11" s="1"/>
  <c r="O6835" i="11"/>
  <c r="Q6835" i="11" s="1"/>
  <c r="O6803" i="11"/>
  <c r="Q6803" i="11" s="1"/>
  <c r="O6771" i="11"/>
  <c r="Q6771" i="11" s="1"/>
  <c r="O6739" i="11"/>
  <c r="Q6739" i="11" s="1"/>
  <c r="O6707" i="11"/>
  <c r="Q6707" i="11" s="1"/>
  <c r="O6675" i="11"/>
  <c r="Q6675" i="11" s="1"/>
  <c r="O6643" i="11"/>
  <c r="Q6643" i="11" s="1"/>
  <c r="O6611" i="11"/>
  <c r="Q6611" i="11" s="1"/>
  <c r="O6579" i="11"/>
  <c r="Q6579" i="11" s="1"/>
  <c r="O6547" i="11"/>
  <c r="Q6547" i="11" s="1"/>
  <c r="O7551" i="11"/>
  <c r="Q7551" i="11" s="1"/>
  <c r="O7519" i="11"/>
  <c r="Q7519" i="11" s="1"/>
  <c r="O7487" i="11"/>
  <c r="Q7487" i="11" s="1"/>
  <c r="O7455" i="11"/>
  <c r="Q7455" i="11" s="1"/>
  <c r="O7423" i="11"/>
  <c r="Q7423" i="11" s="1"/>
  <c r="O7391" i="11"/>
  <c r="Q7391" i="11" s="1"/>
  <c r="O7359" i="11"/>
  <c r="Q7359" i="11" s="1"/>
  <c r="O7327" i="11"/>
  <c r="Q7327" i="11" s="1"/>
  <c r="O7295" i="11"/>
  <c r="Q7295" i="11" s="1"/>
  <c r="O7263" i="11"/>
  <c r="Q7263" i="11" s="1"/>
  <c r="O7231" i="11"/>
  <c r="Q7231" i="11" s="1"/>
  <c r="O7199" i="11"/>
  <c r="Q7199" i="11" s="1"/>
  <c r="O7167" i="11"/>
  <c r="Q7167" i="11" s="1"/>
  <c r="O7135" i="11"/>
  <c r="Q7135" i="11" s="1"/>
  <c r="O7103" i="11"/>
  <c r="Q7103" i="11" s="1"/>
  <c r="O7071" i="11"/>
  <c r="Q7071" i="11" s="1"/>
  <c r="O7039" i="11"/>
  <c r="Q7039" i="11" s="1"/>
  <c r="O7007" i="11"/>
  <c r="Q7007" i="11" s="1"/>
  <c r="O6975" i="11"/>
  <c r="Q6975" i="11" s="1"/>
  <c r="O6943" i="11"/>
  <c r="Q6943" i="11" s="1"/>
  <c r="O6911" i="11"/>
  <c r="Q6911" i="11" s="1"/>
  <c r="O6879" i="11"/>
  <c r="Q6879" i="11" s="1"/>
  <c r="O6847" i="11"/>
  <c r="Q6847" i="11" s="1"/>
  <c r="O6815" i="11"/>
  <c r="Q6815" i="11" s="1"/>
  <c r="O6783" i="11"/>
  <c r="Q6783" i="11" s="1"/>
  <c r="O6751" i="11"/>
  <c r="Q6751" i="11" s="1"/>
  <c r="O6719" i="11"/>
  <c r="Q6719" i="11" s="1"/>
  <c r="O6687" i="11"/>
  <c r="Q6687" i="11" s="1"/>
  <c r="O6655" i="11"/>
  <c r="Q6655" i="11" s="1"/>
  <c r="O6623" i="11"/>
  <c r="Q6623" i="11" s="1"/>
  <c r="O6591" i="11"/>
  <c r="Q6591" i="11" s="1"/>
  <c r="O6559" i="11"/>
  <c r="Q6559" i="11" s="1"/>
  <c r="O8408" i="11"/>
  <c r="Q8408" i="11" s="1"/>
  <c r="O8400" i="11"/>
  <c r="Q8400" i="11" s="1"/>
  <c r="O8392" i="11"/>
  <c r="Q8392" i="11" s="1"/>
  <c r="O8384" i="11"/>
  <c r="Q8384" i="11" s="1"/>
  <c r="O8376" i="11"/>
  <c r="Q8376" i="11" s="1"/>
  <c r="O8368" i="11"/>
  <c r="Q8368" i="11" s="1"/>
  <c r="O8360" i="11"/>
  <c r="Q8360" i="11" s="1"/>
  <c r="O8352" i="11"/>
  <c r="Q8352" i="11" s="1"/>
  <c r="O8344" i="11"/>
  <c r="Q8344" i="11" s="1"/>
  <c r="O8336" i="11"/>
  <c r="Q8336" i="11" s="1"/>
  <c r="O8328" i="11"/>
  <c r="Q8328" i="11" s="1"/>
  <c r="O8320" i="11"/>
  <c r="Q8320" i="11" s="1"/>
  <c r="O8312" i="11"/>
  <c r="Q8312" i="11" s="1"/>
  <c r="O8304" i="11"/>
  <c r="Q8304" i="11" s="1"/>
  <c r="O8296" i="11"/>
  <c r="Q8296" i="11" s="1"/>
  <c r="O8288" i="11"/>
  <c r="Q8288" i="11" s="1"/>
  <c r="O8280" i="11"/>
  <c r="Q8280" i="11" s="1"/>
  <c r="O8272" i="11"/>
  <c r="Q8272" i="11" s="1"/>
  <c r="O8264" i="11"/>
  <c r="Q8264" i="11" s="1"/>
  <c r="O8256" i="11"/>
  <c r="Q8256" i="11" s="1"/>
  <c r="O8248" i="11"/>
  <c r="Q8248" i="11" s="1"/>
  <c r="O8240" i="11"/>
  <c r="Q8240" i="11" s="1"/>
  <c r="O8232" i="11"/>
  <c r="Q8232" i="11" s="1"/>
  <c r="O8224" i="11"/>
  <c r="Q8224" i="11" s="1"/>
  <c r="O8216" i="11"/>
  <c r="Q8216" i="11" s="1"/>
  <c r="O8208" i="11"/>
  <c r="Q8208" i="11" s="1"/>
  <c r="O8200" i="11"/>
  <c r="Q8200" i="11" s="1"/>
  <c r="O8192" i="11"/>
  <c r="Q8192" i="11" s="1"/>
  <c r="O8184" i="11"/>
  <c r="Q8184" i="11" s="1"/>
  <c r="O8176" i="11"/>
  <c r="Q8176" i="11" s="1"/>
  <c r="O8168" i="11"/>
  <c r="Q8168" i="11" s="1"/>
  <c r="O8160" i="11"/>
  <c r="Q8160" i="11" s="1"/>
  <c r="O8152" i="11"/>
  <c r="Q8152" i="11" s="1"/>
  <c r="O8144" i="11"/>
  <c r="Q8144" i="11" s="1"/>
  <c r="O8136" i="11"/>
  <c r="Q8136" i="11" s="1"/>
  <c r="O8128" i="11"/>
  <c r="Q8128" i="11" s="1"/>
  <c r="O8120" i="11"/>
  <c r="Q8120" i="11" s="1"/>
  <c r="O8112" i="11"/>
  <c r="Q8112" i="11" s="1"/>
  <c r="O8104" i="11"/>
  <c r="Q8104" i="11" s="1"/>
  <c r="O8096" i="11"/>
  <c r="Q8096" i="11" s="1"/>
  <c r="O8088" i="11"/>
  <c r="Q8088" i="11" s="1"/>
  <c r="O8080" i="11"/>
  <c r="Q8080" i="11" s="1"/>
  <c r="O8072" i="11"/>
  <c r="Q8072" i="11" s="1"/>
  <c r="O8064" i="11"/>
  <c r="Q8064" i="11" s="1"/>
  <c r="O8056" i="11"/>
  <c r="Q8056" i="11" s="1"/>
  <c r="O8048" i="11"/>
  <c r="Q8048" i="11" s="1"/>
  <c r="O8040" i="11"/>
  <c r="Q8040" i="11" s="1"/>
  <c r="O8032" i="11"/>
  <c r="Q8032" i="11" s="1"/>
  <c r="O8024" i="11"/>
  <c r="Q8024" i="11" s="1"/>
  <c r="O8016" i="11"/>
  <c r="Q8016" i="11" s="1"/>
  <c r="O8008" i="11"/>
  <c r="Q8008" i="11" s="1"/>
  <c r="O8000" i="11"/>
  <c r="Q8000" i="11" s="1"/>
  <c r="O7992" i="11"/>
  <c r="Q7992" i="11" s="1"/>
  <c r="O7984" i="11"/>
  <c r="Q7984" i="11" s="1"/>
  <c r="O7976" i="11"/>
  <c r="Q7976" i="11" s="1"/>
  <c r="O7968" i="11"/>
  <c r="Q7968" i="11" s="1"/>
  <c r="O7960" i="11"/>
  <c r="Q7960" i="11" s="1"/>
  <c r="O7952" i="11"/>
  <c r="Q7952" i="11" s="1"/>
  <c r="O7944" i="11"/>
  <c r="Q7944" i="11" s="1"/>
  <c r="O7936" i="11"/>
  <c r="Q7936" i="11" s="1"/>
  <c r="O7928" i="11"/>
  <c r="Q7928" i="11" s="1"/>
  <c r="O7920" i="11"/>
  <c r="Q7920" i="11" s="1"/>
  <c r="O7912" i="11"/>
  <c r="Q7912" i="11" s="1"/>
  <c r="O7904" i="11"/>
  <c r="Q7904" i="11" s="1"/>
  <c r="O7896" i="11"/>
  <c r="Q7896" i="11" s="1"/>
  <c r="O7888" i="11"/>
  <c r="Q7888" i="11" s="1"/>
  <c r="O7880" i="11"/>
  <c r="Q7880" i="11" s="1"/>
  <c r="O7872" i="11"/>
  <c r="Q7872" i="11" s="1"/>
  <c r="O7864" i="11"/>
  <c r="Q7864" i="11" s="1"/>
  <c r="O7856" i="11"/>
  <c r="Q7856" i="11" s="1"/>
  <c r="O7848" i="11"/>
  <c r="Q7848" i="11" s="1"/>
  <c r="O7840" i="11"/>
  <c r="Q7840" i="11" s="1"/>
  <c r="O7832" i="11"/>
  <c r="Q7832" i="11" s="1"/>
  <c r="O7824" i="11"/>
  <c r="Q7824" i="11" s="1"/>
  <c r="O7816" i="11"/>
  <c r="Q7816" i="11" s="1"/>
  <c r="O7808" i="11"/>
  <c r="Q7808" i="11" s="1"/>
  <c r="O7800" i="11"/>
  <c r="Q7800" i="11" s="1"/>
  <c r="O7792" i="11"/>
  <c r="Q7792" i="11" s="1"/>
  <c r="O7784" i="11"/>
  <c r="Q7784" i="11" s="1"/>
  <c r="O7776" i="11"/>
  <c r="Q7776" i="11" s="1"/>
  <c r="O7768" i="11"/>
  <c r="Q7768" i="11" s="1"/>
  <c r="O7760" i="11"/>
  <c r="Q7760" i="11" s="1"/>
  <c r="O7752" i="11"/>
  <c r="Q7752" i="11" s="1"/>
  <c r="O7744" i="11"/>
  <c r="Q7744" i="11" s="1"/>
  <c r="O7736" i="11"/>
  <c r="Q7736" i="11" s="1"/>
  <c r="O7728" i="11"/>
  <c r="Q7728" i="11" s="1"/>
  <c r="O7570" i="11"/>
  <c r="Q7570" i="11" s="1"/>
  <c r="O7554" i="11"/>
  <c r="Q7554" i="11" s="1"/>
  <c r="O7538" i="11"/>
  <c r="Q7538" i="11" s="1"/>
  <c r="O7522" i="11"/>
  <c r="Q7522" i="11" s="1"/>
  <c r="O7506" i="11"/>
  <c r="Q7506" i="11" s="1"/>
  <c r="O7490" i="11"/>
  <c r="Q7490" i="11" s="1"/>
  <c r="O7474" i="11"/>
  <c r="Q7474" i="11" s="1"/>
  <c r="O7458" i="11"/>
  <c r="Q7458" i="11" s="1"/>
  <c r="O7442" i="11"/>
  <c r="Q7442" i="11" s="1"/>
  <c r="O7426" i="11"/>
  <c r="Q7426" i="11" s="1"/>
  <c r="O7410" i="11"/>
  <c r="Q7410" i="11" s="1"/>
  <c r="O7394" i="11"/>
  <c r="Q7394" i="11" s="1"/>
  <c r="O7378" i="11"/>
  <c r="Q7378" i="11" s="1"/>
  <c r="O7362" i="11"/>
  <c r="Q7362" i="11" s="1"/>
  <c r="O7346" i="11"/>
  <c r="Q7346" i="11" s="1"/>
  <c r="O7330" i="11"/>
  <c r="Q7330" i="11" s="1"/>
  <c r="O7314" i="11"/>
  <c r="Q7314" i="11" s="1"/>
  <c r="O7298" i="11"/>
  <c r="Q7298" i="11" s="1"/>
  <c r="O7282" i="11"/>
  <c r="Q7282" i="11" s="1"/>
  <c r="O7266" i="11"/>
  <c r="Q7266" i="11" s="1"/>
  <c r="O7250" i="11"/>
  <c r="Q7250" i="11" s="1"/>
  <c r="O7234" i="11"/>
  <c r="Q7234" i="11" s="1"/>
  <c r="O7218" i="11"/>
  <c r="Q7218" i="11" s="1"/>
  <c r="O7202" i="11"/>
  <c r="Q7202" i="11" s="1"/>
  <c r="O7186" i="11"/>
  <c r="Q7186" i="11" s="1"/>
  <c r="O7170" i="11"/>
  <c r="Q7170" i="11" s="1"/>
  <c r="O7154" i="11"/>
  <c r="Q7154" i="11" s="1"/>
  <c r="O7138" i="11"/>
  <c r="Q7138" i="11" s="1"/>
  <c r="O7122" i="11"/>
  <c r="Q7122" i="11" s="1"/>
  <c r="O7106" i="11"/>
  <c r="Q7106" i="11" s="1"/>
  <c r="O7090" i="11"/>
  <c r="Q7090" i="11" s="1"/>
  <c r="O7074" i="11"/>
  <c r="Q7074" i="11" s="1"/>
  <c r="O7058" i="11"/>
  <c r="Q7058" i="11" s="1"/>
  <c r="O7042" i="11"/>
  <c r="Q7042" i="11" s="1"/>
  <c r="O7026" i="11"/>
  <c r="Q7026" i="11" s="1"/>
  <c r="O7010" i="11"/>
  <c r="Q7010" i="11" s="1"/>
  <c r="O6994" i="11"/>
  <c r="Q6994" i="11" s="1"/>
  <c r="O6978" i="11"/>
  <c r="Q6978" i="11" s="1"/>
  <c r="O6962" i="11"/>
  <c r="Q6962" i="11" s="1"/>
  <c r="O6946" i="11"/>
  <c r="Q6946" i="11" s="1"/>
  <c r="O6930" i="11"/>
  <c r="Q6930" i="11" s="1"/>
  <c r="O6914" i="11"/>
  <c r="Q6914" i="11" s="1"/>
  <c r="O6898" i="11"/>
  <c r="Q6898" i="11" s="1"/>
  <c r="O6882" i="11"/>
  <c r="Q6882" i="11" s="1"/>
  <c r="O6866" i="11"/>
  <c r="Q6866" i="11" s="1"/>
  <c r="O6850" i="11"/>
  <c r="Q6850" i="11" s="1"/>
  <c r="O6834" i="11"/>
  <c r="Q6834" i="11" s="1"/>
  <c r="O6818" i="11"/>
  <c r="Q6818" i="11" s="1"/>
  <c r="O6802" i="11"/>
  <c r="Q6802" i="11" s="1"/>
  <c r="O6786" i="11"/>
  <c r="Q6786" i="11" s="1"/>
  <c r="O6770" i="11"/>
  <c r="Q6770" i="11" s="1"/>
  <c r="O6754" i="11"/>
  <c r="Q6754" i="11" s="1"/>
  <c r="O6738" i="11"/>
  <c r="Q6738" i="11" s="1"/>
  <c r="O6722" i="11"/>
  <c r="Q6722" i="11" s="1"/>
  <c r="O6706" i="11"/>
  <c r="Q6706" i="11" s="1"/>
  <c r="O6690" i="11"/>
  <c r="Q6690" i="11" s="1"/>
  <c r="O6674" i="11"/>
  <c r="Q6674" i="11" s="1"/>
  <c r="O6658" i="11"/>
  <c r="Q6658" i="11" s="1"/>
  <c r="O6642" i="11"/>
  <c r="Q6642" i="11" s="1"/>
  <c r="O6626" i="11"/>
  <c r="Q6626" i="11" s="1"/>
  <c r="O6610" i="11"/>
  <c r="Q6610" i="11" s="1"/>
  <c r="O6594" i="11"/>
  <c r="Q6594" i="11" s="1"/>
  <c r="O6578" i="11"/>
  <c r="Q6578" i="11" s="1"/>
  <c r="O6562" i="11"/>
  <c r="Q6562" i="11" s="1"/>
  <c r="O6546" i="11"/>
  <c r="Q6546" i="11" s="1"/>
  <c r="O6536" i="11"/>
  <c r="Q6536" i="11" s="1"/>
  <c r="O6528" i="11"/>
  <c r="Q6528" i="11" s="1"/>
  <c r="O6520" i="11"/>
  <c r="Q6520" i="11" s="1"/>
  <c r="O6512" i="11"/>
  <c r="Q6512" i="11" s="1"/>
  <c r="O6504" i="11"/>
  <c r="Q6504" i="11" s="1"/>
  <c r="O6496" i="11"/>
  <c r="Q6496" i="11" s="1"/>
  <c r="O6488" i="11"/>
  <c r="Q6488" i="11" s="1"/>
  <c r="O6480" i="11"/>
  <c r="Q6480" i="11" s="1"/>
  <c r="O6472" i="11"/>
  <c r="Q6472" i="11" s="1"/>
  <c r="O6464" i="11"/>
  <c r="Q6464" i="11" s="1"/>
  <c r="O6456" i="11"/>
  <c r="Q6456" i="11" s="1"/>
  <c r="O6448" i="11"/>
  <c r="Q6448" i="11" s="1"/>
  <c r="O6440" i="11"/>
  <c r="Q6440" i="11" s="1"/>
  <c r="O6432" i="11"/>
  <c r="Q6432" i="11" s="1"/>
  <c r="O6424" i="11"/>
  <c r="Q6424" i="11" s="1"/>
  <c r="O6416" i="11"/>
  <c r="Q6416" i="11" s="1"/>
  <c r="O6408" i="11"/>
  <c r="Q6408" i="11" s="1"/>
  <c r="O6400" i="11"/>
  <c r="Q6400" i="11" s="1"/>
  <c r="O6392" i="11"/>
  <c r="Q6392" i="11" s="1"/>
  <c r="O6384" i="11"/>
  <c r="Q6384" i="11" s="1"/>
  <c r="O6376" i="11"/>
  <c r="Q6376" i="11" s="1"/>
  <c r="O6368" i="11"/>
  <c r="Q6368" i="11" s="1"/>
  <c r="O6360" i="11"/>
  <c r="Q6360" i="11" s="1"/>
  <c r="O6352" i="11"/>
  <c r="Q6352" i="11" s="1"/>
  <c r="O6344" i="11"/>
  <c r="Q6344" i="11" s="1"/>
  <c r="O6336" i="11"/>
  <c r="Q6336" i="11" s="1"/>
  <c r="O6328" i="11"/>
  <c r="Q6328" i="11" s="1"/>
  <c r="O6320" i="11"/>
  <c r="Q6320" i="11" s="1"/>
  <c r="O6312" i="11"/>
  <c r="Q6312" i="11" s="1"/>
  <c r="O6304" i="11"/>
  <c r="Q6304" i="11" s="1"/>
  <c r="O6296" i="11"/>
  <c r="Q6296" i="11" s="1"/>
  <c r="O6288" i="11"/>
  <c r="Q6288" i="11" s="1"/>
  <c r="O6280" i="11"/>
  <c r="Q6280" i="11" s="1"/>
  <c r="O6272" i="11"/>
  <c r="Q6272" i="11" s="1"/>
  <c r="O6264" i="11"/>
  <c r="Q6264" i="11" s="1"/>
  <c r="O6256" i="11"/>
  <c r="Q6256" i="11" s="1"/>
  <c r="O6248" i="11"/>
  <c r="Q6248" i="11" s="1"/>
  <c r="O6240" i="11"/>
  <c r="Q6240" i="11" s="1"/>
  <c r="O6232" i="11"/>
  <c r="Q6232" i="11" s="1"/>
  <c r="O6224" i="11"/>
  <c r="Q6224" i="11" s="1"/>
  <c r="O6216" i="11"/>
  <c r="Q6216" i="11" s="1"/>
  <c r="O6208" i="11"/>
  <c r="Q6208" i="11" s="1"/>
  <c r="O6200" i="11"/>
  <c r="Q6200" i="11" s="1"/>
  <c r="O6192" i="11"/>
  <c r="Q6192" i="11" s="1"/>
  <c r="O6184" i="11"/>
  <c r="Q6184" i="11" s="1"/>
  <c r="O6176" i="11"/>
  <c r="Q6176" i="11" s="1"/>
  <c r="O6168" i="11"/>
  <c r="Q6168" i="11" s="1"/>
  <c r="O6160" i="11"/>
  <c r="Q6160" i="11" s="1"/>
  <c r="O6152" i="11"/>
  <c r="Q6152" i="11" s="1"/>
  <c r="O6144" i="11"/>
  <c r="Q6144" i="11" s="1"/>
  <c r="O6136" i="11"/>
  <c r="Q6136" i="11" s="1"/>
  <c r="O6128" i="11"/>
  <c r="Q6128" i="11" s="1"/>
  <c r="O6120" i="11"/>
  <c r="Q6120" i="11" s="1"/>
  <c r="O6112" i="11"/>
  <c r="Q6112" i="11" s="1"/>
  <c r="O6104" i="11"/>
  <c r="Q6104" i="11" s="1"/>
  <c r="O6096" i="11"/>
  <c r="Q6096" i="11" s="1"/>
  <c r="O6088" i="11"/>
  <c r="Q6088" i="11" s="1"/>
  <c r="O6080" i="11"/>
  <c r="Q6080" i="11" s="1"/>
  <c r="O6072" i="11"/>
  <c r="Q6072" i="11" s="1"/>
  <c r="O6064" i="11"/>
  <c r="Q6064" i="11" s="1"/>
  <c r="O6056" i="11"/>
  <c r="Q6056" i="11" s="1"/>
  <c r="O6048" i="11"/>
  <c r="Q6048" i="11" s="1"/>
  <c r="O6040" i="11"/>
  <c r="Q6040" i="11" s="1"/>
  <c r="O6032" i="11"/>
  <c r="Q6032" i="11" s="1"/>
  <c r="O6024" i="11"/>
  <c r="Q6024" i="11" s="1"/>
  <c r="O6016" i="11"/>
  <c r="Q6016" i="11" s="1"/>
  <c r="O6008" i="11"/>
  <c r="Q6008" i="11" s="1"/>
  <c r="O6000" i="11"/>
  <c r="Q6000" i="11" s="1"/>
  <c r="O5992" i="11"/>
  <c r="Q5992" i="11" s="1"/>
  <c r="O5984" i="11"/>
  <c r="Q5984" i="11" s="1"/>
  <c r="O5976" i="11"/>
  <c r="Q5976" i="11" s="1"/>
  <c r="O5968" i="11"/>
  <c r="Q5968" i="11" s="1"/>
  <c r="O5960" i="11"/>
  <c r="Q5960" i="11" s="1"/>
  <c r="O5952" i="11"/>
  <c r="Q5952" i="11" s="1"/>
  <c r="O5944" i="11"/>
  <c r="Q5944" i="11" s="1"/>
  <c r="O5936" i="11"/>
  <c r="Q5936" i="11" s="1"/>
  <c r="O5928" i="11"/>
  <c r="Q5928" i="11" s="1"/>
  <c r="O5920" i="11"/>
  <c r="Q5920" i="11" s="1"/>
  <c r="O5912" i="11"/>
  <c r="Q5912" i="11" s="1"/>
  <c r="O5904" i="11"/>
  <c r="Q5904" i="11" s="1"/>
  <c r="O5896" i="11"/>
  <c r="Q5896" i="11" s="1"/>
  <c r="O5888" i="11"/>
  <c r="Q5888" i="11" s="1"/>
  <c r="O5880" i="11"/>
  <c r="Q5880" i="11" s="1"/>
  <c r="O5872" i="11"/>
  <c r="Q5872" i="11" s="1"/>
  <c r="O5864" i="11"/>
  <c r="Q5864" i="11" s="1"/>
  <c r="O5856" i="11"/>
  <c r="Q5856" i="11" s="1"/>
  <c r="O5848" i="11"/>
  <c r="Q5848" i="11" s="1"/>
  <c r="O5840" i="11"/>
  <c r="Q5840" i="11" s="1"/>
  <c r="O5832" i="11"/>
  <c r="Q5832" i="11" s="1"/>
  <c r="O5824" i="11"/>
  <c r="Q5824" i="11" s="1"/>
  <c r="O5816" i="11"/>
  <c r="Q5816" i="11" s="1"/>
  <c r="O5808" i="11"/>
  <c r="Q5808" i="11" s="1"/>
  <c r="O5800" i="11"/>
  <c r="Q5800" i="11" s="1"/>
  <c r="O5792" i="11"/>
  <c r="Q5792" i="11" s="1"/>
  <c r="O5784" i="11"/>
  <c r="Q5784" i="11" s="1"/>
  <c r="O5776" i="11"/>
  <c r="Q5776" i="11" s="1"/>
  <c r="O5768" i="11"/>
  <c r="Q5768" i="11" s="1"/>
  <c r="O5760" i="11"/>
  <c r="Q5760" i="11" s="1"/>
  <c r="O5752" i="11"/>
  <c r="Q5752" i="11" s="1"/>
  <c r="O5744" i="11"/>
  <c r="Q5744" i="11" s="1"/>
  <c r="O5736" i="11"/>
  <c r="Q5736" i="11" s="1"/>
  <c r="O5728" i="11"/>
  <c r="Q5728" i="11" s="1"/>
  <c r="O5720" i="11"/>
  <c r="Q5720" i="11" s="1"/>
  <c r="O5712" i="11"/>
  <c r="Q5712" i="11" s="1"/>
  <c r="O5704" i="11"/>
  <c r="Q5704" i="11" s="1"/>
  <c r="O5696" i="11"/>
  <c r="Q5696" i="11" s="1"/>
  <c r="O5688" i="11"/>
  <c r="Q5688" i="11" s="1"/>
  <c r="O5680" i="11"/>
  <c r="Q5680" i="11" s="1"/>
  <c r="O5672" i="11"/>
  <c r="Q5672" i="11" s="1"/>
  <c r="O5664" i="11"/>
  <c r="Q5664" i="11" s="1"/>
  <c r="O5656" i="11"/>
  <c r="Q5656" i="11" s="1"/>
  <c r="O5648" i="11"/>
  <c r="Q5648" i="11" s="1"/>
  <c r="O5640" i="11"/>
  <c r="Q5640" i="11" s="1"/>
  <c r="O5632" i="11"/>
  <c r="Q5632" i="11" s="1"/>
  <c r="O5624" i="11"/>
  <c r="Q5624" i="11" s="1"/>
  <c r="O5616" i="11"/>
  <c r="Q5616" i="11" s="1"/>
  <c r="O5608" i="11"/>
  <c r="Q5608" i="11" s="1"/>
  <c r="O5600" i="11"/>
  <c r="Q5600" i="11" s="1"/>
  <c r="O5592" i="11"/>
  <c r="Q5592" i="11" s="1"/>
  <c r="O5584" i="11"/>
  <c r="Q5584" i="11" s="1"/>
  <c r="O5576" i="11"/>
  <c r="Q5576" i="11" s="1"/>
  <c r="O5568" i="11"/>
  <c r="Q5568" i="11" s="1"/>
  <c r="O5560" i="11"/>
  <c r="Q5560" i="11" s="1"/>
  <c r="O5552" i="11"/>
  <c r="Q5552" i="11" s="1"/>
  <c r="O5544" i="11"/>
  <c r="Q5544" i="11" s="1"/>
  <c r="O5536" i="11"/>
  <c r="Q5536" i="11" s="1"/>
  <c r="O5528" i="11"/>
  <c r="Q5528" i="11" s="1"/>
  <c r="O5520" i="11"/>
  <c r="Q5520" i="11" s="1"/>
  <c r="O5512" i="11"/>
  <c r="Q5512" i="11" s="1"/>
  <c r="O5504" i="11"/>
  <c r="Q5504" i="11" s="1"/>
  <c r="O5496" i="11"/>
  <c r="Q5496" i="11" s="1"/>
  <c r="O5488" i="11"/>
  <c r="Q5488" i="11" s="1"/>
  <c r="O5480" i="11"/>
  <c r="Q5480" i="11" s="1"/>
  <c r="O5472" i="11"/>
  <c r="Q5472" i="11" s="1"/>
  <c r="O5464" i="11"/>
  <c r="Q5464" i="11" s="1"/>
  <c r="O5456" i="11"/>
  <c r="Q5456" i="11" s="1"/>
  <c r="O5448" i="11"/>
  <c r="Q5448" i="11" s="1"/>
  <c r="O5440" i="11"/>
  <c r="Q5440" i="11" s="1"/>
  <c r="O5432" i="11"/>
  <c r="Q5432" i="11" s="1"/>
  <c r="O5424" i="11"/>
  <c r="Q5424" i="11" s="1"/>
  <c r="O5416" i="11"/>
  <c r="Q5416" i="11" s="1"/>
  <c r="O5408" i="11"/>
  <c r="Q5408" i="11" s="1"/>
  <c r="O5400" i="11"/>
  <c r="Q5400" i="11" s="1"/>
  <c r="O5392" i="11"/>
  <c r="Q5392" i="11" s="1"/>
  <c r="O5384" i="11"/>
  <c r="Q5384" i="11" s="1"/>
  <c r="O5376" i="11"/>
  <c r="Q5376" i="11" s="1"/>
  <c r="O5368" i="11"/>
  <c r="Q5368" i="11" s="1"/>
  <c r="O5360" i="11"/>
  <c r="Q5360" i="11" s="1"/>
  <c r="O5352" i="11"/>
  <c r="Q5352" i="11" s="1"/>
  <c r="O5344" i="11"/>
  <c r="Q5344" i="11" s="1"/>
  <c r="O5336" i="11"/>
  <c r="Q5336" i="11" s="1"/>
  <c r="O5328" i="11"/>
  <c r="Q5328" i="11" s="1"/>
  <c r="O5320" i="11"/>
  <c r="Q5320" i="11" s="1"/>
  <c r="O5312" i="11"/>
  <c r="Q5312" i="11" s="1"/>
  <c r="O5304" i="11"/>
  <c r="Q5304" i="11" s="1"/>
  <c r="O5296" i="11"/>
  <c r="Q5296" i="11" s="1"/>
  <c r="O5288" i="11"/>
  <c r="Q5288" i="11" s="1"/>
  <c r="O5280" i="11"/>
  <c r="Q5280" i="11" s="1"/>
  <c r="O5272" i="11"/>
  <c r="Q5272" i="11" s="1"/>
  <c r="O5264" i="11"/>
  <c r="Q5264" i="11" s="1"/>
  <c r="O5256" i="11"/>
  <c r="Q5256" i="11" s="1"/>
  <c r="O5248" i="11"/>
  <c r="Q5248" i="11" s="1"/>
  <c r="O5240" i="11"/>
  <c r="Q5240" i="11" s="1"/>
  <c r="O5232" i="11"/>
  <c r="Q5232" i="11" s="1"/>
  <c r="O5224" i="11"/>
  <c r="Q5224" i="11" s="1"/>
  <c r="O5216" i="11"/>
  <c r="Q5216" i="11" s="1"/>
  <c r="O5208" i="11"/>
  <c r="Q5208" i="11" s="1"/>
  <c r="O5200" i="11"/>
  <c r="Q5200" i="11" s="1"/>
  <c r="O5192" i="11"/>
  <c r="Q5192" i="11" s="1"/>
  <c r="O5184" i="11"/>
  <c r="Q5184" i="11" s="1"/>
  <c r="O5176" i="11"/>
  <c r="Q5176" i="11" s="1"/>
  <c r="O5168" i="11"/>
  <c r="Q5168" i="11" s="1"/>
  <c r="O5160" i="11"/>
  <c r="Q5160" i="11" s="1"/>
  <c r="O5152" i="11"/>
  <c r="Q5152" i="11" s="1"/>
  <c r="O5144" i="11"/>
  <c r="Q5144" i="11" s="1"/>
  <c r="O5136" i="11"/>
  <c r="Q5136" i="11" s="1"/>
  <c r="O5128" i="11"/>
  <c r="Q5128" i="11" s="1"/>
  <c r="O5120" i="11"/>
  <c r="Q5120" i="11" s="1"/>
  <c r="O5112" i="11"/>
  <c r="Q5112" i="11" s="1"/>
  <c r="O5104" i="11"/>
  <c r="Q5104" i="11" s="1"/>
  <c r="O5096" i="11"/>
  <c r="Q5096" i="11" s="1"/>
  <c r="O3569" i="11"/>
  <c r="Q3569" i="11" s="1"/>
  <c r="O5072" i="11"/>
  <c r="Q5072" i="11" s="1"/>
  <c r="O5040" i="11"/>
  <c r="Q5040" i="11" s="1"/>
  <c r="O5008" i="11"/>
  <c r="Q5008" i="11" s="1"/>
  <c r="O7580" i="11"/>
  <c r="Q7580" i="11" s="1"/>
  <c r="O7564" i="11"/>
  <c r="Q7564" i="11" s="1"/>
  <c r="O7548" i="11"/>
  <c r="Q7548" i="11" s="1"/>
  <c r="O7532" i="11"/>
  <c r="Q7532" i="11" s="1"/>
  <c r="O7516" i="11"/>
  <c r="Q7516" i="11" s="1"/>
  <c r="O7500" i="11"/>
  <c r="Q7500" i="11" s="1"/>
  <c r="O7484" i="11"/>
  <c r="Q7484" i="11" s="1"/>
  <c r="O7468" i="11"/>
  <c r="Q7468" i="11" s="1"/>
  <c r="O7452" i="11"/>
  <c r="Q7452" i="11" s="1"/>
  <c r="O7436" i="11"/>
  <c r="Q7436" i="11" s="1"/>
  <c r="O7420" i="11"/>
  <c r="Q7420" i="11" s="1"/>
  <c r="O7404" i="11"/>
  <c r="Q7404" i="11" s="1"/>
  <c r="O7388" i="11"/>
  <c r="Q7388" i="11" s="1"/>
  <c r="O7372" i="11"/>
  <c r="Q7372" i="11" s="1"/>
  <c r="O7356" i="11"/>
  <c r="Q7356" i="11" s="1"/>
  <c r="O7340" i="11"/>
  <c r="Q7340" i="11" s="1"/>
  <c r="O7324" i="11"/>
  <c r="Q7324" i="11" s="1"/>
  <c r="O7308" i="11"/>
  <c r="Q7308" i="11" s="1"/>
  <c r="O7292" i="11"/>
  <c r="Q7292" i="11" s="1"/>
  <c r="O7276" i="11"/>
  <c r="Q7276" i="11" s="1"/>
  <c r="O7260" i="11"/>
  <c r="Q7260" i="11" s="1"/>
  <c r="O7244" i="11"/>
  <c r="Q7244" i="11" s="1"/>
  <c r="O7228" i="11"/>
  <c r="Q7228" i="11" s="1"/>
  <c r="O7212" i="11"/>
  <c r="Q7212" i="11" s="1"/>
  <c r="O7196" i="11"/>
  <c r="Q7196" i="11" s="1"/>
  <c r="O7180" i="11"/>
  <c r="Q7180" i="11" s="1"/>
  <c r="O7164" i="11"/>
  <c r="Q7164" i="11" s="1"/>
  <c r="O7148" i="11"/>
  <c r="Q7148" i="11" s="1"/>
  <c r="O7132" i="11"/>
  <c r="Q7132" i="11" s="1"/>
  <c r="O7116" i="11"/>
  <c r="Q7116" i="11" s="1"/>
  <c r="O7100" i="11"/>
  <c r="Q7100" i="11" s="1"/>
  <c r="O7084" i="11"/>
  <c r="Q7084" i="11" s="1"/>
  <c r="O7068" i="11"/>
  <c r="Q7068" i="11" s="1"/>
  <c r="O7052" i="11"/>
  <c r="Q7052" i="11" s="1"/>
  <c r="O7036" i="11"/>
  <c r="Q7036" i="11" s="1"/>
  <c r="O7020" i="11"/>
  <c r="Q7020" i="11" s="1"/>
  <c r="O7004" i="11"/>
  <c r="Q7004" i="11" s="1"/>
  <c r="O6988" i="11"/>
  <c r="Q6988" i="11" s="1"/>
  <c r="O6972" i="11"/>
  <c r="Q6972" i="11" s="1"/>
  <c r="O6956" i="11"/>
  <c r="Q6956" i="11" s="1"/>
  <c r="O6940" i="11"/>
  <c r="Q6940" i="11" s="1"/>
  <c r="O6924" i="11"/>
  <c r="Q6924" i="11" s="1"/>
  <c r="O6908" i="11"/>
  <c r="Q6908" i="11" s="1"/>
  <c r="O6892" i="11"/>
  <c r="Q6892" i="11" s="1"/>
  <c r="O6876" i="11"/>
  <c r="Q6876" i="11" s="1"/>
  <c r="O6860" i="11"/>
  <c r="Q6860" i="11" s="1"/>
  <c r="O6844" i="11"/>
  <c r="Q6844" i="11" s="1"/>
  <c r="O6828" i="11"/>
  <c r="Q6828" i="11" s="1"/>
  <c r="O6812" i="11"/>
  <c r="Q6812" i="11" s="1"/>
  <c r="O6796" i="11"/>
  <c r="Q6796" i="11" s="1"/>
  <c r="O6780" i="11"/>
  <c r="Q6780" i="11" s="1"/>
  <c r="O6764" i="11"/>
  <c r="Q6764" i="11" s="1"/>
  <c r="O6748" i="11"/>
  <c r="Q6748" i="11" s="1"/>
  <c r="O6732" i="11"/>
  <c r="Q6732" i="11" s="1"/>
  <c r="O6716" i="11"/>
  <c r="Q6716" i="11" s="1"/>
  <c r="O6700" i="11"/>
  <c r="Q6700" i="11" s="1"/>
  <c r="O6684" i="11"/>
  <c r="Q6684" i="11" s="1"/>
  <c r="O6668" i="11"/>
  <c r="Q6668" i="11" s="1"/>
  <c r="O6652" i="11"/>
  <c r="Q6652" i="11" s="1"/>
  <c r="O6636" i="11"/>
  <c r="Q6636" i="11" s="1"/>
  <c r="O6620" i="11"/>
  <c r="Q6620" i="11" s="1"/>
  <c r="O6604" i="11"/>
  <c r="Q6604" i="11" s="1"/>
  <c r="O6588" i="11"/>
  <c r="Q6588" i="11" s="1"/>
  <c r="O6572" i="11"/>
  <c r="Q6572" i="11" s="1"/>
  <c r="O6556" i="11"/>
  <c r="Q6556" i="11" s="1"/>
  <c r="O6541" i="11"/>
  <c r="Q6541" i="11" s="1"/>
  <c r="O6533" i="11"/>
  <c r="Q6533" i="11" s="1"/>
  <c r="O6525" i="11"/>
  <c r="Q6525" i="11" s="1"/>
  <c r="O6517" i="11"/>
  <c r="Q6517" i="11" s="1"/>
  <c r="O6509" i="11"/>
  <c r="Q6509" i="11" s="1"/>
  <c r="O6501" i="11"/>
  <c r="Q6501" i="11" s="1"/>
  <c r="O6493" i="11"/>
  <c r="Q6493" i="11" s="1"/>
  <c r="O6485" i="11"/>
  <c r="Q6485" i="11" s="1"/>
  <c r="O6477" i="11"/>
  <c r="Q6477" i="11" s="1"/>
  <c r="O6469" i="11"/>
  <c r="Q6469" i="11" s="1"/>
  <c r="O6461" i="11"/>
  <c r="Q6461" i="11" s="1"/>
  <c r="O6453" i="11"/>
  <c r="Q6453" i="11" s="1"/>
  <c r="O6445" i="11"/>
  <c r="Q6445" i="11" s="1"/>
  <c r="O6437" i="11"/>
  <c r="Q6437" i="11" s="1"/>
  <c r="O6429" i="11"/>
  <c r="Q6429" i="11" s="1"/>
  <c r="O6421" i="11"/>
  <c r="Q6421" i="11" s="1"/>
  <c r="O6413" i="11"/>
  <c r="Q6413" i="11" s="1"/>
  <c r="O6405" i="11"/>
  <c r="Q6405" i="11" s="1"/>
  <c r="O6397" i="11"/>
  <c r="Q6397" i="11" s="1"/>
  <c r="O6389" i="11"/>
  <c r="Q6389" i="11" s="1"/>
  <c r="O6381" i="11"/>
  <c r="Q6381" i="11" s="1"/>
  <c r="O6373" i="11"/>
  <c r="Q6373" i="11" s="1"/>
  <c r="O6365" i="11"/>
  <c r="Q6365" i="11" s="1"/>
  <c r="O6357" i="11"/>
  <c r="Q6357" i="11" s="1"/>
  <c r="O6349" i="11"/>
  <c r="Q6349" i="11" s="1"/>
  <c r="O6341" i="11"/>
  <c r="Q6341" i="11" s="1"/>
  <c r="O6333" i="11"/>
  <c r="Q6333" i="11" s="1"/>
  <c r="O6325" i="11"/>
  <c r="Q6325" i="11" s="1"/>
  <c r="O6317" i="11"/>
  <c r="Q6317" i="11" s="1"/>
  <c r="O6309" i="11"/>
  <c r="Q6309" i="11" s="1"/>
  <c r="O6301" i="11"/>
  <c r="Q6301" i="11" s="1"/>
  <c r="O6293" i="11"/>
  <c r="Q6293" i="11" s="1"/>
  <c r="O6285" i="11"/>
  <c r="Q6285" i="11" s="1"/>
  <c r="O6277" i="11"/>
  <c r="Q6277" i="11" s="1"/>
  <c r="O6269" i="11"/>
  <c r="Q6269" i="11" s="1"/>
  <c r="O6261" i="11"/>
  <c r="Q6261" i="11" s="1"/>
  <c r="O6253" i="11"/>
  <c r="Q6253" i="11" s="1"/>
  <c r="O6245" i="11"/>
  <c r="Q6245" i="11" s="1"/>
  <c r="O6237" i="11"/>
  <c r="Q6237" i="11" s="1"/>
  <c r="O6229" i="11"/>
  <c r="Q6229" i="11" s="1"/>
  <c r="O6221" i="11"/>
  <c r="Q6221" i="11" s="1"/>
  <c r="O6213" i="11"/>
  <c r="Q6213" i="11" s="1"/>
  <c r="O6205" i="11"/>
  <c r="Q6205" i="11" s="1"/>
  <c r="O6197" i="11"/>
  <c r="Q6197" i="11" s="1"/>
  <c r="O6189" i="11"/>
  <c r="Q6189" i="11" s="1"/>
  <c r="O6181" i="11"/>
  <c r="Q6181" i="11" s="1"/>
  <c r="O6173" i="11"/>
  <c r="Q6173" i="11" s="1"/>
  <c r="O6165" i="11"/>
  <c r="Q6165" i="11" s="1"/>
  <c r="O6157" i="11"/>
  <c r="Q6157" i="11" s="1"/>
  <c r="O6149" i="11"/>
  <c r="Q6149" i="11" s="1"/>
  <c r="O6141" i="11"/>
  <c r="Q6141" i="11" s="1"/>
  <c r="O6133" i="11"/>
  <c r="Q6133" i="11" s="1"/>
  <c r="O6125" i="11"/>
  <c r="Q6125" i="11" s="1"/>
  <c r="O6117" i="11"/>
  <c r="Q6117" i="11" s="1"/>
  <c r="O6109" i="11"/>
  <c r="Q6109" i="11" s="1"/>
  <c r="O6101" i="11"/>
  <c r="Q6101" i="11" s="1"/>
  <c r="O6093" i="11"/>
  <c r="Q6093" i="11" s="1"/>
  <c r="O6085" i="11"/>
  <c r="Q6085" i="11" s="1"/>
  <c r="O6077" i="11"/>
  <c r="Q6077" i="11" s="1"/>
  <c r="O6069" i="11"/>
  <c r="Q6069" i="11" s="1"/>
  <c r="O6061" i="11"/>
  <c r="Q6061" i="11" s="1"/>
  <c r="O6053" i="11"/>
  <c r="Q6053" i="11" s="1"/>
  <c r="O6045" i="11"/>
  <c r="Q6045" i="11" s="1"/>
  <c r="O6037" i="11"/>
  <c r="Q6037" i="11" s="1"/>
  <c r="O6029" i="11"/>
  <c r="Q6029" i="11" s="1"/>
  <c r="O6021" i="11"/>
  <c r="Q6021" i="11" s="1"/>
  <c r="O6013" i="11"/>
  <c r="Q6013" i="11" s="1"/>
  <c r="O6005" i="11"/>
  <c r="Q6005" i="11" s="1"/>
  <c r="O5997" i="11"/>
  <c r="Q5997" i="11" s="1"/>
  <c r="O5989" i="11"/>
  <c r="Q5989" i="11" s="1"/>
  <c r="O5981" i="11"/>
  <c r="Q5981" i="11" s="1"/>
  <c r="O5973" i="11"/>
  <c r="Q5973" i="11" s="1"/>
  <c r="O5965" i="11"/>
  <c r="Q5965" i="11" s="1"/>
  <c r="O5957" i="11"/>
  <c r="Q5957" i="11" s="1"/>
  <c r="O5949" i="11"/>
  <c r="Q5949" i="11" s="1"/>
  <c r="O5941" i="11"/>
  <c r="Q5941" i="11" s="1"/>
  <c r="O5933" i="11"/>
  <c r="Q5933" i="11" s="1"/>
  <c r="O5925" i="11"/>
  <c r="Q5925" i="11" s="1"/>
  <c r="O5917" i="11"/>
  <c r="Q5917" i="11" s="1"/>
  <c r="O5909" i="11"/>
  <c r="Q5909" i="11" s="1"/>
  <c r="O5901" i="11"/>
  <c r="Q5901" i="11" s="1"/>
  <c r="O5893" i="11"/>
  <c r="Q5893" i="11" s="1"/>
  <c r="O5885" i="11"/>
  <c r="Q5885" i="11" s="1"/>
  <c r="O5877" i="11"/>
  <c r="Q5877" i="11" s="1"/>
  <c r="O5869" i="11"/>
  <c r="Q5869" i="11" s="1"/>
  <c r="O5861" i="11"/>
  <c r="Q5861" i="11" s="1"/>
  <c r="O5853" i="11"/>
  <c r="Q5853" i="11" s="1"/>
  <c r="O5845" i="11"/>
  <c r="Q5845" i="11" s="1"/>
  <c r="O5837" i="11"/>
  <c r="Q5837" i="11" s="1"/>
  <c r="O5829" i="11"/>
  <c r="Q5829" i="11" s="1"/>
  <c r="O5821" i="11"/>
  <c r="Q5821" i="11" s="1"/>
  <c r="O5813" i="11"/>
  <c r="Q5813" i="11" s="1"/>
  <c r="O5805" i="11"/>
  <c r="Q5805" i="11" s="1"/>
  <c r="O5797" i="11"/>
  <c r="Q5797" i="11" s="1"/>
  <c r="O5789" i="11"/>
  <c r="Q5789" i="11" s="1"/>
  <c r="O5781" i="11"/>
  <c r="Q5781" i="11" s="1"/>
  <c r="O5773" i="11"/>
  <c r="Q5773" i="11" s="1"/>
  <c r="O5765" i="11"/>
  <c r="Q5765" i="11" s="1"/>
  <c r="O5757" i="11"/>
  <c r="Q5757" i="11" s="1"/>
  <c r="O5749" i="11"/>
  <c r="Q5749" i="11" s="1"/>
  <c r="O5741" i="11"/>
  <c r="Q5741" i="11" s="1"/>
  <c r="O5733" i="11"/>
  <c r="Q5733" i="11" s="1"/>
  <c r="O5725" i="11"/>
  <c r="Q5725" i="11" s="1"/>
  <c r="O5717" i="11"/>
  <c r="Q5717" i="11" s="1"/>
  <c r="O5709" i="11"/>
  <c r="Q5709" i="11" s="1"/>
  <c r="O5701" i="11"/>
  <c r="Q5701" i="11" s="1"/>
  <c r="O5693" i="11"/>
  <c r="Q5693" i="11" s="1"/>
  <c r="O5685" i="11"/>
  <c r="Q5685" i="11" s="1"/>
  <c r="O5677" i="11"/>
  <c r="Q5677" i="11" s="1"/>
  <c r="O5669" i="11"/>
  <c r="Q5669" i="11" s="1"/>
  <c r="O5661" i="11"/>
  <c r="Q5661" i="11" s="1"/>
  <c r="O5653" i="11"/>
  <c r="Q5653" i="11" s="1"/>
  <c r="O5645" i="11"/>
  <c r="Q5645" i="11" s="1"/>
  <c r="O5637" i="11"/>
  <c r="Q5637" i="11" s="1"/>
  <c r="O5629" i="11"/>
  <c r="Q5629" i="11" s="1"/>
  <c r="O5621" i="11"/>
  <c r="Q5621" i="11" s="1"/>
  <c r="O5613" i="11"/>
  <c r="Q5613" i="11" s="1"/>
  <c r="O5605" i="11"/>
  <c r="Q5605" i="11" s="1"/>
  <c r="O5597" i="11"/>
  <c r="Q5597" i="11" s="1"/>
  <c r="O5589" i="11"/>
  <c r="Q5589" i="11" s="1"/>
  <c r="O5581" i="11"/>
  <c r="Q5581" i="11" s="1"/>
  <c r="O5573" i="11"/>
  <c r="Q5573" i="11" s="1"/>
  <c r="O5565" i="11"/>
  <c r="Q5565" i="11" s="1"/>
  <c r="O5557" i="11"/>
  <c r="Q5557" i="11" s="1"/>
  <c r="O5549" i="11"/>
  <c r="Q5549" i="11" s="1"/>
  <c r="O5541" i="11"/>
  <c r="Q5541" i="11" s="1"/>
  <c r="O5533" i="11"/>
  <c r="Q5533" i="11" s="1"/>
  <c r="O5525" i="11"/>
  <c r="Q5525" i="11" s="1"/>
  <c r="O5517" i="11"/>
  <c r="Q5517" i="11" s="1"/>
  <c r="O5509" i="11"/>
  <c r="Q5509" i="11" s="1"/>
  <c r="O5501" i="11"/>
  <c r="Q5501" i="11" s="1"/>
  <c r="O5493" i="11"/>
  <c r="Q5493" i="11" s="1"/>
  <c r="O5485" i="11"/>
  <c r="Q5485" i="11" s="1"/>
  <c r="O5477" i="11"/>
  <c r="Q5477" i="11" s="1"/>
  <c r="O5469" i="11"/>
  <c r="Q5469" i="11" s="1"/>
  <c r="O5461" i="11"/>
  <c r="Q5461" i="11" s="1"/>
  <c r="O5453" i="11"/>
  <c r="Q5453" i="11" s="1"/>
  <c r="O5445" i="11"/>
  <c r="Q5445" i="11" s="1"/>
  <c r="O5437" i="11"/>
  <c r="Q5437" i="11" s="1"/>
  <c r="O5429" i="11"/>
  <c r="Q5429" i="11" s="1"/>
  <c r="O5421" i="11"/>
  <c r="Q5421" i="11" s="1"/>
  <c r="O5413" i="11"/>
  <c r="Q5413" i="11" s="1"/>
  <c r="O5405" i="11"/>
  <c r="Q5405" i="11" s="1"/>
  <c r="O5397" i="11"/>
  <c r="Q5397" i="11" s="1"/>
  <c r="O5389" i="11"/>
  <c r="Q5389" i="11" s="1"/>
  <c r="O5381" i="11"/>
  <c r="Q5381" i="11" s="1"/>
  <c r="O5373" i="11"/>
  <c r="Q5373" i="11" s="1"/>
  <c r="O5365" i="11"/>
  <c r="Q5365" i="11" s="1"/>
  <c r="O5357" i="11"/>
  <c r="Q5357" i="11" s="1"/>
  <c r="O5349" i="11"/>
  <c r="Q5349" i="11" s="1"/>
  <c r="O5341" i="11"/>
  <c r="Q5341" i="11" s="1"/>
  <c r="O5333" i="11"/>
  <c r="Q5333" i="11" s="1"/>
  <c r="O5325" i="11"/>
  <c r="Q5325" i="11" s="1"/>
  <c r="O5317" i="11"/>
  <c r="Q5317" i="11" s="1"/>
  <c r="O5309" i="11"/>
  <c r="Q5309" i="11" s="1"/>
  <c r="O5301" i="11"/>
  <c r="Q5301" i="11" s="1"/>
  <c r="O5293" i="11"/>
  <c r="Q5293" i="11" s="1"/>
  <c r="O5285" i="11"/>
  <c r="Q5285" i="11" s="1"/>
  <c r="O5277" i="11"/>
  <c r="Q5277" i="11" s="1"/>
  <c r="O5269" i="11"/>
  <c r="Q5269" i="11" s="1"/>
  <c r="O5261" i="11"/>
  <c r="Q5261" i="11" s="1"/>
  <c r="O5253" i="11"/>
  <c r="Q5253" i="11" s="1"/>
  <c r="O5245" i="11"/>
  <c r="Q5245" i="11" s="1"/>
  <c r="O5237" i="11"/>
  <c r="Q5237" i="11" s="1"/>
  <c r="O5229" i="11"/>
  <c r="Q5229" i="11" s="1"/>
  <c r="O5221" i="11"/>
  <c r="Q5221" i="11" s="1"/>
  <c r="O5213" i="11"/>
  <c r="Q5213" i="11" s="1"/>
  <c r="O5205" i="11"/>
  <c r="Q5205" i="11" s="1"/>
  <c r="O5197" i="11"/>
  <c r="Q5197" i="11" s="1"/>
  <c r="O5189" i="11"/>
  <c r="Q5189" i="11" s="1"/>
  <c r="O5181" i="11"/>
  <c r="Q5181" i="11" s="1"/>
  <c r="O5173" i="11"/>
  <c r="Q5173" i="11" s="1"/>
  <c r="O5165" i="11"/>
  <c r="Q5165" i="11" s="1"/>
  <c r="O5157" i="11"/>
  <c r="Q5157" i="11" s="1"/>
  <c r="O5149" i="11"/>
  <c r="Q5149" i="11" s="1"/>
  <c r="O5141" i="11"/>
  <c r="Q5141" i="11" s="1"/>
  <c r="O5133" i="11"/>
  <c r="Q5133" i="11" s="1"/>
  <c r="O5125" i="11"/>
  <c r="Q5125" i="11" s="1"/>
  <c r="O5117" i="11"/>
  <c r="Q5117" i="11" s="1"/>
  <c r="O5109" i="11"/>
  <c r="Q5109" i="11" s="1"/>
  <c r="O5101" i="11"/>
  <c r="Q5101" i="11" s="1"/>
  <c r="O3665" i="11"/>
  <c r="Q3665" i="11" s="1"/>
  <c r="O3537" i="11"/>
  <c r="Q3537" i="11" s="1"/>
  <c r="O7565" i="11"/>
  <c r="Q7565" i="11" s="1"/>
  <c r="O7549" i="11"/>
  <c r="Q7549" i="11" s="1"/>
  <c r="O7533" i="11"/>
  <c r="Q7533" i="11" s="1"/>
  <c r="O7517" i="11"/>
  <c r="Q7517" i="11" s="1"/>
  <c r="O7501" i="11"/>
  <c r="Q7501" i="11" s="1"/>
  <c r="O7485" i="11"/>
  <c r="Q7485" i="11" s="1"/>
  <c r="O7469" i="11"/>
  <c r="Q7469" i="11" s="1"/>
  <c r="O7453" i="11"/>
  <c r="Q7453" i="11" s="1"/>
  <c r="O7437" i="11"/>
  <c r="Q7437" i="11" s="1"/>
  <c r="O7421" i="11"/>
  <c r="Q7421" i="11" s="1"/>
  <c r="O7405" i="11"/>
  <c r="Q7405" i="11" s="1"/>
  <c r="O7389" i="11"/>
  <c r="Q7389" i="11" s="1"/>
  <c r="O7373" i="11"/>
  <c r="Q7373" i="11" s="1"/>
  <c r="O7357" i="11"/>
  <c r="Q7357" i="11" s="1"/>
  <c r="O7341" i="11"/>
  <c r="Q7341" i="11" s="1"/>
  <c r="O7325" i="11"/>
  <c r="Q7325" i="11" s="1"/>
  <c r="O7309" i="11"/>
  <c r="Q7309" i="11" s="1"/>
  <c r="O7293" i="11"/>
  <c r="Q7293" i="11" s="1"/>
  <c r="O7277" i="11"/>
  <c r="Q7277" i="11" s="1"/>
  <c r="O7261" i="11"/>
  <c r="Q7261" i="11" s="1"/>
  <c r="O7245" i="11"/>
  <c r="Q7245" i="11" s="1"/>
  <c r="O7229" i="11"/>
  <c r="Q7229" i="11" s="1"/>
  <c r="O7213" i="11"/>
  <c r="Q7213" i="11" s="1"/>
  <c r="O7197" i="11"/>
  <c r="Q7197" i="11" s="1"/>
  <c r="O7181" i="11"/>
  <c r="Q7181" i="11" s="1"/>
  <c r="O7165" i="11"/>
  <c r="Q7165" i="11" s="1"/>
  <c r="O7149" i="11"/>
  <c r="Q7149" i="11" s="1"/>
  <c r="O7133" i="11"/>
  <c r="Q7133" i="11" s="1"/>
  <c r="O7117" i="11"/>
  <c r="Q7117" i="11" s="1"/>
  <c r="O7101" i="11"/>
  <c r="Q7101" i="11" s="1"/>
  <c r="O7085" i="11"/>
  <c r="Q7085" i="11" s="1"/>
  <c r="O7069" i="11"/>
  <c r="Q7069" i="11" s="1"/>
  <c r="O7053" i="11"/>
  <c r="Q7053" i="11" s="1"/>
  <c r="O7037" i="11"/>
  <c r="Q7037" i="11" s="1"/>
  <c r="O7021" i="11"/>
  <c r="Q7021" i="11" s="1"/>
  <c r="O7005" i="11"/>
  <c r="Q7005" i="11" s="1"/>
  <c r="O6989" i="11"/>
  <c r="Q6989" i="11" s="1"/>
  <c r="O6973" i="11"/>
  <c r="Q6973" i="11" s="1"/>
  <c r="O6957" i="11"/>
  <c r="Q6957" i="11" s="1"/>
  <c r="O6941" i="11"/>
  <c r="Q6941" i="11" s="1"/>
  <c r="O6925" i="11"/>
  <c r="Q6925" i="11" s="1"/>
  <c r="O6909" i="11"/>
  <c r="Q6909" i="11" s="1"/>
  <c r="O6893" i="11"/>
  <c r="Q6893" i="11" s="1"/>
  <c r="O6877" i="11"/>
  <c r="Q6877" i="11" s="1"/>
  <c r="O6861" i="11"/>
  <c r="Q6861" i="11" s="1"/>
  <c r="O6845" i="11"/>
  <c r="Q6845" i="11" s="1"/>
  <c r="O6829" i="11"/>
  <c r="Q6829" i="11" s="1"/>
  <c r="O6813" i="11"/>
  <c r="Q6813" i="11" s="1"/>
  <c r="O6797" i="11"/>
  <c r="Q6797" i="11" s="1"/>
  <c r="O6781" i="11"/>
  <c r="Q6781" i="11" s="1"/>
  <c r="O6765" i="11"/>
  <c r="Q6765" i="11" s="1"/>
  <c r="O6749" i="11"/>
  <c r="Q6749" i="11" s="1"/>
  <c r="O6733" i="11"/>
  <c r="Q6733" i="11" s="1"/>
  <c r="O6717" i="11"/>
  <c r="Q6717" i="11" s="1"/>
  <c r="O6701" i="11"/>
  <c r="Q6701" i="11" s="1"/>
  <c r="O6685" i="11"/>
  <c r="Q6685" i="11" s="1"/>
  <c r="O6669" i="11"/>
  <c r="Q6669" i="11" s="1"/>
  <c r="O6653" i="11"/>
  <c r="Q6653" i="11" s="1"/>
  <c r="O6637" i="11"/>
  <c r="Q6637" i="11" s="1"/>
  <c r="O6621" i="11"/>
  <c r="Q6621" i="11" s="1"/>
  <c r="O6605" i="11"/>
  <c r="Q6605" i="11" s="1"/>
  <c r="O6589" i="11"/>
  <c r="Q6589" i="11" s="1"/>
  <c r="O6573" i="11"/>
  <c r="Q6573" i="11" s="1"/>
  <c r="O6557" i="11"/>
  <c r="Q6557" i="11" s="1"/>
  <c r="O5092" i="11"/>
  <c r="Q5092" i="11" s="1"/>
  <c r="O5060" i="11"/>
  <c r="Q5060" i="11" s="1"/>
  <c r="O5028" i="11"/>
  <c r="Q5028" i="11" s="1"/>
  <c r="O4996" i="11"/>
  <c r="Q4996" i="11" s="1"/>
  <c r="O4680" i="11"/>
  <c r="Q4680" i="11" s="1"/>
  <c r="O4616" i="11"/>
  <c r="Q4616" i="11" s="1"/>
  <c r="O4552" i="11"/>
  <c r="Q4552" i="11" s="1"/>
  <c r="O4488" i="11"/>
  <c r="Q4488" i="11" s="1"/>
  <c r="O4424" i="11"/>
  <c r="Q4424" i="11" s="1"/>
  <c r="O4360" i="11"/>
  <c r="Q4360" i="11" s="1"/>
  <c r="O4296" i="11"/>
  <c r="Q4296" i="11" s="1"/>
  <c r="O4232" i="11"/>
  <c r="Q4232" i="11" s="1"/>
  <c r="O4168" i="11"/>
  <c r="Q4168" i="11" s="1"/>
  <c r="O4104" i="11"/>
  <c r="Q4104" i="11" s="1"/>
  <c r="O4040" i="11"/>
  <c r="Q4040" i="11" s="1"/>
  <c r="O3976" i="11"/>
  <c r="Q3976" i="11" s="1"/>
  <c r="O3912" i="11"/>
  <c r="Q3912" i="11" s="1"/>
  <c r="O3848" i="11"/>
  <c r="Q3848" i="11" s="1"/>
  <c r="O3784" i="11"/>
  <c r="Q3784" i="11" s="1"/>
  <c r="O3720" i="11"/>
  <c r="Q3720" i="11" s="1"/>
  <c r="O3636" i="11"/>
  <c r="Q3636" i="11" s="1"/>
  <c r="O3671" i="11"/>
  <c r="Q3671" i="11" s="1"/>
  <c r="O3607" i="11"/>
  <c r="Q3607" i="11" s="1"/>
  <c r="O3543" i="11"/>
  <c r="Q3543" i="11" s="1"/>
  <c r="O4704" i="11"/>
  <c r="Q4704" i="11" s="1"/>
  <c r="O4640" i="11"/>
  <c r="Q4640" i="11" s="1"/>
  <c r="O4576" i="11"/>
  <c r="Q4576" i="11" s="1"/>
  <c r="O4512" i="11"/>
  <c r="Q4512" i="11" s="1"/>
  <c r="O4448" i="11"/>
  <c r="Q4448" i="11" s="1"/>
  <c r="O4384" i="11"/>
  <c r="Q4384" i="11" s="1"/>
  <c r="O4320" i="11"/>
  <c r="Q4320" i="11" s="1"/>
  <c r="O4256" i="11"/>
  <c r="Q4256" i="11" s="1"/>
  <c r="O4192" i="11"/>
  <c r="Q4192" i="11" s="1"/>
  <c r="O4128" i="11"/>
  <c r="Q4128" i="11" s="1"/>
  <c r="O4064" i="11"/>
  <c r="Q4064" i="11" s="1"/>
  <c r="O4000" i="11"/>
  <c r="Q4000" i="11" s="1"/>
  <c r="O3936" i="11"/>
  <c r="Q3936" i="11" s="1"/>
  <c r="O3872" i="11"/>
  <c r="Q3872" i="11" s="1"/>
  <c r="O3808" i="11"/>
  <c r="Q3808" i="11" s="1"/>
  <c r="O3744" i="11"/>
  <c r="Q3744" i="11" s="1"/>
  <c r="O3680" i="11"/>
  <c r="Q3680" i="11" s="1"/>
  <c r="O3556" i="11"/>
  <c r="Q3556" i="11" s="1"/>
  <c r="O5079" i="11"/>
  <c r="Q5079" i="11" s="1"/>
  <c r="O5063" i="11"/>
  <c r="Q5063" i="11" s="1"/>
  <c r="O5047" i="11"/>
  <c r="Q5047" i="11" s="1"/>
  <c r="O5031" i="11"/>
  <c r="Q5031" i="11" s="1"/>
  <c r="O5015" i="11"/>
  <c r="Q5015" i="11" s="1"/>
  <c r="O4999" i="11"/>
  <c r="Q4999" i="11" s="1"/>
  <c r="O4983" i="11"/>
  <c r="Q4983" i="11" s="1"/>
  <c r="O4975" i="11"/>
  <c r="Q4975" i="11" s="1"/>
  <c r="O4967" i="11"/>
  <c r="Q4967" i="11" s="1"/>
  <c r="O4959" i="11"/>
  <c r="Q4959" i="11" s="1"/>
  <c r="O4951" i="11"/>
  <c r="Q4951" i="11" s="1"/>
  <c r="O4943" i="11"/>
  <c r="Q4943" i="11" s="1"/>
  <c r="O4935" i="11"/>
  <c r="Q4935" i="11" s="1"/>
  <c r="O4927" i="11"/>
  <c r="Q4927" i="11" s="1"/>
  <c r="O4919" i="11"/>
  <c r="Q4919" i="11" s="1"/>
  <c r="O4911" i="11"/>
  <c r="Q4911" i="11" s="1"/>
  <c r="O4903" i="11"/>
  <c r="Q4903" i="11" s="1"/>
  <c r="O4895" i="11"/>
  <c r="Q4895" i="11" s="1"/>
  <c r="O4887" i="11"/>
  <c r="Q4887" i="11" s="1"/>
  <c r="O4879" i="11"/>
  <c r="Q4879" i="11" s="1"/>
  <c r="O4871" i="11"/>
  <c r="Q4871" i="11" s="1"/>
  <c r="O4863" i="11"/>
  <c r="Q4863" i="11" s="1"/>
  <c r="O4855" i="11"/>
  <c r="Q4855" i="11" s="1"/>
  <c r="O4847" i="11"/>
  <c r="Q4847" i="11" s="1"/>
  <c r="O4839" i="11"/>
  <c r="Q4839" i="11" s="1"/>
  <c r="O4831" i="11"/>
  <c r="Q4831" i="11" s="1"/>
  <c r="O4823" i="11"/>
  <c r="Q4823" i="11" s="1"/>
  <c r="O4815" i="11"/>
  <c r="Q4815" i="11" s="1"/>
  <c r="O4807" i="11"/>
  <c r="Q4807" i="11" s="1"/>
  <c r="O4799" i="11"/>
  <c r="Q4799" i="11" s="1"/>
  <c r="O4791" i="11"/>
  <c r="Q4791" i="11" s="1"/>
  <c r="O4783" i="11"/>
  <c r="Q4783" i="11" s="1"/>
  <c r="O4775" i="11"/>
  <c r="Q4775" i="11" s="1"/>
  <c r="O4767" i="11"/>
  <c r="Q4767" i="11" s="1"/>
  <c r="O4759" i="11"/>
  <c r="Q4759" i="11" s="1"/>
  <c r="O4751" i="11"/>
  <c r="Q4751" i="11" s="1"/>
  <c r="O4743" i="11"/>
  <c r="Q4743" i="11" s="1"/>
  <c r="O4735" i="11"/>
  <c r="Q4735" i="11" s="1"/>
  <c r="O5093" i="11"/>
  <c r="Q5093" i="11" s="1"/>
  <c r="O5077" i="11"/>
  <c r="Q5077" i="11" s="1"/>
  <c r="O5061" i="11"/>
  <c r="Q5061" i="11" s="1"/>
  <c r="O5045" i="11"/>
  <c r="Q5045" i="11" s="1"/>
  <c r="O5029" i="11"/>
  <c r="Q5029" i="11" s="1"/>
  <c r="O5013" i="11"/>
  <c r="Q5013" i="11" s="1"/>
  <c r="O4997" i="11"/>
  <c r="Q4997" i="11" s="1"/>
  <c r="O4982" i="11"/>
  <c r="Q4982" i="11" s="1"/>
  <c r="O4974" i="11"/>
  <c r="Q4974" i="11" s="1"/>
  <c r="O4966" i="11"/>
  <c r="Q4966" i="11" s="1"/>
  <c r="O4958" i="11"/>
  <c r="Q4958" i="11" s="1"/>
  <c r="O4950" i="11"/>
  <c r="Q4950" i="11" s="1"/>
  <c r="O4942" i="11"/>
  <c r="Q4942" i="11" s="1"/>
  <c r="O4934" i="11"/>
  <c r="Q4934" i="11" s="1"/>
  <c r="O4926" i="11"/>
  <c r="Q4926" i="11" s="1"/>
  <c r="O4918" i="11"/>
  <c r="Q4918" i="11" s="1"/>
  <c r="O4910" i="11"/>
  <c r="Q4910" i="11" s="1"/>
  <c r="O4902" i="11"/>
  <c r="Q4902" i="11" s="1"/>
  <c r="O4894" i="11"/>
  <c r="Q4894" i="11" s="1"/>
  <c r="O4886" i="11"/>
  <c r="Q4886" i="11" s="1"/>
  <c r="O4878" i="11"/>
  <c r="Q4878" i="11" s="1"/>
  <c r="O4870" i="11"/>
  <c r="Q4870" i="11" s="1"/>
  <c r="O4862" i="11"/>
  <c r="Q4862" i="11" s="1"/>
  <c r="O4854" i="11"/>
  <c r="Q4854" i="11" s="1"/>
  <c r="O4846" i="11"/>
  <c r="Q4846" i="11" s="1"/>
  <c r="O4838" i="11"/>
  <c r="Q4838" i="11" s="1"/>
  <c r="O4830" i="11"/>
  <c r="Q4830" i="11" s="1"/>
  <c r="O4822" i="11"/>
  <c r="Q4822" i="11" s="1"/>
  <c r="O4814" i="11"/>
  <c r="Q4814" i="11" s="1"/>
  <c r="O4806" i="11"/>
  <c r="Q4806" i="11" s="1"/>
  <c r="O4798" i="11"/>
  <c r="Q4798" i="11" s="1"/>
  <c r="O4790" i="11"/>
  <c r="Q4790" i="11" s="1"/>
  <c r="O4782" i="11"/>
  <c r="Q4782" i="11" s="1"/>
  <c r="O4774" i="11"/>
  <c r="Q4774" i="11" s="1"/>
  <c r="O4766" i="11"/>
  <c r="Q4766" i="11" s="1"/>
  <c r="O4758" i="11"/>
  <c r="Q4758" i="11" s="1"/>
  <c r="O4750" i="11"/>
  <c r="Q4750" i="11" s="1"/>
  <c r="O4742" i="11"/>
  <c r="Q4742" i="11" s="1"/>
  <c r="O4734" i="11"/>
  <c r="Q4734" i="11" s="1"/>
  <c r="O5086" i="11"/>
  <c r="Q5086" i="11" s="1"/>
  <c r="O5070" i="11"/>
  <c r="Q5070" i="11" s="1"/>
  <c r="O5054" i="11"/>
  <c r="Q5054" i="11" s="1"/>
  <c r="O5038" i="11"/>
  <c r="Q5038" i="11" s="1"/>
  <c r="O5022" i="11"/>
  <c r="Q5022" i="11" s="1"/>
  <c r="O5006" i="11"/>
  <c r="Q5006" i="11" s="1"/>
  <c r="O4990" i="11"/>
  <c r="Q4990" i="11" s="1"/>
  <c r="O4692" i="11"/>
  <c r="Q4692" i="11" s="1"/>
  <c r="O4660" i="11"/>
  <c r="Q4660" i="11" s="1"/>
  <c r="O4628" i="11"/>
  <c r="Q4628" i="11" s="1"/>
  <c r="O4596" i="11"/>
  <c r="Q4596" i="11" s="1"/>
  <c r="O4564" i="11"/>
  <c r="Q4564" i="11" s="1"/>
  <c r="O4532" i="11"/>
  <c r="Q4532" i="11" s="1"/>
  <c r="O4500" i="11"/>
  <c r="Q4500" i="11" s="1"/>
  <c r="O4468" i="11"/>
  <c r="Q4468" i="11" s="1"/>
  <c r="O4436" i="11"/>
  <c r="Q4436" i="11" s="1"/>
  <c r="O4404" i="11"/>
  <c r="Q4404" i="11" s="1"/>
  <c r="O4372" i="11"/>
  <c r="Q4372" i="11" s="1"/>
  <c r="O4340" i="11"/>
  <c r="Q4340" i="11" s="1"/>
  <c r="O4308" i="11"/>
  <c r="Q4308" i="11" s="1"/>
  <c r="O4276" i="11"/>
  <c r="Q4276" i="11" s="1"/>
  <c r="O4244" i="11"/>
  <c r="Q4244" i="11" s="1"/>
  <c r="O4212" i="11"/>
  <c r="Q4212" i="11" s="1"/>
  <c r="O4180" i="11"/>
  <c r="Q4180" i="11" s="1"/>
  <c r="O4148" i="11"/>
  <c r="Q4148" i="11" s="1"/>
  <c r="O4116" i="11"/>
  <c r="Q4116" i="11" s="1"/>
  <c r="O4084" i="11"/>
  <c r="Q4084" i="11" s="1"/>
  <c r="O4052" i="11"/>
  <c r="Q4052" i="11" s="1"/>
  <c r="O4020" i="11"/>
  <c r="Q4020" i="11" s="1"/>
  <c r="O3988" i="11"/>
  <c r="Q3988" i="11" s="1"/>
  <c r="O3956" i="11"/>
  <c r="Q3956" i="11" s="1"/>
  <c r="O3924" i="11"/>
  <c r="Q3924" i="11" s="1"/>
  <c r="O3892" i="11"/>
  <c r="Q3892" i="11" s="1"/>
  <c r="O3860" i="11"/>
  <c r="Q3860" i="11" s="1"/>
  <c r="O3828" i="11"/>
  <c r="Q3828" i="11" s="1"/>
  <c r="O3796" i="11"/>
  <c r="Q3796" i="11" s="1"/>
  <c r="O3764" i="11"/>
  <c r="Q3764" i="11" s="1"/>
  <c r="O3732" i="11"/>
  <c r="Q3732" i="11" s="1"/>
  <c r="O3700" i="11"/>
  <c r="Q3700" i="11" s="1"/>
  <c r="O3673" i="11"/>
  <c r="Q3673" i="11" s="1"/>
  <c r="O3647" i="11"/>
  <c r="Q3647" i="11" s="1"/>
  <c r="O3628" i="11"/>
  <c r="Q3628" i="11" s="1"/>
  <c r="O3609" i="11"/>
  <c r="Q3609" i="11" s="1"/>
  <c r="O3583" i="11"/>
  <c r="Q3583" i="11" s="1"/>
  <c r="O3564" i="11"/>
  <c r="Q3564" i="11" s="1"/>
  <c r="O3545" i="11"/>
  <c r="Q3545" i="11" s="1"/>
  <c r="O4707" i="11"/>
  <c r="Q4707" i="11" s="1"/>
  <c r="O4691" i="11"/>
  <c r="Q4691" i="11" s="1"/>
  <c r="O4675" i="11"/>
  <c r="Q4675" i="11" s="1"/>
  <c r="O4659" i="11"/>
  <c r="Q4659" i="11" s="1"/>
  <c r="O4643" i="11"/>
  <c r="Q4643" i="11" s="1"/>
  <c r="O4627" i="11"/>
  <c r="Q4627" i="11" s="1"/>
  <c r="O4611" i="11"/>
  <c r="Q4611" i="11" s="1"/>
  <c r="O4595" i="11"/>
  <c r="Q4595" i="11" s="1"/>
  <c r="O4579" i="11"/>
  <c r="Q4579" i="11" s="1"/>
  <c r="O4563" i="11"/>
  <c r="Q4563" i="11" s="1"/>
  <c r="O4547" i="11"/>
  <c r="Q4547" i="11" s="1"/>
  <c r="O4531" i="11"/>
  <c r="Q4531" i="11" s="1"/>
  <c r="O4515" i="11"/>
  <c r="Q4515" i="11" s="1"/>
  <c r="O4499" i="11"/>
  <c r="Q4499" i="11" s="1"/>
  <c r="O4483" i="11"/>
  <c r="Q4483" i="11" s="1"/>
  <c r="O4467" i="11"/>
  <c r="Q4467" i="11" s="1"/>
  <c r="O4451" i="11"/>
  <c r="Q4451" i="11" s="1"/>
  <c r="O4435" i="11"/>
  <c r="Q4435" i="11" s="1"/>
  <c r="O4419" i="11"/>
  <c r="Q4419" i="11" s="1"/>
  <c r="O4403" i="11"/>
  <c r="Q4403" i="11" s="1"/>
  <c r="O4387" i="11"/>
  <c r="Q4387" i="11" s="1"/>
  <c r="O4371" i="11"/>
  <c r="Q4371" i="11" s="1"/>
  <c r="O4355" i="11"/>
  <c r="Q4355" i="11" s="1"/>
  <c r="O4339" i="11"/>
  <c r="Q4339" i="11" s="1"/>
  <c r="O4323" i="11"/>
  <c r="Q4323" i="11" s="1"/>
  <c r="O4307" i="11"/>
  <c r="Q4307" i="11" s="1"/>
  <c r="O4291" i="11"/>
  <c r="Q4291" i="11" s="1"/>
  <c r="O4275" i="11"/>
  <c r="Q4275" i="11" s="1"/>
  <c r="O4259" i="11"/>
  <c r="Q4259" i="11" s="1"/>
  <c r="O4243" i="11"/>
  <c r="Q4243" i="11" s="1"/>
  <c r="O4227" i="11"/>
  <c r="Q4227" i="11" s="1"/>
  <c r="O4211" i="11"/>
  <c r="Q4211" i="11" s="1"/>
  <c r="O4195" i="11"/>
  <c r="Q4195" i="11" s="1"/>
  <c r="O4179" i="11"/>
  <c r="Q4179" i="11" s="1"/>
  <c r="O4163" i="11"/>
  <c r="Q4163" i="11" s="1"/>
  <c r="O4147" i="11"/>
  <c r="Q4147" i="11" s="1"/>
  <c r="O4131" i="11"/>
  <c r="Q4131" i="11" s="1"/>
  <c r="O4115" i="11"/>
  <c r="Q4115" i="11" s="1"/>
  <c r="O4099" i="11"/>
  <c r="Q4099" i="11" s="1"/>
  <c r="O4083" i="11"/>
  <c r="Q4083" i="11" s="1"/>
  <c r="O4067" i="11"/>
  <c r="Q4067" i="11" s="1"/>
  <c r="O4051" i="11"/>
  <c r="Q4051" i="11" s="1"/>
  <c r="O4035" i="11"/>
  <c r="Q4035" i="11" s="1"/>
  <c r="O4019" i="11"/>
  <c r="Q4019" i="11" s="1"/>
  <c r="O4003" i="11"/>
  <c r="Q4003" i="11" s="1"/>
  <c r="O3987" i="11"/>
  <c r="Q3987" i="11" s="1"/>
  <c r="O3971" i="11"/>
  <c r="Q3971" i="11" s="1"/>
  <c r="O3955" i="11"/>
  <c r="Q3955" i="11" s="1"/>
  <c r="O3939" i="11"/>
  <c r="Q3939" i="11" s="1"/>
  <c r="O3923" i="11"/>
  <c r="Q3923" i="11" s="1"/>
  <c r="O3907" i="11"/>
  <c r="Q3907" i="11" s="1"/>
  <c r="O3891" i="11"/>
  <c r="Q3891" i="11" s="1"/>
  <c r="O3875" i="11"/>
  <c r="Q3875" i="11" s="1"/>
  <c r="O3859" i="11"/>
  <c r="Q3859" i="11" s="1"/>
  <c r="O3843" i="11"/>
  <c r="Q3843" i="11" s="1"/>
  <c r="O3827" i="11"/>
  <c r="Q3827" i="11" s="1"/>
  <c r="O3811" i="11"/>
  <c r="Q3811" i="11" s="1"/>
  <c r="O3795" i="11"/>
  <c r="Q3795" i="11" s="1"/>
  <c r="O3779" i="11"/>
  <c r="Q3779" i="11" s="1"/>
  <c r="O3763" i="11"/>
  <c r="Q3763" i="11" s="1"/>
  <c r="O3747" i="11"/>
  <c r="Q3747" i="11" s="1"/>
  <c r="O3731" i="11"/>
  <c r="Q3731" i="11" s="1"/>
  <c r="O3715" i="11"/>
  <c r="Q3715" i="11" s="1"/>
  <c r="O3699" i="11"/>
  <c r="Q3699" i="11" s="1"/>
  <c r="O3683" i="11"/>
  <c r="Q3683" i="11" s="1"/>
  <c r="O1228" i="11"/>
  <c r="Q1228" i="11" s="1"/>
  <c r="O4713" i="11"/>
  <c r="Q4713" i="11" s="1"/>
  <c r="O4697" i="11"/>
  <c r="Q4697" i="11" s="1"/>
  <c r="O4681" i="11"/>
  <c r="Q4681" i="11" s="1"/>
  <c r="O4665" i="11"/>
  <c r="Q4665" i="11" s="1"/>
  <c r="O4649" i="11"/>
  <c r="Q4649" i="11" s="1"/>
  <c r="O4633" i="11"/>
  <c r="Q4633" i="11" s="1"/>
  <c r="O4617" i="11"/>
  <c r="Q4617" i="11" s="1"/>
  <c r="O4601" i="11"/>
  <c r="Q4601" i="11" s="1"/>
  <c r="O4585" i="11"/>
  <c r="Q4585" i="11" s="1"/>
  <c r="O4569" i="11"/>
  <c r="Q4569" i="11" s="1"/>
  <c r="O4553" i="11"/>
  <c r="Q4553" i="11" s="1"/>
  <c r="O4537" i="11"/>
  <c r="Q4537" i="11" s="1"/>
  <c r="O4521" i="11"/>
  <c r="Q4521" i="11" s="1"/>
  <c r="O4505" i="11"/>
  <c r="Q4505" i="11" s="1"/>
  <c r="O4489" i="11"/>
  <c r="Q4489" i="11" s="1"/>
  <c r="O4473" i="11"/>
  <c r="Q4473" i="11" s="1"/>
  <c r="O4457" i="11"/>
  <c r="Q4457" i="11" s="1"/>
  <c r="O4441" i="11"/>
  <c r="Q4441" i="11" s="1"/>
  <c r="O4425" i="11"/>
  <c r="Q4425" i="11" s="1"/>
  <c r="O4409" i="11"/>
  <c r="Q4409" i="11" s="1"/>
  <c r="O4393" i="11"/>
  <c r="Q4393" i="11" s="1"/>
  <c r="O4377" i="11"/>
  <c r="Q4377" i="11" s="1"/>
  <c r="O4361" i="11"/>
  <c r="Q4361" i="11" s="1"/>
  <c r="O4345" i="11"/>
  <c r="Q4345" i="11" s="1"/>
  <c r="O4329" i="11"/>
  <c r="Q4329" i="11" s="1"/>
  <c r="O4313" i="11"/>
  <c r="Q4313" i="11" s="1"/>
  <c r="O4297" i="11"/>
  <c r="Q4297" i="11" s="1"/>
  <c r="O4281" i="11"/>
  <c r="Q4281" i="11" s="1"/>
  <c r="O4265" i="11"/>
  <c r="Q4265" i="11" s="1"/>
  <c r="O4249" i="11"/>
  <c r="Q4249" i="11" s="1"/>
  <c r="O4233" i="11"/>
  <c r="Q4233" i="11" s="1"/>
  <c r="O4217" i="11"/>
  <c r="Q4217" i="11" s="1"/>
  <c r="O4201" i="11"/>
  <c r="Q4201" i="11" s="1"/>
  <c r="O4185" i="11"/>
  <c r="Q4185" i="11" s="1"/>
  <c r="O4169" i="11"/>
  <c r="Q4169" i="11" s="1"/>
  <c r="O4153" i="11"/>
  <c r="Q4153" i="11" s="1"/>
  <c r="O4137" i="11"/>
  <c r="Q4137" i="11" s="1"/>
  <c r="O4121" i="11"/>
  <c r="Q4121" i="11" s="1"/>
  <c r="O4105" i="11"/>
  <c r="Q4105" i="11" s="1"/>
  <c r="O4089" i="11"/>
  <c r="Q4089" i="11" s="1"/>
  <c r="O4073" i="11"/>
  <c r="Q4073" i="11" s="1"/>
  <c r="O4057" i="11"/>
  <c r="Q4057" i="11" s="1"/>
  <c r="O4041" i="11"/>
  <c r="Q4041" i="11" s="1"/>
  <c r="O4025" i="11"/>
  <c r="Q4025" i="11" s="1"/>
  <c r="O4009" i="11"/>
  <c r="Q4009" i="11" s="1"/>
  <c r="O3993" i="11"/>
  <c r="Q3993" i="11" s="1"/>
  <c r="O3977" i="11"/>
  <c r="Q3977" i="11" s="1"/>
  <c r="O3961" i="11"/>
  <c r="Q3961" i="11" s="1"/>
  <c r="O3945" i="11"/>
  <c r="Q3945" i="11" s="1"/>
  <c r="O3929" i="11"/>
  <c r="Q3929" i="11" s="1"/>
  <c r="O3913" i="11"/>
  <c r="Q3913" i="11" s="1"/>
  <c r="O3897" i="11"/>
  <c r="Q3897" i="11" s="1"/>
  <c r="O3881" i="11"/>
  <c r="Q3881" i="11" s="1"/>
  <c r="O3865" i="11"/>
  <c r="Q3865" i="11" s="1"/>
  <c r="O3849" i="11"/>
  <c r="Q3849" i="11" s="1"/>
  <c r="O3833" i="11"/>
  <c r="Q3833" i="11" s="1"/>
  <c r="O3817" i="11"/>
  <c r="Q3817" i="11" s="1"/>
  <c r="O3801" i="11"/>
  <c r="Q3801" i="11" s="1"/>
  <c r="O3785" i="11"/>
  <c r="Q3785" i="11" s="1"/>
  <c r="O3769" i="11"/>
  <c r="Q3769" i="11" s="1"/>
  <c r="O3753" i="11"/>
  <c r="Q3753" i="11" s="1"/>
  <c r="O3737" i="11"/>
  <c r="Q3737" i="11" s="1"/>
  <c r="O3721" i="11"/>
  <c r="Q3721" i="11" s="1"/>
  <c r="O3705" i="11"/>
  <c r="Q3705" i="11" s="1"/>
  <c r="O3689" i="11"/>
  <c r="Q3689" i="11" s="1"/>
  <c r="O3528" i="11"/>
  <c r="Q3528" i="11" s="1"/>
  <c r="O3512" i="11"/>
  <c r="Q3512" i="11" s="1"/>
  <c r="O3496" i="11"/>
  <c r="Q3496" i="11" s="1"/>
  <c r="O3480" i="11"/>
  <c r="Q3480" i="11" s="1"/>
  <c r="O3464" i="11"/>
  <c r="Q3464" i="11" s="1"/>
  <c r="O3448" i="11"/>
  <c r="Q3448" i="11" s="1"/>
  <c r="O3432" i="11"/>
  <c r="Q3432" i="11" s="1"/>
  <c r="O3416" i="11"/>
  <c r="Q3416" i="11" s="1"/>
  <c r="O3400" i="11"/>
  <c r="Q3400" i="11" s="1"/>
  <c r="O3384" i="11"/>
  <c r="Q3384" i="11" s="1"/>
  <c r="O3360" i="11"/>
  <c r="Q3360" i="11" s="1"/>
  <c r="O273" i="11"/>
  <c r="Q273" i="11" s="1"/>
  <c r="O4698" i="11"/>
  <c r="Q4698" i="11" s="1"/>
  <c r="O4682" i="11"/>
  <c r="Q4682" i="11" s="1"/>
  <c r="O4666" i="11"/>
  <c r="Q4666" i="11" s="1"/>
  <c r="O4650" i="11"/>
  <c r="Q4650" i="11" s="1"/>
  <c r="O4634" i="11"/>
  <c r="Q4634" i="11" s="1"/>
  <c r="O4618" i="11"/>
  <c r="Q4618" i="11" s="1"/>
  <c r="O4602" i="11"/>
  <c r="Q4602" i="11" s="1"/>
  <c r="O4586" i="11"/>
  <c r="Q4586" i="11" s="1"/>
  <c r="O4570" i="11"/>
  <c r="Q4570" i="11" s="1"/>
  <c r="O4554" i="11"/>
  <c r="Q4554" i="11" s="1"/>
  <c r="O4538" i="11"/>
  <c r="Q4538" i="11" s="1"/>
  <c r="O4522" i="11"/>
  <c r="Q4522" i="11" s="1"/>
  <c r="O4506" i="11"/>
  <c r="Q4506" i="11" s="1"/>
  <c r="O4490" i="11"/>
  <c r="Q4490" i="11" s="1"/>
  <c r="O4474" i="11"/>
  <c r="Q4474" i="11" s="1"/>
  <c r="O4458" i="11"/>
  <c r="Q4458" i="11" s="1"/>
  <c r="O4442" i="11"/>
  <c r="Q4442" i="11" s="1"/>
  <c r="O4426" i="11"/>
  <c r="Q4426" i="11" s="1"/>
  <c r="O4410" i="11"/>
  <c r="Q4410" i="11" s="1"/>
  <c r="O4394" i="11"/>
  <c r="Q4394" i="11" s="1"/>
  <c r="O4378" i="11"/>
  <c r="Q4378" i="11" s="1"/>
  <c r="O4362" i="11"/>
  <c r="Q4362" i="11" s="1"/>
  <c r="O4346" i="11"/>
  <c r="Q4346" i="11" s="1"/>
  <c r="O4330" i="11"/>
  <c r="Q4330" i="11" s="1"/>
  <c r="O4314" i="11"/>
  <c r="Q4314" i="11" s="1"/>
  <c r="O4298" i="11"/>
  <c r="Q4298" i="11" s="1"/>
  <c r="O4282" i="11"/>
  <c r="Q4282" i="11" s="1"/>
  <c r="O4266" i="11"/>
  <c r="Q4266" i="11" s="1"/>
  <c r="O4250" i="11"/>
  <c r="Q4250" i="11" s="1"/>
  <c r="O4234" i="11"/>
  <c r="Q4234" i="11" s="1"/>
  <c r="O4218" i="11"/>
  <c r="Q4218" i="11" s="1"/>
  <c r="O4202" i="11"/>
  <c r="Q4202" i="11" s="1"/>
  <c r="O4186" i="11"/>
  <c r="Q4186" i="11" s="1"/>
  <c r="O4170" i="11"/>
  <c r="Q4170" i="11" s="1"/>
  <c r="O4154" i="11"/>
  <c r="Q4154" i="11" s="1"/>
  <c r="O4138" i="11"/>
  <c r="Q4138" i="11" s="1"/>
  <c r="O4122" i="11"/>
  <c r="Q4122" i="11" s="1"/>
  <c r="O4106" i="11"/>
  <c r="Q4106" i="11" s="1"/>
  <c r="O4090" i="11"/>
  <c r="Q4090" i="11" s="1"/>
  <c r="O4074" i="11"/>
  <c r="Q4074" i="11" s="1"/>
  <c r="O4058" i="11"/>
  <c r="Q4058" i="11" s="1"/>
  <c r="O4042" i="11"/>
  <c r="Q4042" i="11" s="1"/>
  <c r="O4026" i="11"/>
  <c r="Q4026" i="11" s="1"/>
  <c r="O4010" i="11"/>
  <c r="Q4010" i="11" s="1"/>
  <c r="O3994" i="11"/>
  <c r="Q3994" i="11" s="1"/>
  <c r="O3978" i="11"/>
  <c r="Q3978" i="11" s="1"/>
  <c r="O3962" i="11"/>
  <c r="Q3962" i="11" s="1"/>
  <c r="O3946" i="11"/>
  <c r="Q3946" i="11" s="1"/>
  <c r="O3930" i="11"/>
  <c r="Q3930" i="11" s="1"/>
  <c r="O3914" i="11"/>
  <c r="Q3914" i="11" s="1"/>
  <c r="O3898" i="11"/>
  <c r="Q3898" i="11" s="1"/>
  <c r="O3882" i="11"/>
  <c r="Q3882" i="11" s="1"/>
  <c r="O3866" i="11"/>
  <c r="Q3866" i="11" s="1"/>
  <c r="O3850" i="11"/>
  <c r="Q3850" i="11" s="1"/>
  <c r="O3834" i="11"/>
  <c r="Q3834" i="11" s="1"/>
  <c r="O3818" i="11"/>
  <c r="Q3818" i="11" s="1"/>
  <c r="O3802" i="11"/>
  <c r="Q3802" i="11" s="1"/>
  <c r="O3786" i="11"/>
  <c r="Q3786" i="11" s="1"/>
  <c r="O3770" i="11"/>
  <c r="Q3770" i="11" s="1"/>
  <c r="O3754" i="11"/>
  <c r="Q3754" i="11" s="1"/>
  <c r="O3738" i="11"/>
  <c r="Q3738" i="11" s="1"/>
  <c r="O3722" i="11"/>
  <c r="Q3722" i="11" s="1"/>
  <c r="O3706" i="11"/>
  <c r="Q3706" i="11" s="1"/>
  <c r="O3690" i="11"/>
  <c r="Q3690" i="11" s="1"/>
  <c r="O3675" i="11"/>
  <c r="Q3675" i="11" s="1"/>
  <c r="O3664" i="11"/>
  <c r="Q3664" i="11" s="1"/>
  <c r="O3653" i="11"/>
  <c r="Q3653" i="11" s="1"/>
  <c r="O3643" i="11"/>
  <c r="Q3643" i="11" s="1"/>
  <c r="O3632" i="11"/>
  <c r="Q3632" i="11" s="1"/>
  <c r="O3621" i="11"/>
  <c r="Q3621" i="11" s="1"/>
  <c r="O3611" i="11"/>
  <c r="Q3611" i="11" s="1"/>
  <c r="O3600" i="11"/>
  <c r="Q3600" i="11" s="1"/>
  <c r="O3589" i="11"/>
  <c r="Q3589" i="11" s="1"/>
  <c r="O3579" i="11"/>
  <c r="Q3579" i="11" s="1"/>
  <c r="O3568" i="11"/>
  <c r="Q3568" i="11" s="1"/>
  <c r="O3557" i="11"/>
  <c r="Q3557" i="11" s="1"/>
  <c r="O3547" i="11"/>
  <c r="Q3547" i="11" s="1"/>
  <c r="O3536" i="11"/>
  <c r="Q3536" i="11" s="1"/>
  <c r="O3523" i="11"/>
  <c r="Q3523" i="11" s="1"/>
  <c r="O3507" i="11"/>
  <c r="Q3507" i="11" s="1"/>
  <c r="O3491" i="11"/>
  <c r="Q3491" i="11" s="1"/>
  <c r="O3475" i="11"/>
  <c r="Q3475" i="11" s="1"/>
  <c r="O3459" i="11"/>
  <c r="Q3459" i="11" s="1"/>
  <c r="O3443" i="11"/>
  <c r="Q3443" i="11" s="1"/>
  <c r="O3427" i="11"/>
  <c r="Q3427" i="11" s="1"/>
  <c r="O3411" i="11"/>
  <c r="Q3411" i="11" s="1"/>
  <c r="O3395" i="11"/>
  <c r="Q3395" i="11" s="1"/>
  <c r="O3379" i="11"/>
  <c r="Q3379" i="11" s="1"/>
  <c r="O824" i="11"/>
  <c r="Q824" i="11" s="1"/>
  <c r="O3359" i="11"/>
  <c r="Q3359" i="11" s="1"/>
  <c r="O3349" i="11"/>
  <c r="Q3349" i="11" s="1"/>
  <c r="O3338" i="11"/>
  <c r="Q3338" i="11" s="1"/>
  <c r="O3327" i="11"/>
  <c r="Q3327" i="11" s="1"/>
  <c r="O3317" i="11"/>
  <c r="Q3317" i="11" s="1"/>
  <c r="O3306" i="11"/>
  <c r="Q3306" i="11" s="1"/>
  <c r="O3295" i="11"/>
  <c r="Q3295" i="11" s="1"/>
  <c r="O3285" i="11"/>
  <c r="Q3285" i="11" s="1"/>
  <c r="O3274" i="11"/>
  <c r="Q3274" i="11" s="1"/>
  <c r="O3263" i="11"/>
  <c r="Q3263" i="11" s="1"/>
  <c r="O3253" i="11"/>
  <c r="Q3253" i="11" s="1"/>
  <c r="O3242" i="11"/>
  <c r="Q3242" i="11" s="1"/>
  <c r="O3231" i="11"/>
  <c r="Q3231" i="11" s="1"/>
  <c r="O3221" i="11"/>
  <c r="Q3221" i="11" s="1"/>
  <c r="O3210" i="11"/>
  <c r="Q3210" i="11" s="1"/>
  <c r="O3198" i="11"/>
  <c r="Q3198" i="11" s="1"/>
  <c r="O3182" i="11"/>
  <c r="Q3182" i="11" s="1"/>
  <c r="O3166" i="11"/>
  <c r="Q3166" i="11" s="1"/>
  <c r="O3150" i="11"/>
  <c r="Q3150" i="11" s="1"/>
  <c r="O3134" i="11"/>
  <c r="Q3134" i="11" s="1"/>
  <c r="O3118" i="11"/>
  <c r="Q3118" i="11" s="1"/>
  <c r="O3102" i="11"/>
  <c r="Q3102" i="11" s="1"/>
  <c r="O3086" i="11"/>
  <c r="Q3086" i="11" s="1"/>
  <c r="O3070" i="11"/>
  <c r="Q3070" i="11" s="1"/>
  <c r="O3054" i="11"/>
  <c r="Q3054" i="11" s="1"/>
  <c r="O3038" i="11"/>
  <c r="Q3038" i="11" s="1"/>
  <c r="O3022" i="11"/>
  <c r="Q3022" i="11" s="1"/>
  <c r="O3006" i="11"/>
  <c r="Q3006" i="11" s="1"/>
  <c r="O2990" i="11"/>
  <c r="Q2990" i="11" s="1"/>
  <c r="O2974" i="11"/>
  <c r="Q2974" i="11" s="1"/>
  <c r="O2958" i="11"/>
  <c r="Q2958" i="11" s="1"/>
  <c r="O2942" i="11"/>
  <c r="Q2942" i="11" s="1"/>
  <c r="O2926" i="11"/>
  <c r="Q2926" i="11" s="1"/>
  <c r="O2910" i="11"/>
  <c r="Q2910" i="11" s="1"/>
  <c r="O2894" i="11"/>
  <c r="Q2894" i="11" s="1"/>
  <c r="O2878" i="11"/>
  <c r="Q2878" i="11" s="1"/>
  <c r="O2862" i="11"/>
  <c r="Q2862" i="11" s="1"/>
  <c r="O2846" i="11"/>
  <c r="Q2846" i="11" s="1"/>
  <c r="O2830" i="11"/>
  <c r="Q2830" i="11" s="1"/>
  <c r="O2814" i="11"/>
  <c r="Q2814" i="11" s="1"/>
  <c r="O2798" i="11"/>
  <c r="Q2798" i="11" s="1"/>
  <c r="O2782" i="11"/>
  <c r="Q2782" i="11" s="1"/>
  <c r="O2766" i="11"/>
  <c r="Q2766" i="11" s="1"/>
  <c r="O2750" i="11"/>
  <c r="Q2750" i="11" s="1"/>
  <c r="O2734" i="11"/>
  <c r="Q2734" i="11" s="1"/>
  <c r="O2718" i="11"/>
  <c r="Q2718" i="11" s="1"/>
  <c r="O2702" i="11"/>
  <c r="Q2702" i="11" s="1"/>
  <c r="O2686" i="11"/>
  <c r="Q2686" i="11" s="1"/>
  <c r="O2670" i="11"/>
  <c r="Q2670" i="11" s="1"/>
  <c r="O2654" i="11"/>
  <c r="Q2654" i="11" s="1"/>
  <c r="O2638" i="11"/>
  <c r="Q2638" i="11" s="1"/>
  <c r="O2622" i="11"/>
  <c r="Q2622" i="11" s="1"/>
  <c r="O2606" i="11"/>
  <c r="Q2606" i="11" s="1"/>
  <c r="O2590" i="11"/>
  <c r="Q2590" i="11" s="1"/>
  <c r="O2574" i="11"/>
  <c r="Q2574" i="11" s="1"/>
  <c r="O2558" i="11"/>
  <c r="Q2558" i="11" s="1"/>
  <c r="O2538" i="11"/>
  <c r="Q2538" i="11" s="1"/>
  <c r="O2506" i="11"/>
  <c r="Q2506" i="11" s="1"/>
  <c r="O2474" i="11"/>
  <c r="Q2474" i="11" s="1"/>
  <c r="O2442" i="11"/>
  <c r="Q2442" i="11" s="1"/>
  <c r="O2410" i="11"/>
  <c r="Q2410" i="11" s="1"/>
  <c r="O2378" i="11"/>
  <c r="Q2378" i="11" s="1"/>
  <c r="O2346" i="11"/>
  <c r="Q2346" i="11" s="1"/>
  <c r="O2314" i="11"/>
  <c r="Q2314" i="11" s="1"/>
  <c r="O2282" i="11"/>
  <c r="Q2282" i="11" s="1"/>
  <c r="O2250" i="11"/>
  <c r="Q2250" i="11" s="1"/>
  <c r="O2218" i="11"/>
  <c r="Q2218" i="11" s="1"/>
  <c r="O2186" i="11"/>
  <c r="Q2186" i="11" s="1"/>
  <c r="O2154" i="11"/>
  <c r="Q2154" i="11" s="1"/>
  <c r="O2122" i="11"/>
  <c r="Q2122" i="11" s="1"/>
  <c r="O2090" i="11"/>
  <c r="Q2090" i="11" s="1"/>
  <c r="O2058" i="11"/>
  <c r="Q2058" i="11" s="1"/>
  <c r="O2026" i="11"/>
  <c r="Q2026" i="11" s="1"/>
  <c r="O1994" i="11"/>
  <c r="Q1994" i="11" s="1"/>
  <c r="O1962" i="11"/>
  <c r="Q1962" i="11" s="1"/>
  <c r="O1935" i="11"/>
  <c r="Q1935" i="11" s="1"/>
  <c r="O1871" i="11"/>
  <c r="Q1871" i="11" s="1"/>
  <c r="O1807" i="11"/>
  <c r="Q1807" i="11" s="1"/>
  <c r="O1743" i="11"/>
  <c r="Q1743" i="11" s="1"/>
  <c r="O1679" i="11"/>
  <c r="Q1679" i="11" s="1"/>
  <c r="O1615" i="11"/>
  <c r="Q1615" i="11" s="1"/>
  <c r="O1502" i="11"/>
  <c r="Q1502" i="11" s="1"/>
  <c r="O1374" i="11"/>
  <c r="Q1374" i="11" s="1"/>
  <c r="O1217" i="11"/>
  <c r="Q1217" i="11" s="1"/>
  <c r="O977" i="11"/>
  <c r="Q977" i="11" s="1"/>
  <c r="O3529" i="11"/>
  <c r="Q3529" i="11" s="1"/>
  <c r="O3513" i="11"/>
  <c r="Q3513" i="11" s="1"/>
  <c r="O3497" i="11"/>
  <c r="Q3497" i="11" s="1"/>
  <c r="O3481" i="11"/>
  <c r="Q3481" i="11" s="1"/>
  <c r="O3465" i="11"/>
  <c r="Q3465" i="11" s="1"/>
  <c r="O3449" i="11"/>
  <c r="Q3449" i="11" s="1"/>
  <c r="O3433" i="11"/>
  <c r="Q3433" i="11" s="1"/>
  <c r="O3417" i="11"/>
  <c r="Q3417" i="11" s="1"/>
  <c r="O3401" i="11"/>
  <c r="Q3401" i="11" s="1"/>
  <c r="O3385" i="11"/>
  <c r="Q3385" i="11" s="1"/>
  <c r="O3369" i="11"/>
  <c r="Q3369" i="11" s="1"/>
  <c r="O3355" i="11"/>
  <c r="Q3355" i="11" s="1"/>
  <c r="O3345" i="11"/>
  <c r="Q3345" i="11" s="1"/>
  <c r="O3334" i="11"/>
  <c r="Q3334" i="11" s="1"/>
  <c r="O3323" i="11"/>
  <c r="Q3323" i="11" s="1"/>
  <c r="O3313" i="11"/>
  <c r="Q3313" i="11" s="1"/>
  <c r="O3302" i="11"/>
  <c r="Q3302" i="11" s="1"/>
  <c r="O3291" i="11"/>
  <c r="Q3291" i="11" s="1"/>
  <c r="O3281" i="11"/>
  <c r="Q3281" i="11" s="1"/>
  <c r="O3270" i="11"/>
  <c r="Q3270" i="11" s="1"/>
  <c r="O3259" i="11"/>
  <c r="Q3259" i="11" s="1"/>
  <c r="O3249" i="11"/>
  <c r="Q3249" i="11" s="1"/>
  <c r="O3238" i="11"/>
  <c r="Q3238" i="11" s="1"/>
  <c r="O3227" i="11"/>
  <c r="Q3227" i="11" s="1"/>
  <c r="O3217" i="11"/>
  <c r="Q3217" i="11" s="1"/>
  <c r="O3206" i="11"/>
  <c r="Q3206" i="11" s="1"/>
  <c r="O2534" i="11"/>
  <c r="Q2534" i="11" s="1"/>
  <c r="O2502" i="11"/>
  <c r="Q2502" i="11" s="1"/>
  <c r="O2470" i="11"/>
  <c r="Q2470" i="11" s="1"/>
  <c r="O2438" i="11"/>
  <c r="Q2438" i="11" s="1"/>
  <c r="O2406" i="11"/>
  <c r="Q2406" i="11" s="1"/>
  <c r="O2374" i="11"/>
  <c r="Q2374" i="11" s="1"/>
  <c r="O2342" i="11"/>
  <c r="Q2342" i="11" s="1"/>
  <c r="O2310" i="11"/>
  <c r="Q2310" i="11" s="1"/>
  <c r="O2278" i="11"/>
  <c r="Q2278" i="11" s="1"/>
  <c r="O2246" i="11"/>
  <c r="Q2246" i="11" s="1"/>
  <c r="O2214" i="11"/>
  <c r="Q2214" i="11" s="1"/>
  <c r="O2182" i="11"/>
  <c r="Q2182" i="11" s="1"/>
  <c r="O2150" i="11"/>
  <c r="Q2150" i="11" s="1"/>
  <c r="O2118" i="11"/>
  <c r="Q2118" i="11" s="1"/>
  <c r="O2086" i="11"/>
  <c r="Q2086" i="11" s="1"/>
  <c r="O2054" i="11"/>
  <c r="Q2054" i="11" s="1"/>
  <c r="O2022" i="11"/>
  <c r="Q2022" i="11" s="1"/>
  <c r="O1990" i="11"/>
  <c r="Q1990" i="11" s="1"/>
  <c r="O1958" i="11"/>
  <c r="Q1958" i="11" s="1"/>
  <c r="O1911" i="11"/>
  <c r="Q1911" i="11" s="1"/>
  <c r="O1847" i="11"/>
  <c r="Q1847" i="11" s="1"/>
  <c r="O1783" i="11"/>
  <c r="Q1783" i="11" s="1"/>
  <c r="O1719" i="11"/>
  <c r="Q1719" i="11" s="1"/>
  <c r="O1655" i="11"/>
  <c r="Q1655" i="11" s="1"/>
  <c r="O1591" i="11"/>
  <c r="Q1591" i="11" s="1"/>
  <c r="O1527" i="11"/>
  <c r="Q1527" i="11" s="1"/>
  <c r="O1463" i="11"/>
  <c r="Q1463" i="11" s="1"/>
  <c r="O1399" i="11"/>
  <c r="Q1399" i="11" s="1"/>
  <c r="O1276" i="11"/>
  <c r="Q1276" i="11" s="1"/>
  <c r="O1004" i="11"/>
  <c r="Q1004" i="11" s="1"/>
  <c r="O76" i="11"/>
  <c r="Q76" i="11" s="1"/>
  <c r="O3662" i="11"/>
  <c r="Q3662" i="11" s="1"/>
  <c r="O3646" i="11"/>
  <c r="Q3646" i="11" s="1"/>
  <c r="O3630" i="11"/>
  <c r="Q3630" i="11" s="1"/>
  <c r="O3614" i="11"/>
  <c r="Q3614" i="11" s="1"/>
  <c r="O3598" i="11"/>
  <c r="Q3598" i="11" s="1"/>
  <c r="O3582" i="11"/>
  <c r="Q3582" i="11" s="1"/>
  <c r="O3566" i="11"/>
  <c r="Q3566" i="11" s="1"/>
  <c r="O3550" i="11"/>
  <c r="Q3550" i="11" s="1"/>
  <c r="O3534" i="11"/>
  <c r="Q3534" i="11" s="1"/>
  <c r="O3518" i="11"/>
  <c r="Q3518" i="11" s="1"/>
  <c r="O3502" i="11"/>
  <c r="Q3502" i="11" s="1"/>
  <c r="O3486" i="11"/>
  <c r="Q3486" i="11" s="1"/>
  <c r="O3470" i="11"/>
  <c r="Q3470" i="11" s="1"/>
  <c r="O3454" i="11"/>
  <c r="Q3454" i="11" s="1"/>
  <c r="O3438" i="11"/>
  <c r="Q3438" i="11" s="1"/>
  <c r="O3422" i="11"/>
  <c r="Q3422" i="11" s="1"/>
  <c r="O3406" i="11"/>
  <c r="Q3406" i="11" s="1"/>
  <c r="O3390" i="11"/>
  <c r="Q3390" i="11" s="1"/>
  <c r="O3374" i="11"/>
  <c r="Q3374" i="11" s="1"/>
  <c r="O3199" i="11"/>
  <c r="Q3199" i="11" s="1"/>
  <c r="O3183" i="11"/>
  <c r="Q3183" i="11" s="1"/>
  <c r="O3167" i="11"/>
  <c r="Q3167" i="11" s="1"/>
  <c r="O3151" i="11"/>
  <c r="Q3151" i="11" s="1"/>
  <c r="O3135" i="11"/>
  <c r="Q3135" i="11" s="1"/>
  <c r="O3119" i="11"/>
  <c r="Q3119" i="11" s="1"/>
  <c r="O3103" i="11"/>
  <c r="Q3103" i="11" s="1"/>
  <c r="O3087" i="11"/>
  <c r="Q3087" i="11" s="1"/>
  <c r="O3071" i="11"/>
  <c r="Q3071" i="11" s="1"/>
  <c r="O3055" i="11"/>
  <c r="Q3055" i="11" s="1"/>
  <c r="O3039" i="11"/>
  <c r="Q3039" i="11" s="1"/>
  <c r="O3023" i="11"/>
  <c r="Q3023" i="11" s="1"/>
  <c r="O3007" i="11"/>
  <c r="Q3007" i="11" s="1"/>
  <c r="O2991" i="11"/>
  <c r="Q2991" i="11" s="1"/>
  <c r="O2975" i="11"/>
  <c r="Q2975" i="11" s="1"/>
  <c r="O2959" i="11"/>
  <c r="Q2959" i="11" s="1"/>
  <c r="O2943" i="11"/>
  <c r="Q2943" i="11" s="1"/>
  <c r="O2927" i="11"/>
  <c r="Q2927" i="11" s="1"/>
  <c r="O2911" i="11"/>
  <c r="Q2911" i="11" s="1"/>
  <c r="O2895" i="11"/>
  <c r="Q2895" i="11" s="1"/>
  <c r="O2879" i="11"/>
  <c r="Q2879" i="11" s="1"/>
  <c r="O2863" i="11"/>
  <c r="Q2863" i="11" s="1"/>
  <c r="O2847" i="11"/>
  <c r="Q2847" i="11" s="1"/>
  <c r="O2831" i="11"/>
  <c r="Q2831" i="11" s="1"/>
  <c r="O2815" i="11"/>
  <c r="Q2815" i="11" s="1"/>
  <c r="O2799" i="11"/>
  <c r="Q2799" i="11" s="1"/>
  <c r="O2783" i="11"/>
  <c r="Q2783" i="11" s="1"/>
  <c r="O2767" i="11"/>
  <c r="Q2767" i="11" s="1"/>
  <c r="O2751" i="11"/>
  <c r="Q2751" i="11" s="1"/>
  <c r="O2735" i="11"/>
  <c r="Q2735" i="11" s="1"/>
  <c r="O2719" i="11"/>
  <c r="Q2719" i="11" s="1"/>
  <c r="O2703" i="11"/>
  <c r="Q2703" i="11" s="1"/>
  <c r="O2687" i="11"/>
  <c r="Q2687" i="11" s="1"/>
  <c r="O2671" i="11"/>
  <c r="Q2671" i="11" s="1"/>
  <c r="O2655" i="11"/>
  <c r="Q2655" i="11" s="1"/>
  <c r="O2639" i="11"/>
  <c r="Q2639" i="11" s="1"/>
  <c r="O2623" i="11"/>
  <c r="Q2623" i="11" s="1"/>
  <c r="O2607" i="11"/>
  <c r="Q2607" i="11" s="1"/>
  <c r="O2591" i="11"/>
  <c r="Q2591" i="11" s="1"/>
  <c r="O2575" i="11"/>
  <c r="Q2575" i="11" s="1"/>
  <c r="O2559" i="11"/>
  <c r="Q2559" i="11" s="1"/>
  <c r="O1923" i="11"/>
  <c r="Q1923" i="11" s="1"/>
  <c r="O1189" i="11"/>
  <c r="Q1189" i="11" s="1"/>
  <c r="O769" i="11"/>
  <c r="Q769" i="11" s="1"/>
  <c r="O3193" i="11"/>
  <c r="Q3193" i="11" s="1"/>
  <c r="O3177" i="11"/>
  <c r="Q3177" i="11" s="1"/>
  <c r="O3161" i="11"/>
  <c r="Q3161" i="11" s="1"/>
  <c r="O3145" i="11"/>
  <c r="Q3145" i="11" s="1"/>
  <c r="O3129" i="11"/>
  <c r="Q3129" i="11" s="1"/>
  <c r="O3113" i="11"/>
  <c r="Q3113" i="11" s="1"/>
  <c r="O3097" i="11"/>
  <c r="Q3097" i="11" s="1"/>
  <c r="O3081" i="11"/>
  <c r="Q3081" i="11" s="1"/>
  <c r="O3065" i="11"/>
  <c r="Q3065" i="11" s="1"/>
  <c r="O3049" i="11"/>
  <c r="Q3049" i="11" s="1"/>
  <c r="O3033" i="11"/>
  <c r="Q3033" i="11" s="1"/>
  <c r="O3017" i="11"/>
  <c r="Q3017" i="11" s="1"/>
  <c r="O3001" i="11"/>
  <c r="Q3001" i="11" s="1"/>
  <c r="O2985" i="11"/>
  <c r="Q2985" i="11" s="1"/>
  <c r="O2969" i="11"/>
  <c r="Q2969" i="11" s="1"/>
  <c r="O2953" i="11"/>
  <c r="Q2953" i="11" s="1"/>
  <c r="O2937" i="11"/>
  <c r="Q2937" i="11" s="1"/>
  <c r="O2921" i="11"/>
  <c r="Q2921" i="11" s="1"/>
  <c r="O2905" i="11"/>
  <c r="Q2905" i="11" s="1"/>
  <c r="O2889" i="11"/>
  <c r="Q2889" i="11" s="1"/>
  <c r="O2873" i="11"/>
  <c r="Q2873" i="11" s="1"/>
  <c r="O2857" i="11"/>
  <c r="Q2857" i="11" s="1"/>
  <c r="O2841" i="11"/>
  <c r="Q2841" i="11" s="1"/>
  <c r="O2825" i="11"/>
  <c r="Q2825" i="11" s="1"/>
  <c r="O2809" i="11"/>
  <c r="Q2809" i="11" s="1"/>
  <c r="O2793" i="11"/>
  <c r="Q2793" i="11" s="1"/>
  <c r="O2777" i="11"/>
  <c r="Q2777" i="11" s="1"/>
  <c r="O2761" i="11"/>
  <c r="Q2761" i="11" s="1"/>
  <c r="O2745" i="11"/>
  <c r="Q2745" i="11" s="1"/>
  <c r="O2729" i="11"/>
  <c r="Q2729" i="11" s="1"/>
  <c r="O2713" i="11"/>
  <c r="Q2713" i="11" s="1"/>
  <c r="O2697" i="11"/>
  <c r="Q2697" i="11" s="1"/>
  <c r="O2681" i="11"/>
  <c r="Q2681" i="11" s="1"/>
  <c r="O2665" i="11"/>
  <c r="Q2665" i="11" s="1"/>
  <c r="O2649" i="11"/>
  <c r="Q2649" i="11" s="1"/>
  <c r="O2633" i="11"/>
  <c r="Q2633" i="11" s="1"/>
  <c r="O2617" i="11"/>
  <c r="Q2617" i="11" s="1"/>
  <c r="O2601" i="11"/>
  <c r="Q2601" i="11" s="1"/>
  <c r="O2585" i="11"/>
  <c r="Q2585" i="11" s="1"/>
  <c r="O2569" i="11"/>
  <c r="Q2569" i="11" s="1"/>
  <c r="O2553" i="11"/>
  <c r="Q2553" i="11" s="1"/>
  <c r="O2537" i="11"/>
  <c r="Q2537" i="11" s="1"/>
  <c r="O2521" i="11"/>
  <c r="Q2521" i="11" s="1"/>
  <c r="O2505" i="11"/>
  <c r="Q2505" i="11" s="1"/>
  <c r="O2489" i="11"/>
  <c r="Q2489" i="11" s="1"/>
  <c r="O2473" i="11"/>
  <c r="Q2473" i="11" s="1"/>
  <c r="O2457" i="11"/>
  <c r="Q2457" i="11" s="1"/>
  <c r="O2441" i="11"/>
  <c r="Q2441" i="11" s="1"/>
  <c r="O2425" i="11"/>
  <c r="Q2425" i="11" s="1"/>
  <c r="O2409" i="11"/>
  <c r="Q2409" i="11" s="1"/>
  <c r="O2393" i="11"/>
  <c r="Q2393" i="11" s="1"/>
  <c r="O2377" i="11"/>
  <c r="Q2377" i="11" s="1"/>
  <c r="O2361" i="11"/>
  <c r="Q2361" i="11" s="1"/>
  <c r="O2345" i="11"/>
  <c r="Q2345" i="11" s="1"/>
  <c r="O2329" i="11"/>
  <c r="Q2329" i="11" s="1"/>
  <c r="O2313" i="11"/>
  <c r="Q2313" i="11" s="1"/>
  <c r="O2297" i="11"/>
  <c r="Q2297" i="11" s="1"/>
  <c r="O2281" i="11"/>
  <c r="Q2281" i="11" s="1"/>
  <c r="O2265" i="11"/>
  <c r="Q2265" i="11" s="1"/>
  <c r="O2249" i="11"/>
  <c r="Q2249" i="11" s="1"/>
  <c r="O2233" i="11"/>
  <c r="Q2233" i="11" s="1"/>
  <c r="O2217" i="11"/>
  <c r="Q2217" i="11" s="1"/>
  <c r="O2201" i="11"/>
  <c r="Q2201" i="11" s="1"/>
  <c r="O2185" i="11"/>
  <c r="Q2185" i="11" s="1"/>
  <c r="O2169" i="11"/>
  <c r="Q2169" i="11" s="1"/>
  <c r="O2153" i="11"/>
  <c r="Q2153" i="11" s="1"/>
  <c r="O2137" i="11"/>
  <c r="Q2137" i="11" s="1"/>
  <c r="O2121" i="11"/>
  <c r="Q2121" i="11" s="1"/>
  <c r="O2105" i="11"/>
  <c r="Q2105" i="11" s="1"/>
  <c r="O2089" i="11"/>
  <c r="Q2089" i="11" s="1"/>
  <c r="O2073" i="11"/>
  <c r="Q2073" i="11" s="1"/>
  <c r="O2057" i="11"/>
  <c r="Q2057" i="11" s="1"/>
  <c r="O2041" i="11"/>
  <c r="Q2041" i="11" s="1"/>
  <c r="O2025" i="11"/>
  <c r="Q2025" i="11" s="1"/>
  <c r="O2009" i="11"/>
  <c r="Q2009" i="11" s="1"/>
  <c r="O1993" i="11"/>
  <c r="Q1993" i="11" s="1"/>
  <c r="O1977" i="11"/>
  <c r="Q1977" i="11" s="1"/>
  <c r="O1961" i="11"/>
  <c r="Q1961" i="11" s="1"/>
  <c r="O1945" i="11"/>
  <c r="Q1945" i="11" s="1"/>
  <c r="O1924" i="11"/>
  <c r="Q1924" i="11" s="1"/>
  <c r="O1908" i="11"/>
  <c r="Q1908" i="11" s="1"/>
  <c r="O1262" i="11"/>
  <c r="Q1262" i="11" s="1"/>
  <c r="O1058" i="11"/>
  <c r="Q1058" i="11" s="1"/>
  <c r="O961" i="11"/>
  <c r="Q961" i="11" s="1"/>
  <c r="O878" i="11"/>
  <c r="Q878" i="11" s="1"/>
  <c r="O688" i="11"/>
  <c r="Q688" i="11" s="1"/>
  <c r="O414" i="11"/>
  <c r="Q414" i="11" s="1"/>
  <c r="O2543" i="11"/>
  <c r="Q2543" i="11" s="1"/>
  <c r="O2527" i="11"/>
  <c r="Q2527" i="11" s="1"/>
  <c r="O2511" i="11"/>
  <c r="Q2511" i="11" s="1"/>
  <c r="O2495" i="11"/>
  <c r="Q2495" i="11" s="1"/>
  <c r="O2479" i="11"/>
  <c r="Q2479" i="11" s="1"/>
  <c r="O2463" i="11"/>
  <c r="Q2463" i="11" s="1"/>
  <c r="O2447" i="11"/>
  <c r="Q2447" i="11" s="1"/>
  <c r="O2431" i="11"/>
  <c r="Q2431" i="11" s="1"/>
  <c r="O2415" i="11"/>
  <c r="Q2415" i="11" s="1"/>
  <c r="O2399" i="11"/>
  <c r="Q2399" i="11" s="1"/>
  <c r="O2383" i="11"/>
  <c r="Q2383" i="11" s="1"/>
  <c r="O2367" i="11"/>
  <c r="Q2367" i="11" s="1"/>
  <c r="O2351" i="11"/>
  <c r="Q2351" i="11" s="1"/>
  <c r="O2335" i="11"/>
  <c r="Q2335" i="11" s="1"/>
  <c r="O2319" i="11"/>
  <c r="Q2319" i="11" s="1"/>
  <c r="O2303" i="11"/>
  <c r="Q2303" i="11" s="1"/>
  <c r="O2287" i="11"/>
  <c r="Q2287" i="11" s="1"/>
  <c r="O2271" i="11"/>
  <c r="Q2271" i="11" s="1"/>
  <c r="O2255" i="11"/>
  <c r="Q2255" i="11" s="1"/>
  <c r="O2239" i="11"/>
  <c r="Q2239" i="11" s="1"/>
  <c r="O2223" i="11"/>
  <c r="Q2223" i="11" s="1"/>
  <c r="O2207" i="11"/>
  <c r="Q2207" i="11" s="1"/>
  <c r="O2191" i="11"/>
  <c r="Q2191" i="11" s="1"/>
  <c r="O2175" i="11"/>
  <c r="Q2175" i="11" s="1"/>
  <c r="O2159" i="11"/>
  <c r="Q2159" i="11" s="1"/>
  <c r="O2143" i="11"/>
  <c r="Q2143" i="11" s="1"/>
  <c r="O2127" i="11"/>
  <c r="Q2127" i="11" s="1"/>
  <c r="O2111" i="11"/>
  <c r="Q2111" i="11" s="1"/>
  <c r="O2095" i="11"/>
  <c r="Q2095" i="11" s="1"/>
  <c r="O2079" i="11"/>
  <c r="Q2079" i="11" s="1"/>
  <c r="O2063" i="11"/>
  <c r="Q2063" i="11" s="1"/>
  <c r="O2047" i="11"/>
  <c r="Q2047" i="11" s="1"/>
  <c r="O2031" i="11"/>
  <c r="Q2031" i="11" s="1"/>
  <c r="O2015" i="11"/>
  <c r="Q2015" i="11" s="1"/>
  <c r="O1999" i="11"/>
  <c r="Q1999" i="11" s="1"/>
  <c r="O1983" i="11"/>
  <c r="Q1983" i="11" s="1"/>
  <c r="O1967" i="11"/>
  <c r="Q1967" i="11" s="1"/>
  <c r="O1951" i="11"/>
  <c r="Q1951" i="11" s="1"/>
  <c r="O1288" i="11"/>
  <c r="Q1288" i="11" s="1"/>
  <c r="O1150" i="11"/>
  <c r="Q1150" i="11" s="1"/>
  <c r="O888" i="11"/>
  <c r="Q888" i="11" s="1"/>
  <c r="O762" i="11"/>
  <c r="Q762" i="11" s="1"/>
  <c r="O572" i="11"/>
  <c r="Q572" i="11" s="1"/>
  <c r="O213" i="11"/>
  <c r="Q213" i="11" s="1"/>
  <c r="O3348" i="11"/>
  <c r="Q3348" i="11" s="1"/>
  <c r="O3332" i="11"/>
  <c r="Q3332" i="11" s="1"/>
  <c r="O3316" i="11"/>
  <c r="Q3316" i="11" s="1"/>
  <c r="O3300" i="11"/>
  <c r="Q3300" i="11" s="1"/>
  <c r="O3284" i="11"/>
  <c r="Q3284" i="11" s="1"/>
  <c r="O3268" i="11"/>
  <c r="Q3268" i="11" s="1"/>
  <c r="O3252" i="11"/>
  <c r="Q3252" i="11" s="1"/>
  <c r="O3236" i="11"/>
  <c r="Q3236" i="11" s="1"/>
  <c r="O3220" i="11"/>
  <c r="Q3220" i="11" s="1"/>
  <c r="O3204" i="11"/>
  <c r="Q3204" i="11" s="1"/>
  <c r="O3188" i="11"/>
  <c r="Q3188" i="11" s="1"/>
  <c r="O3172" i="11"/>
  <c r="Q3172" i="11" s="1"/>
  <c r="O3156" i="11"/>
  <c r="Q3156" i="11" s="1"/>
  <c r="O3140" i="11"/>
  <c r="Q3140" i="11" s="1"/>
  <c r="O3124" i="11"/>
  <c r="Q3124" i="11" s="1"/>
  <c r="O3108" i="11"/>
  <c r="Q3108" i="11" s="1"/>
  <c r="O3092" i="11"/>
  <c r="Q3092" i="11" s="1"/>
  <c r="O3076" i="11"/>
  <c r="Q3076" i="11" s="1"/>
  <c r="O3060" i="11"/>
  <c r="Q3060" i="11" s="1"/>
  <c r="O3044" i="11"/>
  <c r="Q3044" i="11" s="1"/>
  <c r="O3028" i="11"/>
  <c r="Q3028" i="11" s="1"/>
  <c r="O3012" i="11"/>
  <c r="Q3012" i="11" s="1"/>
  <c r="O2996" i="11"/>
  <c r="Q2996" i="11" s="1"/>
  <c r="O2980" i="11"/>
  <c r="Q2980" i="11" s="1"/>
  <c r="O2964" i="11"/>
  <c r="Q2964" i="11" s="1"/>
  <c r="O2948" i="11"/>
  <c r="Q2948" i="11" s="1"/>
  <c r="O2932" i="11"/>
  <c r="Q2932" i="11" s="1"/>
  <c r="O2916" i="11"/>
  <c r="Q2916" i="11" s="1"/>
  <c r="O2900" i="11"/>
  <c r="Q2900" i="11" s="1"/>
  <c r="O2884" i="11"/>
  <c r="Q2884" i="11" s="1"/>
  <c r="O2868" i="11"/>
  <c r="Q2868" i="11" s="1"/>
  <c r="O2852" i="11"/>
  <c r="Q2852" i="11" s="1"/>
  <c r="O2836" i="11"/>
  <c r="Q2836" i="11" s="1"/>
  <c r="O2820" i="11"/>
  <c r="Q2820" i="11" s="1"/>
  <c r="O2804" i="11"/>
  <c r="Q2804" i="11" s="1"/>
  <c r="O2788" i="11"/>
  <c r="Q2788" i="11" s="1"/>
  <c r="O2772" i="11"/>
  <c r="Q2772" i="11" s="1"/>
  <c r="O2756" i="11"/>
  <c r="Q2756" i="11" s="1"/>
  <c r="O2740" i="11"/>
  <c r="Q2740" i="11" s="1"/>
  <c r="O2724" i="11"/>
  <c r="Q2724" i="11" s="1"/>
  <c r="O2708" i="11"/>
  <c r="Q2708" i="11" s="1"/>
  <c r="O2692" i="11"/>
  <c r="Q2692" i="11" s="1"/>
  <c r="O2676" i="11"/>
  <c r="Q2676" i="11" s="1"/>
  <c r="O2660" i="11"/>
  <c r="Q2660" i="11" s="1"/>
  <c r="O2644" i="11"/>
  <c r="Q2644" i="11" s="1"/>
  <c r="O2628" i="11"/>
  <c r="Q2628" i="11" s="1"/>
  <c r="O2612" i="11"/>
  <c r="Q2612" i="11" s="1"/>
  <c r="O2596" i="11"/>
  <c r="Q2596" i="11" s="1"/>
  <c r="O2580" i="11"/>
  <c r="Q2580" i="11" s="1"/>
  <c r="O2564" i="11"/>
  <c r="Q2564" i="11" s="1"/>
  <c r="O2548" i="11"/>
  <c r="Q2548" i="11" s="1"/>
  <c r="O2532" i="11"/>
  <c r="Q2532" i="11" s="1"/>
  <c r="O2516" i="11"/>
  <c r="Q2516" i="11" s="1"/>
  <c r="O2500" i="11"/>
  <c r="Q2500" i="11" s="1"/>
  <c r="O2484" i="11"/>
  <c r="Q2484" i="11" s="1"/>
  <c r="O2468" i="11"/>
  <c r="Q2468" i="11" s="1"/>
  <c r="O2452" i="11"/>
  <c r="Q2452" i="11" s="1"/>
  <c r="O2436" i="11"/>
  <c r="Q2436" i="11" s="1"/>
  <c r="O2420" i="11"/>
  <c r="Q2420" i="11" s="1"/>
  <c r="O2404" i="11"/>
  <c r="Q2404" i="11" s="1"/>
  <c r="O2388" i="11"/>
  <c r="Q2388" i="11" s="1"/>
  <c r="O2372" i="11"/>
  <c r="Q2372" i="11" s="1"/>
  <c r="O2356" i="11"/>
  <c r="Q2356" i="11" s="1"/>
  <c r="O2340" i="11"/>
  <c r="Q2340" i="11" s="1"/>
  <c r="O2324" i="11"/>
  <c r="Q2324" i="11" s="1"/>
  <c r="O2308" i="11"/>
  <c r="Q2308" i="11" s="1"/>
  <c r="O2292" i="11"/>
  <c r="Q2292" i="11" s="1"/>
  <c r="O2276" i="11"/>
  <c r="Q2276" i="11" s="1"/>
  <c r="O2260" i="11"/>
  <c r="Q2260" i="11" s="1"/>
  <c r="O2244" i="11"/>
  <c r="Q2244" i="11" s="1"/>
  <c r="O2228" i="11"/>
  <c r="Q2228" i="11" s="1"/>
  <c r="O2212" i="11"/>
  <c r="Q2212" i="11" s="1"/>
  <c r="O2196" i="11"/>
  <c r="Q2196" i="11" s="1"/>
  <c r="O2180" i="11"/>
  <c r="Q2180" i="11" s="1"/>
  <c r="O2164" i="11"/>
  <c r="Q2164" i="11" s="1"/>
  <c r="O2148" i="11"/>
  <c r="Q2148" i="11" s="1"/>
  <c r="O2132" i="11"/>
  <c r="Q2132" i="11" s="1"/>
  <c r="O2116" i="11"/>
  <c r="Q2116" i="11" s="1"/>
  <c r="O2100" i="11"/>
  <c r="Q2100" i="11" s="1"/>
  <c r="O2084" i="11"/>
  <c r="Q2084" i="11" s="1"/>
  <c r="O2068" i="11"/>
  <c r="Q2068" i="11" s="1"/>
  <c r="O2052" i="11"/>
  <c r="Q2052" i="11" s="1"/>
  <c r="O2036" i="11"/>
  <c r="Q2036" i="11" s="1"/>
  <c r="O2020" i="11"/>
  <c r="Q2020" i="11" s="1"/>
  <c r="O2004" i="11"/>
  <c r="Q2004" i="11" s="1"/>
  <c r="O1988" i="11"/>
  <c r="Q1988" i="11" s="1"/>
  <c r="O1972" i="11"/>
  <c r="Q1972" i="11" s="1"/>
  <c r="O1956" i="11"/>
  <c r="Q1956" i="11" s="1"/>
  <c r="O1940" i="11"/>
  <c r="Q1940" i="11" s="1"/>
  <c r="O1891" i="11"/>
  <c r="Q1891" i="11" s="1"/>
  <c r="O1859" i="11"/>
  <c r="Q1859" i="11" s="1"/>
  <c r="O1827" i="11"/>
  <c r="Q1827" i="11" s="1"/>
  <c r="O1795" i="11"/>
  <c r="Q1795" i="11" s="1"/>
  <c r="O1763" i="11"/>
  <c r="Q1763" i="11" s="1"/>
  <c r="O1731" i="11"/>
  <c r="Q1731" i="11" s="1"/>
  <c r="O1699" i="11"/>
  <c r="Q1699" i="11" s="1"/>
  <c r="O1667" i="11"/>
  <c r="Q1667" i="11" s="1"/>
  <c r="O1635" i="11"/>
  <c r="Q1635" i="11" s="1"/>
  <c r="O1603" i="11"/>
  <c r="Q1603" i="11" s="1"/>
  <c r="O1575" i="11"/>
  <c r="Q1575" i="11" s="1"/>
  <c r="O1525" i="11"/>
  <c r="Q1525" i="11" s="1"/>
  <c r="O1486" i="11"/>
  <c r="Q1486" i="11" s="1"/>
  <c r="O1447" i="11"/>
  <c r="Q1447" i="11" s="1"/>
  <c r="O1397" i="11"/>
  <c r="Q1397" i="11" s="1"/>
  <c r="O1359" i="11"/>
  <c r="Q1359" i="11" s="1"/>
  <c r="O1285" i="11"/>
  <c r="Q1285" i="11" s="1"/>
  <c r="O1241" i="11"/>
  <c r="Q1241" i="11" s="1"/>
  <c r="O1153" i="11"/>
  <c r="Q1153" i="11" s="1"/>
  <c r="O1100" i="11"/>
  <c r="Q1100" i="11" s="1"/>
  <c r="O1029" i="11"/>
  <c r="Q1029" i="11" s="1"/>
  <c r="O985" i="11"/>
  <c r="Q985" i="11" s="1"/>
  <c r="O880" i="11"/>
  <c r="Q880" i="11" s="1"/>
  <c r="O641" i="11"/>
  <c r="Q641" i="11" s="1"/>
  <c r="O409" i="11"/>
  <c r="Q409" i="11" s="1"/>
  <c r="O169" i="11"/>
  <c r="Q169" i="11" s="1"/>
  <c r="O1926" i="11"/>
  <c r="Q1926" i="11" s="1"/>
  <c r="O1910" i="11"/>
  <c r="Q1910" i="11" s="1"/>
  <c r="O1894" i="11"/>
  <c r="Q1894" i="11" s="1"/>
  <c r="O1878" i="11"/>
  <c r="Q1878" i="11" s="1"/>
  <c r="O1862" i="11"/>
  <c r="Q1862" i="11" s="1"/>
  <c r="O1846" i="11"/>
  <c r="Q1846" i="11" s="1"/>
  <c r="O1830" i="11"/>
  <c r="Q1830" i="11" s="1"/>
  <c r="O1814" i="11"/>
  <c r="Q1814" i="11" s="1"/>
  <c r="O1798" i="11"/>
  <c r="Q1798" i="11" s="1"/>
  <c r="O1782" i="11"/>
  <c r="Q1782" i="11" s="1"/>
  <c r="O1766" i="11"/>
  <c r="Q1766" i="11" s="1"/>
  <c r="O1750" i="11"/>
  <c r="Q1750" i="11" s="1"/>
  <c r="O1734" i="11"/>
  <c r="Q1734" i="11" s="1"/>
  <c r="O1718" i="11"/>
  <c r="Q1718" i="11" s="1"/>
  <c r="O1702" i="11"/>
  <c r="Q1702" i="11" s="1"/>
  <c r="O1686" i="11"/>
  <c r="Q1686" i="11" s="1"/>
  <c r="O1670" i="11"/>
  <c r="Q1670" i="11" s="1"/>
  <c r="O1654" i="11"/>
  <c r="Q1654" i="11" s="1"/>
  <c r="O1638" i="11"/>
  <c r="Q1638" i="11" s="1"/>
  <c r="O1622" i="11"/>
  <c r="Q1622" i="11" s="1"/>
  <c r="O1606" i="11"/>
  <c r="Q1606" i="11" s="1"/>
  <c r="O1586" i="11"/>
  <c r="Q1586" i="11" s="1"/>
  <c r="O1563" i="11"/>
  <c r="Q1563" i="11" s="1"/>
  <c r="O1545" i="11"/>
  <c r="Q1545" i="11" s="1"/>
  <c r="O1522" i="11"/>
  <c r="Q1522" i="11" s="1"/>
  <c r="O1499" i="11"/>
  <c r="Q1499" i="11" s="1"/>
  <c r="O1481" i="11"/>
  <c r="Q1481" i="11" s="1"/>
  <c r="O1458" i="11"/>
  <c r="Q1458" i="11" s="1"/>
  <c r="O1435" i="11"/>
  <c r="Q1435" i="11" s="1"/>
  <c r="O1417" i="11"/>
  <c r="Q1417" i="11" s="1"/>
  <c r="O1394" i="11"/>
  <c r="Q1394" i="11" s="1"/>
  <c r="O1357" i="11"/>
  <c r="Q1357" i="11" s="1"/>
  <c r="O1325" i="11"/>
  <c r="Q1325" i="11" s="1"/>
  <c r="O1280" i="11"/>
  <c r="Q1280" i="11" s="1"/>
  <c r="O1202" i="11"/>
  <c r="Q1202" i="11" s="1"/>
  <c r="O1130" i="11"/>
  <c r="Q1130" i="11" s="1"/>
  <c r="O1024" i="11"/>
  <c r="Q1024" i="11" s="1"/>
  <c r="O940" i="11"/>
  <c r="Q940" i="11" s="1"/>
  <c r="O881" i="11"/>
  <c r="Q881" i="11" s="1"/>
  <c r="O850" i="11"/>
  <c r="Q850" i="11" s="1"/>
  <c r="O793" i="11"/>
  <c r="Q793" i="11" s="1"/>
  <c r="O736" i="11"/>
  <c r="Q736" i="11" s="1"/>
  <c r="O684" i="11"/>
  <c r="Q684" i="11" s="1"/>
  <c r="O625" i="11"/>
  <c r="Q625" i="11" s="1"/>
  <c r="O594" i="11"/>
  <c r="Q594" i="11" s="1"/>
  <c r="O504" i="11"/>
  <c r="Q504" i="11" s="1"/>
  <c r="O416" i="11"/>
  <c r="Q416" i="11" s="1"/>
  <c r="O216" i="11"/>
  <c r="Q216" i="11" s="1"/>
  <c r="O1896" i="11"/>
  <c r="Q1896" i="11" s="1"/>
  <c r="O1880" i="11"/>
  <c r="Q1880" i="11" s="1"/>
  <c r="O1864" i="11"/>
  <c r="Q1864" i="11" s="1"/>
  <c r="O1848" i="11"/>
  <c r="Q1848" i="11" s="1"/>
  <c r="O1832" i="11"/>
  <c r="Q1832" i="11" s="1"/>
  <c r="O1816" i="11"/>
  <c r="Q1816" i="11" s="1"/>
  <c r="O1800" i="11"/>
  <c r="Q1800" i="11" s="1"/>
  <c r="O1784" i="11"/>
  <c r="Q1784" i="11" s="1"/>
  <c r="O1768" i="11"/>
  <c r="Q1768" i="11" s="1"/>
  <c r="O1752" i="11"/>
  <c r="Q1752" i="11" s="1"/>
  <c r="O1736" i="11"/>
  <c r="Q1736" i="11" s="1"/>
  <c r="O1720" i="11"/>
  <c r="Q1720" i="11" s="1"/>
  <c r="O1704" i="11"/>
  <c r="Q1704" i="11" s="1"/>
  <c r="O1688" i="11"/>
  <c r="Q1688" i="11" s="1"/>
  <c r="O1672" i="11"/>
  <c r="Q1672" i="11" s="1"/>
  <c r="O1656" i="11"/>
  <c r="Q1656" i="11" s="1"/>
  <c r="O1640" i="11"/>
  <c r="Q1640" i="11" s="1"/>
  <c r="O1624" i="11"/>
  <c r="Q1624" i="11" s="1"/>
  <c r="O1608" i="11"/>
  <c r="Q1608" i="11" s="1"/>
  <c r="O1592" i="11"/>
  <c r="Q1592" i="11" s="1"/>
  <c r="O1571" i="11"/>
  <c r="Q1571" i="11" s="1"/>
  <c r="O1553" i="11"/>
  <c r="Q1553" i="11" s="1"/>
  <c r="O1530" i="11"/>
  <c r="Q1530" i="11" s="1"/>
  <c r="O1507" i="11"/>
  <c r="Q1507" i="11" s="1"/>
  <c r="O1489" i="11"/>
  <c r="Q1489" i="11" s="1"/>
  <c r="O1466" i="11"/>
  <c r="Q1466" i="11" s="1"/>
  <c r="O1443" i="11"/>
  <c r="Q1443" i="11" s="1"/>
  <c r="O1425" i="11"/>
  <c r="Q1425" i="11" s="1"/>
  <c r="O1402" i="11"/>
  <c r="Q1402" i="11" s="1"/>
  <c r="O1379" i="11"/>
  <c r="Q1379" i="11" s="1"/>
  <c r="O1369" i="11"/>
  <c r="Q1369" i="11" s="1"/>
  <c r="O1337" i="11"/>
  <c r="Q1337" i="11" s="1"/>
  <c r="O1305" i="11"/>
  <c r="Q1305" i="11" s="1"/>
  <c r="O1248" i="11"/>
  <c r="Q1248" i="11" s="1"/>
  <c r="O1144" i="11"/>
  <c r="Q1144" i="11" s="1"/>
  <c r="O1072" i="11"/>
  <c r="Q1072" i="11" s="1"/>
  <c r="O992" i="11"/>
  <c r="Q992" i="11" s="1"/>
  <c r="O874" i="11"/>
  <c r="Q874" i="11" s="1"/>
  <c r="O802" i="11"/>
  <c r="Q802" i="11" s="1"/>
  <c r="O734" i="11"/>
  <c r="Q734" i="11" s="1"/>
  <c r="O618" i="11"/>
  <c r="Q618" i="11" s="1"/>
  <c r="O490" i="11"/>
  <c r="Q490" i="11" s="1"/>
  <c r="O402" i="11"/>
  <c r="Q402" i="11" s="1"/>
  <c r="O242" i="11"/>
  <c r="Q242" i="11" s="1"/>
  <c r="O1937" i="11"/>
  <c r="Q1937" i="11" s="1"/>
  <c r="O1921" i="11"/>
  <c r="Q1921" i="11" s="1"/>
  <c r="O1905" i="11"/>
  <c r="Q1905" i="11" s="1"/>
  <c r="O1889" i="11"/>
  <c r="Q1889" i="11" s="1"/>
  <c r="O1873" i="11"/>
  <c r="Q1873" i="11" s="1"/>
  <c r="O1857" i="11"/>
  <c r="Q1857" i="11" s="1"/>
  <c r="O1841" i="11"/>
  <c r="Q1841" i="11" s="1"/>
  <c r="O1825" i="11"/>
  <c r="Q1825" i="11" s="1"/>
  <c r="O1809" i="11"/>
  <c r="Q1809" i="11" s="1"/>
  <c r="O1793" i="11"/>
  <c r="Q1793" i="11" s="1"/>
  <c r="O1777" i="11"/>
  <c r="Q1777" i="11" s="1"/>
  <c r="O1761" i="11"/>
  <c r="Q1761" i="11" s="1"/>
  <c r="O1745" i="11"/>
  <c r="Q1745" i="11" s="1"/>
  <c r="O1729" i="11"/>
  <c r="Q1729" i="11" s="1"/>
  <c r="O1713" i="11"/>
  <c r="Q1713" i="11" s="1"/>
  <c r="O1697" i="11"/>
  <c r="Q1697" i="11" s="1"/>
  <c r="O1681" i="11"/>
  <c r="Q1681" i="11" s="1"/>
  <c r="O1665" i="11"/>
  <c r="Q1665" i="11" s="1"/>
  <c r="O1649" i="11"/>
  <c r="Q1649" i="11" s="1"/>
  <c r="O1633" i="11"/>
  <c r="Q1633" i="11" s="1"/>
  <c r="O1617" i="11"/>
  <c r="Q1617" i="11" s="1"/>
  <c r="O1601" i="11"/>
  <c r="Q1601" i="11" s="1"/>
  <c r="O1583" i="11"/>
  <c r="Q1583" i="11" s="1"/>
  <c r="O1565" i="11"/>
  <c r="Q1565" i="11" s="1"/>
  <c r="O1542" i="11"/>
  <c r="Q1542" i="11" s="1"/>
  <c r="O1519" i="11"/>
  <c r="Q1519" i="11" s="1"/>
  <c r="O1501" i="11"/>
  <c r="Q1501" i="11" s="1"/>
  <c r="O1478" i="11"/>
  <c r="Q1478" i="11" s="1"/>
  <c r="O1455" i="11"/>
  <c r="Q1455" i="11" s="1"/>
  <c r="O1437" i="11"/>
  <c r="Q1437" i="11" s="1"/>
  <c r="O1414" i="11"/>
  <c r="Q1414" i="11" s="1"/>
  <c r="O1391" i="11"/>
  <c r="Q1391" i="11" s="1"/>
  <c r="O1366" i="11"/>
  <c r="Q1366" i="11" s="1"/>
  <c r="O1343" i="11"/>
  <c r="Q1343" i="11" s="1"/>
  <c r="O1317" i="11"/>
  <c r="Q1317" i="11" s="1"/>
  <c r="O1265" i="11"/>
  <c r="Q1265" i="11" s="1"/>
  <c r="O1234" i="11"/>
  <c r="Q1234" i="11" s="1"/>
  <c r="O1196" i="11"/>
  <c r="Q1196" i="11" s="1"/>
  <c r="O1164" i="11"/>
  <c r="Q1164" i="11" s="1"/>
  <c r="O1112" i="11"/>
  <c r="Q1112" i="11" s="1"/>
  <c r="O1081" i="11"/>
  <c r="Q1081" i="11" s="1"/>
  <c r="O1049" i="11"/>
  <c r="Q1049" i="11" s="1"/>
  <c r="O994" i="11"/>
  <c r="Q994" i="11" s="1"/>
  <c r="O937" i="11"/>
  <c r="Q937" i="11" s="1"/>
  <c r="O869" i="11"/>
  <c r="Q869" i="11" s="1"/>
  <c r="O776" i="11"/>
  <c r="Q776" i="11" s="1"/>
  <c r="O681" i="11"/>
  <c r="Q681" i="11" s="1"/>
  <c r="O613" i="11"/>
  <c r="Q613" i="11" s="1"/>
  <c r="O478" i="11"/>
  <c r="Q478" i="11" s="1"/>
  <c r="O350" i="11"/>
  <c r="Q350" i="11" s="1"/>
  <c r="O302" i="11"/>
  <c r="Q302" i="11" s="1"/>
  <c r="O204" i="11"/>
  <c r="Q204" i="11" s="1"/>
  <c r="O145" i="11"/>
  <c r="Q145" i="11" s="1"/>
  <c r="O73" i="11"/>
  <c r="Q73" i="11" s="1"/>
  <c r="O1363" i="11"/>
  <c r="Q1363" i="11" s="1"/>
  <c r="O1345" i="11"/>
  <c r="Q1345" i="11" s="1"/>
  <c r="O1322" i="11"/>
  <c r="Q1322" i="11" s="1"/>
  <c r="O1296" i="11"/>
  <c r="Q1296" i="11" s="1"/>
  <c r="O1244" i="11"/>
  <c r="Q1244" i="11" s="1"/>
  <c r="O1192" i="11"/>
  <c r="Q1192" i="11" s="1"/>
  <c r="O1154" i="11"/>
  <c r="Q1154" i="11" s="1"/>
  <c r="O1097" i="11"/>
  <c r="Q1097" i="11" s="1"/>
  <c r="O1040" i="11"/>
  <c r="Q1040" i="11" s="1"/>
  <c r="O988" i="11"/>
  <c r="Q988" i="11" s="1"/>
  <c r="O936" i="11"/>
  <c r="Q936" i="11" s="1"/>
  <c r="O898" i="11"/>
  <c r="Q898" i="11" s="1"/>
  <c r="O841" i="11"/>
  <c r="Q841" i="11" s="1"/>
  <c r="O784" i="11"/>
  <c r="Q784" i="11" s="1"/>
  <c r="O732" i="11"/>
  <c r="Q732" i="11" s="1"/>
  <c r="O680" i="11"/>
  <c r="Q680" i="11" s="1"/>
  <c r="O642" i="11"/>
  <c r="Q642" i="11" s="1"/>
  <c r="O585" i="11"/>
  <c r="Q585" i="11" s="1"/>
  <c r="O528" i="11"/>
  <c r="Q528" i="11" s="1"/>
  <c r="O476" i="11"/>
  <c r="Q476" i="11" s="1"/>
  <c r="O424" i="11"/>
  <c r="Q424" i="11" s="1"/>
  <c r="O386" i="11"/>
  <c r="Q386" i="11" s="1"/>
  <c r="O320" i="11"/>
  <c r="Q320" i="11" s="1"/>
  <c r="O240" i="11"/>
  <c r="Q240" i="11" s="1"/>
  <c r="O136" i="11"/>
  <c r="Q136" i="11" s="1"/>
  <c r="O64" i="11"/>
  <c r="Q64" i="11" s="1"/>
  <c r="O546" i="11"/>
  <c r="Q546" i="11" s="1"/>
  <c r="O489" i="11"/>
  <c r="Q489" i="11" s="1"/>
  <c r="O432" i="11"/>
  <c r="Q432" i="11" s="1"/>
  <c r="O380" i="11"/>
  <c r="Q380" i="11" s="1"/>
  <c r="O328" i="11"/>
  <c r="Q328" i="11" s="1"/>
  <c r="O256" i="11"/>
  <c r="Q256" i="11" s="1"/>
  <c r="O176" i="11"/>
  <c r="Q176" i="11" s="1"/>
  <c r="O72" i="11"/>
  <c r="Q72" i="11" s="1"/>
  <c r="O960" i="11"/>
  <c r="Q960" i="11" s="1"/>
  <c r="O908" i="11"/>
  <c r="Q908" i="11" s="1"/>
  <c r="O856" i="11"/>
  <c r="Q856" i="11" s="1"/>
  <c r="O818" i="11"/>
  <c r="Q818" i="11" s="1"/>
  <c r="O761" i="11"/>
  <c r="Q761" i="11" s="1"/>
  <c r="O704" i="11"/>
  <c r="Q704" i="11" s="1"/>
  <c r="O652" i="11"/>
  <c r="Q652" i="11" s="1"/>
  <c r="O600" i="11"/>
  <c r="Q600" i="11" s="1"/>
  <c r="O562" i="11"/>
  <c r="Q562" i="11" s="1"/>
  <c r="O505" i="11"/>
  <c r="Q505" i="11" s="1"/>
  <c r="O448" i="11"/>
  <c r="Q448" i="11" s="1"/>
  <c r="O396" i="11"/>
  <c r="Q396" i="11" s="1"/>
  <c r="O344" i="11"/>
  <c r="Q344" i="11" s="1"/>
  <c r="O296" i="11"/>
  <c r="Q296" i="11" s="1"/>
  <c r="O265" i="11"/>
  <c r="Q265" i="11" s="1"/>
  <c r="O233" i="11"/>
  <c r="Q233" i="11" s="1"/>
  <c r="O178" i="11"/>
  <c r="Q178" i="11" s="1"/>
  <c r="O140" i="11"/>
  <c r="Q140" i="11" s="1"/>
  <c r="O110" i="11"/>
  <c r="Q110" i="11" s="1"/>
  <c r="O53" i="11"/>
  <c r="Q53" i="11" s="1"/>
  <c r="O312" i="11"/>
  <c r="Q312" i="11" s="1"/>
  <c r="O274" i="11"/>
  <c r="Q274" i="11" s="1"/>
  <c r="O217" i="11"/>
  <c r="Q217" i="11" s="1"/>
  <c r="O160" i="11"/>
  <c r="Q160" i="11" s="1"/>
  <c r="O108" i="11"/>
  <c r="Q108" i="11" s="1"/>
  <c r="O56" i="11"/>
  <c r="Q56" i="11" s="1"/>
  <c r="O18" i="11"/>
  <c r="Q18" i="11" s="1"/>
  <c r="O8389" i="11"/>
  <c r="Q8389" i="11" s="1"/>
  <c r="O8321" i="11"/>
  <c r="Q8321" i="11" s="1"/>
  <c r="O8289" i="11"/>
  <c r="Q8289" i="11" s="1"/>
  <c r="O8257" i="11"/>
  <c r="Q8257" i="11" s="1"/>
  <c r="O8225" i="11"/>
  <c r="Q8225" i="11" s="1"/>
  <c r="O8193" i="11"/>
  <c r="Q8193" i="11" s="1"/>
  <c r="O8161" i="11"/>
  <c r="Q8161" i="11" s="1"/>
  <c r="O8129" i="11"/>
  <c r="Q8129" i="11" s="1"/>
  <c r="O8097" i="11"/>
  <c r="Q8097" i="11" s="1"/>
  <c r="O8065" i="11"/>
  <c r="Q8065" i="11" s="1"/>
  <c r="O8033" i="11"/>
  <c r="Q8033" i="11" s="1"/>
  <c r="O8005" i="11"/>
  <c r="Q8005" i="11" s="1"/>
  <c r="O7973" i="11"/>
  <c r="Q7973" i="11" s="1"/>
  <c r="O7937" i="11"/>
  <c r="Q7937" i="11" s="1"/>
  <c r="O7921" i="11"/>
  <c r="Q7921" i="11" s="1"/>
  <c r="O7905" i="11"/>
  <c r="Q7905" i="11" s="1"/>
  <c r="O7889" i="11"/>
  <c r="Q7889" i="11" s="1"/>
  <c r="O7873" i="11"/>
  <c r="Q7873" i="11" s="1"/>
  <c r="O7857" i="11"/>
  <c r="Q7857" i="11" s="1"/>
  <c r="O7841" i="11"/>
  <c r="Q7841" i="11" s="1"/>
  <c r="O8401" i="11"/>
  <c r="Q8401" i="11" s="1"/>
  <c r="O8369" i="11"/>
  <c r="Q8369" i="11" s="1"/>
  <c r="O8341" i="11"/>
  <c r="Q8341" i="11" s="1"/>
  <c r="O8309" i="11"/>
  <c r="Q8309" i="11" s="1"/>
  <c r="O8277" i="11"/>
  <c r="Q8277" i="11" s="1"/>
  <c r="O8245" i="11"/>
  <c r="Q8245" i="11" s="1"/>
  <c r="O8209" i="11"/>
  <c r="Q8209" i="11" s="1"/>
  <c r="O8181" i="11"/>
  <c r="Q8181" i="11" s="1"/>
  <c r="O8145" i="11"/>
  <c r="Q8145" i="11" s="1"/>
  <c r="O8117" i="11"/>
  <c r="Q8117" i="11" s="1"/>
  <c r="O8085" i="11"/>
  <c r="Q8085" i="11" s="1"/>
  <c r="O8049" i="11"/>
  <c r="Q8049" i="11" s="1"/>
  <c r="O8021" i="11"/>
  <c r="Q8021" i="11" s="1"/>
  <c r="O7985" i="11"/>
  <c r="Q7985" i="11" s="1"/>
  <c r="O7957" i="11"/>
  <c r="Q7957" i="11" s="1"/>
  <c r="O7829" i="11"/>
  <c r="Q7829" i="11" s="1"/>
  <c r="O7813" i="11"/>
  <c r="Q7813" i="11" s="1"/>
  <c r="O7797" i="11"/>
  <c r="Q7797" i="11" s="1"/>
  <c r="O7781" i="11"/>
  <c r="Q7781" i="11" s="1"/>
  <c r="O7765" i="11"/>
  <c r="Q7765" i="11" s="1"/>
  <c r="O7749" i="11"/>
  <c r="Q7749" i="11" s="1"/>
  <c r="O7733" i="11"/>
  <c r="Q7733" i="11" s="1"/>
  <c r="O8399" i="11"/>
  <c r="Q8399" i="11" s="1"/>
  <c r="O8383" i="11"/>
  <c r="Q8383" i="11" s="1"/>
  <c r="O8367" i="11"/>
  <c r="Q8367" i="11" s="1"/>
  <c r="O8351" i="11"/>
  <c r="Q8351" i="11" s="1"/>
  <c r="O8335" i="11"/>
  <c r="Q8335" i="11" s="1"/>
  <c r="O8319" i="11"/>
  <c r="Q8319" i="11" s="1"/>
  <c r="O8303" i="11"/>
  <c r="Q8303" i="11" s="1"/>
  <c r="O8287" i="11"/>
  <c r="Q8287" i="11" s="1"/>
  <c r="O8271" i="11"/>
  <c r="Q8271" i="11" s="1"/>
  <c r="O8255" i="11"/>
  <c r="Q8255" i="11" s="1"/>
  <c r="O8239" i="11"/>
  <c r="Q8239" i="11" s="1"/>
  <c r="O8223" i="11"/>
  <c r="Q8223" i="11" s="1"/>
  <c r="O8207" i="11"/>
  <c r="Q8207" i="11" s="1"/>
  <c r="O8191" i="11"/>
  <c r="Q8191" i="11" s="1"/>
  <c r="O8175" i="11"/>
  <c r="Q8175" i="11" s="1"/>
  <c r="O8159" i="11"/>
  <c r="Q8159" i="11" s="1"/>
  <c r="O8143" i="11"/>
  <c r="Q8143" i="11" s="1"/>
  <c r="O8127" i="11"/>
  <c r="Q8127" i="11" s="1"/>
  <c r="O8111" i="11"/>
  <c r="Q8111" i="11" s="1"/>
  <c r="O8095" i="11"/>
  <c r="Q8095" i="11" s="1"/>
  <c r="O8079" i="11"/>
  <c r="Q8079" i="11" s="1"/>
  <c r="O8063" i="11"/>
  <c r="Q8063" i="11" s="1"/>
  <c r="O8047" i="11"/>
  <c r="Q8047" i="11" s="1"/>
  <c r="O8031" i="11"/>
  <c r="Q8031" i="11" s="1"/>
  <c r="O8015" i="11"/>
  <c r="Q8015" i="11" s="1"/>
  <c r="O7999" i="11"/>
  <c r="Q7999" i="11" s="1"/>
  <c r="O7983" i="11"/>
  <c r="Q7983" i="11" s="1"/>
  <c r="O7967" i="11"/>
  <c r="Q7967" i="11" s="1"/>
  <c r="O7951" i="11"/>
  <c r="Q7951" i="11" s="1"/>
  <c r="O7935" i="11"/>
  <c r="Q7935" i="11" s="1"/>
  <c r="O7919" i="11"/>
  <c r="Q7919" i="11" s="1"/>
  <c r="O7903" i="11"/>
  <c r="Q7903" i="11" s="1"/>
  <c r="O7887" i="11"/>
  <c r="Q7887" i="11" s="1"/>
  <c r="O7871" i="11"/>
  <c r="Q7871" i="11" s="1"/>
  <c r="O7855" i="11"/>
  <c r="Q7855" i="11" s="1"/>
  <c r="O7839" i="11"/>
  <c r="Q7839" i="11" s="1"/>
  <c r="O7823" i="11"/>
  <c r="Q7823" i="11" s="1"/>
  <c r="O7807" i="11"/>
  <c r="Q7807" i="11" s="1"/>
  <c r="O7791" i="11"/>
  <c r="Q7791" i="11" s="1"/>
  <c r="O7775" i="11"/>
  <c r="Q7775" i="11" s="1"/>
  <c r="O7759" i="11"/>
  <c r="Q7759" i="11" s="1"/>
  <c r="O7743" i="11"/>
  <c r="Q7743" i="11" s="1"/>
  <c r="O7727" i="11"/>
  <c r="Q7727" i="11" s="1"/>
  <c r="O7555" i="11"/>
  <c r="Q7555" i="11" s="1"/>
  <c r="O7523" i="11"/>
  <c r="Q7523" i="11" s="1"/>
  <c r="O7491" i="11"/>
  <c r="Q7491" i="11" s="1"/>
  <c r="O7459" i="11"/>
  <c r="Q7459" i="11" s="1"/>
  <c r="O7427" i="11"/>
  <c r="Q7427" i="11" s="1"/>
  <c r="O7395" i="11"/>
  <c r="Q7395" i="11" s="1"/>
  <c r="O7363" i="11"/>
  <c r="Q7363" i="11" s="1"/>
  <c r="O7331" i="11"/>
  <c r="Q7331" i="11" s="1"/>
  <c r="O7299" i="11"/>
  <c r="Q7299" i="11" s="1"/>
  <c r="O7267" i="11"/>
  <c r="Q7267" i="11" s="1"/>
  <c r="O7235" i="11"/>
  <c r="Q7235" i="11" s="1"/>
  <c r="O7203" i="11"/>
  <c r="Q7203" i="11" s="1"/>
  <c r="O7171" i="11"/>
  <c r="Q7171" i="11" s="1"/>
  <c r="O7139" i="11"/>
  <c r="Q7139" i="11" s="1"/>
  <c r="O7107" i="11"/>
  <c r="Q7107" i="11" s="1"/>
  <c r="O7075" i="11"/>
  <c r="Q7075" i="11" s="1"/>
  <c r="O7043" i="11"/>
  <c r="Q7043" i="11" s="1"/>
  <c r="O7011" i="11"/>
  <c r="Q7011" i="11" s="1"/>
  <c r="O6979" i="11"/>
  <c r="Q6979" i="11" s="1"/>
  <c r="O6947" i="11"/>
  <c r="Q6947" i="11" s="1"/>
  <c r="O6915" i="11"/>
  <c r="Q6915" i="11" s="1"/>
  <c r="O6883" i="11"/>
  <c r="Q6883" i="11" s="1"/>
  <c r="O6851" i="11"/>
  <c r="Q6851" i="11" s="1"/>
  <c r="O6819" i="11"/>
  <c r="Q6819" i="11" s="1"/>
  <c r="O6787" i="11"/>
  <c r="Q6787" i="11" s="1"/>
  <c r="O6755" i="11"/>
  <c r="Q6755" i="11" s="1"/>
  <c r="O6723" i="11"/>
  <c r="Q6723" i="11" s="1"/>
  <c r="O6691" i="11"/>
  <c r="Q6691" i="11" s="1"/>
  <c r="O6659" i="11"/>
  <c r="Q6659" i="11" s="1"/>
  <c r="O6627" i="11"/>
  <c r="Q6627" i="11" s="1"/>
  <c r="O6595" i="11"/>
  <c r="Q6595" i="11" s="1"/>
  <c r="O6563" i="11"/>
  <c r="Q6563" i="11" s="1"/>
  <c r="O7567" i="11"/>
  <c r="Q7567" i="11" s="1"/>
  <c r="O7535" i="11"/>
  <c r="Q7535" i="11" s="1"/>
  <c r="O7503" i="11"/>
  <c r="Q7503" i="11" s="1"/>
  <c r="O7471" i="11"/>
  <c r="Q7471" i="11" s="1"/>
  <c r="O7439" i="11"/>
  <c r="Q7439" i="11" s="1"/>
  <c r="O7407" i="11"/>
  <c r="Q7407" i="11" s="1"/>
  <c r="O7375" i="11"/>
  <c r="Q7375" i="11" s="1"/>
  <c r="O7343" i="11"/>
  <c r="Q7343" i="11" s="1"/>
  <c r="O7311" i="11"/>
  <c r="Q7311" i="11" s="1"/>
  <c r="O7279" i="11"/>
  <c r="Q7279" i="11" s="1"/>
  <c r="O7247" i="11"/>
  <c r="Q7247" i="11" s="1"/>
  <c r="O7215" i="11"/>
  <c r="Q7215" i="11" s="1"/>
  <c r="O7183" i="11"/>
  <c r="Q7183" i="11" s="1"/>
  <c r="O7151" i="11"/>
  <c r="Q7151" i="11" s="1"/>
  <c r="O7119" i="11"/>
  <c r="Q7119" i="11" s="1"/>
  <c r="O7087" i="11"/>
  <c r="Q7087" i="11" s="1"/>
  <c r="O7055" i="11"/>
  <c r="Q7055" i="11" s="1"/>
  <c r="O7023" i="11"/>
  <c r="Q7023" i="11" s="1"/>
  <c r="O6991" i="11"/>
  <c r="Q6991" i="11" s="1"/>
  <c r="O6959" i="11"/>
  <c r="Q6959" i="11" s="1"/>
  <c r="O6927" i="11"/>
  <c r="Q6927" i="11" s="1"/>
  <c r="O6895" i="11"/>
  <c r="Q6895" i="11" s="1"/>
  <c r="O6863" i="11"/>
  <c r="Q6863" i="11" s="1"/>
  <c r="O6831" i="11"/>
  <c r="Q6831" i="11" s="1"/>
  <c r="O6799" i="11"/>
  <c r="Q6799" i="11" s="1"/>
  <c r="O6767" i="11"/>
  <c r="Q6767" i="11" s="1"/>
  <c r="O6735" i="11"/>
  <c r="Q6735" i="11" s="1"/>
  <c r="O6703" i="11"/>
  <c r="Q6703" i="11" s="1"/>
  <c r="O6671" i="11"/>
  <c r="Q6671" i="11" s="1"/>
  <c r="O6639" i="11"/>
  <c r="Q6639" i="11" s="1"/>
  <c r="O6607" i="11"/>
  <c r="Q6607" i="11" s="1"/>
  <c r="O6575" i="11"/>
  <c r="Q6575" i="11" s="1"/>
  <c r="O6543" i="11"/>
  <c r="Q6543" i="11" s="1"/>
  <c r="O8404" i="11"/>
  <c r="Q8404" i="11" s="1"/>
  <c r="O8396" i="11"/>
  <c r="Q8396" i="11" s="1"/>
  <c r="O8388" i="11"/>
  <c r="Q8388" i="11" s="1"/>
  <c r="O8380" i="11"/>
  <c r="Q8380" i="11" s="1"/>
  <c r="O8372" i="11"/>
  <c r="Q8372" i="11" s="1"/>
  <c r="O8364" i="11"/>
  <c r="Q8364" i="11" s="1"/>
  <c r="O8356" i="11"/>
  <c r="Q8356" i="11" s="1"/>
  <c r="O8348" i="11"/>
  <c r="Q8348" i="11" s="1"/>
  <c r="O8340" i="11"/>
  <c r="Q8340" i="11" s="1"/>
  <c r="O8332" i="11"/>
  <c r="Q8332" i="11" s="1"/>
  <c r="O8324" i="11"/>
  <c r="Q8324" i="11" s="1"/>
  <c r="O8316" i="11"/>
  <c r="Q8316" i="11" s="1"/>
  <c r="O8308" i="11"/>
  <c r="Q8308" i="11" s="1"/>
  <c r="O8300" i="11"/>
  <c r="Q8300" i="11" s="1"/>
  <c r="O8284" i="11"/>
  <c r="Q8284" i="11" s="1"/>
  <c r="O8276" i="11"/>
  <c r="Q8276" i="11" s="1"/>
  <c r="O8268" i="11"/>
  <c r="Q8268" i="11" s="1"/>
  <c r="O8260" i="11"/>
  <c r="Q8260" i="11" s="1"/>
  <c r="O8252" i="11"/>
  <c r="Q8252" i="11" s="1"/>
  <c r="O8244" i="11"/>
  <c r="Q8244" i="11" s="1"/>
  <c r="O8236" i="11"/>
  <c r="Q8236" i="11" s="1"/>
  <c r="O8228" i="11"/>
  <c r="Q8228" i="11" s="1"/>
  <c r="O8220" i="11"/>
  <c r="Q8220" i="11" s="1"/>
  <c r="O8212" i="11"/>
  <c r="Q8212" i="11" s="1"/>
  <c r="O8204" i="11"/>
  <c r="Q8204" i="11" s="1"/>
  <c r="O8196" i="11"/>
  <c r="Q8196" i="11" s="1"/>
  <c r="O8188" i="11"/>
  <c r="Q8188" i="11" s="1"/>
  <c r="O8180" i="11"/>
  <c r="Q8180" i="11" s="1"/>
  <c r="O8172" i="11"/>
  <c r="Q8172" i="11" s="1"/>
  <c r="O8164" i="11"/>
  <c r="Q8164" i="11" s="1"/>
  <c r="O8156" i="11"/>
  <c r="Q8156" i="11" s="1"/>
  <c r="O8148" i="11"/>
  <c r="Q8148" i="11" s="1"/>
  <c r="O8140" i="11"/>
  <c r="Q8140" i="11" s="1"/>
  <c r="O8132" i="11"/>
  <c r="Q8132" i="11" s="1"/>
  <c r="O8124" i="11"/>
  <c r="Q8124" i="11" s="1"/>
  <c r="O8116" i="11"/>
  <c r="Q8116" i="11" s="1"/>
  <c r="O8108" i="11"/>
  <c r="Q8108" i="11" s="1"/>
  <c r="O8100" i="11"/>
  <c r="Q8100" i="11" s="1"/>
  <c r="O8092" i="11"/>
  <c r="Q8092" i="11" s="1"/>
  <c r="O8084" i="11"/>
  <c r="Q8084" i="11" s="1"/>
  <c r="O8076" i="11"/>
  <c r="Q8076" i="11" s="1"/>
  <c r="O8068" i="11"/>
  <c r="Q8068" i="11" s="1"/>
  <c r="O8060" i="11"/>
  <c r="Q8060" i="11" s="1"/>
  <c r="O8044" i="11"/>
  <c r="Q8044" i="11" s="1"/>
  <c r="O8036" i="11"/>
  <c r="Q8036" i="11" s="1"/>
  <c r="O8028" i="11"/>
  <c r="Q8028" i="11" s="1"/>
  <c r="O8020" i="11"/>
  <c r="Q8020" i="11" s="1"/>
  <c r="O8012" i="11"/>
  <c r="Q8012" i="11" s="1"/>
  <c r="O7996" i="11"/>
  <c r="Q7996" i="11" s="1"/>
  <c r="O7980" i="11"/>
  <c r="Q7980" i="11" s="1"/>
  <c r="O7972" i="11"/>
  <c r="Q7972" i="11" s="1"/>
  <c r="O7956" i="11"/>
  <c r="Q7956" i="11" s="1"/>
  <c r="O7948" i="11"/>
  <c r="Q7948" i="11" s="1"/>
  <c r="O7932" i="11"/>
  <c r="Q7932" i="11" s="1"/>
  <c r="O7924" i="11"/>
  <c r="Q7924" i="11" s="1"/>
  <c r="O7916" i="11"/>
  <c r="Q7916" i="11" s="1"/>
  <c r="O7908" i="11"/>
  <c r="Q7908" i="11" s="1"/>
  <c r="O7892" i="11"/>
  <c r="Q7892" i="11" s="1"/>
  <c r="O7876" i="11"/>
  <c r="Q7876" i="11" s="1"/>
  <c r="O7868" i="11"/>
  <c r="Q7868" i="11" s="1"/>
  <c r="O7852" i="11"/>
  <c r="Q7852" i="11" s="1"/>
  <c r="O7844" i="11"/>
  <c r="Q7844" i="11" s="1"/>
  <c r="O7828" i="11"/>
  <c r="Q7828" i="11" s="1"/>
  <c r="O7812" i="11"/>
  <c r="Q7812" i="11" s="1"/>
  <c r="O7804" i="11"/>
  <c r="Q7804" i="11" s="1"/>
  <c r="O7788" i="11"/>
  <c r="Q7788" i="11" s="1"/>
  <c r="O7772" i="11"/>
  <c r="Q7772" i="11" s="1"/>
  <c r="O7764" i="11"/>
  <c r="Q7764" i="11" s="1"/>
  <c r="O7748" i="11"/>
  <c r="Q7748" i="11" s="1"/>
  <c r="O7740" i="11"/>
  <c r="Q7740" i="11" s="1"/>
  <c r="O7732" i="11"/>
  <c r="Q7732" i="11" s="1"/>
  <c r="O7578" i="11"/>
  <c r="Q7578" i="11" s="1"/>
  <c r="O7546" i="11"/>
  <c r="Q7546" i="11" s="1"/>
  <c r="O7530" i="11"/>
  <c r="Q7530" i="11" s="1"/>
  <c r="O7498" i="11"/>
  <c r="Q7498" i="11" s="1"/>
  <c r="O7466" i="11"/>
  <c r="Q7466" i="11" s="1"/>
  <c r="O7450" i="11"/>
  <c r="Q7450" i="11" s="1"/>
  <c r="O7418" i="11"/>
  <c r="Q7418" i="11" s="1"/>
  <c r="O7386" i="11"/>
  <c r="Q7386" i="11" s="1"/>
  <c r="O7370" i="11"/>
  <c r="Q7370" i="11" s="1"/>
  <c r="O7338" i="11"/>
  <c r="Q7338" i="11" s="1"/>
  <c r="O7306" i="11"/>
  <c r="Q7306" i="11" s="1"/>
  <c r="O7274" i="11"/>
  <c r="Q7274" i="11" s="1"/>
  <c r="O7258" i="11"/>
  <c r="Q7258" i="11" s="1"/>
  <c r="O7226" i="11"/>
  <c r="Q7226" i="11" s="1"/>
  <c r="O7210" i="11"/>
  <c r="Q7210" i="11" s="1"/>
  <c r="O7194" i="11"/>
  <c r="Q7194" i="11" s="1"/>
  <c r="O7162" i="11"/>
  <c r="Q7162" i="11" s="1"/>
  <c r="O7146" i="11"/>
  <c r="Q7146" i="11" s="1"/>
  <c r="O7114" i="11"/>
  <c r="Q7114" i="11" s="1"/>
  <c r="O7082" i="11"/>
  <c r="Q7082" i="11" s="1"/>
  <c r="O7050" i="11"/>
  <c r="Q7050" i="11" s="1"/>
  <c r="O7034" i="11"/>
  <c r="Q7034" i="11" s="1"/>
  <c r="O7002" i="11"/>
  <c r="Q7002" i="11" s="1"/>
  <c r="O6970" i="11"/>
  <c r="Q6970" i="11" s="1"/>
  <c r="O6938" i="11"/>
  <c r="Q6938" i="11" s="1"/>
  <c r="O6906" i="11"/>
  <c r="Q6906" i="11" s="1"/>
  <c r="O6890" i="11"/>
  <c r="Q6890" i="11" s="1"/>
  <c r="O6858" i="11"/>
  <c r="Q6858" i="11" s="1"/>
  <c r="O6842" i="11"/>
  <c r="Q6842" i="11" s="1"/>
  <c r="O6826" i="11"/>
  <c r="Q6826" i="11" s="1"/>
  <c r="O6794" i="11"/>
  <c r="Q6794" i="11" s="1"/>
  <c r="O6778" i="11"/>
  <c r="Q6778" i="11" s="1"/>
  <c r="O6746" i="11"/>
  <c r="Q6746" i="11" s="1"/>
  <c r="O6730" i="11"/>
  <c r="Q6730" i="11" s="1"/>
  <c r="O6698" i="11"/>
  <c r="Q6698" i="11" s="1"/>
  <c r="O6666" i="11"/>
  <c r="Q6666" i="11" s="1"/>
  <c r="O6650" i="11"/>
  <c r="Q6650" i="11" s="1"/>
  <c r="O6618" i="11"/>
  <c r="Q6618" i="11" s="1"/>
  <c r="O6586" i="11"/>
  <c r="Q6586" i="11" s="1"/>
  <c r="O6554" i="11"/>
  <c r="Q6554" i="11" s="1"/>
  <c r="O6532" i="11"/>
  <c r="Q6532" i="11" s="1"/>
  <c r="O6524" i="11"/>
  <c r="Q6524" i="11" s="1"/>
  <c r="O6508" i="11"/>
  <c r="Q6508" i="11" s="1"/>
  <c r="O6500" i="11"/>
  <c r="Q6500" i="11" s="1"/>
  <c r="O6492" i="11"/>
  <c r="Q6492" i="11" s="1"/>
  <c r="O6476" i="11"/>
  <c r="Q6476" i="11" s="1"/>
  <c r="O6468" i="11"/>
  <c r="Q6468" i="11" s="1"/>
  <c r="O6460" i="11"/>
  <c r="Q6460" i="11" s="1"/>
  <c r="O6444" i="11"/>
  <c r="Q6444" i="11" s="1"/>
  <c r="O6436" i="11"/>
  <c r="Q6436" i="11" s="1"/>
  <c r="O6420" i="11"/>
  <c r="Q6420" i="11" s="1"/>
  <c r="O6412" i="11"/>
  <c r="Q6412" i="11" s="1"/>
  <c r="O6396" i="11"/>
  <c r="Q6396" i="11" s="1"/>
  <c r="O6380" i="11"/>
  <c r="Q6380" i="11" s="1"/>
  <c r="O6372" i="11"/>
  <c r="Q6372" i="11" s="1"/>
  <c r="O6356" i="11"/>
  <c r="Q6356" i="11" s="1"/>
  <c r="O6340" i="11"/>
  <c r="Q6340" i="11" s="1"/>
  <c r="O6324" i="11"/>
  <c r="Q6324" i="11" s="1"/>
  <c r="O6308" i="11"/>
  <c r="Q6308" i="11" s="1"/>
  <c r="O6300" i="11"/>
  <c r="Q6300" i="11" s="1"/>
  <c r="O6284" i="11"/>
  <c r="Q6284" i="11" s="1"/>
  <c r="O6276" i="11"/>
  <c r="Q6276" i="11" s="1"/>
  <c r="O6268" i="11"/>
  <c r="Q6268" i="11" s="1"/>
  <c r="O6252" i="11"/>
  <c r="Q6252" i="11" s="1"/>
  <c r="O6236" i="11"/>
  <c r="Q6236" i="11" s="1"/>
  <c r="O6228" i="11"/>
  <c r="Q6228" i="11" s="1"/>
  <c r="O6212" i="11"/>
  <c r="Q6212" i="11" s="1"/>
  <c r="O6204" i="11"/>
  <c r="Q6204" i="11" s="1"/>
  <c r="O6188" i="11"/>
  <c r="Q6188" i="11" s="1"/>
  <c r="O6180" i="11"/>
  <c r="Q6180" i="11" s="1"/>
  <c r="O6164" i="11"/>
  <c r="Q6164" i="11" s="1"/>
  <c r="O6148" i="11"/>
  <c r="Q6148" i="11" s="1"/>
  <c r="O6132" i="11"/>
  <c r="Q6132" i="11" s="1"/>
  <c r="O6124" i="11"/>
  <c r="Q6124" i="11" s="1"/>
  <c r="O6108" i="11"/>
  <c r="Q6108" i="11" s="1"/>
  <c r="O6092" i="11"/>
  <c r="Q6092" i="11" s="1"/>
  <c r="O6084" i="11"/>
  <c r="Q6084" i="11" s="1"/>
  <c r="O6076" i="11"/>
  <c r="Q6076" i="11" s="1"/>
  <c r="O6060" i="11"/>
  <c r="Q6060" i="11" s="1"/>
  <c r="O6052" i="11"/>
  <c r="Q6052" i="11" s="1"/>
  <c r="O6036" i="11"/>
  <c r="Q6036" i="11" s="1"/>
  <c r="O6028" i="11"/>
  <c r="Q6028" i="11" s="1"/>
  <c r="O6012" i="11"/>
  <c r="Q6012" i="11" s="1"/>
  <c r="O5996" i="11"/>
  <c r="Q5996" i="11" s="1"/>
  <c r="O5988" i="11"/>
  <c r="Q5988" i="11" s="1"/>
  <c r="O5972" i="11"/>
  <c r="Q5972" i="11" s="1"/>
  <c r="O5948" i="11"/>
  <c r="Q5948" i="11" s="1"/>
  <c r="O5932" i="11"/>
  <c r="Q5932" i="11" s="1"/>
  <c r="O5924" i="11"/>
  <c r="Q5924" i="11" s="1"/>
  <c r="O5908" i="11"/>
  <c r="Q5908" i="11" s="1"/>
  <c r="O5900" i="11"/>
  <c r="Q5900" i="11" s="1"/>
  <c r="O5884" i="11"/>
  <c r="Q5884" i="11" s="1"/>
  <c r="O5876" i="11"/>
  <c r="Q5876" i="11" s="1"/>
  <c r="O5860" i="11"/>
  <c r="Q5860" i="11" s="1"/>
  <c r="O5852" i="11"/>
  <c r="Q5852" i="11" s="1"/>
  <c r="O5836" i="11"/>
  <c r="Q5836" i="11" s="1"/>
  <c r="O5828" i="11"/>
  <c r="Q5828" i="11" s="1"/>
  <c r="O5812" i="11"/>
  <c r="Q5812" i="11" s="1"/>
  <c r="O5796" i="11"/>
  <c r="Q5796" i="11" s="1"/>
  <c r="O5788" i="11"/>
  <c r="Q5788" i="11" s="1"/>
  <c r="O5772" i="11"/>
  <c r="Q5772" i="11" s="1"/>
  <c r="O5756" i="11"/>
  <c r="Q5756" i="11" s="1"/>
  <c r="O5740" i="11"/>
  <c r="Q5740" i="11" s="1"/>
  <c r="O5732" i="11"/>
  <c r="Q5732" i="11" s="1"/>
  <c r="O5716" i="11"/>
  <c r="Q5716" i="11" s="1"/>
  <c r="O5708" i="11"/>
  <c r="Q5708" i="11" s="1"/>
  <c r="O5692" i="11"/>
  <c r="Q5692" i="11" s="1"/>
  <c r="O5684" i="11"/>
  <c r="Q5684" i="11" s="1"/>
  <c r="O5676" i="11"/>
  <c r="Q5676" i="11" s="1"/>
  <c r="O5660" i="11"/>
  <c r="Q5660" i="11" s="1"/>
  <c r="O5644" i="11"/>
  <c r="Q5644" i="11" s="1"/>
  <c r="O5636" i="11"/>
  <c r="Q5636" i="11" s="1"/>
  <c r="O5620" i="11"/>
  <c r="Q5620" i="11" s="1"/>
  <c r="O5604" i="11"/>
  <c r="Q5604" i="11" s="1"/>
  <c r="O5588" i="11"/>
  <c r="Q5588" i="11" s="1"/>
  <c r="O5572" i="11"/>
  <c r="Q5572" i="11" s="1"/>
  <c r="O5556" i="11"/>
  <c r="Q5556" i="11" s="1"/>
  <c r="O5548" i="11"/>
  <c r="Q5548" i="11" s="1"/>
  <c r="O5532" i="11"/>
  <c r="Q5532" i="11" s="1"/>
  <c r="O5524" i="11"/>
  <c r="Q5524" i="11" s="1"/>
  <c r="O5508" i="11"/>
  <c r="Q5508" i="11" s="1"/>
  <c r="O5500" i="11"/>
  <c r="Q5500" i="11" s="1"/>
  <c r="O5492" i="11"/>
  <c r="Q5492" i="11" s="1"/>
  <c r="O5476" i="11"/>
  <c r="Q5476" i="11" s="1"/>
  <c r="O5468" i="11"/>
  <c r="Q5468" i="11" s="1"/>
  <c r="O5452" i="11"/>
  <c r="Q5452" i="11" s="1"/>
  <c r="O5436" i="11"/>
  <c r="Q5436" i="11" s="1"/>
  <c r="O5428" i="11"/>
  <c r="Q5428" i="11" s="1"/>
  <c r="O5412" i="11"/>
  <c r="Q5412" i="11" s="1"/>
  <c r="O5396" i="11"/>
  <c r="Q5396" i="11" s="1"/>
  <c r="O5380" i="11"/>
  <c r="Q5380" i="11" s="1"/>
  <c r="O5372" i="11"/>
  <c r="Q5372" i="11" s="1"/>
  <c r="O5356" i="11"/>
  <c r="Q5356" i="11" s="1"/>
  <c r="O5348" i="11"/>
  <c r="Q5348" i="11" s="1"/>
  <c r="O5332" i="11"/>
  <c r="Q5332" i="11" s="1"/>
  <c r="O5324" i="11"/>
  <c r="Q5324" i="11" s="1"/>
  <c r="O5316" i="11"/>
  <c r="Q5316" i="11" s="1"/>
  <c r="O5300" i="11"/>
  <c r="Q5300" i="11" s="1"/>
  <c r="O5292" i="11"/>
  <c r="Q5292" i="11" s="1"/>
  <c r="O5276" i="11"/>
  <c r="Q5276" i="11" s="1"/>
  <c r="O5268" i="11"/>
  <c r="Q5268" i="11" s="1"/>
  <c r="O5252" i="11"/>
  <c r="Q5252" i="11" s="1"/>
  <c r="O5244" i="11"/>
  <c r="Q5244" i="11" s="1"/>
  <c r="O5228" i="11"/>
  <c r="Q5228" i="11" s="1"/>
  <c r="O5212" i="11"/>
  <c r="Q5212" i="11" s="1"/>
  <c r="O5196" i="11"/>
  <c r="Q5196" i="11" s="1"/>
  <c r="O5180" i="11"/>
  <c r="Q5180" i="11" s="1"/>
  <c r="O5172" i="11"/>
  <c r="Q5172" i="11" s="1"/>
  <c r="O5164" i="11"/>
  <c r="Q5164" i="11" s="1"/>
  <c r="O5148" i="11"/>
  <c r="Q5148" i="11" s="1"/>
  <c r="O5140" i="11"/>
  <c r="Q5140" i="11" s="1"/>
  <c r="O5132" i="11"/>
  <c r="Q5132" i="11" s="1"/>
  <c r="O5116" i="11"/>
  <c r="Q5116" i="11" s="1"/>
  <c r="O5108" i="11"/>
  <c r="Q5108" i="11" s="1"/>
  <c r="O5100" i="11"/>
  <c r="Q5100" i="11" s="1"/>
  <c r="O5088" i="11"/>
  <c r="Q5088" i="11" s="1"/>
  <c r="O5024" i="11"/>
  <c r="Q5024" i="11" s="1"/>
  <c r="O7572" i="11"/>
  <c r="Q7572" i="11" s="1"/>
  <c r="O7556" i="11"/>
  <c r="Q7556" i="11" s="1"/>
  <c r="O7524" i="11"/>
  <c r="Q7524" i="11" s="1"/>
  <c r="O7492" i="11"/>
  <c r="Q7492" i="11" s="1"/>
  <c r="O7476" i="11"/>
  <c r="Q7476" i="11" s="1"/>
  <c r="O7444" i="11"/>
  <c r="Q7444" i="11" s="1"/>
  <c r="O7428" i="11"/>
  <c r="Q7428" i="11" s="1"/>
  <c r="O7396" i="11"/>
  <c r="Q7396" i="11" s="1"/>
  <c r="O7380" i="11"/>
  <c r="Q7380" i="11" s="1"/>
  <c r="O7364" i="11"/>
  <c r="Q7364" i="11" s="1"/>
  <c r="O7332" i="11"/>
  <c r="Q7332" i="11" s="1"/>
  <c r="O7316" i="11"/>
  <c r="Q7316" i="11" s="1"/>
  <c r="O7284" i="11"/>
  <c r="Q7284" i="11" s="1"/>
  <c r="O7252" i="11"/>
  <c r="Q7252" i="11" s="1"/>
  <c r="O7236" i="11"/>
  <c r="Q7236" i="11" s="1"/>
  <c r="O7204" i="11"/>
  <c r="Q7204" i="11" s="1"/>
  <c r="O7156" i="11"/>
  <c r="Q7156" i="11" s="1"/>
  <c r="O7140" i="11"/>
  <c r="Q7140" i="11" s="1"/>
  <c r="O7108" i="11"/>
  <c r="Q7108" i="11" s="1"/>
  <c r="O7092" i="11"/>
  <c r="Q7092" i="11" s="1"/>
  <c r="O7076" i="11"/>
  <c r="Q7076" i="11" s="1"/>
  <c r="O7044" i="11"/>
  <c r="Q7044" i="11" s="1"/>
  <c r="O7028" i="11"/>
  <c r="Q7028" i="11" s="1"/>
  <c r="O7012" i="11"/>
  <c r="Q7012" i="11" s="1"/>
  <c r="O6996" i="11"/>
  <c r="Q6996" i="11" s="1"/>
  <c r="O6964" i="11"/>
  <c r="Q6964" i="11" s="1"/>
  <c r="O6932" i="11"/>
  <c r="Q6932" i="11" s="1"/>
  <c r="O6916" i="11"/>
  <c r="Q6916" i="11" s="1"/>
  <c r="O6884" i="11"/>
  <c r="Q6884" i="11" s="1"/>
  <c r="O6852" i="11"/>
  <c r="Q6852" i="11" s="1"/>
  <c r="O6820" i="11"/>
  <c r="Q6820" i="11" s="1"/>
  <c r="O6788" i="11"/>
  <c r="Q6788" i="11" s="1"/>
  <c r="O6756" i="11"/>
  <c r="Q6756" i="11" s="1"/>
  <c r="O6740" i="11"/>
  <c r="Q6740" i="11" s="1"/>
  <c r="O6708" i="11"/>
  <c r="Q6708" i="11" s="1"/>
  <c r="O6692" i="11"/>
  <c r="Q6692" i="11" s="1"/>
  <c r="O6676" i="11"/>
  <c r="Q6676" i="11" s="1"/>
  <c r="O6660" i="11"/>
  <c r="Q6660" i="11" s="1"/>
  <c r="O6644" i="11"/>
  <c r="Q6644" i="11" s="1"/>
  <c r="O6612" i="11"/>
  <c r="Q6612" i="11" s="1"/>
  <c r="O6596" i="11"/>
  <c r="Q6596" i="11" s="1"/>
  <c r="O6564" i="11"/>
  <c r="Q6564" i="11" s="1"/>
  <c r="O6537" i="11"/>
  <c r="Q6537" i="11" s="1"/>
  <c r="O6529" i="11"/>
  <c r="Q6529" i="11" s="1"/>
  <c r="O6513" i="11"/>
  <c r="Q6513" i="11" s="1"/>
  <c r="O6497" i="11"/>
  <c r="Q6497" i="11" s="1"/>
  <c r="O6481" i="11"/>
  <c r="Q6481" i="11" s="1"/>
  <c r="O6473" i="11"/>
  <c r="Q6473" i="11" s="1"/>
  <c r="O6457" i="11"/>
  <c r="Q6457" i="11" s="1"/>
  <c r="O6449" i="11"/>
  <c r="Q6449" i="11" s="1"/>
  <c r="O6433" i="11"/>
  <c r="Q6433" i="11" s="1"/>
  <c r="O6425" i="11"/>
  <c r="Q6425" i="11" s="1"/>
  <c r="O6417" i="11"/>
  <c r="Q6417" i="11" s="1"/>
  <c r="O6401" i="11"/>
  <c r="Q6401" i="11" s="1"/>
  <c r="O6393" i="11"/>
  <c r="Q6393" i="11" s="1"/>
  <c r="O6377" i="11"/>
  <c r="Q6377" i="11" s="1"/>
  <c r="O6361" i="11"/>
  <c r="Q6361" i="11" s="1"/>
  <c r="O6345" i="11"/>
  <c r="Q6345" i="11" s="1"/>
  <c r="O6337" i="11"/>
  <c r="Q6337" i="11" s="1"/>
  <c r="O6321" i="11"/>
  <c r="Q6321" i="11" s="1"/>
  <c r="O6305" i="11"/>
  <c r="Q6305" i="11" s="1"/>
  <c r="O6289" i="11"/>
  <c r="Q6289" i="11" s="1"/>
  <c r="O6281" i="11"/>
  <c r="Q6281" i="11" s="1"/>
  <c r="O6265" i="11"/>
  <c r="Q6265" i="11" s="1"/>
  <c r="O6257" i="11"/>
  <c r="Q6257" i="11" s="1"/>
  <c r="O6249" i="11"/>
  <c r="Q6249" i="11" s="1"/>
  <c r="O6233" i="11"/>
  <c r="Q6233" i="11" s="1"/>
  <c r="O6225" i="11"/>
  <c r="Q6225" i="11" s="1"/>
  <c r="O6217" i="11"/>
  <c r="Q6217" i="11" s="1"/>
  <c r="O6201" i="11"/>
  <c r="Q6201" i="11" s="1"/>
  <c r="O6185" i="11"/>
  <c r="Q6185" i="11" s="1"/>
  <c r="O6177" i="11"/>
  <c r="Q6177" i="11" s="1"/>
  <c r="O6161" i="11"/>
  <c r="Q6161" i="11" s="1"/>
  <c r="O6145" i="11"/>
  <c r="Q6145" i="11" s="1"/>
  <c r="O6129" i="11"/>
  <c r="Q6129" i="11" s="1"/>
  <c r="O6113" i="11"/>
  <c r="Q6113" i="11" s="1"/>
  <c r="O6097" i="11"/>
  <c r="Q6097" i="11" s="1"/>
  <c r="O6089" i="11"/>
  <c r="Q6089" i="11" s="1"/>
  <c r="O6073" i="11"/>
  <c r="Q6073" i="11" s="1"/>
  <c r="O6065" i="11"/>
  <c r="Q6065" i="11" s="1"/>
  <c r="O6049" i="11"/>
  <c r="Q6049" i="11" s="1"/>
  <c r="O6041" i="11"/>
  <c r="Q6041" i="11" s="1"/>
  <c r="O6033" i="11"/>
  <c r="Q6033" i="11" s="1"/>
  <c r="O6017" i="11"/>
  <c r="Q6017" i="11" s="1"/>
  <c r="O6009" i="11"/>
  <c r="Q6009" i="11" s="1"/>
  <c r="O5993" i="11"/>
  <c r="Q5993" i="11" s="1"/>
  <c r="O5985" i="11"/>
  <c r="Q5985" i="11" s="1"/>
  <c r="O5969" i="11"/>
  <c r="Q5969" i="11" s="1"/>
  <c r="O5953" i="11"/>
  <c r="Q5953" i="11" s="1"/>
  <c r="O5937" i="11"/>
  <c r="Q5937" i="11" s="1"/>
  <c r="O5921" i="11"/>
  <c r="Q5921" i="11" s="1"/>
  <c r="O5905" i="11"/>
  <c r="Q5905" i="11" s="1"/>
  <c r="O5889" i="11"/>
  <c r="Q5889" i="11" s="1"/>
  <c r="O5881" i="11"/>
  <c r="Q5881" i="11" s="1"/>
  <c r="O5865" i="11"/>
  <c r="Q5865" i="11" s="1"/>
  <c r="O5857" i="11"/>
  <c r="Q5857" i="11" s="1"/>
  <c r="O5849" i="11"/>
  <c r="Q5849" i="11" s="1"/>
  <c r="O5833" i="11"/>
  <c r="Q5833" i="11" s="1"/>
  <c r="O5825" i="11"/>
  <c r="Q5825" i="11" s="1"/>
  <c r="O5817" i="11"/>
  <c r="Q5817" i="11" s="1"/>
  <c r="O5801" i="11"/>
  <c r="Q5801" i="11" s="1"/>
  <c r="O5785" i="11"/>
  <c r="Q5785" i="11" s="1"/>
  <c r="O5777" i="11"/>
  <c r="Q5777" i="11" s="1"/>
  <c r="O5761" i="11"/>
  <c r="Q5761" i="11" s="1"/>
  <c r="O5745" i="11"/>
  <c r="Q5745" i="11" s="1"/>
  <c r="O5737" i="11"/>
  <c r="Q5737" i="11" s="1"/>
  <c r="O5721" i="11"/>
  <c r="Q5721" i="11" s="1"/>
  <c r="O5705" i="11"/>
  <c r="Q5705" i="11" s="1"/>
  <c r="O5689" i="11"/>
  <c r="Q5689" i="11" s="1"/>
  <c r="O5681" i="11"/>
  <c r="Q5681" i="11" s="1"/>
  <c r="O5665" i="11"/>
  <c r="Q5665" i="11" s="1"/>
  <c r="O5657" i="11"/>
  <c r="Q5657" i="11" s="1"/>
  <c r="O5641" i="11"/>
  <c r="Q5641" i="11" s="1"/>
  <c r="O5633" i="11"/>
  <c r="Q5633" i="11" s="1"/>
  <c r="O5625" i="11"/>
  <c r="Q5625" i="11" s="1"/>
  <c r="O5609" i="11"/>
  <c r="Q5609" i="11" s="1"/>
  <c r="O5601" i="11"/>
  <c r="Q5601" i="11" s="1"/>
  <c r="O5585" i="11"/>
  <c r="Q5585" i="11" s="1"/>
  <c r="O5569" i="11"/>
  <c r="Q5569" i="11" s="1"/>
  <c r="O5553" i="11"/>
  <c r="Q5553" i="11" s="1"/>
  <c r="O5537" i="11"/>
  <c r="Q5537" i="11" s="1"/>
  <c r="O5529" i="11"/>
  <c r="Q5529" i="11" s="1"/>
  <c r="O5513" i="11"/>
  <c r="Q5513" i="11" s="1"/>
  <c r="O5497" i="11"/>
  <c r="Q5497" i="11" s="1"/>
  <c r="O5489" i="11"/>
  <c r="Q5489" i="11" s="1"/>
  <c r="O5473" i="11"/>
  <c r="Q5473" i="11" s="1"/>
  <c r="O5465" i="11"/>
  <c r="Q5465" i="11" s="1"/>
  <c r="O5449" i="11"/>
  <c r="Q5449" i="11" s="1"/>
  <c r="O5441" i="11"/>
  <c r="Q5441" i="11" s="1"/>
  <c r="O5425" i="11"/>
  <c r="Q5425" i="11" s="1"/>
  <c r="O5417" i="11"/>
  <c r="Q5417" i="11" s="1"/>
  <c r="O5401" i="11"/>
  <c r="Q5401" i="11" s="1"/>
  <c r="O5385" i="11"/>
  <c r="Q5385" i="11" s="1"/>
  <c r="O5377" i="11"/>
  <c r="Q5377" i="11" s="1"/>
  <c r="O5361" i="11"/>
  <c r="Q5361" i="11" s="1"/>
  <c r="O5345" i="11"/>
  <c r="Q5345" i="11" s="1"/>
  <c r="O5337" i="11"/>
  <c r="Q5337" i="11" s="1"/>
  <c r="O5321" i="11"/>
  <c r="Q5321" i="11" s="1"/>
  <c r="O5305" i="11"/>
  <c r="Q5305" i="11" s="1"/>
  <c r="O5289" i="11"/>
  <c r="Q5289" i="11" s="1"/>
  <c r="O5281" i="11"/>
  <c r="Q5281" i="11" s="1"/>
  <c r="O5265" i="11"/>
  <c r="Q5265" i="11" s="1"/>
  <c r="O5257" i="11"/>
  <c r="Q5257" i="11" s="1"/>
  <c r="O5249" i="11"/>
  <c r="Q5249" i="11" s="1"/>
  <c r="O5233" i="11"/>
  <c r="Q5233" i="11" s="1"/>
  <c r="O5225" i="11"/>
  <c r="Q5225" i="11" s="1"/>
  <c r="O5209" i="11"/>
  <c r="Q5209" i="11" s="1"/>
  <c r="O5201" i="11"/>
  <c r="Q5201" i="11" s="1"/>
  <c r="O5185" i="11"/>
  <c r="Q5185" i="11" s="1"/>
  <c r="O5177" i="11"/>
  <c r="Q5177" i="11" s="1"/>
  <c r="O5161" i="11"/>
  <c r="Q5161" i="11" s="1"/>
  <c r="O5145" i="11"/>
  <c r="Q5145" i="11" s="1"/>
  <c r="O5137" i="11"/>
  <c r="Q5137" i="11" s="1"/>
  <c r="O5121" i="11"/>
  <c r="Q5121" i="11" s="1"/>
  <c r="O5105" i="11"/>
  <c r="Q5105" i="11" s="1"/>
  <c r="O3601" i="11"/>
  <c r="Q3601" i="11" s="1"/>
  <c r="O7573" i="11"/>
  <c r="Q7573" i="11" s="1"/>
  <c r="O7541" i="11"/>
  <c r="Q7541" i="11" s="1"/>
  <c r="O7525" i="11"/>
  <c r="Q7525" i="11" s="1"/>
  <c r="O7493" i="11"/>
  <c r="Q7493" i="11" s="1"/>
  <c r="O7477" i="11"/>
  <c r="Q7477" i="11" s="1"/>
  <c r="O7445" i="11"/>
  <c r="Q7445" i="11" s="1"/>
  <c r="O7413" i="11"/>
  <c r="Q7413" i="11" s="1"/>
  <c r="O7397" i="11"/>
  <c r="Q7397" i="11" s="1"/>
  <c r="O7365" i="11"/>
  <c r="Q7365" i="11" s="1"/>
  <c r="O7333" i="11"/>
  <c r="Q7333" i="11" s="1"/>
  <c r="O7301" i="11"/>
  <c r="Q7301" i="11" s="1"/>
  <c r="O7269" i="11"/>
  <c r="Q7269" i="11" s="1"/>
  <c r="O7237" i="11"/>
  <c r="Q7237" i="11" s="1"/>
  <c r="O7205" i="11"/>
  <c r="Q7205" i="11" s="1"/>
  <c r="O7189" i="11"/>
  <c r="Q7189" i="11" s="1"/>
  <c r="O7157" i="11"/>
  <c r="Q7157" i="11" s="1"/>
  <c r="O7141" i="11"/>
  <c r="Q7141" i="11" s="1"/>
  <c r="O7125" i="11"/>
  <c r="Q7125" i="11" s="1"/>
  <c r="O7093" i="11"/>
  <c r="Q7093" i="11" s="1"/>
  <c r="O7061" i="11"/>
  <c r="Q7061" i="11" s="1"/>
  <c r="O7029" i="11"/>
  <c r="Q7029" i="11" s="1"/>
  <c r="O7013" i="11"/>
  <c r="Q7013" i="11" s="1"/>
  <c r="O6981" i="11"/>
  <c r="Q6981" i="11" s="1"/>
  <c r="O6949" i="11"/>
  <c r="Q6949" i="11" s="1"/>
  <c r="O6917" i="11"/>
  <c r="Q6917" i="11" s="1"/>
  <c r="O6885" i="11"/>
  <c r="Q6885" i="11" s="1"/>
  <c r="O6869" i="11"/>
  <c r="Q6869" i="11" s="1"/>
  <c r="O6853" i="11"/>
  <c r="Q6853" i="11" s="1"/>
  <c r="O6821" i="11"/>
  <c r="Q6821" i="11" s="1"/>
  <c r="O6805" i="11"/>
  <c r="Q6805" i="11" s="1"/>
  <c r="O6789" i="11"/>
  <c r="Q6789" i="11" s="1"/>
  <c r="O6773" i="11"/>
  <c r="Q6773" i="11" s="1"/>
  <c r="O6741" i="11"/>
  <c r="Q6741" i="11" s="1"/>
  <c r="O6725" i="11"/>
  <c r="Q6725" i="11" s="1"/>
  <c r="O6693" i="11"/>
  <c r="Q6693" i="11" s="1"/>
  <c r="O6677" i="11"/>
  <c r="Q6677" i="11" s="1"/>
  <c r="O6645" i="11"/>
  <c r="Q6645" i="11" s="1"/>
  <c r="O6613" i="11"/>
  <c r="Q6613" i="11" s="1"/>
  <c r="O6597" i="11"/>
  <c r="Q6597" i="11" s="1"/>
  <c r="O6565" i="11"/>
  <c r="Q6565" i="11" s="1"/>
  <c r="O5044" i="11"/>
  <c r="Q5044" i="11" s="1"/>
  <c r="O5012" i="11"/>
  <c r="Q5012" i="11" s="1"/>
  <c r="O4648" i="11"/>
  <c r="Q4648" i="11" s="1"/>
  <c r="O4584" i="11"/>
  <c r="Q4584" i="11" s="1"/>
  <c r="O4520" i="11"/>
  <c r="Q4520" i="11" s="1"/>
  <c r="O4392" i="11"/>
  <c r="Q4392" i="11" s="1"/>
  <c r="O4328" i="11"/>
  <c r="Q4328" i="11" s="1"/>
  <c r="O4200" i="11"/>
  <c r="Q4200" i="11" s="1"/>
  <c r="O4136" i="11"/>
  <c r="Q4136" i="11" s="1"/>
  <c r="O4008" i="11"/>
  <c r="Q4008" i="11" s="1"/>
  <c r="O3880" i="11"/>
  <c r="Q3880" i="11" s="1"/>
  <c r="O3816" i="11"/>
  <c r="Q3816" i="11" s="1"/>
  <c r="O3688" i="11"/>
  <c r="Q3688" i="11" s="1"/>
  <c r="O3639" i="11"/>
  <c r="Q3639" i="11" s="1"/>
  <c r="O3575" i="11"/>
  <c r="Q3575" i="11" s="1"/>
  <c r="O4672" i="11"/>
  <c r="Q4672" i="11" s="1"/>
  <c r="O4608" i="11"/>
  <c r="Q4608" i="11" s="1"/>
  <c r="O4544" i="11"/>
  <c r="Q4544" i="11" s="1"/>
  <c r="O4416" i="11"/>
  <c r="Q4416" i="11" s="1"/>
  <c r="O4352" i="11"/>
  <c r="Q4352" i="11" s="1"/>
  <c r="O4224" i="11"/>
  <c r="Q4224" i="11" s="1"/>
  <c r="O4096" i="11"/>
  <c r="Q4096" i="11" s="1"/>
  <c r="O4032" i="11"/>
  <c r="Q4032" i="11" s="1"/>
  <c r="O3904" i="11"/>
  <c r="Q3904" i="11" s="1"/>
  <c r="O3776" i="11"/>
  <c r="Q3776" i="11" s="1"/>
  <c r="O3620" i="11"/>
  <c r="Q3620" i="11" s="1"/>
  <c r="O5071" i="11"/>
  <c r="Q5071" i="11" s="1"/>
  <c r="O5055" i="11"/>
  <c r="Q5055" i="11" s="1"/>
  <c r="O5039" i="11"/>
  <c r="Q5039" i="11" s="1"/>
  <c r="O5007" i="11"/>
  <c r="Q5007" i="11" s="1"/>
  <c r="O4991" i="11"/>
  <c r="Q4991" i="11" s="1"/>
  <c r="O4979" i="11"/>
  <c r="Q4979" i="11" s="1"/>
  <c r="O4971" i="11"/>
  <c r="Q4971" i="11" s="1"/>
  <c r="O4955" i="11"/>
  <c r="Q4955" i="11" s="1"/>
  <c r="O4947" i="11"/>
  <c r="Q4947" i="11" s="1"/>
  <c r="O4931" i="11"/>
  <c r="Q4931" i="11" s="1"/>
  <c r="O4923" i="11"/>
  <c r="Q4923" i="11" s="1"/>
  <c r="O4907" i="11"/>
  <c r="Q4907" i="11" s="1"/>
  <c r="O4891" i="11"/>
  <c r="Q4891" i="11" s="1"/>
  <c r="O4875" i="11"/>
  <c r="Q4875" i="11" s="1"/>
  <c r="O4859" i="11"/>
  <c r="Q4859" i="11" s="1"/>
  <c r="O4843" i="11"/>
  <c r="Q4843" i="11" s="1"/>
  <c r="O4827" i="11"/>
  <c r="Q4827" i="11" s="1"/>
  <c r="O4819" i="11"/>
  <c r="Q4819" i="11" s="1"/>
  <c r="O4803" i="11"/>
  <c r="Q4803" i="11" s="1"/>
  <c r="O4795" i="11"/>
  <c r="Q4795" i="11" s="1"/>
  <c r="O4787" i="11"/>
  <c r="Q4787" i="11" s="1"/>
  <c r="O4771" i="11"/>
  <c r="Q4771" i="11" s="1"/>
  <c r="O4763" i="11"/>
  <c r="Q4763" i="11" s="1"/>
  <c r="O4747" i="11"/>
  <c r="Q4747" i="11" s="1"/>
  <c r="O4731" i="11"/>
  <c r="Q4731" i="11" s="1"/>
  <c r="O5069" i="11"/>
  <c r="Q5069" i="11" s="1"/>
  <c r="O5037" i="11"/>
  <c r="Q5037" i="11" s="1"/>
  <c r="O5005" i="11"/>
  <c r="Q5005" i="11" s="1"/>
  <c r="O4978" i="11"/>
  <c r="Q4978" i="11" s="1"/>
  <c r="O4970" i="11"/>
  <c r="Q4970" i="11" s="1"/>
  <c r="O4954" i="11"/>
  <c r="Q4954" i="11" s="1"/>
  <c r="O4946" i="11"/>
  <c r="Q4946" i="11" s="1"/>
  <c r="O4930" i="11"/>
  <c r="Q4930" i="11" s="1"/>
  <c r="O4922" i="11"/>
  <c r="Q4922" i="11" s="1"/>
  <c r="O4914" i="11"/>
  <c r="Q4914" i="11" s="1"/>
  <c r="O4906" i="11"/>
  <c r="Q4906" i="11" s="1"/>
  <c r="O4890" i="11"/>
  <c r="Q4890" i="11" s="1"/>
  <c r="O4882" i="11"/>
  <c r="Q4882" i="11" s="1"/>
  <c r="O4866" i="11"/>
  <c r="Q4866" i="11" s="1"/>
  <c r="O4850" i="11"/>
  <c r="Q4850" i="11" s="1"/>
  <c r="O4834" i="11"/>
  <c r="Q4834" i="11" s="1"/>
  <c r="O4826" i="11"/>
  <c r="Q4826" i="11" s="1"/>
  <c r="O4810" i="11"/>
  <c r="Q4810" i="11" s="1"/>
  <c r="O4794" i="11"/>
  <c r="Q4794" i="11" s="1"/>
  <c r="O4778" i="11"/>
  <c r="Q4778" i="11" s="1"/>
  <c r="O4770" i="11"/>
  <c r="Q4770" i="11" s="1"/>
  <c r="O4762" i="11"/>
  <c r="Q4762" i="11" s="1"/>
  <c r="O4746" i="11"/>
  <c r="Q4746" i="11" s="1"/>
  <c r="O4738" i="11"/>
  <c r="Q4738" i="11" s="1"/>
  <c r="O5078" i="11"/>
  <c r="Q5078" i="11" s="1"/>
  <c r="O5062" i="11"/>
  <c r="Q5062" i="11" s="1"/>
  <c r="O5030" i="11"/>
  <c r="Q5030" i="11" s="1"/>
  <c r="O5014" i="11"/>
  <c r="Q5014" i="11" s="1"/>
  <c r="O4708" i="11"/>
  <c r="Q4708" i="11" s="1"/>
  <c r="O4676" i="11"/>
  <c r="Q4676" i="11" s="1"/>
  <c r="O4612" i="11"/>
  <c r="Q4612" i="11" s="1"/>
  <c r="O4548" i="11"/>
  <c r="Q4548" i="11" s="1"/>
  <c r="O4516" i="11"/>
  <c r="Q4516" i="11" s="1"/>
  <c r="O4452" i="11"/>
  <c r="Q4452" i="11" s="1"/>
  <c r="O4388" i="11"/>
  <c r="Q4388" i="11" s="1"/>
  <c r="O4324" i="11"/>
  <c r="Q4324" i="11" s="1"/>
  <c r="O4260" i="11"/>
  <c r="Q4260" i="11" s="1"/>
  <c r="O4228" i="11"/>
  <c r="Q4228" i="11" s="1"/>
  <c r="O4164" i="11"/>
  <c r="Q4164" i="11" s="1"/>
  <c r="O4132" i="11"/>
  <c r="Q4132" i="11" s="1"/>
  <c r="O4068" i="11"/>
  <c r="Q4068" i="11" s="1"/>
  <c r="O4036" i="11"/>
  <c r="Q4036" i="11" s="1"/>
  <c r="O3972" i="11"/>
  <c r="Q3972" i="11" s="1"/>
  <c r="O3908" i="11"/>
  <c r="Q3908" i="11" s="1"/>
  <c r="O3844" i="11"/>
  <c r="Q3844" i="11" s="1"/>
  <c r="O3780" i="11"/>
  <c r="Q3780" i="11" s="1"/>
  <c r="O3748" i="11"/>
  <c r="Q3748" i="11" s="1"/>
  <c r="O3684" i="11"/>
  <c r="Q3684" i="11" s="1"/>
  <c r="O3660" i="11"/>
  <c r="Q3660" i="11" s="1"/>
  <c r="O3641" i="11"/>
  <c r="Q3641" i="11" s="1"/>
  <c r="O3615" i="11"/>
  <c r="Q3615" i="11" s="1"/>
  <c r="O3577" i="11"/>
  <c r="Q3577" i="11" s="1"/>
  <c r="O3551" i="11"/>
  <c r="Q3551" i="11" s="1"/>
  <c r="O3532" i="11"/>
  <c r="Q3532" i="11" s="1"/>
  <c r="O4683" i="11"/>
  <c r="Q4683" i="11" s="1"/>
  <c r="O4667" i="11"/>
  <c r="Q4667" i="11" s="1"/>
  <c r="O4635" i="11"/>
  <c r="Q4635" i="11" s="1"/>
  <c r="O4619" i="11"/>
  <c r="Q4619" i="11" s="1"/>
  <c r="O4587" i="11"/>
  <c r="Q4587" i="11" s="1"/>
  <c r="O4555" i="11"/>
  <c r="Q4555" i="11" s="1"/>
  <c r="O4523" i="11"/>
  <c r="Q4523" i="11" s="1"/>
  <c r="O4507" i="11"/>
  <c r="Q4507" i="11" s="1"/>
  <c r="O4475" i="11"/>
  <c r="Q4475" i="11" s="1"/>
  <c r="O4459" i="11"/>
  <c r="Q4459" i="11" s="1"/>
  <c r="O4427" i="11"/>
  <c r="Q4427" i="11" s="1"/>
  <c r="O4411" i="11"/>
  <c r="Q4411" i="11" s="1"/>
  <c r="O4395" i="11"/>
  <c r="Q4395" i="11" s="1"/>
  <c r="O4363" i="11"/>
  <c r="Q4363" i="11" s="1"/>
  <c r="O4347" i="11"/>
  <c r="Q4347" i="11" s="1"/>
  <c r="O4315" i="11"/>
  <c r="Q4315" i="11" s="1"/>
  <c r="O4283" i="11"/>
  <c r="Q4283" i="11" s="1"/>
  <c r="O4251" i="11"/>
  <c r="Q4251" i="11" s="1"/>
  <c r="O4219" i="11"/>
  <c r="Q4219" i="11" s="1"/>
  <c r="O4187" i="11"/>
  <c r="Q4187" i="11" s="1"/>
  <c r="O4171" i="11"/>
  <c r="Q4171" i="11" s="1"/>
  <c r="O4139" i="11"/>
  <c r="Q4139" i="11" s="1"/>
  <c r="O4123" i="11"/>
  <c r="Q4123" i="11" s="1"/>
  <c r="O4091" i="11"/>
  <c r="Q4091" i="11" s="1"/>
  <c r="O4075" i="11"/>
  <c r="Q4075" i="11" s="1"/>
  <c r="O4059" i="11"/>
  <c r="Q4059" i="11" s="1"/>
  <c r="O4043" i="11"/>
  <c r="Q4043" i="11" s="1"/>
  <c r="O4011" i="11"/>
  <c r="Q4011" i="11" s="1"/>
  <c r="O3979" i="11"/>
  <c r="Q3979" i="11" s="1"/>
  <c r="O3963" i="11"/>
  <c r="Q3963" i="11" s="1"/>
  <c r="O3931" i="11"/>
  <c r="Q3931" i="11" s="1"/>
  <c r="O3899" i="11"/>
  <c r="Q3899" i="11" s="1"/>
  <c r="O3867" i="11"/>
  <c r="Q3867" i="11" s="1"/>
  <c r="O3851" i="11"/>
  <c r="Q3851" i="11" s="1"/>
  <c r="O3819" i="11"/>
  <c r="Q3819" i="11" s="1"/>
  <c r="O3803" i="11"/>
  <c r="Q3803" i="11" s="1"/>
  <c r="O3771" i="11"/>
  <c r="Q3771" i="11" s="1"/>
  <c r="O3755" i="11"/>
  <c r="Q3755" i="11" s="1"/>
  <c r="O3723" i="11"/>
  <c r="Q3723" i="11" s="1"/>
  <c r="O3707" i="11"/>
  <c r="Q3707" i="11" s="1"/>
  <c r="O3691" i="11"/>
  <c r="Q3691" i="11" s="1"/>
  <c r="O686" i="11"/>
  <c r="Q686" i="11" s="1"/>
  <c r="O4705" i="11"/>
  <c r="Q4705" i="11" s="1"/>
  <c r="O4673" i="11"/>
  <c r="Q4673" i="11" s="1"/>
  <c r="O4657" i="11"/>
  <c r="Q4657" i="11" s="1"/>
  <c r="O4625" i="11"/>
  <c r="Q4625" i="11" s="1"/>
  <c r="O4609" i="11"/>
  <c r="Q4609" i="11" s="1"/>
  <c r="O4577" i="11"/>
  <c r="Q4577" i="11" s="1"/>
  <c r="O4545" i="11"/>
  <c r="Q4545" i="11" s="1"/>
  <c r="O4513" i="11"/>
  <c r="Q4513" i="11" s="1"/>
  <c r="O4497" i="11"/>
  <c r="Q4497" i="11" s="1"/>
  <c r="O4465" i="11"/>
  <c r="Q4465" i="11" s="1"/>
  <c r="O4449" i="11"/>
  <c r="Q4449" i="11" s="1"/>
  <c r="O4433" i="11"/>
  <c r="Q4433" i="11" s="1"/>
  <c r="O4401" i="11"/>
  <c r="Q4401" i="11" s="1"/>
  <c r="O4385" i="11"/>
  <c r="Q4385" i="11" s="1"/>
  <c r="O4369" i="11"/>
  <c r="Q4369" i="11" s="1"/>
  <c r="O4337" i="11"/>
  <c r="Q4337" i="11" s="1"/>
  <c r="O4321" i="11"/>
  <c r="Q4321" i="11" s="1"/>
  <c r="O4289" i="11"/>
  <c r="Q4289" i="11" s="1"/>
  <c r="O4257" i="11"/>
  <c r="Q4257" i="11" s="1"/>
  <c r="O4241" i="11"/>
  <c r="Q4241" i="11" s="1"/>
  <c r="O4209" i="11"/>
  <c r="Q4209" i="11" s="1"/>
  <c r="O4177" i="11"/>
  <c r="Q4177" i="11" s="1"/>
  <c r="O4145" i="11"/>
  <c r="Q4145" i="11" s="1"/>
  <c r="O4113" i="11"/>
  <c r="Q4113" i="11" s="1"/>
  <c r="O4097" i="11"/>
  <c r="Q4097" i="11" s="1"/>
  <c r="O4065" i="11"/>
  <c r="Q4065" i="11" s="1"/>
  <c r="O4049" i="11"/>
  <c r="Q4049" i="11" s="1"/>
  <c r="O4033" i="11"/>
  <c r="Q4033" i="11" s="1"/>
  <c r="O4017" i="11"/>
  <c r="Q4017" i="11" s="1"/>
  <c r="O3985" i="11"/>
  <c r="Q3985" i="11" s="1"/>
  <c r="O3969" i="11"/>
  <c r="Q3969" i="11" s="1"/>
  <c r="O3937" i="11"/>
  <c r="Q3937" i="11" s="1"/>
  <c r="O3905" i="11"/>
  <c r="Q3905" i="11" s="1"/>
  <c r="O3889" i="11"/>
  <c r="Q3889" i="11" s="1"/>
  <c r="O3857" i="11"/>
  <c r="Q3857" i="11" s="1"/>
  <c r="O3841" i="11"/>
  <c r="Q3841" i="11" s="1"/>
  <c r="O3809" i="11"/>
  <c r="Q3809" i="11" s="1"/>
  <c r="O3761" i="11"/>
  <c r="Q3761" i="11" s="1"/>
  <c r="O3729" i="11"/>
  <c r="Q3729" i="11" s="1"/>
  <c r="O3713" i="11"/>
  <c r="Q3713" i="11" s="1"/>
  <c r="O3681" i="11"/>
  <c r="Q3681" i="11" s="1"/>
  <c r="O3520" i="11"/>
  <c r="Q3520" i="11" s="1"/>
  <c r="O3504" i="11"/>
  <c r="Q3504" i="11" s="1"/>
  <c r="O3472" i="11"/>
  <c r="Q3472" i="11" s="1"/>
  <c r="O3456" i="11"/>
  <c r="Q3456" i="11" s="1"/>
  <c r="O3424" i="11"/>
  <c r="Q3424" i="11" s="1"/>
  <c r="O3408" i="11"/>
  <c r="Q3408" i="11" s="1"/>
  <c r="O3376" i="11"/>
  <c r="Q3376" i="11" s="1"/>
  <c r="O1157" i="11"/>
  <c r="Q1157" i="11" s="1"/>
  <c r="O4690" i="11"/>
  <c r="Q4690" i="11" s="1"/>
  <c r="O4658" i="11"/>
  <c r="Q4658" i="11" s="1"/>
  <c r="O4626" i="11"/>
  <c r="Q4626" i="11" s="1"/>
  <c r="O4610" i="11"/>
  <c r="Q4610" i="11" s="1"/>
  <c r="O4578" i="11"/>
  <c r="Q4578" i="11" s="1"/>
  <c r="O4562" i="11"/>
  <c r="Q4562" i="11" s="1"/>
  <c r="O4546" i="11"/>
  <c r="Q4546" i="11" s="1"/>
  <c r="O4514" i="11"/>
  <c r="Q4514" i="11" s="1"/>
  <c r="O4498" i="11"/>
  <c r="Q4498" i="11" s="1"/>
  <c r="O4466" i="11"/>
  <c r="Q4466" i="11" s="1"/>
  <c r="O4450" i="11"/>
  <c r="Q4450" i="11" s="1"/>
  <c r="O4418" i="11"/>
  <c r="Q4418" i="11" s="1"/>
  <c r="O4402" i="11"/>
  <c r="Q4402" i="11" s="1"/>
  <c r="O4370" i="11"/>
  <c r="Q4370" i="11" s="1"/>
  <c r="O4338" i="11"/>
  <c r="Q4338" i="11" s="1"/>
  <c r="O4306" i="11"/>
  <c r="Q4306" i="11" s="1"/>
  <c r="O4290" i="11"/>
  <c r="Q4290" i="11" s="1"/>
  <c r="O4258" i="11"/>
  <c r="Q4258" i="11" s="1"/>
  <c r="O4242" i="11"/>
  <c r="Q4242" i="11" s="1"/>
  <c r="O4226" i="11"/>
  <c r="Q4226" i="11" s="1"/>
  <c r="O4194" i="11"/>
  <c r="Q4194" i="11" s="1"/>
  <c r="O4178" i="11"/>
  <c r="Q4178" i="11" s="1"/>
  <c r="O4162" i="11"/>
  <c r="Q4162" i="11" s="1"/>
  <c r="O4130" i="11"/>
  <c r="Q4130" i="11" s="1"/>
  <c r="O4114" i="11"/>
  <c r="Q4114" i="11" s="1"/>
  <c r="O4098" i="11"/>
  <c r="Q4098" i="11" s="1"/>
  <c r="O4066" i="11"/>
  <c r="Q4066" i="11" s="1"/>
  <c r="O4050" i="11"/>
  <c r="Q4050" i="11" s="1"/>
  <c r="O4034" i="11"/>
  <c r="Q4034" i="11" s="1"/>
  <c r="O4002" i="11"/>
  <c r="Q4002" i="11" s="1"/>
  <c r="O3970" i="11"/>
  <c r="Q3970" i="11" s="1"/>
  <c r="O3938" i="11"/>
  <c r="Q3938" i="11" s="1"/>
  <c r="O3906" i="11"/>
  <c r="Q3906" i="11" s="1"/>
  <c r="O3890" i="11"/>
  <c r="Q3890" i="11" s="1"/>
  <c r="O3858" i="11"/>
  <c r="Q3858" i="11" s="1"/>
  <c r="O3842" i="11"/>
  <c r="Q3842" i="11" s="1"/>
  <c r="O3826" i="11"/>
  <c r="Q3826" i="11" s="1"/>
  <c r="O3794" i="11"/>
  <c r="Q3794" i="11" s="1"/>
  <c r="O3778" i="11"/>
  <c r="Q3778" i="11" s="1"/>
  <c r="O3746" i="11"/>
  <c r="Q3746" i="11" s="1"/>
  <c r="O3730" i="11"/>
  <c r="Q3730" i="11" s="1"/>
  <c r="O3698" i="11"/>
  <c r="Q3698" i="11" s="1"/>
  <c r="O3682" i="11"/>
  <c r="Q3682" i="11" s="1"/>
  <c r="O3659" i="11"/>
  <c r="Q3659" i="11" s="1"/>
  <c r="O3637" i="11"/>
  <c r="Q3637" i="11" s="1"/>
  <c r="O3627" i="11"/>
  <c r="Q3627" i="11" s="1"/>
  <c r="O3605" i="11"/>
  <c r="Q3605" i="11" s="1"/>
  <c r="O3584" i="11"/>
  <c r="Q3584" i="11" s="1"/>
  <c r="O3573" i="11"/>
  <c r="Q3573" i="11" s="1"/>
  <c r="O3552" i="11"/>
  <c r="Q3552" i="11" s="1"/>
  <c r="O3541" i="11"/>
  <c r="Q3541" i="11" s="1"/>
  <c r="O3515" i="11"/>
  <c r="Q3515" i="11" s="1"/>
  <c r="O3499" i="11"/>
  <c r="Q3499" i="11" s="1"/>
  <c r="O3483" i="11"/>
  <c r="Q3483" i="11" s="1"/>
  <c r="O3451" i="11"/>
  <c r="Q3451" i="11" s="1"/>
  <c r="O3435" i="11"/>
  <c r="Q3435" i="11" s="1"/>
  <c r="O3403" i="11"/>
  <c r="Q3403" i="11" s="1"/>
  <c r="O3387" i="11"/>
  <c r="Q3387" i="11" s="1"/>
  <c r="O3367" i="11"/>
  <c r="Q3367" i="11" s="1"/>
  <c r="O3354" i="11"/>
  <c r="Q3354" i="11" s="1"/>
  <c r="O3333" i="11"/>
  <c r="Q3333" i="11" s="1"/>
  <c r="O3311" i="11"/>
  <c r="Q3311" i="11" s="1"/>
  <c r="O3290" i="11"/>
  <c r="Q3290" i="11" s="1"/>
  <c r="O3269" i="11"/>
  <c r="Q3269" i="11" s="1"/>
  <c r="O3258" i="11"/>
  <c r="Q3258" i="11" s="1"/>
  <c r="O3247" i="11"/>
  <c r="Q3247" i="11" s="1"/>
  <c r="O3226" i="11"/>
  <c r="Q3226" i="11" s="1"/>
  <c r="O3215" i="11"/>
  <c r="Q3215" i="11" s="1"/>
  <c r="O3205" i="11"/>
  <c r="Q3205" i="11" s="1"/>
  <c r="O3174" i="11"/>
  <c r="Q3174" i="11" s="1"/>
  <c r="O3158" i="11"/>
  <c r="Q3158" i="11" s="1"/>
  <c r="O3126" i="11"/>
  <c r="Q3126" i="11" s="1"/>
  <c r="O3094" i="11"/>
  <c r="Q3094" i="11" s="1"/>
  <c r="O3078" i="11"/>
  <c r="Q3078" i="11" s="1"/>
  <c r="O3046" i="11"/>
  <c r="Q3046" i="11" s="1"/>
  <c r="O2998" i="11"/>
  <c r="Q2998" i="11" s="1"/>
  <c r="O2982" i="11"/>
  <c r="Q2982" i="11" s="1"/>
  <c r="O2950" i="11"/>
  <c r="Q2950" i="11" s="1"/>
  <c r="O2934" i="11"/>
  <c r="Q2934" i="11" s="1"/>
  <c r="O2902" i="11"/>
  <c r="Q2902" i="11" s="1"/>
  <c r="O2886" i="11"/>
  <c r="Q2886" i="11" s="1"/>
  <c r="O2870" i="11"/>
  <c r="Q2870" i="11" s="1"/>
  <c r="O2854" i="11"/>
  <c r="Q2854" i="11" s="1"/>
  <c r="O2822" i="11"/>
  <c r="Q2822" i="11" s="1"/>
  <c r="O2806" i="11"/>
  <c r="Q2806" i="11" s="1"/>
  <c r="O2774" i="11"/>
  <c r="Q2774" i="11" s="1"/>
  <c r="O2742" i="11"/>
  <c r="Q2742" i="11" s="1"/>
  <c r="O2710" i="11"/>
  <c r="Q2710" i="11" s="1"/>
  <c r="O2678" i="11"/>
  <c r="Q2678" i="11" s="1"/>
  <c r="O2646" i="11"/>
  <c r="Q2646" i="11" s="1"/>
  <c r="O2614" i="11"/>
  <c r="Q2614" i="11" s="1"/>
  <c r="O2598" i="11"/>
  <c r="Q2598" i="11" s="1"/>
  <c r="O2582" i="11"/>
  <c r="Q2582" i="11" s="1"/>
  <c r="O2550" i="11"/>
  <c r="Q2550" i="11" s="1"/>
  <c r="O2522" i="11"/>
  <c r="Q2522" i="11" s="1"/>
  <c r="O2490" i="11"/>
  <c r="Q2490" i="11" s="1"/>
  <c r="O2426" i="11"/>
  <c r="Q2426" i="11" s="1"/>
  <c r="O2394" i="11"/>
  <c r="Q2394" i="11" s="1"/>
  <c r="O2330" i="11"/>
  <c r="Q2330" i="11" s="1"/>
  <c r="O2298" i="11"/>
  <c r="Q2298" i="11" s="1"/>
  <c r="O2234" i="11"/>
  <c r="Q2234" i="11" s="1"/>
  <c r="O2170" i="11"/>
  <c r="Q2170" i="11" s="1"/>
  <c r="O2106" i="11"/>
  <c r="Q2106" i="11" s="1"/>
  <c r="O2074" i="11"/>
  <c r="Q2074" i="11" s="1"/>
  <c r="O2010" i="11"/>
  <c r="Q2010" i="11" s="1"/>
  <c r="O1978" i="11"/>
  <c r="Q1978" i="11" s="1"/>
  <c r="O1946" i="11"/>
  <c r="Q1946" i="11" s="1"/>
  <c r="O1839" i="11"/>
  <c r="Q1839" i="11" s="1"/>
  <c r="O1775" i="11"/>
  <c r="Q1775" i="11" s="1"/>
  <c r="O1647" i="11"/>
  <c r="Q1647" i="11" s="1"/>
  <c r="O1566" i="11"/>
  <c r="Q1566" i="11" s="1"/>
  <c r="O1310" i="11"/>
  <c r="Q1310" i="11" s="1"/>
  <c r="O1086" i="11"/>
  <c r="Q1086" i="11" s="1"/>
  <c r="O3521" i="11"/>
  <c r="Q3521" i="11" s="1"/>
  <c r="O3505" i="11"/>
  <c r="Q3505" i="11" s="1"/>
  <c r="O3457" i="11"/>
  <c r="Q3457" i="11" s="1"/>
  <c r="O3441" i="11"/>
  <c r="Q3441" i="11" s="1"/>
  <c r="O3409" i="11"/>
  <c r="Q3409" i="11" s="1"/>
  <c r="O3393" i="11"/>
  <c r="Q3393" i="11" s="1"/>
  <c r="O3361" i="11"/>
  <c r="Q3361" i="11" s="1"/>
  <c r="O3350" i="11"/>
  <c r="Q3350" i="11" s="1"/>
  <c r="O3339" i="11"/>
  <c r="Q3339" i="11" s="1"/>
  <c r="O3318" i="11"/>
  <c r="Q3318" i="11" s="1"/>
  <c r="O3307" i="11"/>
  <c r="Q3307" i="11" s="1"/>
  <c r="O3286" i="11"/>
  <c r="Q3286" i="11" s="1"/>
  <c r="O3275" i="11"/>
  <c r="Q3275" i="11" s="1"/>
  <c r="O3254" i="11"/>
  <c r="Q3254" i="11" s="1"/>
  <c r="O3243" i="11"/>
  <c r="Q3243" i="11" s="1"/>
  <c r="O3222" i="11"/>
  <c r="Q3222" i="11" s="1"/>
  <c r="O3211" i="11"/>
  <c r="Q3211" i="11" s="1"/>
  <c r="O2518" i="11"/>
  <c r="Q2518" i="11" s="1"/>
  <c r="O2454" i="11"/>
  <c r="Q2454" i="11" s="1"/>
  <c r="O2422" i="11"/>
  <c r="Q2422" i="11" s="1"/>
  <c r="O2358" i="11"/>
  <c r="Q2358" i="11" s="1"/>
  <c r="O2326" i="11"/>
  <c r="Q2326" i="11" s="1"/>
  <c r="O2262" i="11"/>
  <c r="Q2262" i="11" s="1"/>
  <c r="O2230" i="11"/>
  <c r="Q2230" i="11" s="1"/>
  <c r="O2198" i="11"/>
  <c r="Q2198" i="11" s="1"/>
  <c r="O2134" i="11"/>
  <c r="Q2134" i="11" s="1"/>
  <c r="O2102" i="11"/>
  <c r="Q2102" i="11" s="1"/>
  <c r="O2038" i="11"/>
  <c r="Q2038" i="11" s="1"/>
  <c r="O2006" i="11"/>
  <c r="Q2006" i="11" s="1"/>
  <c r="O1942" i="11"/>
  <c r="Q1942" i="11" s="1"/>
  <c r="O1815" i="11"/>
  <c r="Q1815" i="11" s="1"/>
  <c r="O1687" i="11"/>
  <c r="Q1687" i="11" s="1"/>
  <c r="O1623" i="11"/>
  <c r="Q1623" i="11" s="1"/>
  <c r="O1495" i="11"/>
  <c r="Q1495" i="11" s="1"/>
  <c r="O1431" i="11"/>
  <c r="Q1431" i="11" s="1"/>
  <c r="O1350" i="11"/>
  <c r="Q1350" i="11" s="1"/>
  <c r="O942" i="11"/>
  <c r="Q942" i="11" s="1"/>
  <c r="O3670" i="11"/>
  <c r="Q3670" i="11" s="1"/>
  <c r="O3638" i="11"/>
  <c r="Q3638" i="11" s="1"/>
  <c r="O3622" i="11"/>
  <c r="Q3622" i="11" s="1"/>
  <c r="O3590" i="11"/>
  <c r="Q3590" i="11" s="1"/>
  <c r="O3558" i="11"/>
  <c r="Q3558" i="11" s="1"/>
  <c r="O3526" i="11"/>
  <c r="Q3526" i="11" s="1"/>
  <c r="O3510" i="11"/>
  <c r="Q3510" i="11" s="1"/>
  <c r="O3478" i="11"/>
  <c r="Q3478" i="11" s="1"/>
  <c r="O3462" i="11"/>
  <c r="Q3462" i="11" s="1"/>
  <c r="O3430" i="11"/>
  <c r="Q3430" i="11" s="1"/>
  <c r="O3414" i="11"/>
  <c r="Q3414" i="11" s="1"/>
  <c r="O3382" i="11"/>
  <c r="Q3382" i="11" s="1"/>
  <c r="O3366" i="11"/>
  <c r="Q3366" i="11" s="1"/>
  <c r="O3191" i="11"/>
  <c r="Q3191" i="11" s="1"/>
  <c r="O3159" i="11"/>
  <c r="Q3159" i="11" s="1"/>
  <c r="O3143" i="11"/>
  <c r="Q3143" i="11" s="1"/>
  <c r="O3111" i="11"/>
  <c r="Q3111" i="11" s="1"/>
  <c r="O3079" i="11"/>
  <c r="Q3079" i="11" s="1"/>
  <c r="O3047" i="11"/>
  <c r="Q3047" i="11" s="1"/>
  <c r="O3015" i="11"/>
  <c r="Q3015" i="11" s="1"/>
  <c r="O2983" i="11"/>
  <c r="Q2983" i="11" s="1"/>
  <c r="O2951" i="11"/>
  <c r="Q2951" i="11" s="1"/>
  <c r="O2935" i="11"/>
  <c r="Q2935" i="11" s="1"/>
  <c r="O2919" i="11"/>
  <c r="Q2919" i="11" s="1"/>
  <c r="O2887" i="11"/>
  <c r="Q2887" i="11" s="1"/>
  <c r="O2871" i="11"/>
  <c r="Q2871" i="11" s="1"/>
  <c r="O2855" i="11"/>
  <c r="Q2855" i="11" s="1"/>
  <c r="O2823" i="11"/>
  <c r="Q2823" i="11" s="1"/>
  <c r="O2807" i="11"/>
  <c r="Q2807" i="11" s="1"/>
  <c r="O2775" i="11"/>
  <c r="Q2775" i="11" s="1"/>
  <c r="O2743" i="11"/>
  <c r="Q2743" i="11" s="1"/>
  <c r="O2711" i="11"/>
  <c r="Q2711" i="11" s="1"/>
  <c r="O2679" i="11"/>
  <c r="Q2679" i="11" s="1"/>
  <c r="O2647" i="11"/>
  <c r="Q2647" i="11" s="1"/>
  <c r="O2615" i="11"/>
  <c r="Q2615" i="11" s="1"/>
  <c r="O2599" i="11"/>
  <c r="Q2599" i="11" s="1"/>
  <c r="O2567" i="11"/>
  <c r="Q2567" i="11" s="1"/>
  <c r="O2551" i="11"/>
  <c r="Q2551" i="11" s="1"/>
  <c r="O1281" i="11"/>
  <c r="Q1281" i="11" s="1"/>
  <c r="O1041" i="11"/>
  <c r="Q1041" i="11" s="1"/>
  <c r="O3185" i="11"/>
  <c r="Q3185" i="11" s="1"/>
  <c r="O3169" i="11"/>
  <c r="Q3169" i="11" s="1"/>
  <c r="O3137" i="11"/>
  <c r="Q3137" i="11" s="1"/>
  <c r="O3121" i="11"/>
  <c r="Q3121" i="11" s="1"/>
  <c r="O3089" i="11"/>
  <c r="Q3089" i="11" s="1"/>
  <c r="O3073" i="11"/>
  <c r="Q3073" i="11" s="1"/>
  <c r="O3041" i="11"/>
  <c r="Q3041" i="11" s="1"/>
  <c r="O3009" i="11"/>
  <c r="Q3009" i="11" s="1"/>
  <c r="O2977" i="11"/>
  <c r="Q2977" i="11" s="1"/>
  <c r="O2945" i="11"/>
  <c r="Q2945" i="11" s="1"/>
  <c r="O2913" i="11"/>
  <c r="Q2913" i="11" s="1"/>
  <c r="O2897" i="11"/>
  <c r="Q2897" i="11" s="1"/>
  <c r="O2865" i="11"/>
  <c r="Q2865" i="11" s="1"/>
  <c r="O2849" i="11"/>
  <c r="Q2849" i="11" s="1"/>
  <c r="O2833" i="11"/>
  <c r="Q2833" i="11" s="1"/>
  <c r="O2801" i="11"/>
  <c r="Q2801" i="11" s="1"/>
  <c r="O2785" i="11"/>
  <c r="Q2785" i="11" s="1"/>
  <c r="O2753" i="11"/>
  <c r="Q2753" i="11" s="1"/>
  <c r="O2737" i="11"/>
  <c r="Q2737" i="11" s="1"/>
  <c r="O2721" i="11"/>
  <c r="Q2721" i="11" s="1"/>
  <c r="O2689" i="11"/>
  <c r="Q2689" i="11" s="1"/>
  <c r="O2673" i="11"/>
  <c r="Q2673" i="11" s="1"/>
  <c r="O2641" i="11"/>
  <c r="Q2641" i="11" s="1"/>
  <c r="O2625" i="11"/>
  <c r="Q2625" i="11" s="1"/>
  <c r="O2577" i="11"/>
  <c r="Q2577" i="11" s="1"/>
  <c r="O2545" i="11"/>
  <c r="Q2545" i="11" s="1"/>
  <c r="O2529" i="11"/>
  <c r="Q2529" i="11" s="1"/>
  <c r="O2497" i="11"/>
  <c r="Q2497" i="11" s="1"/>
  <c r="O2481" i="11"/>
  <c r="Q2481" i="11" s="1"/>
  <c r="O2449" i="11"/>
  <c r="Q2449" i="11" s="1"/>
  <c r="O2433" i="11"/>
  <c r="Q2433" i="11" s="1"/>
  <c r="O2401" i="11"/>
  <c r="Q2401" i="11" s="1"/>
  <c r="O2385" i="11"/>
  <c r="Q2385" i="11" s="1"/>
  <c r="O2353" i="11"/>
  <c r="Q2353" i="11" s="1"/>
  <c r="O2321" i="11"/>
  <c r="Q2321" i="11" s="1"/>
  <c r="O2305" i="11"/>
  <c r="Q2305" i="11" s="1"/>
  <c r="O2273" i="11"/>
  <c r="Q2273" i="11" s="1"/>
  <c r="O2241" i="11"/>
  <c r="Q2241" i="11" s="1"/>
  <c r="O2209" i="11"/>
  <c r="Q2209" i="11" s="1"/>
  <c r="O2193" i="11"/>
  <c r="Q2193" i="11" s="1"/>
  <c r="O2161" i="11"/>
  <c r="Q2161" i="11" s="1"/>
  <c r="O2145" i="11"/>
  <c r="Q2145" i="11" s="1"/>
  <c r="O2129" i="11"/>
  <c r="Q2129" i="11" s="1"/>
  <c r="O2097" i="11"/>
  <c r="Q2097" i="11" s="1"/>
  <c r="O2081" i="11"/>
  <c r="Q2081" i="11" s="1"/>
  <c r="O2065" i="11"/>
  <c r="Q2065" i="11" s="1"/>
  <c r="O2033" i="11"/>
  <c r="Q2033" i="11" s="1"/>
  <c r="O2017" i="11"/>
  <c r="Q2017" i="11" s="1"/>
  <c r="O1985" i="11"/>
  <c r="Q1985" i="11" s="1"/>
  <c r="O1969" i="11"/>
  <c r="Q1969" i="11" s="1"/>
  <c r="O1932" i="11"/>
  <c r="Q1932" i="11" s="1"/>
  <c r="O1298" i="11"/>
  <c r="Q1298" i="11" s="1"/>
  <c r="O1022" i="11"/>
  <c r="Q1022" i="11" s="1"/>
  <c r="O705" i="11"/>
  <c r="Q705" i="11" s="1"/>
  <c r="O245" i="11"/>
  <c r="Q245" i="11" s="1"/>
  <c r="O2535" i="11"/>
  <c r="Q2535" i="11" s="1"/>
  <c r="O2519" i="11"/>
  <c r="Q2519" i="11" s="1"/>
  <c r="O2487" i="11"/>
  <c r="Q2487" i="11" s="1"/>
  <c r="O2471" i="11"/>
  <c r="Q2471" i="11" s="1"/>
  <c r="O2455" i="11"/>
  <c r="Q2455" i="11" s="1"/>
  <c r="O2423" i="11"/>
  <c r="Q2423" i="11" s="1"/>
  <c r="O2407" i="11"/>
  <c r="Q2407" i="11" s="1"/>
  <c r="O2375" i="11"/>
  <c r="Q2375" i="11" s="1"/>
  <c r="O2359" i="11"/>
  <c r="Q2359" i="11" s="1"/>
  <c r="O2327" i="11"/>
  <c r="Q2327" i="11" s="1"/>
  <c r="O2295" i="11"/>
  <c r="Q2295" i="11" s="1"/>
  <c r="O2263" i="11"/>
  <c r="Q2263" i="11" s="1"/>
  <c r="O2231" i="11"/>
  <c r="Q2231" i="11" s="1"/>
  <c r="O2215" i="11"/>
  <c r="Q2215" i="11" s="1"/>
  <c r="O2199" i="11"/>
  <c r="Q2199" i="11" s="1"/>
  <c r="O2167" i="11"/>
  <c r="Q2167" i="11" s="1"/>
  <c r="O2151" i="11"/>
  <c r="Q2151" i="11" s="1"/>
  <c r="O2135" i="11"/>
  <c r="Q2135" i="11" s="1"/>
  <c r="O2119" i="11"/>
  <c r="Q2119" i="11" s="1"/>
  <c r="O2103" i="11"/>
  <c r="Q2103" i="11" s="1"/>
  <c r="O2071" i="11"/>
  <c r="Q2071" i="11" s="1"/>
  <c r="O2055" i="11"/>
  <c r="Q2055" i="11" s="1"/>
  <c r="O2023" i="11"/>
  <c r="Q2023" i="11" s="1"/>
  <c r="O2007" i="11"/>
  <c r="Q2007" i="11" s="1"/>
  <c r="O1975" i="11"/>
  <c r="Q1975" i="11" s="1"/>
  <c r="O1959" i="11"/>
  <c r="Q1959" i="11" s="1"/>
  <c r="O1186" i="11"/>
  <c r="Q1186" i="11" s="1"/>
  <c r="O828" i="11"/>
  <c r="Q828" i="11" s="1"/>
  <c r="O364" i="11"/>
  <c r="Q364" i="11" s="1"/>
  <c r="O3356" i="11"/>
  <c r="Q3356" i="11" s="1"/>
  <c r="O3324" i="11"/>
  <c r="Q3324" i="11" s="1"/>
  <c r="O3308" i="11"/>
  <c r="Q3308" i="11" s="1"/>
  <c r="O3292" i="11"/>
  <c r="Q3292" i="11" s="1"/>
  <c r="O3276" i="11"/>
  <c r="Q3276" i="11" s="1"/>
  <c r="O3244" i="11"/>
  <c r="Q3244" i="11" s="1"/>
  <c r="O3228" i="11"/>
  <c r="Q3228" i="11" s="1"/>
  <c r="O3212" i="11"/>
  <c r="Q3212" i="11" s="1"/>
  <c r="O3180" i="11"/>
  <c r="Q3180" i="11" s="1"/>
  <c r="O3164" i="11"/>
  <c r="Q3164" i="11" s="1"/>
  <c r="O3132" i="11"/>
  <c r="Q3132" i="11" s="1"/>
  <c r="O3116" i="11"/>
  <c r="Q3116" i="11" s="1"/>
  <c r="O3068" i="11"/>
  <c r="Q3068" i="11" s="1"/>
  <c r="O3036" i="11"/>
  <c r="Q3036" i="11" s="1"/>
  <c r="O3020" i="11"/>
  <c r="Q3020" i="11" s="1"/>
  <c r="O2988" i="11"/>
  <c r="Q2988" i="11" s="1"/>
  <c r="O2972" i="11"/>
  <c r="Q2972" i="11" s="1"/>
  <c r="O2956" i="11"/>
  <c r="Q2956" i="11" s="1"/>
  <c r="O2924" i="11"/>
  <c r="Q2924" i="11" s="1"/>
  <c r="O2908" i="11"/>
  <c r="Q2908" i="11" s="1"/>
  <c r="O2876" i="11"/>
  <c r="Q2876" i="11" s="1"/>
  <c r="O2860" i="11"/>
  <c r="Q2860" i="11" s="1"/>
  <c r="O2828" i="11"/>
  <c r="Q2828" i="11" s="1"/>
  <c r="O2812" i="11"/>
  <c r="Q2812" i="11" s="1"/>
  <c r="O2780" i="11"/>
  <c r="Q2780" i="11" s="1"/>
  <c r="O2748" i="11"/>
  <c r="Q2748" i="11" s="1"/>
  <c r="O2716" i="11"/>
  <c r="Q2716" i="11" s="1"/>
  <c r="O2700" i="11"/>
  <c r="Q2700" i="11" s="1"/>
  <c r="O2668" i="11"/>
  <c r="Q2668" i="11" s="1"/>
  <c r="O2636" i="11"/>
  <c r="Q2636" i="11" s="1"/>
  <c r="O2620" i="11"/>
  <c r="Q2620" i="11" s="1"/>
  <c r="O2588" i="11"/>
  <c r="Q2588" i="11" s="1"/>
  <c r="O2556" i="11"/>
  <c r="Q2556" i="11" s="1"/>
  <c r="O2540" i="11"/>
  <c r="Q2540" i="11" s="1"/>
  <c r="O2508" i="11"/>
  <c r="Q2508" i="11" s="1"/>
  <c r="O2492" i="11"/>
  <c r="Q2492" i="11" s="1"/>
  <c r="O2460" i="11"/>
  <c r="Q2460" i="11" s="1"/>
  <c r="O2428" i="11"/>
  <c r="Q2428" i="11" s="1"/>
  <c r="O2396" i="11"/>
  <c r="Q2396" i="11" s="1"/>
  <c r="O2380" i="11"/>
  <c r="Q2380" i="11" s="1"/>
  <c r="O2348" i="11"/>
  <c r="Q2348" i="11" s="1"/>
  <c r="O2316" i="11"/>
  <c r="Q2316" i="11" s="1"/>
  <c r="O2300" i="11"/>
  <c r="Q2300" i="11" s="1"/>
  <c r="O2268" i="11"/>
  <c r="Q2268" i="11" s="1"/>
  <c r="O2236" i="11"/>
  <c r="Q2236" i="11" s="1"/>
  <c r="O2220" i="11"/>
  <c r="Q2220" i="11" s="1"/>
  <c r="O2188" i="11"/>
  <c r="Q2188" i="11" s="1"/>
  <c r="O2156" i="11"/>
  <c r="Q2156" i="11" s="1"/>
  <c r="O2140" i="11"/>
  <c r="Q2140" i="11" s="1"/>
  <c r="O2108" i="11"/>
  <c r="Q2108" i="11" s="1"/>
  <c r="O2092" i="11"/>
  <c r="Q2092" i="11" s="1"/>
  <c r="O2060" i="11"/>
  <c r="Q2060" i="11" s="1"/>
  <c r="O2028" i="11"/>
  <c r="Q2028" i="11" s="1"/>
  <c r="O2012" i="11"/>
  <c r="Q2012" i="11" s="1"/>
  <c r="O1980" i="11"/>
  <c r="Q1980" i="11" s="1"/>
  <c r="O1948" i="11"/>
  <c r="Q1948" i="11" s="1"/>
  <c r="O1875" i="11"/>
  <c r="Q1875" i="11" s="1"/>
  <c r="O1843" i="11"/>
  <c r="Q1843" i="11" s="1"/>
  <c r="O1779" i="11"/>
  <c r="Q1779" i="11" s="1"/>
  <c r="O1747" i="11"/>
  <c r="Q1747" i="11" s="1"/>
  <c r="O1683" i="11"/>
  <c r="Q1683" i="11" s="1"/>
  <c r="O1651" i="11"/>
  <c r="Q1651" i="11" s="1"/>
  <c r="O1589" i="11"/>
  <c r="Q1589" i="11" s="1"/>
  <c r="O1550" i="11"/>
  <c r="Q1550" i="11" s="1"/>
  <c r="O1461" i="11"/>
  <c r="Q1461" i="11" s="1"/>
  <c r="O1383" i="11"/>
  <c r="Q1383" i="11" s="1"/>
  <c r="O1327" i="11"/>
  <c r="Q1327" i="11" s="1"/>
  <c r="O1198" i="11"/>
  <c r="Q1198" i="11" s="1"/>
  <c r="O1073" i="11"/>
  <c r="Q1073" i="11" s="1"/>
  <c r="O897" i="11"/>
  <c r="Q897" i="11" s="1"/>
  <c r="O814" i="11"/>
  <c r="Q814" i="11" s="1"/>
  <c r="O332" i="11"/>
  <c r="Q332" i="11" s="1"/>
  <c r="O60" i="11"/>
  <c r="Q60" i="11" s="1"/>
  <c r="O1902" i="11"/>
  <c r="Q1902" i="11" s="1"/>
  <c r="O1886" i="11"/>
  <c r="Q1886" i="11" s="1"/>
  <c r="O1870" i="11"/>
  <c r="Q1870" i="11" s="1"/>
  <c r="O1838" i="11"/>
  <c r="Q1838" i="11" s="1"/>
  <c r="O1822" i="11"/>
  <c r="Q1822" i="11" s="1"/>
  <c r="O1790" i="11"/>
  <c r="Q1790" i="11" s="1"/>
  <c r="O1758" i="11"/>
  <c r="Q1758" i="11" s="1"/>
  <c r="O1742" i="11"/>
  <c r="Q1742" i="11" s="1"/>
  <c r="O1726" i="11"/>
  <c r="Q1726" i="11" s="1"/>
  <c r="O1678" i="11"/>
  <c r="Q1678" i="11" s="1"/>
  <c r="O1646" i="11"/>
  <c r="Q1646" i="11" s="1"/>
  <c r="O1630" i="11"/>
  <c r="Q1630" i="11" s="1"/>
  <c r="O1598" i="11"/>
  <c r="Q1598" i="11" s="1"/>
  <c r="O1577" i="11"/>
  <c r="Q1577" i="11" s="1"/>
  <c r="O1531" i="11"/>
  <c r="Q1531" i="11" s="1"/>
  <c r="O1513" i="11"/>
  <c r="Q1513" i="11" s="1"/>
  <c r="O1467" i="11"/>
  <c r="Q1467" i="11" s="1"/>
  <c r="O1449" i="11"/>
  <c r="Q1449" i="11" s="1"/>
  <c r="O1403" i="11"/>
  <c r="Q1403" i="11" s="1"/>
  <c r="O1385" i="11"/>
  <c r="Q1385" i="11" s="1"/>
  <c r="O1321" i="11"/>
  <c r="Q1321" i="11" s="1"/>
  <c r="O1258" i="11"/>
  <c r="Q1258" i="11" s="1"/>
  <c r="O1074" i="11"/>
  <c r="Q1074" i="11" s="1"/>
  <c r="O921" i="11"/>
  <c r="Q921" i="11" s="1"/>
  <c r="O812" i="11"/>
  <c r="Q812" i="11" s="1"/>
  <c r="O753" i="11"/>
  <c r="Q753" i="11" s="1"/>
  <c r="O722" i="11"/>
  <c r="Q722" i="11" s="1"/>
  <c r="O608" i="11"/>
  <c r="Q608" i="11" s="1"/>
  <c r="O549" i="11"/>
  <c r="Q549" i="11" s="1"/>
  <c r="O426" i="11"/>
  <c r="Q426" i="11" s="1"/>
  <c r="O98" i="11"/>
  <c r="Q98" i="11" s="1"/>
  <c r="O1888" i="11"/>
  <c r="Q1888" i="11" s="1"/>
  <c r="O1856" i="11"/>
  <c r="Q1856" i="11" s="1"/>
  <c r="O1840" i="11"/>
  <c r="Q1840" i="11" s="1"/>
  <c r="O1808" i="11"/>
  <c r="Q1808" i="11" s="1"/>
  <c r="O1792" i="11"/>
  <c r="Q1792" i="11" s="1"/>
  <c r="O1760" i="11"/>
  <c r="Q1760" i="11" s="1"/>
  <c r="O1728" i="11"/>
  <c r="Q1728" i="11" s="1"/>
  <c r="O1696" i="11"/>
  <c r="Q1696" i="11" s="1"/>
  <c r="O1664" i="11"/>
  <c r="Q1664" i="11" s="1"/>
  <c r="O1648" i="11"/>
  <c r="Q1648" i="11" s="1"/>
  <c r="O1616" i="11"/>
  <c r="Q1616" i="11" s="1"/>
  <c r="O1600" i="11"/>
  <c r="Q1600" i="11" s="1"/>
  <c r="O1562" i="11"/>
  <c r="Q1562" i="11" s="1"/>
  <c r="O1539" i="11"/>
  <c r="Q1539" i="11" s="1"/>
  <c r="O1521" i="11"/>
  <c r="Q1521" i="11" s="1"/>
  <c r="O1475" i="11"/>
  <c r="Q1475" i="11" s="1"/>
  <c r="O1457" i="11"/>
  <c r="Q1457" i="11" s="1"/>
  <c r="O1411" i="11"/>
  <c r="Q1411" i="11" s="1"/>
  <c r="O1373" i="11"/>
  <c r="Q1373" i="11" s="1"/>
  <c r="O1341" i="11"/>
  <c r="Q1341" i="11" s="1"/>
  <c r="O1272" i="11"/>
  <c r="Q1272" i="11" s="1"/>
  <c r="O1120" i="11"/>
  <c r="Q1120" i="11" s="1"/>
  <c r="O930" i="11"/>
  <c r="Q930" i="11" s="1"/>
  <c r="O862" i="11"/>
  <c r="Q862" i="11" s="1"/>
  <c r="O674" i="11"/>
  <c r="Q674" i="11" s="1"/>
  <c r="O606" i="11"/>
  <c r="Q606" i="11" s="1"/>
  <c r="O480" i="11"/>
  <c r="Q480" i="11" s="1"/>
  <c r="O104" i="11"/>
  <c r="Q104" i="11" s="1"/>
  <c r="O1929" i="11"/>
  <c r="Q1929" i="11" s="1"/>
  <c r="O1897" i="11"/>
  <c r="Q1897" i="11" s="1"/>
  <c r="O1881" i="11"/>
  <c r="Q1881" i="11" s="1"/>
  <c r="O1849" i="11"/>
  <c r="Q1849" i="11" s="1"/>
  <c r="O1833" i="11"/>
  <c r="Q1833" i="11" s="1"/>
  <c r="O1801" i="11"/>
  <c r="Q1801" i="11" s="1"/>
  <c r="O1753" i="11"/>
  <c r="Q1753" i="11" s="1"/>
  <c r="O1721" i="11"/>
  <c r="Q1721" i="11" s="1"/>
  <c r="O1705" i="11"/>
  <c r="Q1705" i="11" s="1"/>
  <c r="O1673" i="11"/>
  <c r="Q1673" i="11" s="1"/>
  <c r="O1657" i="11"/>
  <c r="Q1657" i="11" s="1"/>
  <c r="O1641" i="11"/>
  <c r="Q1641" i="11" s="1"/>
  <c r="O1625" i="11"/>
  <c r="Q1625" i="11" s="1"/>
  <c r="O1609" i="11"/>
  <c r="Q1609" i="11" s="1"/>
  <c r="O1574" i="11"/>
  <c r="Q1574" i="11" s="1"/>
  <c r="O1551" i="11"/>
  <c r="Q1551" i="11" s="1"/>
  <c r="O1510" i="11"/>
  <c r="Q1510" i="11" s="1"/>
  <c r="O1487" i="11"/>
  <c r="Q1487" i="11" s="1"/>
  <c r="O1446" i="11"/>
  <c r="Q1446" i="11" s="1"/>
  <c r="O1405" i="11"/>
  <c r="Q1405" i="11" s="1"/>
  <c r="O1358" i="11"/>
  <c r="Q1358" i="11" s="1"/>
  <c r="O1302" i="11"/>
  <c r="Q1302" i="11" s="1"/>
  <c r="O1250" i="11"/>
  <c r="Q1250" i="11" s="1"/>
  <c r="O1182" i="11"/>
  <c r="Q1182" i="11" s="1"/>
  <c r="O1125" i="11"/>
  <c r="Q1125" i="11" s="1"/>
  <c r="O1096" i="11"/>
  <c r="Q1096" i="11" s="1"/>
  <c r="O1009" i="11"/>
  <c r="Q1009" i="11" s="1"/>
  <c r="O978" i="11"/>
  <c r="Q978" i="11" s="1"/>
  <c r="O904" i="11"/>
  <c r="Q904" i="11" s="1"/>
  <c r="O741" i="11"/>
  <c r="Q741" i="11" s="1"/>
  <c r="O648" i="11"/>
  <c r="Q648" i="11" s="1"/>
  <c r="O433" i="11"/>
  <c r="Q433" i="11" s="1"/>
  <c r="O329" i="11"/>
  <c r="Q329" i="11" s="1"/>
  <c r="O161" i="11"/>
  <c r="Q161" i="11" s="1"/>
  <c r="O117" i="11"/>
  <c r="Q117" i="11" s="1"/>
  <c r="O1354" i="11"/>
  <c r="Q1354" i="11" s="1"/>
  <c r="O1313" i="11"/>
  <c r="Q1313" i="11" s="1"/>
  <c r="O1282" i="11"/>
  <c r="Q1282" i="11" s="1"/>
  <c r="O1168" i="11"/>
  <c r="Q1168" i="11" s="1"/>
  <c r="O1116" i="11"/>
  <c r="Q1116" i="11" s="1"/>
  <c r="O1064" i="11"/>
  <c r="Q1064" i="11" s="1"/>
  <c r="O969" i="11"/>
  <c r="Q969" i="11" s="1"/>
  <c r="O912" i="11"/>
  <c r="Q912" i="11" s="1"/>
  <c r="O808" i="11"/>
  <c r="Q808" i="11" s="1"/>
  <c r="O770" i="11"/>
  <c r="Q770" i="11" s="1"/>
  <c r="O656" i="11"/>
  <c r="Q656" i="11" s="1"/>
  <c r="O552" i="11"/>
  <c r="Q552" i="11" s="1"/>
  <c r="O514" i="11"/>
  <c r="Q514" i="11" s="1"/>
  <c r="O400" i="11"/>
  <c r="Q400" i="11" s="1"/>
  <c r="O264" i="11"/>
  <c r="Q264" i="11" s="1"/>
  <c r="O192" i="11"/>
  <c r="Q192" i="11" s="1"/>
  <c r="O560" i="11"/>
  <c r="Q560" i="11" s="1"/>
  <c r="O508" i="11"/>
  <c r="Q508" i="11" s="1"/>
  <c r="O418" i="11"/>
  <c r="Q418" i="11" s="1"/>
  <c r="O361" i="11"/>
  <c r="Q361" i="11" s="1"/>
  <c r="O304" i="11"/>
  <c r="Q304" i="11" s="1"/>
  <c r="O200" i="11"/>
  <c r="Q200" i="11" s="1"/>
  <c r="O48" i="11"/>
  <c r="Q48" i="11" s="1"/>
  <c r="O889" i="11"/>
  <c r="Q889" i="11" s="1"/>
  <c r="O780" i="11"/>
  <c r="Q780" i="11" s="1"/>
  <c r="O728" i="11"/>
  <c r="Q728" i="11" s="1"/>
  <c r="O633" i="11"/>
  <c r="Q633" i="11" s="1"/>
  <c r="O524" i="11"/>
  <c r="Q524" i="11" s="1"/>
  <c r="O472" i="11"/>
  <c r="Q472" i="11" s="1"/>
  <c r="O377" i="11"/>
  <c r="Q377" i="11" s="1"/>
  <c r="O309" i="11"/>
  <c r="Q309" i="11" s="1"/>
  <c r="O249" i="11"/>
  <c r="Q249" i="11" s="1"/>
  <c r="O193" i="11"/>
  <c r="Q193" i="11" s="1"/>
  <c r="O162" i="11"/>
  <c r="Q162" i="11" s="1"/>
  <c r="O124" i="11"/>
  <c r="Q124" i="11" s="1"/>
  <c r="O41" i="11"/>
  <c r="Q41" i="11" s="1"/>
  <c r="O288" i="11"/>
  <c r="Q288" i="11" s="1"/>
  <c r="O184" i="11"/>
  <c r="Q184" i="11" s="1"/>
  <c r="O146" i="11"/>
  <c r="Q146" i="11" s="1"/>
  <c r="O32" i="11"/>
  <c r="Q32" i="11" s="1"/>
  <c r="O8381" i="11"/>
  <c r="Q8381" i="11" s="1"/>
  <c r="O8313" i="11"/>
  <c r="Q8313" i="11" s="1"/>
  <c r="O8281" i="11"/>
  <c r="Q8281" i="11" s="1"/>
  <c r="O8249" i="11"/>
  <c r="Q8249" i="11" s="1"/>
  <c r="O8217" i="11"/>
  <c r="Q8217" i="11" s="1"/>
  <c r="O8185" i="11"/>
  <c r="Q8185" i="11" s="1"/>
  <c r="O8153" i="11"/>
  <c r="Q8153" i="11" s="1"/>
  <c r="O8121" i="11"/>
  <c r="Q8121" i="11" s="1"/>
  <c r="O8089" i="11"/>
  <c r="Q8089" i="11" s="1"/>
  <c r="O8061" i="11"/>
  <c r="Q8061" i="11" s="1"/>
  <c r="O8025" i="11"/>
  <c r="Q8025" i="11" s="1"/>
  <c r="O7997" i="11"/>
  <c r="Q7997" i="11" s="1"/>
  <c r="O7965" i="11"/>
  <c r="Q7965" i="11" s="1"/>
  <c r="O7933" i="11"/>
  <c r="Q7933" i="11" s="1"/>
  <c r="O7917" i="11"/>
  <c r="Q7917" i="11" s="1"/>
  <c r="O7901" i="11"/>
  <c r="Q7901" i="11" s="1"/>
  <c r="O7885" i="11"/>
  <c r="Q7885" i="11" s="1"/>
  <c r="O7869" i="11"/>
  <c r="Q7869" i="11" s="1"/>
  <c r="O7853" i="11"/>
  <c r="Q7853" i="11" s="1"/>
  <c r="O7837" i="11"/>
  <c r="Q7837" i="11" s="1"/>
  <c r="O8393" i="11"/>
  <c r="Q8393" i="11" s="1"/>
  <c r="O8361" i="11"/>
  <c r="Q8361" i="11" s="1"/>
  <c r="O8333" i="11"/>
  <c r="Q8333" i="11" s="1"/>
  <c r="O8301" i="11"/>
  <c r="Q8301" i="11" s="1"/>
  <c r="O8269" i="11"/>
  <c r="Q8269" i="11" s="1"/>
  <c r="O8237" i="11"/>
  <c r="Q8237" i="11" s="1"/>
  <c r="O8201" i="11"/>
  <c r="Q8201" i="11" s="1"/>
  <c r="O8173" i="11"/>
  <c r="Q8173" i="11" s="1"/>
  <c r="O8137" i="11"/>
  <c r="Q8137" i="11" s="1"/>
  <c r="O8109" i="11"/>
  <c r="Q8109" i="11" s="1"/>
  <c r="O8077" i="11"/>
  <c r="Q8077" i="11" s="1"/>
  <c r="O8045" i="11"/>
  <c r="Q8045" i="11" s="1"/>
  <c r="O8013" i="11"/>
  <c r="Q8013" i="11" s="1"/>
  <c r="O7977" i="11"/>
  <c r="Q7977" i="11" s="1"/>
  <c r="O7949" i="11"/>
  <c r="Q7949" i="11" s="1"/>
  <c r="O7825" i="11"/>
  <c r="Q7825" i="11" s="1"/>
  <c r="O7809" i="11"/>
  <c r="Q7809" i="11" s="1"/>
  <c r="O7793" i="11"/>
  <c r="Q7793" i="11" s="1"/>
  <c r="O7777" i="11"/>
  <c r="Q7777" i="11" s="1"/>
  <c r="O7761" i="11"/>
  <c r="Q7761" i="11" s="1"/>
  <c r="O7745" i="11"/>
  <c r="Q7745" i="11" s="1"/>
  <c r="O7729" i="11"/>
  <c r="Q7729" i="11" s="1"/>
  <c r="O8395" i="11"/>
  <c r="Q8395" i="11" s="1"/>
  <c r="O8379" i="11"/>
  <c r="Q8379" i="11" s="1"/>
  <c r="O8363" i="11"/>
  <c r="Q8363" i="11" s="1"/>
  <c r="O8347" i="11"/>
  <c r="Q8347" i="11" s="1"/>
  <c r="O8331" i="11"/>
  <c r="Q8331" i="11" s="1"/>
  <c r="O8315" i="11"/>
  <c r="Q8315" i="11" s="1"/>
  <c r="O8299" i="11"/>
  <c r="Q8299" i="11" s="1"/>
  <c r="O8283" i="11"/>
  <c r="Q8283" i="11" s="1"/>
  <c r="O8267" i="11"/>
  <c r="Q8267" i="11" s="1"/>
  <c r="O8251" i="11"/>
  <c r="Q8251" i="11" s="1"/>
  <c r="O8235" i="11"/>
  <c r="Q8235" i="11" s="1"/>
  <c r="O8219" i="11"/>
  <c r="Q8219" i="11" s="1"/>
  <c r="O8203" i="11"/>
  <c r="Q8203" i="11" s="1"/>
  <c r="O8187" i="11"/>
  <c r="Q8187" i="11" s="1"/>
  <c r="O8171" i="11"/>
  <c r="Q8171" i="11" s="1"/>
  <c r="O8155" i="11"/>
  <c r="Q8155" i="11" s="1"/>
  <c r="O8139" i="11"/>
  <c r="Q8139" i="11" s="1"/>
  <c r="O8123" i="11"/>
  <c r="Q8123" i="11" s="1"/>
  <c r="O8107" i="11"/>
  <c r="Q8107" i="11" s="1"/>
  <c r="O8091" i="11"/>
  <c r="Q8091" i="11" s="1"/>
  <c r="O8075" i="11"/>
  <c r="Q8075" i="11" s="1"/>
  <c r="O8059" i="11"/>
  <c r="Q8059" i="11" s="1"/>
  <c r="O8043" i="11"/>
  <c r="Q8043" i="11" s="1"/>
  <c r="O8027" i="11"/>
  <c r="Q8027" i="11" s="1"/>
  <c r="O8011" i="11"/>
  <c r="Q8011" i="11" s="1"/>
  <c r="O7995" i="11"/>
  <c r="Q7995" i="11" s="1"/>
  <c r="O7979" i="11"/>
  <c r="Q7979" i="11" s="1"/>
  <c r="O7963" i="11"/>
  <c r="Q7963" i="11" s="1"/>
  <c r="O7947" i="11"/>
  <c r="Q7947" i="11" s="1"/>
  <c r="O7931" i="11"/>
  <c r="Q7931" i="11" s="1"/>
  <c r="O7915" i="11"/>
  <c r="Q7915" i="11" s="1"/>
  <c r="O7899" i="11"/>
  <c r="Q7899" i="11" s="1"/>
  <c r="O7883" i="11"/>
  <c r="Q7883" i="11" s="1"/>
  <c r="O7867" i="11"/>
  <c r="Q7867" i="11" s="1"/>
  <c r="O7851" i="11"/>
  <c r="Q7851" i="11" s="1"/>
  <c r="O7835" i="11"/>
  <c r="Q7835" i="11" s="1"/>
  <c r="O7819" i="11"/>
  <c r="Q7819" i="11" s="1"/>
  <c r="O7803" i="11"/>
  <c r="Q7803" i="11" s="1"/>
  <c r="O7787" i="11"/>
  <c r="Q7787" i="11" s="1"/>
  <c r="O7771" i="11"/>
  <c r="Q7771" i="11" s="1"/>
  <c r="O7755" i="11"/>
  <c r="Q7755" i="11" s="1"/>
  <c r="O7739" i="11"/>
  <c r="Q7739" i="11" s="1"/>
  <c r="O7579" i="11"/>
  <c r="Q7579" i="11" s="1"/>
  <c r="O7547" i="11"/>
  <c r="Q7547" i="11" s="1"/>
  <c r="O7515" i="11"/>
  <c r="Q7515" i="11" s="1"/>
  <c r="O7483" i="11"/>
  <c r="Q7483" i="11" s="1"/>
  <c r="O7451" i="11"/>
  <c r="Q7451" i="11" s="1"/>
  <c r="O7419" i="11"/>
  <c r="Q7419" i="11" s="1"/>
  <c r="O7387" i="11"/>
  <c r="Q7387" i="11" s="1"/>
  <c r="O7355" i="11"/>
  <c r="Q7355" i="11" s="1"/>
  <c r="O7323" i="11"/>
  <c r="Q7323" i="11" s="1"/>
  <c r="O7291" i="11"/>
  <c r="Q7291" i="11" s="1"/>
  <c r="O7259" i="11"/>
  <c r="Q7259" i="11" s="1"/>
  <c r="O7227" i="11"/>
  <c r="Q7227" i="11" s="1"/>
  <c r="O7195" i="11"/>
  <c r="Q7195" i="11" s="1"/>
  <c r="O7163" i="11"/>
  <c r="Q7163" i="11" s="1"/>
  <c r="O7131" i="11"/>
  <c r="Q7131" i="11" s="1"/>
  <c r="O7099" i="11"/>
  <c r="Q7099" i="11" s="1"/>
  <c r="O7067" i="11"/>
  <c r="Q7067" i="11" s="1"/>
  <c r="O7035" i="11"/>
  <c r="Q7035" i="11" s="1"/>
  <c r="O7003" i="11"/>
  <c r="Q7003" i="11" s="1"/>
  <c r="O6971" i="11"/>
  <c r="Q6971" i="11" s="1"/>
  <c r="O6939" i="11"/>
  <c r="Q6939" i="11" s="1"/>
  <c r="O6907" i="11"/>
  <c r="Q6907" i="11" s="1"/>
  <c r="O6875" i="11"/>
  <c r="Q6875" i="11" s="1"/>
  <c r="O6843" i="11"/>
  <c r="Q6843" i="11" s="1"/>
  <c r="O6811" i="11"/>
  <c r="Q6811" i="11" s="1"/>
  <c r="O6779" i="11"/>
  <c r="Q6779" i="11" s="1"/>
  <c r="O6747" i="11"/>
  <c r="Q6747" i="11" s="1"/>
  <c r="O6715" i="11"/>
  <c r="Q6715" i="11" s="1"/>
  <c r="O6683" i="11"/>
  <c r="Q6683" i="11" s="1"/>
  <c r="O6651" i="11"/>
  <c r="Q6651" i="11" s="1"/>
  <c r="O6619" i="11"/>
  <c r="Q6619" i="11" s="1"/>
  <c r="O6587" i="11"/>
  <c r="Q6587" i="11" s="1"/>
  <c r="O6555" i="11"/>
  <c r="Q6555" i="11" s="1"/>
  <c r="O7559" i="11"/>
  <c r="Q7559" i="11" s="1"/>
  <c r="O7527" i="11"/>
  <c r="Q7527" i="11" s="1"/>
  <c r="O7495" i="11"/>
  <c r="Q7495" i="11" s="1"/>
  <c r="O7463" i="11"/>
  <c r="Q7463" i="11" s="1"/>
  <c r="O7431" i="11"/>
  <c r="Q7431" i="11" s="1"/>
  <c r="O7399" i="11"/>
  <c r="Q7399" i="11" s="1"/>
  <c r="O7367" i="11"/>
  <c r="Q7367" i="11" s="1"/>
  <c r="O7335" i="11"/>
  <c r="Q7335" i="11" s="1"/>
  <c r="O7303" i="11"/>
  <c r="Q7303" i="11" s="1"/>
  <c r="O7271" i="11"/>
  <c r="Q7271" i="11" s="1"/>
  <c r="O7239" i="11"/>
  <c r="Q7239" i="11" s="1"/>
  <c r="O7207" i="11"/>
  <c r="Q7207" i="11" s="1"/>
  <c r="O7175" i="11"/>
  <c r="Q7175" i="11" s="1"/>
  <c r="O7143" i="11"/>
  <c r="Q7143" i="11" s="1"/>
  <c r="O7111" i="11"/>
  <c r="Q7111" i="11" s="1"/>
  <c r="O7079" i="11"/>
  <c r="Q7079" i="11" s="1"/>
  <c r="O7047" i="11"/>
  <c r="Q7047" i="11" s="1"/>
  <c r="O7015" i="11"/>
  <c r="Q7015" i="11" s="1"/>
  <c r="O6983" i="11"/>
  <c r="Q6983" i="11" s="1"/>
  <c r="O6951" i="11"/>
  <c r="Q6951" i="11" s="1"/>
  <c r="O6919" i="11"/>
  <c r="Q6919" i="11" s="1"/>
  <c r="O6887" i="11"/>
  <c r="Q6887" i="11" s="1"/>
  <c r="O6855" i="11"/>
  <c r="Q6855" i="11" s="1"/>
  <c r="O6823" i="11"/>
  <c r="Q6823" i="11" s="1"/>
  <c r="O6791" i="11"/>
  <c r="Q6791" i="11" s="1"/>
  <c r="O6759" i="11"/>
  <c r="Q6759" i="11" s="1"/>
  <c r="O6727" i="11"/>
  <c r="Q6727" i="11" s="1"/>
  <c r="O6695" i="11"/>
  <c r="Q6695" i="11" s="1"/>
  <c r="O6663" i="11"/>
  <c r="Q6663" i="11" s="1"/>
  <c r="O6631" i="11"/>
  <c r="Q6631" i="11" s="1"/>
  <c r="O6599" i="11"/>
  <c r="Q6599" i="11" s="1"/>
  <c r="O6567" i="11"/>
  <c r="Q6567" i="11" s="1"/>
  <c r="O8410" i="11"/>
  <c r="Q8410" i="11" s="1"/>
  <c r="O8402" i="11"/>
  <c r="Q8402" i="11" s="1"/>
  <c r="O8394" i="11"/>
  <c r="Q8394" i="11" s="1"/>
  <c r="O8386" i="11"/>
  <c r="Q8386" i="11" s="1"/>
  <c r="O8378" i="11"/>
  <c r="Q8378" i="11" s="1"/>
  <c r="O8370" i="11"/>
  <c r="Q8370" i="11" s="1"/>
  <c r="O8362" i="11"/>
  <c r="Q8362" i="11" s="1"/>
  <c r="O8354" i="11"/>
  <c r="Q8354" i="11" s="1"/>
  <c r="O8346" i="11"/>
  <c r="Q8346" i="11" s="1"/>
  <c r="O8338" i="11"/>
  <c r="Q8338" i="11" s="1"/>
  <c r="O8330" i="11"/>
  <c r="Q8330" i="11" s="1"/>
  <c r="O8322" i="11"/>
  <c r="Q8322" i="11" s="1"/>
  <c r="O8314" i="11"/>
  <c r="Q8314" i="11" s="1"/>
  <c r="O8306" i="11"/>
  <c r="Q8306" i="11" s="1"/>
  <c r="O8298" i="11"/>
  <c r="Q8298" i="11" s="1"/>
  <c r="O8290" i="11"/>
  <c r="Q8290" i="11" s="1"/>
  <c r="O8282" i="11"/>
  <c r="Q8282" i="11" s="1"/>
  <c r="O8274" i="11"/>
  <c r="Q8274" i="11" s="1"/>
  <c r="O8266" i="11"/>
  <c r="Q8266" i="11" s="1"/>
  <c r="O8258" i="11"/>
  <c r="Q8258" i="11" s="1"/>
  <c r="O8250" i="11"/>
  <c r="Q8250" i="11" s="1"/>
  <c r="O8242" i="11"/>
  <c r="Q8242" i="11" s="1"/>
  <c r="O8234" i="11"/>
  <c r="Q8234" i="11" s="1"/>
  <c r="O8226" i="11"/>
  <c r="Q8226" i="11" s="1"/>
  <c r="O8218" i="11"/>
  <c r="Q8218" i="11" s="1"/>
  <c r="O8210" i="11"/>
  <c r="Q8210" i="11" s="1"/>
  <c r="O8202" i="11"/>
  <c r="Q8202" i="11" s="1"/>
  <c r="O8194" i="11"/>
  <c r="Q8194" i="11" s="1"/>
  <c r="O8186" i="11"/>
  <c r="Q8186" i="11" s="1"/>
  <c r="O8170" i="11"/>
  <c r="Q8170" i="11" s="1"/>
  <c r="O8162" i="11"/>
  <c r="Q8162" i="11" s="1"/>
  <c r="O8154" i="11"/>
  <c r="Q8154" i="11" s="1"/>
  <c r="O8146" i="11"/>
  <c r="Q8146" i="11" s="1"/>
  <c r="O8138" i="11"/>
  <c r="Q8138" i="11" s="1"/>
  <c r="O8130" i="11"/>
  <c r="Q8130" i="11" s="1"/>
  <c r="O8122" i="11"/>
  <c r="Q8122" i="11" s="1"/>
  <c r="O8114" i="11"/>
  <c r="Q8114" i="11" s="1"/>
  <c r="O8106" i="11"/>
  <c r="Q8106" i="11" s="1"/>
  <c r="O8098" i="11"/>
  <c r="Q8098" i="11" s="1"/>
  <c r="O8090" i="11"/>
  <c r="Q8090" i="11" s="1"/>
  <c r="O8082" i="11"/>
  <c r="Q8082" i="11" s="1"/>
  <c r="O8074" i="11"/>
  <c r="Q8074" i="11" s="1"/>
  <c r="O8066" i="11"/>
  <c r="Q8066" i="11" s="1"/>
  <c r="O8058" i="11"/>
  <c r="Q8058" i="11" s="1"/>
  <c r="O8050" i="11"/>
  <c r="Q8050" i="11" s="1"/>
  <c r="O8042" i="11"/>
  <c r="Q8042" i="11" s="1"/>
  <c r="O8034" i="11"/>
  <c r="Q8034" i="11" s="1"/>
  <c r="O8026" i="11"/>
  <c r="Q8026" i="11" s="1"/>
  <c r="O8018" i="11"/>
  <c r="Q8018" i="11" s="1"/>
  <c r="O8010" i="11"/>
  <c r="Q8010" i="11" s="1"/>
  <c r="O8002" i="11"/>
  <c r="Q8002" i="11" s="1"/>
  <c r="O7994" i="11"/>
  <c r="Q7994" i="11" s="1"/>
  <c r="O7986" i="11"/>
  <c r="Q7986" i="11" s="1"/>
  <c r="O7978" i="11"/>
  <c r="Q7978" i="11" s="1"/>
  <c r="O7970" i="11"/>
  <c r="Q7970" i="11" s="1"/>
  <c r="O7962" i="11"/>
  <c r="Q7962" i="11" s="1"/>
  <c r="O7954" i="11"/>
  <c r="Q7954" i="11" s="1"/>
  <c r="O7946" i="11"/>
  <c r="Q7946" i="11" s="1"/>
  <c r="O7938" i="11"/>
  <c r="Q7938" i="11" s="1"/>
  <c r="O7930" i="11"/>
  <c r="Q7930" i="11" s="1"/>
  <c r="O7922" i="11"/>
  <c r="Q7922" i="11" s="1"/>
  <c r="O7914" i="11"/>
  <c r="Q7914" i="11" s="1"/>
  <c r="O7898" i="11"/>
  <c r="Q7898" i="11" s="1"/>
  <c r="O7890" i="11"/>
  <c r="Q7890" i="11" s="1"/>
  <c r="O7882" i="11"/>
  <c r="Q7882" i="11" s="1"/>
  <c r="O7874" i="11"/>
  <c r="Q7874" i="11" s="1"/>
  <c r="O7858" i="11"/>
  <c r="Q7858" i="11" s="1"/>
  <c r="O7850" i="11"/>
  <c r="Q7850" i="11" s="1"/>
  <c r="O7842" i="11"/>
  <c r="Q7842" i="11" s="1"/>
  <c r="O7834" i="11"/>
  <c r="Q7834" i="11" s="1"/>
  <c r="O7818" i="11"/>
  <c r="Q7818" i="11" s="1"/>
  <c r="O7810" i="11"/>
  <c r="Q7810" i="11" s="1"/>
  <c r="O7802" i="11"/>
  <c r="Q7802" i="11" s="1"/>
  <c r="O7794" i="11"/>
  <c r="Q7794" i="11" s="1"/>
  <c r="O7786" i="11"/>
  <c r="Q7786" i="11" s="1"/>
  <c r="O7770" i="11"/>
  <c r="Q7770" i="11" s="1"/>
  <c r="O7762" i="11"/>
  <c r="Q7762" i="11" s="1"/>
  <c r="O7746" i="11"/>
  <c r="Q7746" i="11" s="1"/>
  <c r="O7738" i="11"/>
  <c r="Q7738" i="11" s="1"/>
  <c r="O7574" i="11"/>
  <c r="Q7574" i="11" s="1"/>
  <c r="O7542" i="11"/>
  <c r="Q7542" i="11" s="1"/>
  <c r="O7526" i="11"/>
  <c r="Q7526" i="11" s="1"/>
  <c r="O7494" i="11"/>
  <c r="Q7494" i="11" s="1"/>
  <c r="O7462" i="11"/>
  <c r="Q7462" i="11" s="1"/>
  <c r="O7430" i="11"/>
  <c r="Q7430" i="11" s="1"/>
  <c r="O7414" i="11"/>
  <c r="Q7414" i="11" s="1"/>
  <c r="O7382" i="11"/>
  <c r="Q7382" i="11" s="1"/>
  <c r="O7366" i="11"/>
  <c r="Q7366" i="11" s="1"/>
  <c r="O7334" i="11"/>
  <c r="Q7334" i="11" s="1"/>
  <c r="O7318" i="11"/>
  <c r="Q7318" i="11" s="1"/>
  <c r="O7302" i="11"/>
  <c r="Q7302" i="11" s="1"/>
  <c r="O7270" i="11"/>
  <c r="Q7270" i="11" s="1"/>
  <c r="O7254" i="11"/>
  <c r="Q7254" i="11" s="1"/>
  <c r="O7222" i="11"/>
  <c r="Q7222" i="11" s="1"/>
  <c r="O7206" i="11"/>
  <c r="Q7206" i="11" s="1"/>
  <c r="O7174" i="11"/>
  <c r="Q7174" i="11" s="1"/>
  <c r="O7158" i="11"/>
  <c r="Q7158" i="11" s="1"/>
  <c r="O7126" i="11"/>
  <c r="Q7126" i="11" s="1"/>
  <c r="O7094" i="11"/>
  <c r="Q7094" i="11" s="1"/>
  <c r="O7062" i="11"/>
  <c r="Q7062" i="11" s="1"/>
  <c r="O7046" i="11"/>
  <c r="Q7046" i="11" s="1"/>
  <c r="O7014" i="11"/>
  <c r="Q7014" i="11" s="1"/>
  <c r="O6998" i="11"/>
  <c r="Q6998" i="11" s="1"/>
  <c r="O6966" i="11"/>
  <c r="Q6966" i="11" s="1"/>
  <c r="O6950" i="11"/>
  <c r="Q6950" i="11" s="1"/>
  <c r="O6918" i="11"/>
  <c r="Q6918" i="11" s="1"/>
  <c r="O6902" i="11"/>
  <c r="Q6902" i="11" s="1"/>
  <c r="O6870" i="11"/>
  <c r="Q6870" i="11" s="1"/>
  <c r="O6854" i="11"/>
  <c r="Q6854" i="11" s="1"/>
  <c r="O6822" i="11"/>
  <c r="Q6822" i="11" s="1"/>
  <c r="O6790" i="11"/>
  <c r="Q6790" i="11" s="1"/>
  <c r="O6774" i="11"/>
  <c r="Q6774" i="11" s="1"/>
  <c r="O6742" i="11"/>
  <c r="Q6742" i="11" s="1"/>
  <c r="O6710" i="11"/>
  <c r="Q6710" i="11" s="1"/>
  <c r="O6662" i="11"/>
  <c r="Q6662" i="11" s="1"/>
  <c r="O6646" i="11"/>
  <c r="Q6646" i="11" s="1"/>
  <c r="O6614" i="11"/>
  <c r="Q6614" i="11" s="1"/>
  <c r="O6598" i="11"/>
  <c r="Q6598" i="11" s="1"/>
  <c r="O6582" i="11"/>
  <c r="Q6582" i="11" s="1"/>
  <c r="O6566" i="11"/>
  <c r="Q6566" i="11" s="1"/>
  <c r="O6538" i="11"/>
  <c r="Q6538" i="11" s="1"/>
  <c r="O6530" i="11"/>
  <c r="Q6530" i="11" s="1"/>
  <c r="O6514" i="11"/>
  <c r="Q6514" i="11" s="1"/>
  <c r="O6498" i="11"/>
  <c r="Q6498" i="11" s="1"/>
  <c r="O6482" i="11"/>
  <c r="Q6482" i="11" s="1"/>
  <c r="O6474" i="11"/>
  <c r="Q6474" i="11" s="1"/>
  <c r="O6458" i="11"/>
  <c r="Q6458" i="11" s="1"/>
  <c r="O6450" i="11"/>
  <c r="Q6450" i="11" s="1"/>
  <c r="O6426" i="11"/>
  <c r="Q6426" i="11" s="1"/>
  <c r="O6410" i="11"/>
  <c r="Q6410" i="11" s="1"/>
  <c r="O6402" i="11"/>
  <c r="Q6402" i="11" s="1"/>
  <c r="O6386" i="11"/>
  <c r="Q6386" i="11" s="1"/>
  <c r="O6378" i="11"/>
  <c r="Q6378" i="11" s="1"/>
  <c r="O6362" i="11"/>
  <c r="Q6362" i="11" s="1"/>
  <c r="O6354" i="11"/>
  <c r="Q6354" i="11" s="1"/>
  <c r="O6346" i="11"/>
  <c r="Q6346" i="11" s="1"/>
  <c r="O6330" i="11"/>
  <c r="Q6330" i="11" s="1"/>
  <c r="O6322" i="11"/>
  <c r="Q6322" i="11" s="1"/>
  <c r="O6306" i="11"/>
  <c r="Q6306" i="11" s="1"/>
  <c r="O6290" i="11"/>
  <c r="Q6290" i="11" s="1"/>
  <c r="O6282" i="11"/>
  <c r="Q6282" i="11" s="1"/>
  <c r="O6266" i="11"/>
  <c r="Q6266" i="11" s="1"/>
  <c r="O6250" i="11"/>
  <c r="Q6250" i="11" s="1"/>
  <c r="O6234" i="11"/>
  <c r="Q6234" i="11" s="1"/>
  <c r="O6218" i="11"/>
  <c r="Q6218" i="11" s="1"/>
  <c r="O6210" i="11"/>
  <c r="Q6210" i="11" s="1"/>
  <c r="O6194" i="11"/>
  <c r="Q6194" i="11" s="1"/>
  <c r="O6186" i="11"/>
  <c r="Q6186" i="11" s="1"/>
  <c r="O6178" i="11"/>
  <c r="Q6178" i="11" s="1"/>
  <c r="O6162" i="11"/>
  <c r="Q6162" i="11" s="1"/>
  <c r="O6154" i="11"/>
  <c r="Q6154" i="11" s="1"/>
  <c r="O6138" i="11"/>
  <c r="Q6138" i="11" s="1"/>
  <c r="O6130" i="11"/>
  <c r="Q6130" i="11" s="1"/>
  <c r="O6114" i="11"/>
  <c r="Q6114" i="11" s="1"/>
  <c r="O6098" i="11"/>
  <c r="Q6098" i="11" s="1"/>
  <c r="O6082" i="11"/>
  <c r="Q6082" i="11" s="1"/>
  <c r="O6074" i="11"/>
  <c r="Q6074" i="11" s="1"/>
  <c r="O6058" i="11"/>
  <c r="Q6058" i="11" s="1"/>
  <c r="O6050" i="11"/>
  <c r="Q6050" i="11" s="1"/>
  <c r="O6026" i="11"/>
  <c r="Q6026" i="11" s="1"/>
  <c r="O6018" i="11"/>
  <c r="Q6018" i="11" s="1"/>
  <c r="O6002" i="11"/>
  <c r="Q6002" i="11" s="1"/>
  <c r="O5994" i="11"/>
  <c r="Q5994" i="11" s="1"/>
  <c r="O5978" i="11"/>
  <c r="Q5978" i="11" s="1"/>
  <c r="O5970" i="11"/>
  <c r="Q5970" i="11" s="1"/>
  <c r="O5954" i="11"/>
  <c r="Q5954" i="11" s="1"/>
  <c r="O5946" i="11"/>
  <c r="Q5946" i="11" s="1"/>
  <c r="O5938" i="11"/>
  <c r="Q5938" i="11" s="1"/>
  <c r="O5922" i="11"/>
  <c r="Q5922" i="11" s="1"/>
  <c r="O5906" i="11"/>
  <c r="Q5906" i="11" s="1"/>
  <c r="O5898" i="11"/>
  <c r="Q5898" i="11" s="1"/>
  <c r="O5882" i="11"/>
  <c r="Q5882" i="11" s="1"/>
  <c r="O5866" i="11"/>
  <c r="Q5866" i="11" s="1"/>
  <c r="O5850" i="11"/>
  <c r="Q5850" i="11" s="1"/>
  <c r="O5834" i="11"/>
  <c r="Q5834" i="11" s="1"/>
  <c r="O5818" i="11"/>
  <c r="Q5818" i="11" s="1"/>
  <c r="O5810" i="11"/>
  <c r="Q5810" i="11" s="1"/>
  <c r="O5794" i="11"/>
  <c r="Q5794" i="11" s="1"/>
  <c r="O5786" i="11"/>
  <c r="Q5786" i="11" s="1"/>
  <c r="O5770" i="11"/>
  <c r="Q5770" i="11" s="1"/>
  <c r="O5762" i="11"/>
  <c r="Q5762" i="11" s="1"/>
  <c r="O5754" i="11"/>
  <c r="Q5754" i="11" s="1"/>
  <c r="O5738" i="11"/>
  <c r="Q5738" i="11" s="1"/>
  <c r="O5730" i="11"/>
  <c r="Q5730" i="11" s="1"/>
  <c r="O5714" i="11"/>
  <c r="Q5714" i="11" s="1"/>
  <c r="O5698" i="11"/>
  <c r="Q5698" i="11" s="1"/>
  <c r="O5682" i="11"/>
  <c r="Q5682" i="11" s="1"/>
  <c r="O5674" i="11"/>
  <c r="Q5674" i="11" s="1"/>
  <c r="O5658" i="11"/>
  <c r="Q5658" i="11" s="1"/>
  <c r="O5642" i="11"/>
  <c r="Q5642" i="11" s="1"/>
  <c r="O5626" i="11"/>
  <c r="Q5626" i="11" s="1"/>
  <c r="O5610" i="11"/>
  <c r="Q5610" i="11" s="1"/>
  <c r="O5602" i="11"/>
  <c r="Q5602" i="11" s="1"/>
  <c r="O5586" i="11"/>
  <c r="Q5586" i="11" s="1"/>
  <c r="O5578" i="11"/>
  <c r="Q5578" i="11" s="1"/>
  <c r="O5570" i="11"/>
  <c r="Q5570" i="11" s="1"/>
  <c r="O5554" i="11"/>
  <c r="Q5554" i="11" s="1"/>
  <c r="O5546" i="11"/>
  <c r="Q5546" i="11" s="1"/>
  <c r="O5530" i="11"/>
  <c r="Q5530" i="11" s="1"/>
  <c r="O5514" i="11"/>
  <c r="Q5514" i="11" s="1"/>
  <c r="O5506" i="11"/>
  <c r="Q5506" i="11" s="1"/>
  <c r="O5490" i="11"/>
  <c r="Q5490" i="11" s="1"/>
  <c r="O5474" i="11"/>
  <c r="Q5474" i="11" s="1"/>
  <c r="O5466" i="11"/>
  <c r="Q5466" i="11" s="1"/>
  <c r="O5450" i="11"/>
  <c r="Q5450" i="11" s="1"/>
  <c r="O5434" i="11"/>
  <c r="Q5434" i="11" s="1"/>
  <c r="O5418" i="11"/>
  <c r="Q5418" i="11" s="1"/>
  <c r="O5410" i="11"/>
  <c r="Q5410" i="11" s="1"/>
  <c r="O5402" i="11"/>
  <c r="Q5402" i="11" s="1"/>
  <c r="O5394" i="11"/>
  <c r="Q5394" i="11" s="1"/>
  <c r="O5378" i="11"/>
  <c r="Q5378" i="11" s="1"/>
  <c r="O5362" i="11"/>
  <c r="Q5362" i="11" s="1"/>
  <c r="O5346" i="11"/>
  <c r="Q5346" i="11" s="1"/>
  <c r="O5338" i="11"/>
  <c r="Q5338" i="11" s="1"/>
  <c r="O5322" i="11"/>
  <c r="Q5322" i="11" s="1"/>
  <c r="O5306" i="11"/>
  <c r="Q5306" i="11" s="1"/>
  <c r="O5298" i="11"/>
  <c r="Q5298" i="11" s="1"/>
  <c r="O5282" i="11"/>
  <c r="Q5282" i="11" s="1"/>
  <c r="O5266" i="11"/>
  <c r="Q5266" i="11" s="1"/>
  <c r="O5250" i="11"/>
  <c r="Q5250" i="11" s="1"/>
  <c r="O5242" i="11"/>
  <c r="Q5242" i="11" s="1"/>
  <c r="O5226" i="11"/>
  <c r="Q5226" i="11" s="1"/>
  <c r="O5218" i="11"/>
  <c r="Q5218" i="11" s="1"/>
  <c r="O5210" i="11"/>
  <c r="Q5210" i="11" s="1"/>
  <c r="O5194" i="11"/>
  <c r="Q5194" i="11" s="1"/>
  <c r="O5186" i="11"/>
  <c r="Q5186" i="11" s="1"/>
  <c r="O5170" i="11"/>
  <c r="Q5170" i="11" s="1"/>
  <c r="O5162" i="11"/>
  <c r="Q5162" i="11" s="1"/>
  <c r="O5146" i="11"/>
  <c r="Q5146" i="11" s="1"/>
  <c r="O5130" i="11"/>
  <c r="Q5130" i="11" s="1"/>
  <c r="O5114" i="11"/>
  <c r="Q5114" i="11" s="1"/>
  <c r="O5106" i="11"/>
  <c r="Q5106" i="11" s="1"/>
  <c r="O3623" i="11"/>
  <c r="Q3623" i="11" s="1"/>
  <c r="O5048" i="11"/>
  <c r="Q5048" i="11" s="1"/>
  <c r="O4984" i="11"/>
  <c r="Q4984" i="11" s="1"/>
  <c r="O7568" i="11"/>
  <c r="Q7568" i="11" s="1"/>
  <c r="O7536" i="11"/>
  <c r="Q7536" i="11" s="1"/>
  <c r="O7520" i="11"/>
  <c r="Q7520" i="11" s="1"/>
  <c r="O7504" i="11"/>
  <c r="Q7504" i="11" s="1"/>
  <c r="O7472" i="11"/>
  <c r="Q7472" i="11" s="1"/>
  <c r="O7456" i="11"/>
  <c r="Q7456" i="11" s="1"/>
  <c r="O7424" i="11"/>
  <c r="Q7424" i="11" s="1"/>
  <c r="O7408" i="11"/>
  <c r="Q7408" i="11" s="1"/>
  <c r="O7376" i="11"/>
  <c r="Q7376" i="11" s="1"/>
  <c r="O7360" i="11"/>
  <c r="Q7360" i="11" s="1"/>
  <c r="O7328" i="11"/>
  <c r="Q7328" i="11" s="1"/>
  <c r="O7296" i="11"/>
  <c r="Q7296" i="11" s="1"/>
  <c r="O7264" i="11"/>
  <c r="Q7264" i="11" s="1"/>
  <c r="O7232" i="11"/>
  <c r="Q7232" i="11" s="1"/>
  <c r="O7216" i="11"/>
  <c r="Q7216" i="11" s="1"/>
  <c r="O7184" i="11"/>
  <c r="Q7184" i="11" s="1"/>
  <c r="O7168" i="11"/>
  <c r="Q7168" i="11" s="1"/>
  <c r="O7136" i="11"/>
  <c r="Q7136" i="11" s="1"/>
  <c r="O7120" i="11"/>
  <c r="Q7120" i="11" s="1"/>
  <c r="O7104" i="11"/>
  <c r="Q7104" i="11" s="1"/>
  <c r="O7072" i="11"/>
  <c r="Q7072" i="11" s="1"/>
  <c r="O7056" i="11"/>
  <c r="Q7056" i="11" s="1"/>
  <c r="O7024" i="11"/>
  <c r="Q7024" i="11" s="1"/>
  <c r="O6992" i="11"/>
  <c r="Q6992" i="11" s="1"/>
  <c r="O6976" i="11"/>
  <c r="Q6976" i="11" s="1"/>
  <c r="O6944" i="11"/>
  <c r="Q6944" i="11" s="1"/>
  <c r="O6896" i="11"/>
  <c r="Q6896" i="11" s="1"/>
  <c r="O6880" i="11"/>
  <c r="Q6880" i="11" s="1"/>
  <c r="O6848" i="11"/>
  <c r="Q6848" i="11" s="1"/>
  <c r="O6832" i="11"/>
  <c r="Q6832" i="11" s="1"/>
  <c r="O6800" i="11"/>
  <c r="Q6800" i="11" s="1"/>
  <c r="O6784" i="11"/>
  <c r="Q6784" i="11" s="1"/>
  <c r="O6768" i="11"/>
  <c r="Q6768" i="11" s="1"/>
  <c r="O6752" i="11"/>
  <c r="Q6752" i="11" s="1"/>
  <c r="O6720" i="11"/>
  <c r="Q6720" i="11" s="1"/>
  <c r="O6688" i="11"/>
  <c r="Q6688" i="11" s="1"/>
  <c r="O6672" i="11"/>
  <c r="Q6672" i="11" s="1"/>
  <c r="O6640" i="11"/>
  <c r="Q6640" i="11" s="1"/>
  <c r="O6624" i="11"/>
  <c r="Q6624" i="11" s="1"/>
  <c r="O6592" i="11"/>
  <c r="Q6592" i="11" s="1"/>
  <c r="O6576" i="11"/>
  <c r="Q6576" i="11" s="1"/>
  <c r="O6544" i="11"/>
  <c r="Q6544" i="11" s="1"/>
  <c r="O6527" i="11"/>
  <c r="Q6527" i="11" s="1"/>
  <c r="O6511" i="11"/>
  <c r="Q6511" i="11" s="1"/>
  <c r="O6495" i="11"/>
  <c r="Q6495" i="11" s="1"/>
  <c r="O6479" i="11"/>
  <c r="Q6479" i="11" s="1"/>
  <c r="O6471" i="11"/>
  <c r="Q6471" i="11" s="1"/>
  <c r="O6455" i="11"/>
  <c r="Q6455" i="11" s="1"/>
  <c r="O6447" i="11"/>
  <c r="Q6447" i="11" s="1"/>
  <c r="O6431" i="11"/>
  <c r="Q6431" i="11" s="1"/>
  <c r="O6423" i="11"/>
  <c r="Q6423" i="11" s="1"/>
  <c r="O6407" i="11"/>
  <c r="Q6407" i="11" s="1"/>
  <c r="O6391" i="11"/>
  <c r="Q6391" i="11" s="1"/>
  <c r="O6383" i="11"/>
  <c r="Q6383" i="11" s="1"/>
  <c r="O6359" i="11"/>
  <c r="Q6359" i="11" s="1"/>
  <c r="O6351" i="11"/>
  <c r="Q6351" i="11" s="1"/>
  <c r="O6335" i="11"/>
  <c r="Q6335" i="11" s="1"/>
  <c r="O6327" i="11"/>
  <c r="Q6327" i="11" s="1"/>
  <c r="O6311" i="11"/>
  <c r="Q6311" i="11" s="1"/>
  <c r="O6303" i="11"/>
  <c r="Q6303" i="11" s="1"/>
  <c r="O6295" i="11"/>
  <c r="Q6295" i="11" s="1"/>
  <c r="O6279" i="11"/>
  <c r="Q6279" i="11" s="1"/>
  <c r="O6271" i="11"/>
  <c r="Q6271" i="11" s="1"/>
  <c r="O6255" i="11"/>
  <c r="Q6255" i="11" s="1"/>
  <c r="O6239" i="11"/>
  <c r="Q6239" i="11" s="1"/>
  <c r="O6231" i="11"/>
  <c r="Q6231" i="11" s="1"/>
  <c r="O6215" i="11"/>
  <c r="Q6215" i="11" s="1"/>
  <c r="O6199" i="11"/>
  <c r="Q6199" i="11" s="1"/>
  <c r="O6183" i="11"/>
  <c r="Q6183" i="11" s="1"/>
  <c r="O6167" i="11"/>
  <c r="Q6167" i="11" s="1"/>
  <c r="O6151" i="11"/>
  <c r="Q6151" i="11" s="1"/>
  <c r="O6143" i="11"/>
  <c r="Q6143" i="11" s="1"/>
  <c r="O6127" i="11"/>
  <c r="Q6127" i="11" s="1"/>
  <c r="O6119" i="11"/>
  <c r="Q6119" i="11" s="1"/>
  <c r="O6103" i="11"/>
  <c r="Q6103" i="11" s="1"/>
  <c r="O6095" i="11"/>
  <c r="Q6095" i="11" s="1"/>
  <c r="O6087" i="11"/>
  <c r="Q6087" i="11" s="1"/>
  <c r="O6071" i="11"/>
  <c r="Q6071" i="11" s="1"/>
  <c r="O6063" i="11"/>
  <c r="Q6063" i="11" s="1"/>
  <c r="O6047" i="11"/>
  <c r="Q6047" i="11" s="1"/>
  <c r="O6031" i="11"/>
  <c r="Q6031" i="11" s="1"/>
  <c r="O6015" i="11"/>
  <c r="Q6015" i="11" s="1"/>
  <c r="O6007" i="11"/>
  <c r="Q6007" i="11" s="1"/>
  <c r="O5991" i="11"/>
  <c r="Q5991" i="11" s="1"/>
  <c r="O5983" i="11"/>
  <c r="Q5983" i="11" s="1"/>
  <c r="O5967" i="11"/>
  <c r="Q5967" i="11" s="1"/>
  <c r="O5935" i="11"/>
  <c r="Q5935" i="11" s="1"/>
  <c r="O5919" i="11"/>
  <c r="Q5919" i="11" s="1"/>
  <c r="O5911" i="11"/>
  <c r="Q5911" i="11" s="1"/>
  <c r="O5895" i="11"/>
  <c r="Q5895" i="11" s="1"/>
  <c r="O5879" i="11"/>
  <c r="Q5879" i="11" s="1"/>
  <c r="O5863" i="11"/>
  <c r="Q5863" i="11" s="1"/>
  <c r="O5855" i="11"/>
  <c r="Q5855" i="11" s="1"/>
  <c r="O5839" i="11"/>
  <c r="Q5839" i="11" s="1"/>
  <c r="O5823" i="11"/>
  <c r="Q5823" i="11" s="1"/>
  <c r="O5815" i="11"/>
  <c r="Q5815" i="11" s="1"/>
  <c r="O5799" i="11"/>
  <c r="Q5799" i="11" s="1"/>
  <c r="O5783" i="11"/>
  <c r="Q5783" i="11" s="1"/>
  <c r="O5775" i="11"/>
  <c r="Q5775" i="11" s="1"/>
  <c r="O5759" i="11"/>
  <c r="Q5759" i="11" s="1"/>
  <c r="O5751" i="11"/>
  <c r="Q5751" i="11" s="1"/>
  <c r="O5743" i="11"/>
  <c r="Q5743" i="11" s="1"/>
  <c r="O5727" i="11"/>
  <c r="Q5727" i="11" s="1"/>
  <c r="O5719" i="11"/>
  <c r="Q5719" i="11" s="1"/>
  <c r="O5703" i="11"/>
  <c r="Q5703" i="11" s="1"/>
  <c r="O5695" i="11"/>
  <c r="Q5695" i="11" s="1"/>
  <c r="O5679" i="11"/>
  <c r="Q5679" i="11" s="1"/>
  <c r="O5663" i="11"/>
  <c r="Q5663" i="11" s="1"/>
  <c r="O5655" i="11"/>
  <c r="Q5655" i="11" s="1"/>
  <c r="O5639" i="11"/>
  <c r="Q5639" i="11" s="1"/>
  <c r="O5631" i="11"/>
  <c r="Q5631" i="11" s="1"/>
  <c r="O5615" i="11"/>
  <c r="Q5615" i="11" s="1"/>
  <c r="O5599" i="11"/>
  <c r="Q5599" i="11" s="1"/>
  <c r="O5583" i="11"/>
  <c r="Q5583" i="11" s="1"/>
  <c r="O5575" i="11"/>
  <c r="Q5575" i="11" s="1"/>
  <c r="O5559" i="11"/>
  <c r="Q5559" i="11" s="1"/>
  <c r="O5551" i="11"/>
  <c r="Q5551" i="11" s="1"/>
  <c r="O5535" i="11"/>
  <c r="Q5535" i="11" s="1"/>
  <c r="O5527" i="11"/>
  <c r="Q5527" i="11" s="1"/>
  <c r="O5519" i="11"/>
  <c r="Q5519" i="11" s="1"/>
  <c r="O5503" i="11"/>
  <c r="Q5503" i="11" s="1"/>
  <c r="O5495" i="11"/>
  <c r="Q5495" i="11" s="1"/>
  <c r="O5479" i="11"/>
  <c r="Q5479" i="11" s="1"/>
  <c r="O5471" i="11"/>
  <c r="Q5471" i="11" s="1"/>
  <c r="O5455" i="11"/>
  <c r="Q5455" i="11" s="1"/>
  <c r="O5439" i="11"/>
  <c r="Q5439" i="11" s="1"/>
  <c r="O5431" i="11"/>
  <c r="Q5431" i="11" s="1"/>
  <c r="O5415" i="11"/>
  <c r="Q5415" i="11" s="1"/>
  <c r="O5407" i="11"/>
  <c r="Q5407" i="11" s="1"/>
  <c r="O5391" i="11"/>
  <c r="Q5391" i="11" s="1"/>
  <c r="O5383" i="11"/>
  <c r="Q5383" i="11" s="1"/>
  <c r="O5367" i="11"/>
  <c r="Q5367" i="11" s="1"/>
  <c r="O5359" i="11"/>
  <c r="Q5359" i="11" s="1"/>
  <c r="O5343" i="11"/>
  <c r="Q5343" i="11" s="1"/>
  <c r="O5335" i="11"/>
  <c r="Q5335" i="11" s="1"/>
  <c r="O5327" i="11"/>
  <c r="Q5327" i="11" s="1"/>
  <c r="O5311" i="11"/>
  <c r="Q5311" i="11" s="1"/>
  <c r="O5303" i="11"/>
  <c r="Q5303" i="11" s="1"/>
  <c r="O5287" i="11"/>
  <c r="Q5287" i="11" s="1"/>
  <c r="O5271" i="11"/>
  <c r="Q5271" i="11" s="1"/>
  <c r="O5263" i="11"/>
  <c r="Q5263" i="11" s="1"/>
  <c r="O5247" i="11"/>
  <c r="Q5247" i="11" s="1"/>
  <c r="O5231" i="11"/>
  <c r="Q5231" i="11" s="1"/>
  <c r="O5215" i="11"/>
  <c r="Q5215" i="11" s="1"/>
  <c r="O5199" i="11"/>
  <c r="Q5199" i="11" s="1"/>
  <c r="O5191" i="11"/>
  <c r="Q5191" i="11" s="1"/>
  <c r="O5175" i="11"/>
  <c r="Q5175" i="11" s="1"/>
  <c r="O5167" i="11"/>
  <c r="Q5167" i="11" s="1"/>
  <c r="O5151" i="11"/>
  <c r="Q5151" i="11" s="1"/>
  <c r="O5143" i="11"/>
  <c r="Q5143" i="11" s="1"/>
  <c r="O5135" i="11"/>
  <c r="Q5135" i="11" s="1"/>
  <c r="O5119" i="11"/>
  <c r="Q5119" i="11" s="1"/>
  <c r="O5111" i="11"/>
  <c r="Q5111" i="11" s="1"/>
  <c r="O5095" i="11"/>
  <c r="Q5095" i="11" s="1"/>
  <c r="O7569" i="11"/>
  <c r="Q7569" i="11" s="1"/>
  <c r="O7537" i="11"/>
  <c r="Q7537" i="11" s="1"/>
  <c r="O7521" i="11"/>
  <c r="Q7521" i="11" s="1"/>
  <c r="O7489" i="11"/>
  <c r="Q7489" i="11" s="1"/>
  <c r="O7457" i="11"/>
  <c r="Q7457" i="11" s="1"/>
  <c r="O7441" i="11"/>
  <c r="Q7441" i="11" s="1"/>
  <c r="O7409" i="11"/>
  <c r="Q7409" i="11" s="1"/>
  <c r="O7393" i="11"/>
  <c r="Q7393" i="11" s="1"/>
  <c r="O7377" i="11"/>
  <c r="Q7377" i="11" s="1"/>
  <c r="O7345" i="11"/>
  <c r="Q7345" i="11" s="1"/>
  <c r="O7329" i="11"/>
  <c r="Q7329" i="11" s="1"/>
  <c r="O7313" i="11"/>
  <c r="Q7313" i="11" s="1"/>
  <c r="O7281" i="11"/>
  <c r="Q7281" i="11" s="1"/>
  <c r="O7265" i="11"/>
  <c r="Q7265" i="11" s="1"/>
  <c r="O7249" i="11"/>
  <c r="Q7249" i="11" s="1"/>
  <c r="O7217" i="11"/>
  <c r="Q7217" i="11" s="1"/>
  <c r="O7185" i="11"/>
  <c r="Q7185" i="11" s="1"/>
  <c r="O7153" i="11"/>
  <c r="Q7153" i="11" s="1"/>
  <c r="O7137" i="11"/>
  <c r="Q7137" i="11" s="1"/>
  <c r="O7105" i="11"/>
  <c r="Q7105" i="11" s="1"/>
  <c r="O7073" i="11"/>
  <c r="Q7073" i="11" s="1"/>
  <c r="O7041" i="11"/>
  <c r="Q7041" i="11" s="1"/>
  <c r="O7025" i="11"/>
  <c r="Q7025" i="11" s="1"/>
  <c r="O6993" i="11"/>
  <c r="Q6993" i="11" s="1"/>
  <c r="O6977" i="11"/>
  <c r="Q6977" i="11" s="1"/>
  <c r="O6961" i="11"/>
  <c r="Q6961" i="11" s="1"/>
  <c r="O6929" i="11"/>
  <c r="Q6929" i="11" s="1"/>
  <c r="O6913" i="11"/>
  <c r="Q6913" i="11" s="1"/>
  <c r="O6897" i="11"/>
  <c r="Q6897" i="11" s="1"/>
  <c r="O6865" i="11"/>
  <c r="Q6865" i="11" s="1"/>
  <c r="O6833" i="11"/>
  <c r="Q6833" i="11" s="1"/>
  <c r="O6817" i="11"/>
  <c r="Q6817" i="11" s="1"/>
  <c r="O6785" i="11"/>
  <c r="Q6785" i="11" s="1"/>
  <c r="O6753" i="11"/>
  <c r="Q6753" i="11" s="1"/>
  <c r="O6737" i="11"/>
  <c r="Q6737" i="11" s="1"/>
  <c r="O6689" i="11"/>
  <c r="Q6689" i="11" s="1"/>
  <c r="O6657" i="11"/>
  <c r="Q6657" i="11" s="1"/>
  <c r="O6625" i="11"/>
  <c r="Q6625" i="11" s="1"/>
  <c r="O6609" i="11"/>
  <c r="Q6609" i="11" s="1"/>
  <c r="O6577" i="11"/>
  <c r="Q6577" i="11" s="1"/>
  <c r="O6561" i="11"/>
  <c r="Q6561" i="11" s="1"/>
  <c r="O6545" i="11"/>
  <c r="Q6545" i="11" s="1"/>
  <c r="O5036" i="11"/>
  <c r="Q5036" i="11" s="1"/>
  <c r="O5004" i="11"/>
  <c r="Q5004" i="11" s="1"/>
  <c r="O4632" i="11"/>
  <c r="Q4632" i="11" s="1"/>
  <c r="O4504" i="11"/>
  <c r="Q4504" i="11" s="1"/>
  <c r="O4440" i="11"/>
  <c r="Q4440" i="11" s="1"/>
  <c r="O4312" i="11"/>
  <c r="Q4312" i="11" s="1"/>
  <c r="O4184" i="11"/>
  <c r="Q4184" i="11" s="1"/>
  <c r="O4056" i="11"/>
  <c r="Q4056" i="11" s="1"/>
  <c r="O3992" i="11"/>
  <c r="Q3992" i="11" s="1"/>
  <c r="O3928" i="11"/>
  <c r="Q3928" i="11" s="1"/>
  <c r="O3800" i="11"/>
  <c r="Q3800" i="11" s="1"/>
  <c r="O3736" i="11"/>
  <c r="Q3736" i="11" s="1"/>
  <c r="O3668" i="11"/>
  <c r="Q3668" i="11" s="1"/>
  <c r="O3617" i="11"/>
  <c r="Q3617" i="11" s="1"/>
  <c r="O3553" i="11"/>
  <c r="Q3553" i="11" s="1"/>
  <c r="O4656" i="11"/>
  <c r="Q4656" i="11" s="1"/>
  <c r="O4592" i="11"/>
  <c r="Q4592" i="11" s="1"/>
  <c r="O4464" i="11"/>
  <c r="Q4464" i="11" s="1"/>
  <c r="O4400" i="11"/>
  <c r="Q4400" i="11" s="1"/>
  <c r="O4272" i="11"/>
  <c r="Q4272" i="11" s="1"/>
  <c r="O4144" i="11"/>
  <c r="Q4144" i="11" s="1"/>
  <c r="O4080" i="11"/>
  <c r="Q4080" i="11" s="1"/>
  <c r="O3952" i="11"/>
  <c r="Q3952" i="11" s="1"/>
  <c r="O3888" i="11"/>
  <c r="Q3888" i="11" s="1"/>
  <c r="O3760" i="11"/>
  <c r="Q3760" i="11" s="1"/>
  <c r="O3696" i="11"/>
  <c r="Q3696" i="11" s="1"/>
  <c r="O3588" i="11"/>
  <c r="Q3588" i="11" s="1"/>
  <c r="O5067" i="11"/>
  <c r="Q5067" i="11" s="1"/>
  <c r="O5051" i="11"/>
  <c r="Q5051" i="11" s="1"/>
  <c r="O5019" i="11"/>
  <c r="Q5019" i="11" s="1"/>
  <c r="O4987" i="11"/>
  <c r="Q4987" i="11" s="1"/>
  <c r="O4977" i="11"/>
  <c r="Q4977" i="11" s="1"/>
  <c r="O4953" i="11"/>
  <c r="Q4953" i="11" s="1"/>
  <c r="O4937" i="11"/>
  <c r="Q4937" i="11" s="1"/>
  <c r="O4921" i="11"/>
  <c r="Q4921" i="11" s="1"/>
  <c r="O4913" i="11"/>
  <c r="Q4913" i="11" s="1"/>
  <c r="O4897" i="11"/>
  <c r="Q4897" i="11" s="1"/>
  <c r="O4889" i="11"/>
  <c r="Q4889" i="11" s="1"/>
  <c r="O4881" i="11"/>
  <c r="Q4881" i="11" s="1"/>
  <c r="O4865" i="11"/>
  <c r="Q4865" i="11" s="1"/>
  <c r="O4857" i="11"/>
  <c r="Q4857" i="11" s="1"/>
  <c r="O4841" i="11"/>
  <c r="Q4841" i="11" s="1"/>
  <c r="O4825" i="11"/>
  <c r="Q4825" i="11" s="1"/>
  <c r="O4817" i="11"/>
  <c r="Q4817" i="11" s="1"/>
  <c r="O4801" i="11"/>
  <c r="Q4801" i="11" s="1"/>
  <c r="O4793" i="11"/>
  <c r="Q4793" i="11" s="1"/>
  <c r="O4769" i="11"/>
  <c r="Q4769" i="11" s="1"/>
  <c r="O4753" i="11"/>
  <c r="Q4753" i="11" s="1"/>
  <c r="O4745" i="11"/>
  <c r="Q4745" i="11" s="1"/>
  <c r="O752" i="11"/>
  <c r="Q752" i="11" s="1"/>
  <c r="O5081" i="11"/>
  <c r="Q5081" i="11" s="1"/>
  <c r="O5049" i="11"/>
  <c r="Q5049" i="11" s="1"/>
  <c r="O5033" i="11"/>
  <c r="Q5033" i="11" s="1"/>
  <c r="O5017" i="11"/>
  <c r="Q5017" i="11" s="1"/>
  <c r="O4985" i="11"/>
  <c r="Q4985" i="11" s="1"/>
  <c r="O4976" i="11"/>
  <c r="Q4976" i="11" s="1"/>
  <c r="O4960" i="11"/>
  <c r="Q4960" i="11" s="1"/>
  <c r="O4944" i="11"/>
  <c r="Q4944" i="11" s="1"/>
  <c r="O4928" i="11"/>
  <c r="Q4928" i="11" s="1"/>
  <c r="O4920" i="11"/>
  <c r="Q4920" i="11" s="1"/>
  <c r="O4904" i="11"/>
  <c r="Q4904" i="11" s="1"/>
  <c r="O4888" i="11"/>
  <c r="Q4888" i="11" s="1"/>
  <c r="O4880" i="11"/>
  <c r="Q4880" i="11" s="1"/>
  <c r="O4864" i="11"/>
  <c r="Q4864" i="11" s="1"/>
  <c r="O4856" i="11"/>
  <c r="Q4856" i="11" s="1"/>
  <c r="O4848" i="11"/>
  <c r="Q4848" i="11" s="1"/>
  <c r="O4832" i="11"/>
  <c r="Q4832" i="11" s="1"/>
  <c r="O4824" i="11"/>
  <c r="Q4824" i="11" s="1"/>
  <c r="O4808" i="11"/>
  <c r="Q4808" i="11" s="1"/>
  <c r="O4800" i="11"/>
  <c r="Q4800" i="11" s="1"/>
  <c r="O4784" i="11"/>
  <c r="Q4784" i="11" s="1"/>
  <c r="O4768" i="11"/>
  <c r="Q4768" i="11" s="1"/>
  <c r="O4760" i="11"/>
  <c r="Q4760" i="11" s="1"/>
  <c r="O4744" i="11"/>
  <c r="Q4744" i="11" s="1"/>
  <c r="O4736" i="11"/>
  <c r="Q4736" i="11" s="1"/>
  <c r="O5058" i="11"/>
  <c r="Q5058" i="11" s="1"/>
  <c r="O5026" i="11"/>
  <c r="Q5026" i="11" s="1"/>
  <c r="O4994" i="11"/>
  <c r="Q4994" i="11" s="1"/>
  <c r="O4668" i="11"/>
  <c r="Q4668" i="11" s="1"/>
  <c r="O4636" i="11"/>
  <c r="Q4636" i="11" s="1"/>
  <c r="O4572" i="11"/>
  <c r="Q4572" i="11" s="1"/>
  <c r="O4540" i="11"/>
  <c r="Q4540" i="11" s="1"/>
  <c r="O4508" i="11"/>
  <c r="Q4508" i="11" s="1"/>
  <c r="O4444" i="11"/>
  <c r="Q4444" i="11" s="1"/>
  <c r="O4412" i="11"/>
  <c r="Q4412" i="11" s="1"/>
  <c r="O4348" i="11"/>
  <c r="Q4348" i="11" s="1"/>
  <c r="O4284" i="11"/>
  <c r="Q4284" i="11" s="1"/>
  <c r="O4252" i="11"/>
  <c r="Q4252" i="11" s="1"/>
  <c r="O4156" i="11"/>
  <c r="Q4156" i="11" s="1"/>
  <c r="O4092" i="11"/>
  <c r="Q4092" i="11" s="1"/>
  <c r="O4060" i="11"/>
  <c r="Q4060" i="11" s="1"/>
  <c r="O3996" i="11"/>
  <c r="Q3996" i="11" s="1"/>
  <c r="O3964" i="11"/>
  <c r="Q3964" i="11" s="1"/>
  <c r="O3932" i="11"/>
  <c r="Q3932" i="11" s="1"/>
  <c r="O3868" i="11"/>
  <c r="Q3868" i="11" s="1"/>
  <c r="O3836" i="11"/>
  <c r="Q3836" i="11" s="1"/>
  <c r="O3772" i="11"/>
  <c r="Q3772" i="11" s="1"/>
  <c r="O3740" i="11"/>
  <c r="Q3740" i="11" s="1"/>
  <c r="O3676" i="11"/>
  <c r="Q3676" i="11" s="1"/>
  <c r="O3631" i="11"/>
  <c r="Q3631" i="11" s="1"/>
  <c r="O3593" i="11"/>
  <c r="Q3593" i="11" s="1"/>
  <c r="O3548" i="11"/>
  <c r="Q3548" i="11" s="1"/>
  <c r="O4695" i="11"/>
  <c r="Q4695" i="11" s="1"/>
  <c r="O4679" i="11"/>
  <c r="Q4679" i="11" s="1"/>
  <c r="O4647" i="11"/>
  <c r="Q4647" i="11" s="1"/>
  <c r="O4631" i="11"/>
  <c r="Q4631" i="11" s="1"/>
  <c r="O4599" i="11"/>
  <c r="Q4599" i="11" s="1"/>
  <c r="O4583" i="11"/>
  <c r="Q4583" i="11" s="1"/>
  <c r="O4567" i="11"/>
  <c r="Q4567" i="11" s="1"/>
  <c r="O4535" i="11"/>
  <c r="Q4535" i="11" s="1"/>
  <c r="O4519" i="11"/>
  <c r="Q4519" i="11" s="1"/>
  <c r="O4487" i="11"/>
  <c r="Q4487" i="11" s="1"/>
  <c r="O4455" i="11"/>
  <c r="Q4455" i="11" s="1"/>
  <c r="O4423" i="11"/>
  <c r="Q4423" i="11" s="1"/>
  <c r="O4391" i="11"/>
  <c r="Q4391" i="11" s="1"/>
  <c r="O4359" i="11"/>
  <c r="Q4359" i="11" s="1"/>
  <c r="O4343" i="11"/>
  <c r="Q4343" i="11" s="1"/>
  <c r="O4311" i="11"/>
  <c r="Q4311" i="11" s="1"/>
  <c r="O4295" i="11"/>
  <c r="Q4295" i="11" s="1"/>
  <c r="O4263" i="11"/>
  <c r="Q4263" i="11" s="1"/>
  <c r="O4247" i="11"/>
  <c r="Q4247" i="11" s="1"/>
  <c r="O4231" i="11"/>
  <c r="Q4231" i="11" s="1"/>
  <c r="O4199" i="11"/>
  <c r="Q4199" i="11" s="1"/>
  <c r="O4167" i="11"/>
  <c r="Q4167" i="11" s="1"/>
  <c r="O4151" i="11"/>
  <c r="Q4151" i="11" s="1"/>
  <c r="O4119" i="11"/>
  <c r="Q4119" i="11" s="1"/>
  <c r="O4103" i="11"/>
  <c r="Q4103" i="11" s="1"/>
  <c r="O4071" i="11"/>
  <c r="Q4071" i="11" s="1"/>
  <c r="O4023" i="11"/>
  <c r="Q4023" i="11" s="1"/>
  <c r="O3991" i="11"/>
  <c r="Q3991" i="11" s="1"/>
  <c r="O3975" i="11"/>
  <c r="Q3975" i="11" s="1"/>
  <c r="O3959" i="11"/>
  <c r="Q3959" i="11" s="1"/>
  <c r="O3927" i="11"/>
  <c r="Q3927" i="11" s="1"/>
  <c r="O3911" i="11"/>
  <c r="Q3911" i="11" s="1"/>
  <c r="O3895" i="11"/>
  <c r="Q3895" i="11" s="1"/>
  <c r="O3863" i="11"/>
  <c r="Q3863" i="11" s="1"/>
  <c r="O3847" i="11"/>
  <c r="Q3847" i="11" s="1"/>
  <c r="O3815" i="11"/>
  <c r="Q3815" i="11" s="1"/>
  <c r="O3783" i="11"/>
  <c r="Q3783" i="11" s="1"/>
  <c r="O3767" i="11"/>
  <c r="Q3767" i="11" s="1"/>
  <c r="O3735" i="11"/>
  <c r="Q3735" i="11" s="1"/>
  <c r="O3703" i="11"/>
  <c r="Q3703" i="11" s="1"/>
  <c r="O3364" i="11"/>
  <c r="Q3364" i="11" s="1"/>
  <c r="O537" i="11"/>
  <c r="Q537" i="11" s="1"/>
  <c r="O4685" i="11"/>
  <c r="Q4685" i="11" s="1"/>
  <c r="O4669" i="11"/>
  <c r="Q4669" i="11" s="1"/>
  <c r="O4653" i="11"/>
  <c r="Q4653" i="11" s="1"/>
  <c r="O4621" i="11"/>
  <c r="Q4621" i="11" s="1"/>
  <c r="O4605" i="11"/>
  <c r="Q4605" i="11" s="1"/>
  <c r="O4589" i="11"/>
  <c r="Q4589" i="11" s="1"/>
  <c r="O4557" i="11"/>
  <c r="Q4557" i="11" s="1"/>
  <c r="O4541" i="11"/>
  <c r="Q4541" i="11" s="1"/>
  <c r="O4509" i="11"/>
  <c r="Q4509" i="11" s="1"/>
  <c r="O4493" i="11"/>
  <c r="Q4493" i="11" s="1"/>
  <c r="O4461" i="11"/>
  <c r="Q4461" i="11" s="1"/>
  <c r="O4429" i="11"/>
  <c r="Q4429" i="11" s="1"/>
  <c r="O4397" i="11"/>
  <c r="Q4397" i="11" s="1"/>
  <c r="O4381" i="11"/>
  <c r="Q4381" i="11" s="1"/>
  <c r="O4349" i="11"/>
  <c r="Q4349" i="11" s="1"/>
  <c r="O4333" i="11"/>
  <c r="Q4333" i="11" s="1"/>
  <c r="O4301" i="11"/>
  <c r="Q4301" i="11" s="1"/>
  <c r="O4285" i="11"/>
  <c r="Q4285" i="11" s="1"/>
  <c r="O4269" i="11"/>
  <c r="Q4269" i="11" s="1"/>
  <c r="O4237" i="11"/>
  <c r="Q4237" i="11" s="1"/>
  <c r="O4205" i="11"/>
  <c r="Q4205" i="11" s="1"/>
  <c r="O4189" i="11"/>
  <c r="Q4189" i="11" s="1"/>
  <c r="O4157" i="11"/>
  <c r="Q4157" i="11" s="1"/>
  <c r="O4125" i="11"/>
  <c r="Q4125" i="11" s="1"/>
  <c r="O4077" i="11"/>
  <c r="Q4077" i="11" s="1"/>
  <c r="O4045" i="11"/>
  <c r="Q4045" i="11" s="1"/>
  <c r="O4029" i="11"/>
  <c r="Q4029" i="11" s="1"/>
  <c r="O4013" i="11"/>
  <c r="Q4013" i="11" s="1"/>
  <c r="O3997" i="11"/>
  <c r="Q3997" i="11" s="1"/>
  <c r="O3981" i="11"/>
  <c r="Q3981" i="11" s="1"/>
  <c r="O3965" i="11"/>
  <c r="Q3965" i="11" s="1"/>
  <c r="O3949" i="11"/>
  <c r="Q3949" i="11" s="1"/>
  <c r="O3917" i="11"/>
  <c r="Q3917" i="11" s="1"/>
  <c r="O3901" i="11"/>
  <c r="Q3901" i="11" s="1"/>
  <c r="O3869" i="11"/>
  <c r="Q3869" i="11" s="1"/>
  <c r="O3853" i="11"/>
  <c r="Q3853" i="11" s="1"/>
  <c r="O3821" i="11"/>
  <c r="Q3821" i="11" s="1"/>
  <c r="O3805" i="11"/>
  <c r="Q3805" i="11" s="1"/>
  <c r="O3773" i="11"/>
  <c r="Q3773" i="11" s="1"/>
  <c r="O3741" i="11"/>
  <c r="Q3741" i="11" s="1"/>
  <c r="O3709" i="11"/>
  <c r="Q3709" i="11" s="1"/>
  <c r="O3693" i="11"/>
  <c r="Q3693" i="11" s="1"/>
  <c r="O3516" i="11"/>
  <c r="Q3516" i="11" s="1"/>
  <c r="O3500" i="11"/>
  <c r="Q3500" i="11" s="1"/>
  <c r="O3468" i="11"/>
  <c r="Q3468" i="11" s="1"/>
  <c r="O3452" i="11"/>
  <c r="Q3452" i="11" s="1"/>
  <c r="O3436" i="11"/>
  <c r="Q3436" i="11" s="1"/>
  <c r="O3404" i="11"/>
  <c r="Q3404" i="11" s="1"/>
  <c r="O3388" i="11"/>
  <c r="Q3388" i="11" s="1"/>
  <c r="O1145" i="11"/>
  <c r="Q1145" i="11" s="1"/>
  <c r="O4702" i="11"/>
  <c r="Q4702" i="11" s="1"/>
  <c r="O4670" i="11"/>
  <c r="Q4670" i="11" s="1"/>
  <c r="O4654" i="11"/>
  <c r="Q4654" i="11" s="1"/>
  <c r="O4606" i="11"/>
  <c r="Q4606" i="11" s="1"/>
  <c r="O4574" i="11"/>
  <c r="Q4574" i="11" s="1"/>
  <c r="O4558" i="11"/>
  <c r="Q4558" i="11" s="1"/>
  <c r="O4526" i="11"/>
  <c r="Q4526" i="11" s="1"/>
  <c r="O4510" i="11"/>
  <c r="Q4510" i="11" s="1"/>
  <c r="O4494" i="11"/>
  <c r="Q4494" i="11" s="1"/>
  <c r="O4478" i="11"/>
  <c r="Q4478" i="11" s="1"/>
  <c r="O4446" i="11"/>
  <c r="Q4446" i="11" s="1"/>
  <c r="O4430" i="11"/>
  <c r="Q4430" i="11" s="1"/>
  <c r="O4398" i="11"/>
  <c r="Q4398" i="11" s="1"/>
  <c r="O4382" i="11"/>
  <c r="Q4382" i="11" s="1"/>
  <c r="O4350" i="11"/>
  <c r="Q4350" i="11" s="1"/>
  <c r="O4318" i="11"/>
  <c r="Q4318" i="11" s="1"/>
  <c r="O4286" i="11"/>
  <c r="Q4286" i="11" s="1"/>
  <c r="O4254" i="11"/>
  <c r="Q4254" i="11" s="1"/>
  <c r="O4238" i="11"/>
  <c r="Q4238" i="11" s="1"/>
  <c r="O4206" i="11"/>
  <c r="Q4206" i="11" s="1"/>
  <c r="O4190" i="11"/>
  <c r="Q4190" i="11" s="1"/>
  <c r="O4174" i="11"/>
  <c r="Q4174" i="11" s="1"/>
  <c r="O4142" i="11"/>
  <c r="Q4142" i="11" s="1"/>
  <c r="O4126" i="11"/>
  <c r="Q4126" i="11" s="1"/>
  <c r="O4094" i="11"/>
  <c r="Q4094" i="11" s="1"/>
  <c r="O4078" i="11"/>
  <c r="Q4078" i="11" s="1"/>
  <c r="O4046" i="11"/>
  <c r="Q4046" i="11" s="1"/>
  <c r="O4030" i="11"/>
  <c r="Q4030" i="11" s="1"/>
  <c r="O3998" i="11"/>
  <c r="Q3998" i="11" s="1"/>
  <c r="O3982" i="11"/>
  <c r="Q3982" i="11" s="1"/>
  <c r="O3950" i="11"/>
  <c r="Q3950" i="11" s="1"/>
  <c r="O3918" i="11"/>
  <c r="Q3918" i="11" s="1"/>
  <c r="O3902" i="11"/>
  <c r="Q3902" i="11" s="1"/>
  <c r="O3870" i="11"/>
  <c r="Q3870" i="11" s="1"/>
  <c r="O3854" i="11"/>
  <c r="Q3854" i="11" s="1"/>
  <c r="O3822" i="11"/>
  <c r="Q3822" i="11" s="1"/>
  <c r="O3806" i="11"/>
  <c r="Q3806" i="11" s="1"/>
  <c r="O3790" i="11"/>
  <c r="Q3790" i="11" s="1"/>
  <c r="O3758" i="11"/>
  <c r="Q3758" i="11" s="1"/>
  <c r="O3742" i="11"/>
  <c r="Q3742" i="11" s="1"/>
  <c r="O3710" i="11"/>
  <c r="Q3710" i="11" s="1"/>
  <c r="O3678" i="11"/>
  <c r="Q3678" i="11" s="1"/>
  <c r="O3667" i="11"/>
  <c r="Q3667" i="11" s="1"/>
  <c r="O3645" i="11"/>
  <c r="Q3645" i="11" s="1"/>
  <c r="O3624" i="11"/>
  <c r="Q3624" i="11" s="1"/>
  <c r="O3603" i="11"/>
  <c r="Q3603" i="11" s="1"/>
  <c r="O3592" i="11"/>
  <c r="Q3592" i="11" s="1"/>
  <c r="O3571" i="11"/>
  <c r="Q3571" i="11" s="1"/>
  <c r="O3560" i="11"/>
  <c r="Q3560" i="11" s="1"/>
  <c r="O3539" i="11"/>
  <c r="Q3539" i="11" s="1"/>
  <c r="O3527" i="11"/>
  <c r="Q3527" i="11" s="1"/>
  <c r="O3495" i="11"/>
  <c r="Q3495" i="11" s="1"/>
  <c r="O3463" i="11"/>
  <c r="Q3463" i="11" s="1"/>
  <c r="O3431" i="11"/>
  <c r="Q3431" i="11" s="1"/>
  <c r="O3415" i="11"/>
  <c r="Q3415" i="11" s="1"/>
  <c r="O3383" i="11"/>
  <c r="Q3383" i="11" s="1"/>
  <c r="O3363" i="11"/>
  <c r="Q3363" i="11" s="1"/>
  <c r="O3341" i="11"/>
  <c r="Q3341" i="11" s="1"/>
  <c r="O3319" i="11"/>
  <c r="Q3319" i="11" s="1"/>
  <c r="O3309" i="11"/>
  <c r="Q3309" i="11" s="1"/>
  <c r="O3287" i="11"/>
  <c r="Q3287" i="11" s="1"/>
  <c r="O3277" i="11"/>
  <c r="Q3277" i="11" s="1"/>
  <c r="O3266" i="11"/>
  <c r="Q3266" i="11" s="1"/>
  <c r="O3245" i="11"/>
  <c r="Q3245" i="11" s="1"/>
  <c r="O3234" i="11"/>
  <c r="Q3234" i="11" s="1"/>
  <c r="O3223" i="11"/>
  <c r="Q3223" i="11" s="1"/>
  <c r="O3202" i="11"/>
  <c r="Q3202" i="11" s="1"/>
  <c r="O3186" i="11"/>
  <c r="Q3186" i="11" s="1"/>
  <c r="O3154" i="11"/>
  <c r="Q3154" i="11" s="1"/>
  <c r="O3122" i="11"/>
  <c r="Q3122" i="11" s="1"/>
  <c r="O3106" i="11"/>
  <c r="Q3106" i="11" s="1"/>
  <c r="O3074" i="11"/>
  <c r="Q3074" i="11" s="1"/>
  <c r="O3058" i="11"/>
  <c r="Q3058" i="11" s="1"/>
  <c r="O3026" i="11"/>
  <c r="Q3026" i="11" s="1"/>
  <c r="O2994" i="11"/>
  <c r="Q2994" i="11" s="1"/>
  <c r="O2978" i="11"/>
  <c r="Q2978" i="11" s="1"/>
  <c r="O2946" i="11"/>
  <c r="Q2946" i="11" s="1"/>
  <c r="O2930" i="11"/>
  <c r="Q2930" i="11" s="1"/>
  <c r="O2898" i="11"/>
  <c r="Q2898" i="11" s="1"/>
  <c r="O2882" i="11"/>
  <c r="Q2882" i="11" s="1"/>
  <c r="O2850" i="11"/>
  <c r="Q2850" i="11" s="1"/>
  <c r="O2834" i="11"/>
  <c r="Q2834" i="11" s="1"/>
  <c r="O2802" i="11"/>
  <c r="Q2802" i="11" s="1"/>
  <c r="O2786" i="11"/>
  <c r="Q2786" i="11" s="1"/>
  <c r="O2770" i="11"/>
  <c r="Q2770" i="11" s="1"/>
  <c r="O2754" i="11"/>
  <c r="Q2754" i="11" s="1"/>
  <c r="O2738" i="11"/>
  <c r="Q2738" i="11" s="1"/>
  <c r="O2722" i="11"/>
  <c r="Q2722" i="11" s="1"/>
  <c r="O2706" i="11"/>
  <c r="Q2706" i="11" s="1"/>
  <c r="O2690" i="11"/>
  <c r="Q2690" i="11" s="1"/>
  <c r="O2674" i="11"/>
  <c r="Q2674" i="11" s="1"/>
  <c r="O2658" i="11"/>
  <c r="Q2658" i="11" s="1"/>
  <c r="O2642" i="11"/>
  <c r="Q2642" i="11" s="1"/>
  <c r="O2626" i="11"/>
  <c r="Q2626" i="11" s="1"/>
  <c r="O2610" i="11"/>
  <c r="Q2610" i="11" s="1"/>
  <c r="O2594" i="11"/>
  <c r="Q2594" i="11" s="1"/>
  <c r="O2578" i="11"/>
  <c r="Q2578" i="11" s="1"/>
  <c r="O2562" i="11"/>
  <c r="Q2562" i="11" s="1"/>
  <c r="O2546" i="11"/>
  <c r="Q2546" i="11" s="1"/>
  <c r="O2514" i="11"/>
  <c r="Q2514" i="11" s="1"/>
  <c r="O2482" i="11"/>
  <c r="Q2482" i="11" s="1"/>
  <c r="O2450" i="11"/>
  <c r="Q2450" i="11" s="1"/>
  <c r="O2418" i="11"/>
  <c r="Q2418" i="11" s="1"/>
  <c r="O2386" i="11"/>
  <c r="Q2386" i="11" s="1"/>
  <c r="O2354" i="11"/>
  <c r="Q2354" i="11" s="1"/>
  <c r="O2322" i="11"/>
  <c r="Q2322" i="11" s="1"/>
  <c r="O2290" i="11"/>
  <c r="Q2290" i="11" s="1"/>
  <c r="O2258" i="11"/>
  <c r="Q2258" i="11" s="1"/>
  <c r="O2226" i="11"/>
  <c r="Q2226" i="11" s="1"/>
  <c r="O2194" i="11"/>
  <c r="Q2194" i="11" s="1"/>
  <c r="O2162" i="11"/>
  <c r="Q2162" i="11" s="1"/>
  <c r="O2130" i="11"/>
  <c r="Q2130" i="11" s="1"/>
  <c r="O2098" i="11"/>
  <c r="Q2098" i="11" s="1"/>
  <c r="O2066" i="11"/>
  <c r="Q2066" i="11" s="1"/>
  <c r="O2034" i="11"/>
  <c r="Q2034" i="11" s="1"/>
  <c r="O2002" i="11"/>
  <c r="Q2002" i="11" s="1"/>
  <c r="O1970" i="11"/>
  <c r="Q1970" i="11" s="1"/>
  <c r="O1938" i="11"/>
  <c r="Q1938" i="11" s="1"/>
  <c r="O1887" i="11"/>
  <c r="Q1887" i="11" s="1"/>
  <c r="O1823" i="11"/>
  <c r="Q1823" i="11" s="1"/>
  <c r="O1759" i="11"/>
  <c r="Q1759" i="11" s="1"/>
  <c r="O1695" i="11"/>
  <c r="Q1695" i="11" s="1"/>
  <c r="O1631" i="11"/>
  <c r="Q1631" i="11" s="1"/>
  <c r="O1534" i="11"/>
  <c r="Q1534" i="11" s="1"/>
  <c r="O1406" i="11"/>
  <c r="Q1406" i="11" s="1"/>
  <c r="O1260" i="11"/>
  <c r="Q1260" i="11" s="1"/>
  <c r="O1020" i="11"/>
  <c r="Q1020" i="11" s="1"/>
  <c r="O142" i="11"/>
  <c r="Q142" i="11" s="1"/>
  <c r="O3517" i="11"/>
  <c r="Q3517" i="11" s="1"/>
  <c r="O3501" i="11"/>
  <c r="Q3501" i="11" s="1"/>
  <c r="O3485" i="11"/>
  <c r="Q3485" i="11" s="1"/>
  <c r="O3469" i="11"/>
  <c r="Q3469" i="11" s="1"/>
  <c r="O3453" i="11"/>
  <c r="Q3453" i="11" s="1"/>
  <c r="O3437" i="11"/>
  <c r="Q3437" i="11" s="1"/>
  <c r="O3421" i="11"/>
  <c r="Q3421" i="11" s="1"/>
  <c r="O3405" i="11"/>
  <c r="Q3405" i="11" s="1"/>
  <c r="O3389" i="11"/>
  <c r="Q3389" i="11" s="1"/>
  <c r="O3373" i="11"/>
  <c r="Q3373" i="11" s="1"/>
  <c r="O3347" i="11"/>
  <c r="Q3347" i="11" s="1"/>
  <c r="O3337" i="11"/>
  <c r="Q3337" i="11" s="1"/>
  <c r="O3326" i="11"/>
  <c r="Q3326" i="11" s="1"/>
  <c r="O3315" i="11"/>
  <c r="Q3315" i="11" s="1"/>
  <c r="O3305" i="11"/>
  <c r="Q3305" i="11" s="1"/>
  <c r="O3294" i="11"/>
  <c r="Q3294" i="11" s="1"/>
  <c r="O3283" i="11"/>
  <c r="Q3283" i="11" s="1"/>
  <c r="O3273" i="11"/>
  <c r="Q3273" i="11" s="1"/>
  <c r="O3262" i="11"/>
  <c r="Q3262" i="11" s="1"/>
  <c r="O3251" i="11"/>
  <c r="Q3251" i="11" s="1"/>
  <c r="O3241" i="11"/>
  <c r="Q3241" i="11" s="1"/>
  <c r="O3230" i="11"/>
  <c r="Q3230" i="11" s="1"/>
  <c r="O3219" i="11"/>
  <c r="Q3219" i="11" s="1"/>
  <c r="O3209" i="11"/>
  <c r="Q3209" i="11" s="1"/>
  <c r="O2542" i="11"/>
  <c r="Q2542" i="11" s="1"/>
  <c r="O2510" i="11"/>
  <c r="Q2510" i="11" s="1"/>
  <c r="O2478" i="11"/>
  <c r="Q2478" i="11" s="1"/>
  <c r="O2446" i="11"/>
  <c r="Q2446" i="11" s="1"/>
  <c r="O2414" i="11"/>
  <c r="Q2414" i="11" s="1"/>
  <c r="O2382" i="11"/>
  <c r="Q2382" i="11" s="1"/>
  <c r="O2350" i="11"/>
  <c r="Q2350" i="11" s="1"/>
  <c r="O2286" i="11"/>
  <c r="Q2286" i="11" s="1"/>
  <c r="O2254" i="11"/>
  <c r="Q2254" i="11" s="1"/>
  <c r="O2222" i="11"/>
  <c r="Q2222" i="11" s="1"/>
  <c r="O2190" i="11"/>
  <c r="Q2190" i="11" s="1"/>
  <c r="O2158" i="11"/>
  <c r="Q2158" i="11" s="1"/>
  <c r="O2094" i="11"/>
  <c r="Q2094" i="11" s="1"/>
  <c r="O2030" i="11"/>
  <c r="Q2030" i="11" s="1"/>
  <c r="O1998" i="11"/>
  <c r="Q1998" i="11" s="1"/>
  <c r="O1927" i="11"/>
  <c r="Q1927" i="11" s="1"/>
  <c r="O1863" i="11"/>
  <c r="Q1863" i="11" s="1"/>
  <c r="O1799" i="11"/>
  <c r="Q1799" i="11" s="1"/>
  <c r="O1671" i="11"/>
  <c r="Q1671" i="11" s="1"/>
  <c r="O1607" i="11"/>
  <c r="Q1607" i="11" s="1"/>
  <c r="O1541" i="11"/>
  <c r="Q1541" i="11" s="1"/>
  <c r="O1413" i="11"/>
  <c r="Q1413" i="11" s="1"/>
  <c r="O1318" i="11"/>
  <c r="Q1318" i="11" s="1"/>
  <c r="O764" i="11"/>
  <c r="Q764" i="11" s="1"/>
  <c r="O3666" i="11"/>
  <c r="Q3666" i="11" s="1"/>
  <c r="O3634" i="11"/>
  <c r="Q3634" i="11" s="1"/>
  <c r="O3602" i="11"/>
  <c r="Q3602" i="11" s="1"/>
  <c r="O3570" i="11"/>
  <c r="Q3570" i="11" s="1"/>
  <c r="O3538" i="11"/>
  <c r="Q3538" i="11" s="1"/>
  <c r="O3522" i="11"/>
  <c r="Q3522" i="11" s="1"/>
  <c r="O3490" i="11"/>
  <c r="Q3490" i="11" s="1"/>
  <c r="O3474" i="11"/>
  <c r="Q3474" i="11" s="1"/>
  <c r="O3458" i="11"/>
  <c r="Q3458" i="11" s="1"/>
  <c r="O3426" i="11"/>
  <c r="Q3426" i="11" s="1"/>
  <c r="O3410" i="11"/>
  <c r="Q3410" i="11" s="1"/>
  <c r="O3394" i="11"/>
  <c r="Q3394" i="11" s="1"/>
  <c r="O3362" i="11"/>
  <c r="Q3362" i="11" s="1"/>
  <c r="O3187" i="11"/>
  <c r="Q3187" i="11" s="1"/>
  <c r="O3155" i="11"/>
  <c r="Q3155" i="11" s="1"/>
  <c r="O3123" i="11"/>
  <c r="Q3123" i="11" s="1"/>
  <c r="O3107" i="11"/>
  <c r="Q3107" i="11" s="1"/>
  <c r="O3075" i="11"/>
  <c r="Q3075" i="11" s="1"/>
  <c r="O3043" i="11"/>
  <c r="Q3043" i="11" s="1"/>
  <c r="O3011" i="11"/>
  <c r="Q3011" i="11" s="1"/>
  <c r="O2979" i="11"/>
  <c r="Q2979" i="11" s="1"/>
  <c r="O2963" i="11"/>
  <c r="Q2963" i="11" s="1"/>
  <c r="O2947" i="11"/>
  <c r="Q2947" i="11" s="1"/>
  <c r="O2915" i="11"/>
  <c r="Q2915" i="11" s="1"/>
  <c r="O2899" i="11"/>
  <c r="Q2899" i="11" s="1"/>
  <c r="O2883" i="11"/>
  <c r="Q2883" i="11" s="1"/>
  <c r="O2851" i="11"/>
  <c r="Q2851" i="11" s="1"/>
  <c r="O2819" i="11"/>
  <c r="Q2819" i="11" s="1"/>
  <c r="O2787" i="11"/>
  <c r="Q2787" i="11" s="1"/>
  <c r="O2771" i="11"/>
  <c r="Q2771" i="11" s="1"/>
  <c r="O2739" i="11"/>
  <c r="Q2739" i="11" s="1"/>
  <c r="O2707" i="11"/>
  <c r="Q2707" i="11" s="1"/>
  <c r="O2675" i="11"/>
  <c r="Q2675" i="11" s="1"/>
  <c r="O2659" i="11"/>
  <c r="Q2659" i="11" s="1"/>
  <c r="O2627" i="11"/>
  <c r="Q2627" i="11" s="1"/>
  <c r="O2595" i="11"/>
  <c r="Q2595" i="11" s="1"/>
  <c r="O2563" i="11"/>
  <c r="Q2563" i="11" s="1"/>
  <c r="O1201" i="11"/>
  <c r="Q1201" i="11" s="1"/>
  <c r="O972" i="11"/>
  <c r="Q972" i="11" s="1"/>
  <c r="O3181" i="11"/>
  <c r="Q3181" i="11" s="1"/>
  <c r="O3165" i="11"/>
  <c r="Q3165" i="11" s="1"/>
  <c r="O3149" i="11"/>
  <c r="Q3149" i="11" s="1"/>
  <c r="O3133" i="11"/>
  <c r="Q3133" i="11" s="1"/>
  <c r="O3101" i="11"/>
  <c r="Q3101" i="11" s="1"/>
  <c r="O3085" i="11"/>
  <c r="Q3085" i="11" s="1"/>
  <c r="O3053" i="11"/>
  <c r="Q3053" i="11" s="1"/>
  <c r="O3037" i="11"/>
  <c r="Q3037" i="11" s="1"/>
  <c r="O3005" i="11"/>
  <c r="Q3005" i="11" s="1"/>
  <c r="O2973" i="11"/>
  <c r="Q2973" i="11" s="1"/>
  <c r="O2941" i="11"/>
  <c r="Q2941" i="11" s="1"/>
  <c r="O2909" i="11"/>
  <c r="Q2909" i="11" s="1"/>
  <c r="O2877" i="11"/>
  <c r="Q2877" i="11" s="1"/>
  <c r="O2861" i="11"/>
  <c r="Q2861" i="11" s="1"/>
  <c r="O2829" i="11"/>
  <c r="Q2829" i="11" s="1"/>
  <c r="O2813" i="11"/>
  <c r="Q2813" i="11" s="1"/>
  <c r="O2797" i="11"/>
  <c r="Q2797" i="11" s="1"/>
  <c r="O2781" i="11"/>
  <c r="Q2781" i="11" s="1"/>
  <c r="O2749" i="11"/>
  <c r="Q2749" i="11" s="1"/>
  <c r="O2733" i="11"/>
  <c r="Q2733" i="11" s="1"/>
  <c r="O2701" i="11"/>
  <c r="Q2701" i="11" s="1"/>
  <c r="O2685" i="11"/>
  <c r="Q2685" i="11" s="1"/>
  <c r="O2653" i="11"/>
  <c r="Q2653" i="11" s="1"/>
  <c r="O2637" i="11"/>
  <c r="Q2637" i="11" s="1"/>
  <c r="O2605" i="11"/>
  <c r="Q2605" i="11" s="1"/>
  <c r="O2573" i="11"/>
  <c r="Q2573" i="11" s="1"/>
  <c r="O2541" i="11"/>
  <c r="Q2541" i="11" s="1"/>
  <c r="O2525" i="11"/>
  <c r="Q2525" i="11" s="1"/>
  <c r="O2493" i="11"/>
  <c r="Q2493" i="11" s="1"/>
  <c r="O2477" i="11"/>
  <c r="Q2477" i="11" s="1"/>
  <c r="O2445" i="11"/>
  <c r="Q2445" i="11" s="1"/>
  <c r="O2429" i="11"/>
  <c r="Q2429" i="11" s="1"/>
  <c r="O2413" i="11"/>
  <c r="Q2413" i="11" s="1"/>
  <c r="O2381" i="11"/>
  <c r="Q2381" i="11" s="1"/>
  <c r="O2365" i="11"/>
  <c r="Q2365" i="11" s="1"/>
  <c r="O2333" i="11"/>
  <c r="Q2333" i="11" s="1"/>
  <c r="O2301" i="11"/>
  <c r="Q2301" i="11" s="1"/>
  <c r="O2285" i="11"/>
  <c r="Q2285" i="11" s="1"/>
  <c r="O2253" i="11"/>
  <c r="Q2253" i="11" s="1"/>
  <c r="O2221" i="11"/>
  <c r="Q2221" i="11" s="1"/>
  <c r="O2189" i="11"/>
  <c r="Q2189" i="11" s="1"/>
  <c r="O2157" i="11"/>
  <c r="Q2157" i="11" s="1"/>
  <c r="O2141" i="11"/>
  <c r="Q2141" i="11" s="1"/>
  <c r="O2109" i="11"/>
  <c r="Q2109" i="11" s="1"/>
  <c r="O2093" i="11"/>
  <c r="Q2093" i="11" s="1"/>
  <c r="O2077" i="11"/>
  <c r="Q2077" i="11" s="1"/>
  <c r="O2045" i="11"/>
  <c r="Q2045" i="11" s="1"/>
  <c r="O2029" i="11"/>
  <c r="Q2029" i="11" s="1"/>
  <c r="O1997" i="11"/>
  <c r="Q1997" i="11" s="1"/>
  <c r="O1965" i="11"/>
  <c r="Q1965" i="11" s="1"/>
  <c r="O1949" i="11"/>
  <c r="Q1949" i="11" s="1"/>
  <c r="O1912" i="11"/>
  <c r="Q1912" i="11" s="1"/>
  <c r="O1093" i="11"/>
  <c r="Q1093" i="11" s="1"/>
  <c r="O1006" i="11"/>
  <c r="Q1006" i="11" s="1"/>
  <c r="O492" i="11"/>
  <c r="Q492" i="11" s="1"/>
  <c r="O174" i="11"/>
  <c r="Q174" i="11" s="1"/>
  <c r="O2515" i="11"/>
  <c r="Q2515" i="11" s="1"/>
  <c r="O2499" i="11"/>
  <c r="Q2499" i="11" s="1"/>
  <c r="O2483" i="11"/>
  <c r="Q2483" i="11" s="1"/>
  <c r="O2451" i="11"/>
  <c r="Q2451" i="11" s="1"/>
  <c r="O2435" i="11"/>
  <c r="Q2435" i="11" s="1"/>
  <c r="O2419" i="11"/>
  <c r="Q2419" i="11" s="1"/>
  <c r="O2387" i="11"/>
  <c r="Q2387" i="11" s="1"/>
  <c r="O2371" i="11"/>
  <c r="Q2371" i="11" s="1"/>
  <c r="O2339" i="11"/>
  <c r="Q2339" i="11" s="1"/>
  <c r="O2307" i="11"/>
  <c r="Q2307" i="11" s="1"/>
  <c r="O2291" i="11"/>
  <c r="Q2291" i="11" s="1"/>
  <c r="O2259" i="11"/>
  <c r="Q2259" i="11" s="1"/>
  <c r="O2227" i="11"/>
  <c r="Q2227" i="11" s="1"/>
  <c r="O2195" i="11"/>
  <c r="Q2195" i="11" s="1"/>
  <c r="O2179" i="11"/>
  <c r="Q2179" i="11" s="1"/>
  <c r="O2147" i="11"/>
  <c r="Q2147" i="11" s="1"/>
  <c r="O2131" i="11"/>
  <c r="Q2131" i="11" s="1"/>
  <c r="O2115" i="11"/>
  <c r="Q2115" i="11" s="1"/>
  <c r="O2083" i="11"/>
  <c r="Q2083" i="11" s="1"/>
  <c r="O2067" i="11"/>
  <c r="Q2067" i="11" s="1"/>
  <c r="O2051" i="11"/>
  <c r="Q2051" i="11" s="1"/>
  <c r="O2019" i="11"/>
  <c r="Q2019" i="11" s="1"/>
  <c r="O2003" i="11"/>
  <c r="Q2003" i="11" s="1"/>
  <c r="O1971" i="11"/>
  <c r="Q1971" i="11" s="1"/>
  <c r="O1939" i="11"/>
  <c r="Q1939" i="11" s="1"/>
  <c r="O1032" i="11"/>
  <c r="Q1032" i="11" s="1"/>
  <c r="O577" i="11"/>
  <c r="Q577" i="11" s="1"/>
  <c r="O3352" i="11"/>
  <c r="Q3352" i="11" s="1"/>
  <c r="O3336" i="11"/>
  <c r="Q3336" i="11" s="1"/>
  <c r="O3320" i="11"/>
  <c r="Q3320" i="11" s="1"/>
  <c r="O3288" i="11"/>
  <c r="Q3288" i="11" s="1"/>
  <c r="O3272" i="11"/>
  <c r="Q3272" i="11" s="1"/>
  <c r="O3256" i="11"/>
  <c r="Q3256" i="11" s="1"/>
  <c r="O3240" i="11"/>
  <c r="Q3240" i="11" s="1"/>
  <c r="O3208" i="11"/>
  <c r="Q3208" i="11" s="1"/>
  <c r="O3192" i="11"/>
  <c r="Q3192" i="11" s="1"/>
  <c r="O3160" i="11"/>
  <c r="Q3160" i="11" s="1"/>
  <c r="O3144" i="11"/>
  <c r="Q3144" i="11" s="1"/>
  <c r="O3112" i="11"/>
  <c r="Q3112" i="11" s="1"/>
  <c r="O3080" i="11"/>
  <c r="Q3080" i="11" s="1"/>
  <c r="O3048" i="11"/>
  <c r="Q3048" i="11" s="1"/>
  <c r="O3032" i="11"/>
  <c r="Q3032" i="11" s="1"/>
  <c r="O3000" i="11"/>
  <c r="Q3000" i="11" s="1"/>
  <c r="O2984" i="11"/>
  <c r="Q2984" i="11" s="1"/>
  <c r="O2952" i="11"/>
  <c r="Q2952" i="11" s="1"/>
  <c r="O2936" i="11"/>
  <c r="Q2936" i="11" s="1"/>
  <c r="O2904" i="11"/>
  <c r="Q2904" i="11" s="1"/>
  <c r="O2888" i="11"/>
  <c r="Q2888" i="11" s="1"/>
  <c r="O2856" i="11"/>
  <c r="Q2856" i="11" s="1"/>
  <c r="O2840" i="11"/>
  <c r="Q2840" i="11" s="1"/>
  <c r="O2808" i="11"/>
  <c r="Q2808" i="11" s="1"/>
  <c r="O2776" i="11"/>
  <c r="Q2776" i="11" s="1"/>
  <c r="O2760" i="11"/>
  <c r="Q2760" i="11" s="1"/>
  <c r="O2728" i="11"/>
  <c r="Q2728" i="11" s="1"/>
  <c r="O2696" i="11"/>
  <c r="Q2696" i="11" s="1"/>
  <c r="O2664" i="11"/>
  <c r="Q2664" i="11" s="1"/>
  <c r="O2648" i="11"/>
  <c r="Q2648" i="11" s="1"/>
  <c r="O2616" i="11"/>
  <c r="Q2616" i="11" s="1"/>
  <c r="O2600" i="11"/>
  <c r="Q2600" i="11" s="1"/>
  <c r="O2568" i="11"/>
  <c r="Q2568" i="11" s="1"/>
  <c r="O2552" i="11"/>
  <c r="Q2552" i="11" s="1"/>
  <c r="O2536" i="11"/>
  <c r="Q2536" i="11" s="1"/>
  <c r="O2504" i="11"/>
  <c r="Q2504" i="11" s="1"/>
  <c r="O2472" i="11"/>
  <c r="Q2472" i="11" s="1"/>
  <c r="O2456" i="11"/>
  <c r="Q2456" i="11" s="1"/>
  <c r="O2424" i="11"/>
  <c r="Q2424" i="11" s="1"/>
  <c r="O2408" i="11"/>
  <c r="Q2408" i="11" s="1"/>
  <c r="O2376" i="11"/>
  <c r="Q2376" i="11" s="1"/>
  <c r="O2344" i="11"/>
  <c r="Q2344" i="11" s="1"/>
  <c r="O2312" i="11"/>
  <c r="Q2312" i="11" s="1"/>
  <c r="O2296" i="11"/>
  <c r="Q2296" i="11" s="1"/>
  <c r="O2264" i="11"/>
  <c r="Q2264" i="11" s="1"/>
  <c r="O2248" i="11"/>
  <c r="Q2248" i="11" s="1"/>
  <c r="O2216" i="11"/>
  <c r="Q2216" i="11" s="1"/>
  <c r="O2200" i="11"/>
  <c r="Q2200" i="11" s="1"/>
  <c r="O2184" i="11"/>
  <c r="Q2184" i="11" s="1"/>
  <c r="O2152" i="11"/>
  <c r="Q2152" i="11" s="1"/>
  <c r="O2136" i="11"/>
  <c r="Q2136" i="11" s="1"/>
  <c r="O2104" i="11"/>
  <c r="Q2104" i="11" s="1"/>
  <c r="O2088" i="11"/>
  <c r="Q2088" i="11" s="1"/>
  <c r="O2056" i="11"/>
  <c r="Q2056" i="11" s="1"/>
  <c r="O2024" i="11"/>
  <c r="Q2024" i="11" s="1"/>
  <c r="O2008" i="11"/>
  <c r="Q2008" i="11" s="1"/>
  <c r="O1976" i="11"/>
  <c r="Q1976" i="11" s="1"/>
  <c r="O1944" i="11"/>
  <c r="Q1944" i="11" s="1"/>
  <c r="O1899" i="11"/>
  <c r="Q1899" i="11" s="1"/>
  <c r="O1835" i="11"/>
  <c r="Q1835" i="11" s="1"/>
  <c r="O1803" i="11"/>
  <c r="Q1803" i="11" s="1"/>
  <c r="O1739" i="11"/>
  <c r="Q1739" i="11" s="1"/>
  <c r="O1707" i="11"/>
  <c r="Q1707" i="11" s="1"/>
  <c r="O1675" i="11"/>
  <c r="Q1675" i="11" s="1"/>
  <c r="O1611" i="11"/>
  <c r="Q1611" i="11" s="1"/>
  <c r="O1543" i="11"/>
  <c r="Q1543" i="11" s="1"/>
  <c r="O1493" i="11"/>
  <c r="Q1493" i="11" s="1"/>
  <c r="O1415" i="11"/>
  <c r="Q1415" i="11" s="1"/>
  <c r="O1301" i="11"/>
  <c r="Q1301" i="11" s="1"/>
  <c r="O1169" i="11"/>
  <c r="Q1169" i="11" s="1"/>
  <c r="O1061" i="11"/>
  <c r="Q1061" i="11" s="1"/>
  <c r="O892" i="11"/>
  <c r="Q892" i="11" s="1"/>
  <c r="O696" i="11"/>
  <c r="Q696" i="11" s="1"/>
  <c r="O289" i="11"/>
  <c r="Q289" i="11" s="1"/>
  <c r="O1930" i="11"/>
  <c r="Q1930" i="11" s="1"/>
  <c r="O1914" i="11"/>
  <c r="Q1914" i="11" s="1"/>
  <c r="O1882" i="11"/>
  <c r="Q1882" i="11" s="1"/>
  <c r="O1866" i="11"/>
  <c r="Q1866" i="11" s="1"/>
  <c r="O1834" i="11"/>
  <c r="Q1834" i="11" s="1"/>
  <c r="O1802" i="11"/>
  <c r="Q1802" i="11" s="1"/>
  <c r="O1770" i="11"/>
  <c r="Q1770" i="11" s="1"/>
  <c r="O1754" i="11"/>
  <c r="Q1754" i="11" s="1"/>
  <c r="O1722" i="11"/>
  <c r="Q1722" i="11" s="1"/>
  <c r="O1706" i="11"/>
  <c r="Q1706" i="11" s="1"/>
  <c r="O1674" i="11"/>
  <c r="Q1674" i="11" s="1"/>
  <c r="O1642" i="11"/>
  <c r="Q1642" i="11" s="1"/>
  <c r="O1626" i="11"/>
  <c r="Q1626" i="11" s="1"/>
  <c r="O1610" i="11"/>
  <c r="Q1610" i="11" s="1"/>
  <c r="O1570" i="11"/>
  <c r="Q1570" i="11" s="1"/>
  <c r="O1547" i="11"/>
  <c r="Q1547" i="11" s="1"/>
  <c r="O1529" i="11"/>
  <c r="Q1529" i="11" s="1"/>
  <c r="O1506" i="11"/>
  <c r="Q1506" i="11" s="1"/>
  <c r="O1465" i="11"/>
  <c r="Q1465" i="11" s="1"/>
  <c r="O1442" i="11"/>
  <c r="Q1442" i="11" s="1"/>
  <c r="O1401" i="11"/>
  <c r="Q1401" i="11" s="1"/>
  <c r="O1378" i="11"/>
  <c r="Q1378" i="11" s="1"/>
  <c r="O1319" i="11"/>
  <c r="Q1319" i="11" s="1"/>
  <c r="O1136" i="11"/>
  <c r="Q1136" i="11" s="1"/>
  <c r="O945" i="11"/>
  <c r="Q945" i="11" s="1"/>
  <c r="O914" i="11"/>
  <c r="Q914" i="11" s="1"/>
  <c r="O857" i="11"/>
  <c r="Q857" i="11" s="1"/>
  <c r="O748" i="11"/>
  <c r="Q748" i="11" s="1"/>
  <c r="O689" i="11"/>
  <c r="Q689" i="11" s="1"/>
  <c r="O658" i="11"/>
  <c r="Q658" i="11" s="1"/>
  <c r="O544" i="11"/>
  <c r="Q544" i="11" s="1"/>
  <c r="O421" i="11"/>
  <c r="Q421" i="11" s="1"/>
  <c r="O1900" i="11"/>
  <c r="Q1900" i="11" s="1"/>
  <c r="O1884" i="11"/>
  <c r="Q1884" i="11" s="1"/>
  <c r="O1852" i="11"/>
  <c r="Q1852" i="11" s="1"/>
  <c r="O1836" i="11"/>
  <c r="Q1836" i="11" s="1"/>
  <c r="O1804" i="11"/>
  <c r="Q1804" i="11" s="1"/>
  <c r="O1788" i="11"/>
  <c r="Q1788" i="11" s="1"/>
  <c r="O1756" i="11"/>
  <c r="Q1756" i="11" s="1"/>
  <c r="O1724" i="11"/>
  <c r="Q1724" i="11" s="1"/>
  <c r="O1708" i="11"/>
  <c r="Q1708" i="11" s="1"/>
  <c r="O1676" i="11"/>
  <c r="Q1676" i="11" s="1"/>
  <c r="O1660" i="11"/>
  <c r="Q1660" i="11" s="1"/>
  <c r="O1644" i="11"/>
  <c r="Q1644" i="11" s="1"/>
  <c r="O1612" i="11"/>
  <c r="Q1612" i="11" s="1"/>
  <c r="O1596" i="11"/>
  <c r="Q1596" i="11" s="1"/>
  <c r="O1555" i="11"/>
  <c r="Q1555" i="11" s="1"/>
  <c r="O1537" i="11"/>
  <c r="Q1537" i="11" s="1"/>
  <c r="O1491" i="11"/>
  <c r="Q1491" i="11" s="1"/>
  <c r="O1450" i="11"/>
  <c r="Q1450" i="11" s="1"/>
  <c r="O1427" i="11"/>
  <c r="Q1427" i="11" s="1"/>
  <c r="O1386" i="11"/>
  <c r="Q1386" i="11" s="1"/>
  <c r="O1339" i="11"/>
  <c r="Q1339" i="11" s="1"/>
  <c r="O1266" i="11"/>
  <c r="Q1266" i="11" s="1"/>
  <c r="O1088" i="11"/>
  <c r="Q1088" i="11" s="1"/>
  <c r="O1010" i="11"/>
  <c r="Q1010" i="11" s="1"/>
  <c r="O810" i="11"/>
  <c r="Q810" i="11" s="1"/>
  <c r="O738" i="11"/>
  <c r="Q738" i="11" s="1"/>
  <c r="O670" i="11"/>
  <c r="Q670" i="11" s="1"/>
  <c r="O530" i="11"/>
  <c r="Q530" i="11" s="1"/>
  <c r="O352" i="11"/>
  <c r="Q352" i="11" s="1"/>
  <c r="O88" i="11"/>
  <c r="Q88" i="11" s="1"/>
  <c r="O1909" i="11"/>
  <c r="Q1909" i="11" s="1"/>
  <c r="O1893" i="11"/>
  <c r="Q1893" i="11" s="1"/>
  <c r="O1861" i="11"/>
  <c r="Q1861" i="11" s="1"/>
  <c r="O1829" i="11"/>
  <c r="Q1829" i="11" s="1"/>
  <c r="O1797" i="11"/>
  <c r="Q1797" i="11" s="1"/>
  <c r="O1765" i="11"/>
  <c r="Q1765" i="11" s="1"/>
  <c r="O1749" i="11"/>
  <c r="Q1749" i="11" s="1"/>
  <c r="O1733" i="11"/>
  <c r="Q1733" i="11" s="1"/>
  <c r="O1701" i="11"/>
  <c r="Q1701" i="11" s="1"/>
  <c r="O1685" i="11"/>
  <c r="Q1685" i="11" s="1"/>
  <c r="O1669" i="11"/>
  <c r="Q1669" i="11" s="1"/>
  <c r="O1637" i="11"/>
  <c r="Q1637" i="11" s="1"/>
  <c r="O1621" i="11"/>
  <c r="Q1621" i="11" s="1"/>
  <c r="O1590" i="11"/>
  <c r="Q1590" i="11" s="1"/>
  <c r="O1567" i="11"/>
  <c r="Q1567" i="11" s="1"/>
  <c r="O1526" i="11"/>
  <c r="Q1526" i="11" s="1"/>
  <c r="O1503" i="11"/>
  <c r="Q1503" i="11" s="1"/>
  <c r="O1462" i="11"/>
  <c r="Q1462" i="11" s="1"/>
  <c r="O1421" i="11"/>
  <c r="Q1421" i="11" s="1"/>
  <c r="O1349" i="11"/>
  <c r="Q1349" i="11" s="1"/>
  <c r="O1292" i="11"/>
  <c r="Q1292" i="11" s="1"/>
  <c r="O1209" i="11"/>
  <c r="Q1209" i="11" s="1"/>
  <c r="O1177" i="11"/>
  <c r="Q1177" i="11" s="1"/>
  <c r="O1084" i="11"/>
  <c r="Q1084" i="11" s="1"/>
  <c r="O1054" i="11"/>
  <c r="Q1054" i="11" s="1"/>
  <c r="O997" i="11"/>
  <c r="Q997" i="11" s="1"/>
  <c r="O873" i="11"/>
  <c r="Q873" i="11" s="1"/>
  <c r="O805" i="11"/>
  <c r="Q805" i="11" s="1"/>
  <c r="O617" i="11"/>
  <c r="Q617" i="11" s="1"/>
  <c r="O428" i="11"/>
  <c r="Q428" i="11" s="1"/>
  <c r="O313" i="11"/>
  <c r="Q313" i="11" s="1"/>
  <c r="O85" i="11"/>
  <c r="Q85" i="11" s="1"/>
  <c r="O1347" i="11"/>
  <c r="Q1347" i="11" s="1"/>
  <c r="O1329" i="11"/>
  <c r="Q1329" i="11" s="1"/>
  <c r="O1306" i="11"/>
  <c r="Q1306" i="11" s="1"/>
  <c r="O1218" i="11"/>
  <c r="Q1218" i="11" s="1"/>
  <c r="O1161" i="11"/>
  <c r="Q1161" i="11" s="1"/>
  <c r="O1104" i="11"/>
  <c r="Q1104" i="11" s="1"/>
  <c r="O1000" i="11"/>
  <c r="Q1000" i="11" s="1"/>
  <c r="O962" i="11"/>
  <c r="Q962" i="11" s="1"/>
  <c r="O848" i="11"/>
  <c r="Q848" i="11" s="1"/>
  <c r="O796" i="11"/>
  <c r="Q796" i="11" s="1"/>
  <c r="O706" i="11"/>
  <c r="Q706" i="11" s="1"/>
  <c r="O649" i="11"/>
  <c r="Q649" i="11" s="1"/>
  <c r="O450" i="11"/>
  <c r="Q450" i="11" s="1"/>
  <c r="O393" i="11"/>
  <c r="Q393" i="11" s="1"/>
  <c r="O258" i="11"/>
  <c r="Q258" i="11" s="1"/>
  <c r="O186" i="11"/>
  <c r="Q186" i="11" s="1"/>
  <c r="O553" i="11"/>
  <c r="Q553" i="11" s="1"/>
  <c r="O496" i="11"/>
  <c r="Q496" i="11" s="1"/>
  <c r="O444" i="11"/>
  <c r="Q444" i="11" s="1"/>
  <c r="O354" i="11"/>
  <c r="Q354" i="11" s="1"/>
  <c r="O272" i="11"/>
  <c r="Q272" i="11" s="1"/>
  <c r="O122" i="11"/>
  <c r="Q122" i="11" s="1"/>
  <c r="O920" i="11"/>
  <c r="Q920" i="11" s="1"/>
  <c r="O825" i="11"/>
  <c r="Q825" i="11" s="1"/>
  <c r="O716" i="11"/>
  <c r="Q716" i="11" s="1"/>
  <c r="O626" i="11"/>
  <c r="Q626" i="11" s="1"/>
  <c r="O569" i="11"/>
  <c r="Q569" i="11" s="1"/>
  <c r="O460" i="11"/>
  <c r="Q460" i="11" s="1"/>
  <c r="O408" i="11"/>
  <c r="Q408" i="11" s="1"/>
  <c r="O370" i="11"/>
  <c r="Q370" i="11" s="1"/>
  <c r="O268" i="11"/>
  <c r="Q268" i="11" s="1"/>
  <c r="O238" i="11"/>
  <c r="Q238" i="11" s="1"/>
  <c r="O152" i="11"/>
  <c r="Q152" i="11" s="1"/>
  <c r="O121" i="11"/>
  <c r="Q121" i="11" s="1"/>
  <c r="O34" i="11"/>
  <c r="Q34" i="11" s="1"/>
  <c r="O281" i="11"/>
  <c r="Q281" i="11" s="1"/>
  <c r="O172" i="11"/>
  <c r="Q172" i="11" s="1"/>
  <c r="O82" i="11"/>
  <c r="Q82" i="11" s="1"/>
  <c r="O16" i="11"/>
  <c r="Q16" i="11" s="1"/>
  <c r="O8397" i="11"/>
  <c r="Q8397" i="11" s="1"/>
  <c r="O8365" i="11"/>
  <c r="Q8365" i="11" s="1"/>
  <c r="O8329" i="11"/>
  <c r="Q8329" i="11" s="1"/>
  <c r="O8297" i="11"/>
  <c r="Q8297" i="11" s="1"/>
  <c r="O8265" i="11"/>
  <c r="Q8265" i="11" s="1"/>
  <c r="O8233" i="11"/>
  <c r="Q8233" i="11" s="1"/>
  <c r="O8205" i="11"/>
  <c r="Q8205" i="11" s="1"/>
  <c r="O8169" i="11"/>
  <c r="Q8169" i="11" s="1"/>
  <c r="O8141" i="11"/>
  <c r="Q8141" i="11" s="1"/>
  <c r="O8105" i="11"/>
  <c r="Q8105" i="11" s="1"/>
  <c r="O8073" i="11"/>
  <c r="Q8073" i="11" s="1"/>
  <c r="O8041" i="11"/>
  <c r="Q8041" i="11" s="1"/>
  <c r="O8009" i="11"/>
  <c r="Q8009" i="11" s="1"/>
  <c r="O7981" i="11"/>
  <c r="Q7981" i="11" s="1"/>
  <c r="O7945" i="11"/>
  <c r="Q7945" i="11" s="1"/>
  <c r="O7925" i="11"/>
  <c r="Q7925" i="11" s="1"/>
  <c r="O7909" i="11"/>
  <c r="Q7909" i="11" s="1"/>
  <c r="O7893" i="11"/>
  <c r="Q7893" i="11" s="1"/>
  <c r="O7877" i="11"/>
  <c r="Q7877" i="11" s="1"/>
  <c r="O7861" i="11"/>
  <c r="Q7861" i="11" s="1"/>
  <c r="O7845" i="11"/>
  <c r="Q7845" i="11" s="1"/>
  <c r="O8409" i="11"/>
  <c r="Q8409" i="11" s="1"/>
  <c r="O8377" i="11"/>
  <c r="Q8377" i="11" s="1"/>
  <c r="O8345" i="11"/>
  <c r="Q8345" i="11" s="1"/>
  <c r="O8317" i="11"/>
  <c r="Q8317" i="11" s="1"/>
  <c r="O8285" i="11"/>
  <c r="Q8285" i="11" s="1"/>
  <c r="O8253" i="11"/>
  <c r="Q8253" i="11" s="1"/>
  <c r="O8221" i="11"/>
  <c r="Q8221" i="11" s="1"/>
  <c r="O8189" i="11"/>
  <c r="Q8189" i="11" s="1"/>
  <c r="O8157" i="11"/>
  <c r="Q8157" i="11" s="1"/>
  <c r="O8125" i="11"/>
  <c r="Q8125" i="11" s="1"/>
  <c r="O8093" i="11"/>
  <c r="Q8093" i="11" s="1"/>
  <c r="O8057" i="11"/>
  <c r="Q8057" i="11" s="1"/>
  <c r="O8029" i="11"/>
  <c r="Q8029" i="11" s="1"/>
  <c r="O7993" i="11"/>
  <c r="Q7993" i="11" s="1"/>
  <c r="O7961" i="11"/>
  <c r="Q7961" i="11" s="1"/>
  <c r="O7833" i="11"/>
  <c r="Q7833" i="11" s="1"/>
  <c r="O7817" i="11"/>
  <c r="Q7817" i="11" s="1"/>
  <c r="O7801" i="11"/>
  <c r="Q7801" i="11" s="1"/>
  <c r="O7785" i="11"/>
  <c r="Q7785" i="11" s="1"/>
  <c r="O7769" i="11"/>
  <c r="Q7769" i="11" s="1"/>
  <c r="O7753" i="11"/>
  <c r="Q7753" i="11" s="1"/>
  <c r="O7737" i="11"/>
  <c r="Q7737" i="11" s="1"/>
  <c r="O8403" i="11"/>
  <c r="Q8403" i="11" s="1"/>
  <c r="O8387" i="11"/>
  <c r="Q8387" i="11" s="1"/>
  <c r="O8371" i="11"/>
  <c r="Q8371" i="11" s="1"/>
  <c r="O8355" i="11"/>
  <c r="Q8355" i="11" s="1"/>
  <c r="O8339" i="11"/>
  <c r="Q8339" i="11" s="1"/>
  <c r="O8323" i="11"/>
  <c r="Q8323" i="11" s="1"/>
  <c r="O8307" i="11"/>
  <c r="Q8307" i="11" s="1"/>
  <c r="O8291" i="11"/>
  <c r="Q8291" i="11" s="1"/>
  <c r="O8275" i="11"/>
  <c r="Q8275" i="11" s="1"/>
  <c r="O8259" i="11"/>
  <c r="Q8259" i="11" s="1"/>
  <c r="O8243" i="11"/>
  <c r="Q8243" i="11" s="1"/>
  <c r="O8227" i="11"/>
  <c r="Q8227" i="11" s="1"/>
  <c r="O8211" i="11"/>
  <c r="Q8211" i="11" s="1"/>
  <c r="O8195" i="11"/>
  <c r="Q8195" i="11" s="1"/>
  <c r="O8179" i="11"/>
  <c r="Q8179" i="11" s="1"/>
  <c r="O8163" i="11"/>
  <c r="Q8163" i="11" s="1"/>
  <c r="O8147" i="11"/>
  <c r="Q8147" i="11" s="1"/>
  <c r="O8131" i="11"/>
  <c r="Q8131" i="11" s="1"/>
  <c r="O8115" i="11"/>
  <c r="Q8115" i="11" s="1"/>
  <c r="O8099" i="11"/>
  <c r="Q8099" i="11" s="1"/>
  <c r="O8083" i="11"/>
  <c r="Q8083" i="11" s="1"/>
  <c r="O8067" i="11"/>
  <c r="Q8067" i="11" s="1"/>
  <c r="O8051" i="11"/>
  <c r="Q8051" i="11" s="1"/>
  <c r="O8035" i="11"/>
  <c r="Q8035" i="11" s="1"/>
  <c r="O8019" i="11"/>
  <c r="Q8019" i="11" s="1"/>
  <c r="O8003" i="11"/>
  <c r="Q8003" i="11" s="1"/>
  <c r="O7987" i="11"/>
  <c r="Q7987" i="11" s="1"/>
  <c r="O7971" i="11"/>
  <c r="Q7971" i="11" s="1"/>
  <c r="O7955" i="11"/>
  <c r="Q7955" i="11" s="1"/>
  <c r="O7939" i="11"/>
  <c r="Q7939" i="11" s="1"/>
  <c r="O7923" i="11"/>
  <c r="Q7923" i="11" s="1"/>
  <c r="O7907" i="11"/>
  <c r="Q7907" i="11" s="1"/>
  <c r="O7891" i="11"/>
  <c r="Q7891" i="11" s="1"/>
  <c r="O7875" i="11"/>
  <c r="Q7875" i="11" s="1"/>
  <c r="O7859" i="11"/>
  <c r="Q7859" i="11" s="1"/>
  <c r="O7843" i="11"/>
  <c r="Q7843" i="11" s="1"/>
  <c r="O7827" i="11"/>
  <c r="Q7827" i="11" s="1"/>
  <c r="O7811" i="11"/>
  <c r="Q7811" i="11" s="1"/>
  <c r="O7795" i="11"/>
  <c r="Q7795" i="11" s="1"/>
  <c r="O7779" i="11"/>
  <c r="Q7779" i="11" s="1"/>
  <c r="O7763" i="11"/>
  <c r="Q7763" i="11" s="1"/>
  <c r="O7747" i="11"/>
  <c r="Q7747" i="11" s="1"/>
  <c r="O7731" i="11"/>
  <c r="Q7731" i="11" s="1"/>
  <c r="O7563" i="11"/>
  <c r="Q7563" i="11" s="1"/>
  <c r="O7531" i="11"/>
  <c r="Q7531" i="11" s="1"/>
  <c r="O7499" i="11"/>
  <c r="Q7499" i="11" s="1"/>
  <c r="O7467" i="11"/>
  <c r="Q7467" i="11" s="1"/>
  <c r="O7435" i="11"/>
  <c r="Q7435" i="11" s="1"/>
  <c r="O7403" i="11"/>
  <c r="Q7403" i="11" s="1"/>
  <c r="O7371" i="11"/>
  <c r="Q7371" i="11" s="1"/>
  <c r="O7339" i="11"/>
  <c r="Q7339" i="11" s="1"/>
  <c r="O7307" i="11"/>
  <c r="Q7307" i="11" s="1"/>
  <c r="O7275" i="11"/>
  <c r="Q7275" i="11" s="1"/>
  <c r="O7243" i="11"/>
  <c r="Q7243" i="11" s="1"/>
  <c r="O7211" i="11"/>
  <c r="Q7211" i="11" s="1"/>
  <c r="O7179" i="11"/>
  <c r="Q7179" i="11" s="1"/>
  <c r="O7147" i="11"/>
  <c r="Q7147" i="11" s="1"/>
  <c r="O7115" i="11"/>
  <c r="Q7115" i="11" s="1"/>
  <c r="O7083" i="11"/>
  <c r="Q7083" i="11" s="1"/>
  <c r="O7051" i="11"/>
  <c r="Q7051" i="11" s="1"/>
  <c r="O7019" i="11"/>
  <c r="Q7019" i="11" s="1"/>
  <c r="O6987" i="11"/>
  <c r="Q6987" i="11" s="1"/>
  <c r="O6955" i="11"/>
  <c r="Q6955" i="11" s="1"/>
  <c r="O6923" i="11"/>
  <c r="Q6923" i="11" s="1"/>
  <c r="O6891" i="11"/>
  <c r="Q6891" i="11" s="1"/>
  <c r="O6859" i="11"/>
  <c r="Q6859" i="11" s="1"/>
  <c r="O6827" i="11"/>
  <c r="Q6827" i="11" s="1"/>
  <c r="O6795" i="11"/>
  <c r="Q6795" i="11" s="1"/>
  <c r="O6763" i="11"/>
  <c r="Q6763" i="11" s="1"/>
  <c r="O6731" i="11"/>
  <c r="Q6731" i="11" s="1"/>
  <c r="O6699" i="11"/>
  <c r="Q6699" i="11" s="1"/>
  <c r="O6667" i="11"/>
  <c r="Q6667" i="11" s="1"/>
  <c r="O6635" i="11"/>
  <c r="Q6635" i="11" s="1"/>
  <c r="O6603" i="11"/>
  <c r="Q6603" i="11" s="1"/>
  <c r="O6571" i="11"/>
  <c r="Q6571" i="11" s="1"/>
  <c r="O7575" i="11"/>
  <c r="Q7575" i="11" s="1"/>
  <c r="O7543" i="11"/>
  <c r="Q7543" i="11" s="1"/>
  <c r="O7511" i="11"/>
  <c r="Q7511" i="11" s="1"/>
  <c r="O7479" i="11"/>
  <c r="Q7479" i="11" s="1"/>
  <c r="O7447" i="11"/>
  <c r="Q7447" i="11" s="1"/>
  <c r="O7415" i="11"/>
  <c r="Q7415" i="11" s="1"/>
  <c r="O7383" i="11"/>
  <c r="Q7383" i="11" s="1"/>
  <c r="O7351" i="11"/>
  <c r="Q7351" i="11" s="1"/>
  <c r="O7319" i="11"/>
  <c r="Q7319" i="11" s="1"/>
  <c r="O7287" i="11"/>
  <c r="Q7287" i="11" s="1"/>
  <c r="O7255" i="11"/>
  <c r="Q7255" i="11" s="1"/>
  <c r="O7223" i="11"/>
  <c r="Q7223" i="11" s="1"/>
  <c r="O7191" i="11"/>
  <c r="Q7191" i="11" s="1"/>
  <c r="O7159" i="11"/>
  <c r="Q7159" i="11" s="1"/>
  <c r="O7127" i="11"/>
  <c r="Q7127" i="11" s="1"/>
  <c r="O7095" i="11"/>
  <c r="Q7095" i="11" s="1"/>
  <c r="O7063" i="11"/>
  <c r="Q7063" i="11" s="1"/>
  <c r="O7031" i="11"/>
  <c r="Q7031" i="11" s="1"/>
  <c r="O6999" i="11"/>
  <c r="Q6999" i="11" s="1"/>
  <c r="O6967" i="11"/>
  <c r="Q6967" i="11" s="1"/>
  <c r="O6935" i="11"/>
  <c r="Q6935" i="11" s="1"/>
  <c r="O6903" i="11"/>
  <c r="Q6903" i="11" s="1"/>
  <c r="O6871" i="11"/>
  <c r="Q6871" i="11" s="1"/>
  <c r="O6839" i="11"/>
  <c r="Q6839" i="11" s="1"/>
  <c r="O6807" i="11"/>
  <c r="Q6807" i="11" s="1"/>
  <c r="O6775" i="11"/>
  <c r="Q6775" i="11" s="1"/>
  <c r="O6743" i="11"/>
  <c r="Q6743" i="11" s="1"/>
  <c r="O6711" i="11"/>
  <c r="Q6711" i="11" s="1"/>
  <c r="O6679" i="11"/>
  <c r="Q6679" i="11" s="1"/>
  <c r="O6647" i="11"/>
  <c r="Q6647" i="11" s="1"/>
  <c r="O6615" i="11"/>
  <c r="Q6615" i="11" s="1"/>
  <c r="O6583" i="11"/>
  <c r="Q6583" i="11" s="1"/>
  <c r="O6551" i="11"/>
  <c r="Q6551" i="11" s="1"/>
  <c r="O8406" i="11"/>
  <c r="Q8406" i="11" s="1"/>
  <c r="O8398" i="11"/>
  <c r="Q8398" i="11" s="1"/>
  <c r="O8390" i="11"/>
  <c r="Q8390" i="11" s="1"/>
  <c r="O8382" i="11"/>
  <c r="Q8382" i="11" s="1"/>
  <c r="O8374" i="11"/>
  <c r="Q8374" i="11" s="1"/>
  <c r="O8366" i="11"/>
  <c r="Q8366" i="11" s="1"/>
  <c r="O8358" i="11"/>
  <c r="Q8358" i="11" s="1"/>
  <c r="O8350" i="11"/>
  <c r="Q8350" i="11" s="1"/>
  <c r="O8342" i="11"/>
  <c r="Q8342" i="11" s="1"/>
  <c r="O8334" i="11"/>
  <c r="Q8334" i="11" s="1"/>
  <c r="O8326" i="11"/>
  <c r="Q8326" i="11" s="1"/>
  <c r="O8318" i="11"/>
  <c r="Q8318" i="11" s="1"/>
  <c r="O8310" i="11"/>
  <c r="Q8310" i="11" s="1"/>
  <c r="O8302" i="11"/>
  <c r="Q8302" i="11" s="1"/>
  <c r="O8294" i="11"/>
  <c r="Q8294" i="11" s="1"/>
  <c r="O8286" i="11"/>
  <c r="Q8286" i="11" s="1"/>
  <c r="O8278" i="11"/>
  <c r="Q8278" i="11" s="1"/>
  <c r="O8270" i="11"/>
  <c r="Q8270" i="11" s="1"/>
  <c r="O8262" i="11"/>
  <c r="Q8262" i="11" s="1"/>
  <c r="O8254" i="11"/>
  <c r="Q8254" i="11" s="1"/>
  <c r="O8246" i="11"/>
  <c r="Q8246" i="11" s="1"/>
  <c r="O8238" i="11"/>
  <c r="Q8238" i="11" s="1"/>
  <c r="O8230" i="11"/>
  <c r="Q8230" i="11" s="1"/>
  <c r="O8222" i="11"/>
  <c r="Q8222" i="11" s="1"/>
  <c r="O8214" i="11"/>
  <c r="Q8214" i="11" s="1"/>
  <c r="O8206" i="11"/>
  <c r="Q8206" i="11" s="1"/>
  <c r="O8198" i="11"/>
  <c r="Q8198" i="11" s="1"/>
  <c r="O8190" i="11"/>
  <c r="Q8190" i="11" s="1"/>
  <c r="O8182" i="11"/>
  <c r="Q8182" i="11" s="1"/>
  <c r="O8174" i="11"/>
  <c r="Q8174" i="11" s="1"/>
  <c r="O8166" i="11"/>
  <c r="Q8166" i="11" s="1"/>
  <c r="O8158" i="11"/>
  <c r="Q8158" i="11" s="1"/>
  <c r="O8150" i="11"/>
  <c r="Q8150" i="11" s="1"/>
  <c r="O8142" i="11"/>
  <c r="Q8142" i="11" s="1"/>
  <c r="O8134" i="11"/>
  <c r="Q8134" i="11" s="1"/>
  <c r="O8126" i="11"/>
  <c r="Q8126" i="11" s="1"/>
  <c r="O8118" i="11"/>
  <c r="Q8118" i="11" s="1"/>
  <c r="O8110" i="11"/>
  <c r="Q8110" i="11" s="1"/>
  <c r="O8102" i="11"/>
  <c r="Q8102" i="11" s="1"/>
  <c r="O8094" i="11"/>
  <c r="Q8094" i="11" s="1"/>
  <c r="O8086" i="11"/>
  <c r="Q8086" i="11" s="1"/>
  <c r="O8078" i="11"/>
  <c r="Q8078" i="11" s="1"/>
  <c r="O8070" i="11"/>
  <c r="Q8070" i="11" s="1"/>
  <c r="O8062" i="11"/>
  <c r="Q8062" i="11" s="1"/>
  <c r="O8054" i="11"/>
  <c r="Q8054" i="11" s="1"/>
  <c r="O8046" i="11"/>
  <c r="Q8046" i="11" s="1"/>
  <c r="O8038" i="11"/>
  <c r="Q8038" i="11" s="1"/>
  <c r="O8030" i="11"/>
  <c r="Q8030" i="11" s="1"/>
  <c r="O8022" i="11"/>
  <c r="Q8022" i="11" s="1"/>
  <c r="O8014" i="11"/>
  <c r="Q8014" i="11" s="1"/>
  <c r="O8006" i="11"/>
  <c r="Q8006" i="11" s="1"/>
  <c r="O7998" i="11"/>
  <c r="Q7998" i="11" s="1"/>
  <c r="O7990" i="11"/>
  <c r="Q7990" i="11" s="1"/>
  <c r="O7982" i="11"/>
  <c r="Q7982" i="11" s="1"/>
  <c r="O7974" i="11"/>
  <c r="Q7974" i="11" s="1"/>
  <c r="O7966" i="11"/>
  <c r="Q7966" i="11" s="1"/>
  <c r="O7958" i="11"/>
  <c r="Q7958" i="11" s="1"/>
  <c r="O7950" i="11"/>
  <c r="Q7950" i="11" s="1"/>
  <c r="O7942" i="11"/>
  <c r="Q7942" i="11" s="1"/>
  <c r="O7934" i="11"/>
  <c r="Q7934" i="11" s="1"/>
  <c r="O7926" i="11"/>
  <c r="Q7926" i="11" s="1"/>
  <c r="O7918" i="11"/>
  <c r="Q7918" i="11" s="1"/>
  <c r="O7910" i="11"/>
  <c r="Q7910" i="11" s="1"/>
  <c r="O7902" i="11"/>
  <c r="Q7902" i="11" s="1"/>
  <c r="O7894" i="11"/>
  <c r="Q7894" i="11" s="1"/>
  <c r="O7886" i="11"/>
  <c r="Q7886" i="11" s="1"/>
  <c r="O7878" i="11"/>
  <c r="Q7878" i="11" s="1"/>
  <c r="O7870" i="11"/>
  <c r="Q7870" i="11" s="1"/>
  <c r="O7862" i="11"/>
  <c r="Q7862" i="11" s="1"/>
  <c r="O7854" i="11"/>
  <c r="Q7854" i="11" s="1"/>
  <c r="O7846" i="11"/>
  <c r="Q7846" i="11" s="1"/>
  <c r="O7838" i="11"/>
  <c r="Q7838" i="11" s="1"/>
  <c r="O7830" i="11"/>
  <c r="Q7830" i="11" s="1"/>
  <c r="O7822" i="11"/>
  <c r="Q7822" i="11" s="1"/>
  <c r="O7814" i="11"/>
  <c r="Q7814" i="11" s="1"/>
  <c r="O7806" i="11"/>
  <c r="Q7806" i="11" s="1"/>
  <c r="O7798" i="11"/>
  <c r="Q7798" i="11" s="1"/>
  <c r="O7790" i="11"/>
  <c r="Q7790" i="11" s="1"/>
  <c r="O7782" i="11"/>
  <c r="Q7782" i="11" s="1"/>
  <c r="O7774" i="11"/>
  <c r="Q7774" i="11" s="1"/>
  <c r="O7766" i="11"/>
  <c r="Q7766" i="11" s="1"/>
  <c r="O7758" i="11"/>
  <c r="Q7758" i="11" s="1"/>
  <c r="O7750" i="11"/>
  <c r="Q7750" i="11" s="1"/>
  <c r="O7742" i="11"/>
  <c r="Q7742" i="11" s="1"/>
  <c r="O7734" i="11"/>
  <c r="Q7734" i="11" s="1"/>
  <c r="O7726" i="11"/>
  <c r="Q7726" i="11" s="1"/>
  <c r="O7566" i="11"/>
  <c r="Q7566" i="11" s="1"/>
  <c r="O7550" i="11"/>
  <c r="Q7550" i="11" s="1"/>
  <c r="O7534" i="11"/>
  <c r="Q7534" i="11" s="1"/>
  <c r="O7518" i="11"/>
  <c r="Q7518" i="11" s="1"/>
  <c r="O7502" i="11"/>
  <c r="Q7502" i="11" s="1"/>
  <c r="O7486" i="11"/>
  <c r="Q7486" i="11" s="1"/>
  <c r="O7470" i="11"/>
  <c r="Q7470" i="11" s="1"/>
  <c r="O7454" i="11"/>
  <c r="Q7454" i="11" s="1"/>
  <c r="O7438" i="11"/>
  <c r="Q7438" i="11" s="1"/>
  <c r="O7422" i="11"/>
  <c r="Q7422" i="11" s="1"/>
  <c r="O7406" i="11"/>
  <c r="Q7406" i="11" s="1"/>
  <c r="O7390" i="11"/>
  <c r="Q7390" i="11" s="1"/>
  <c r="O7374" i="11"/>
  <c r="Q7374" i="11" s="1"/>
  <c r="O7358" i="11"/>
  <c r="Q7358" i="11" s="1"/>
  <c r="O7342" i="11"/>
  <c r="Q7342" i="11" s="1"/>
  <c r="O7326" i="11"/>
  <c r="Q7326" i="11" s="1"/>
  <c r="O7310" i="11"/>
  <c r="Q7310" i="11" s="1"/>
  <c r="O7294" i="11"/>
  <c r="Q7294" i="11" s="1"/>
  <c r="O7278" i="11"/>
  <c r="Q7278" i="11" s="1"/>
  <c r="O7262" i="11"/>
  <c r="Q7262" i="11" s="1"/>
  <c r="O7246" i="11"/>
  <c r="Q7246" i="11" s="1"/>
  <c r="O7230" i="11"/>
  <c r="Q7230" i="11" s="1"/>
  <c r="O7214" i="11"/>
  <c r="Q7214" i="11" s="1"/>
  <c r="O7198" i="11"/>
  <c r="Q7198" i="11" s="1"/>
  <c r="O7182" i="11"/>
  <c r="Q7182" i="11" s="1"/>
  <c r="O7166" i="11"/>
  <c r="Q7166" i="11" s="1"/>
  <c r="O7150" i="11"/>
  <c r="Q7150" i="11" s="1"/>
  <c r="O7134" i="11"/>
  <c r="Q7134" i="11" s="1"/>
  <c r="O7118" i="11"/>
  <c r="Q7118" i="11" s="1"/>
  <c r="O7102" i="11"/>
  <c r="Q7102" i="11" s="1"/>
  <c r="O7086" i="11"/>
  <c r="Q7086" i="11" s="1"/>
  <c r="O7070" i="11"/>
  <c r="Q7070" i="11" s="1"/>
  <c r="O7054" i="11"/>
  <c r="Q7054" i="11" s="1"/>
  <c r="O7038" i="11"/>
  <c r="Q7038" i="11" s="1"/>
  <c r="O7022" i="11"/>
  <c r="Q7022" i="11" s="1"/>
  <c r="O7006" i="11"/>
  <c r="Q7006" i="11" s="1"/>
  <c r="O6990" i="11"/>
  <c r="Q6990" i="11" s="1"/>
  <c r="O6974" i="11"/>
  <c r="Q6974" i="11" s="1"/>
  <c r="O6958" i="11"/>
  <c r="Q6958" i="11" s="1"/>
  <c r="O6942" i="11"/>
  <c r="Q6942" i="11" s="1"/>
  <c r="O6926" i="11"/>
  <c r="Q6926" i="11" s="1"/>
  <c r="O6910" i="11"/>
  <c r="Q6910" i="11" s="1"/>
  <c r="O6894" i="11"/>
  <c r="Q6894" i="11" s="1"/>
  <c r="O6878" i="11"/>
  <c r="Q6878" i="11" s="1"/>
  <c r="O6862" i="11"/>
  <c r="Q6862" i="11" s="1"/>
  <c r="O6846" i="11"/>
  <c r="Q6846" i="11" s="1"/>
  <c r="O6830" i="11"/>
  <c r="Q6830" i="11" s="1"/>
  <c r="O6814" i="11"/>
  <c r="Q6814" i="11" s="1"/>
  <c r="O6798" i="11"/>
  <c r="Q6798" i="11" s="1"/>
  <c r="O6782" i="11"/>
  <c r="Q6782" i="11" s="1"/>
  <c r="O6766" i="11"/>
  <c r="Q6766" i="11" s="1"/>
  <c r="O6750" i="11"/>
  <c r="Q6750" i="11" s="1"/>
  <c r="O6734" i="11"/>
  <c r="Q6734" i="11" s="1"/>
  <c r="O6718" i="11"/>
  <c r="Q6718" i="11" s="1"/>
  <c r="O6702" i="11"/>
  <c r="Q6702" i="11" s="1"/>
  <c r="O6686" i="11"/>
  <c r="Q6686" i="11" s="1"/>
  <c r="O6670" i="11"/>
  <c r="Q6670" i="11" s="1"/>
  <c r="O6654" i="11"/>
  <c r="Q6654" i="11" s="1"/>
  <c r="O6638" i="11"/>
  <c r="Q6638" i="11" s="1"/>
  <c r="O6622" i="11"/>
  <c r="Q6622" i="11" s="1"/>
  <c r="O6606" i="11"/>
  <c r="Q6606" i="11" s="1"/>
  <c r="O6590" i="11"/>
  <c r="Q6590" i="11" s="1"/>
  <c r="O6574" i="11"/>
  <c r="Q6574" i="11" s="1"/>
  <c r="O6558" i="11"/>
  <c r="Q6558" i="11" s="1"/>
  <c r="O6542" i="11"/>
  <c r="Q6542" i="11" s="1"/>
  <c r="O6534" i="11"/>
  <c r="Q6534" i="11" s="1"/>
  <c r="O6526" i="11"/>
  <c r="Q6526" i="11" s="1"/>
  <c r="O6518" i="11"/>
  <c r="Q6518" i="11" s="1"/>
  <c r="O6510" i="11"/>
  <c r="Q6510" i="11" s="1"/>
  <c r="O6502" i="11"/>
  <c r="Q6502" i="11" s="1"/>
  <c r="O6494" i="11"/>
  <c r="Q6494" i="11" s="1"/>
  <c r="O6486" i="11"/>
  <c r="Q6486" i="11" s="1"/>
  <c r="O6478" i="11"/>
  <c r="Q6478" i="11" s="1"/>
  <c r="O6470" i="11"/>
  <c r="Q6470" i="11" s="1"/>
  <c r="O6462" i="11"/>
  <c r="Q6462" i="11" s="1"/>
  <c r="O6454" i="11"/>
  <c r="Q6454" i="11" s="1"/>
  <c r="O6446" i="11"/>
  <c r="Q6446" i="11" s="1"/>
  <c r="O6438" i="11"/>
  <c r="Q6438" i="11" s="1"/>
  <c r="O6430" i="11"/>
  <c r="Q6430" i="11" s="1"/>
  <c r="O6422" i="11"/>
  <c r="Q6422" i="11" s="1"/>
  <c r="O6414" i="11"/>
  <c r="Q6414" i="11" s="1"/>
  <c r="O6406" i="11"/>
  <c r="Q6406" i="11" s="1"/>
  <c r="O6398" i="11"/>
  <c r="Q6398" i="11" s="1"/>
  <c r="O6390" i="11"/>
  <c r="Q6390" i="11" s="1"/>
  <c r="O6382" i="11"/>
  <c r="Q6382" i="11" s="1"/>
  <c r="O6374" i="11"/>
  <c r="Q6374" i="11" s="1"/>
  <c r="O6366" i="11"/>
  <c r="Q6366" i="11" s="1"/>
  <c r="O6358" i="11"/>
  <c r="Q6358" i="11" s="1"/>
  <c r="O6350" i="11"/>
  <c r="Q6350" i="11" s="1"/>
  <c r="O6342" i="11"/>
  <c r="Q6342" i="11" s="1"/>
  <c r="O6334" i="11"/>
  <c r="Q6334" i="11" s="1"/>
  <c r="O6326" i="11"/>
  <c r="Q6326" i="11" s="1"/>
  <c r="O6318" i="11"/>
  <c r="Q6318" i="11" s="1"/>
  <c r="O6310" i="11"/>
  <c r="Q6310" i="11" s="1"/>
  <c r="O6302" i="11"/>
  <c r="Q6302" i="11" s="1"/>
  <c r="O6294" i="11"/>
  <c r="Q6294" i="11" s="1"/>
  <c r="O6286" i="11"/>
  <c r="Q6286" i="11" s="1"/>
  <c r="O6278" i="11"/>
  <c r="Q6278" i="11" s="1"/>
  <c r="O6270" i="11"/>
  <c r="Q6270" i="11" s="1"/>
  <c r="O6262" i="11"/>
  <c r="Q6262" i="11" s="1"/>
  <c r="O6254" i="11"/>
  <c r="Q6254" i="11" s="1"/>
  <c r="O6246" i="11"/>
  <c r="Q6246" i="11" s="1"/>
  <c r="O6238" i="11"/>
  <c r="Q6238" i="11" s="1"/>
  <c r="O6230" i="11"/>
  <c r="Q6230" i="11" s="1"/>
  <c r="O6222" i="11"/>
  <c r="Q6222" i="11" s="1"/>
  <c r="O6214" i="11"/>
  <c r="Q6214" i="11" s="1"/>
  <c r="O6206" i="11"/>
  <c r="Q6206" i="11" s="1"/>
  <c r="O6198" i="11"/>
  <c r="Q6198" i="11" s="1"/>
  <c r="O6190" i="11"/>
  <c r="Q6190" i="11" s="1"/>
  <c r="O6182" i="11"/>
  <c r="Q6182" i="11" s="1"/>
  <c r="O6174" i="11"/>
  <c r="Q6174" i="11" s="1"/>
  <c r="O6166" i="11"/>
  <c r="Q6166" i="11" s="1"/>
  <c r="O6158" i="11"/>
  <c r="Q6158" i="11" s="1"/>
  <c r="O6150" i="11"/>
  <c r="Q6150" i="11" s="1"/>
  <c r="O6142" i="11"/>
  <c r="Q6142" i="11" s="1"/>
  <c r="O6134" i="11"/>
  <c r="Q6134" i="11" s="1"/>
  <c r="O6126" i="11"/>
  <c r="Q6126" i="11" s="1"/>
  <c r="O6118" i="11"/>
  <c r="Q6118" i="11" s="1"/>
  <c r="O6110" i="11"/>
  <c r="Q6110" i="11" s="1"/>
  <c r="O6102" i="11"/>
  <c r="Q6102" i="11" s="1"/>
  <c r="O6094" i="11"/>
  <c r="Q6094" i="11" s="1"/>
  <c r="O6086" i="11"/>
  <c r="Q6086" i="11" s="1"/>
  <c r="O6078" i="11"/>
  <c r="Q6078" i="11" s="1"/>
  <c r="O6070" i="11"/>
  <c r="Q6070" i="11" s="1"/>
  <c r="O6062" i="11"/>
  <c r="Q6062" i="11" s="1"/>
  <c r="O6054" i="11"/>
  <c r="Q6054" i="11" s="1"/>
  <c r="O6046" i="11"/>
  <c r="Q6046" i="11" s="1"/>
  <c r="O6038" i="11"/>
  <c r="Q6038" i="11" s="1"/>
  <c r="O6030" i="11"/>
  <c r="Q6030" i="11" s="1"/>
  <c r="O6022" i="11"/>
  <c r="Q6022" i="11" s="1"/>
  <c r="O6014" i="11"/>
  <c r="Q6014" i="11" s="1"/>
  <c r="O6006" i="11"/>
  <c r="Q6006" i="11" s="1"/>
  <c r="O5998" i="11"/>
  <c r="Q5998" i="11" s="1"/>
  <c r="O5990" i="11"/>
  <c r="Q5990" i="11" s="1"/>
  <c r="O5982" i="11"/>
  <c r="Q5982" i="11" s="1"/>
  <c r="O5974" i="11"/>
  <c r="Q5974" i="11" s="1"/>
  <c r="O5966" i="11"/>
  <c r="Q5966" i="11" s="1"/>
  <c r="O5958" i="11"/>
  <c r="Q5958" i="11" s="1"/>
  <c r="O5950" i="11"/>
  <c r="Q5950" i="11" s="1"/>
  <c r="O5942" i="11"/>
  <c r="Q5942" i="11" s="1"/>
  <c r="O5934" i="11"/>
  <c r="Q5934" i="11" s="1"/>
  <c r="O5926" i="11"/>
  <c r="Q5926" i="11" s="1"/>
  <c r="O5918" i="11"/>
  <c r="Q5918" i="11" s="1"/>
  <c r="O5910" i="11"/>
  <c r="Q5910" i="11" s="1"/>
  <c r="O5902" i="11"/>
  <c r="Q5902" i="11" s="1"/>
  <c r="O5894" i="11"/>
  <c r="Q5894" i="11" s="1"/>
  <c r="O5886" i="11"/>
  <c r="Q5886" i="11" s="1"/>
  <c r="O5878" i="11"/>
  <c r="Q5878" i="11" s="1"/>
  <c r="O5870" i="11"/>
  <c r="Q5870" i="11" s="1"/>
  <c r="O5862" i="11"/>
  <c r="Q5862" i="11" s="1"/>
  <c r="O5854" i="11"/>
  <c r="Q5854" i="11" s="1"/>
  <c r="O5846" i="11"/>
  <c r="Q5846" i="11" s="1"/>
  <c r="O5838" i="11"/>
  <c r="Q5838" i="11" s="1"/>
  <c r="O5830" i="11"/>
  <c r="Q5830" i="11" s="1"/>
  <c r="O5822" i="11"/>
  <c r="Q5822" i="11" s="1"/>
  <c r="O5814" i="11"/>
  <c r="Q5814" i="11" s="1"/>
  <c r="O5806" i="11"/>
  <c r="Q5806" i="11" s="1"/>
  <c r="O5798" i="11"/>
  <c r="Q5798" i="11" s="1"/>
  <c r="O5790" i="11"/>
  <c r="Q5790" i="11" s="1"/>
  <c r="O5782" i="11"/>
  <c r="Q5782" i="11" s="1"/>
  <c r="O5774" i="11"/>
  <c r="Q5774" i="11" s="1"/>
  <c r="O5766" i="11"/>
  <c r="Q5766" i="11" s="1"/>
  <c r="O5758" i="11"/>
  <c r="Q5758" i="11" s="1"/>
  <c r="O5750" i="11"/>
  <c r="Q5750" i="11" s="1"/>
  <c r="O5742" i="11"/>
  <c r="Q5742" i="11" s="1"/>
  <c r="O5734" i="11"/>
  <c r="Q5734" i="11" s="1"/>
  <c r="O5726" i="11"/>
  <c r="Q5726" i="11" s="1"/>
  <c r="O5718" i="11"/>
  <c r="Q5718" i="11" s="1"/>
  <c r="O5710" i="11"/>
  <c r="Q5710" i="11" s="1"/>
  <c r="O5702" i="11"/>
  <c r="Q5702" i="11" s="1"/>
  <c r="O5694" i="11"/>
  <c r="Q5694" i="11" s="1"/>
  <c r="O5686" i="11"/>
  <c r="Q5686" i="11" s="1"/>
  <c r="O5678" i="11"/>
  <c r="Q5678" i="11" s="1"/>
  <c r="O5670" i="11"/>
  <c r="Q5670" i="11" s="1"/>
  <c r="O5662" i="11"/>
  <c r="Q5662" i="11" s="1"/>
  <c r="O5654" i="11"/>
  <c r="Q5654" i="11" s="1"/>
  <c r="O5646" i="11"/>
  <c r="Q5646" i="11" s="1"/>
  <c r="O5638" i="11"/>
  <c r="Q5638" i="11" s="1"/>
  <c r="O5630" i="11"/>
  <c r="Q5630" i="11" s="1"/>
  <c r="O5622" i="11"/>
  <c r="Q5622" i="11" s="1"/>
  <c r="O5614" i="11"/>
  <c r="Q5614" i="11" s="1"/>
  <c r="O5606" i="11"/>
  <c r="Q5606" i="11" s="1"/>
  <c r="O5598" i="11"/>
  <c r="Q5598" i="11" s="1"/>
  <c r="O5590" i="11"/>
  <c r="Q5590" i="11" s="1"/>
  <c r="O5582" i="11"/>
  <c r="Q5582" i="11" s="1"/>
  <c r="O5574" i="11"/>
  <c r="Q5574" i="11" s="1"/>
  <c r="O5566" i="11"/>
  <c r="Q5566" i="11" s="1"/>
  <c r="O5558" i="11"/>
  <c r="Q5558" i="11" s="1"/>
  <c r="O5550" i="11"/>
  <c r="Q5550" i="11" s="1"/>
  <c r="O5542" i="11"/>
  <c r="Q5542" i="11" s="1"/>
  <c r="O5534" i="11"/>
  <c r="Q5534" i="11" s="1"/>
  <c r="O5526" i="11"/>
  <c r="Q5526" i="11" s="1"/>
  <c r="O5518" i="11"/>
  <c r="Q5518" i="11" s="1"/>
  <c r="O5510" i="11"/>
  <c r="Q5510" i="11" s="1"/>
  <c r="O5502" i="11"/>
  <c r="Q5502" i="11" s="1"/>
  <c r="O5494" i="11"/>
  <c r="Q5494" i="11" s="1"/>
  <c r="O5486" i="11"/>
  <c r="Q5486" i="11" s="1"/>
  <c r="O5478" i="11"/>
  <c r="Q5478" i="11" s="1"/>
  <c r="O5470" i="11"/>
  <c r="Q5470" i="11" s="1"/>
  <c r="O5462" i="11"/>
  <c r="Q5462" i="11" s="1"/>
  <c r="O5454" i="11"/>
  <c r="Q5454" i="11" s="1"/>
  <c r="O5446" i="11"/>
  <c r="Q5446" i="11" s="1"/>
  <c r="O5438" i="11"/>
  <c r="Q5438" i="11" s="1"/>
  <c r="O5430" i="11"/>
  <c r="Q5430" i="11" s="1"/>
  <c r="O5422" i="11"/>
  <c r="Q5422" i="11" s="1"/>
  <c r="O5414" i="11"/>
  <c r="Q5414" i="11" s="1"/>
  <c r="O5406" i="11"/>
  <c r="Q5406" i="11" s="1"/>
  <c r="O5398" i="11"/>
  <c r="Q5398" i="11" s="1"/>
  <c r="O5390" i="11"/>
  <c r="Q5390" i="11" s="1"/>
  <c r="O5382" i="11"/>
  <c r="Q5382" i="11" s="1"/>
  <c r="O5374" i="11"/>
  <c r="Q5374" i="11" s="1"/>
  <c r="O5366" i="11"/>
  <c r="Q5366" i="11" s="1"/>
  <c r="O5358" i="11"/>
  <c r="Q5358" i="11" s="1"/>
  <c r="O5350" i="11"/>
  <c r="Q5350" i="11" s="1"/>
  <c r="O5342" i="11"/>
  <c r="Q5342" i="11" s="1"/>
  <c r="O5334" i="11"/>
  <c r="Q5334" i="11" s="1"/>
  <c r="O5326" i="11"/>
  <c r="Q5326" i="11" s="1"/>
  <c r="O5318" i="11"/>
  <c r="Q5318" i="11" s="1"/>
  <c r="O5310" i="11"/>
  <c r="Q5310" i="11" s="1"/>
  <c r="O5302" i="11"/>
  <c r="Q5302" i="11" s="1"/>
  <c r="O5294" i="11"/>
  <c r="Q5294" i="11" s="1"/>
  <c r="O5286" i="11"/>
  <c r="Q5286" i="11" s="1"/>
  <c r="O5278" i="11"/>
  <c r="Q5278" i="11" s="1"/>
  <c r="O5270" i="11"/>
  <c r="Q5270" i="11" s="1"/>
  <c r="O5262" i="11"/>
  <c r="Q5262" i="11" s="1"/>
  <c r="O5254" i="11"/>
  <c r="Q5254" i="11" s="1"/>
  <c r="O5246" i="11"/>
  <c r="Q5246" i="11" s="1"/>
  <c r="O5238" i="11"/>
  <c r="Q5238" i="11" s="1"/>
  <c r="O5230" i="11"/>
  <c r="Q5230" i="11" s="1"/>
  <c r="O5222" i="11"/>
  <c r="Q5222" i="11" s="1"/>
  <c r="O5214" i="11"/>
  <c r="Q5214" i="11" s="1"/>
  <c r="O5206" i="11"/>
  <c r="Q5206" i="11" s="1"/>
  <c r="O5198" i="11"/>
  <c r="Q5198" i="11" s="1"/>
  <c r="O5190" i="11"/>
  <c r="Q5190" i="11" s="1"/>
  <c r="O5182" i="11"/>
  <c r="Q5182" i="11" s="1"/>
  <c r="O5174" i="11"/>
  <c r="Q5174" i="11" s="1"/>
  <c r="O5166" i="11"/>
  <c r="Q5166" i="11" s="1"/>
  <c r="O5158" i="11"/>
  <c r="Q5158" i="11" s="1"/>
  <c r="O5150" i="11"/>
  <c r="Q5150" i="11" s="1"/>
  <c r="O5142" i="11"/>
  <c r="Q5142" i="11" s="1"/>
  <c r="O5134" i="11"/>
  <c r="Q5134" i="11" s="1"/>
  <c r="O5126" i="11"/>
  <c r="Q5126" i="11" s="1"/>
  <c r="O5118" i="11"/>
  <c r="Q5118" i="11" s="1"/>
  <c r="O5110" i="11"/>
  <c r="Q5110" i="11" s="1"/>
  <c r="O5102" i="11"/>
  <c r="Q5102" i="11" s="1"/>
  <c r="O5094" i="11"/>
  <c r="Q5094" i="11" s="1"/>
  <c r="O3559" i="11"/>
  <c r="Q3559" i="11" s="1"/>
  <c r="O5064" i="11"/>
  <c r="Q5064" i="11" s="1"/>
  <c r="O5032" i="11"/>
  <c r="Q5032" i="11" s="1"/>
  <c r="O5000" i="11"/>
  <c r="Q5000" i="11" s="1"/>
  <c r="O7576" i="11"/>
  <c r="Q7576" i="11" s="1"/>
  <c r="O7560" i="11"/>
  <c r="Q7560" i="11" s="1"/>
  <c r="O7544" i="11"/>
  <c r="Q7544" i="11" s="1"/>
  <c r="O7528" i="11"/>
  <c r="Q7528" i="11" s="1"/>
  <c r="O7512" i="11"/>
  <c r="Q7512" i="11" s="1"/>
  <c r="O7496" i="11"/>
  <c r="Q7496" i="11" s="1"/>
  <c r="O7480" i="11"/>
  <c r="Q7480" i="11" s="1"/>
  <c r="O7464" i="11"/>
  <c r="Q7464" i="11" s="1"/>
  <c r="O7448" i="11"/>
  <c r="Q7448" i="11" s="1"/>
  <c r="O7432" i="11"/>
  <c r="Q7432" i="11" s="1"/>
  <c r="O7416" i="11"/>
  <c r="Q7416" i="11" s="1"/>
  <c r="O7400" i="11"/>
  <c r="Q7400" i="11" s="1"/>
  <c r="O7384" i="11"/>
  <c r="Q7384" i="11" s="1"/>
  <c r="O7368" i="11"/>
  <c r="Q7368" i="11" s="1"/>
  <c r="O7352" i="11"/>
  <c r="Q7352" i="11" s="1"/>
  <c r="O7336" i="11"/>
  <c r="Q7336" i="11" s="1"/>
  <c r="O7320" i="11"/>
  <c r="Q7320" i="11" s="1"/>
  <c r="O7304" i="11"/>
  <c r="Q7304" i="11" s="1"/>
  <c r="O7288" i="11"/>
  <c r="Q7288" i="11" s="1"/>
  <c r="O7272" i="11"/>
  <c r="Q7272" i="11" s="1"/>
  <c r="O7256" i="11"/>
  <c r="Q7256" i="11" s="1"/>
  <c r="O7240" i="11"/>
  <c r="Q7240" i="11" s="1"/>
  <c r="O7224" i="11"/>
  <c r="Q7224" i="11" s="1"/>
  <c r="O7208" i="11"/>
  <c r="Q7208" i="11" s="1"/>
  <c r="O7192" i="11"/>
  <c r="Q7192" i="11" s="1"/>
  <c r="O7176" i="11"/>
  <c r="Q7176" i="11" s="1"/>
  <c r="O7160" i="11"/>
  <c r="Q7160" i="11" s="1"/>
  <c r="O7144" i="11"/>
  <c r="Q7144" i="11" s="1"/>
  <c r="O7128" i="11"/>
  <c r="Q7128" i="11" s="1"/>
  <c r="O7112" i="11"/>
  <c r="Q7112" i="11" s="1"/>
  <c r="O7096" i="11"/>
  <c r="Q7096" i="11" s="1"/>
  <c r="O7080" i="11"/>
  <c r="Q7080" i="11" s="1"/>
  <c r="O7064" i="11"/>
  <c r="Q7064" i="11" s="1"/>
  <c r="O7048" i="11"/>
  <c r="Q7048" i="11" s="1"/>
  <c r="O7032" i="11"/>
  <c r="Q7032" i="11" s="1"/>
  <c r="O7016" i="11"/>
  <c r="Q7016" i="11" s="1"/>
  <c r="O7000" i="11"/>
  <c r="Q7000" i="11" s="1"/>
  <c r="O6984" i="11"/>
  <c r="Q6984" i="11" s="1"/>
  <c r="O6968" i="11"/>
  <c r="Q6968" i="11" s="1"/>
  <c r="O6952" i="11"/>
  <c r="Q6952" i="11" s="1"/>
  <c r="O6936" i="11"/>
  <c r="Q6936" i="11" s="1"/>
  <c r="O6920" i="11"/>
  <c r="Q6920" i="11" s="1"/>
  <c r="O6904" i="11"/>
  <c r="Q6904" i="11" s="1"/>
  <c r="O6888" i="11"/>
  <c r="Q6888" i="11" s="1"/>
  <c r="O6872" i="11"/>
  <c r="Q6872" i="11" s="1"/>
  <c r="O6856" i="11"/>
  <c r="Q6856" i="11" s="1"/>
  <c r="O6840" i="11"/>
  <c r="Q6840" i="11" s="1"/>
  <c r="O6824" i="11"/>
  <c r="Q6824" i="11" s="1"/>
  <c r="O6808" i="11"/>
  <c r="Q6808" i="11" s="1"/>
  <c r="O6792" i="11"/>
  <c r="Q6792" i="11" s="1"/>
  <c r="O6776" i="11"/>
  <c r="Q6776" i="11" s="1"/>
  <c r="O6760" i="11"/>
  <c r="Q6760" i="11" s="1"/>
  <c r="O6744" i="11"/>
  <c r="Q6744" i="11" s="1"/>
  <c r="O6728" i="11"/>
  <c r="Q6728" i="11" s="1"/>
  <c r="O6712" i="11"/>
  <c r="Q6712" i="11" s="1"/>
  <c r="O6696" i="11"/>
  <c r="Q6696" i="11" s="1"/>
  <c r="O6680" i="11"/>
  <c r="Q6680" i="11" s="1"/>
  <c r="O6664" i="11"/>
  <c r="Q6664" i="11" s="1"/>
  <c r="O6648" i="11"/>
  <c r="Q6648" i="11" s="1"/>
  <c r="O6632" i="11"/>
  <c r="Q6632" i="11" s="1"/>
  <c r="O6616" i="11"/>
  <c r="Q6616" i="11" s="1"/>
  <c r="O6600" i="11"/>
  <c r="Q6600" i="11" s="1"/>
  <c r="O6584" i="11"/>
  <c r="Q6584" i="11" s="1"/>
  <c r="O6568" i="11"/>
  <c r="Q6568" i="11" s="1"/>
  <c r="O6552" i="11"/>
  <c r="Q6552" i="11" s="1"/>
  <c r="O6539" i="11"/>
  <c r="Q6539" i="11" s="1"/>
  <c r="O6531" i="11"/>
  <c r="Q6531" i="11" s="1"/>
  <c r="O6523" i="11"/>
  <c r="Q6523" i="11" s="1"/>
  <c r="O6515" i="11"/>
  <c r="Q6515" i="11" s="1"/>
  <c r="O6507" i="11"/>
  <c r="Q6507" i="11" s="1"/>
  <c r="O6499" i="11"/>
  <c r="Q6499" i="11" s="1"/>
  <c r="O6491" i="11"/>
  <c r="Q6491" i="11" s="1"/>
  <c r="O6483" i="11"/>
  <c r="Q6483" i="11" s="1"/>
  <c r="O6475" i="11"/>
  <c r="Q6475" i="11" s="1"/>
  <c r="O6467" i="11"/>
  <c r="Q6467" i="11" s="1"/>
  <c r="O6459" i="11"/>
  <c r="Q6459" i="11" s="1"/>
  <c r="O6451" i="11"/>
  <c r="Q6451" i="11" s="1"/>
  <c r="O6443" i="11"/>
  <c r="Q6443" i="11" s="1"/>
  <c r="O6435" i="11"/>
  <c r="Q6435" i="11" s="1"/>
  <c r="O6427" i="11"/>
  <c r="Q6427" i="11" s="1"/>
  <c r="O6419" i="11"/>
  <c r="Q6419" i="11" s="1"/>
  <c r="O6411" i="11"/>
  <c r="Q6411" i="11" s="1"/>
  <c r="O6403" i="11"/>
  <c r="Q6403" i="11" s="1"/>
  <c r="O6395" i="11"/>
  <c r="Q6395" i="11" s="1"/>
  <c r="O6387" i="11"/>
  <c r="Q6387" i="11" s="1"/>
  <c r="O6379" i="11"/>
  <c r="Q6379" i="11" s="1"/>
  <c r="O6371" i="11"/>
  <c r="Q6371" i="11" s="1"/>
  <c r="O6363" i="11"/>
  <c r="Q6363" i="11" s="1"/>
  <c r="O6355" i="11"/>
  <c r="Q6355" i="11" s="1"/>
  <c r="O6347" i="11"/>
  <c r="Q6347" i="11" s="1"/>
  <c r="O6339" i="11"/>
  <c r="Q6339" i="11" s="1"/>
  <c r="O6331" i="11"/>
  <c r="Q6331" i="11" s="1"/>
  <c r="O6323" i="11"/>
  <c r="Q6323" i="11" s="1"/>
  <c r="O6315" i="11"/>
  <c r="Q6315" i="11" s="1"/>
  <c r="O6307" i="11"/>
  <c r="Q6307" i="11" s="1"/>
  <c r="O6299" i="11"/>
  <c r="Q6299" i="11" s="1"/>
  <c r="O6291" i="11"/>
  <c r="Q6291" i="11" s="1"/>
  <c r="O6283" i="11"/>
  <c r="Q6283" i="11" s="1"/>
  <c r="O6275" i="11"/>
  <c r="Q6275" i="11" s="1"/>
  <c r="O6267" i="11"/>
  <c r="Q6267" i="11" s="1"/>
  <c r="O6259" i="11"/>
  <c r="Q6259" i="11" s="1"/>
  <c r="O6251" i="11"/>
  <c r="Q6251" i="11" s="1"/>
  <c r="O6243" i="11"/>
  <c r="Q6243" i="11" s="1"/>
  <c r="O6235" i="11"/>
  <c r="Q6235" i="11" s="1"/>
  <c r="O6227" i="11"/>
  <c r="Q6227" i="11" s="1"/>
  <c r="O6219" i="11"/>
  <c r="Q6219" i="11" s="1"/>
  <c r="O6211" i="11"/>
  <c r="Q6211" i="11" s="1"/>
  <c r="O6203" i="11"/>
  <c r="Q6203" i="11" s="1"/>
  <c r="O6195" i="11"/>
  <c r="Q6195" i="11" s="1"/>
  <c r="O6187" i="11"/>
  <c r="Q6187" i="11" s="1"/>
  <c r="O6179" i="11"/>
  <c r="Q6179" i="11" s="1"/>
  <c r="O6171" i="11"/>
  <c r="Q6171" i="11" s="1"/>
  <c r="O6163" i="11"/>
  <c r="Q6163" i="11" s="1"/>
  <c r="O6155" i="11"/>
  <c r="Q6155" i="11" s="1"/>
  <c r="O6147" i="11"/>
  <c r="Q6147" i="11" s="1"/>
  <c r="O6139" i="11"/>
  <c r="Q6139" i="11" s="1"/>
  <c r="O6131" i="11"/>
  <c r="Q6131" i="11" s="1"/>
  <c r="O6123" i="11"/>
  <c r="Q6123" i="11" s="1"/>
  <c r="O6115" i="11"/>
  <c r="Q6115" i="11" s="1"/>
  <c r="O6107" i="11"/>
  <c r="Q6107" i="11" s="1"/>
  <c r="O6099" i="11"/>
  <c r="Q6099" i="11" s="1"/>
  <c r="O6091" i="11"/>
  <c r="Q6091" i="11" s="1"/>
  <c r="O6083" i="11"/>
  <c r="Q6083" i="11" s="1"/>
  <c r="O6075" i="11"/>
  <c r="Q6075" i="11" s="1"/>
  <c r="O6067" i="11"/>
  <c r="Q6067" i="11" s="1"/>
  <c r="O6059" i="11"/>
  <c r="Q6059" i="11" s="1"/>
  <c r="O6051" i="11"/>
  <c r="Q6051" i="11" s="1"/>
  <c r="O6043" i="11"/>
  <c r="Q6043" i="11" s="1"/>
  <c r="O6035" i="11"/>
  <c r="Q6035" i="11" s="1"/>
  <c r="O6027" i="11"/>
  <c r="Q6027" i="11" s="1"/>
  <c r="O6019" i="11"/>
  <c r="Q6019" i="11" s="1"/>
  <c r="O6011" i="11"/>
  <c r="Q6011" i="11" s="1"/>
  <c r="O6003" i="11"/>
  <c r="Q6003" i="11" s="1"/>
  <c r="O5995" i="11"/>
  <c r="Q5995" i="11" s="1"/>
  <c r="O5987" i="11"/>
  <c r="Q5987" i="11" s="1"/>
  <c r="O5979" i="11"/>
  <c r="Q5979" i="11" s="1"/>
  <c r="O5971" i="11"/>
  <c r="Q5971" i="11" s="1"/>
  <c r="O5963" i="11"/>
  <c r="Q5963" i="11" s="1"/>
  <c r="O5955" i="11"/>
  <c r="Q5955" i="11" s="1"/>
  <c r="O5947" i="11"/>
  <c r="Q5947" i="11" s="1"/>
  <c r="O5939" i="11"/>
  <c r="Q5939" i="11" s="1"/>
  <c r="O5931" i="11"/>
  <c r="Q5931" i="11" s="1"/>
  <c r="O5923" i="11"/>
  <c r="Q5923" i="11" s="1"/>
  <c r="O5915" i="11"/>
  <c r="Q5915" i="11" s="1"/>
  <c r="O5907" i="11"/>
  <c r="Q5907" i="11" s="1"/>
  <c r="O5899" i="11"/>
  <c r="Q5899" i="11" s="1"/>
  <c r="O5891" i="11"/>
  <c r="Q5891" i="11" s="1"/>
  <c r="O5883" i="11"/>
  <c r="Q5883" i="11" s="1"/>
  <c r="O5875" i="11"/>
  <c r="Q5875" i="11" s="1"/>
  <c r="O5867" i="11"/>
  <c r="Q5867" i="11" s="1"/>
  <c r="O5859" i="11"/>
  <c r="Q5859" i="11" s="1"/>
  <c r="O5851" i="11"/>
  <c r="Q5851" i="11" s="1"/>
  <c r="O5843" i="11"/>
  <c r="Q5843" i="11" s="1"/>
  <c r="O5835" i="11"/>
  <c r="Q5835" i="11" s="1"/>
  <c r="O5827" i="11"/>
  <c r="Q5827" i="11" s="1"/>
  <c r="O5819" i="11"/>
  <c r="Q5819" i="11" s="1"/>
  <c r="O5811" i="11"/>
  <c r="Q5811" i="11" s="1"/>
  <c r="O5803" i="11"/>
  <c r="Q5803" i="11" s="1"/>
  <c r="O5795" i="11"/>
  <c r="Q5795" i="11" s="1"/>
  <c r="O5787" i="11"/>
  <c r="Q5787" i="11" s="1"/>
  <c r="O5779" i="11"/>
  <c r="Q5779" i="11" s="1"/>
  <c r="O5771" i="11"/>
  <c r="Q5771" i="11" s="1"/>
  <c r="O5763" i="11"/>
  <c r="Q5763" i="11" s="1"/>
  <c r="O5755" i="11"/>
  <c r="Q5755" i="11" s="1"/>
  <c r="O5747" i="11"/>
  <c r="Q5747" i="11" s="1"/>
  <c r="O5739" i="11"/>
  <c r="Q5739" i="11" s="1"/>
  <c r="O5731" i="11"/>
  <c r="Q5731" i="11" s="1"/>
  <c r="O5723" i="11"/>
  <c r="Q5723" i="11" s="1"/>
  <c r="O5715" i="11"/>
  <c r="Q5715" i="11" s="1"/>
  <c r="O5707" i="11"/>
  <c r="Q5707" i="11" s="1"/>
  <c r="O5699" i="11"/>
  <c r="Q5699" i="11" s="1"/>
  <c r="O5691" i="11"/>
  <c r="Q5691" i="11" s="1"/>
  <c r="O5683" i="11"/>
  <c r="Q5683" i="11" s="1"/>
  <c r="O5675" i="11"/>
  <c r="Q5675" i="11" s="1"/>
  <c r="O5667" i="11"/>
  <c r="Q5667" i="11" s="1"/>
  <c r="O5659" i="11"/>
  <c r="Q5659" i="11" s="1"/>
  <c r="O5651" i="11"/>
  <c r="Q5651" i="11" s="1"/>
  <c r="O5643" i="11"/>
  <c r="Q5643" i="11" s="1"/>
  <c r="O5635" i="11"/>
  <c r="Q5635" i="11" s="1"/>
  <c r="O5627" i="11"/>
  <c r="Q5627" i="11" s="1"/>
  <c r="O5619" i="11"/>
  <c r="Q5619" i="11" s="1"/>
  <c r="O5611" i="11"/>
  <c r="Q5611" i="11" s="1"/>
  <c r="O5603" i="11"/>
  <c r="Q5603" i="11" s="1"/>
  <c r="O5595" i="11"/>
  <c r="Q5595" i="11" s="1"/>
  <c r="O5587" i="11"/>
  <c r="Q5587" i="11" s="1"/>
  <c r="O5579" i="11"/>
  <c r="Q5579" i="11" s="1"/>
  <c r="O5571" i="11"/>
  <c r="Q5571" i="11" s="1"/>
  <c r="O5563" i="11"/>
  <c r="Q5563" i="11" s="1"/>
  <c r="O5555" i="11"/>
  <c r="Q5555" i="11" s="1"/>
  <c r="O5547" i="11"/>
  <c r="Q5547" i="11" s="1"/>
  <c r="O5539" i="11"/>
  <c r="Q5539" i="11" s="1"/>
  <c r="O5531" i="11"/>
  <c r="Q5531" i="11" s="1"/>
  <c r="O5523" i="11"/>
  <c r="Q5523" i="11" s="1"/>
  <c r="O5515" i="11"/>
  <c r="Q5515" i="11" s="1"/>
  <c r="O5507" i="11"/>
  <c r="Q5507" i="11" s="1"/>
  <c r="O5499" i="11"/>
  <c r="Q5499" i="11" s="1"/>
  <c r="O5491" i="11"/>
  <c r="Q5491" i="11" s="1"/>
  <c r="O5483" i="11"/>
  <c r="Q5483" i="11" s="1"/>
  <c r="O5475" i="11"/>
  <c r="Q5475" i="11" s="1"/>
  <c r="O5467" i="11"/>
  <c r="Q5467" i="11" s="1"/>
  <c r="O5459" i="11"/>
  <c r="Q5459" i="11" s="1"/>
  <c r="O5451" i="11"/>
  <c r="Q5451" i="11" s="1"/>
  <c r="O5443" i="11"/>
  <c r="Q5443" i="11" s="1"/>
  <c r="O5435" i="11"/>
  <c r="Q5435" i="11" s="1"/>
  <c r="O5427" i="11"/>
  <c r="Q5427" i="11" s="1"/>
  <c r="O5419" i="11"/>
  <c r="Q5419" i="11" s="1"/>
  <c r="O5411" i="11"/>
  <c r="Q5411" i="11" s="1"/>
  <c r="O5403" i="11"/>
  <c r="Q5403" i="11" s="1"/>
  <c r="O5395" i="11"/>
  <c r="Q5395" i="11" s="1"/>
  <c r="O5387" i="11"/>
  <c r="Q5387" i="11" s="1"/>
  <c r="O5379" i="11"/>
  <c r="Q5379" i="11" s="1"/>
  <c r="O5371" i="11"/>
  <c r="Q5371" i="11" s="1"/>
  <c r="O5363" i="11"/>
  <c r="Q5363" i="11" s="1"/>
  <c r="O5355" i="11"/>
  <c r="Q5355" i="11" s="1"/>
  <c r="O5347" i="11"/>
  <c r="Q5347" i="11" s="1"/>
  <c r="O5339" i="11"/>
  <c r="Q5339" i="11" s="1"/>
  <c r="O5331" i="11"/>
  <c r="Q5331" i="11" s="1"/>
  <c r="O5323" i="11"/>
  <c r="Q5323" i="11" s="1"/>
  <c r="O5315" i="11"/>
  <c r="Q5315" i="11" s="1"/>
  <c r="O5307" i="11"/>
  <c r="Q5307" i="11" s="1"/>
  <c r="O5299" i="11"/>
  <c r="Q5299" i="11" s="1"/>
  <c r="O5291" i="11"/>
  <c r="Q5291" i="11" s="1"/>
  <c r="O5283" i="11"/>
  <c r="Q5283" i="11" s="1"/>
  <c r="O5275" i="11"/>
  <c r="Q5275" i="11" s="1"/>
  <c r="O5267" i="11"/>
  <c r="Q5267" i="11" s="1"/>
  <c r="O5259" i="11"/>
  <c r="Q5259" i="11" s="1"/>
  <c r="O5251" i="11"/>
  <c r="Q5251" i="11" s="1"/>
  <c r="O5243" i="11"/>
  <c r="Q5243" i="11" s="1"/>
  <c r="O5235" i="11"/>
  <c r="Q5235" i="11" s="1"/>
  <c r="O5227" i="11"/>
  <c r="Q5227" i="11" s="1"/>
  <c r="O5219" i="11"/>
  <c r="Q5219" i="11" s="1"/>
  <c r="O5211" i="11"/>
  <c r="Q5211" i="11" s="1"/>
  <c r="O5203" i="11"/>
  <c r="Q5203" i="11" s="1"/>
  <c r="O5195" i="11"/>
  <c r="Q5195" i="11" s="1"/>
  <c r="O5187" i="11"/>
  <c r="Q5187" i="11" s="1"/>
  <c r="O5179" i="11"/>
  <c r="Q5179" i="11" s="1"/>
  <c r="O5171" i="11"/>
  <c r="Q5171" i="11" s="1"/>
  <c r="O5163" i="11"/>
  <c r="Q5163" i="11" s="1"/>
  <c r="O5155" i="11"/>
  <c r="Q5155" i="11" s="1"/>
  <c r="O5147" i="11"/>
  <c r="Q5147" i="11" s="1"/>
  <c r="O5139" i="11"/>
  <c r="Q5139" i="11" s="1"/>
  <c r="O5131" i="11"/>
  <c r="Q5131" i="11" s="1"/>
  <c r="O5123" i="11"/>
  <c r="Q5123" i="11" s="1"/>
  <c r="O5115" i="11"/>
  <c r="Q5115" i="11" s="1"/>
  <c r="O5107" i="11"/>
  <c r="Q5107" i="11" s="1"/>
  <c r="O5099" i="11"/>
  <c r="Q5099" i="11" s="1"/>
  <c r="O3655" i="11"/>
  <c r="Q3655" i="11" s="1"/>
  <c r="O7577" i="11"/>
  <c r="Q7577" i="11" s="1"/>
  <c r="O7561" i="11"/>
  <c r="Q7561" i="11" s="1"/>
  <c r="O7545" i="11"/>
  <c r="Q7545" i="11" s="1"/>
  <c r="O7529" i="11"/>
  <c r="Q7529" i="11" s="1"/>
  <c r="O7513" i="11"/>
  <c r="Q7513" i="11" s="1"/>
  <c r="O7497" i="11"/>
  <c r="Q7497" i="11" s="1"/>
  <c r="O7481" i="11"/>
  <c r="Q7481" i="11" s="1"/>
  <c r="O7465" i="11"/>
  <c r="Q7465" i="11" s="1"/>
  <c r="O7449" i="11"/>
  <c r="Q7449" i="11" s="1"/>
  <c r="O7433" i="11"/>
  <c r="Q7433" i="11" s="1"/>
  <c r="O7417" i="11"/>
  <c r="Q7417" i="11" s="1"/>
  <c r="O7401" i="11"/>
  <c r="Q7401" i="11" s="1"/>
  <c r="O7385" i="11"/>
  <c r="Q7385" i="11" s="1"/>
  <c r="O7369" i="11"/>
  <c r="Q7369" i="11" s="1"/>
  <c r="O7353" i="11"/>
  <c r="Q7353" i="11" s="1"/>
  <c r="O7337" i="11"/>
  <c r="Q7337" i="11" s="1"/>
  <c r="O7321" i="11"/>
  <c r="Q7321" i="11" s="1"/>
  <c r="O7305" i="11"/>
  <c r="Q7305" i="11" s="1"/>
  <c r="O7289" i="11"/>
  <c r="Q7289" i="11" s="1"/>
  <c r="O7273" i="11"/>
  <c r="Q7273" i="11" s="1"/>
  <c r="O7257" i="11"/>
  <c r="Q7257" i="11" s="1"/>
  <c r="O7241" i="11"/>
  <c r="Q7241" i="11" s="1"/>
  <c r="O7225" i="11"/>
  <c r="Q7225" i="11" s="1"/>
  <c r="O7209" i="11"/>
  <c r="Q7209" i="11" s="1"/>
  <c r="O7193" i="11"/>
  <c r="Q7193" i="11" s="1"/>
  <c r="O7177" i="11"/>
  <c r="Q7177" i="11" s="1"/>
  <c r="O7161" i="11"/>
  <c r="Q7161" i="11" s="1"/>
  <c r="O7145" i="11"/>
  <c r="Q7145" i="11" s="1"/>
  <c r="O7129" i="11"/>
  <c r="Q7129" i="11" s="1"/>
  <c r="O7113" i="11"/>
  <c r="Q7113" i="11" s="1"/>
  <c r="O7097" i="11"/>
  <c r="Q7097" i="11" s="1"/>
  <c r="O7081" i="11"/>
  <c r="Q7081" i="11" s="1"/>
  <c r="O7065" i="11"/>
  <c r="Q7065" i="11" s="1"/>
  <c r="O7049" i="11"/>
  <c r="Q7049" i="11" s="1"/>
  <c r="O7033" i="11"/>
  <c r="Q7033" i="11" s="1"/>
  <c r="O7017" i="11"/>
  <c r="Q7017" i="11" s="1"/>
  <c r="O7001" i="11"/>
  <c r="Q7001" i="11" s="1"/>
  <c r="O6985" i="11"/>
  <c r="Q6985" i="11" s="1"/>
  <c r="O6969" i="11"/>
  <c r="Q6969" i="11" s="1"/>
  <c r="O6953" i="11"/>
  <c r="Q6953" i="11" s="1"/>
  <c r="O6937" i="11"/>
  <c r="Q6937" i="11" s="1"/>
  <c r="O6921" i="11"/>
  <c r="Q6921" i="11" s="1"/>
  <c r="O6905" i="11"/>
  <c r="Q6905" i="11" s="1"/>
  <c r="O6889" i="11"/>
  <c r="Q6889" i="11" s="1"/>
  <c r="O6873" i="11"/>
  <c r="Q6873" i="11" s="1"/>
  <c r="O6857" i="11"/>
  <c r="Q6857" i="11" s="1"/>
  <c r="O6841" i="11"/>
  <c r="Q6841" i="11" s="1"/>
  <c r="O6825" i="11"/>
  <c r="Q6825" i="11" s="1"/>
  <c r="O6809" i="11"/>
  <c r="Q6809" i="11" s="1"/>
  <c r="O6793" i="11"/>
  <c r="Q6793" i="11" s="1"/>
  <c r="O6777" i="11"/>
  <c r="Q6777" i="11" s="1"/>
  <c r="O6761" i="11"/>
  <c r="Q6761" i="11" s="1"/>
  <c r="O6745" i="11"/>
  <c r="Q6745" i="11" s="1"/>
  <c r="O6729" i="11"/>
  <c r="Q6729" i="11" s="1"/>
  <c r="O6713" i="11"/>
  <c r="Q6713" i="11" s="1"/>
  <c r="O6697" i="11"/>
  <c r="Q6697" i="11" s="1"/>
  <c r="O6681" i="11"/>
  <c r="Q6681" i="11" s="1"/>
  <c r="O6665" i="11"/>
  <c r="Q6665" i="11" s="1"/>
  <c r="O6649" i="11"/>
  <c r="Q6649" i="11" s="1"/>
  <c r="O6633" i="11"/>
  <c r="Q6633" i="11" s="1"/>
  <c r="O6617" i="11"/>
  <c r="Q6617" i="11" s="1"/>
  <c r="O6601" i="11"/>
  <c r="Q6601" i="11" s="1"/>
  <c r="O6585" i="11"/>
  <c r="Q6585" i="11" s="1"/>
  <c r="O6569" i="11"/>
  <c r="Q6569" i="11" s="1"/>
  <c r="O6553" i="11"/>
  <c r="Q6553" i="11" s="1"/>
  <c r="O5084" i="11"/>
  <c r="Q5084" i="11" s="1"/>
  <c r="O5052" i="11"/>
  <c r="Q5052" i="11" s="1"/>
  <c r="O5020" i="11"/>
  <c r="Q5020" i="11" s="1"/>
  <c r="O4988" i="11"/>
  <c r="Q4988" i="11" s="1"/>
  <c r="O4664" i="11"/>
  <c r="Q4664" i="11" s="1"/>
  <c r="O4600" i="11"/>
  <c r="Q4600" i="11" s="1"/>
  <c r="O4536" i="11"/>
  <c r="Q4536" i="11" s="1"/>
  <c r="O4472" i="11"/>
  <c r="Q4472" i="11" s="1"/>
  <c r="O4408" i="11"/>
  <c r="Q4408" i="11" s="1"/>
  <c r="O4344" i="11"/>
  <c r="Q4344" i="11" s="1"/>
  <c r="O4280" i="11"/>
  <c r="Q4280" i="11" s="1"/>
  <c r="O4216" i="11"/>
  <c r="Q4216" i="11" s="1"/>
  <c r="O4152" i="11"/>
  <c r="Q4152" i="11" s="1"/>
  <c r="O4088" i="11"/>
  <c r="Q4088" i="11" s="1"/>
  <c r="O4024" i="11"/>
  <c r="Q4024" i="11" s="1"/>
  <c r="O3960" i="11"/>
  <c r="Q3960" i="11" s="1"/>
  <c r="O3896" i="11"/>
  <c r="Q3896" i="11" s="1"/>
  <c r="O3832" i="11"/>
  <c r="Q3832" i="11" s="1"/>
  <c r="O3768" i="11"/>
  <c r="Q3768" i="11" s="1"/>
  <c r="O3704" i="11"/>
  <c r="Q3704" i="11" s="1"/>
  <c r="O3604" i="11"/>
  <c r="Q3604" i="11" s="1"/>
  <c r="O3649" i="11"/>
  <c r="Q3649" i="11" s="1"/>
  <c r="O3585" i="11"/>
  <c r="Q3585" i="11" s="1"/>
  <c r="O1346" i="11"/>
  <c r="Q1346" i="11" s="1"/>
  <c r="O4688" i="11"/>
  <c r="Q4688" i="11" s="1"/>
  <c r="O4624" i="11"/>
  <c r="Q4624" i="11" s="1"/>
  <c r="O4560" i="11"/>
  <c r="Q4560" i="11" s="1"/>
  <c r="O4496" i="11"/>
  <c r="Q4496" i="11" s="1"/>
  <c r="O4432" i="11"/>
  <c r="Q4432" i="11" s="1"/>
  <c r="O4368" i="11"/>
  <c r="Q4368" i="11" s="1"/>
  <c r="O4304" i="11"/>
  <c r="Q4304" i="11" s="1"/>
  <c r="O4240" i="11"/>
  <c r="Q4240" i="11" s="1"/>
  <c r="O4176" i="11"/>
  <c r="Q4176" i="11" s="1"/>
  <c r="O4112" i="11"/>
  <c r="Q4112" i="11" s="1"/>
  <c r="O4048" i="11"/>
  <c r="Q4048" i="11" s="1"/>
  <c r="O3984" i="11"/>
  <c r="Q3984" i="11" s="1"/>
  <c r="O3920" i="11"/>
  <c r="Q3920" i="11" s="1"/>
  <c r="O3856" i="11"/>
  <c r="Q3856" i="11" s="1"/>
  <c r="O3792" i="11"/>
  <c r="Q3792" i="11" s="1"/>
  <c r="O3728" i="11"/>
  <c r="Q3728" i="11" s="1"/>
  <c r="O3652" i="11"/>
  <c r="Q3652" i="11" s="1"/>
  <c r="O5091" i="11"/>
  <c r="Q5091" i="11" s="1"/>
  <c r="O5075" i="11"/>
  <c r="Q5075" i="11" s="1"/>
  <c r="O5059" i="11"/>
  <c r="Q5059" i="11" s="1"/>
  <c r="O5043" i="11"/>
  <c r="Q5043" i="11" s="1"/>
  <c r="O5027" i="11"/>
  <c r="Q5027" i="11" s="1"/>
  <c r="O5011" i="11"/>
  <c r="Q5011" i="11" s="1"/>
  <c r="O4995" i="11"/>
  <c r="Q4995" i="11" s="1"/>
  <c r="O4981" i="11"/>
  <c r="Q4981" i="11" s="1"/>
  <c r="O4973" i="11"/>
  <c r="Q4973" i="11" s="1"/>
  <c r="O4965" i="11"/>
  <c r="Q4965" i="11" s="1"/>
  <c r="O4957" i="11"/>
  <c r="Q4957" i="11" s="1"/>
  <c r="O4949" i="11"/>
  <c r="Q4949" i="11" s="1"/>
  <c r="O4941" i="11"/>
  <c r="Q4941" i="11" s="1"/>
  <c r="O4933" i="11"/>
  <c r="Q4933" i="11" s="1"/>
  <c r="O4925" i="11"/>
  <c r="Q4925" i="11" s="1"/>
  <c r="O4917" i="11"/>
  <c r="Q4917" i="11" s="1"/>
  <c r="O4909" i="11"/>
  <c r="Q4909" i="11" s="1"/>
  <c r="O4901" i="11"/>
  <c r="Q4901" i="11" s="1"/>
  <c r="O4893" i="11"/>
  <c r="Q4893" i="11" s="1"/>
  <c r="O4885" i="11"/>
  <c r="Q4885" i="11" s="1"/>
  <c r="O4877" i="11"/>
  <c r="Q4877" i="11" s="1"/>
  <c r="O4869" i="11"/>
  <c r="Q4869" i="11" s="1"/>
  <c r="O4861" i="11"/>
  <c r="Q4861" i="11" s="1"/>
  <c r="O4853" i="11"/>
  <c r="Q4853" i="11" s="1"/>
  <c r="O4845" i="11"/>
  <c r="Q4845" i="11" s="1"/>
  <c r="O4837" i="11"/>
  <c r="Q4837" i="11" s="1"/>
  <c r="O4829" i="11"/>
  <c r="Q4829" i="11" s="1"/>
  <c r="O4821" i="11"/>
  <c r="Q4821" i="11" s="1"/>
  <c r="O4813" i="11"/>
  <c r="Q4813" i="11" s="1"/>
  <c r="O4805" i="11"/>
  <c r="Q4805" i="11" s="1"/>
  <c r="O4797" i="11"/>
  <c r="Q4797" i="11" s="1"/>
  <c r="O4789" i="11"/>
  <c r="Q4789" i="11" s="1"/>
  <c r="O4781" i="11"/>
  <c r="Q4781" i="11" s="1"/>
  <c r="O4773" i="11"/>
  <c r="Q4773" i="11" s="1"/>
  <c r="O4765" i="11"/>
  <c r="Q4765" i="11" s="1"/>
  <c r="O4757" i="11"/>
  <c r="Q4757" i="11" s="1"/>
  <c r="O4749" i="11"/>
  <c r="Q4749" i="11" s="1"/>
  <c r="O4741" i="11"/>
  <c r="Q4741" i="11" s="1"/>
  <c r="O4733" i="11"/>
  <c r="Q4733" i="11" s="1"/>
  <c r="O5089" i="11"/>
  <c r="Q5089" i="11" s="1"/>
  <c r="O5073" i="11"/>
  <c r="Q5073" i="11" s="1"/>
  <c r="O5057" i="11"/>
  <c r="Q5057" i="11" s="1"/>
  <c r="O5041" i="11"/>
  <c r="Q5041" i="11" s="1"/>
  <c r="O5025" i="11"/>
  <c r="Q5025" i="11" s="1"/>
  <c r="O5009" i="11"/>
  <c r="Q5009" i="11" s="1"/>
  <c r="O4993" i="11"/>
  <c r="Q4993" i="11" s="1"/>
  <c r="O4980" i="11"/>
  <c r="Q4980" i="11" s="1"/>
  <c r="O4972" i="11"/>
  <c r="Q4972" i="11" s="1"/>
  <c r="O4964" i="11"/>
  <c r="Q4964" i="11" s="1"/>
  <c r="O4956" i="11"/>
  <c r="Q4956" i="11" s="1"/>
  <c r="O4948" i="11"/>
  <c r="Q4948" i="11" s="1"/>
  <c r="O4940" i="11"/>
  <c r="Q4940" i="11" s="1"/>
  <c r="O4932" i="11"/>
  <c r="Q4932" i="11" s="1"/>
  <c r="O4924" i="11"/>
  <c r="Q4924" i="11" s="1"/>
  <c r="O4916" i="11"/>
  <c r="Q4916" i="11" s="1"/>
  <c r="O4908" i="11"/>
  <c r="Q4908" i="11" s="1"/>
  <c r="O4900" i="11"/>
  <c r="Q4900" i="11" s="1"/>
  <c r="O4892" i="11"/>
  <c r="Q4892" i="11" s="1"/>
  <c r="O4884" i="11"/>
  <c r="Q4884" i="11" s="1"/>
  <c r="O4876" i="11"/>
  <c r="Q4876" i="11" s="1"/>
  <c r="O4868" i="11"/>
  <c r="Q4868" i="11" s="1"/>
  <c r="O4860" i="11"/>
  <c r="Q4860" i="11" s="1"/>
  <c r="O4852" i="11"/>
  <c r="Q4852" i="11" s="1"/>
  <c r="O4844" i="11"/>
  <c r="Q4844" i="11" s="1"/>
  <c r="O4836" i="11"/>
  <c r="Q4836" i="11" s="1"/>
  <c r="O4828" i="11"/>
  <c r="Q4828" i="11" s="1"/>
  <c r="O4820" i="11"/>
  <c r="Q4820" i="11" s="1"/>
  <c r="O4812" i="11"/>
  <c r="Q4812" i="11" s="1"/>
  <c r="O4804" i="11"/>
  <c r="Q4804" i="11" s="1"/>
  <c r="O4796" i="11"/>
  <c r="Q4796" i="11" s="1"/>
  <c r="O4788" i="11"/>
  <c r="Q4788" i="11" s="1"/>
  <c r="O4780" i="11"/>
  <c r="Q4780" i="11" s="1"/>
  <c r="O4772" i="11"/>
  <c r="Q4772" i="11" s="1"/>
  <c r="O4764" i="11"/>
  <c r="Q4764" i="11" s="1"/>
  <c r="O4756" i="11"/>
  <c r="Q4756" i="11" s="1"/>
  <c r="O4748" i="11"/>
  <c r="Q4748" i="11" s="1"/>
  <c r="O4740" i="11"/>
  <c r="Q4740" i="11" s="1"/>
  <c r="O4732" i="11"/>
  <c r="Q4732" i="11" s="1"/>
  <c r="O5082" i="11"/>
  <c r="Q5082" i="11" s="1"/>
  <c r="O5066" i="11"/>
  <c r="Q5066" i="11" s="1"/>
  <c r="O5050" i="11"/>
  <c r="Q5050" i="11" s="1"/>
  <c r="O5034" i="11"/>
  <c r="Q5034" i="11" s="1"/>
  <c r="O5018" i="11"/>
  <c r="Q5018" i="11" s="1"/>
  <c r="O5002" i="11"/>
  <c r="Q5002" i="11" s="1"/>
  <c r="O4986" i="11"/>
  <c r="Q4986" i="11" s="1"/>
  <c r="O4684" i="11"/>
  <c r="Q4684" i="11" s="1"/>
  <c r="O4652" i="11"/>
  <c r="Q4652" i="11" s="1"/>
  <c r="O4620" i="11"/>
  <c r="Q4620" i="11" s="1"/>
  <c r="O4588" i="11"/>
  <c r="Q4588" i="11" s="1"/>
  <c r="O4556" i="11"/>
  <c r="Q4556" i="11" s="1"/>
  <c r="O4524" i="11"/>
  <c r="Q4524" i="11" s="1"/>
  <c r="O4492" i="11"/>
  <c r="Q4492" i="11" s="1"/>
  <c r="O4460" i="11"/>
  <c r="Q4460" i="11" s="1"/>
  <c r="O4428" i="11"/>
  <c r="Q4428" i="11" s="1"/>
  <c r="O4396" i="11"/>
  <c r="Q4396" i="11" s="1"/>
  <c r="O4364" i="11"/>
  <c r="Q4364" i="11" s="1"/>
  <c r="O4332" i="11"/>
  <c r="Q4332" i="11" s="1"/>
  <c r="O4300" i="11"/>
  <c r="Q4300" i="11" s="1"/>
  <c r="O4268" i="11"/>
  <c r="Q4268" i="11" s="1"/>
  <c r="O4236" i="11"/>
  <c r="Q4236" i="11" s="1"/>
  <c r="O4204" i="11"/>
  <c r="Q4204" i="11" s="1"/>
  <c r="O4172" i="11"/>
  <c r="Q4172" i="11" s="1"/>
  <c r="O4140" i="11"/>
  <c r="Q4140" i="11" s="1"/>
  <c r="O4108" i="11"/>
  <c r="Q4108" i="11" s="1"/>
  <c r="O4076" i="11"/>
  <c r="Q4076" i="11" s="1"/>
  <c r="O4044" i="11"/>
  <c r="Q4044" i="11" s="1"/>
  <c r="O4012" i="11"/>
  <c r="Q4012" i="11" s="1"/>
  <c r="O3980" i="11"/>
  <c r="Q3980" i="11" s="1"/>
  <c r="O3948" i="11"/>
  <c r="Q3948" i="11" s="1"/>
  <c r="O3916" i="11"/>
  <c r="Q3916" i="11" s="1"/>
  <c r="O3884" i="11"/>
  <c r="Q3884" i="11" s="1"/>
  <c r="O3852" i="11"/>
  <c r="Q3852" i="11" s="1"/>
  <c r="O3820" i="11"/>
  <c r="Q3820" i="11" s="1"/>
  <c r="O3788" i="11"/>
  <c r="Q3788" i="11" s="1"/>
  <c r="O3756" i="11"/>
  <c r="Q3756" i="11" s="1"/>
  <c r="O3724" i="11"/>
  <c r="Q3724" i="11" s="1"/>
  <c r="O3692" i="11"/>
  <c r="Q3692" i="11" s="1"/>
  <c r="O3663" i="11"/>
  <c r="Q3663" i="11" s="1"/>
  <c r="O3644" i="11"/>
  <c r="Q3644" i="11" s="1"/>
  <c r="O3625" i="11"/>
  <c r="Q3625" i="11" s="1"/>
  <c r="O3599" i="11"/>
  <c r="Q3599" i="11" s="1"/>
  <c r="O3580" i="11"/>
  <c r="Q3580" i="11" s="1"/>
  <c r="O3561" i="11"/>
  <c r="Q3561" i="11" s="1"/>
  <c r="O3535" i="11"/>
  <c r="Q3535" i="11" s="1"/>
  <c r="O4703" i="11"/>
  <c r="Q4703" i="11" s="1"/>
  <c r="O4687" i="11"/>
  <c r="Q4687" i="11" s="1"/>
  <c r="O4671" i="11"/>
  <c r="Q4671" i="11" s="1"/>
  <c r="O4655" i="11"/>
  <c r="Q4655" i="11" s="1"/>
  <c r="O4639" i="11"/>
  <c r="Q4639" i="11" s="1"/>
  <c r="O4623" i="11"/>
  <c r="Q4623" i="11" s="1"/>
  <c r="O4607" i="11"/>
  <c r="Q4607" i="11" s="1"/>
  <c r="O4591" i="11"/>
  <c r="Q4591" i="11" s="1"/>
  <c r="O4575" i="11"/>
  <c r="Q4575" i="11" s="1"/>
  <c r="O4559" i="11"/>
  <c r="Q4559" i="11" s="1"/>
  <c r="O4543" i="11"/>
  <c r="Q4543" i="11" s="1"/>
  <c r="O4527" i="11"/>
  <c r="Q4527" i="11" s="1"/>
  <c r="O4511" i="11"/>
  <c r="Q4511" i="11" s="1"/>
  <c r="O4495" i="11"/>
  <c r="Q4495" i="11" s="1"/>
  <c r="O4479" i="11"/>
  <c r="Q4479" i="11" s="1"/>
  <c r="O4463" i="11"/>
  <c r="Q4463" i="11" s="1"/>
  <c r="O4447" i="11"/>
  <c r="Q4447" i="11" s="1"/>
  <c r="O4431" i="11"/>
  <c r="Q4431" i="11" s="1"/>
  <c r="O4415" i="11"/>
  <c r="Q4415" i="11" s="1"/>
  <c r="O4399" i="11"/>
  <c r="Q4399" i="11" s="1"/>
  <c r="O4383" i="11"/>
  <c r="Q4383" i="11" s="1"/>
  <c r="O4367" i="11"/>
  <c r="Q4367" i="11" s="1"/>
  <c r="O4351" i="11"/>
  <c r="Q4351" i="11" s="1"/>
  <c r="O4335" i="11"/>
  <c r="Q4335" i="11" s="1"/>
  <c r="O4319" i="11"/>
  <c r="Q4319" i="11" s="1"/>
  <c r="O4303" i="11"/>
  <c r="Q4303" i="11" s="1"/>
  <c r="O4287" i="11"/>
  <c r="Q4287" i="11" s="1"/>
  <c r="O4271" i="11"/>
  <c r="Q4271" i="11" s="1"/>
  <c r="O4255" i="11"/>
  <c r="Q4255" i="11" s="1"/>
  <c r="O4239" i="11"/>
  <c r="Q4239" i="11" s="1"/>
  <c r="O4223" i="11"/>
  <c r="Q4223" i="11" s="1"/>
  <c r="O4207" i="11"/>
  <c r="Q4207" i="11" s="1"/>
  <c r="O4191" i="11"/>
  <c r="Q4191" i="11" s="1"/>
  <c r="O4175" i="11"/>
  <c r="Q4175" i="11" s="1"/>
  <c r="O4159" i="11"/>
  <c r="Q4159" i="11" s="1"/>
  <c r="O4143" i="11"/>
  <c r="Q4143" i="11" s="1"/>
  <c r="O4127" i="11"/>
  <c r="Q4127" i="11" s="1"/>
  <c r="O4111" i="11"/>
  <c r="Q4111" i="11" s="1"/>
  <c r="O4095" i="11"/>
  <c r="Q4095" i="11" s="1"/>
  <c r="O4079" i="11"/>
  <c r="Q4079" i="11" s="1"/>
  <c r="O4063" i="11"/>
  <c r="Q4063" i="11" s="1"/>
  <c r="O4047" i="11"/>
  <c r="Q4047" i="11" s="1"/>
  <c r="O4031" i="11"/>
  <c r="Q4031" i="11" s="1"/>
  <c r="O4015" i="11"/>
  <c r="Q4015" i="11" s="1"/>
  <c r="O3999" i="11"/>
  <c r="Q3999" i="11" s="1"/>
  <c r="O3983" i="11"/>
  <c r="Q3983" i="11" s="1"/>
  <c r="O3967" i="11"/>
  <c r="Q3967" i="11" s="1"/>
  <c r="O3951" i="11"/>
  <c r="Q3951" i="11" s="1"/>
  <c r="O3935" i="11"/>
  <c r="Q3935" i="11" s="1"/>
  <c r="O3919" i="11"/>
  <c r="Q3919" i="11" s="1"/>
  <c r="O3903" i="11"/>
  <c r="Q3903" i="11" s="1"/>
  <c r="O3887" i="11"/>
  <c r="Q3887" i="11" s="1"/>
  <c r="O3871" i="11"/>
  <c r="Q3871" i="11" s="1"/>
  <c r="O3855" i="11"/>
  <c r="Q3855" i="11" s="1"/>
  <c r="O3839" i="11"/>
  <c r="Q3839" i="11" s="1"/>
  <c r="O3823" i="11"/>
  <c r="Q3823" i="11" s="1"/>
  <c r="O3807" i="11"/>
  <c r="Q3807" i="11" s="1"/>
  <c r="O3791" i="11"/>
  <c r="Q3791" i="11" s="1"/>
  <c r="O3775" i="11"/>
  <c r="Q3775" i="11" s="1"/>
  <c r="O3759" i="11"/>
  <c r="Q3759" i="11" s="1"/>
  <c r="O3743" i="11"/>
  <c r="Q3743" i="11" s="1"/>
  <c r="O3727" i="11"/>
  <c r="Q3727" i="11" s="1"/>
  <c r="O3711" i="11"/>
  <c r="Q3711" i="11" s="1"/>
  <c r="O3695" i="11"/>
  <c r="Q3695" i="11" s="1"/>
  <c r="O3679" i="11"/>
  <c r="Q3679" i="11" s="1"/>
  <c r="O698" i="11"/>
  <c r="Q698" i="11" s="1"/>
  <c r="O4709" i="11"/>
  <c r="Q4709" i="11" s="1"/>
  <c r="O4693" i="11"/>
  <c r="Q4693" i="11" s="1"/>
  <c r="O4677" i="11"/>
  <c r="Q4677" i="11" s="1"/>
  <c r="O4661" i="11"/>
  <c r="Q4661" i="11" s="1"/>
  <c r="O4645" i="11"/>
  <c r="Q4645" i="11" s="1"/>
  <c r="O4629" i="11"/>
  <c r="Q4629" i="11" s="1"/>
  <c r="O4613" i="11"/>
  <c r="Q4613" i="11" s="1"/>
  <c r="O4597" i="11"/>
  <c r="Q4597" i="11" s="1"/>
  <c r="O4581" i="11"/>
  <c r="Q4581" i="11" s="1"/>
  <c r="O4565" i="11"/>
  <c r="Q4565" i="11" s="1"/>
  <c r="O4549" i="11"/>
  <c r="Q4549" i="11" s="1"/>
  <c r="O4533" i="11"/>
  <c r="Q4533" i="11" s="1"/>
  <c r="O4517" i="11"/>
  <c r="Q4517" i="11" s="1"/>
  <c r="O4501" i="11"/>
  <c r="Q4501" i="11" s="1"/>
  <c r="O4485" i="11"/>
  <c r="Q4485" i="11" s="1"/>
  <c r="O4469" i="11"/>
  <c r="Q4469" i="11" s="1"/>
  <c r="O4453" i="11"/>
  <c r="Q4453" i="11" s="1"/>
  <c r="O4437" i="11"/>
  <c r="Q4437" i="11" s="1"/>
  <c r="O4421" i="11"/>
  <c r="Q4421" i="11" s="1"/>
  <c r="O4405" i="11"/>
  <c r="Q4405" i="11" s="1"/>
  <c r="O4389" i="11"/>
  <c r="Q4389" i="11" s="1"/>
  <c r="O4373" i="11"/>
  <c r="Q4373" i="11" s="1"/>
  <c r="O4357" i="11"/>
  <c r="Q4357" i="11" s="1"/>
  <c r="O4341" i="11"/>
  <c r="Q4341" i="11" s="1"/>
  <c r="O4325" i="11"/>
  <c r="Q4325" i="11" s="1"/>
  <c r="O4309" i="11"/>
  <c r="Q4309" i="11" s="1"/>
  <c r="O4293" i="11"/>
  <c r="Q4293" i="11" s="1"/>
  <c r="O4277" i="11"/>
  <c r="Q4277" i="11" s="1"/>
  <c r="O4261" i="11"/>
  <c r="Q4261" i="11" s="1"/>
  <c r="O4245" i="11"/>
  <c r="Q4245" i="11" s="1"/>
  <c r="O4229" i="11"/>
  <c r="Q4229" i="11" s="1"/>
  <c r="O4213" i="11"/>
  <c r="Q4213" i="11" s="1"/>
  <c r="O4197" i="11"/>
  <c r="Q4197" i="11" s="1"/>
  <c r="O4181" i="11"/>
  <c r="Q4181" i="11" s="1"/>
  <c r="O4165" i="11"/>
  <c r="Q4165" i="11" s="1"/>
  <c r="O4149" i="11"/>
  <c r="Q4149" i="11" s="1"/>
  <c r="O4133" i="11"/>
  <c r="Q4133" i="11" s="1"/>
  <c r="O4117" i="11"/>
  <c r="Q4117" i="11" s="1"/>
  <c r="O4101" i="11"/>
  <c r="Q4101" i="11" s="1"/>
  <c r="O4085" i="11"/>
  <c r="Q4085" i="11" s="1"/>
  <c r="O4069" i="11"/>
  <c r="Q4069" i="11" s="1"/>
  <c r="O4053" i="11"/>
  <c r="Q4053" i="11" s="1"/>
  <c r="O4037" i="11"/>
  <c r="Q4037" i="11" s="1"/>
  <c r="O4021" i="11"/>
  <c r="Q4021" i="11" s="1"/>
  <c r="O4005" i="11"/>
  <c r="Q4005" i="11" s="1"/>
  <c r="O3989" i="11"/>
  <c r="Q3989" i="11" s="1"/>
  <c r="O3973" i="11"/>
  <c r="Q3973" i="11" s="1"/>
  <c r="O3957" i="11"/>
  <c r="Q3957" i="11" s="1"/>
  <c r="O3941" i="11"/>
  <c r="Q3941" i="11" s="1"/>
  <c r="O3925" i="11"/>
  <c r="Q3925" i="11" s="1"/>
  <c r="O3909" i="11"/>
  <c r="Q3909" i="11" s="1"/>
  <c r="O3893" i="11"/>
  <c r="Q3893" i="11" s="1"/>
  <c r="O3877" i="11"/>
  <c r="Q3877" i="11" s="1"/>
  <c r="O3861" i="11"/>
  <c r="Q3861" i="11" s="1"/>
  <c r="O3845" i="11"/>
  <c r="Q3845" i="11" s="1"/>
  <c r="O3829" i="11"/>
  <c r="Q3829" i="11" s="1"/>
  <c r="O3813" i="11"/>
  <c r="Q3813" i="11" s="1"/>
  <c r="O3797" i="11"/>
  <c r="Q3797" i="11" s="1"/>
  <c r="O3781" i="11"/>
  <c r="Q3781" i="11" s="1"/>
  <c r="O3765" i="11"/>
  <c r="Q3765" i="11" s="1"/>
  <c r="O3749" i="11"/>
  <c r="Q3749" i="11" s="1"/>
  <c r="O3733" i="11"/>
  <c r="Q3733" i="11" s="1"/>
  <c r="O3717" i="11"/>
  <c r="Q3717" i="11" s="1"/>
  <c r="O3701" i="11"/>
  <c r="Q3701" i="11" s="1"/>
  <c r="O3685" i="11"/>
  <c r="Q3685" i="11" s="1"/>
  <c r="O3524" i="11"/>
  <c r="Q3524" i="11" s="1"/>
  <c r="O3508" i="11"/>
  <c r="Q3508" i="11" s="1"/>
  <c r="O3492" i="11"/>
  <c r="Q3492" i="11" s="1"/>
  <c r="O3476" i="11"/>
  <c r="Q3476" i="11" s="1"/>
  <c r="O3460" i="11"/>
  <c r="Q3460" i="11" s="1"/>
  <c r="O3444" i="11"/>
  <c r="Q3444" i="11" s="1"/>
  <c r="O3428" i="11"/>
  <c r="Q3428" i="11" s="1"/>
  <c r="O3412" i="11"/>
  <c r="Q3412" i="11" s="1"/>
  <c r="O3396" i="11"/>
  <c r="Q3396" i="11" s="1"/>
  <c r="O3380" i="11"/>
  <c r="Q3380" i="11" s="1"/>
  <c r="O1931" i="11"/>
  <c r="Q1931" i="11" s="1"/>
  <c r="O4710" i="11"/>
  <c r="Q4710" i="11" s="1"/>
  <c r="O4694" i="11"/>
  <c r="Q4694" i="11" s="1"/>
  <c r="O4678" i="11"/>
  <c r="Q4678" i="11" s="1"/>
  <c r="O4662" i="11"/>
  <c r="Q4662" i="11" s="1"/>
  <c r="O4646" i="11"/>
  <c r="Q4646" i="11" s="1"/>
  <c r="O4630" i="11"/>
  <c r="Q4630" i="11" s="1"/>
  <c r="O4614" i="11"/>
  <c r="Q4614" i="11" s="1"/>
  <c r="O4598" i="11"/>
  <c r="Q4598" i="11" s="1"/>
  <c r="O4582" i="11"/>
  <c r="Q4582" i="11" s="1"/>
  <c r="O4566" i="11"/>
  <c r="Q4566" i="11" s="1"/>
  <c r="O4550" i="11"/>
  <c r="Q4550" i="11" s="1"/>
  <c r="O4534" i="11"/>
  <c r="Q4534" i="11" s="1"/>
  <c r="O4518" i="11"/>
  <c r="Q4518" i="11" s="1"/>
  <c r="O4502" i="11"/>
  <c r="Q4502" i="11" s="1"/>
  <c r="O4486" i="11"/>
  <c r="Q4486" i="11" s="1"/>
  <c r="O4470" i="11"/>
  <c r="Q4470" i="11" s="1"/>
  <c r="O4454" i="11"/>
  <c r="Q4454" i="11" s="1"/>
  <c r="O4438" i="11"/>
  <c r="Q4438" i="11" s="1"/>
  <c r="O4422" i="11"/>
  <c r="Q4422" i="11" s="1"/>
  <c r="O4406" i="11"/>
  <c r="Q4406" i="11" s="1"/>
  <c r="O4390" i="11"/>
  <c r="Q4390" i="11" s="1"/>
  <c r="O4374" i="11"/>
  <c r="Q4374" i="11" s="1"/>
  <c r="O4358" i="11"/>
  <c r="Q4358" i="11" s="1"/>
  <c r="O4342" i="11"/>
  <c r="Q4342" i="11" s="1"/>
  <c r="O4326" i="11"/>
  <c r="Q4326" i="11" s="1"/>
  <c r="O4310" i="11"/>
  <c r="Q4310" i="11" s="1"/>
  <c r="O4294" i="11"/>
  <c r="Q4294" i="11" s="1"/>
  <c r="O4278" i="11"/>
  <c r="Q4278" i="11" s="1"/>
  <c r="O4262" i="11"/>
  <c r="Q4262" i="11" s="1"/>
  <c r="O4246" i="11"/>
  <c r="Q4246" i="11" s="1"/>
  <c r="O4230" i="11"/>
  <c r="Q4230" i="11" s="1"/>
  <c r="O4214" i="11"/>
  <c r="Q4214" i="11" s="1"/>
  <c r="O4198" i="11"/>
  <c r="Q4198" i="11" s="1"/>
  <c r="O4182" i="11"/>
  <c r="Q4182" i="11" s="1"/>
  <c r="O4166" i="11"/>
  <c r="Q4166" i="11" s="1"/>
  <c r="O4150" i="11"/>
  <c r="Q4150" i="11" s="1"/>
  <c r="O4134" i="11"/>
  <c r="Q4134" i="11" s="1"/>
  <c r="O4118" i="11"/>
  <c r="Q4118" i="11" s="1"/>
  <c r="O4102" i="11"/>
  <c r="Q4102" i="11" s="1"/>
  <c r="O4086" i="11"/>
  <c r="Q4086" i="11" s="1"/>
  <c r="O4070" i="11"/>
  <c r="Q4070" i="11" s="1"/>
  <c r="O4054" i="11"/>
  <c r="Q4054" i="11" s="1"/>
  <c r="O4038" i="11"/>
  <c r="Q4038" i="11" s="1"/>
  <c r="O4022" i="11"/>
  <c r="Q4022" i="11" s="1"/>
  <c r="O4006" i="11"/>
  <c r="Q4006" i="11" s="1"/>
  <c r="O3990" i="11"/>
  <c r="Q3990" i="11" s="1"/>
  <c r="O3974" i="11"/>
  <c r="Q3974" i="11" s="1"/>
  <c r="O3958" i="11"/>
  <c r="Q3958" i="11" s="1"/>
  <c r="O3942" i="11"/>
  <c r="Q3942" i="11" s="1"/>
  <c r="O3926" i="11"/>
  <c r="Q3926" i="11" s="1"/>
  <c r="O3910" i="11"/>
  <c r="Q3910" i="11" s="1"/>
  <c r="O3894" i="11"/>
  <c r="Q3894" i="11" s="1"/>
  <c r="O3878" i="11"/>
  <c r="Q3878" i="11" s="1"/>
  <c r="O3862" i="11"/>
  <c r="Q3862" i="11" s="1"/>
  <c r="O3846" i="11"/>
  <c r="Q3846" i="11" s="1"/>
  <c r="O3830" i="11"/>
  <c r="Q3830" i="11" s="1"/>
  <c r="O3814" i="11"/>
  <c r="Q3814" i="11" s="1"/>
  <c r="O3798" i="11"/>
  <c r="Q3798" i="11" s="1"/>
  <c r="O3782" i="11"/>
  <c r="Q3782" i="11" s="1"/>
  <c r="O3766" i="11"/>
  <c r="Q3766" i="11" s="1"/>
  <c r="O3750" i="11"/>
  <c r="Q3750" i="11" s="1"/>
  <c r="O3734" i="11"/>
  <c r="Q3734" i="11" s="1"/>
  <c r="O3718" i="11"/>
  <c r="Q3718" i="11" s="1"/>
  <c r="O3702" i="11"/>
  <c r="Q3702" i="11" s="1"/>
  <c r="O3686" i="11"/>
  <c r="Q3686" i="11" s="1"/>
  <c r="O3672" i="11"/>
  <c r="Q3672" i="11" s="1"/>
  <c r="O3661" i="11"/>
  <c r="Q3661" i="11" s="1"/>
  <c r="O3651" i="11"/>
  <c r="Q3651" i="11" s="1"/>
  <c r="O3640" i="11"/>
  <c r="Q3640" i="11" s="1"/>
  <c r="O3629" i="11"/>
  <c r="Q3629" i="11" s="1"/>
  <c r="O3619" i="11"/>
  <c r="Q3619" i="11" s="1"/>
  <c r="O3608" i="11"/>
  <c r="Q3608" i="11" s="1"/>
  <c r="O3597" i="11"/>
  <c r="Q3597" i="11" s="1"/>
  <c r="O3587" i="11"/>
  <c r="Q3587" i="11" s="1"/>
  <c r="O3576" i="11"/>
  <c r="Q3576" i="11" s="1"/>
  <c r="O3565" i="11"/>
  <c r="Q3565" i="11" s="1"/>
  <c r="O3555" i="11"/>
  <c r="Q3555" i="11" s="1"/>
  <c r="O3544" i="11"/>
  <c r="Q3544" i="11" s="1"/>
  <c r="O3533" i="11"/>
  <c r="Q3533" i="11" s="1"/>
  <c r="O3519" i="11"/>
  <c r="Q3519" i="11" s="1"/>
  <c r="O3503" i="11"/>
  <c r="Q3503" i="11" s="1"/>
  <c r="O3487" i="11"/>
  <c r="Q3487" i="11" s="1"/>
  <c r="O3471" i="11"/>
  <c r="Q3471" i="11" s="1"/>
  <c r="O3455" i="11"/>
  <c r="Q3455" i="11" s="1"/>
  <c r="O3439" i="11"/>
  <c r="Q3439" i="11" s="1"/>
  <c r="O3423" i="11"/>
  <c r="Q3423" i="11" s="1"/>
  <c r="O3407" i="11"/>
  <c r="Q3407" i="11" s="1"/>
  <c r="O3391" i="11"/>
  <c r="Q3391" i="11" s="1"/>
  <c r="O3375" i="11"/>
  <c r="Q3375" i="11" s="1"/>
  <c r="O3371" i="11"/>
  <c r="Q3371" i="11" s="1"/>
  <c r="O3357" i="11"/>
  <c r="Q3357" i="11" s="1"/>
  <c r="O3346" i="11"/>
  <c r="Q3346" i="11" s="1"/>
  <c r="O3335" i="11"/>
  <c r="Q3335" i="11" s="1"/>
  <c r="O3325" i="11"/>
  <c r="Q3325" i="11" s="1"/>
  <c r="O3314" i="11"/>
  <c r="Q3314" i="11" s="1"/>
  <c r="O3303" i="11"/>
  <c r="Q3303" i="11" s="1"/>
  <c r="O3293" i="11"/>
  <c r="Q3293" i="11" s="1"/>
  <c r="O3282" i="11"/>
  <c r="Q3282" i="11" s="1"/>
  <c r="O3271" i="11"/>
  <c r="Q3271" i="11" s="1"/>
  <c r="O3261" i="11"/>
  <c r="Q3261" i="11" s="1"/>
  <c r="O3250" i="11"/>
  <c r="Q3250" i="11" s="1"/>
  <c r="O3239" i="11"/>
  <c r="Q3239" i="11" s="1"/>
  <c r="O3229" i="11"/>
  <c r="Q3229" i="11" s="1"/>
  <c r="O3218" i="11"/>
  <c r="Q3218" i="11" s="1"/>
  <c r="O3207" i="11"/>
  <c r="Q3207" i="11" s="1"/>
  <c r="O3194" i="11"/>
  <c r="Q3194" i="11" s="1"/>
  <c r="O3178" i="11"/>
  <c r="Q3178" i="11" s="1"/>
  <c r="O3162" i="11"/>
  <c r="Q3162" i="11" s="1"/>
  <c r="O3146" i="11"/>
  <c r="Q3146" i="11" s="1"/>
  <c r="O3130" i="11"/>
  <c r="Q3130" i="11" s="1"/>
  <c r="O3114" i="11"/>
  <c r="Q3114" i="11" s="1"/>
  <c r="O3098" i="11"/>
  <c r="Q3098" i="11" s="1"/>
  <c r="O3082" i="11"/>
  <c r="Q3082" i="11" s="1"/>
  <c r="O3066" i="11"/>
  <c r="Q3066" i="11" s="1"/>
  <c r="O3050" i="11"/>
  <c r="Q3050" i="11" s="1"/>
  <c r="O3034" i="11"/>
  <c r="Q3034" i="11" s="1"/>
  <c r="O3018" i="11"/>
  <c r="Q3018" i="11" s="1"/>
  <c r="O3002" i="11"/>
  <c r="Q3002" i="11" s="1"/>
  <c r="O2986" i="11"/>
  <c r="Q2986" i="11" s="1"/>
  <c r="O2970" i="11"/>
  <c r="Q2970" i="11" s="1"/>
  <c r="O2954" i="11"/>
  <c r="Q2954" i="11" s="1"/>
  <c r="O2938" i="11"/>
  <c r="Q2938" i="11" s="1"/>
  <c r="O2922" i="11"/>
  <c r="Q2922" i="11" s="1"/>
  <c r="O2906" i="11"/>
  <c r="Q2906" i="11" s="1"/>
  <c r="O2890" i="11"/>
  <c r="Q2890" i="11" s="1"/>
  <c r="O2874" i="11"/>
  <c r="Q2874" i="11" s="1"/>
  <c r="O2858" i="11"/>
  <c r="Q2858" i="11" s="1"/>
  <c r="O2842" i="11"/>
  <c r="Q2842" i="11" s="1"/>
  <c r="O2826" i="11"/>
  <c r="Q2826" i="11" s="1"/>
  <c r="O2810" i="11"/>
  <c r="Q2810" i="11" s="1"/>
  <c r="O2794" i="11"/>
  <c r="Q2794" i="11" s="1"/>
  <c r="O2778" i="11"/>
  <c r="Q2778" i="11" s="1"/>
  <c r="O2762" i="11"/>
  <c r="Q2762" i="11" s="1"/>
  <c r="O2746" i="11"/>
  <c r="Q2746" i="11" s="1"/>
  <c r="O2730" i="11"/>
  <c r="Q2730" i="11" s="1"/>
  <c r="O2714" i="11"/>
  <c r="Q2714" i="11" s="1"/>
  <c r="O2698" i="11"/>
  <c r="Q2698" i="11" s="1"/>
  <c r="O2682" i="11"/>
  <c r="Q2682" i="11" s="1"/>
  <c r="O2666" i="11"/>
  <c r="Q2666" i="11" s="1"/>
  <c r="O2650" i="11"/>
  <c r="Q2650" i="11" s="1"/>
  <c r="O2634" i="11"/>
  <c r="Q2634" i="11" s="1"/>
  <c r="O2618" i="11"/>
  <c r="Q2618" i="11" s="1"/>
  <c r="O2602" i="11"/>
  <c r="Q2602" i="11" s="1"/>
  <c r="O2586" i="11"/>
  <c r="Q2586" i="11" s="1"/>
  <c r="O2570" i="11"/>
  <c r="Q2570" i="11" s="1"/>
  <c r="O2554" i="11"/>
  <c r="Q2554" i="11" s="1"/>
  <c r="O2530" i="11"/>
  <c r="Q2530" i="11" s="1"/>
  <c r="O2498" i="11"/>
  <c r="Q2498" i="11" s="1"/>
  <c r="O2466" i="11"/>
  <c r="Q2466" i="11" s="1"/>
  <c r="O2434" i="11"/>
  <c r="Q2434" i="11" s="1"/>
  <c r="O2402" i="11"/>
  <c r="Q2402" i="11" s="1"/>
  <c r="O2370" i="11"/>
  <c r="Q2370" i="11" s="1"/>
  <c r="O2338" i="11"/>
  <c r="Q2338" i="11" s="1"/>
  <c r="O2306" i="11"/>
  <c r="Q2306" i="11" s="1"/>
  <c r="O2274" i="11"/>
  <c r="Q2274" i="11" s="1"/>
  <c r="O2242" i="11"/>
  <c r="Q2242" i="11" s="1"/>
  <c r="O2210" i="11"/>
  <c r="Q2210" i="11" s="1"/>
  <c r="O2178" i="11"/>
  <c r="Q2178" i="11" s="1"/>
  <c r="O2146" i="11"/>
  <c r="Q2146" i="11" s="1"/>
  <c r="O2114" i="11"/>
  <c r="Q2114" i="11" s="1"/>
  <c r="O2082" i="11"/>
  <c r="Q2082" i="11" s="1"/>
  <c r="O2050" i="11"/>
  <c r="Q2050" i="11" s="1"/>
  <c r="O2018" i="11"/>
  <c r="Q2018" i="11" s="1"/>
  <c r="O1986" i="11"/>
  <c r="Q1986" i="11" s="1"/>
  <c r="O1954" i="11"/>
  <c r="Q1954" i="11" s="1"/>
  <c r="O1919" i="11"/>
  <c r="Q1919" i="11" s="1"/>
  <c r="O1855" i="11"/>
  <c r="Q1855" i="11" s="1"/>
  <c r="O1791" i="11"/>
  <c r="Q1791" i="11" s="1"/>
  <c r="O1727" i="11"/>
  <c r="Q1727" i="11" s="1"/>
  <c r="O1663" i="11"/>
  <c r="Q1663" i="11" s="1"/>
  <c r="O1599" i="11"/>
  <c r="Q1599" i="11" s="1"/>
  <c r="O1470" i="11"/>
  <c r="Q1470" i="11" s="1"/>
  <c r="O1342" i="11"/>
  <c r="Q1342" i="11" s="1"/>
  <c r="O1129" i="11"/>
  <c r="Q1129" i="11" s="1"/>
  <c r="O568" i="11"/>
  <c r="Q568" i="11" s="1"/>
  <c r="O3525" i="11"/>
  <c r="Q3525" i="11" s="1"/>
  <c r="O3509" i="11"/>
  <c r="Q3509" i="11" s="1"/>
  <c r="O3493" i="11"/>
  <c r="Q3493" i="11" s="1"/>
  <c r="O3477" i="11"/>
  <c r="Q3477" i="11" s="1"/>
  <c r="O3461" i="11"/>
  <c r="Q3461" i="11" s="1"/>
  <c r="O3445" i="11"/>
  <c r="Q3445" i="11" s="1"/>
  <c r="O3429" i="11"/>
  <c r="Q3429" i="11" s="1"/>
  <c r="O3413" i="11"/>
  <c r="Q3413" i="11" s="1"/>
  <c r="O3397" i="11"/>
  <c r="Q3397" i="11" s="1"/>
  <c r="O3381" i="11"/>
  <c r="Q3381" i="11" s="1"/>
  <c r="O3365" i="11"/>
  <c r="Q3365" i="11" s="1"/>
  <c r="O3353" i="11"/>
  <c r="Q3353" i="11" s="1"/>
  <c r="O3342" i="11"/>
  <c r="Q3342" i="11" s="1"/>
  <c r="O3331" i="11"/>
  <c r="Q3331" i="11" s="1"/>
  <c r="O3321" i="11"/>
  <c r="Q3321" i="11" s="1"/>
  <c r="O3310" i="11"/>
  <c r="Q3310" i="11" s="1"/>
  <c r="O3299" i="11"/>
  <c r="Q3299" i="11" s="1"/>
  <c r="O3289" i="11"/>
  <c r="Q3289" i="11" s="1"/>
  <c r="O3278" i="11"/>
  <c r="Q3278" i="11" s="1"/>
  <c r="O3267" i="11"/>
  <c r="Q3267" i="11" s="1"/>
  <c r="O3257" i="11"/>
  <c r="Q3257" i="11" s="1"/>
  <c r="O3246" i="11"/>
  <c r="Q3246" i="11" s="1"/>
  <c r="O3235" i="11"/>
  <c r="Q3235" i="11" s="1"/>
  <c r="O3225" i="11"/>
  <c r="Q3225" i="11" s="1"/>
  <c r="O3214" i="11"/>
  <c r="Q3214" i="11" s="1"/>
  <c r="O3203" i="11"/>
  <c r="Q3203" i="11" s="1"/>
  <c r="O2526" i="11"/>
  <c r="Q2526" i="11" s="1"/>
  <c r="O2494" i="11"/>
  <c r="Q2494" i="11" s="1"/>
  <c r="O2462" i="11"/>
  <c r="Q2462" i="11" s="1"/>
  <c r="O2430" i="11"/>
  <c r="Q2430" i="11" s="1"/>
  <c r="O2398" i="11"/>
  <c r="Q2398" i="11" s="1"/>
  <c r="O2366" i="11"/>
  <c r="Q2366" i="11" s="1"/>
  <c r="O2334" i="11"/>
  <c r="Q2334" i="11" s="1"/>
  <c r="O2302" i="11"/>
  <c r="Q2302" i="11" s="1"/>
  <c r="O2270" i="11"/>
  <c r="Q2270" i="11" s="1"/>
  <c r="O2238" i="11"/>
  <c r="Q2238" i="11" s="1"/>
  <c r="O2206" i="11"/>
  <c r="Q2206" i="11" s="1"/>
  <c r="O2174" i="11"/>
  <c r="Q2174" i="11" s="1"/>
  <c r="O2142" i="11"/>
  <c r="Q2142" i="11" s="1"/>
  <c r="O2110" i="11"/>
  <c r="Q2110" i="11" s="1"/>
  <c r="O2078" i="11"/>
  <c r="Q2078" i="11" s="1"/>
  <c r="O2046" i="11"/>
  <c r="Q2046" i="11" s="1"/>
  <c r="O2014" i="11"/>
  <c r="Q2014" i="11" s="1"/>
  <c r="O1982" i="11"/>
  <c r="Q1982" i="11" s="1"/>
  <c r="O1950" i="11"/>
  <c r="Q1950" i="11" s="1"/>
  <c r="O1895" i="11"/>
  <c r="Q1895" i="11" s="1"/>
  <c r="O1831" i="11"/>
  <c r="Q1831" i="11" s="1"/>
  <c r="O1767" i="11"/>
  <c r="Q1767" i="11" s="1"/>
  <c r="O1703" i="11"/>
  <c r="Q1703" i="11" s="1"/>
  <c r="O1639" i="11"/>
  <c r="Q1639" i="11" s="1"/>
  <c r="O1573" i="11"/>
  <c r="Q1573" i="11" s="1"/>
  <c r="O1509" i="11"/>
  <c r="Q1509" i="11" s="1"/>
  <c r="O1445" i="11"/>
  <c r="Q1445" i="11" s="1"/>
  <c r="O1381" i="11"/>
  <c r="Q1381" i="11" s="1"/>
  <c r="O1233" i="11"/>
  <c r="Q1233" i="11" s="1"/>
  <c r="O954" i="11"/>
  <c r="Q954" i="11" s="1"/>
  <c r="O3674" i="11"/>
  <c r="Q3674" i="11" s="1"/>
  <c r="O3658" i="11"/>
  <c r="Q3658" i="11" s="1"/>
  <c r="O3642" i="11"/>
  <c r="Q3642" i="11" s="1"/>
  <c r="O3626" i="11"/>
  <c r="Q3626" i="11" s="1"/>
  <c r="O3610" i="11"/>
  <c r="Q3610" i="11" s="1"/>
  <c r="O3594" i="11"/>
  <c r="Q3594" i="11" s="1"/>
  <c r="O3578" i="11"/>
  <c r="Q3578" i="11" s="1"/>
  <c r="O3562" i="11"/>
  <c r="Q3562" i="11" s="1"/>
  <c r="O3546" i="11"/>
  <c r="Q3546" i="11" s="1"/>
  <c r="O3530" i="11"/>
  <c r="Q3530" i="11" s="1"/>
  <c r="O3514" i="11"/>
  <c r="Q3514" i="11" s="1"/>
  <c r="O3498" i="11"/>
  <c r="Q3498" i="11" s="1"/>
  <c r="O3482" i="11"/>
  <c r="Q3482" i="11" s="1"/>
  <c r="O3466" i="11"/>
  <c r="Q3466" i="11" s="1"/>
  <c r="O3450" i="11"/>
  <c r="Q3450" i="11" s="1"/>
  <c r="O3434" i="11"/>
  <c r="Q3434" i="11" s="1"/>
  <c r="O3418" i="11"/>
  <c r="Q3418" i="11" s="1"/>
  <c r="O3402" i="11"/>
  <c r="Q3402" i="11" s="1"/>
  <c r="O3386" i="11"/>
  <c r="Q3386" i="11" s="1"/>
  <c r="O3370" i="11"/>
  <c r="Q3370" i="11" s="1"/>
  <c r="O3195" i="11"/>
  <c r="Q3195" i="11" s="1"/>
  <c r="O3179" i="11"/>
  <c r="Q3179" i="11" s="1"/>
  <c r="O3163" i="11"/>
  <c r="Q3163" i="11" s="1"/>
  <c r="O3147" i="11"/>
  <c r="Q3147" i="11" s="1"/>
  <c r="O3131" i="11"/>
  <c r="Q3131" i="11" s="1"/>
  <c r="O3115" i="11"/>
  <c r="Q3115" i="11" s="1"/>
  <c r="O3099" i="11"/>
  <c r="Q3099" i="11" s="1"/>
  <c r="O3083" i="11"/>
  <c r="Q3083" i="11" s="1"/>
  <c r="O3067" i="11"/>
  <c r="Q3067" i="11" s="1"/>
  <c r="O3051" i="11"/>
  <c r="Q3051" i="11" s="1"/>
  <c r="O3035" i="11"/>
  <c r="Q3035" i="11" s="1"/>
  <c r="O3019" i="11"/>
  <c r="Q3019" i="11" s="1"/>
  <c r="O3003" i="11"/>
  <c r="Q3003" i="11" s="1"/>
  <c r="O2987" i="11"/>
  <c r="Q2987" i="11" s="1"/>
  <c r="O2971" i="11"/>
  <c r="Q2971" i="11" s="1"/>
  <c r="O2955" i="11"/>
  <c r="Q2955" i="11" s="1"/>
  <c r="O2939" i="11"/>
  <c r="Q2939" i="11" s="1"/>
  <c r="O2923" i="11"/>
  <c r="Q2923" i="11" s="1"/>
  <c r="O2907" i="11"/>
  <c r="Q2907" i="11" s="1"/>
  <c r="O2891" i="11"/>
  <c r="Q2891" i="11" s="1"/>
  <c r="O2875" i="11"/>
  <c r="Q2875" i="11" s="1"/>
  <c r="O2859" i="11"/>
  <c r="Q2859" i="11" s="1"/>
  <c r="O2843" i="11"/>
  <c r="Q2843" i="11" s="1"/>
  <c r="O2827" i="11"/>
  <c r="Q2827" i="11" s="1"/>
  <c r="O2811" i="11"/>
  <c r="Q2811" i="11" s="1"/>
  <c r="O2795" i="11"/>
  <c r="Q2795" i="11" s="1"/>
  <c r="O2779" i="11"/>
  <c r="Q2779" i="11" s="1"/>
  <c r="O2763" i="11"/>
  <c r="Q2763" i="11" s="1"/>
  <c r="O2747" i="11"/>
  <c r="Q2747" i="11" s="1"/>
  <c r="O2731" i="11"/>
  <c r="Q2731" i="11" s="1"/>
  <c r="O2715" i="11"/>
  <c r="Q2715" i="11" s="1"/>
  <c r="O2699" i="11"/>
  <c r="Q2699" i="11" s="1"/>
  <c r="O2683" i="11"/>
  <c r="Q2683" i="11" s="1"/>
  <c r="O2667" i="11"/>
  <c r="Q2667" i="11" s="1"/>
  <c r="O2651" i="11"/>
  <c r="Q2651" i="11" s="1"/>
  <c r="O2635" i="11"/>
  <c r="Q2635" i="11" s="1"/>
  <c r="O2619" i="11"/>
  <c r="Q2619" i="11" s="1"/>
  <c r="O2603" i="11"/>
  <c r="Q2603" i="11" s="1"/>
  <c r="O2587" i="11"/>
  <c r="Q2587" i="11" s="1"/>
  <c r="O2571" i="11"/>
  <c r="Q2571" i="11" s="1"/>
  <c r="O2555" i="11"/>
  <c r="Q2555" i="11" s="1"/>
  <c r="O1907" i="11"/>
  <c r="Q1907" i="11" s="1"/>
  <c r="O1118" i="11"/>
  <c r="Q1118" i="11" s="1"/>
  <c r="O497" i="11"/>
  <c r="Q497" i="11" s="1"/>
  <c r="O3189" i="11"/>
  <c r="Q3189" i="11" s="1"/>
  <c r="O3173" i="11"/>
  <c r="Q3173" i="11" s="1"/>
  <c r="O3157" i="11"/>
  <c r="Q3157" i="11" s="1"/>
  <c r="O3141" i="11"/>
  <c r="Q3141" i="11" s="1"/>
  <c r="O3125" i="11"/>
  <c r="Q3125" i="11" s="1"/>
  <c r="O3109" i="11"/>
  <c r="Q3109" i="11" s="1"/>
  <c r="O3093" i="11"/>
  <c r="Q3093" i="11" s="1"/>
  <c r="O3077" i="11"/>
  <c r="Q3077" i="11" s="1"/>
  <c r="O3061" i="11"/>
  <c r="Q3061" i="11" s="1"/>
  <c r="O3045" i="11"/>
  <c r="Q3045" i="11" s="1"/>
  <c r="O3029" i="11"/>
  <c r="Q3029" i="11" s="1"/>
  <c r="O3013" i="11"/>
  <c r="Q3013" i="11" s="1"/>
  <c r="O2997" i="11"/>
  <c r="Q2997" i="11" s="1"/>
  <c r="O2981" i="11"/>
  <c r="Q2981" i="11" s="1"/>
  <c r="O2965" i="11"/>
  <c r="Q2965" i="11" s="1"/>
  <c r="O2949" i="11"/>
  <c r="Q2949" i="11" s="1"/>
  <c r="O2933" i="11"/>
  <c r="Q2933" i="11" s="1"/>
  <c r="O2917" i="11"/>
  <c r="Q2917" i="11" s="1"/>
  <c r="O2901" i="11"/>
  <c r="Q2901" i="11" s="1"/>
  <c r="O2885" i="11"/>
  <c r="Q2885" i="11" s="1"/>
  <c r="O2869" i="11"/>
  <c r="Q2869" i="11" s="1"/>
  <c r="O2853" i="11"/>
  <c r="Q2853" i="11" s="1"/>
  <c r="O2837" i="11"/>
  <c r="Q2837" i="11" s="1"/>
  <c r="O2821" i="11"/>
  <c r="Q2821" i="11" s="1"/>
  <c r="O2805" i="11"/>
  <c r="Q2805" i="11" s="1"/>
  <c r="O2789" i="11"/>
  <c r="Q2789" i="11" s="1"/>
  <c r="O2773" i="11"/>
  <c r="Q2773" i="11" s="1"/>
  <c r="O2757" i="11"/>
  <c r="Q2757" i="11" s="1"/>
  <c r="O2741" i="11"/>
  <c r="Q2741" i="11" s="1"/>
  <c r="O2725" i="11"/>
  <c r="Q2725" i="11" s="1"/>
  <c r="O2709" i="11"/>
  <c r="Q2709" i="11" s="1"/>
  <c r="O2693" i="11"/>
  <c r="Q2693" i="11" s="1"/>
  <c r="O2677" i="11"/>
  <c r="Q2677" i="11" s="1"/>
  <c r="O2661" i="11"/>
  <c r="Q2661" i="11" s="1"/>
  <c r="O2645" i="11"/>
  <c r="Q2645" i="11" s="1"/>
  <c r="O2629" i="11"/>
  <c r="Q2629" i="11" s="1"/>
  <c r="O2613" i="11"/>
  <c r="Q2613" i="11" s="1"/>
  <c r="O2597" i="11"/>
  <c r="Q2597" i="11" s="1"/>
  <c r="O2581" i="11"/>
  <c r="Q2581" i="11" s="1"/>
  <c r="O2565" i="11"/>
  <c r="Q2565" i="11" s="1"/>
  <c r="O2549" i="11"/>
  <c r="Q2549" i="11" s="1"/>
  <c r="O2533" i="11"/>
  <c r="Q2533" i="11" s="1"/>
  <c r="O2517" i="11"/>
  <c r="Q2517" i="11" s="1"/>
  <c r="O2501" i="11"/>
  <c r="Q2501" i="11" s="1"/>
  <c r="O2485" i="11"/>
  <c r="Q2485" i="11" s="1"/>
  <c r="O2469" i="11"/>
  <c r="Q2469" i="11" s="1"/>
  <c r="O2453" i="11"/>
  <c r="Q2453" i="11" s="1"/>
  <c r="O2437" i="11"/>
  <c r="Q2437" i="11" s="1"/>
  <c r="O2421" i="11"/>
  <c r="Q2421" i="11" s="1"/>
  <c r="O2405" i="11"/>
  <c r="Q2405" i="11" s="1"/>
  <c r="O2389" i="11"/>
  <c r="Q2389" i="11" s="1"/>
  <c r="O2373" i="11"/>
  <c r="Q2373" i="11" s="1"/>
  <c r="O2357" i="11"/>
  <c r="Q2357" i="11" s="1"/>
  <c r="O2341" i="11"/>
  <c r="Q2341" i="11" s="1"/>
  <c r="O2325" i="11"/>
  <c r="Q2325" i="11" s="1"/>
  <c r="O2309" i="11"/>
  <c r="Q2309" i="11" s="1"/>
  <c r="O2293" i="11"/>
  <c r="Q2293" i="11" s="1"/>
  <c r="O2277" i="11"/>
  <c r="Q2277" i="11" s="1"/>
  <c r="O2261" i="11"/>
  <c r="Q2261" i="11" s="1"/>
  <c r="O2245" i="11"/>
  <c r="Q2245" i="11" s="1"/>
  <c r="O2229" i="11"/>
  <c r="Q2229" i="11" s="1"/>
  <c r="O2213" i="11"/>
  <c r="Q2213" i="11" s="1"/>
  <c r="O2197" i="11"/>
  <c r="Q2197" i="11" s="1"/>
  <c r="O2181" i="11"/>
  <c r="Q2181" i="11" s="1"/>
  <c r="O2165" i="11"/>
  <c r="Q2165" i="11" s="1"/>
  <c r="O2149" i="11"/>
  <c r="Q2149" i="11" s="1"/>
  <c r="O2133" i="11"/>
  <c r="Q2133" i="11" s="1"/>
  <c r="O2117" i="11"/>
  <c r="Q2117" i="11" s="1"/>
  <c r="O2101" i="11"/>
  <c r="Q2101" i="11" s="1"/>
  <c r="O2085" i="11"/>
  <c r="Q2085" i="11" s="1"/>
  <c r="O2069" i="11"/>
  <c r="Q2069" i="11" s="1"/>
  <c r="O2053" i="11"/>
  <c r="Q2053" i="11" s="1"/>
  <c r="O2037" i="11"/>
  <c r="Q2037" i="11" s="1"/>
  <c r="O2021" i="11"/>
  <c r="Q2021" i="11" s="1"/>
  <c r="O2005" i="11"/>
  <c r="Q2005" i="11" s="1"/>
  <c r="O1989" i="11"/>
  <c r="Q1989" i="11" s="1"/>
  <c r="O1973" i="11"/>
  <c r="Q1973" i="11" s="1"/>
  <c r="O1957" i="11"/>
  <c r="Q1957" i="11" s="1"/>
  <c r="O1941" i="11"/>
  <c r="Q1941" i="11" s="1"/>
  <c r="O1920" i="11"/>
  <c r="Q1920" i="11" s="1"/>
  <c r="O1904" i="11"/>
  <c r="Q1904" i="11" s="1"/>
  <c r="O1176" i="11"/>
  <c r="Q1176" i="11" s="1"/>
  <c r="O1042" i="11"/>
  <c r="Q1042" i="11" s="1"/>
  <c r="O956" i="11"/>
  <c r="Q956" i="11" s="1"/>
  <c r="O760" i="11"/>
  <c r="Q760" i="11" s="1"/>
  <c r="O634" i="11"/>
  <c r="Q634" i="11" s="1"/>
  <c r="O257" i="11"/>
  <c r="Q257" i="11" s="1"/>
  <c r="O2539" i="11"/>
  <c r="Q2539" i="11" s="1"/>
  <c r="O2523" i="11"/>
  <c r="Q2523" i="11" s="1"/>
  <c r="O2507" i="11"/>
  <c r="Q2507" i="11" s="1"/>
  <c r="O2491" i="11"/>
  <c r="Q2491" i="11" s="1"/>
  <c r="O2475" i="11"/>
  <c r="Q2475" i="11" s="1"/>
  <c r="O2459" i="11"/>
  <c r="Q2459" i="11" s="1"/>
  <c r="O2443" i="11"/>
  <c r="Q2443" i="11" s="1"/>
  <c r="O2427" i="11"/>
  <c r="Q2427" i="11" s="1"/>
  <c r="O2411" i="11"/>
  <c r="Q2411" i="11" s="1"/>
  <c r="O2395" i="11"/>
  <c r="Q2395" i="11" s="1"/>
  <c r="O2379" i="11"/>
  <c r="Q2379" i="11" s="1"/>
  <c r="O2363" i="11"/>
  <c r="Q2363" i="11" s="1"/>
  <c r="O2347" i="11"/>
  <c r="Q2347" i="11" s="1"/>
  <c r="O2331" i="11"/>
  <c r="Q2331" i="11" s="1"/>
  <c r="O2315" i="11"/>
  <c r="Q2315" i="11" s="1"/>
  <c r="O2299" i="11"/>
  <c r="Q2299" i="11" s="1"/>
  <c r="O2283" i="11"/>
  <c r="Q2283" i="11" s="1"/>
  <c r="O2267" i="11"/>
  <c r="Q2267" i="11" s="1"/>
  <c r="O2251" i="11"/>
  <c r="Q2251" i="11" s="1"/>
  <c r="O2235" i="11"/>
  <c r="Q2235" i="11" s="1"/>
  <c r="O2219" i="11"/>
  <c r="Q2219" i="11" s="1"/>
  <c r="O2203" i="11"/>
  <c r="Q2203" i="11" s="1"/>
  <c r="O2187" i="11"/>
  <c r="Q2187" i="11" s="1"/>
  <c r="O2171" i="11"/>
  <c r="Q2171" i="11" s="1"/>
  <c r="O2155" i="11"/>
  <c r="Q2155" i="11" s="1"/>
  <c r="O2139" i="11"/>
  <c r="Q2139" i="11" s="1"/>
  <c r="O2123" i="11"/>
  <c r="Q2123" i="11" s="1"/>
  <c r="O2107" i="11"/>
  <c r="Q2107" i="11" s="1"/>
  <c r="O2091" i="11"/>
  <c r="Q2091" i="11" s="1"/>
  <c r="O2075" i="11"/>
  <c r="Q2075" i="11" s="1"/>
  <c r="O2059" i="11"/>
  <c r="Q2059" i="11" s="1"/>
  <c r="O2043" i="11"/>
  <c r="Q2043" i="11" s="1"/>
  <c r="O2027" i="11"/>
  <c r="Q2027" i="11" s="1"/>
  <c r="O2011" i="11"/>
  <c r="Q2011" i="11" s="1"/>
  <c r="O1995" i="11"/>
  <c r="Q1995" i="11" s="1"/>
  <c r="O1979" i="11"/>
  <c r="Q1979" i="11" s="1"/>
  <c r="O1963" i="11"/>
  <c r="Q1963" i="11" s="1"/>
  <c r="O1947" i="11"/>
  <c r="Q1947" i="11" s="1"/>
  <c r="O1221" i="11"/>
  <c r="Q1221" i="11" s="1"/>
  <c r="O1134" i="11"/>
  <c r="Q1134" i="11" s="1"/>
  <c r="O833" i="11"/>
  <c r="Q833" i="11" s="1"/>
  <c r="O750" i="11"/>
  <c r="Q750" i="11" s="1"/>
  <c r="O542" i="11"/>
  <c r="Q542" i="11" s="1"/>
  <c r="O201" i="11"/>
  <c r="Q201" i="11" s="1"/>
  <c r="O3344" i="11"/>
  <c r="Q3344" i="11" s="1"/>
  <c r="O3328" i="11"/>
  <c r="Q3328" i="11" s="1"/>
  <c r="O3312" i="11"/>
  <c r="Q3312" i="11" s="1"/>
  <c r="O3296" i="11"/>
  <c r="Q3296" i="11" s="1"/>
  <c r="O3280" i="11"/>
  <c r="Q3280" i="11" s="1"/>
  <c r="O3264" i="11"/>
  <c r="Q3264" i="11" s="1"/>
  <c r="O3248" i="11"/>
  <c r="Q3248" i="11" s="1"/>
  <c r="O3232" i="11"/>
  <c r="Q3232" i="11" s="1"/>
  <c r="O3216" i="11"/>
  <c r="Q3216" i="11" s="1"/>
  <c r="O3200" i="11"/>
  <c r="Q3200" i="11" s="1"/>
  <c r="O3184" i="11"/>
  <c r="Q3184" i="11" s="1"/>
  <c r="O3168" i="11"/>
  <c r="Q3168" i="11" s="1"/>
  <c r="O3152" i="11"/>
  <c r="Q3152" i="11" s="1"/>
  <c r="O3136" i="11"/>
  <c r="Q3136" i="11" s="1"/>
  <c r="O3120" i="11"/>
  <c r="Q3120" i="11" s="1"/>
  <c r="O3104" i="11"/>
  <c r="Q3104" i="11" s="1"/>
  <c r="O3088" i="11"/>
  <c r="Q3088" i="11" s="1"/>
  <c r="O3072" i="11"/>
  <c r="Q3072" i="11" s="1"/>
  <c r="O3056" i="11"/>
  <c r="Q3056" i="11" s="1"/>
  <c r="O3040" i="11"/>
  <c r="Q3040" i="11" s="1"/>
  <c r="O3024" i="11"/>
  <c r="Q3024" i="11" s="1"/>
  <c r="O3008" i="11"/>
  <c r="Q3008" i="11" s="1"/>
  <c r="O2992" i="11"/>
  <c r="Q2992" i="11" s="1"/>
  <c r="O2976" i="11"/>
  <c r="Q2976" i="11" s="1"/>
  <c r="O2960" i="11"/>
  <c r="Q2960" i="11" s="1"/>
  <c r="O2944" i="11"/>
  <c r="Q2944" i="11" s="1"/>
  <c r="O2928" i="11"/>
  <c r="Q2928" i="11" s="1"/>
  <c r="O2912" i="11"/>
  <c r="Q2912" i="11" s="1"/>
  <c r="O2896" i="11"/>
  <c r="Q2896" i="11" s="1"/>
  <c r="O2880" i="11"/>
  <c r="Q2880" i="11" s="1"/>
  <c r="O2864" i="11"/>
  <c r="Q2864" i="11" s="1"/>
  <c r="O2848" i="11"/>
  <c r="Q2848" i="11" s="1"/>
  <c r="O2832" i="11"/>
  <c r="Q2832" i="11" s="1"/>
  <c r="O2816" i="11"/>
  <c r="Q2816" i="11" s="1"/>
  <c r="O2800" i="11"/>
  <c r="Q2800" i="11" s="1"/>
  <c r="O2784" i="11"/>
  <c r="Q2784" i="11" s="1"/>
  <c r="O2768" i="11"/>
  <c r="Q2768" i="11" s="1"/>
  <c r="O2752" i="11"/>
  <c r="Q2752" i="11" s="1"/>
  <c r="O2736" i="11"/>
  <c r="Q2736" i="11" s="1"/>
  <c r="O2720" i="11"/>
  <c r="Q2720" i="11" s="1"/>
  <c r="O2704" i="11"/>
  <c r="Q2704" i="11" s="1"/>
  <c r="O2688" i="11"/>
  <c r="Q2688" i="11" s="1"/>
  <c r="O2672" i="11"/>
  <c r="Q2672" i="11" s="1"/>
  <c r="O2656" i="11"/>
  <c r="Q2656" i="11" s="1"/>
  <c r="O2640" i="11"/>
  <c r="Q2640" i="11" s="1"/>
  <c r="O2624" i="11"/>
  <c r="Q2624" i="11" s="1"/>
  <c r="O2608" i="11"/>
  <c r="Q2608" i="11" s="1"/>
  <c r="O2592" i="11"/>
  <c r="Q2592" i="11" s="1"/>
  <c r="O2576" i="11"/>
  <c r="Q2576" i="11" s="1"/>
  <c r="O2560" i="11"/>
  <c r="Q2560" i="11" s="1"/>
  <c r="O2544" i="11"/>
  <c r="Q2544" i="11" s="1"/>
  <c r="O2528" i="11"/>
  <c r="Q2528" i="11" s="1"/>
  <c r="O2512" i="11"/>
  <c r="Q2512" i="11" s="1"/>
  <c r="O2496" i="11"/>
  <c r="Q2496" i="11" s="1"/>
  <c r="O2480" i="11"/>
  <c r="Q2480" i="11" s="1"/>
  <c r="O2464" i="11"/>
  <c r="Q2464" i="11" s="1"/>
  <c r="O2448" i="11"/>
  <c r="Q2448" i="11" s="1"/>
  <c r="O2432" i="11"/>
  <c r="Q2432" i="11" s="1"/>
  <c r="O2416" i="11"/>
  <c r="Q2416" i="11" s="1"/>
  <c r="O2400" i="11"/>
  <c r="Q2400" i="11" s="1"/>
  <c r="O2384" i="11"/>
  <c r="Q2384" i="11" s="1"/>
  <c r="O2368" i="11"/>
  <c r="Q2368" i="11" s="1"/>
  <c r="O2352" i="11"/>
  <c r="Q2352" i="11" s="1"/>
  <c r="O2336" i="11"/>
  <c r="Q2336" i="11" s="1"/>
  <c r="O2320" i="11"/>
  <c r="Q2320" i="11" s="1"/>
  <c r="O2304" i="11"/>
  <c r="Q2304" i="11" s="1"/>
  <c r="O2288" i="11"/>
  <c r="Q2288" i="11" s="1"/>
  <c r="O2272" i="11"/>
  <c r="Q2272" i="11" s="1"/>
  <c r="O2256" i="11"/>
  <c r="Q2256" i="11" s="1"/>
  <c r="O2240" i="11"/>
  <c r="Q2240" i="11" s="1"/>
  <c r="O2224" i="11"/>
  <c r="Q2224" i="11" s="1"/>
  <c r="O2208" i="11"/>
  <c r="Q2208" i="11" s="1"/>
  <c r="O2192" i="11"/>
  <c r="Q2192" i="11" s="1"/>
  <c r="O2176" i="11"/>
  <c r="Q2176" i="11" s="1"/>
  <c r="O2160" i="11"/>
  <c r="Q2160" i="11" s="1"/>
  <c r="O2144" i="11"/>
  <c r="Q2144" i="11" s="1"/>
  <c r="O2128" i="11"/>
  <c r="Q2128" i="11" s="1"/>
  <c r="O2112" i="11"/>
  <c r="Q2112" i="11" s="1"/>
  <c r="O2096" i="11"/>
  <c r="Q2096" i="11" s="1"/>
  <c r="O2080" i="11"/>
  <c r="Q2080" i="11" s="1"/>
  <c r="O2064" i="11"/>
  <c r="Q2064" i="11" s="1"/>
  <c r="O2048" i="11"/>
  <c r="Q2048" i="11" s="1"/>
  <c r="O2032" i="11"/>
  <c r="Q2032" i="11" s="1"/>
  <c r="O2016" i="11"/>
  <c r="Q2016" i="11" s="1"/>
  <c r="O2000" i="11"/>
  <c r="Q2000" i="11" s="1"/>
  <c r="O1984" i="11"/>
  <c r="Q1984" i="11" s="1"/>
  <c r="O1968" i="11"/>
  <c r="Q1968" i="11" s="1"/>
  <c r="O1952" i="11"/>
  <c r="Q1952" i="11" s="1"/>
  <c r="O1936" i="11"/>
  <c r="Q1936" i="11" s="1"/>
  <c r="O1883" i="11"/>
  <c r="Q1883" i="11" s="1"/>
  <c r="O1851" i="11"/>
  <c r="Q1851" i="11" s="1"/>
  <c r="O1819" i="11"/>
  <c r="Q1819" i="11" s="1"/>
  <c r="O1787" i="11"/>
  <c r="Q1787" i="11" s="1"/>
  <c r="O1755" i="11"/>
  <c r="Q1755" i="11" s="1"/>
  <c r="O1723" i="11"/>
  <c r="Q1723" i="11" s="1"/>
  <c r="O1691" i="11"/>
  <c r="Q1691" i="11" s="1"/>
  <c r="O1659" i="11"/>
  <c r="Q1659" i="11" s="1"/>
  <c r="O1627" i="11"/>
  <c r="Q1627" i="11" s="1"/>
  <c r="O1595" i="11"/>
  <c r="Q1595" i="11" s="1"/>
  <c r="O1557" i="11"/>
  <c r="Q1557" i="11" s="1"/>
  <c r="O1518" i="11"/>
  <c r="Q1518" i="11" s="1"/>
  <c r="O1479" i="11"/>
  <c r="Q1479" i="11" s="1"/>
  <c r="O1429" i="11"/>
  <c r="Q1429" i="11" s="1"/>
  <c r="O1390" i="11"/>
  <c r="Q1390" i="11" s="1"/>
  <c r="O1333" i="11"/>
  <c r="Q1333" i="11" s="1"/>
  <c r="O1273" i="11"/>
  <c r="Q1273" i="11" s="1"/>
  <c r="O1214" i="11"/>
  <c r="Q1214" i="11" s="1"/>
  <c r="O1148" i="11"/>
  <c r="Q1148" i="11" s="1"/>
  <c r="O1089" i="11"/>
  <c r="Q1089" i="11" s="1"/>
  <c r="O1017" i="11"/>
  <c r="Q1017" i="11" s="1"/>
  <c r="O952" i="11"/>
  <c r="Q952" i="11" s="1"/>
  <c r="O826" i="11"/>
  <c r="Q826" i="11" s="1"/>
  <c r="O636" i="11"/>
  <c r="Q636" i="11" s="1"/>
  <c r="O369" i="11"/>
  <c r="Q369" i="11" s="1"/>
  <c r="O126" i="11"/>
  <c r="Q126" i="11" s="1"/>
  <c r="O1922" i="11"/>
  <c r="Q1922" i="11" s="1"/>
  <c r="O1906" i="11"/>
  <c r="Q1906" i="11" s="1"/>
  <c r="O1890" i="11"/>
  <c r="Q1890" i="11" s="1"/>
  <c r="O1874" i="11"/>
  <c r="Q1874" i="11" s="1"/>
  <c r="O1858" i="11"/>
  <c r="Q1858" i="11" s="1"/>
  <c r="O1842" i="11"/>
  <c r="Q1842" i="11" s="1"/>
  <c r="O1826" i="11"/>
  <c r="Q1826" i="11" s="1"/>
  <c r="O1810" i="11"/>
  <c r="Q1810" i="11" s="1"/>
  <c r="O1794" i="11"/>
  <c r="Q1794" i="11" s="1"/>
  <c r="O1778" i="11"/>
  <c r="Q1778" i="11" s="1"/>
  <c r="O1762" i="11"/>
  <c r="Q1762" i="11" s="1"/>
  <c r="O1746" i="11"/>
  <c r="Q1746" i="11" s="1"/>
  <c r="O1730" i="11"/>
  <c r="Q1730" i="11" s="1"/>
  <c r="O1714" i="11"/>
  <c r="Q1714" i="11" s="1"/>
  <c r="O1698" i="11"/>
  <c r="Q1698" i="11" s="1"/>
  <c r="O1682" i="11"/>
  <c r="Q1682" i="11" s="1"/>
  <c r="O1666" i="11"/>
  <c r="Q1666" i="11" s="1"/>
  <c r="O1650" i="11"/>
  <c r="Q1650" i="11" s="1"/>
  <c r="O1634" i="11"/>
  <c r="Q1634" i="11" s="1"/>
  <c r="O1618" i="11"/>
  <c r="Q1618" i="11" s="1"/>
  <c r="O1602" i="11"/>
  <c r="Q1602" i="11" s="1"/>
  <c r="O1579" i="11"/>
  <c r="Q1579" i="11" s="1"/>
  <c r="O1561" i="11"/>
  <c r="Q1561" i="11" s="1"/>
  <c r="O1538" i="11"/>
  <c r="Q1538" i="11" s="1"/>
  <c r="O1515" i="11"/>
  <c r="Q1515" i="11" s="1"/>
  <c r="O1497" i="11"/>
  <c r="Q1497" i="11" s="1"/>
  <c r="O1474" i="11"/>
  <c r="Q1474" i="11" s="1"/>
  <c r="O1451" i="11"/>
  <c r="Q1451" i="11" s="1"/>
  <c r="O1433" i="11"/>
  <c r="Q1433" i="11" s="1"/>
  <c r="O1410" i="11"/>
  <c r="Q1410" i="11" s="1"/>
  <c r="O1387" i="11"/>
  <c r="Q1387" i="11" s="1"/>
  <c r="O1355" i="11"/>
  <c r="Q1355" i="11" s="1"/>
  <c r="O1323" i="11"/>
  <c r="Q1323" i="11" s="1"/>
  <c r="O1264" i="11"/>
  <c r="Q1264" i="11" s="1"/>
  <c r="O1184" i="11"/>
  <c r="Q1184" i="11" s="1"/>
  <c r="O1080" i="11"/>
  <c r="Q1080" i="11" s="1"/>
  <c r="O1008" i="11"/>
  <c r="Q1008" i="11" s="1"/>
  <c r="O928" i="11"/>
  <c r="Q928" i="11" s="1"/>
  <c r="O876" i="11"/>
  <c r="Q876" i="11" s="1"/>
  <c r="O817" i="11"/>
  <c r="Q817" i="11" s="1"/>
  <c r="O786" i="11"/>
  <c r="Q786" i="11" s="1"/>
  <c r="O729" i="11"/>
  <c r="Q729" i="11" s="1"/>
  <c r="O672" i="11"/>
  <c r="Q672" i="11" s="1"/>
  <c r="O620" i="11"/>
  <c r="Q620" i="11" s="1"/>
  <c r="O554" i="11"/>
  <c r="Q554" i="11" s="1"/>
  <c r="O466" i="11"/>
  <c r="Q466" i="11" s="1"/>
  <c r="O376" i="11"/>
  <c r="Q376" i="11" s="1"/>
  <c r="O114" i="11"/>
  <c r="Q114" i="11" s="1"/>
  <c r="O1892" i="11"/>
  <c r="Q1892" i="11" s="1"/>
  <c r="O1876" i="11"/>
  <c r="Q1876" i="11" s="1"/>
  <c r="O1860" i="11"/>
  <c r="Q1860" i="11" s="1"/>
  <c r="O1844" i="11"/>
  <c r="Q1844" i="11" s="1"/>
  <c r="O1828" i="11"/>
  <c r="Q1828" i="11" s="1"/>
  <c r="O1812" i="11"/>
  <c r="Q1812" i="11" s="1"/>
  <c r="O1796" i="11"/>
  <c r="Q1796" i="11" s="1"/>
  <c r="O1780" i="11"/>
  <c r="Q1780" i="11" s="1"/>
  <c r="O1764" i="11"/>
  <c r="Q1764" i="11" s="1"/>
  <c r="O1748" i="11"/>
  <c r="Q1748" i="11" s="1"/>
  <c r="O1732" i="11"/>
  <c r="Q1732" i="11" s="1"/>
  <c r="O1716" i="11"/>
  <c r="Q1716" i="11" s="1"/>
  <c r="O1700" i="11"/>
  <c r="Q1700" i="11" s="1"/>
  <c r="O1684" i="11"/>
  <c r="Q1684" i="11" s="1"/>
  <c r="O1668" i="11"/>
  <c r="Q1668" i="11" s="1"/>
  <c r="O1652" i="11"/>
  <c r="Q1652" i="11" s="1"/>
  <c r="O1636" i="11"/>
  <c r="Q1636" i="11" s="1"/>
  <c r="O1620" i="11"/>
  <c r="Q1620" i="11" s="1"/>
  <c r="O1604" i="11"/>
  <c r="Q1604" i="11" s="1"/>
  <c r="O1587" i="11"/>
  <c r="Q1587" i="11" s="1"/>
  <c r="O1569" i="11"/>
  <c r="Q1569" i="11" s="1"/>
  <c r="O1546" i="11"/>
  <c r="Q1546" i="11" s="1"/>
  <c r="O1523" i="11"/>
  <c r="Q1523" i="11" s="1"/>
  <c r="O1505" i="11"/>
  <c r="Q1505" i="11" s="1"/>
  <c r="O1482" i="11"/>
  <c r="Q1482" i="11" s="1"/>
  <c r="O1459" i="11"/>
  <c r="Q1459" i="11" s="1"/>
  <c r="O1441" i="11"/>
  <c r="Q1441" i="11" s="1"/>
  <c r="O1418" i="11"/>
  <c r="Q1418" i="11" s="1"/>
  <c r="O1395" i="11"/>
  <c r="Q1395" i="11" s="1"/>
  <c r="O1377" i="11"/>
  <c r="Q1377" i="11" s="1"/>
  <c r="O1367" i="11"/>
  <c r="Q1367" i="11" s="1"/>
  <c r="O1335" i="11"/>
  <c r="Q1335" i="11" s="1"/>
  <c r="O1303" i="11"/>
  <c r="Q1303" i="11" s="1"/>
  <c r="O1216" i="11"/>
  <c r="Q1216" i="11" s="1"/>
  <c r="O1138" i="11"/>
  <c r="Q1138" i="11" s="1"/>
  <c r="O1066" i="11"/>
  <c r="Q1066" i="11" s="1"/>
  <c r="O938" i="11"/>
  <c r="Q938" i="11" s="1"/>
  <c r="O866" i="11"/>
  <c r="Q866" i="11" s="1"/>
  <c r="O798" i="11"/>
  <c r="Q798" i="11" s="1"/>
  <c r="O682" i="11"/>
  <c r="Q682" i="11" s="1"/>
  <c r="O610" i="11"/>
  <c r="Q610" i="11" s="1"/>
  <c r="O485" i="11"/>
  <c r="Q485" i="11" s="1"/>
  <c r="O362" i="11"/>
  <c r="Q362" i="11" s="1"/>
  <c r="O226" i="11"/>
  <c r="Q226" i="11" s="1"/>
  <c r="O1933" i="11"/>
  <c r="Q1933" i="11" s="1"/>
  <c r="O1917" i="11"/>
  <c r="Q1917" i="11" s="1"/>
  <c r="O1901" i="11"/>
  <c r="Q1901" i="11" s="1"/>
  <c r="O1885" i="11"/>
  <c r="Q1885" i="11" s="1"/>
  <c r="O1869" i="11"/>
  <c r="Q1869" i="11" s="1"/>
  <c r="O1853" i="11"/>
  <c r="Q1853" i="11" s="1"/>
  <c r="O1837" i="11"/>
  <c r="Q1837" i="11" s="1"/>
  <c r="O1821" i="11"/>
  <c r="Q1821" i="11" s="1"/>
  <c r="O1805" i="11"/>
  <c r="Q1805" i="11" s="1"/>
  <c r="O1789" i="11"/>
  <c r="Q1789" i="11" s="1"/>
  <c r="O1773" i="11"/>
  <c r="Q1773" i="11" s="1"/>
  <c r="O1757" i="11"/>
  <c r="Q1757" i="11" s="1"/>
  <c r="O1741" i="11"/>
  <c r="Q1741" i="11" s="1"/>
  <c r="O1725" i="11"/>
  <c r="Q1725" i="11" s="1"/>
  <c r="O1709" i="11"/>
  <c r="Q1709" i="11" s="1"/>
  <c r="O1693" i="11"/>
  <c r="Q1693" i="11" s="1"/>
  <c r="O1677" i="11"/>
  <c r="Q1677" i="11" s="1"/>
  <c r="O1661" i="11"/>
  <c r="Q1661" i="11" s="1"/>
  <c r="O1645" i="11"/>
  <c r="Q1645" i="11" s="1"/>
  <c r="O1629" i="11"/>
  <c r="Q1629" i="11" s="1"/>
  <c r="O1613" i="11"/>
  <c r="Q1613" i="11" s="1"/>
  <c r="O1597" i="11"/>
  <c r="Q1597" i="11" s="1"/>
  <c r="O1581" i="11"/>
  <c r="Q1581" i="11" s="1"/>
  <c r="O1558" i="11"/>
  <c r="Q1558" i="11" s="1"/>
  <c r="O1535" i="11"/>
  <c r="Q1535" i="11" s="1"/>
  <c r="O1517" i="11"/>
  <c r="Q1517" i="11" s="1"/>
  <c r="O1494" i="11"/>
  <c r="Q1494" i="11" s="1"/>
  <c r="O1471" i="11"/>
  <c r="Q1471" i="11" s="1"/>
  <c r="O1453" i="11"/>
  <c r="Q1453" i="11" s="1"/>
  <c r="O1430" i="11"/>
  <c r="Q1430" i="11" s="1"/>
  <c r="O1407" i="11"/>
  <c r="Q1407" i="11" s="1"/>
  <c r="O1389" i="11"/>
  <c r="Q1389" i="11" s="1"/>
  <c r="O1362" i="11"/>
  <c r="Q1362" i="11" s="1"/>
  <c r="O1334" i="11"/>
  <c r="Q1334" i="11" s="1"/>
  <c r="O1311" i="11"/>
  <c r="Q1311" i="11" s="1"/>
  <c r="O1253" i="11"/>
  <c r="Q1253" i="11" s="1"/>
  <c r="O1224" i="11"/>
  <c r="Q1224" i="11" s="1"/>
  <c r="O1193" i="11"/>
  <c r="Q1193" i="11" s="1"/>
  <c r="O1137" i="11"/>
  <c r="Q1137" i="11" s="1"/>
  <c r="O1106" i="11"/>
  <c r="Q1106" i="11" s="1"/>
  <c r="O1068" i="11"/>
  <c r="Q1068" i="11" s="1"/>
  <c r="O1036" i="11"/>
  <c r="Q1036" i="11" s="1"/>
  <c r="O984" i="11"/>
  <c r="Q984" i="11" s="1"/>
  <c r="O933" i="11"/>
  <c r="Q933" i="11" s="1"/>
  <c r="O840" i="11"/>
  <c r="Q840" i="11" s="1"/>
  <c r="O745" i="11"/>
  <c r="Q745" i="11" s="1"/>
  <c r="O677" i="11"/>
  <c r="Q677" i="11" s="1"/>
  <c r="O584" i="11"/>
  <c r="Q584" i="11" s="1"/>
  <c r="O473" i="11"/>
  <c r="Q473" i="11" s="1"/>
  <c r="O345" i="11"/>
  <c r="Q345" i="11" s="1"/>
  <c r="O297" i="11"/>
  <c r="Q297" i="11" s="1"/>
  <c r="O188" i="11"/>
  <c r="Q188" i="11" s="1"/>
  <c r="O129" i="11"/>
  <c r="Q129" i="11" s="1"/>
  <c r="O57" i="11"/>
  <c r="Q57" i="11" s="1"/>
  <c r="O1361" i="11"/>
  <c r="Q1361" i="11" s="1"/>
  <c r="O1338" i="11"/>
  <c r="Q1338" i="11" s="1"/>
  <c r="O1315" i="11"/>
  <c r="Q1315" i="11" s="1"/>
  <c r="O1289" i="11"/>
  <c r="Q1289" i="11" s="1"/>
  <c r="O1232" i="11"/>
  <c r="Q1232" i="11" s="1"/>
  <c r="O1180" i="11"/>
  <c r="Q1180" i="11" s="1"/>
  <c r="O1128" i="11"/>
  <c r="Q1128" i="11" s="1"/>
  <c r="O1090" i="11"/>
  <c r="Q1090" i="11" s="1"/>
  <c r="O1033" i="11"/>
  <c r="Q1033" i="11" s="1"/>
  <c r="O976" i="11"/>
  <c r="Q976" i="11" s="1"/>
  <c r="O924" i="11"/>
  <c r="Q924" i="11" s="1"/>
  <c r="O872" i="11"/>
  <c r="Q872" i="11" s="1"/>
  <c r="O834" i="11"/>
  <c r="Q834" i="11" s="1"/>
  <c r="O777" i="11"/>
  <c r="Q777" i="11" s="1"/>
  <c r="O720" i="11"/>
  <c r="Q720" i="11" s="1"/>
  <c r="O668" i="11"/>
  <c r="Q668" i="11" s="1"/>
  <c r="O616" i="11"/>
  <c r="Q616" i="11" s="1"/>
  <c r="O578" i="11"/>
  <c r="Q578" i="11" s="1"/>
  <c r="O521" i="11"/>
  <c r="Q521" i="11" s="1"/>
  <c r="O464" i="11"/>
  <c r="Q464" i="11" s="1"/>
  <c r="O412" i="11"/>
  <c r="Q412" i="11" s="1"/>
  <c r="O360" i="11"/>
  <c r="Q360" i="11" s="1"/>
  <c r="O314" i="11"/>
  <c r="Q314" i="11" s="1"/>
  <c r="O208" i="11"/>
  <c r="Q208" i="11" s="1"/>
  <c r="O130" i="11"/>
  <c r="Q130" i="11" s="1"/>
  <c r="O58" i="11"/>
  <c r="Q58" i="11" s="1"/>
  <c r="O520" i="11"/>
  <c r="Q520" i="11" s="1"/>
  <c r="O482" i="11"/>
  <c r="Q482" i="11" s="1"/>
  <c r="O425" i="11"/>
  <c r="Q425" i="11" s="1"/>
  <c r="O368" i="11"/>
  <c r="Q368" i="11" s="1"/>
  <c r="O322" i="11"/>
  <c r="Q322" i="11" s="1"/>
  <c r="O250" i="11"/>
  <c r="Q250" i="11" s="1"/>
  <c r="O144" i="11"/>
  <c r="Q144" i="11" s="1"/>
  <c r="O66" i="11"/>
  <c r="Q66" i="11" s="1"/>
  <c r="O953" i="11"/>
  <c r="Q953" i="11" s="1"/>
  <c r="O896" i="11"/>
  <c r="Q896" i="11" s="1"/>
  <c r="O844" i="11"/>
  <c r="Q844" i="11" s="1"/>
  <c r="O792" i="11"/>
  <c r="Q792" i="11" s="1"/>
  <c r="O754" i="11"/>
  <c r="Q754" i="11" s="1"/>
  <c r="O697" i="11"/>
  <c r="Q697" i="11" s="1"/>
  <c r="O640" i="11"/>
  <c r="Q640" i="11" s="1"/>
  <c r="O588" i="11"/>
  <c r="Q588" i="11" s="1"/>
  <c r="O536" i="11"/>
  <c r="Q536" i="11" s="1"/>
  <c r="O498" i="11"/>
  <c r="Q498" i="11" s="1"/>
  <c r="O441" i="11"/>
  <c r="Q441" i="11" s="1"/>
  <c r="O384" i="11"/>
  <c r="Q384" i="11" s="1"/>
  <c r="O321" i="11"/>
  <c r="Q321" i="11" s="1"/>
  <c r="O290" i="11"/>
  <c r="Q290" i="11" s="1"/>
  <c r="O252" i="11"/>
  <c r="Q252" i="11" s="1"/>
  <c r="O220" i="11"/>
  <c r="Q220" i="11" s="1"/>
  <c r="O168" i="11"/>
  <c r="Q168" i="11" s="1"/>
  <c r="O137" i="11"/>
  <c r="Q137" i="11" s="1"/>
  <c r="O105" i="11"/>
  <c r="Q105" i="11" s="1"/>
  <c r="O50" i="11"/>
  <c r="Q50" i="11" s="1"/>
  <c r="O300" i="11"/>
  <c r="Q300" i="11" s="1"/>
  <c r="O248" i="11"/>
  <c r="Q248" i="11" s="1"/>
  <c r="O210" i="11"/>
  <c r="Q210" i="11" s="1"/>
  <c r="O153" i="11"/>
  <c r="Q153" i="11" s="1"/>
  <c r="O96" i="11"/>
  <c r="Q96" i="11" s="1"/>
  <c r="O44" i="11"/>
  <c r="Q44" i="11" s="1"/>
  <c r="O40" i="11"/>
  <c r="Q40" i="11" s="1"/>
  <c r="O8357" i="11"/>
  <c r="Q8357" i="11" s="1"/>
  <c r="O8292" i="11"/>
  <c r="Q8292" i="11" s="1"/>
  <c r="O8052" i="11"/>
  <c r="Q8052" i="11" s="1"/>
  <c r="O8004" i="11"/>
  <c r="Q8004" i="11" s="1"/>
  <c r="O7988" i="11"/>
  <c r="Q7988" i="11" s="1"/>
  <c r="O7964" i="11"/>
  <c r="Q7964" i="11" s="1"/>
  <c r="O7940" i="11"/>
  <c r="Q7940" i="11" s="1"/>
  <c r="O7900" i="11"/>
  <c r="Q7900" i="11" s="1"/>
  <c r="O7884" i="11"/>
  <c r="Q7884" i="11" s="1"/>
  <c r="O7860" i="11"/>
  <c r="Q7860" i="11" s="1"/>
  <c r="O7836" i="11"/>
  <c r="Q7836" i="11" s="1"/>
  <c r="O7820" i="11"/>
  <c r="Q7820" i="11" s="1"/>
  <c r="O7796" i="11"/>
  <c r="Q7796" i="11" s="1"/>
  <c r="O7780" i="11"/>
  <c r="Q7780" i="11" s="1"/>
  <c r="O7756" i="11"/>
  <c r="Q7756" i="11" s="1"/>
  <c r="O7562" i="11"/>
  <c r="Q7562" i="11" s="1"/>
  <c r="O7514" i="11"/>
  <c r="Q7514" i="11" s="1"/>
  <c r="O7482" i="11"/>
  <c r="Q7482" i="11" s="1"/>
  <c r="O7434" i="11"/>
  <c r="Q7434" i="11" s="1"/>
  <c r="O7402" i="11"/>
  <c r="Q7402" i="11" s="1"/>
  <c r="O7354" i="11"/>
  <c r="Q7354" i="11" s="1"/>
  <c r="O7322" i="11"/>
  <c r="Q7322" i="11" s="1"/>
  <c r="O7290" i="11"/>
  <c r="Q7290" i="11" s="1"/>
  <c r="O7242" i="11"/>
  <c r="Q7242" i="11" s="1"/>
  <c r="O7178" i="11"/>
  <c r="Q7178" i="11" s="1"/>
  <c r="O7130" i="11"/>
  <c r="Q7130" i="11" s="1"/>
  <c r="O7098" i="11"/>
  <c r="Q7098" i="11" s="1"/>
  <c r="O7066" i="11"/>
  <c r="Q7066" i="11" s="1"/>
  <c r="O7018" i="11"/>
  <c r="Q7018" i="11" s="1"/>
  <c r="O6986" i="11"/>
  <c r="Q6986" i="11" s="1"/>
  <c r="O6954" i="11"/>
  <c r="Q6954" i="11" s="1"/>
  <c r="O6922" i="11"/>
  <c r="Q6922" i="11" s="1"/>
  <c r="O6874" i="11"/>
  <c r="Q6874" i="11" s="1"/>
  <c r="O6810" i="11"/>
  <c r="Q6810" i="11" s="1"/>
  <c r="O6762" i="11"/>
  <c r="Q6762" i="11" s="1"/>
  <c r="O6714" i="11"/>
  <c r="Q6714" i="11" s="1"/>
  <c r="O6682" i="11"/>
  <c r="Q6682" i="11" s="1"/>
  <c r="O6634" i="11"/>
  <c r="Q6634" i="11" s="1"/>
  <c r="O6602" i="11"/>
  <c r="Q6602" i="11" s="1"/>
  <c r="O6570" i="11"/>
  <c r="Q6570" i="11" s="1"/>
  <c r="O6540" i="11"/>
  <c r="Q6540" i="11" s="1"/>
  <c r="O6516" i="11"/>
  <c r="Q6516" i="11" s="1"/>
  <c r="O6484" i="11"/>
  <c r="Q6484" i="11" s="1"/>
  <c r="O6452" i="11"/>
  <c r="Q6452" i="11" s="1"/>
  <c r="O6428" i="11"/>
  <c r="Q6428" i="11" s="1"/>
  <c r="O6404" i="11"/>
  <c r="Q6404" i="11" s="1"/>
  <c r="O6388" i="11"/>
  <c r="Q6388" i="11" s="1"/>
  <c r="O6364" i="11"/>
  <c r="Q6364" i="11" s="1"/>
  <c r="O6348" i="11"/>
  <c r="Q6348" i="11" s="1"/>
  <c r="O6332" i="11"/>
  <c r="Q6332" i="11" s="1"/>
  <c r="O6316" i="11"/>
  <c r="Q6316" i="11" s="1"/>
  <c r="O6292" i="11"/>
  <c r="Q6292" i="11" s="1"/>
  <c r="O6260" i="11"/>
  <c r="Q6260" i="11" s="1"/>
  <c r="O6244" i="11"/>
  <c r="Q6244" i="11" s="1"/>
  <c r="O6220" i="11"/>
  <c r="Q6220" i="11" s="1"/>
  <c r="O6196" i="11"/>
  <c r="Q6196" i="11" s="1"/>
  <c r="O6172" i="11"/>
  <c r="Q6172" i="11" s="1"/>
  <c r="O6156" i="11"/>
  <c r="Q6156" i="11" s="1"/>
  <c r="O6140" i="11"/>
  <c r="Q6140" i="11" s="1"/>
  <c r="O6116" i="11"/>
  <c r="Q6116" i="11" s="1"/>
  <c r="O6100" i="11"/>
  <c r="Q6100" i="11" s="1"/>
  <c r="O6068" i="11"/>
  <c r="Q6068" i="11" s="1"/>
  <c r="O6044" i="11"/>
  <c r="Q6044" i="11" s="1"/>
  <c r="O6020" i="11"/>
  <c r="Q6020" i="11" s="1"/>
  <c r="O6004" i="11"/>
  <c r="Q6004" i="11" s="1"/>
  <c r="O5980" i="11"/>
  <c r="Q5980" i="11" s="1"/>
  <c r="O5964" i="11"/>
  <c r="Q5964" i="11" s="1"/>
  <c r="O5956" i="11"/>
  <c r="Q5956" i="11" s="1"/>
  <c r="O5940" i="11"/>
  <c r="Q5940" i="11" s="1"/>
  <c r="O5916" i="11"/>
  <c r="Q5916" i="11" s="1"/>
  <c r="O5892" i="11"/>
  <c r="Q5892" i="11" s="1"/>
  <c r="O5868" i="11"/>
  <c r="Q5868" i="11" s="1"/>
  <c r="O5844" i="11"/>
  <c r="Q5844" i="11" s="1"/>
  <c r="O5820" i="11"/>
  <c r="Q5820" i="11" s="1"/>
  <c r="O5804" i="11"/>
  <c r="Q5804" i="11" s="1"/>
  <c r="O5780" i="11"/>
  <c r="Q5780" i="11" s="1"/>
  <c r="O5764" i="11"/>
  <c r="Q5764" i="11" s="1"/>
  <c r="O5748" i="11"/>
  <c r="Q5748" i="11" s="1"/>
  <c r="O5724" i="11"/>
  <c r="Q5724" i="11" s="1"/>
  <c r="O5700" i="11"/>
  <c r="Q5700" i="11" s="1"/>
  <c r="O5668" i="11"/>
  <c r="Q5668" i="11" s="1"/>
  <c r="O5652" i="11"/>
  <c r="Q5652" i="11" s="1"/>
  <c r="O5628" i="11"/>
  <c r="Q5628" i="11" s="1"/>
  <c r="O5612" i="11"/>
  <c r="Q5612" i="11" s="1"/>
  <c r="O5596" i="11"/>
  <c r="Q5596" i="11" s="1"/>
  <c r="O5580" i="11"/>
  <c r="Q5580" i="11" s="1"/>
  <c r="O5564" i="11"/>
  <c r="Q5564" i="11" s="1"/>
  <c r="O5540" i="11"/>
  <c r="Q5540" i="11" s="1"/>
  <c r="O5516" i="11"/>
  <c r="Q5516" i="11" s="1"/>
  <c r="O5484" i="11"/>
  <c r="Q5484" i="11" s="1"/>
  <c r="O5460" i="11"/>
  <c r="Q5460" i="11" s="1"/>
  <c r="O5444" i="11"/>
  <c r="Q5444" i="11" s="1"/>
  <c r="O5420" i="11"/>
  <c r="Q5420" i="11" s="1"/>
  <c r="O5404" i="11"/>
  <c r="Q5404" i="11" s="1"/>
  <c r="O5388" i="11"/>
  <c r="Q5388" i="11" s="1"/>
  <c r="O5364" i="11"/>
  <c r="Q5364" i="11" s="1"/>
  <c r="O5340" i="11"/>
  <c r="Q5340" i="11" s="1"/>
  <c r="O5308" i="11"/>
  <c r="Q5308" i="11" s="1"/>
  <c r="O5284" i="11"/>
  <c r="Q5284" i="11" s="1"/>
  <c r="O5260" i="11"/>
  <c r="Q5260" i="11" s="1"/>
  <c r="O5236" i="11"/>
  <c r="Q5236" i="11" s="1"/>
  <c r="O5220" i="11"/>
  <c r="Q5220" i="11" s="1"/>
  <c r="O5204" i="11"/>
  <c r="Q5204" i="11" s="1"/>
  <c r="O5188" i="11"/>
  <c r="Q5188" i="11" s="1"/>
  <c r="O5156" i="11"/>
  <c r="Q5156" i="11" s="1"/>
  <c r="O5124" i="11"/>
  <c r="Q5124" i="11" s="1"/>
  <c r="O3633" i="11"/>
  <c r="Q3633" i="11" s="1"/>
  <c r="O5056" i="11"/>
  <c r="Q5056" i="11" s="1"/>
  <c r="O4992" i="11"/>
  <c r="Q4992" i="11" s="1"/>
  <c r="O7540" i="11"/>
  <c r="Q7540" i="11" s="1"/>
  <c r="O7508" i="11"/>
  <c r="Q7508" i="11" s="1"/>
  <c r="O7460" i="11"/>
  <c r="Q7460" i="11" s="1"/>
  <c r="O7412" i="11"/>
  <c r="Q7412" i="11" s="1"/>
  <c r="O7348" i="11"/>
  <c r="Q7348" i="11" s="1"/>
  <c r="O7300" i="11"/>
  <c r="Q7300" i="11" s="1"/>
  <c r="O7268" i="11"/>
  <c r="Q7268" i="11" s="1"/>
  <c r="O7220" i="11"/>
  <c r="Q7220" i="11" s="1"/>
  <c r="O7188" i="11"/>
  <c r="Q7188" i="11" s="1"/>
  <c r="O7172" i="11"/>
  <c r="Q7172" i="11" s="1"/>
  <c r="O7124" i="11"/>
  <c r="Q7124" i="11" s="1"/>
  <c r="O7060" i="11"/>
  <c r="Q7060" i="11" s="1"/>
  <c r="O6980" i="11"/>
  <c r="Q6980" i="11" s="1"/>
  <c r="O6948" i="11"/>
  <c r="Q6948" i="11" s="1"/>
  <c r="O6900" i="11"/>
  <c r="Q6900" i="11" s="1"/>
  <c r="O6868" i="11"/>
  <c r="Q6868" i="11" s="1"/>
  <c r="O6836" i="11"/>
  <c r="Q6836" i="11" s="1"/>
  <c r="O6804" i="11"/>
  <c r="Q6804" i="11" s="1"/>
  <c r="O6772" i="11"/>
  <c r="Q6772" i="11" s="1"/>
  <c r="O6724" i="11"/>
  <c r="Q6724" i="11" s="1"/>
  <c r="O6628" i="11"/>
  <c r="Q6628" i="11" s="1"/>
  <c r="O6580" i="11"/>
  <c r="Q6580" i="11" s="1"/>
  <c r="O6548" i="11"/>
  <c r="Q6548" i="11" s="1"/>
  <c r="O6521" i="11"/>
  <c r="Q6521" i="11" s="1"/>
  <c r="O6505" i="11"/>
  <c r="Q6505" i="11" s="1"/>
  <c r="O6489" i="11"/>
  <c r="Q6489" i="11" s="1"/>
  <c r="O6465" i="11"/>
  <c r="Q6465" i="11" s="1"/>
  <c r="O6441" i="11"/>
  <c r="Q6441" i="11" s="1"/>
  <c r="O6409" i="11"/>
  <c r="Q6409" i="11" s="1"/>
  <c r="O6385" i="11"/>
  <c r="Q6385" i="11" s="1"/>
  <c r="O6369" i="11"/>
  <c r="Q6369" i="11" s="1"/>
  <c r="O6353" i="11"/>
  <c r="Q6353" i="11" s="1"/>
  <c r="O6329" i="11"/>
  <c r="Q6329" i="11" s="1"/>
  <c r="O6313" i="11"/>
  <c r="Q6313" i="11" s="1"/>
  <c r="O6297" i="11"/>
  <c r="Q6297" i="11" s="1"/>
  <c r="O6273" i="11"/>
  <c r="Q6273" i="11" s="1"/>
  <c r="O6241" i="11"/>
  <c r="Q6241" i="11" s="1"/>
  <c r="O6209" i="11"/>
  <c r="Q6209" i="11" s="1"/>
  <c r="O6193" i="11"/>
  <c r="Q6193" i="11" s="1"/>
  <c r="O6169" i="11"/>
  <c r="Q6169" i="11" s="1"/>
  <c r="O6153" i="11"/>
  <c r="Q6153" i="11" s="1"/>
  <c r="O6137" i="11"/>
  <c r="Q6137" i="11" s="1"/>
  <c r="O6121" i="11"/>
  <c r="Q6121" i="11" s="1"/>
  <c r="O6105" i="11"/>
  <c r="Q6105" i="11" s="1"/>
  <c r="O6081" i="11"/>
  <c r="Q6081" i="11" s="1"/>
  <c r="O6057" i="11"/>
  <c r="Q6057" i="11" s="1"/>
  <c r="O6025" i="11"/>
  <c r="Q6025" i="11" s="1"/>
  <c r="O6001" i="11"/>
  <c r="Q6001" i="11" s="1"/>
  <c r="O5977" i="11"/>
  <c r="Q5977" i="11" s="1"/>
  <c r="O5961" i="11"/>
  <c r="Q5961" i="11" s="1"/>
  <c r="O5945" i="11"/>
  <c r="Q5945" i="11" s="1"/>
  <c r="O5929" i="11"/>
  <c r="Q5929" i="11" s="1"/>
  <c r="O5913" i="11"/>
  <c r="Q5913" i="11" s="1"/>
  <c r="O5897" i="11"/>
  <c r="Q5897" i="11" s="1"/>
  <c r="O5873" i="11"/>
  <c r="Q5873" i="11" s="1"/>
  <c r="O5841" i="11"/>
  <c r="Q5841" i="11" s="1"/>
  <c r="O5809" i="11"/>
  <c r="Q5809" i="11" s="1"/>
  <c r="O5793" i="11"/>
  <c r="Q5793" i="11" s="1"/>
  <c r="O5769" i="11"/>
  <c r="Q5769" i="11" s="1"/>
  <c r="O5753" i="11"/>
  <c r="Q5753" i="11" s="1"/>
  <c r="O5729" i="11"/>
  <c r="Q5729" i="11" s="1"/>
  <c r="O5713" i="11"/>
  <c r="Q5713" i="11" s="1"/>
  <c r="O5697" i="11"/>
  <c r="Q5697" i="11" s="1"/>
  <c r="O5673" i="11"/>
  <c r="Q5673" i="11" s="1"/>
  <c r="O5649" i="11"/>
  <c r="Q5649" i="11" s="1"/>
  <c r="O5617" i="11"/>
  <c r="Q5617" i="11" s="1"/>
  <c r="O5593" i="11"/>
  <c r="Q5593" i="11" s="1"/>
  <c r="O5577" i="11"/>
  <c r="Q5577" i="11" s="1"/>
  <c r="O5561" i="11"/>
  <c r="Q5561" i="11" s="1"/>
  <c r="O5545" i="11"/>
  <c r="Q5545" i="11" s="1"/>
  <c r="O5521" i="11"/>
  <c r="Q5521" i="11" s="1"/>
  <c r="O5505" i="11"/>
  <c r="Q5505" i="11" s="1"/>
  <c r="O5481" i="11"/>
  <c r="Q5481" i="11" s="1"/>
  <c r="O5457" i="11"/>
  <c r="Q5457" i="11" s="1"/>
  <c r="O5433" i="11"/>
  <c r="Q5433" i="11" s="1"/>
  <c r="O5409" i="11"/>
  <c r="Q5409" i="11" s="1"/>
  <c r="O5393" i="11"/>
  <c r="Q5393" i="11" s="1"/>
  <c r="O5369" i="11"/>
  <c r="Q5369" i="11" s="1"/>
  <c r="O5353" i="11"/>
  <c r="Q5353" i="11" s="1"/>
  <c r="O5329" i="11"/>
  <c r="Q5329" i="11" s="1"/>
  <c r="O5313" i="11"/>
  <c r="Q5313" i="11" s="1"/>
  <c r="O5297" i="11"/>
  <c r="Q5297" i="11" s="1"/>
  <c r="O5273" i="11"/>
  <c r="Q5273" i="11" s="1"/>
  <c r="O5241" i="11"/>
  <c r="Q5241" i="11" s="1"/>
  <c r="O5217" i="11"/>
  <c r="Q5217" i="11" s="1"/>
  <c r="O5193" i="11"/>
  <c r="Q5193" i="11" s="1"/>
  <c r="O5169" i="11"/>
  <c r="Q5169" i="11" s="1"/>
  <c r="O5153" i="11"/>
  <c r="Q5153" i="11" s="1"/>
  <c r="O5129" i="11"/>
  <c r="Q5129" i="11" s="1"/>
  <c r="O5113" i="11"/>
  <c r="Q5113" i="11" s="1"/>
  <c r="O5097" i="11"/>
  <c r="Q5097" i="11" s="1"/>
  <c r="O7557" i="11"/>
  <c r="Q7557" i="11" s="1"/>
  <c r="O7509" i="11"/>
  <c r="Q7509" i="11" s="1"/>
  <c r="O7461" i="11"/>
  <c r="Q7461" i="11" s="1"/>
  <c r="O7429" i="11"/>
  <c r="Q7429" i="11" s="1"/>
  <c r="O7381" i="11"/>
  <c r="Q7381" i="11" s="1"/>
  <c r="O7349" i="11"/>
  <c r="Q7349" i="11" s="1"/>
  <c r="O7317" i="11"/>
  <c r="Q7317" i="11" s="1"/>
  <c r="O7285" i="11"/>
  <c r="Q7285" i="11" s="1"/>
  <c r="O7253" i="11"/>
  <c r="Q7253" i="11" s="1"/>
  <c r="O7221" i="11"/>
  <c r="Q7221" i="11" s="1"/>
  <c r="O7173" i="11"/>
  <c r="Q7173" i="11" s="1"/>
  <c r="O7109" i="11"/>
  <c r="Q7109" i="11" s="1"/>
  <c r="O7077" i="11"/>
  <c r="Q7077" i="11" s="1"/>
  <c r="O7045" i="11"/>
  <c r="Q7045" i="11" s="1"/>
  <c r="O6997" i="11"/>
  <c r="Q6997" i="11" s="1"/>
  <c r="O6965" i="11"/>
  <c r="Q6965" i="11" s="1"/>
  <c r="O6933" i="11"/>
  <c r="Q6933" i="11" s="1"/>
  <c r="O6901" i="11"/>
  <c r="Q6901" i="11" s="1"/>
  <c r="O6837" i="11"/>
  <c r="Q6837" i="11" s="1"/>
  <c r="O6757" i="11"/>
  <c r="Q6757" i="11" s="1"/>
  <c r="O6709" i="11"/>
  <c r="Q6709" i="11" s="1"/>
  <c r="O6661" i="11"/>
  <c r="Q6661" i="11" s="1"/>
  <c r="O6629" i="11"/>
  <c r="Q6629" i="11" s="1"/>
  <c r="O6581" i="11"/>
  <c r="Q6581" i="11" s="1"/>
  <c r="O6549" i="11"/>
  <c r="Q6549" i="11" s="1"/>
  <c r="O5076" i="11"/>
  <c r="Q5076" i="11" s="1"/>
  <c r="O4712" i="11"/>
  <c r="Q4712" i="11" s="1"/>
  <c r="O4456" i="11"/>
  <c r="Q4456" i="11" s="1"/>
  <c r="O4264" i="11"/>
  <c r="Q4264" i="11" s="1"/>
  <c r="O4072" i="11"/>
  <c r="Q4072" i="11" s="1"/>
  <c r="O3944" i="11"/>
  <c r="Q3944" i="11" s="1"/>
  <c r="O3752" i="11"/>
  <c r="Q3752" i="11" s="1"/>
  <c r="O3572" i="11"/>
  <c r="Q3572" i="11" s="1"/>
  <c r="O1314" i="11"/>
  <c r="Q1314" i="11" s="1"/>
  <c r="O4480" i="11"/>
  <c r="Q4480" i="11" s="1"/>
  <c r="O4288" i="11"/>
  <c r="Q4288" i="11" s="1"/>
  <c r="O4160" i="11"/>
  <c r="Q4160" i="11" s="1"/>
  <c r="O3968" i="11"/>
  <c r="Q3968" i="11" s="1"/>
  <c r="O3840" i="11"/>
  <c r="Q3840" i="11" s="1"/>
  <c r="O3712" i="11"/>
  <c r="Q3712" i="11" s="1"/>
  <c r="O5087" i="11"/>
  <c r="Q5087" i="11" s="1"/>
  <c r="O5023" i="11"/>
  <c r="Q5023" i="11" s="1"/>
  <c r="O4963" i="11"/>
  <c r="Q4963" i="11" s="1"/>
  <c r="O4939" i="11"/>
  <c r="Q4939" i="11" s="1"/>
  <c r="O4915" i="11"/>
  <c r="Q4915" i="11" s="1"/>
  <c r="O4899" i="11"/>
  <c r="Q4899" i="11" s="1"/>
  <c r="O4883" i="11"/>
  <c r="Q4883" i="11" s="1"/>
  <c r="O4867" i="11"/>
  <c r="Q4867" i="11" s="1"/>
  <c r="O4851" i="11"/>
  <c r="Q4851" i="11" s="1"/>
  <c r="O4835" i="11"/>
  <c r="Q4835" i="11" s="1"/>
  <c r="O4811" i="11"/>
  <c r="Q4811" i="11" s="1"/>
  <c r="O4779" i="11"/>
  <c r="Q4779" i="11" s="1"/>
  <c r="O4755" i="11"/>
  <c r="Q4755" i="11" s="1"/>
  <c r="O4739" i="11"/>
  <c r="Q4739" i="11" s="1"/>
  <c r="O5085" i="11"/>
  <c r="Q5085" i="11" s="1"/>
  <c r="O5053" i="11"/>
  <c r="Q5053" i="11" s="1"/>
  <c r="O5021" i="11"/>
  <c r="Q5021" i="11" s="1"/>
  <c r="O4989" i="11"/>
  <c r="Q4989" i="11" s="1"/>
  <c r="O4962" i="11"/>
  <c r="Q4962" i="11" s="1"/>
  <c r="O4938" i="11"/>
  <c r="Q4938" i="11" s="1"/>
  <c r="O4898" i="11"/>
  <c r="Q4898" i="11" s="1"/>
  <c r="O4874" i="11"/>
  <c r="Q4874" i="11" s="1"/>
  <c r="O4858" i="11"/>
  <c r="Q4858" i="11" s="1"/>
  <c r="O4842" i="11"/>
  <c r="Q4842" i="11" s="1"/>
  <c r="O4818" i="11"/>
  <c r="Q4818" i="11" s="1"/>
  <c r="O4802" i="11"/>
  <c r="Q4802" i="11" s="1"/>
  <c r="O4786" i="11"/>
  <c r="Q4786" i="11" s="1"/>
  <c r="O4754" i="11"/>
  <c r="Q4754" i="11" s="1"/>
  <c r="O4730" i="11"/>
  <c r="Q4730" i="11" s="1"/>
  <c r="O5046" i="11"/>
  <c r="Q5046" i="11" s="1"/>
  <c r="O4998" i="11"/>
  <c r="Q4998" i="11" s="1"/>
  <c r="O4644" i="11"/>
  <c r="Q4644" i="11" s="1"/>
  <c r="O4580" i="11"/>
  <c r="Q4580" i="11" s="1"/>
  <c r="O4484" i="11"/>
  <c r="Q4484" i="11" s="1"/>
  <c r="O4420" i="11"/>
  <c r="Q4420" i="11" s="1"/>
  <c r="O4356" i="11"/>
  <c r="Q4356" i="11" s="1"/>
  <c r="O4292" i="11"/>
  <c r="Q4292" i="11" s="1"/>
  <c r="O4196" i="11"/>
  <c r="Q4196" i="11" s="1"/>
  <c r="O4100" i="11"/>
  <c r="Q4100" i="11" s="1"/>
  <c r="O4004" i="11"/>
  <c r="Q4004" i="11" s="1"/>
  <c r="O3940" i="11"/>
  <c r="Q3940" i="11" s="1"/>
  <c r="O3876" i="11"/>
  <c r="Q3876" i="11" s="1"/>
  <c r="O3812" i="11"/>
  <c r="Q3812" i="11" s="1"/>
  <c r="O3716" i="11"/>
  <c r="Q3716" i="11" s="1"/>
  <c r="O3596" i="11"/>
  <c r="Q3596" i="11" s="1"/>
  <c r="O4699" i="11"/>
  <c r="Q4699" i="11" s="1"/>
  <c r="O4651" i="11"/>
  <c r="Q4651" i="11" s="1"/>
  <c r="O4603" i="11"/>
  <c r="Q4603" i="11" s="1"/>
  <c r="O4571" i="11"/>
  <c r="Q4571" i="11" s="1"/>
  <c r="O4539" i="11"/>
  <c r="Q4539" i="11" s="1"/>
  <c r="O4491" i="11"/>
  <c r="Q4491" i="11" s="1"/>
  <c r="O4443" i="11"/>
  <c r="Q4443" i="11" s="1"/>
  <c r="O4379" i="11"/>
  <c r="Q4379" i="11" s="1"/>
  <c r="O4331" i="11"/>
  <c r="Q4331" i="11" s="1"/>
  <c r="O4299" i="11"/>
  <c r="Q4299" i="11" s="1"/>
  <c r="O4267" i="11"/>
  <c r="Q4267" i="11" s="1"/>
  <c r="O4235" i="11"/>
  <c r="Q4235" i="11" s="1"/>
  <c r="O4203" i="11"/>
  <c r="Q4203" i="11" s="1"/>
  <c r="O4155" i="11"/>
  <c r="Q4155" i="11" s="1"/>
  <c r="O4107" i="11"/>
  <c r="Q4107" i="11" s="1"/>
  <c r="O4027" i="11"/>
  <c r="Q4027" i="11" s="1"/>
  <c r="O3995" i="11"/>
  <c r="Q3995" i="11" s="1"/>
  <c r="O3947" i="11"/>
  <c r="Q3947" i="11" s="1"/>
  <c r="O3915" i="11"/>
  <c r="Q3915" i="11" s="1"/>
  <c r="O3883" i="11"/>
  <c r="Q3883" i="11" s="1"/>
  <c r="O3835" i="11"/>
  <c r="Q3835" i="11" s="1"/>
  <c r="O3787" i="11"/>
  <c r="Q3787" i="11" s="1"/>
  <c r="O3739" i="11"/>
  <c r="Q3739" i="11" s="1"/>
  <c r="O3372" i="11"/>
  <c r="Q3372" i="11" s="1"/>
  <c r="O4689" i="11"/>
  <c r="Q4689" i="11" s="1"/>
  <c r="O4641" i="11"/>
  <c r="Q4641" i="11" s="1"/>
  <c r="O4593" i="11"/>
  <c r="Q4593" i="11" s="1"/>
  <c r="O4561" i="11"/>
  <c r="Q4561" i="11" s="1"/>
  <c r="O4529" i="11"/>
  <c r="Q4529" i="11" s="1"/>
  <c r="O4481" i="11"/>
  <c r="Q4481" i="11" s="1"/>
  <c r="O4417" i="11"/>
  <c r="Q4417" i="11" s="1"/>
  <c r="O4353" i="11"/>
  <c r="Q4353" i="11" s="1"/>
  <c r="O4305" i="11"/>
  <c r="Q4305" i="11" s="1"/>
  <c r="O4273" i="11"/>
  <c r="Q4273" i="11" s="1"/>
  <c r="O4225" i="11"/>
  <c r="Q4225" i="11" s="1"/>
  <c r="O4193" i="11"/>
  <c r="Q4193" i="11" s="1"/>
  <c r="O4161" i="11"/>
  <c r="Q4161" i="11" s="1"/>
  <c r="O4129" i="11"/>
  <c r="Q4129" i="11" s="1"/>
  <c r="O4081" i="11"/>
  <c r="Q4081" i="11" s="1"/>
  <c r="O4001" i="11"/>
  <c r="Q4001" i="11" s="1"/>
  <c r="O3953" i="11"/>
  <c r="Q3953" i="11" s="1"/>
  <c r="O3921" i="11"/>
  <c r="Q3921" i="11" s="1"/>
  <c r="O3873" i="11"/>
  <c r="Q3873" i="11" s="1"/>
  <c r="O3825" i="11"/>
  <c r="Q3825" i="11" s="1"/>
  <c r="O3793" i="11"/>
  <c r="Q3793" i="11" s="1"/>
  <c r="O3777" i="11"/>
  <c r="Q3777" i="11" s="1"/>
  <c r="O3745" i="11"/>
  <c r="Q3745" i="11" s="1"/>
  <c r="O3697" i="11"/>
  <c r="Q3697" i="11" s="1"/>
  <c r="O3488" i="11"/>
  <c r="Q3488" i="11" s="1"/>
  <c r="O3440" i="11"/>
  <c r="Q3440" i="11" s="1"/>
  <c r="O3392" i="11"/>
  <c r="Q3392" i="11" s="1"/>
  <c r="O4706" i="11"/>
  <c r="Q4706" i="11" s="1"/>
  <c r="O4674" i="11"/>
  <c r="Q4674" i="11" s="1"/>
  <c r="O4642" i="11"/>
  <c r="Q4642" i="11" s="1"/>
  <c r="O4594" i="11"/>
  <c r="Q4594" i="11" s="1"/>
  <c r="O4530" i="11"/>
  <c r="Q4530" i="11" s="1"/>
  <c r="O4482" i="11"/>
  <c r="Q4482" i="11" s="1"/>
  <c r="O4434" i="11"/>
  <c r="Q4434" i="11" s="1"/>
  <c r="O4386" i="11"/>
  <c r="Q4386" i="11" s="1"/>
  <c r="O4354" i="11"/>
  <c r="Q4354" i="11" s="1"/>
  <c r="O4322" i="11"/>
  <c r="Q4322" i="11" s="1"/>
  <c r="O4274" i="11"/>
  <c r="Q4274" i="11" s="1"/>
  <c r="O4210" i="11"/>
  <c r="Q4210" i="11" s="1"/>
  <c r="O4146" i="11"/>
  <c r="Q4146" i="11" s="1"/>
  <c r="O4082" i="11"/>
  <c r="Q4082" i="11" s="1"/>
  <c r="O4018" i="11"/>
  <c r="Q4018" i="11" s="1"/>
  <c r="O3986" i="11"/>
  <c r="Q3986" i="11" s="1"/>
  <c r="O3954" i="11"/>
  <c r="Q3954" i="11" s="1"/>
  <c r="O3922" i="11"/>
  <c r="Q3922" i="11" s="1"/>
  <c r="O3874" i="11"/>
  <c r="Q3874" i="11" s="1"/>
  <c r="O3810" i="11"/>
  <c r="Q3810" i="11" s="1"/>
  <c r="O3762" i="11"/>
  <c r="Q3762" i="11" s="1"/>
  <c r="O3714" i="11"/>
  <c r="Q3714" i="11" s="1"/>
  <c r="O3669" i="11"/>
  <c r="Q3669" i="11" s="1"/>
  <c r="O3648" i="11"/>
  <c r="Q3648" i="11" s="1"/>
  <c r="O3616" i="11"/>
  <c r="Q3616" i="11" s="1"/>
  <c r="O3595" i="11"/>
  <c r="Q3595" i="11" s="1"/>
  <c r="O3563" i="11"/>
  <c r="Q3563" i="11" s="1"/>
  <c r="O3531" i="11"/>
  <c r="Q3531" i="11" s="1"/>
  <c r="O3467" i="11"/>
  <c r="Q3467" i="11" s="1"/>
  <c r="O3419" i="11"/>
  <c r="Q3419" i="11" s="1"/>
  <c r="O1915" i="11"/>
  <c r="Q1915" i="11" s="1"/>
  <c r="O3343" i="11"/>
  <c r="Q3343" i="11" s="1"/>
  <c r="O3322" i="11"/>
  <c r="Q3322" i="11" s="1"/>
  <c r="O3301" i="11"/>
  <c r="Q3301" i="11" s="1"/>
  <c r="O3279" i="11"/>
  <c r="Q3279" i="11" s="1"/>
  <c r="O3237" i="11"/>
  <c r="Q3237" i="11" s="1"/>
  <c r="O3190" i="11"/>
  <c r="Q3190" i="11" s="1"/>
  <c r="O3142" i="11"/>
  <c r="Q3142" i="11" s="1"/>
  <c r="O3110" i="11"/>
  <c r="Q3110" i="11" s="1"/>
  <c r="O3062" i="11"/>
  <c r="Q3062" i="11" s="1"/>
  <c r="O3030" i="11"/>
  <c r="Q3030" i="11" s="1"/>
  <c r="O3014" i="11"/>
  <c r="Q3014" i="11" s="1"/>
  <c r="O2966" i="11"/>
  <c r="Q2966" i="11" s="1"/>
  <c r="O2918" i="11"/>
  <c r="Q2918" i="11" s="1"/>
  <c r="O2838" i="11"/>
  <c r="Q2838" i="11" s="1"/>
  <c r="O2790" i="11"/>
  <c r="Q2790" i="11" s="1"/>
  <c r="O2758" i="11"/>
  <c r="Q2758" i="11" s="1"/>
  <c r="O2726" i="11"/>
  <c r="Q2726" i="11" s="1"/>
  <c r="O2694" i="11"/>
  <c r="Q2694" i="11" s="1"/>
  <c r="O2662" i="11"/>
  <c r="Q2662" i="11" s="1"/>
  <c r="O2630" i="11"/>
  <c r="Q2630" i="11" s="1"/>
  <c r="O2566" i="11"/>
  <c r="Q2566" i="11" s="1"/>
  <c r="O2458" i="11"/>
  <c r="Q2458" i="11" s="1"/>
  <c r="O2362" i="11"/>
  <c r="Q2362" i="11" s="1"/>
  <c r="O2266" i="11"/>
  <c r="Q2266" i="11" s="1"/>
  <c r="O2202" i="11"/>
  <c r="Q2202" i="11" s="1"/>
  <c r="O2138" i="11"/>
  <c r="Q2138" i="11" s="1"/>
  <c r="O2042" i="11"/>
  <c r="Q2042" i="11" s="1"/>
  <c r="O1903" i="11"/>
  <c r="Q1903" i="11" s="1"/>
  <c r="O1711" i="11"/>
  <c r="Q1711" i="11" s="1"/>
  <c r="O1438" i="11"/>
  <c r="Q1438" i="11" s="1"/>
  <c r="O316" i="11"/>
  <c r="Q316" i="11" s="1"/>
  <c r="O3489" i="11"/>
  <c r="Q3489" i="11" s="1"/>
  <c r="O3473" i="11"/>
  <c r="Q3473" i="11" s="1"/>
  <c r="O3425" i="11"/>
  <c r="Q3425" i="11" s="1"/>
  <c r="O3377" i="11"/>
  <c r="Q3377" i="11" s="1"/>
  <c r="O3329" i="11"/>
  <c r="Q3329" i="11" s="1"/>
  <c r="O3297" i="11"/>
  <c r="Q3297" i="11" s="1"/>
  <c r="O3265" i="11"/>
  <c r="Q3265" i="11" s="1"/>
  <c r="O3233" i="11"/>
  <c r="Q3233" i="11" s="1"/>
  <c r="O3201" i="11"/>
  <c r="Q3201" i="11" s="1"/>
  <c r="O2486" i="11"/>
  <c r="Q2486" i="11" s="1"/>
  <c r="O2390" i="11"/>
  <c r="Q2390" i="11" s="1"/>
  <c r="O2294" i="11"/>
  <c r="Q2294" i="11" s="1"/>
  <c r="O2166" i="11"/>
  <c r="Q2166" i="11" s="1"/>
  <c r="O2070" i="11"/>
  <c r="Q2070" i="11" s="1"/>
  <c r="O1974" i="11"/>
  <c r="Q1974" i="11" s="1"/>
  <c r="O1879" i="11"/>
  <c r="Q1879" i="11" s="1"/>
  <c r="O1751" i="11"/>
  <c r="Q1751" i="11" s="1"/>
  <c r="O1559" i="11"/>
  <c r="Q1559" i="11" s="1"/>
  <c r="O1113" i="11"/>
  <c r="Q1113" i="11" s="1"/>
  <c r="O3654" i="11"/>
  <c r="Q3654" i="11" s="1"/>
  <c r="O3606" i="11"/>
  <c r="Q3606" i="11" s="1"/>
  <c r="O3574" i="11"/>
  <c r="Q3574" i="11" s="1"/>
  <c r="O3542" i="11"/>
  <c r="Q3542" i="11" s="1"/>
  <c r="O3494" i="11"/>
  <c r="Q3494" i="11" s="1"/>
  <c r="O3446" i="11"/>
  <c r="Q3446" i="11" s="1"/>
  <c r="O3398" i="11"/>
  <c r="Q3398" i="11" s="1"/>
  <c r="O3175" i="11"/>
  <c r="Q3175" i="11" s="1"/>
  <c r="O3127" i="11"/>
  <c r="Q3127" i="11" s="1"/>
  <c r="O3095" i="11"/>
  <c r="Q3095" i="11" s="1"/>
  <c r="O3063" i="11"/>
  <c r="Q3063" i="11" s="1"/>
  <c r="O3031" i="11"/>
  <c r="Q3031" i="11" s="1"/>
  <c r="O2999" i="11"/>
  <c r="Q2999" i="11" s="1"/>
  <c r="O2967" i="11"/>
  <c r="Q2967" i="11" s="1"/>
  <c r="O2903" i="11"/>
  <c r="Q2903" i="11" s="1"/>
  <c r="O2839" i="11"/>
  <c r="Q2839" i="11" s="1"/>
  <c r="O2791" i="11"/>
  <c r="Q2791" i="11" s="1"/>
  <c r="O2759" i="11"/>
  <c r="Q2759" i="11" s="1"/>
  <c r="O2727" i="11"/>
  <c r="Q2727" i="11" s="1"/>
  <c r="O2695" i="11"/>
  <c r="Q2695" i="11" s="1"/>
  <c r="O2663" i="11"/>
  <c r="Q2663" i="11" s="1"/>
  <c r="O2631" i="11"/>
  <c r="Q2631" i="11" s="1"/>
  <c r="O2583" i="11"/>
  <c r="Q2583" i="11" s="1"/>
  <c r="O185" i="11"/>
  <c r="Q185" i="11" s="1"/>
  <c r="O3153" i="11"/>
  <c r="Q3153" i="11" s="1"/>
  <c r="O3105" i="11"/>
  <c r="Q3105" i="11" s="1"/>
  <c r="O3057" i="11"/>
  <c r="Q3057" i="11" s="1"/>
  <c r="O3025" i="11"/>
  <c r="Q3025" i="11" s="1"/>
  <c r="O2993" i="11"/>
  <c r="Q2993" i="11" s="1"/>
  <c r="O2961" i="11"/>
  <c r="Q2961" i="11" s="1"/>
  <c r="O2929" i="11"/>
  <c r="Q2929" i="11" s="1"/>
  <c r="O2881" i="11"/>
  <c r="Q2881" i="11" s="1"/>
  <c r="O2817" i="11"/>
  <c r="Q2817" i="11" s="1"/>
  <c r="O2769" i="11"/>
  <c r="Q2769" i="11" s="1"/>
  <c r="O2705" i="11"/>
  <c r="Q2705" i="11" s="1"/>
  <c r="O2657" i="11"/>
  <c r="Q2657" i="11" s="1"/>
  <c r="O2609" i="11"/>
  <c r="Q2609" i="11" s="1"/>
  <c r="O2593" i="11"/>
  <c r="Q2593" i="11" s="1"/>
  <c r="O2561" i="11"/>
  <c r="Q2561" i="11" s="1"/>
  <c r="O2513" i="11"/>
  <c r="Q2513" i="11" s="1"/>
  <c r="O2465" i="11"/>
  <c r="Q2465" i="11" s="1"/>
  <c r="O2417" i="11"/>
  <c r="Q2417" i="11" s="1"/>
  <c r="O2369" i="11"/>
  <c r="Q2369" i="11" s="1"/>
  <c r="O2337" i="11"/>
  <c r="Q2337" i="11" s="1"/>
  <c r="O2289" i="11"/>
  <c r="Q2289" i="11" s="1"/>
  <c r="O2257" i="11"/>
  <c r="Q2257" i="11" s="1"/>
  <c r="O2225" i="11"/>
  <c r="Q2225" i="11" s="1"/>
  <c r="O2177" i="11"/>
  <c r="Q2177" i="11" s="1"/>
  <c r="O2113" i="11"/>
  <c r="Q2113" i="11" s="1"/>
  <c r="O2049" i="11"/>
  <c r="Q2049" i="11" s="1"/>
  <c r="O2001" i="11"/>
  <c r="Q2001" i="11" s="1"/>
  <c r="O1953" i="11"/>
  <c r="Q1953" i="11" s="1"/>
  <c r="O1916" i="11"/>
  <c r="Q1916" i="11" s="1"/>
  <c r="O1160" i="11"/>
  <c r="Q1160" i="11" s="1"/>
  <c r="O944" i="11"/>
  <c r="Q944" i="11" s="1"/>
  <c r="O622" i="11"/>
  <c r="Q622" i="11" s="1"/>
  <c r="O2503" i="11"/>
  <c r="Q2503" i="11" s="1"/>
  <c r="O2439" i="11"/>
  <c r="Q2439" i="11" s="1"/>
  <c r="O2391" i="11"/>
  <c r="Q2391" i="11" s="1"/>
  <c r="O2343" i="11"/>
  <c r="Q2343" i="11" s="1"/>
  <c r="O2311" i="11"/>
  <c r="Q2311" i="11" s="1"/>
  <c r="O2279" i="11"/>
  <c r="Q2279" i="11" s="1"/>
  <c r="O2247" i="11"/>
  <c r="Q2247" i="11" s="1"/>
  <c r="O2183" i="11"/>
  <c r="Q2183" i="11" s="1"/>
  <c r="O2087" i="11"/>
  <c r="Q2087" i="11" s="1"/>
  <c r="O2039" i="11"/>
  <c r="Q2039" i="11" s="1"/>
  <c r="O1991" i="11"/>
  <c r="Q1991" i="11" s="1"/>
  <c r="O1943" i="11"/>
  <c r="Q1943" i="11" s="1"/>
  <c r="O1048" i="11"/>
  <c r="Q1048" i="11" s="1"/>
  <c r="O632" i="11"/>
  <c r="Q632" i="11" s="1"/>
  <c r="O3340" i="11"/>
  <c r="Q3340" i="11" s="1"/>
  <c r="O3260" i="11"/>
  <c r="Q3260" i="11" s="1"/>
  <c r="O3196" i="11"/>
  <c r="Q3196" i="11" s="1"/>
  <c r="O3148" i="11"/>
  <c r="Q3148" i="11" s="1"/>
  <c r="O3100" i="11"/>
  <c r="Q3100" i="11" s="1"/>
  <c r="O3084" i="11"/>
  <c r="Q3084" i="11" s="1"/>
  <c r="O3052" i="11"/>
  <c r="Q3052" i="11" s="1"/>
  <c r="O3004" i="11"/>
  <c r="Q3004" i="11" s="1"/>
  <c r="O2940" i="11"/>
  <c r="Q2940" i="11" s="1"/>
  <c r="O2892" i="11"/>
  <c r="Q2892" i="11" s="1"/>
  <c r="O2844" i="11"/>
  <c r="Q2844" i="11" s="1"/>
  <c r="O2796" i="11"/>
  <c r="Q2796" i="11" s="1"/>
  <c r="O2764" i="11"/>
  <c r="Q2764" i="11" s="1"/>
  <c r="O2732" i="11"/>
  <c r="Q2732" i="11" s="1"/>
  <c r="O2684" i="11"/>
  <c r="Q2684" i="11" s="1"/>
  <c r="O2652" i="11"/>
  <c r="Q2652" i="11" s="1"/>
  <c r="O2604" i="11"/>
  <c r="Q2604" i="11" s="1"/>
  <c r="O2572" i="11"/>
  <c r="Q2572" i="11" s="1"/>
  <c r="O2524" i="11"/>
  <c r="Q2524" i="11" s="1"/>
  <c r="O2476" i="11"/>
  <c r="Q2476" i="11" s="1"/>
  <c r="O2444" i="11"/>
  <c r="Q2444" i="11" s="1"/>
  <c r="O2412" i="11"/>
  <c r="Q2412" i="11" s="1"/>
  <c r="O2364" i="11"/>
  <c r="Q2364" i="11" s="1"/>
  <c r="O2332" i="11"/>
  <c r="Q2332" i="11" s="1"/>
  <c r="O2284" i="11"/>
  <c r="Q2284" i="11" s="1"/>
  <c r="O2252" i="11"/>
  <c r="Q2252" i="11" s="1"/>
  <c r="O2204" i="11"/>
  <c r="Q2204" i="11" s="1"/>
  <c r="O2172" i="11"/>
  <c r="Q2172" i="11" s="1"/>
  <c r="O2124" i="11"/>
  <c r="Q2124" i="11" s="1"/>
  <c r="O2076" i="11"/>
  <c r="Q2076" i="11" s="1"/>
  <c r="O2044" i="11"/>
  <c r="Q2044" i="11" s="1"/>
  <c r="O1996" i="11"/>
  <c r="Q1996" i="11" s="1"/>
  <c r="O1964" i="11"/>
  <c r="Q1964" i="11" s="1"/>
  <c r="O1934" i="11"/>
  <c r="Q1934" i="11" s="1"/>
  <c r="O1811" i="11"/>
  <c r="Q1811" i="11" s="1"/>
  <c r="O1715" i="11"/>
  <c r="Q1715" i="11" s="1"/>
  <c r="O1619" i="11"/>
  <c r="Q1619" i="11" s="1"/>
  <c r="O1511" i="11"/>
  <c r="Q1511" i="11" s="1"/>
  <c r="O1422" i="11"/>
  <c r="Q1422" i="11" s="1"/>
  <c r="O1257" i="11"/>
  <c r="Q1257" i="11" s="1"/>
  <c r="O1132" i="11"/>
  <c r="Q1132" i="11" s="1"/>
  <c r="O1001" i="11"/>
  <c r="Q1001" i="11" s="1"/>
  <c r="O624" i="11"/>
  <c r="Q624" i="11" s="1"/>
  <c r="O1918" i="11"/>
  <c r="Q1918" i="11" s="1"/>
  <c r="O1854" i="11"/>
  <c r="Q1854" i="11" s="1"/>
  <c r="O1806" i="11"/>
  <c r="Q1806" i="11" s="1"/>
  <c r="O1774" i="11"/>
  <c r="Q1774" i="11" s="1"/>
  <c r="O1710" i="11"/>
  <c r="Q1710" i="11" s="1"/>
  <c r="O1694" i="11"/>
  <c r="Q1694" i="11" s="1"/>
  <c r="O1662" i="11"/>
  <c r="Q1662" i="11" s="1"/>
  <c r="O1614" i="11"/>
  <c r="Q1614" i="11" s="1"/>
  <c r="O1554" i="11"/>
  <c r="Q1554" i="11" s="1"/>
  <c r="O1490" i="11"/>
  <c r="Q1490" i="11" s="1"/>
  <c r="O1426" i="11"/>
  <c r="Q1426" i="11" s="1"/>
  <c r="O1353" i="11"/>
  <c r="Q1353" i="11" s="1"/>
  <c r="O1152" i="11"/>
  <c r="Q1152" i="11" s="1"/>
  <c r="O1002" i="11"/>
  <c r="Q1002" i="11" s="1"/>
  <c r="O864" i="11"/>
  <c r="Q864" i="11" s="1"/>
  <c r="O665" i="11"/>
  <c r="Q665" i="11" s="1"/>
  <c r="O338" i="11"/>
  <c r="Q338" i="11" s="1"/>
  <c r="O1872" i="11"/>
  <c r="Q1872" i="11" s="1"/>
  <c r="O1824" i="11"/>
  <c r="Q1824" i="11" s="1"/>
  <c r="O1776" i="11"/>
  <c r="Q1776" i="11" s="1"/>
  <c r="O1744" i="11"/>
  <c r="Q1744" i="11" s="1"/>
  <c r="O1712" i="11"/>
  <c r="Q1712" i="11" s="1"/>
  <c r="O1680" i="11"/>
  <c r="Q1680" i="11" s="1"/>
  <c r="O1632" i="11"/>
  <c r="Q1632" i="11" s="1"/>
  <c r="O1585" i="11"/>
  <c r="Q1585" i="11" s="1"/>
  <c r="O1498" i="11"/>
  <c r="Q1498" i="11" s="1"/>
  <c r="O1434" i="11"/>
  <c r="Q1434" i="11" s="1"/>
  <c r="O1393" i="11"/>
  <c r="Q1393" i="11" s="1"/>
  <c r="O1309" i="11"/>
  <c r="Q1309" i="11" s="1"/>
  <c r="O1200" i="11"/>
  <c r="Q1200" i="11" s="1"/>
  <c r="O1016" i="11"/>
  <c r="Q1016" i="11" s="1"/>
  <c r="O746" i="11"/>
  <c r="Q746" i="11" s="1"/>
  <c r="O357" i="11"/>
  <c r="Q357" i="11" s="1"/>
  <c r="O1913" i="11"/>
  <c r="Q1913" i="11" s="1"/>
  <c r="O1865" i="11"/>
  <c r="Q1865" i="11" s="1"/>
  <c r="O1817" i="11"/>
  <c r="Q1817" i="11" s="1"/>
  <c r="O1785" i="11"/>
  <c r="Q1785" i="11" s="1"/>
  <c r="O1769" i="11"/>
  <c r="Q1769" i="11" s="1"/>
  <c r="O1737" i="11"/>
  <c r="Q1737" i="11" s="1"/>
  <c r="O1689" i="11"/>
  <c r="Q1689" i="11" s="1"/>
  <c r="O1593" i="11"/>
  <c r="Q1593" i="11" s="1"/>
  <c r="O1533" i="11"/>
  <c r="Q1533" i="11" s="1"/>
  <c r="O1469" i="11"/>
  <c r="Q1469" i="11" s="1"/>
  <c r="O1423" i="11"/>
  <c r="Q1423" i="11" s="1"/>
  <c r="O1382" i="11"/>
  <c r="Q1382" i="11" s="1"/>
  <c r="O1330" i="11"/>
  <c r="Q1330" i="11" s="1"/>
  <c r="O1212" i="11"/>
  <c r="Q1212" i="11" s="1"/>
  <c r="O1065" i="11"/>
  <c r="Q1065" i="11" s="1"/>
  <c r="O809" i="11"/>
  <c r="Q809" i="11" s="1"/>
  <c r="O561" i="11"/>
  <c r="Q561" i="11" s="1"/>
  <c r="O270" i="11"/>
  <c r="Q270" i="11" s="1"/>
  <c r="O46" i="11"/>
  <c r="Q46" i="11" s="1"/>
  <c r="O1331" i="11"/>
  <c r="Q1331" i="11" s="1"/>
  <c r="O1225" i="11"/>
  <c r="Q1225" i="11" s="1"/>
  <c r="O1026" i="11"/>
  <c r="Q1026" i="11" s="1"/>
  <c r="O860" i="11"/>
  <c r="Q860" i="11" s="1"/>
  <c r="O713" i="11"/>
  <c r="Q713" i="11" s="1"/>
  <c r="O604" i="11"/>
  <c r="Q604" i="11" s="1"/>
  <c r="O457" i="11"/>
  <c r="Q457" i="11" s="1"/>
  <c r="O348" i="11"/>
  <c r="Q348" i="11" s="1"/>
  <c r="O112" i="11"/>
  <c r="Q112" i="11" s="1"/>
  <c r="O456" i="11"/>
  <c r="Q456" i="11" s="1"/>
  <c r="O128" i="11"/>
  <c r="Q128" i="11" s="1"/>
  <c r="O946" i="11"/>
  <c r="Q946" i="11" s="1"/>
  <c r="O832" i="11"/>
  <c r="Q832" i="11" s="1"/>
  <c r="O690" i="11"/>
  <c r="Q690" i="11" s="1"/>
  <c r="O576" i="11"/>
  <c r="Q576" i="11" s="1"/>
  <c r="O434" i="11"/>
  <c r="Q434" i="11" s="1"/>
  <c r="O280" i="11"/>
  <c r="Q280" i="11" s="1"/>
  <c r="O92" i="11"/>
  <c r="Q92" i="11" s="1"/>
  <c r="O236" i="11"/>
  <c r="Q236" i="11" s="1"/>
  <c r="O89" i="11"/>
  <c r="Q89" i="11" s="1"/>
  <c r="O28" i="11"/>
  <c r="Q28" i="11" s="1"/>
  <c r="O8349" i="11"/>
  <c r="Q8349" i="11" s="1"/>
  <c r="O8178" i="11"/>
  <c r="Q8178" i="11" s="1"/>
  <c r="O7906" i="11"/>
  <c r="Q7906" i="11" s="1"/>
  <c r="O7866" i="11"/>
  <c r="Q7866" i="11" s="1"/>
  <c r="O7826" i="11"/>
  <c r="Q7826" i="11" s="1"/>
  <c r="O7778" i="11"/>
  <c r="Q7778" i="11" s="1"/>
  <c r="O7754" i="11"/>
  <c r="Q7754" i="11" s="1"/>
  <c r="O7730" i="11"/>
  <c r="Q7730" i="11" s="1"/>
  <c r="O7558" i="11"/>
  <c r="Q7558" i="11" s="1"/>
  <c r="O7510" i="11"/>
  <c r="Q7510" i="11" s="1"/>
  <c r="O7478" i="11"/>
  <c r="Q7478" i="11" s="1"/>
  <c r="O7446" i="11"/>
  <c r="Q7446" i="11" s="1"/>
  <c r="O7398" i="11"/>
  <c r="Q7398" i="11" s="1"/>
  <c r="O7350" i="11"/>
  <c r="Q7350" i="11" s="1"/>
  <c r="O7286" i="11"/>
  <c r="Q7286" i="11" s="1"/>
  <c r="O7238" i="11"/>
  <c r="Q7238" i="11" s="1"/>
  <c r="O7190" i="11"/>
  <c r="Q7190" i="11" s="1"/>
  <c r="O7142" i="11"/>
  <c r="Q7142" i="11" s="1"/>
  <c r="O7110" i="11"/>
  <c r="Q7110" i="11" s="1"/>
  <c r="O7078" i="11"/>
  <c r="Q7078" i="11" s="1"/>
  <c r="O7030" i="11"/>
  <c r="Q7030" i="11" s="1"/>
  <c r="O6982" i="11"/>
  <c r="Q6982" i="11" s="1"/>
  <c r="O6934" i="11"/>
  <c r="Q6934" i="11" s="1"/>
  <c r="O6886" i="11"/>
  <c r="Q6886" i="11" s="1"/>
  <c r="O6838" i="11"/>
  <c r="Q6838" i="11" s="1"/>
  <c r="O6806" i="11"/>
  <c r="Q6806" i="11" s="1"/>
  <c r="O6758" i="11"/>
  <c r="Q6758" i="11" s="1"/>
  <c r="O6726" i="11"/>
  <c r="Q6726" i="11" s="1"/>
  <c r="O6694" i="11"/>
  <c r="Q6694" i="11" s="1"/>
  <c r="O6678" i="11"/>
  <c r="Q6678" i="11" s="1"/>
  <c r="O6630" i="11"/>
  <c r="Q6630" i="11" s="1"/>
  <c r="O6550" i="11"/>
  <c r="Q6550" i="11" s="1"/>
  <c r="O6522" i="11"/>
  <c r="Q6522" i="11" s="1"/>
  <c r="O6506" i="11"/>
  <c r="Q6506" i="11" s="1"/>
  <c r="O6490" i="11"/>
  <c r="Q6490" i="11" s="1"/>
  <c r="O6466" i="11"/>
  <c r="Q6466" i="11" s="1"/>
  <c r="O6442" i="11"/>
  <c r="Q6442" i="11" s="1"/>
  <c r="O6434" i="11"/>
  <c r="Q6434" i="11" s="1"/>
  <c r="O6418" i="11"/>
  <c r="Q6418" i="11" s="1"/>
  <c r="O6394" i="11"/>
  <c r="Q6394" i="11" s="1"/>
  <c r="O6370" i="11"/>
  <c r="Q6370" i="11" s="1"/>
  <c r="O6338" i="11"/>
  <c r="Q6338" i="11" s="1"/>
  <c r="O6314" i="11"/>
  <c r="Q6314" i="11" s="1"/>
  <c r="O6298" i="11"/>
  <c r="Q6298" i="11" s="1"/>
  <c r="O6274" i="11"/>
  <c r="Q6274" i="11" s="1"/>
  <c r="O6258" i="11"/>
  <c r="Q6258" i="11" s="1"/>
  <c r="O6242" i="11"/>
  <c r="Q6242" i="11" s="1"/>
  <c r="O6226" i="11"/>
  <c r="Q6226" i="11" s="1"/>
  <c r="O6202" i="11"/>
  <c r="Q6202" i="11" s="1"/>
  <c r="O6170" i="11"/>
  <c r="Q6170" i="11" s="1"/>
  <c r="O6146" i="11"/>
  <c r="Q6146" i="11" s="1"/>
  <c r="O6122" i="11"/>
  <c r="Q6122" i="11" s="1"/>
  <c r="O6106" i="11"/>
  <c r="Q6106" i="11" s="1"/>
  <c r="O6090" i="11"/>
  <c r="Q6090" i="11" s="1"/>
  <c r="O6066" i="11"/>
  <c r="Q6066" i="11" s="1"/>
  <c r="O6042" i="11"/>
  <c r="Q6042" i="11" s="1"/>
  <c r="O6034" i="11"/>
  <c r="Q6034" i="11" s="1"/>
  <c r="O6010" i="11"/>
  <c r="Q6010" i="11" s="1"/>
  <c r="O5986" i="11"/>
  <c r="Q5986" i="11" s="1"/>
  <c r="O5962" i="11"/>
  <c r="Q5962" i="11" s="1"/>
  <c r="O5930" i="11"/>
  <c r="Q5930" i="11" s="1"/>
  <c r="O5914" i="11"/>
  <c r="Q5914" i="11" s="1"/>
  <c r="O5890" i="11"/>
  <c r="Q5890" i="11" s="1"/>
  <c r="O5874" i="11"/>
  <c r="Q5874" i="11" s="1"/>
  <c r="O5858" i="11"/>
  <c r="Q5858" i="11" s="1"/>
  <c r="O5842" i="11"/>
  <c r="Q5842" i="11" s="1"/>
  <c r="O5826" i="11"/>
  <c r="Q5826" i="11" s="1"/>
  <c r="O5802" i="11"/>
  <c r="Q5802" i="11" s="1"/>
  <c r="O5778" i="11"/>
  <c r="Q5778" i="11" s="1"/>
  <c r="O5746" i="11"/>
  <c r="Q5746" i="11" s="1"/>
  <c r="O5722" i="11"/>
  <c r="Q5722" i="11" s="1"/>
  <c r="O5706" i="11"/>
  <c r="Q5706" i="11" s="1"/>
  <c r="O5690" i="11"/>
  <c r="Q5690" i="11" s="1"/>
  <c r="O5666" i="11"/>
  <c r="Q5666" i="11" s="1"/>
  <c r="O5650" i="11"/>
  <c r="Q5650" i="11" s="1"/>
  <c r="O5634" i="11"/>
  <c r="Q5634" i="11" s="1"/>
  <c r="O5618" i="11"/>
  <c r="Q5618" i="11" s="1"/>
  <c r="O5594" i="11"/>
  <c r="Q5594" i="11" s="1"/>
  <c r="O5562" i="11"/>
  <c r="Q5562" i="11" s="1"/>
  <c r="O5538" i="11"/>
  <c r="Q5538" i="11" s="1"/>
  <c r="O5522" i="11"/>
  <c r="Q5522" i="11" s="1"/>
  <c r="O5498" i="11"/>
  <c r="Q5498" i="11" s="1"/>
  <c r="O5482" i="11"/>
  <c r="Q5482" i="11" s="1"/>
  <c r="O5458" i="11"/>
  <c r="Q5458" i="11" s="1"/>
  <c r="O5442" i="11"/>
  <c r="Q5442" i="11" s="1"/>
  <c r="O5426" i="11"/>
  <c r="Q5426" i="11" s="1"/>
  <c r="O5386" i="11"/>
  <c r="Q5386" i="11" s="1"/>
  <c r="O5370" i="11"/>
  <c r="Q5370" i="11" s="1"/>
  <c r="O5354" i="11"/>
  <c r="Q5354" i="11" s="1"/>
  <c r="O5330" i="11"/>
  <c r="Q5330" i="11" s="1"/>
  <c r="O5314" i="11"/>
  <c r="Q5314" i="11" s="1"/>
  <c r="O5290" i="11"/>
  <c r="Q5290" i="11" s="1"/>
  <c r="O5274" i="11"/>
  <c r="Q5274" i="11" s="1"/>
  <c r="O5258" i="11"/>
  <c r="Q5258" i="11" s="1"/>
  <c r="O5234" i="11"/>
  <c r="Q5234" i="11" s="1"/>
  <c r="O5202" i="11"/>
  <c r="Q5202" i="11" s="1"/>
  <c r="O5178" i="11"/>
  <c r="Q5178" i="11" s="1"/>
  <c r="O5154" i="11"/>
  <c r="Q5154" i="11" s="1"/>
  <c r="O5138" i="11"/>
  <c r="Q5138" i="11" s="1"/>
  <c r="O5122" i="11"/>
  <c r="Q5122" i="11" s="1"/>
  <c r="O5098" i="11"/>
  <c r="Q5098" i="11" s="1"/>
  <c r="O5080" i="11"/>
  <c r="Q5080" i="11" s="1"/>
  <c r="O5016" i="11"/>
  <c r="Q5016" i="11" s="1"/>
  <c r="O7552" i="11"/>
  <c r="Q7552" i="11" s="1"/>
  <c r="O7488" i="11"/>
  <c r="Q7488" i="11" s="1"/>
  <c r="O7440" i="11"/>
  <c r="Q7440" i="11" s="1"/>
  <c r="O7392" i="11"/>
  <c r="Q7392" i="11" s="1"/>
  <c r="O7344" i="11"/>
  <c r="Q7344" i="11" s="1"/>
  <c r="O7312" i="11"/>
  <c r="Q7312" i="11" s="1"/>
  <c r="O7280" i="11"/>
  <c r="Q7280" i="11" s="1"/>
  <c r="O7248" i="11"/>
  <c r="Q7248" i="11" s="1"/>
  <c r="O7200" i="11"/>
  <c r="Q7200" i="11" s="1"/>
  <c r="O7152" i="11"/>
  <c r="Q7152" i="11" s="1"/>
  <c r="O7088" i="11"/>
  <c r="Q7088" i="11" s="1"/>
  <c r="O7040" i="11"/>
  <c r="Q7040" i="11" s="1"/>
  <c r="O7008" i="11"/>
  <c r="Q7008" i="11" s="1"/>
  <c r="O6960" i="11"/>
  <c r="Q6960" i="11" s="1"/>
  <c r="O6928" i="11"/>
  <c r="Q6928" i="11" s="1"/>
  <c r="O6912" i="11"/>
  <c r="Q6912" i="11" s="1"/>
  <c r="O6864" i="11"/>
  <c r="Q6864" i="11" s="1"/>
  <c r="O6816" i="11"/>
  <c r="Q6816" i="11" s="1"/>
  <c r="O6736" i="11"/>
  <c r="Q6736" i="11" s="1"/>
  <c r="O6704" i="11"/>
  <c r="Q6704" i="11" s="1"/>
  <c r="O6656" i="11"/>
  <c r="Q6656" i="11" s="1"/>
  <c r="O6608" i="11"/>
  <c r="Q6608" i="11" s="1"/>
  <c r="O6560" i="11"/>
  <c r="Q6560" i="11" s="1"/>
  <c r="O6535" i="11"/>
  <c r="Q6535" i="11" s="1"/>
  <c r="O6519" i="11"/>
  <c r="Q6519" i="11" s="1"/>
  <c r="O6503" i="11"/>
  <c r="Q6503" i="11" s="1"/>
  <c r="O6487" i="11"/>
  <c r="Q6487" i="11" s="1"/>
  <c r="O6463" i="11"/>
  <c r="Q6463" i="11" s="1"/>
  <c r="O6439" i="11"/>
  <c r="Q6439" i="11" s="1"/>
  <c r="O6415" i="11"/>
  <c r="Q6415" i="11" s="1"/>
  <c r="O6399" i="11"/>
  <c r="Q6399" i="11" s="1"/>
  <c r="O6375" i="11"/>
  <c r="Q6375" i="11" s="1"/>
  <c r="O6367" i="11"/>
  <c r="Q6367" i="11" s="1"/>
  <c r="O6343" i="11"/>
  <c r="Q6343" i="11" s="1"/>
  <c r="O6319" i="11"/>
  <c r="Q6319" i="11" s="1"/>
  <c r="O6287" i="11"/>
  <c r="Q6287" i="11" s="1"/>
  <c r="O6263" i="11"/>
  <c r="Q6263" i="11" s="1"/>
  <c r="O6247" i="11"/>
  <c r="Q6247" i="11" s="1"/>
  <c r="O6223" i="11"/>
  <c r="Q6223" i="11" s="1"/>
  <c r="O6207" i="11"/>
  <c r="Q6207" i="11" s="1"/>
  <c r="O6191" i="11"/>
  <c r="Q6191" i="11" s="1"/>
  <c r="O6175" i="11"/>
  <c r="Q6175" i="11" s="1"/>
  <c r="O6159" i="11"/>
  <c r="Q6159" i="11" s="1"/>
  <c r="O6135" i="11"/>
  <c r="Q6135" i="11" s="1"/>
  <c r="O6111" i="11"/>
  <c r="Q6111" i="11" s="1"/>
  <c r="O6079" i="11"/>
  <c r="Q6079" i="11" s="1"/>
  <c r="O6055" i="11"/>
  <c r="Q6055" i="11" s="1"/>
  <c r="O6039" i="11"/>
  <c r="Q6039" i="11" s="1"/>
  <c r="O6023" i="11"/>
  <c r="Q6023" i="11" s="1"/>
  <c r="O5999" i="11"/>
  <c r="Q5999" i="11" s="1"/>
  <c r="O5975" i="11"/>
  <c r="Q5975" i="11" s="1"/>
  <c r="O5959" i="11"/>
  <c r="Q5959" i="11" s="1"/>
  <c r="O5951" i="11"/>
  <c r="Q5951" i="11" s="1"/>
  <c r="O5943" i="11"/>
  <c r="Q5943" i="11" s="1"/>
  <c r="O5927" i="11"/>
  <c r="Q5927" i="11" s="1"/>
  <c r="O5903" i="11"/>
  <c r="Q5903" i="11" s="1"/>
  <c r="O5887" i="11"/>
  <c r="Q5887" i="11" s="1"/>
  <c r="O5871" i="11"/>
  <c r="Q5871" i="11" s="1"/>
  <c r="O5847" i="11"/>
  <c r="Q5847" i="11" s="1"/>
  <c r="O5831" i="11"/>
  <c r="Q5831" i="11" s="1"/>
  <c r="O5807" i="11"/>
  <c r="Q5807" i="11" s="1"/>
  <c r="O5791" i="11"/>
  <c r="Q5791" i="11" s="1"/>
  <c r="O5767" i="11"/>
  <c r="Q5767" i="11" s="1"/>
  <c r="O5735" i="11"/>
  <c r="Q5735" i="11" s="1"/>
  <c r="O5711" i="11"/>
  <c r="Q5711" i="11" s="1"/>
  <c r="O5687" i="11"/>
  <c r="Q5687" i="11" s="1"/>
  <c r="O5671" i="11"/>
  <c r="Q5671" i="11" s="1"/>
  <c r="O5647" i="11"/>
  <c r="Q5647" i="11" s="1"/>
  <c r="O5623" i="11"/>
  <c r="Q5623" i="11" s="1"/>
  <c r="O5607" i="11"/>
  <c r="Q5607" i="11" s="1"/>
  <c r="O5591" i="11"/>
  <c r="Q5591" i="11" s="1"/>
  <c r="O5567" i="11"/>
  <c r="Q5567" i="11" s="1"/>
  <c r="O5543" i="11"/>
  <c r="Q5543" i="11" s="1"/>
  <c r="O5511" i="11"/>
  <c r="Q5511" i="11" s="1"/>
  <c r="O5487" i="11"/>
  <c r="Q5487" i="11" s="1"/>
  <c r="O5463" i="11"/>
  <c r="Q5463" i="11" s="1"/>
  <c r="O5447" i="11"/>
  <c r="Q5447" i="11" s="1"/>
  <c r="O5423" i="11"/>
  <c r="Q5423" i="11" s="1"/>
  <c r="O5399" i="11"/>
  <c r="Q5399" i="11" s="1"/>
  <c r="O5375" i="11"/>
  <c r="Q5375" i="11" s="1"/>
  <c r="O5351" i="11"/>
  <c r="Q5351" i="11" s="1"/>
  <c r="O5319" i="11"/>
  <c r="Q5319" i="11" s="1"/>
  <c r="O5295" i="11"/>
  <c r="Q5295" i="11" s="1"/>
  <c r="O5279" i="11"/>
  <c r="Q5279" i="11" s="1"/>
  <c r="O5255" i="11"/>
  <c r="Q5255" i="11" s="1"/>
  <c r="O5239" i="11"/>
  <c r="Q5239" i="11" s="1"/>
  <c r="O5223" i="11"/>
  <c r="Q5223" i="11" s="1"/>
  <c r="O5207" i="11"/>
  <c r="Q5207" i="11" s="1"/>
  <c r="O5183" i="11"/>
  <c r="Q5183" i="11" s="1"/>
  <c r="O5159" i="11"/>
  <c r="Q5159" i="11" s="1"/>
  <c r="O5127" i="11"/>
  <c r="Q5127" i="11" s="1"/>
  <c r="O5103" i="11"/>
  <c r="Q5103" i="11" s="1"/>
  <c r="O3591" i="11"/>
  <c r="Q3591" i="11" s="1"/>
  <c r="O7553" i="11"/>
  <c r="Q7553" i="11" s="1"/>
  <c r="O7505" i="11"/>
  <c r="Q7505" i="11" s="1"/>
  <c r="O7473" i="11"/>
  <c r="Q7473" i="11" s="1"/>
  <c r="O7425" i="11"/>
  <c r="Q7425" i="11" s="1"/>
  <c r="O7361" i="11"/>
  <c r="Q7361" i="11" s="1"/>
  <c r="O7297" i="11"/>
  <c r="Q7297" i="11" s="1"/>
  <c r="O7233" i="11"/>
  <c r="Q7233" i="11" s="1"/>
  <c r="O7201" i="11"/>
  <c r="Q7201" i="11" s="1"/>
  <c r="O7169" i="11"/>
  <c r="Q7169" i="11" s="1"/>
  <c r="O7121" i="11"/>
  <c r="Q7121" i="11" s="1"/>
  <c r="O7089" i="11"/>
  <c r="Q7089" i="11" s="1"/>
  <c r="O7057" i="11"/>
  <c r="Q7057" i="11" s="1"/>
  <c r="O7009" i="11"/>
  <c r="Q7009" i="11" s="1"/>
  <c r="O6945" i="11"/>
  <c r="Q6945" i="11" s="1"/>
  <c r="O6881" i="11"/>
  <c r="Q6881" i="11" s="1"/>
  <c r="O6849" i="11"/>
  <c r="Q6849" i="11" s="1"/>
  <c r="O6801" i="11"/>
  <c r="Q6801" i="11" s="1"/>
  <c r="O6769" i="11"/>
  <c r="Q6769" i="11" s="1"/>
  <c r="O6721" i="11"/>
  <c r="Q6721" i="11" s="1"/>
  <c r="O6705" i="11"/>
  <c r="Q6705" i="11" s="1"/>
  <c r="O6673" i="11"/>
  <c r="Q6673" i="11" s="1"/>
  <c r="O6641" i="11"/>
  <c r="Q6641" i="11" s="1"/>
  <c r="O6593" i="11"/>
  <c r="Q6593" i="11" s="1"/>
  <c r="O5068" i="11"/>
  <c r="Q5068" i="11" s="1"/>
  <c r="O4696" i="11"/>
  <c r="Q4696" i="11" s="1"/>
  <c r="O4568" i="11"/>
  <c r="Q4568" i="11" s="1"/>
  <c r="O4376" i="11"/>
  <c r="Q4376" i="11" s="1"/>
  <c r="O4248" i="11"/>
  <c r="Q4248" i="11" s="1"/>
  <c r="O4120" i="11"/>
  <c r="Q4120" i="11" s="1"/>
  <c r="O3864" i="11"/>
  <c r="Q3864" i="11" s="1"/>
  <c r="O3540" i="11"/>
  <c r="Q3540" i="11" s="1"/>
  <c r="O1297" i="11"/>
  <c r="Q1297" i="11" s="1"/>
  <c r="O4528" i="11"/>
  <c r="Q4528" i="11" s="1"/>
  <c r="O4336" i="11"/>
  <c r="Q4336" i="11" s="1"/>
  <c r="O4208" i="11"/>
  <c r="Q4208" i="11" s="1"/>
  <c r="O4016" i="11"/>
  <c r="Q4016" i="11" s="1"/>
  <c r="O3824" i="11"/>
  <c r="Q3824" i="11" s="1"/>
  <c r="O5083" i="11"/>
  <c r="Q5083" i="11" s="1"/>
  <c r="O5035" i="11"/>
  <c r="Q5035" i="11" s="1"/>
  <c r="O5003" i="11"/>
  <c r="Q5003" i="11" s="1"/>
  <c r="O4969" i="11"/>
  <c r="Q4969" i="11" s="1"/>
  <c r="O4961" i="11"/>
  <c r="Q4961" i="11" s="1"/>
  <c r="O4945" i="11"/>
  <c r="Q4945" i="11" s="1"/>
  <c r="O4929" i="11"/>
  <c r="Q4929" i="11" s="1"/>
  <c r="O4905" i="11"/>
  <c r="Q4905" i="11" s="1"/>
  <c r="O4873" i="11"/>
  <c r="Q4873" i="11" s="1"/>
  <c r="O4849" i="11"/>
  <c r="Q4849" i="11" s="1"/>
  <c r="O4833" i="11"/>
  <c r="Q4833" i="11" s="1"/>
  <c r="O4809" i="11"/>
  <c r="Q4809" i="11" s="1"/>
  <c r="O4785" i="11"/>
  <c r="Q4785" i="11" s="1"/>
  <c r="O4777" i="11"/>
  <c r="Q4777" i="11" s="1"/>
  <c r="O4761" i="11"/>
  <c r="Q4761" i="11" s="1"/>
  <c r="O4737" i="11"/>
  <c r="Q4737" i="11" s="1"/>
  <c r="O5065" i="11"/>
  <c r="Q5065" i="11" s="1"/>
  <c r="O5001" i="11"/>
  <c r="Q5001" i="11" s="1"/>
  <c r="O4968" i="11"/>
  <c r="Q4968" i="11" s="1"/>
  <c r="O4952" i="11"/>
  <c r="Q4952" i="11" s="1"/>
  <c r="O4936" i="11"/>
  <c r="Q4936" i="11" s="1"/>
  <c r="O4912" i="11"/>
  <c r="Q4912" i="11" s="1"/>
  <c r="O4896" i="11"/>
  <c r="Q4896" i="11" s="1"/>
  <c r="O4872" i="11"/>
  <c r="Q4872" i="11" s="1"/>
  <c r="O4840" i="11"/>
  <c r="Q4840" i="11" s="1"/>
  <c r="O4816" i="11"/>
  <c r="Q4816" i="11" s="1"/>
  <c r="O4792" i="11"/>
  <c r="Q4792" i="11" s="1"/>
  <c r="O4776" i="11"/>
  <c r="Q4776" i="11" s="1"/>
  <c r="O4752" i="11"/>
  <c r="Q4752" i="11" s="1"/>
  <c r="O5090" i="11"/>
  <c r="Q5090" i="11" s="1"/>
  <c r="O5074" i="11"/>
  <c r="Q5074" i="11" s="1"/>
  <c r="O5042" i="11"/>
  <c r="Q5042" i="11" s="1"/>
  <c r="O5010" i="11"/>
  <c r="Q5010" i="11" s="1"/>
  <c r="O4700" i="11"/>
  <c r="Q4700" i="11" s="1"/>
  <c r="O4604" i="11"/>
  <c r="Q4604" i="11" s="1"/>
  <c r="O4476" i="11"/>
  <c r="Q4476" i="11" s="1"/>
  <c r="O4380" i="11"/>
  <c r="Q4380" i="11" s="1"/>
  <c r="O4316" i="11"/>
  <c r="Q4316" i="11" s="1"/>
  <c r="O4220" i="11"/>
  <c r="Q4220" i="11" s="1"/>
  <c r="O4188" i="11"/>
  <c r="Q4188" i="11" s="1"/>
  <c r="O4124" i="11"/>
  <c r="Q4124" i="11" s="1"/>
  <c r="O4028" i="11"/>
  <c r="Q4028" i="11" s="1"/>
  <c r="O3900" i="11"/>
  <c r="Q3900" i="11" s="1"/>
  <c r="O3804" i="11"/>
  <c r="Q3804" i="11" s="1"/>
  <c r="O3708" i="11"/>
  <c r="Q3708" i="11" s="1"/>
  <c r="O3657" i="11"/>
  <c r="Q3657" i="11" s="1"/>
  <c r="O3612" i="11"/>
  <c r="Q3612" i="11" s="1"/>
  <c r="O3567" i="11"/>
  <c r="Q3567" i="11" s="1"/>
  <c r="O4711" i="11"/>
  <c r="Q4711" i="11" s="1"/>
  <c r="O4663" i="11"/>
  <c r="Q4663" i="11" s="1"/>
  <c r="O4615" i="11"/>
  <c r="Q4615" i="11" s="1"/>
  <c r="O4551" i="11"/>
  <c r="Q4551" i="11" s="1"/>
  <c r="O4503" i="11"/>
  <c r="Q4503" i="11" s="1"/>
  <c r="O4471" i="11"/>
  <c r="Q4471" i="11" s="1"/>
  <c r="O4439" i="11"/>
  <c r="Q4439" i="11" s="1"/>
  <c r="O4407" i="11"/>
  <c r="Q4407" i="11" s="1"/>
  <c r="O4375" i="11"/>
  <c r="Q4375" i="11" s="1"/>
  <c r="O4327" i="11"/>
  <c r="Q4327" i="11" s="1"/>
  <c r="O4279" i="11"/>
  <c r="Q4279" i="11" s="1"/>
  <c r="O4215" i="11"/>
  <c r="Q4215" i="11" s="1"/>
  <c r="O4183" i="11"/>
  <c r="Q4183" i="11" s="1"/>
  <c r="O4135" i="11"/>
  <c r="Q4135" i="11" s="1"/>
  <c r="O4087" i="11"/>
  <c r="Q4087" i="11" s="1"/>
  <c r="O4055" i="11"/>
  <c r="Q4055" i="11" s="1"/>
  <c r="O4039" i="11"/>
  <c r="Q4039" i="11" s="1"/>
  <c r="O4007" i="11"/>
  <c r="Q4007" i="11" s="1"/>
  <c r="O3943" i="11"/>
  <c r="Q3943" i="11" s="1"/>
  <c r="O3879" i="11"/>
  <c r="Q3879" i="11" s="1"/>
  <c r="O3831" i="11"/>
  <c r="Q3831" i="11" s="1"/>
  <c r="O3799" i="11"/>
  <c r="Q3799" i="11" s="1"/>
  <c r="O3751" i="11"/>
  <c r="Q3751" i="11" s="1"/>
  <c r="O3719" i="11"/>
  <c r="Q3719" i="11" s="1"/>
  <c r="O3687" i="11"/>
  <c r="Q3687" i="11" s="1"/>
  <c r="O4701" i="11"/>
  <c r="Q4701" i="11" s="1"/>
  <c r="O4637" i="11"/>
  <c r="Q4637" i="11" s="1"/>
  <c r="O4573" i="11"/>
  <c r="Q4573" i="11" s="1"/>
  <c r="O4525" i="11"/>
  <c r="Q4525" i="11" s="1"/>
  <c r="O4477" i="11"/>
  <c r="Q4477" i="11" s="1"/>
  <c r="O4445" i="11"/>
  <c r="Q4445" i="11" s="1"/>
  <c r="O4413" i="11"/>
  <c r="Q4413" i="11" s="1"/>
  <c r="O4365" i="11"/>
  <c r="Q4365" i="11" s="1"/>
  <c r="O4317" i="11"/>
  <c r="Q4317" i="11" s="1"/>
  <c r="O4253" i="11"/>
  <c r="Q4253" i="11" s="1"/>
  <c r="O4221" i="11"/>
  <c r="Q4221" i="11" s="1"/>
  <c r="O4173" i="11"/>
  <c r="Q4173" i="11" s="1"/>
  <c r="O4141" i="11"/>
  <c r="Q4141" i="11" s="1"/>
  <c r="O4109" i="11"/>
  <c r="Q4109" i="11" s="1"/>
  <c r="O4093" i="11"/>
  <c r="Q4093" i="11" s="1"/>
  <c r="O4061" i="11"/>
  <c r="Q4061" i="11" s="1"/>
  <c r="O3933" i="11"/>
  <c r="Q3933" i="11" s="1"/>
  <c r="O3885" i="11"/>
  <c r="Q3885" i="11" s="1"/>
  <c r="O3837" i="11"/>
  <c r="Q3837" i="11" s="1"/>
  <c r="O3789" i="11"/>
  <c r="Q3789" i="11" s="1"/>
  <c r="O3757" i="11"/>
  <c r="Q3757" i="11" s="1"/>
  <c r="O3725" i="11"/>
  <c r="Q3725" i="11" s="1"/>
  <c r="O3677" i="11"/>
  <c r="Q3677" i="11" s="1"/>
  <c r="O3484" i="11"/>
  <c r="Q3484" i="11" s="1"/>
  <c r="O3420" i="11"/>
  <c r="Q3420" i="11" s="1"/>
  <c r="O3368" i="11"/>
  <c r="Q3368" i="11" s="1"/>
  <c r="O4686" i="11"/>
  <c r="Q4686" i="11" s="1"/>
  <c r="O4638" i="11"/>
  <c r="Q4638" i="11" s="1"/>
  <c r="O4622" i="11"/>
  <c r="Q4622" i="11" s="1"/>
  <c r="O4590" i="11"/>
  <c r="Q4590" i="11" s="1"/>
  <c r="O4542" i="11"/>
  <c r="Q4542" i="11" s="1"/>
  <c r="O4462" i="11"/>
  <c r="Q4462" i="11" s="1"/>
  <c r="O4414" i="11"/>
  <c r="Q4414" i="11" s="1"/>
  <c r="O4366" i="11"/>
  <c r="Q4366" i="11" s="1"/>
  <c r="O4334" i="11"/>
  <c r="Q4334" i="11" s="1"/>
  <c r="O4302" i="11"/>
  <c r="Q4302" i="11" s="1"/>
  <c r="O4270" i="11"/>
  <c r="Q4270" i="11" s="1"/>
  <c r="O4222" i="11"/>
  <c r="Q4222" i="11" s="1"/>
  <c r="O4158" i="11"/>
  <c r="Q4158" i="11" s="1"/>
  <c r="O4110" i="11"/>
  <c r="Q4110" i="11" s="1"/>
  <c r="O4062" i="11"/>
  <c r="Q4062" i="11" s="1"/>
  <c r="O4014" i="11"/>
  <c r="Q4014" i="11" s="1"/>
  <c r="O3966" i="11"/>
  <c r="Q3966" i="11" s="1"/>
  <c r="O3934" i="11"/>
  <c r="Q3934" i="11" s="1"/>
  <c r="O3886" i="11"/>
  <c r="Q3886" i="11" s="1"/>
  <c r="O3838" i="11"/>
  <c r="Q3838" i="11" s="1"/>
  <c r="O3774" i="11"/>
  <c r="Q3774" i="11" s="1"/>
  <c r="O3726" i="11"/>
  <c r="Q3726" i="11" s="1"/>
  <c r="O3694" i="11"/>
  <c r="Q3694" i="11" s="1"/>
  <c r="O3656" i="11"/>
  <c r="Q3656" i="11" s="1"/>
  <c r="O3635" i="11"/>
  <c r="Q3635" i="11" s="1"/>
  <c r="O3613" i="11"/>
  <c r="Q3613" i="11" s="1"/>
  <c r="O3581" i="11"/>
  <c r="Q3581" i="11" s="1"/>
  <c r="O3549" i="11"/>
  <c r="Q3549" i="11" s="1"/>
  <c r="O3511" i="11"/>
  <c r="Q3511" i="11" s="1"/>
  <c r="O3479" i="11"/>
  <c r="Q3479" i="11" s="1"/>
  <c r="O3447" i="11"/>
  <c r="Q3447" i="11" s="1"/>
  <c r="O3399" i="11"/>
  <c r="Q3399" i="11" s="1"/>
  <c r="O1025" i="11"/>
  <c r="Q1025" i="11" s="1"/>
  <c r="O3351" i="11"/>
  <c r="Q3351" i="11" s="1"/>
  <c r="O3330" i="11"/>
  <c r="Q3330" i="11" s="1"/>
  <c r="O3298" i="11"/>
  <c r="Q3298" i="11" s="1"/>
  <c r="O3255" i="11"/>
  <c r="Q3255" i="11" s="1"/>
  <c r="O3213" i="11"/>
  <c r="Q3213" i="11" s="1"/>
  <c r="O3170" i="11"/>
  <c r="Q3170" i="11" s="1"/>
  <c r="O3138" i="11"/>
  <c r="Q3138" i="11" s="1"/>
  <c r="O3090" i="11"/>
  <c r="Q3090" i="11" s="1"/>
  <c r="O3042" i="11"/>
  <c r="Q3042" i="11" s="1"/>
  <c r="O3010" i="11"/>
  <c r="Q3010" i="11" s="1"/>
  <c r="O2962" i="11"/>
  <c r="Q2962" i="11" s="1"/>
  <c r="O2914" i="11"/>
  <c r="Q2914" i="11" s="1"/>
  <c r="O2866" i="11"/>
  <c r="Q2866" i="11" s="1"/>
  <c r="O2818" i="11"/>
  <c r="Q2818" i="11" s="1"/>
  <c r="O3358" i="11"/>
  <c r="Q3358" i="11" s="1"/>
  <c r="O2318" i="11"/>
  <c r="Q2318" i="11" s="1"/>
  <c r="O2126" i="11"/>
  <c r="Q2126" i="11" s="1"/>
  <c r="O2062" i="11"/>
  <c r="Q2062" i="11" s="1"/>
  <c r="O1966" i="11"/>
  <c r="Q1966" i="11" s="1"/>
  <c r="O1735" i="11"/>
  <c r="Q1735" i="11" s="1"/>
  <c r="O1477" i="11"/>
  <c r="Q1477" i="11" s="1"/>
  <c r="O1070" i="11"/>
  <c r="Q1070" i="11" s="1"/>
  <c r="O3650" i="11"/>
  <c r="Q3650" i="11" s="1"/>
  <c r="O3618" i="11"/>
  <c r="Q3618" i="11" s="1"/>
  <c r="O3586" i="11"/>
  <c r="Q3586" i="11" s="1"/>
  <c r="O3554" i="11"/>
  <c r="Q3554" i="11" s="1"/>
  <c r="O3506" i="11"/>
  <c r="Q3506" i="11" s="1"/>
  <c r="O3442" i="11"/>
  <c r="Q3442" i="11" s="1"/>
  <c r="O3378" i="11"/>
  <c r="Q3378" i="11" s="1"/>
  <c r="O3171" i="11"/>
  <c r="Q3171" i="11" s="1"/>
  <c r="O3139" i="11"/>
  <c r="Q3139" i="11" s="1"/>
  <c r="O3091" i="11"/>
  <c r="Q3091" i="11" s="1"/>
  <c r="O3059" i="11"/>
  <c r="Q3059" i="11" s="1"/>
  <c r="O3027" i="11"/>
  <c r="Q3027" i="11" s="1"/>
  <c r="O2995" i="11"/>
  <c r="Q2995" i="11" s="1"/>
  <c r="O2931" i="11"/>
  <c r="Q2931" i="11" s="1"/>
  <c r="O2867" i="11"/>
  <c r="Q2867" i="11" s="1"/>
  <c r="O2835" i="11"/>
  <c r="Q2835" i="11" s="1"/>
  <c r="O2803" i="11"/>
  <c r="Q2803" i="11" s="1"/>
  <c r="O2755" i="11"/>
  <c r="Q2755" i="11" s="1"/>
  <c r="O2723" i="11"/>
  <c r="Q2723" i="11" s="1"/>
  <c r="O2691" i="11"/>
  <c r="Q2691" i="11" s="1"/>
  <c r="O2643" i="11"/>
  <c r="Q2643" i="11" s="1"/>
  <c r="O2611" i="11"/>
  <c r="Q2611" i="11" s="1"/>
  <c r="O2579" i="11"/>
  <c r="Q2579" i="11" s="1"/>
  <c r="O2547" i="11"/>
  <c r="Q2547" i="11" s="1"/>
  <c r="O3197" i="11"/>
  <c r="Q3197" i="11" s="1"/>
  <c r="O3117" i="11"/>
  <c r="Q3117" i="11" s="1"/>
  <c r="O3069" i="11"/>
  <c r="Q3069" i="11" s="1"/>
  <c r="O3021" i="11"/>
  <c r="Q3021" i="11" s="1"/>
  <c r="O2989" i="11"/>
  <c r="Q2989" i="11" s="1"/>
  <c r="O2957" i="11"/>
  <c r="Q2957" i="11" s="1"/>
  <c r="O2925" i="11"/>
  <c r="Q2925" i="11" s="1"/>
  <c r="O2893" i="11"/>
  <c r="Q2893" i="11" s="1"/>
  <c r="O2845" i="11"/>
  <c r="Q2845" i="11" s="1"/>
  <c r="O2765" i="11"/>
  <c r="Q2765" i="11" s="1"/>
  <c r="O2717" i="11"/>
  <c r="Q2717" i="11" s="1"/>
  <c r="O2669" i="11"/>
  <c r="Q2669" i="11" s="1"/>
  <c r="O2621" i="11"/>
  <c r="Q2621" i="11" s="1"/>
  <c r="O2589" i="11"/>
  <c r="Q2589" i="11" s="1"/>
  <c r="O2557" i="11"/>
  <c r="Q2557" i="11" s="1"/>
  <c r="O2509" i="11"/>
  <c r="Q2509" i="11" s="1"/>
  <c r="O2461" i="11"/>
  <c r="Q2461" i="11" s="1"/>
  <c r="O2397" i="11"/>
  <c r="Q2397" i="11" s="1"/>
  <c r="O2349" i="11"/>
  <c r="Q2349" i="11" s="1"/>
  <c r="O2317" i="11"/>
  <c r="Q2317" i="11" s="1"/>
  <c r="O2269" i="11"/>
  <c r="Q2269" i="11" s="1"/>
  <c r="O2237" i="11"/>
  <c r="Q2237" i="11" s="1"/>
  <c r="O2205" i="11"/>
  <c r="Q2205" i="11" s="1"/>
  <c r="O2173" i="11"/>
  <c r="Q2173" i="11" s="1"/>
  <c r="O2125" i="11"/>
  <c r="Q2125" i="11" s="1"/>
  <c r="O2061" i="11"/>
  <c r="Q2061" i="11" s="1"/>
  <c r="O2013" i="11"/>
  <c r="Q2013" i="11" s="1"/>
  <c r="O1981" i="11"/>
  <c r="Q1981" i="11" s="1"/>
  <c r="O1928" i="11"/>
  <c r="Q1928" i="11" s="1"/>
  <c r="O1278" i="11"/>
  <c r="Q1278" i="11" s="1"/>
  <c r="O890" i="11"/>
  <c r="Q890" i="11" s="1"/>
  <c r="O700" i="11"/>
  <c r="Q700" i="11" s="1"/>
  <c r="O2531" i="11"/>
  <c r="Q2531" i="11" s="1"/>
  <c r="O2467" i="11"/>
  <c r="Q2467" i="11" s="1"/>
  <c r="O2403" i="11"/>
  <c r="Q2403" i="11" s="1"/>
  <c r="O2355" i="11"/>
  <c r="Q2355" i="11" s="1"/>
  <c r="O2323" i="11"/>
  <c r="Q2323" i="11" s="1"/>
  <c r="O2275" i="11"/>
  <c r="Q2275" i="11" s="1"/>
  <c r="O2243" i="11"/>
  <c r="Q2243" i="11" s="1"/>
  <c r="O2211" i="11"/>
  <c r="Q2211" i="11" s="1"/>
  <c r="O2163" i="11"/>
  <c r="Q2163" i="11" s="1"/>
  <c r="O2099" i="11"/>
  <c r="Q2099" i="11" s="1"/>
  <c r="O2035" i="11"/>
  <c r="Q2035" i="11" s="1"/>
  <c r="O1987" i="11"/>
  <c r="Q1987" i="11" s="1"/>
  <c r="O1955" i="11"/>
  <c r="Q1955" i="11" s="1"/>
  <c r="O1170" i="11"/>
  <c r="Q1170" i="11" s="1"/>
  <c r="O816" i="11"/>
  <c r="Q816" i="11" s="1"/>
  <c r="O284" i="11"/>
  <c r="Q284" i="11" s="1"/>
  <c r="O3304" i="11"/>
  <c r="Q3304" i="11" s="1"/>
  <c r="O3224" i="11"/>
  <c r="Q3224" i="11" s="1"/>
  <c r="O3176" i="11"/>
  <c r="Q3176" i="11" s="1"/>
  <c r="O3128" i="11"/>
  <c r="Q3128" i="11" s="1"/>
  <c r="O3096" i="11"/>
  <c r="Q3096" i="11" s="1"/>
  <c r="O3064" i="11"/>
  <c r="Q3064" i="11" s="1"/>
  <c r="O3016" i="11"/>
  <c r="Q3016" i="11" s="1"/>
  <c r="O2968" i="11"/>
  <c r="Q2968" i="11" s="1"/>
  <c r="O2920" i="11"/>
  <c r="Q2920" i="11" s="1"/>
  <c r="O2872" i="11"/>
  <c r="Q2872" i="11" s="1"/>
  <c r="O2824" i="11"/>
  <c r="Q2824" i="11" s="1"/>
  <c r="O2792" i="11"/>
  <c r="Q2792" i="11" s="1"/>
  <c r="O2744" i="11"/>
  <c r="Q2744" i="11" s="1"/>
  <c r="O2712" i="11"/>
  <c r="Q2712" i="11" s="1"/>
  <c r="O2680" i="11"/>
  <c r="Q2680" i="11" s="1"/>
  <c r="O2632" i="11"/>
  <c r="Q2632" i="11" s="1"/>
  <c r="O2584" i="11"/>
  <c r="Q2584" i="11" s="1"/>
  <c r="O2520" i="11"/>
  <c r="Q2520" i="11" s="1"/>
  <c r="O2488" i="11"/>
  <c r="Q2488" i="11" s="1"/>
  <c r="O2440" i="11"/>
  <c r="Q2440" i="11" s="1"/>
  <c r="O2392" i="11"/>
  <c r="Q2392" i="11" s="1"/>
  <c r="O2360" i="11"/>
  <c r="Q2360" i="11" s="1"/>
  <c r="O2328" i="11"/>
  <c r="Q2328" i="11" s="1"/>
  <c r="O2280" i="11"/>
  <c r="Q2280" i="11" s="1"/>
  <c r="O2232" i="11"/>
  <c r="Q2232" i="11" s="1"/>
  <c r="O2168" i="11"/>
  <c r="Q2168" i="11" s="1"/>
  <c r="O2120" i="11"/>
  <c r="Q2120" i="11" s="1"/>
  <c r="O2072" i="11"/>
  <c r="Q2072" i="11" s="1"/>
  <c r="O2040" i="11"/>
  <c r="Q2040" i="11" s="1"/>
  <c r="O1992" i="11"/>
  <c r="Q1992" i="11" s="1"/>
  <c r="O1960" i="11"/>
  <c r="Q1960" i="11" s="1"/>
  <c r="O1867" i="11"/>
  <c r="Q1867" i="11" s="1"/>
  <c r="O1771" i="11"/>
  <c r="Q1771" i="11" s="1"/>
  <c r="O1643" i="11"/>
  <c r="Q1643" i="11" s="1"/>
  <c r="O1582" i="11"/>
  <c r="Q1582" i="11" s="1"/>
  <c r="O1454" i="11"/>
  <c r="Q1454" i="11" s="1"/>
  <c r="O1365" i="11"/>
  <c r="Q1365" i="11" s="1"/>
  <c r="O1246" i="11"/>
  <c r="Q1246" i="11" s="1"/>
  <c r="O1105" i="11"/>
  <c r="Q1105" i="11" s="1"/>
  <c r="O990" i="11"/>
  <c r="Q990" i="11" s="1"/>
  <c r="O570" i="11"/>
  <c r="Q570" i="11" s="1"/>
  <c r="O1898" i="11"/>
  <c r="Q1898" i="11" s="1"/>
  <c r="O1850" i="11"/>
  <c r="Q1850" i="11" s="1"/>
  <c r="O1818" i="11"/>
  <c r="Q1818" i="11" s="1"/>
  <c r="O1786" i="11"/>
  <c r="Q1786" i="11" s="1"/>
  <c r="O1738" i="11"/>
  <c r="Q1738" i="11" s="1"/>
  <c r="O1690" i="11"/>
  <c r="Q1690" i="11" s="1"/>
  <c r="O1658" i="11"/>
  <c r="Q1658" i="11" s="1"/>
  <c r="O1594" i="11"/>
  <c r="Q1594" i="11" s="1"/>
  <c r="O1483" i="11"/>
  <c r="Q1483" i="11" s="1"/>
  <c r="O1419" i="11"/>
  <c r="Q1419" i="11" s="1"/>
  <c r="O1351" i="11"/>
  <c r="Q1351" i="11" s="1"/>
  <c r="O1208" i="11"/>
  <c r="Q1208" i="11" s="1"/>
  <c r="O1056" i="11"/>
  <c r="Q1056" i="11" s="1"/>
  <c r="O800" i="11"/>
  <c r="Q800" i="11" s="1"/>
  <c r="O601" i="11"/>
  <c r="Q601" i="11" s="1"/>
  <c r="O232" i="11"/>
  <c r="Q232" i="11" s="1"/>
  <c r="O1868" i="11"/>
  <c r="Q1868" i="11" s="1"/>
  <c r="O1820" i="11"/>
  <c r="Q1820" i="11" s="1"/>
  <c r="O1772" i="11"/>
  <c r="Q1772" i="11" s="1"/>
  <c r="O1740" i="11"/>
  <c r="Q1740" i="11" s="1"/>
  <c r="O1692" i="11"/>
  <c r="Q1692" i="11" s="1"/>
  <c r="O1628" i="11"/>
  <c r="Q1628" i="11" s="1"/>
  <c r="O1578" i="11"/>
  <c r="Q1578" i="11" s="1"/>
  <c r="O1514" i="11"/>
  <c r="Q1514" i="11" s="1"/>
  <c r="O1473" i="11"/>
  <c r="Q1473" i="11" s="1"/>
  <c r="O1409" i="11"/>
  <c r="Q1409" i="11" s="1"/>
  <c r="O1371" i="11"/>
  <c r="Q1371" i="11" s="1"/>
  <c r="O1307" i="11"/>
  <c r="Q1307" i="11" s="1"/>
  <c r="O1194" i="11"/>
  <c r="Q1194" i="11" s="1"/>
  <c r="O926" i="11"/>
  <c r="Q926" i="11" s="1"/>
  <c r="O440" i="11"/>
  <c r="Q440" i="11" s="1"/>
  <c r="O1925" i="11"/>
  <c r="Q1925" i="11" s="1"/>
  <c r="O1877" i="11"/>
  <c r="Q1877" i="11" s="1"/>
  <c r="O1845" i="11"/>
  <c r="Q1845" i="11" s="1"/>
  <c r="O1813" i="11"/>
  <c r="Q1813" i="11" s="1"/>
  <c r="O1781" i="11"/>
  <c r="Q1781" i="11" s="1"/>
  <c r="O1717" i="11"/>
  <c r="Q1717" i="11" s="1"/>
  <c r="O1653" i="11"/>
  <c r="Q1653" i="11" s="1"/>
  <c r="O1605" i="11"/>
  <c r="Q1605" i="11" s="1"/>
  <c r="O1549" i="11"/>
  <c r="Q1549" i="11" s="1"/>
  <c r="O1485" i="11"/>
  <c r="Q1485" i="11" s="1"/>
  <c r="O1439" i="11"/>
  <c r="Q1439" i="11" s="1"/>
  <c r="O1398" i="11"/>
  <c r="Q1398" i="11" s="1"/>
  <c r="O1375" i="11"/>
  <c r="Q1375" i="11" s="1"/>
  <c r="O1326" i="11"/>
  <c r="Q1326" i="11" s="1"/>
  <c r="O1240" i="11"/>
  <c r="Q1240" i="11" s="1"/>
  <c r="O1122" i="11"/>
  <c r="Q1122" i="11" s="1"/>
  <c r="O968" i="11"/>
  <c r="Q968" i="11" s="1"/>
  <c r="O712" i="11"/>
  <c r="Q712" i="11" s="1"/>
  <c r="O556" i="11"/>
  <c r="Q556" i="11" s="1"/>
  <c r="O254" i="11"/>
  <c r="Q254" i="11" s="1"/>
  <c r="O156" i="11"/>
  <c r="Q156" i="11" s="1"/>
  <c r="O1370" i="11"/>
  <c r="Q1370" i="11" s="1"/>
  <c r="O1256" i="11"/>
  <c r="Q1256" i="11" s="1"/>
  <c r="O1052" i="11"/>
  <c r="Q1052" i="11" s="1"/>
  <c r="O905" i="11"/>
  <c r="Q905" i="11" s="1"/>
  <c r="O744" i="11"/>
  <c r="Q744" i="11" s="1"/>
  <c r="O592" i="11"/>
  <c r="Q592" i="11" s="1"/>
  <c r="O540" i="11"/>
  <c r="Q540" i="11" s="1"/>
  <c r="O488" i="11"/>
  <c r="Q488" i="11" s="1"/>
  <c r="O336" i="11"/>
  <c r="Q336" i="11" s="1"/>
  <c r="O80" i="11"/>
  <c r="Q80" i="11" s="1"/>
  <c r="O392" i="11"/>
  <c r="Q392" i="11" s="1"/>
  <c r="O194" i="11"/>
  <c r="Q194" i="11" s="1"/>
  <c r="O24" i="11"/>
  <c r="Q24" i="11" s="1"/>
  <c r="O882" i="11"/>
  <c r="Q882" i="11" s="1"/>
  <c r="O768" i="11"/>
  <c r="Q768" i="11" s="1"/>
  <c r="O664" i="11"/>
  <c r="Q664" i="11" s="1"/>
  <c r="O512" i="11"/>
  <c r="Q512" i="11" s="1"/>
  <c r="O306" i="11"/>
  <c r="Q306" i="11" s="1"/>
  <c r="O181" i="11"/>
  <c r="Q181" i="11" s="1"/>
  <c r="O65" i="11"/>
  <c r="Q65" i="11" s="1"/>
  <c r="O224" i="11"/>
  <c r="Q224" i="11" s="1"/>
  <c r="O120" i="11"/>
  <c r="Q120" i="11" s="1"/>
  <c r="O25" i="11"/>
  <c r="Q25" i="11" s="1"/>
  <c r="O1580" i="11"/>
  <c r="Q1580" i="11" s="1"/>
  <c r="O1404" i="11"/>
  <c r="Q1404" i="11" s="1"/>
  <c r="O1204" i="11"/>
  <c r="Q1204" i="11" s="1"/>
  <c r="O989" i="11"/>
  <c r="Q989" i="11" s="1"/>
  <c r="O756" i="11"/>
  <c r="Q756" i="11" s="1"/>
  <c r="O541" i="11"/>
  <c r="Q541" i="11" s="1"/>
  <c r="O285" i="11"/>
  <c r="Q285" i="11" s="1"/>
  <c r="O52" i="11"/>
  <c r="Q52" i="11" s="1"/>
  <c r="O1139" i="11"/>
  <c r="Q1139" i="11" s="1"/>
  <c r="O963" i="11"/>
  <c r="Q963" i="11" s="1"/>
  <c r="O787" i="11"/>
  <c r="Q787" i="11" s="1"/>
  <c r="O611" i="11"/>
  <c r="Q611" i="11" s="1"/>
  <c r="O451" i="11"/>
  <c r="Q451" i="11" s="1"/>
  <c r="O275" i="11"/>
  <c r="Q275" i="11" s="1"/>
  <c r="O99" i="11"/>
  <c r="Q99" i="11" s="1"/>
  <c r="O1464" i="11"/>
  <c r="Q1464" i="11" s="1"/>
  <c r="O1238" i="11"/>
  <c r="Q1238" i="11" s="1"/>
  <c r="O1028" i="11"/>
  <c r="Q1028" i="11" s="1"/>
  <c r="O790" i="11"/>
  <c r="Q790" i="11" s="1"/>
  <c r="O534" i="11"/>
  <c r="Q534" i="11" s="1"/>
  <c r="O324" i="11"/>
  <c r="Q324" i="11" s="1"/>
  <c r="O86" i="11"/>
  <c r="Q86" i="11" s="1"/>
  <c r="O1183" i="11"/>
  <c r="Q1183" i="11" s="1"/>
  <c r="O1023" i="11"/>
  <c r="Q1023" i="11" s="1"/>
  <c r="O863" i="11"/>
  <c r="Q863" i="11" s="1"/>
  <c r="O687" i="11"/>
  <c r="Q687" i="11" s="1"/>
  <c r="O511" i="11"/>
  <c r="Q511" i="11" s="1"/>
  <c r="O319" i="11"/>
  <c r="Q319" i="11" s="1"/>
  <c r="O127" i="11"/>
  <c r="Q127" i="11" s="1"/>
  <c r="O1492" i="11"/>
  <c r="Q1492" i="11" s="1"/>
  <c r="O1316" i="11"/>
  <c r="Q1316" i="11" s="1"/>
  <c r="O1062" i="11"/>
  <c r="Q1062" i="11" s="1"/>
  <c r="O806" i="11"/>
  <c r="Q806" i="11" s="1"/>
  <c r="O550" i="11"/>
  <c r="Q550" i="11" s="1"/>
  <c r="O317" i="11"/>
  <c r="Q317" i="11" s="1"/>
  <c r="O84" i="11"/>
  <c r="Q84" i="11" s="1"/>
  <c r="O1179" i="11"/>
  <c r="Q1179" i="11" s="1"/>
  <c r="O971" i="11"/>
  <c r="Q971" i="11" s="1"/>
  <c r="O795" i="11"/>
  <c r="Q795" i="11" s="1"/>
  <c r="O667" i="11"/>
  <c r="Q667" i="11" s="1"/>
  <c r="O603" i="11"/>
  <c r="Q603" i="11" s="1"/>
  <c r="O523" i="11"/>
  <c r="Q523" i="11" s="1"/>
  <c r="O459" i="11"/>
  <c r="Q459" i="11" s="1"/>
  <c r="O395" i="11"/>
  <c r="Q395" i="11" s="1"/>
  <c r="O331" i="11"/>
  <c r="Q331" i="11" s="1"/>
  <c r="O267" i="11"/>
  <c r="Q267" i="11" s="1"/>
  <c r="O203" i="11"/>
  <c r="Q203" i="11" s="1"/>
  <c r="O139" i="11"/>
  <c r="Q139" i="11" s="1"/>
  <c r="O75" i="11"/>
  <c r="Q75" i="11" s="1"/>
  <c r="O1548" i="11"/>
  <c r="Q1548" i="11" s="1"/>
  <c r="O1436" i="11"/>
  <c r="Q1436" i="11" s="1"/>
  <c r="O1340" i="11"/>
  <c r="Q1340" i="11" s="1"/>
  <c r="O1222" i="11"/>
  <c r="Q1222" i="11" s="1"/>
  <c r="O1076" i="11"/>
  <c r="Q1076" i="11" s="1"/>
  <c r="O948" i="11"/>
  <c r="Q948" i="11" s="1"/>
  <c r="O797" i="11"/>
  <c r="Q797" i="11" s="1"/>
  <c r="O669" i="11"/>
  <c r="Q669" i="11" s="1"/>
  <c r="O518" i="11"/>
  <c r="Q518" i="11" s="1"/>
  <c r="O390" i="11"/>
  <c r="Q390" i="11" s="1"/>
  <c r="O262" i="11"/>
  <c r="Q262" i="11" s="1"/>
  <c r="O134" i="11"/>
  <c r="Q134" i="11" s="1"/>
  <c r="O1299" i="11"/>
  <c r="Q1299" i="11" s="1"/>
  <c r="O1203" i="11"/>
  <c r="Q1203" i="11" s="1"/>
  <c r="O1091" i="11"/>
  <c r="Q1091" i="11" s="1"/>
  <c r="O1011" i="11"/>
  <c r="Q1011" i="11" s="1"/>
  <c r="O899" i="11"/>
  <c r="Q899" i="11" s="1"/>
  <c r="O803" i="11"/>
  <c r="Q803" i="11" s="1"/>
  <c r="O691" i="11"/>
  <c r="Q691" i="11" s="1"/>
  <c r="O595" i="11"/>
  <c r="Q595" i="11" s="1"/>
  <c r="O483" i="11"/>
  <c r="Q483" i="11" s="1"/>
  <c r="O387" i="11"/>
  <c r="Q387" i="11" s="1"/>
  <c r="O291" i="11"/>
  <c r="Q291" i="11" s="1"/>
  <c r="O195" i="11"/>
  <c r="Q195" i="11" s="1"/>
  <c r="O83" i="11"/>
  <c r="Q83" i="11" s="1"/>
  <c r="O1576" i="11"/>
  <c r="Q1576" i="11" s="1"/>
  <c r="O1480" i="11"/>
  <c r="Q1480" i="11" s="1"/>
  <c r="O1384" i="11"/>
  <c r="Q1384" i="11" s="1"/>
  <c r="O1284" i="11"/>
  <c r="Q1284" i="11" s="1"/>
  <c r="O1156" i="11"/>
  <c r="Q1156" i="11" s="1"/>
  <c r="O1005" i="11"/>
  <c r="Q1005" i="11" s="1"/>
  <c r="O877" i="11"/>
  <c r="Q877" i="11" s="1"/>
  <c r="O749" i="11"/>
  <c r="Q749" i="11" s="1"/>
  <c r="O621" i="11"/>
  <c r="Q621" i="11" s="1"/>
  <c r="O470" i="11"/>
  <c r="Q470" i="11" s="1"/>
  <c r="O342" i="11"/>
  <c r="Q342" i="11" s="1"/>
  <c r="O214" i="11"/>
  <c r="Q214" i="11" s="1"/>
  <c r="O68" i="11"/>
  <c r="Q68" i="11" s="1"/>
  <c r="O1247" i="11"/>
  <c r="Q1247" i="11" s="1"/>
  <c r="O1135" i="11"/>
  <c r="Q1135" i="11" s="1"/>
  <c r="O1039" i="11"/>
  <c r="Q1039" i="11" s="1"/>
  <c r="O927" i="11"/>
  <c r="Q927" i="11" s="1"/>
  <c r="O831" i="11"/>
  <c r="Q831" i="11" s="1"/>
  <c r="O735" i="11"/>
  <c r="Q735" i="11" s="1"/>
  <c r="O623" i="11"/>
  <c r="Q623" i="11" s="1"/>
  <c r="O527" i="11"/>
  <c r="Q527" i="11" s="1"/>
  <c r="O431" i="11"/>
  <c r="Q431" i="11" s="1"/>
  <c r="O335" i="11"/>
  <c r="Q335" i="11" s="1"/>
  <c r="O239" i="11"/>
  <c r="Q239" i="11" s="1"/>
  <c r="O143" i="11"/>
  <c r="Q143" i="11" s="1"/>
  <c r="O47" i="11"/>
  <c r="Q47" i="11" s="1"/>
  <c r="O1540" i="11"/>
  <c r="Q1540" i="11" s="1"/>
  <c r="O1460" i="11"/>
  <c r="Q1460" i="11" s="1"/>
  <c r="O1348" i="11"/>
  <c r="Q1348" i="11" s="1"/>
  <c r="O1236" i="11"/>
  <c r="Q1236" i="11" s="1"/>
  <c r="O1108" i="11"/>
  <c r="Q1108" i="11" s="1"/>
  <c r="O980" i="11"/>
  <c r="Q980" i="11" s="1"/>
  <c r="O852" i="11"/>
  <c r="Q852" i="11" s="1"/>
  <c r="O724" i="11"/>
  <c r="Q724" i="11" s="1"/>
  <c r="O596" i="11"/>
  <c r="Q596" i="11" s="1"/>
  <c r="O468" i="11"/>
  <c r="Q468" i="11" s="1"/>
  <c r="O340" i="11"/>
  <c r="Q340" i="11" s="1"/>
  <c r="O189" i="11"/>
  <c r="Q189" i="11" s="1"/>
  <c r="O61" i="11"/>
  <c r="Q61" i="11" s="1"/>
  <c r="O1243" i="11"/>
  <c r="Q1243" i="11" s="1"/>
  <c r="O1147" i="11"/>
  <c r="Q1147" i="11" s="1"/>
  <c r="O1051" i="11"/>
  <c r="Q1051" i="11" s="1"/>
  <c r="O955" i="11"/>
  <c r="Q955" i="11" s="1"/>
  <c r="O859" i="11"/>
  <c r="Q859" i="11" s="1"/>
  <c r="O763" i="11"/>
  <c r="Q763" i="11" s="1"/>
  <c r="O1584" i="11"/>
  <c r="Q1584" i="11" s="1"/>
  <c r="O1520" i="11"/>
  <c r="Q1520" i="11" s="1"/>
  <c r="O1456" i="11"/>
  <c r="Q1456" i="11" s="1"/>
  <c r="O1392" i="11"/>
  <c r="Q1392" i="11" s="1"/>
  <c r="O1328" i="11"/>
  <c r="Q1328" i="11" s="1"/>
  <c r="O1252" i="11"/>
  <c r="Q1252" i="11" s="1"/>
  <c r="O1165" i="11"/>
  <c r="Q1165" i="11" s="1"/>
  <c r="O1078" i="11"/>
  <c r="Q1078" i="11" s="1"/>
  <c r="O996" i="11"/>
  <c r="Q996" i="11" s="1"/>
  <c r="O909" i="11"/>
  <c r="Q909" i="11" s="1"/>
  <c r="O822" i="11"/>
  <c r="Q822" i="11" s="1"/>
  <c r="O740" i="11"/>
  <c r="Q740" i="11" s="1"/>
  <c r="O653" i="11"/>
  <c r="Q653" i="11" s="1"/>
  <c r="O566" i="11"/>
  <c r="Q566" i="11" s="1"/>
  <c r="O484" i="11"/>
  <c r="Q484" i="11" s="1"/>
  <c r="O397" i="11"/>
  <c r="Q397" i="11" s="1"/>
  <c r="O310" i="11"/>
  <c r="Q310" i="11" s="1"/>
  <c r="O228" i="11"/>
  <c r="Q228" i="11" s="1"/>
  <c r="O141" i="11"/>
  <c r="Q141" i="11" s="1"/>
  <c r="O54" i="11"/>
  <c r="Q54" i="11" s="1"/>
  <c r="O1271" i="11"/>
  <c r="Q1271" i="11" s="1"/>
  <c r="O1207" i="11"/>
  <c r="Q1207" i="11" s="1"/>
  <c r="O1143" i="11"/>
  <c r="Q1143" i="11" s="1"/>
  <c r="O1079" i="11"/>
  <c r="Q1079" i="11" s="1"/>
  <c r="O1015" i="11"/>
  <c r="Q1015" i="11" s="1"/>
  <c r="O951" i="11"/>
  <c r="Q951" i="11" s="1"/>
  <c r="O887" i="11"/>
  <c r="Q887" i="11" s="1"/>
  <c r="O823" i="11"/>
  <c r="Q823" i="11" s="1"/>
  <c r="O759" i="11"/>
  <c r="Q759" i="11" s="1"/>
  <c r="O695" i="11"/>
  <c r="Q695" i="11" s="1"/>
  <c r="O631" i="11"/>
  <c r="Q631" i="11" s="1"/>
  <c r="O567" i="11"/>
  <c r="Q567" i="11" s="1"/>
  <c r="O503" i="11"/>
  <c r="Q503" i="11" s="1"/>
  <c r="O439" i="11"/>
  <c r="Q439" i="11" s="1"/>
  <c r="O375" i="11"/>
  <c r="Q375" i="11" s="1"/>
  <c r="O311" i="11"/>
  <c r="Q311" i="11" s="1"/>
  <c r="O247" i="11"/>
  <c r="Q247" i="11" s="1"/>
  <c r="O183" i="11"/>
  <c r="Q183" i="11" s="1"/>
  <c r="O119" i="11"/>
  <c r="Q119" i="11" s="1"/>
  <c r="O55" i="11"/>
  <c r="Q55" i="11" s="1"/>
  <c r="O1420" i="11"/>
  <c r="Q1420" i="11" s="1"/>
  <c r="O1030" i="11"/>
  <c r="Q1030" i="11" s="1"/>
  <c r="O628" i="11"/>
  <c r="Q628" i="11" s="1"/>
  <c r="O372" i="11"/>
  <c r="Q372" i="11" s="1"/>
  <c r="O1267" i="11"/>
  <c r="Q1267" i="11" s="1"/>
  <c r="O979" i="11"/>
  <c r="Q979" i="11" s="1"/>
  <c r="O867" i="11"/>
  <c r="Q867" i="11" s="1"/>
  <c r="O563" i="11"/>
  <c r="Q563" i="11" s="1"/>
  <c r="O371" i="11"/>
  <c r="Q371" i="11" s="1"/>
  <c r="O67" i="11"/>
  <c r="Q67" i="11" s="1"/>
  <c r="O1448" i="11"/>
  <c r="Q1448" i="11" s="1"/>
  <c r="O1133" i="11"/>
  <c r="Q1133" i="11" s="1"/>
  <c r="O708" i="11"/>
  <c r="Q708" i="11" s="1"/>
  <c r="O452" i="11"/>
  <c r="Q452" i="11" s="1"/>
  <c r="O45" i="11"/>
  <c r="Q45" i="11" s="1"/>
  <c r="O1007" i="11"/>
  <c r="Q1007" i="11" s="1"/>
  <c r="O703" i="11"/>
  <c r="Q703" i="11" s="1"/>
  <c r="O415" i="11"/>
  <c r="Q415" i="11" s="1"/>
  <c r="O15" i="11"/>
  <c r="Q15" i="11" s="1"/>
  <c r="O1428" i="11"/>
  <c r="Q1428" i="11" s="1"/>
  <c r="O1213" i="11"/>
  <c r="Q1213" i="11" s="1"/>
  <c r="O829" i="11"/>
  <c r="Q829" i="11" s="1"/>
  <c r="O573" i="11"/>
  <c r="Q573" i="11" s="1"/>
  <c r="O166" i="11"/>
  <c r="Q166" i="11" s="1"/>
  <c r="O1019" i="11"/>
  <c r="Q1019" i="11" s="1"/>
  <c r="O731" i="11"/>
  <c r="Q731" i="11" s="1"/>
  <c r="O1504" i="11"/>
  <c r="Q1504" i="11" s="1"/>
  <c r="O1312" i="11"/>
  <c r="Q1312" i="11" s="1"/>
  <c r="O1060" i="11"/>
  <c r="Q1060" i="11" s="1"/>
  <c r="O804" i="11"/>
  <c r="Q804" i="11" s="1"/>
  <c r="O630" i="11"/>
  <c r="Q630" i="11" s="1"/>
  <c r="O374" i="11"/>
  <c r="Q374" i="11" s="1"/>
  <c r="O118" i="11"/>
  <c r="Q118" i="11" s="1"/>
  <c r="O1191" i="11"/>
  <c r="Q1191" i="11" s="1"/>
  <c r="O999" i="11"/>
  <c r="Q999" i="11" s="1"/>
  <c r="O807" i="11"/>
  <c r="Q807" i="11" s="1"/>
  <c r="O615" i="11"/>
  <c r="Q615" i="11" s="1"/>
  <c r="O487" i="11"/>
  <c r="Q487" i="11" s="1"/>
  <c r="O295" i="11"/>
  <c r="Q295" i="11" s="1"/>
  <c r="O103" i="11"/>
  <c r="Q103" i="11" s="1"/>
  <c r="O1117" i="11"/>
  <c r="Q1117" i="11" s="1"/>
  <c r="O646" i="11"/>
  <c r="Q646" i="11" s="1"/>
  <c r="O413" i="11"/>
  <c r="Q413" i="11" s="1"/>
  <c r="O1235" i="11"/>
  <c r="Q1235" i="11" s="1"/>
  <c r="O883" i="11"/>
  <c r="Q883" i="11" s="1"/>
  <c r="O531" i="11"/>
  <c r="Q531" i="11" s="1"/>
  <c r="O179" i="11"/>
  <c r="Q179" i="11" s="1"/>
  <c r="O1352" i="11"/>
  <c r="Q1352" i="11" s="1"/>
  <c r="O900" i="11"/>
  <c r="Q900" i="11" s="1"/>
  <c r="O429" i="11"/>
  <c r="Q429" i="11" s="1"/>
  <c r="O1279" i="11"/>
  <c r="Q1279" i="11" s="1"/>
  <c r="O943" i="11"/>
  <c r="Q943" i="11" s="1"/>
  <c r="O591" i="11"/>
  <c r="Q591" i="11" s="1"/>
  <c r="O207" i="11"/>
  <c r="Q207" i="11" s="1"/>
  <c r="O1412" i="11"/>
  <c r="Q1412" i="11" s="1"/>
  <c r="O957" i="11"/>
  <c r="Q957" i="11" s="1"/>
  <c r="O445" i="11"/>
  <c r="Q445" i="11" s="1"/>
  <c r="O1083" i="11"/>
  <c r="Q1083" i="11" s="1"/>
  <c r="O715" i="11"/>
  <c r="Q715" i="11" s="1"/>
  <c r="O571" i="11"/>
  <c r="Q571" i="11" s="1"/>
  <c r="O427" i="11"/>
  <c r="Q427" i="11" s="1"/>
  <c r="O363" i="11"/>
  <c r="Q363" i="11" s="1"/>
  <c r="O235" i="11"/>
  <c r="Q235" i="11" s="1"/>
  <c r="O107" i="11"/>
  <c r="Q107" i="11" s="1"/>
  <c r="O1286" i="11"/>
  <c r="Q1286" i="11" s="1"/>
  <c r="O1012" i="11"/>
  <c r="Q1012" i="11" s="1"/>
  <c r="O733" i="11"/>
  <c r="Q733" i="11" s="1"/>
  <c r="O454" i="11"/>
  <c r="Q454" i="11" s="1"/>
  <c r="O198" i="11"/>
  <c r="Q198" i="11" s="1"/>
  <c r="O1251" i="11"/>
  <c r="Q1251" i="11" s="1"/>
  <c r="O1043" i="11"/>
  <c r="Q1043" i="11" s="1"/>
  <c r="O851" i="11"/>
  <c r="Q851" i="11" s="1"/>
  <c r="O643" i="11"/>
  <c r="Q643" i="11" s="1"/>
  <c r="O435" i="11"/>
  <c r="Q435" i="11" s="1"/>
  <c r="O243" i="11"/>
  <c r="Q243" i="11" s="1"/>
  <c r="O51" i="11"/>
  <c r="Q51" i="11" s="1"/>
  <c r="O1432" i="11"/>
  <c r="Q1432" i="11" s="1"/>
  <c r="O1220" i="11"/>
  <c r="Q1220" i="11" s="1"/>
  <c r="O941" i="11"/>
  <c r="Q941" i="11" s="1"/>
  <c r="O685" i="11"/>
  <c r="Q685" i="11" s="1"/>
  <c r="O406" i="11"/>
  <c r="Q406" i="11" s="1"/>
  <c r="O132" i="11"/>
  <c r="Q132" i="11" s="1"/>
  <c r="O1199" i="11"/>
  <c r="Q1199" i="11" s="1"/>
  <c r="O991" i="11"/>
  <c r="Q991" i="11" s="1"/>
  <c r="O783" i="11"/>
  <c r="Q783" i="11" s="1"/>
  <c r="O575" i="11"/>
  <c r="Q575" i="11" s="1"/>
  <c r="O383" i="11"/>
  <c r="Q383" i="11" s="1"/>
  <c r="O191" i="11"/>
  <c r="Q191" i="11" s="1"/>
  <c r="O1588" i="11"/>
  <c r="Q1588" i="11" s="1"/>
  <c r="O1300" i="11"/>
  <c r="Q1300" i="11" s="1"/>
  <c r="O1044" i="11"/>
  <c r="Q1044" i="11" s="1"/>
  <c r="O788" i="11"/>
  <c r="Q788" i="11" s="1"/>
  <c r="O532" i="11"/>
  <c r="Q532" i="11" s="1"/>
  <c r="O276" i="11"/>
  <c r="Q276" i="11" s="1"/>
  <c r="O1291" i="11"/>
  <c r="Q1291" i="11" s="1"/>
  <c r="O1099" i="11"/>
  <c r="Q1099" i="11" s="1"/>
  <c r="O811" i="11"/>
  <c r="Q811" i="11" s="1"/>
  <c r="O1552" i="11"/>
  <c r="Q1552" i="11" s="1"/>
  <c r="O1488" i="11"/>
  <c r="Q1488" i="11" s="1"/>
  <c r="O1360" i="11"/>
  <c r="Q1360" i="11" s="1"/>
  <c r="O1206" i="11"/>
  <c r="Q1206" i="11" s="1"/>
  <c r="O1037" i="11"/>
  <c r="Q1037" i="11" s="1"/>
  <c r="O868" i="11"/>
  <c r="Q868" i="11" s="1"/>
  <c r="O694" i="11"/>
  <c r="Q694" i="11" s="1"/>
  <c r="O525" i="11"/>
  <c r="Q525" i="11" s="1"/>
  <c r="O356" i="11"/>
  <c r="Q356" i="11" s="1"/>
  <c r="O182" i="11"/>
  <c r="Q182" i="11" s="1"/>
  <c r="O13" i="11"/>
  <c r="Q13" i="11" s="1"/>
  <c r="O1175" i="11"/>
  <c r="Q1175" i="11" s="1"/>
  <c r="O1047" i="11"/>
  <c r="Q1047" i="11" s="1"/>
  <c r="O919" i="11"/>
  <c r="Q919" i="11" s="1"/>
  <c r="O791" i="11"/>
  <c r="Q791" i="11" s="1"/>
  <c r="O663" i="11"/>
  <c r="Q663" i="11" s="1"/>
  <c r="O535" i="11"/>
  <c r="Q535" i="11" s="1"/>
  <c r="O407" i="11"/>
  <c r="Q407" i="11" s="1"/>
  <c r="O279" i="11"/>
  <c r="Q279" i="11" s="1"/>
  <c r="O151" i="11"/>
  <c r="Q151" i="11" s="1"/>
  <c r="O23" i="11"/>
  <c r="Q23" i="11" s="1"/>
  <c r="O1532" i="11"/>
  <c r="Q1532" i="11" s="1"/>
  <c r="O1356" i="11"/>
  <c r="Q1356" i="11" s="1"/>
  <c r="O1158" i="11"/>
  <c r="Q1158" i="11" s="1"/>
  <c r="O925" i="11"/>
  <c r="Q925" i="11" s="1"/>
  <c r="O692" i="11"/>
  <c r="Q692" i="11" s="1"/>
  <c r="O477" i="11"/>
  <c r="Q477" i="11" s="1"/>
  <c r="O244" i="11"/>
  <c r="Q244" i="11" s="1"/>
  <c r="O1283" i="11"/>
  <c r="Q1283" i="11" s="1"/>
  <c r="O1107" i="11"/>
  <c r="Q1107" i="11" s="1"/>
  <c r="O931" i="11"/>
  <c r="Q931" i="11" s="1"/>
  <c r="O739" i="11"/>
  <c r="Q739" i="11" s="1"/>
  <c r="O579" i="11"/>
  <c r="Q579" i="11" s="1"/>
  <c r="O403" i="11"/>
  <c r="Q403" i="11" s="1"/>
  <c r="O227" i="11"/>
  <c r="Q227" i="11" s="1"/>
  <c r="O35" i="11"/>
  <c r="Q35" i="11" s="1"/>
  <c r="O1416" i="11"/>
  <c r="Q1416" i="11" s="1"/>
  <c r="O1174" i="11"/>
  <c r="Q1174" i="11" s="1"/>
  <c r="O964" i="11"/>
  <c r="Q964" i="11" s="1"/>
  <c r="O726" i="11"/>
  <c r="Q726" i="11" s="1"/>
  <c r="O493" i="11"/>
  <c r="Q493" i="11" s="1"/>
  <c r="O260" i="11"/>
  <c r="Q260" i="11" s="1"/>
  <c r="O22" i="11"/>
  <c r="Q22" i="11" s="1"/>
  <c r="O1151" i="11"/>
  <c r="Q1151" i="11" s="1"/>
  <c r="O975" i="11"/>
  <c r="Q975" i="11" s="1"/>
  <c r="O799" i="11"/>
  <c r="Q799" i="11" s="1"/>
  <c r="O639" i="11"/>
  <c r="Q639" i="11" s="1"/>
  <c r="O463" i="11"/>
  <c r="Q463" i="11" s="1"/>
  <c r="O255" i="11"/>
  <c r="Q255" i="11" s="1"/>
  <c r="O79" i="11"/>
  <c r="Q79" i="11" s="1"/>
  <c r="O1444" i="11"/>
  <c r="Q1444" i="11" s="1"/>
  <c r="O1254" i="11"/>
  <c r="Q1254" i="11" s="1"/>
  <c r="O998" i="11"/>
  <c r="Q998" i="11" s="1"/>
  <c r="O742" i="11"/>
  <c r="Q742" i="11" s="1"/>
  <c r="O486" i="11"/>
  <c r="Q486" i="11" s="1"/>
  <c r="O253" i="11"/>
  <c r="Q253" i="11" s="1"/>
  <c r="O20" i="11"/>
  <c r="Q20" i="11" s="1"/>
  <c r="O1131" i="11"/>
  <c r="Q1131" i="11" s="1"/>
  <c r="O923" i="11"/>
  <c r="Q923" i="11" s="1"/>
  <c r="O747" i="11"/>
  <c r="Q747" i="11" s="1"/>
  <c r="O651" i="11"/>
  <c r="Q651" i="11" s="1"/>
  <c r="O587" i="11"/>
  <c r="Q587" i="11" s="1"/>
  <c r="O507" i="11"/>
  <c r="Q507" i="11" s="1"/>
  <c r="O443" i="11"/>
  <c r="Q443" i="11" s="1"/>
  <c r="O379" i="11"/>
  <c r="Q379" i="11" s="1"/>
  <c r="O315" i="11"/>
  <c r="Q315" i="11" s="1"/>
  <c r="O251" i="11"/>
  <c r="Q251" i="11" s="1"/>
  <c r="O187" i="11"/>
  <c r="Q187" i="11" s="1"/>
  <c r="O123" i="11"/>
  <c r="Q123" i="11" s="1"/>
  <c r="O59" i="11"/>
  <c r="Q59" i="11" s="1"/>
  <c r="O1308" i="11"/>
  <c r="Q1308" i="11" s="1"/>
  <c r="O774" i="11"/>
  <c r="Q774" i="11" s="1"/>
  <c r="O221" i="11"/>
  <c r="Q221" i="11" s="1"/>
  <c r="O1171" i="11"/>
  <c r="Q1171" i="11" s="1"/>
  <c r="O675" i="11"/>
  <c r="Q675" i="11" s="1"/>
  <c r="O163" i="11"/>
  <c r="Q163" i="11" s="1"/>
  <c r="O1368" i="11"/>
  <c r="Q1368" i="11" s="1"/>
  <c r="O836" i="11"/>
  <c r="Q836" i="11" s="1"/>
  <c r="O301" i="11"/>
  <c r="Q301" i="11" s="1"/>
  <c r="O1215" i="11"/>
  <c r="Q1215" i="11" s="1"/>
  <c r="O815" i="11"/>
  <c r="Q815" i="11" s="1"/>
  <c r="O495" i="11"/>
  <c r="Q495" i="11" s="1"/>
  <c r="O223" i="11"/>
  <c r="Q223" i="11" s="1"/>
  <c r="O1524" i="11"/>
  <c r="Q1524" i="11" s="1"/>
  <c r="O934" i="11"/>
  <c r="Q934" i="11" s="1"/>
  <c r="O294" i="11"/>
  <c r="Q294" i="11" s="1"/>
  <c r="O1211" i="11"/>
  <c r="Q1211" i="11" s="1"/>
  <c r="O827" i="11"/>
  <c r="Q827" i="11" s="1"/>
  <c r="O1440" i="11"/>
  <c r="Q1440" i="11" s="1"/>
  <c r="O1142" i="11"/>
  <c r="Q1142" i="11" s="1"/>
  <c r="O886" i="11"/>
  <c r="Q886" i="11" s="1"/>
  <c r="O548" i="11"/>
  <c r="Q548" i="11" s="1"/>
  <c r="O292" i="11"/>
  <c r="Q292" i="11" s="1"/>
  <c r="O36" i="11"/>
  <c r="Q36" i="11" s="1"/>
  <c r="O1127" i="11"/>
  <c r="Q1127" i="11" s="1"/>
  <c r="O935" i="11"/>
  <c r="Q935" i="11" s="1"/>
  <c r="O743" i="11"/>
  <c r="Q743" i="11" s="1"/>
  <c r="O551" i="11"/>
  <c r="Q551" i="11" s="1"/>
  <c r="O423" i="11"/>
  <c r="Q423" i="11" s="1"/>
  <c r="O231" i="11"/>
  <c r="Q231" i="11" s="1"/>
  <c r="O39" i="11"/>
  <c r="Q39" i="11" s="1"/>
  <c r="O1324" i="11"/>
  <c r="Q1324" i="11" s="1"/>
  <c r="O1452" i="11"/>
  <c r="Q1452" i="11" s="1"/>
  <c r="O1268" i="11"/>
  <c r="Q1268" i="11" s="1"/>
  <c r="O1053" i="11"/>
  <c r="Q1053" i="11" s="1"/>
  <c r="O820" i="11"/>
  <c r="Q820" i="11" s="1"/>
  <c r="O582" i="11"/>
  <c r="Q582" i="11" s="1"/>
  <c r="O349" i="11"/>
  <c r="Q349" i="11" s="1"/>
  <c r="O93" i="11"/>
  <c r="Q93" i="11" s="1"/>
  <c r="O1187" i="11"/>
  <c r="Q1187" i="11" s="1"/>
  <c r="O995" i="11"/>
  <c r="Q995" i="11" s="1"/>
  <c r="O819" i="11"/>
  <c r="Q819" i="11" s="1"/>
  <c r="O659" i="11"/>
  <c r="Q659" i="11" s="1"/>
  <c r="O499" i="11"/>
  <c r="Q499" i="11" s="1"/>
  <c r="O323" i="11"/>
  <c r="Q323" i="11" s="1"/>
  <c r="O147" i="11"/>
  <c r="Q147" i="11" s="1"/>
  <c r="O1496" i="11"/>
  <c r="Q1496" i="11" s="1"/>
  <c r="O1304" i="11"/>
  <c r="Q1304" i="11" s="1"/>
  <c r="O1046" i="11"/>
  <c r="Q1046" i="11" s="1"/>
  <c r="O854" i="11"/>
  <c r="Q854" i="11" s="1"/>
  <c r="O598" i="11"/>
  <c r="Q598" i="11" s="1"/>
  <c r="O365" i="11"/>
  <c r="Q365" i="11" s="1"/>
  <c r="O150" i="11"/>
  <c r="Q150" i="11" s="1"/>
  <c r="O1231" i="11"/>
  <c r="Q1231" i="11" s="1"/>
  <c r="O1071" i="11"/>
  <c r="Q1071" i="11" s="1"/>
  <c r="O895" i="11"/>
  <c r="Q895" i="11" s="1"/>
  <c r="O719" i="11"/>
  <c r="Q719" i="11" s="1"/>
  <c r="O543" i="11"/>
  <c r="Q543" i="11" s="1"/>
  <c r="O367" i="11"/>
  <c r="Q367" i="11" s="1"/>
  <c r="O175" i="11"/>
  <c r="Q175" i="11" s="1"/>
  <c r="O1556" i="11"/>
  <c r="Q1556" i="11" s="1"/>
  <c r="O1364" i="11"/>
  <c r="Q1364" i="11" s="1"/>
  <c r="O1126" i="11"/>
  <c r="Q1126" i="11" s="1"/>
  <c r="O893" i="11"/>
  <c r="Q893" i="11" s="1"/>
  <c r="O614" i="11"/>
  <c r="Q614" i="11" s="1"/>
  <c r="O381" i="11"/>
  <c r="Q381" i="11" s="1"/>
  <c r="O148" i="11"/>
  <c r="Q148" i="11" s="1"/>
  <c r="O1227" i="11"/>
  <c r="Q1227" i="11" s="1"/>
  <c r="O1035" i="11"/>
  <c r="Q1035" i="11" s="1"/>
  <c r="O843" i="11"/>
  <c r="Q843" i="11" s="1"/>
  <c r="O683" i="11"/>
  <c r="Q683" i="11" s="1"/>
  <c r="O619" i="11"/>
  <c r="Q619" i="11" s="1"/>
  <c r="O555" i="11"/>
  <c r="Q555" i="11" s="1"/>
  <c r="O475" i="11"/>
  <c r="Q475" i="11" s="1"/>
  <c r="O411" i="11"/>
  <c r="Q411" i="11" s="1"/>
  <c r="O347" i="11"/>
  <c r="Q347" i="11" s="1"/>
  <c r="O283" i="11"/>
  <c r="Q283" i="11" s="1"/>
  <c r="O219" i="11"/>
  <c r="Q219" i="11" s="1"/>
  <c r="O155" i="11"/>
  <c r="Q155" i="11" s="1"/>
  <c r="O91" i="11"/>
  <c r="Q91" i="11" s="1"/>
  <c r="O27" i="11"/>
  <c r="Q27" i="11" s="1"/>
  <c r="O1564" i="11"/>
  <c r="Q1564" i="11" s="1"/>
  <c r="O1468" i="11"/>
  <c r="Q1468" i="11" s="1"/>
  <c r="O1372" i="11"/>
  <c r="Q1372" i="11" s="1"/>
  <c r="O1245" i="11"/>
  <c r="Q1245" i="11" s="1"/>
  <c r="O1094" i="11"/>
  <c r="Q1094" i="11" s="1"/>
  <c r="O966" i="11"/>
  <c r="Q966" i="11" s="1"/>
  <c r="O838" i="11"/>
  <c r="Q838" i="11" s="1"/>
  <c r="O710" i="11"/>
  <c r="Q710" i="11" s="1"/>
  <c r="O564" i="11"/>
  <c r="Q564" i="11" s="1"/>
  <c r="O436" i="11"/>
  <c r="Q436" i="11" s="1"/>
  <c r="O308" i="11"/>
  <c r="Q308" i="11" s="1"/>
  <c r="O180" i="11"/>
  <c r="Q180" i="11" s="1"/>
  <c r="O29" i="11"/>
  <c r="Q29" i="11" s="1"/>
  <c r="O1219" i="11"/>
  <c r="Q1219" i="11" s="1"/>
  <c r="O1123" i="11"/>
  <c r="Q1123" i="11" s="1"/>
  <c r="O1027" i="11"/>
  <c r="Q1027" i="11" s="1"/>
  <c r="O915" i="11"/>
  <c r="Q915" i="11" s="1"/>
  <c r="O835" i="11"/>
  <c r="Q835" i="11" s="1"/>
  <c r="O723" i="11"/>
  <c r="Q723" i="11" s="1"/>
  <c r="O627" i="11"/>
  <c r="Q627" i="11" s="1"/>
  <c r="O515" i="11"/>
  <c r="Q515" i="11" s="1"/>
  <c r="O419" i="11"/>
  <c r="Q419" i="11" s="1"/>
  <c r="O307" i="11"/>
  <c r="Q307" i="11" s="1"/>
  <c r="O211" i="11"/>
  <c r="Q211" i="11" s="1"/>
  <c r="O115" i="11"/>
  <c r="Q115" i="11" s="1"/>
  <c r="O19" i="11"/>
  <c r="Q19" i="11" s="1"/>
  <c r="O1512" i="11"/>
  <c r="Q1512" i="11" s="1"/>
  <c r="O1400" i="11"/>
  <c r="Q1400" i="11" s="1"/>
  <c r="O1320" i="11"/>
  <c r="Q1320" i="11" s="1"/>
  <c r="O1197" i="11"/>
  <c r="Q1197" i="11" s="1"/>
  <c r="O1069" i="11"/>
  <c r="Q1069" i="11" s="1"/>
  <c r="O918" i="11"/>
  <c r="Q918" i="11" s="1"/>
  <c r="O772" i="11"/>
  <c r="Q772" i="11" s="1"/>
  <c r="O644" i="11"/>
  <c r="Q644" i="11" s="1"/>
  <c r="O516" i="11"/>
  <c r="Q516" i="11" s="1"/>
  <c r="O388" i="11"/>
  <c r="Q388" i="11" s="1"/>
  <c r="O237" i="11"/>
  <c r="Q237" i="11" s="1"/>
  <c r="O109" i="11"/>
  <c r="Q109" i="11" s="1"/>
  <c r="O1263" i="11"/>
  <c r="Q1263" i="11" s="1"/>
  <c r="O1167" i="11"/>
  <c r="Q1167" i="11" s="1"/>
  <c r="O1055" i="11"/>
  <c r="Q1055" i="11" s="1"/>
  <c r="O959" i="11"/>
  <c r="Q959" i="11" s="1"/>
  <c r="O847" i="11"/>
  <c r="Q847" i="11" s="1"/>
  <c r="O751" i="11"/>
  <c r="Q751" i="11" s="1"/>
  <c r="O655" i="11"/>
  <c r="Q655" i="11" s="1"/>
  <c r="O559" i="11"/>
  <c r="Q559" i="11" s="1"/>
  <c r="O447" i="11"/>
  <c r="Q447" i="11" s="1"/>
  <c r="O351" i="11"/>
  <c r="Q351" i="11" s="1"/>
  <c r="O271" i="11"/>
  <c r="Q271" i="11" s="1"/>
  <c r="O159" i="11"/>
  <c r="Q159" i="11" s="1"/>
  <c r="O63" i="11"/>
  <c r="Q63" i="11" s="1"/>
  <c r="O1572" i="11"/>
  <c r="Q1572" i="11" s="1"/>
  <c r="O1476" i="11"/>
  <c r="Q1476" i="11" s="1"/>
  <c r="O1380" i="11"/>
  <c r="Q1380" i="11" s="1"/>
  <c r="O1277" i="11"/>
  <c r="Q1277" i="11" s="1"/>
  <c r="O1149" i="11"/>
  <c r="Q1149" i="11" s="1"/>
  <c r="O1021" i="11"/>
  <c r="Q1021" i="11" s="1"/>
  <c r="O870" i="11"/>
  <c r="Q870" i="11" s="1"/>
  <c r="O765" i="11"/>
  <c r="Q765" i="11" s="1"/>
  <c r="O637" i="11"/>
  <c r="Q637" i="11" s="1"/>
  <c r="O509" i="11"/>
  <c r="Q509" i="11" s="1"/>
  <c r="O358" i="11"/>
  <c r="Q358" i="11" s="1"/>
  <c r="O230" i="11"/>
  <c r="Q230" i="11" s="1"/>
  <c r="O102" i="11"/>
  <c r="Q102" i="11" s="1"/>
  <c r="O1259" i="11"/>
  <c r="Q1259" i="11" s="1"/>
  <c r="O1163" i="11"/>
  <c r="Q1163" i="11" s="1"/>
  <c r="O1067" i="11"/>
  <c r="Q1067" i="11" s="1"/>
  <c r="O987" i="11"/>
  <c r="Q987" i="11" s="1"/>
  <c r="O875" i="11"/>
  <c r="Q875" i="11" s="1"/>
  <c r="O779" i="11"/>
  <c r="Q779" i="11" s="1"/>
  <c r="O539" i="11"/>
  <c r="Q539" i="11" s="1"/>
  <c r="O1536" i="11"/>
  <c r="Q1536" i="11" s="1"/>
  <c r="O1472" i="11"/>
  <c r="Q1472" i="11" s="1"/>
  <c r="O1408" i="11"/>
  <c r="Q1408" i="11" s="1"/>
  <c r="O1344" i="11"/>
  <c r="Q1344" i="11" s="1"/>
  <c r="O1270" i="11"/>
  <c r="Q1270" i="11" s="1"/>
  <c r="O1188" i="11"/>
  <c r="Q1188" i="11" s="1"/>
  <c r="O1101" i="11"/>
  <c r="Q1101" i="11" s="1"/>
  <c r="O1014" i="11"/>
  <c r="Q1014" i="11" s="1"/>
  <c r="O932" i="11"/>
  <c r="Q932" i="11" s="1"/>
  <c r="O845" i="11"/>
  <c r="Q845" i="11" s="1"/>
  <c r="O758" i="11"/>
  <c r="Q758" i="11" s="1"/>
  <c r="O676" i="11"/>
  <c r="Q676" i="11" s="1"/>
  <c r="O589" i="11"/>
  <c r="Q589" i="11" s="1"/>
  <c r="O502" i="11"/>
  <c r="Q502" i="11" s="1"/>
  <c r="O420" i="11"/>
  <c r="Q420" i="11" s="1"/>
  <c r="O333" i="11"/>
  <c r="Q333" i="11" s="1"/>
  <c r="O246" i="11"/>
  <c r="Q246" i="11" s="1"/>
  <c r="O164" i="11"/>
  <c r="Q164" i="11" s="1"/>
  <c r="O77" i="11"/>
  <c r="Q77" i="11" s="1"/>
  <c r="O1287" i="11"/>
  <c r="Q1287" i="11" s="1"/>
  <c r="O1223" i="11"/>
  <c r="Q1223" i="11" s="1"/>
  <c r="O1159" i="11"/>
  <c r="Q1159" i="11" s="1"/>
  <c r="O1095" i="11"/>
  <c r="Q1095" i="11" s="1"/>
  <c r="O1031" i="11"/>
  <c r="Q1031" i="11" s="1"/>
  <c r="O967" i="11"/>
  <c r="Q967" i="11" s="1"/>
  <c r="O903" i="11"/>
  <c r="Q903" i="11" s="1"/>
  <c r="O839" i="11"/>
  <c r="Q839" i="11" s="1"/>
  <c r="O775" i="11"/>
  <c r="Q775" i="11" s="1"/>
  <c r="O711" i="11"/>
  <c r="Q711" i="11" s="1"/>
  <c r="O647" i="11"/>
  <c r="Q647" i="11" s="1"/>
  <c r="O583" i="11"/>
  <c r="Q583" i="11" s="1"/>
  <c r="O519" i="11"/>
  <c r="Q519" i="11" s="1"/>
  <c r="O455" i="11"/>
  <c r="Q455" i="11" s="1"/>
  <c r="O391" i="11"/>
  <c r="Q391" i="11" s="1"/>
  <c r="O327" i="11"/>
  <c r="Q327" i="11" s="1"/>
  <c r="O263" i="11"/>
  <c r="Q263" i="11" s="1"/>
  <c r="O199" i="11"/>
  <c r="Q199" i="11" s="1"/>
  <c r="O135" i="11"/>
  <c r="Q135" i="11" s="1"/>
  <c r="O71" i="11"/>
  <c r="Q71" i="11" s="1"/>
  <c r="O12" i="11"/>
  <c r="Q12" i="11" s="1"/>
  <c r="O1516" i="11"/>
  <c r="Q1516" i="11" s="1"/>
  <c r="O1181" i="11"/>
  <c r="Q1181" i="11" s="1"/>
  <c r="O902" i="11"/>
  <c r="Q902" i="11" s="1"/>
  <c r="O500" i="11"/>
  <c r="Q500" i="11" s="1"/>
  <c r="O116" i="11"/>
  <c r="Q116" i="11" s="1"/>
  <c r="O1075" i="11"/>
  <c r="Q1075" i="11" s="1"/>
  <c r="O771" i="11"/>
  <c r="Q771" i="11" s="1"/>
  <c r="O467" i="11"/>
  <c r="Q467" i="11" s="1"/>
  <c r="O259" i="11"/>
  <c r="Q259" i="11" s="1"/>
  <c r="O1560" i="11"/>
  <c r="Q1560" i="11" s="1"/>
  <c r="O1261" i="11"/>
  <c r="Q1261" i="11" s="1"/>
  <c r="O982" i="11"/>
  <c r="Q982" i="11" s="1"/>
  <c r="O580" i="11"/>
  <c r="Q580" i="11" s="1"/>
  <c r="O173" i="11"/>
  <c r="Q173" i="11" s="1"/>
  <c r="O1119" i="11"/>
  <c r="Q1119" i="11" s="1"/>
  <c r="O911" i="11"/>
  <c r="Q911" i="11" s="1"/>
  <c r="O607" i="11"/>
  <c r="Q607" i="11" s="1"/>
  <c r="O303" i="11"/>
  <c r="Q303" i="11" s="1"/>
  <c r="O111" i="11"/>
  <c r="Q111" i="11" s="1"/>
  <c r="O1332" i="11"/>
  <c r="Q1332" i="11" s="1"/>
  <c r="O1085" i="11"/>
  <c r="Q1085" i="11" s="1"/>
  <c r="O701" i="11"/>
  <c r="Q701" i="11" s="1"/>
  <c r="O422" i="11"/>
  <c r="Q422" i="11" s="1"/>
  <c r="O38" i="11"/>
  <c r="Q38" i="11" s="1"/>
  <c r="O1115" i="11"/>
  <c r="Q1115" i="11" s="1"/>
  <c r="O939" i="11"/>
  <c r="Q939" i="11" s="1"/>
  <c r="O1568" i="11"/>
  <c r="Q1568" i="11" s="1"/>
  <c r="O1376" i="11"/>
  <c r="Q1376" i="11" s="1"/>
  <c r="O1229" i="11"/>
  <c r="Q1229" i="11" s="1"/>
  <c r="O973" i="11"/>
  <c r="Q973" i="11" s="1"/>
  <c r="O717" i="11"/>
  <c r="Q717" i="11" s="1"/>
  <c r="O461" i="11"/>
  <c r="Q461" i="11" s="1"/>
  <c r="O205" i="11"/>
  <c r="Q205" i="11" s="1"/>
  <c r="O1255" i="11"/>
  <c r="Q1255" i="11" s="1"/>
  <c r="O1063" i="11"/>
  <c r="Q1063" i="11" s="1"/>
  <c r="O871" i="11"/>
  <c r="Q871" i="11" s="1"/>
  <c r="O679" i="11"/>
  <c r="Q679" i="11" s="1"/>
  <c r="O359" i="11"/>
  <c r="Q359" i="11" s="1"/>
  <c r="O167" i="11"/>
  <c r="Q167" i="11" s="1"/>
  <c r="O1500" i="11"/>
  <c r="Q1500" i="11" s="1"/>
  <c r="O861" i="11"/>
  <c r="Q861" i="11" s="1"/>
  <c r="O157" i="11"/>
  <c r="Q157" i="11" s="1"/>
  <c r="O1059" i="11"/>
  <c r="Q1059" i="11" s="1"/>
  <c r="O707" i="11"/>
  <c r="Q707" i="11" s="1"/>
  <c r="O355" i="11"/>
  <c r="Q355" i="11" s="1"/>
  <c r="O1528" i="11"/>
  <c r="Q1528" i="11" s="1"/>
  <c r="O1110" i="11"/>
  <c r="Q1110" i="11" s="1"/>
  <c r="O662" i="11"/>
  <c r="Q662" i="11" s="1"/>
  <c r="O196" i="11"/>
  <c r="Q196" i="11" s="1"/>
  <c r="O1103" i="11"/>
  <c r="Q1103" i="11" s="1"/>
  <c r="O767" i="11"/>
  <c r="Q767" i="11" s="1"/>
  <c r="O399" i="11"/>
  <c r="Q399" i="11" s="1"/>
  <c r="O31" i="11"/>
  <c r="Q31" i="11" s="1"/>
  <c r="O1190" i="11"/>
  <c r="Q1190" i="11" s="1"/>
  <c r="O678" i="11"/>
  <c r="Q678" i="11" s="1"/>
  <c r="O212" i="11"/>
  <c r="Q212" i="11" s="1"/>
  <c r="O1275" i="11"/>
  <c r="Q1275" i="11" s="1"/>
  <c r="O891" i="11"/>
  <c r="Q891" i="11" s="1"/>
  <c r="O635" i="11"/>
  <c r="Q635" i="11" s="1"/>
  <c r="O491" i="11"/>
  <c r="Q491" i="11" s="1"/>
  <c r="O299" i="11"/>
  <c r="Q299" i="11" s="1"/>
  <c r="O171" i="11"/>
  <c r="Q171" i="11" s="1"/>
  <c r="O43" i="11"/>
  <c r="Q43" i="11" s="1"/>
  <c r="O1484" i="11"/>
  <c r="Q1484" i="11" s="1"/>
  <c r="O1388" i="11"/>
  <c r="Q1388" i="11" s="1"/>
  <c r="O1140" i="11"/>
  <c r="Q1140" i="11" s="1"/>
  <c r="O884" i="11"/>
  <c r="Q884" i="11" s="1"/>
  <c r="O605" i="11"/>
  <c r="Q605" i="11" s="1"/>
  <c r="O326" i="11"/>
  <c r="Q326" i="11" s="1"/>
  <c r="O70" i="11"/>
  <c r="Q70" i="11" s="1"/>
  <c r="O1155" i="11"/>
  <c r="Q1155" i="11" s="1"/>
  <c r="O947" i="11"/>
  <c r="Q947" i="11" s="1"/>
  <c r="O755" i="11"/>
  <c r="Q755" i="11" s="1"/>
  <c r="O547" i="11"/>
  <c r="Q547" i="11" s="1"/>
  <c r="O339" i="11"/>
  <c r="Q339" i="11" s="1"/>
  <c r="O131" i="11"/>
  <c r="Q131" i="11" s="1"/>
  <c r="O1544" i="11"/>
  <c r="Q1544" i="11" s="1"/>
  <c r="O1336" i="11"/>
  <c r="Q1336" i="11" s="1"/>
  <c r="O1092" i="11"/>
  <c r="Q1092" i="11" s="1"/>
  <c r="O813" i="11"/>
  <c r="Q813" i="11" s="1"/>
  <c r="O557" i="11"/>
  <c r="Q557" i="11" s="1"/>
  <c r="O278" i="11"/>
  <c r="Q278" i="11" s="1"/>
  <c r="O1295" i="11"/>
  <c r="Q1295" i="11" s="1"/>
  <c r="O1087" i="11"/>
  <c r="Q1087" i="11" s="1"/>
  <c r="O879" i="11"/>
  <c r="Q879" i="11" s="1"/>
  <c r="O671" i="11"/>
  <c r="Q671" i="11" s="1"/>
  <c r="O479" i="11"/>
  <c r="Q479" i="11" s="1"/>
  <c r="O287" i="11"/>
  <c r="Q287" i="11" s="1"/>
  <c r="O95" i="11"/>
  <c r="Q95" i="11" s="1"/>
  <c r="O1508" i="11"/>
  <c r="Q1508" i="11" s="1"/>
  <c r="O1396" i="11"/>
  <c r="Q1396" i="11" s="1"/>
  <c r="O1172" i="11"/>
  <c r="Q1172" i="11" s="1"/>
  <c r="O916" i="11"/>
  <c r="Q916" i="11" s="1"/>
  <c r="O660" i="11"/>
  <c r="Q660" i="11" s="1"/>
  <c r="O404" i="11"/>
  <c r="Q404" i="11" s="1"/>
  <c r="O125" i="11"/>
  <c r="Q125" i="11" s="1"/>
  <c r="O1195" i="11"/>
  <c r="Q1195" i="11" s="1"/>
  <c r="O1003" i="11"/>
  <c r="Q1003" i="11" s="1"/>
  <c r="O907" i="11"/>
  <c r="Q907" i="11" s="1"/>
  <c r="O699" i="11"/>
  <c r="Q699" i="11" s="1"/>
  <c r="O1424" i="11"/>
  <c r="Q1424" i="11" s="1"/>
  <c r="O1293" i="11"/>
  <c r="Q1293" i="11" s="1"/>
  <c r="O1124" i="11"/>
  <c r="Q1124" i="11" s="1"/>
  <c r="O950" i="11"/>
  <c r="Q950" i="11" s="1"/>
  <c r="O781" i="11"/>
  <c r="Q781" i="11" s="1"/>
  <c r="O612" i="11"/>
  <c r="Q612" i="11" s="1"/>
  <c r="O438" i="11"/>
  <c r="Q438" i="11" s="1"/>
  <c r="O269" i="11"/>
  <c r="Q269" i="11" s="1"/>
  <c r="O100" i="11"/>
  <c r="Q100" i="11" s="1"/>
  <c r="O1239" i="11"/>
  <c r="Q1239" i="11" s="1"/>
  <c r="O1111" i="11"/>
  <c r="Q1111" i="11" s="1"/>
  <c r="O983" i="11"/>
  <c r="Q983" i="11" s="1"/>
  <c r="O855" i="11"/>
  <c r="Q855" i="11" s="1"/>
  <c r="O727" i="11"/>
  <c r="Q727" i="11" s="1"/>
  <c r="O599" i="11"/>
  <c r="Q599" i="11" s="1"/>
  <c r="O471" i="11"/>
  <c r="Q471" i="11" s="1"/>
  <c r="O343" i="11"/>
  <c r="Q343" i="11" s="1"/>
  <c r="O215" i="11"/>
  <c r="Q215" i="11" s="1"/>
  <c r="O87" i="11"/>
  <c r="Q87" i="11" s="1"/>
  <c r="P3" i="11"/>
  <c r="P9" i="11" s="1"/>
  <c r="P8" i="11" l="1"/>
  <c r="T8" i="11" s="1"/>
  <c r="E606" i="12"/>
  <c r="T612" i="11"/>
  <c r="E654" i="12"/>
  <c r="T660" i="11"/>
  <c r="E466" i="12"/>
  <c r="T471" i="11"/>
  <c r="E976" i="12"/>
  <c r="T983" i="11"/>
  <c r="E265" i="12"/>
  <c r="T269" i="11"/>
  <c r="E943" i="12"/>
  <c r="T950" i="11"/>
  <c r="E693" i="12"/>
  <c r="T699" i="11"/>
  <c r="E121" i="12"/>
  <c r="T125" i="11"/>
  <c r="E1165" i="12"/>
  <c r="T1172" i="11"/>
  <c r="E283" i="12"/>
  <c r="T287" i="11"/>
  <c r="E1080" i="12"/>
  <c r="T1087" i="11"/>
  <c r="E807" i="12"/>
  <c r="T813" i="11"/>
  <c r="E127" i="12"/>
  <c r="T131" i="11"/>
  <c r="E940" i="12"/>
  <c r="T947" i="11"/>
  <c r="E599" i="12"/>
  <c r="T605" i="11"/>
  <c r="E1477" i="12"/>
  <c r="T1484" i="11"/>
  <c r="E486" i="12"/>
  <c r="T491" i="11"/>
  <c r="E208" i="12"/>
  <c r="T212" i="11"/>
  <c r="E394" i="12"/>
  <c r="T399" i="11"/>
  <c r="E656" i="12"/>
  <c r="T662" i="11"/>
  <c r="E701" i="12"/>
  <c r="T707" i="11"/>
  <c r="E1493" i="12"/>
  <c r="T1500" i="11"/>
  <c r="E865" i="12"/>
  <c r="T871" i="11"/>
  <c r="E456" i="12"/>
  <c r="T461" i="11"/>
  <c r="E1369" i="12"/>
  <c r="T1376" i="11"/>
  <c r="E34" i="12"/>
  <c r="T38" i="11"/>
  <c r="E1325" i="12"/>
  <c r="T1332" i="11"/>
  <c r="E904" i="12"/>
  <c r="T911" i="11"/>
  <c r="E975" i="12"/>
  <c r="T982" i="11"/>
  <c r="E462" i="12"/>
  <c r="T467" i="11"/>
  <c r="E495" i="12"/>
  <c r="T500" i="11"/>
  <c r="E8" i="12"/>
  <c r="Q2" i="11"/>
  <c r="T12" i="11"/>
  <c r="Q1" i="11"/>
  <c r="Q4" i="11"/>
  <c r="Q5" i="11"/>
  <c r="E259" i="12"/>
  <c r="T263" i="11"/>
  <c r="E514" i="12"/>
  <c r="T519" i="11"/>
  <c r="E769" i="12"/>
  <c r="T775" i="11"/>
  <c r="E1024" i="12"/>
  <c r="T1031" i="11"/>
  <c r="E1280" i="12"/>
  <c r="T1287" i="11"/>
  <c r="E328" i="12"/>
  <c r="T333" i="11"/>
  <c r="E670" i="12"/>
  <c r="T676" i="11"/>
  <c r="E1007" i="12"/>
  <c r="T1014" i="11"/>
  <c r="E1337" i="12"/>
  <c r="T1344" i="11"/>
  <c r="E534" i="12"/>
  <c r="T539" i="11"/>
  <c r="E1060" i="12"/>
  <c r="T1067" i="11"/>
  <c r="E226" i="12"/>
  <c r="T230" i="11"/>
  <c r="E759" i="12"/>
  <c r="T765" i="11"/>
  <c r="E1270" i="12"/>
  <c r="T1277" i="11"/>
  <c r="E59" i="12"/>
  <c r="T63" i="11"/>
  <c r="E442" i="12"/>
  <c r="T447" i="11"/>
  <c r="E841" i="12"/>
  <c r="T847" i="11"/>
  <c r="E1256" i="12"/>
  <c r="T1263" i="11"/>
  <c r="E511" i="12"/>
  <c r="T516" i="11"/>
  <c r="E1062" i="12"/>
  <c r="T1069" i="11"/>
  <c r="E1505" i="12"/>
  <c r="T1512" i="11"/>
  <c r="E303" i="12"/>
  <c r="T307" i="11"/>
  <c r="E717" i="12"/>
  <c r="T723" i="11"/>
  <c r="E1116" i="12"/>
  <c r="T1123" i="11"/>
  <c r="E1232" i="12"/>
  <c r="T1239" i="11"/>
  <c r="E996" i="12"/>
  <c r="T1003" i="11"/>
  <c r="E83" i="12"/>
  <c r="T87" i="11"/>
  <c r="E594" i="12"/>
  <c r="T599" i="11"/>
  <c r="E1104" i="12"/>
  <c r="T1111" i="11"/>
  <c r="E433" i="12"/>
  <c r="T438" i="11"/>
  <c r="E1117" i="12"/>
  <c r="T1124" i="11"/>
  <c r="E900" i="12"/>
  <c r="T907" i="11"/>
  <c r="E399" i="12"/>
  <c r="T404" i="11"/>
  <c r="E1389" i="12"/>
  <c r="T1396" i="11"/>
  <c r="E474" i="12"/>
  <c r="T479" i="11"/>
  <c r="E1288" i="12"/>
  <c r="T1295" i="11"/>
  <c r="E1085" i="12"/>
  <c r="T1092" i="11"/>
  <c r="E334" i="12"/>
  <c r="T339" i="11"/>
  <c r="E1148" i="12"/>
  <c r="T1155" i="11"/>
  <c r="E878" i="12"/>
  <c r="T884" i="11"/>
  <c r="E39" i="12"/>
  <c r="T43" i="11"/>
  <c r="E629" i="12"/>
  <c r="T635" i="11"/>
  <c r="E672" i="12"/>
  <c r="T678" i="11"/>
  <c r="E761" i="12"/>
  <c r="T767" i="11"/>
  <c r="E1103" i="12"/>
  <c r="T1110" i="11"/>
  <c r="E1052" i="12"/>
  <c r="T1059" i="11"/>
  <c r="E163" i="12"/>
  <c r="T167" i="11"/>
  <c r="E1056" i="12"/>
  <c r="T1063" i="11"/>
  <c r="E711" i="12"/>
  <c r="T717" i="11"/>
  <c r="E1561" i="12"/>
  <c r="T1568" i="11"/>
  <c r="E417" i="12"/>
  <c r="T422" i="11"/>
  <c r="E107" i="12"/>
  <c r="T111" i="11"/>
  <c r="E1112" i="12"/>
  <c r="T1119" i="11"/>
  <c r="E1254" i="12"/>
  <c r="T1261" i="11"/>
  <c r="E765" i="12"/>
  <c r="T771" i="11"/>
  <c r="E895" i="12"/>
  <c r="T902" i="11"/>
  <c r="E67" i="12"/>
  <c r="T71" i="11"/>
  <c r="E322" i="12"/>
  <c r="T327" i="11"/>
  <c r="E578" i="12"/>
  <c r="T583" i="11"/>
  <c r="E833" i="12"/>
  <c r="T839" i="11"/>
  <c r="E1088" i="12"/>
  <c r="T1095" i="11"/>
  <c r="E73" i="12"/>
  <c r="T77" i="11"/>
  <c r="E415" i="12"/>
  <c r="T420" i="11"/>
  <c r="E752" i="12"/>
  <c r="T758" i="11"/>
  <c r="E1094" i="12"/>
  <c r="T1101" i="11"/>
  <c r="E1401" i="12"/>
  <c r="T1408" i="11"/>
  <c r="E773" i="12"/>
  <c r="T779" i="11"/>
  <c r="E1156" i="12"/>
  <c r="T1163" i="11"/>
  <c r="E353" i="12"/>
  <c r="T358" i="11"/>
  <c r="E864" i="12"/>
  <c r="T870" i="11"/>
  <c r="E1373" i="12"/>
  <c r="T1380" i="11"/>
  <c r="E155" i="12"/>
  <c r="T159" i="11"/>
  <c r="E554" i="12"/>
  <c r="T559" i="11"/>
  <c r="E952" i="12"/>
  <c r="T959" i="11"/>
  <c r="E105" i="12"/>
  <c r="T109" i="11"/>
  <c r="E638" i="12"/>
  <c r="T644" i="11"/>
  <c r="E1190" i="12"/>
  <c r="T1197" i="11"/>
  <c r="E15" i="12"/>
  <c r="T19" i="11"/>
  <c r="E414" i="12"/>
  <c r="T419" i="11"/>
  <c r="E829" i="12"/>
  <c r="T835" i="11"/>
  <c r="E721" i="12"/>
  <c r="T727" i="11"/>
  <c r="E1286" i="12"/>
  <c r="T1293" i="11"/>
  <c r="E665" i="12"/>
  <c r="T671" i="11"/>
  <c r="E274" i="12"/>
  <c r="T278" i="11"/>
  <c r="E1329" i="12"/>
  <c r="T1336" i="11"/>
  <c r="E542" i="12"/>
  <c r="T547" i="11"/>
  <c r="E66" i="12"/>
  <c r="T70" i="11"/>
  <c r="E1133" i="12"/>
  <c r="T1140" i="11"/>
  <c r="E167" i="12"/>
  <c r="T171" i="11"/>
  <c r="E885" i="12"/>
  <c r="T891" i="11"/>
  <c r="E1183" i="12"/>
  <c r="T1190" i="11"/>
  <c r="E1096" i="12"/>
  <c r="T1103" i="11"/>
  <c r="E1521" i="12"/>
  <c r="T1528" i="11"/>
  <c r="E153" i="12"/>
  <c r="T157" i="11"/>
  <c r="E354" i="12"/>
  <c r="T359" i="11"/>
  <c r="E1248" i="12"/>
  <c r="T1255" i="11"/>
  <c r="E966" i="12"/>
  <c r="T973" i="11"/>
  <c r="E932" i="12"/>
  <c r="T939" i="11"/>
  <c r="E695" i="12"/>
  <c r="T701" i="11"/>
  <c r="E299" i="12"/>
  <c r="T303" i="11"/>
  <c r="E169" i="12"/>
  <c r="T173" i="11"/>
  <c r="E1553" i="12"/>
  <c r="T1560" i="11"/>
  <c r="E1068" i="12"/>
  <c r="T1075" i="11"/>
  <c r="E1174" i="12"/>
  <c r="T1181" i="11"/>
  <c r="E131" i="12"/>
  <c r="T135" i="11"/>
  <c r="E386" i="12"/>
  <c r="T391" i="11"/>
  <c r="E641" i="12"/>
  <c r="T647" i="11"/>
  <c r="E896" i="12"/>
  <c r="T903" i="11"/>
  <c r="E1152" i="12"/>
  <c r="T1159" i="11"/>
  <c r="E160" i="12"/>
  <c r="T164" i="11"/>
  <c r="E497" i="12"/>
  <c r="T502" i="11"/>
  <c r="E839" i="12"/>
  <c r="T845" i="11"/>
  <c r="E1181" i="12"/>
  <c r="T1188" i="11"/>
  <c r="E1465" i="12"/>
  <c r="T1472" i="11"/>
  <c r="E869" i="12"/>
  <c r="T875" i="11"/>
  <c r="E1252" i="12"/>
  <c r="T1259" i="11"/>
  <c r="E504" i="12"/>
  <c r="T509" i="11"/>
  <c r="E1014" i="12"/>
  <c r="T1021" i="11"/>
  <c r="E1469" i="12"/>
  <c r="T1476" i="11"/>
  <c r="E267" i="12"/>
  <c r="T271" i="11"/>
  <c r="E649" i="12"/>
  <c r="T655" i="11"/>
  <c r="E1048" i="12"/>
  <c r="T1055" i="11"/>
  <c r="E233" i="12"/>
  <c r="T237" i="11"/>
  <c r="E766" i="12"/>
  <c r="T772" i="11"/>
  <c r="E1313" i="12"/>
  <c r="T1320" i="11"/>
  <c r="E111" i="12"/>
  <c r="T115" i="11"/>
  <c r="E510" i="12"/>
  <c r="T515" i="11"/>
  <c r="E908" i="12"/>
  <c r="T915" i="11"/>
  <c r="E211" i="12"/>
  <c r="T215" i="11"/>
  <c r="E1501" i="12"/>
  <c r="T1508" i="11"/>
  <c r="E338" i="12"/>
  <c r="T343" i="11"/>
  <c r="E849" i="12"/>
  <c r="T855" i="11"/>
  <c r="E96" i="12"/>
  <c r="T100" i="11"/>
  <c r="E775" i="12"/>
  <c r="T781" i="11"/>
  <c r="E1417" i="12"/>
  <c r="T1424" i="11"/>
  <c r="E1188" i="12"/>
  <c r="T1195" i="11"/>
  <c r="E909" i="12"/>
  <c r="T916" i="11"/>
  <c r="E91" i="12"/>
  <c r="T95" i="11"/>
  <c r="E873" i="12"/>
  <c r="T879" i="11"/>
  <c r="E552" i="12"/>
  <c r="T557" i="11"/>
  <c r="E1537" i="12"/>
  <c r="T1544" i="11"/>
  <c r="E749" i="12"/>
  <c r="T755" i="11"/>
  <c r="E321" i="12"/>
  <c r="T326" i="11"/>
  <c r="E1381" i="12"/>
  <c r="T1388" i="11"/>
  <c r="E295" i="12"/>
  <c r="T299" i="11"/>
  <c r="E1268" i="12"/>
  <c r="T1275" i="11"/>
  <c r="E27" i="12"/>
  <c r="T31" i="11"/>
  <c r="E192" i="12"/>
  <c r="T196" i="11"/>
  <c r="E350" i="12"/>
  <c r="T355" i="11"/>
  <c r="E855" i="12"/>
  <c r="T861" i="11"/>
  <c r="E673" i="12"/>
  <c r="T679" i="11"/>
  <c r="E201" i="12"/>
  <c r="T205" i="11"/>
  <c r="E1222" i="12"/>
  <c r="T1229" i="11"/>
  <c r="E1108" i="12"/>
  <c r="T1115" i="11"/>
  <c r="E1078" i="12"/>
  <c r="T1085" i="11"/>
  <c r="E601" i="12"/>
  <c r="T607" i="11"/>
  <c r="E575" i="12"/>
  <c r="T580" i="11"/>
  <c r="E255" i="12"/>
  <c r="T259" i="11"/>
  <c r="E112" i="12"/>
  <c r="T116" i="11"/>
  <c r="E1509" i="12"/>
  <c r="T1516" i="11"/>
  <c r="E195" i="12"/>
  <c r="T199" i="11"/>
  <c r="E450" i="12"/>
  <c r="T455" i="11"/>
  <c r="E705" i="12"/>
  <c r="T711" i="11"/>
  <c r="E960" i="12"/>
  <c r="T967" i="11"/>
  <c r="E1216" i="12"/>
  <c r="T1223" i="11"/>
  <c r="E242" i="12"/>
  <c r="T246" i="11"/>
  <c r="E584" i="12"/>
  <c r="T589" i="11"/>
  <c r="E925" i="12"/>
  <c r="T932" i="11"/>
  <c r="E1263" i="12"/>
  <c r="T1270" i="11"/>
  <c r="E1529" i="12"/>
  <c r="T1536" i="11"/>
  <c r="E980" i="12"/>
  <c r="T987" i="11"/>
  <c r="E98" i="12"/>
  <c r="T102" i="11"/>
  <c r="E631" i="12"/>
  <c r="T637" i="11"/>
  <c r="E1142" i="12"/>
  <c r="T1149" i="11"/>
  <c r="E1565" i="12"/>
  <c r="T1572" i="11"/>
  <c r="E346" i="12"/>
  <c r="T351" i="11"/>
  <c r="E745" i="12"/>
  <c r="T751" i="11"/>
  <c r="E1160" i="12"/>
  <c r="T1167" i="11"/>
  <c r="E383" i="12"/>
  <c r="T388" i="11"/>
  <c r="E911" i="12"/>
  <c r="T918" i="11"/>
  <c r="E1393" i="12"/>
  <c r="T1400" i="11"/>
  <c r="E207" i="12"/>
  <c r="T211" i="11"/>
  <c r="E621" i="12"/>
  <c r="T627" i="11"/>
  <c r="E1020" i="12"/>
  <c r="T1027" i="11"/>
  <c r="E304" i="12"/>
  <c r="T308" i="11"/>
  <c r="E832" i="12"/>
  <c r="T838" i="11"/>
  <c r="E1365" i="12"/>
  <c r="T1372" i="11"/>
  <c r="E87" i="12"/>
  <c r="T91" i="11"/>
  <c r="E342" i="12"/>
  <c r="T347" i="11"/>
  <c r="E613" i="12"/>
  <c r="T619" i="11"/>
  <c r="E1220" i="12"/>
  <c r="T1227" i="11"/>
  <c r="E887" i="12"/>
  <c r="T893" i="11"/>
  <c r="E171" i="12"/>
  <c r="T175" i="11"/>
  <c r="E888" i="12"/>
  <c r="T895" i="11"/>
  <c r="E360" i="12"/>
  <c r="T365" i="11"/>
  <c r="E1297" i="12"/>
  <c r="T1304" i="11"/>
  <c r="E494" i="12"/>
  <c r="T499" i="11"/>
  <c r="E1180" i="12"/>
  <c r="T1187" i="11"/>
  <c r="E814" i="12"/>
  <c r="T820" i="11"/>
  <c r="E1317" i="12"/>
  <c r="T1324" i="11"/>
  <c r="E546" i="12"/>
  <c r="T551" i="11"/>
  <c r="E32" i="12"/>
  <c r="T36" i="11"/>
  <c r="E1135" i="12"/>
  <c r="T1142" i="11"/>
  <c r="E290" i="12"/>
  <c r="T294" i="11"/>
  <c r="E490" i="12"/>
  <c r="T495" i="11"/>
  <c r="E830" i="12"/>
  <c r="T836" i="11"/>
  <c r="E1164" i="12"/>
  <c r="T1171" i="11"/>
  <c r="E55" i="12"/>
  <c r="T59" i="11"/>
  <c r="E310" i="12"/>
  <c r="T315" i="11"/>
  <c r="E582" i="12"/>
  <c r="T587" i="11"/>
  <c r="E1124" i="12"/>
  <c r="T1131" i="11"/>
  <c r="E736" i="12"/>
  <c r="T742" i="11"/>
  <c r="E75" i="12"/>
  <c r="T79" i="11"/>
  <c r="E793" i="12"/>
  <c r="T799" i="11"/>
  <c r="E256" i="12"/>
  <c r="T260" i="11"/>
  <c r="E1167" i="12"/>
  <c r="T1174" i="11"/>
  <c r="E398" i="12"/>
  <c r="T403" i="11"/>
  <c r="E1100" i="12"/>
  <c r="T1107" i="11"/>
  <c r="E686" i="12"/>
  <c r="T692" i="11"/>
  <c r="E1525" i="12"/>
  <c r="T1532" i="11"/>
  <c r="E402" i="12"/>
  <c r="T407" i="11"/>
  <c r="E912" i="12"/>
  <c r="T919" i="11"/>
  <c r="E178" i="12"/>
  <c r="T182" i="11"/>
  <c r="E862" i="12"/>
  <c r="T868" i="11"/>
  <c r="E1481" i="12"/>
  <c r="T1488" i="11"/>
  <c r="E1284" i="12"/>
  <c r="T1291" i="11"/>
  <c r="E1037" i="12"/>
  <c r="T1044" i="11"/>
  <c r="E378" i="12"/>
  <c r="T383" i="11"/>
  <c r="E1192" i="12"/>
  <c r="T1199" i="11"/>
  <c r="E934" i="12"/>
  <c r="T941" i="11"/>
  <c r="E239" i="12"/>
  <c r="T243" i="11"/>
  <c r="E1036" i="12"/>
  <c r="T1043" i="11"/>
  <c r="E727" i="12"/>
  <c r="T733" i="11"/>
  <c r="E231" i="12"/>
  <c r="T235" i="11"/>
  <c r="E709" i="12"/>
  <c r="T715" i="11"/>
  <c r="E1405" i="12"/>
  <c r="T1412" i="11"/>
  <c r="E1272" i="12"/>
  <c r="T1279" i="11"/>
  <c r="E175" i="12"/>
  <c r="T179" i="11"/>
  <c r="E408" i="12"/>
  <c r="T413" i="11"/>
  <c r="E291" i="12"/>
  <c r="T295" i="11"/>
  <c r="E992" i="12"/>
  <c r="T999" i="11"/>
  <c r="E624" i="12"/>
  <c r="T630" i="11"/>
  <c r="E1497" i="12"/>
  <c r="T1504" i="11"/>
  <c r="E568" i="12"/>
  <c r="T573" i="11"/>
  <c r="E11" i="12"/>
  <c r="T15" i="11"/>
  <c r="E41" i="12"/>
  <c r="T45" i="11"/>
  <c r="E1441" i="12"/>
  <c r="T1448" i="11"/>
  <c r="E861" i="12"/>
  <c r="T867" i="11"/>
  <c r="E622" i="12"/>
  <c r="T628" i="11"/>
  <c r="E115" i="12"/>
  <c r="T119" i="11"/>
  <c r="E370" i="12"/>
  <c r="T375" i="11"/>
  <c r="E625" i="12"/>
  <c r="T631" i="11"/>
  <c r="E881" i="12"/>
  <c r="T887" i="11"/>
  <c r="E1136" i="12"/>
  <c r="T1143" i="11"/>
  <c r="E137" i="12"/>
  <c r="T141" i="11"/>
  <c r="E479" i="12"/>
  <c r="T484" i="11"/>
  <c r="E816" i="12"/>
  <c r="T822" i="11"/>
  <c r="E1158" i="12"/>
  <c r="T1165" i="11"/>
  <c r="E1449" i="12"/>
  <c r="T1456" i="11"/>
  <c r="E853" i="12"/>
  <c r="T859" i="11"/>
  <c r="E1236" i="12"/>
  <c r="T1243" i="11"/>
  <c r="E463" i="12"/>
  <c r="T468" i="11"/>
  <c r="E973" i="12"/>
  <c r="T980" i="11"/>
  <c r="E1453" i="12"/>
  <c r="T1460" i="11"/>
  <c r="E235" i="12"/>
  <c r="T239" i="11"/>
  <c r="E617" i="12"/>
  <c r="T623" i="11"/>
  <c r="E1032" i="12"/>
  <c r="T1039" i="11"/>
  <c r="E210" i="12"/>
  <c r="T214" i="11"/>
  <c r="E743" i="12"/>
  <c r="T749" i="11"/>
  <c r="E1277" i="12"/>
  <c r="T1284" i="11"/>
  <c r="E79" i="12"/>
  <c r="T83" i="11"/>
  <c r="E478" i="12"/>
  <c r="T483" i="11"/>
  <c r="E892" i="12"/>
  <c r="T899" i="11"/>
  <c r="E1292" i="12"/>
  <c r="T1299" i="11"/>
  <c r="E513" i="12"/>
  <c r="T518" i="11"/>
  <c r="E1069" i="12"/>
  <c r="T1076" i="11"/>
  <c r="E1541" i="12"/>
  <c r="T1548" i="11"/>
  <c r="E263" i="12"/>
  <c r="T267" i="11"/>
  <c r="E518" i="12"/>
  <c r="T523" i="11"/>
  <c r="E964" i="12"/>
  <c r="T971" i="11"/>
  <c r="E545" i="12"/>
  <c r="T550" i="11"/>
  <c r="E1485" i="12"/>
  <c r="T1492" i="11"/>
  <c r="E681" i="12"/>
  <c r="T687" i="11"/>
  <c r="E82" i="12"/>
  <c r="T86" i="11"/>
  <c r="E1021" i="12"/>
  <c r="T1028" i="11"/>
  <c r="E271" i="12"/>
  <c r="T275" i="11"/>
  <c r="E956" i="12"/>
  <c r="T963" i="11"/>
  <c r="E536" i="12"/>
  <c r="T541" i="11"/>
  <c r="E1397" i="12"/>
  <c r="T1404" i="11"/>
  <c r="E220" i="12"/>
  <c r="T224" i="11"/>
  <c r="E507" i="12"/>
  <c r="T512" i="11"/>
  <c r="E20" i="12"/>
  <c r="T24" i="11"/>
  <c r="E331" i="12"/>
  <c r="T336" i="11"/>
  <c r="E738" i="12"/>
  <c r="T744" i="11"/>
  <c r="E1363" i="12"/>
  <c r="T1370" i="11"/>
  <c r="E706" i="12"/>
  <c r="T712" i="11"/>
  <c r="E1319" i="12"/>
  <c r="T1326" i="11"/>
  <c r="E1478" i="12"/>
  <c r="T1485" i="11"/>
  <c r="E1710" i="12"/>
  <c r="T1717" i="11"/>
  <c r="E1869" i="12"/>
  <c r="T1877" i="11"/>
  <c r="E1187" i="12"/>
  <c r="T1194" i="11"/>
  <c r="E1466" i="12"/>
  <c r="T1473" i="11"/>
  <c r="E1685" i="12"/>
  <c r="T1692" i="11"/>
  <c r="E1860" i="12"/>
  <c r="T1868" i="11"/>
  <c r="E1049" i="12"/>
  <c r="T1056" i="11"/>
  <c r="E1476" i="12"/>
  <c r="T1483" i="11"/>
  <c r="E1731" i="12"/>
  <c r="T1738" i="11"/>
  <c r="E1890" i="12"/>
  <c r="T1898" i="11"/>
  <c r="E1239" i="12"/>
  <c r="T1246" i="11"/>
  <c r="E1636" i="12"/>
  <c r="T1643" i="11"/>
  <c r="E1984" i="12"/>
  <c r="T1992" i="11"/>
  <c r="E2160" i="12"/>
  <c r="T2168" i="11"/>
  <c r="E2352" i="12"/>
  <c r="T2360" i="11"/>
  <c r="E2512" i="12"/>
  <c r="T2520" i="11"/>
  <c r="E2704" i="12"/>
  <c r="T2712" i="11"/>
  <c r="E2864" i="12"/>
  <c r="T2872" i="11"/>
  <c r="E3056" i="12"/>
  <c r="T3064" i="11"/>
  <c r="E3216" i="12"/>
  <c r="T3224" i="11"/>
  <c r="E1163" i="12"/>
  <c r="T1170" i="11"/>
  <c r="E2091" i="12"/>
  <c r="T2099" i="11"/>
  <c r="E2267" i="12"/>
  <c r="T2275" i="11"/>
  <c r="E2459" i="12"/>
  <c r="T2467" i="11"/>
  <c r="E1271" i="12"/>
  <c r="T1278" i="11"/>
  <c r="E2053" i="12"/>
  <c r="T2061" i="11"/>
  <c r="E2229" i="12"/>
  <c r="T2237" i="11"/>
  <c r="E2389" i="12"/>
  <c r="T2397" i="11"/>
  <c r="E2581" i="12"/>
  <c r="T2589" i="11"/>
  <c r="E2757" i="12"/>
  <c r="T2765" i="11"/>
  <c r="E2949" i="12"/>
  <c r="T2957" i="11"/>
  <c r="E3109" i="12"/>
  <c r="T3117" i="11"/>
  <c r="E2603" i="12"/>
  <c r="T2611" i="11"/>
  <c r="E2747" i="12"/>
  <c r="T2755" i="11"/>
  <c r="E2923" i="12"/>
  <c r="T2931" i="11"/>
  <c r="E3083" i="12"/>
  <c r="T3091" i="11"/>
  <c r="E3434" i="12"/>
  <c r="T3442" i="11"/>
  <c r="E3610" i="12"/>
  <c r="T3618" i="11"/>
  <c r="E1728" i="12"/>
  <c r="T1735" i="11"/>
  <c r="E2310" i="12"/>
  <c r="T2318" i="11"/>
  <c r="E2906" i="12"/>
  <c r="T2914" i="11"/>
  <c r="E3082" i="12"/>
  <c r="T3090" i="11"/>
  <c r="E3247" i="12"/>
  <c r="T3255" i="11"/>
  <c r="E1018" i="12"/>
  <c r="T1025" i="11"/>
  <c r="E3503" i="12"/>
  <c r="T3511" i="11"/>
  <c r="E3627" i="12"/>
  <c r="T3635" i="11"/>
  <c r="E3765" i="12"/>
  <c r="T3774" i="11"/>
  <c r="E3957" i="12"/>
  <c r="T3966" i="11"/>
  <c r="E4149" i="12"/>
  <c r="T4158" i="11"/>
  <c r="E4324" i="12"/>
  <c r="T4334" i="11"/>
  <c r="E4532" i="12"/>
  <c r="T4542" i="11"/>
  <c r="E4676" i="12"/>
  <c r="T4686" i="11"/>
  <c r="E3669" i="12"/>
  <c r="T3677" i="11"/>
  <c r="E3828" i="12"/>
  <c r="T3837" i="11"/>
  <c r="E4084" i="12"/>
  <c r="T4093" i="11"/>
  <c r="E4211" i="12"/>
  <c r="T4221" i="11"/>
  <c r="E4403" i="12"/>
  <c r="T4413" i="11"/>
  <c r="E4563" i="12"/>
  <c r="T4573" i="11"/>
  <c r="E3711" i="12"/>
  <c r="T3719" i="11"/>
  <c r="E3870" i="12"/>
  <c r="T3879" i="11"/>
  <c r="E4046" i="12"/>
  <c r="T4055" i="11"/>
  <c r="E4205" i="12"/>
  <c r="T4215" i="11"/>
  <c r="E4397" i="12"/>
  <c r="T4407" i="11"/>
  <c r="E4541" i="12"/>
  <c r="T4551" i="11"/>
  <c r="E3559" i="12"/>
  <c r="T3567" i="11"/>
  <c r="E3795" i="12"/>
  <c r="T3804" i="11"/>
  <c r="E4178" i="12"/>
  <c r="T4188" i="11"/>
  <c r="E4466" i="12"/>
  <c r="T4476" i="11"/>
  <c r="E5031" i="12"/>
  <c r="T5042" i="11"/>
  <c r="E4766" i="12"/>
  <c r="T4776" i="11"/>
  <c r="E4862" i="12"/>
  <c r="T4872" i="11"/>
  <c r="E4941" i="12"/>
  <c r="T4952" i="11"/>
  <c r="E4727" i="12"/>
  <c r="T4737" i="11"/>
  <c r="E4799" i="12"/>
  <c r="T4809" i="11"/>
  <c r="E4894" i="12"/>
  <c r="T4905" i="11"/>
  <c r="E4958" i="12"/>
  <c r="T4969" i="11"/>
  <c r="E3815" i="12"/>
  <c r="T3824" i="11"/>
  <c r="E4518" i="12"/>
  <c r="T4528" i="11"/>
  <c r="E4111" i="12"/>
  <c r="T4120" i="11"/>
  <c r="E4686" i="12"/>
  <c r="T4696" i="11"/>
  <c r="E6661" i="12"/>
  <c r="T6673" i="11"/>
  <c r="E6789" i="12"/>
  <c r="T6801" i="11"/>
  <c r="E6997" i="12"/>
  <c r="T7009" i="11"/>
  <c r="E7157" i="12"/>
  <c r="T7169" i="11"/>
  <c r="E7349" i="12"/>
  <c r="T7361" i="11"/>
  <c r="E7541" i="12"/>
  <c r="T7553" i="11"/>
  <c r="E5148" i="12"/>
  <c r="T5159" i="11"/>
  <c r="E5228" i="12"/>
  <c r="T5239" i="11"/>
  <c r="E5308" i="12"/>
  <c r="T5319" i="11"/>
  <c r="E5412" i="12"/>
  <c r="T5423" i="11"/>
  <c r="E5500" i="12"/>
  <c r="T5511" i="11"/>
  <c r="E5596" i="12"/>
  <c r="T5607" i="11"/>
  <c r="E5675" i="12"/>
  <c r="T5687" i="11"/>
  <c r="E5779" i="12"/>
  <c r="T5791" i="11"/>
  <c r="E5859" i="12"/>
  <c r="T5871" i="11"/>
  <c r="E5931" i="12"/>
  <c r="T5943" i="11"/>
  <c r="E5987" i="12"/>
  <c r="T5999" i="11"/>
  <c r="E6067" i="12"/>
  <c r="T6079" i="11"/>
  <c r="E6163" i="12"/>
  <c r="T6175" i="11"/>
  <c r="E6235" i="12"/>
  <c r="T6247" i="11"/>
  <c r="E6331" i="12"/>
  <c r="T6343" i="11"/>
  <c r="E6403" i="12"/>
  <c r="T6415" i="11"/>
  <c r="E6491" i="12"/>
  <c r="T6503" i="11"/>
  <c r="E6596" i="12"/>
  <c r="T6608" i="11"/>
  <c r="E6804" i="12"/>
  <c r="T6816" i="11"/>
  <c r="E6948" i="12"/>
  <c r="T6960" i="11"/>
  <c r="E7140" i="12"/>
  <c r="T7152" i="11"/>
  <c r="E7300" i="12"/>
  <c r="T7312" i="11"/>
  <c r="E7476" i="12"/>
  <c r="T7488" i="11"/>
  <c r="E5087" i="12"/>
  <c r="T5098" i="11"/>
  <c r="E5167" i="12"/>
  <c r="T5178" i="11"/>
  <c r="E5263" i="12"/>
  <c r="T5274" i="11"/>
  <c r="E5343" i="12"/>
  <c r="T5354" i="11"/>
  <c r="E5431" i="12"/>
  <c r="T5442" i="11"/>
  <c r="E5511" i="12"/>
  <c r="T5522" i="11"/>
  <c r="E5607" i="12"/>
  <c r="T5618" i="11"/>
  <c r="E5678" i="12"/>
  <c r="T5690" i="11"/>
  <c r="E5766" i="12"/>
  <c r="T5778" i="11"/>
  <c r="E5846" i="12"/>
  <c r="T5858" i="11"/>
  <c r="E5918" i="12"/>
  <c r="T5930" i="11"/>
  <c r="E6022" i="12"/>
  <c r="T6034" i="11"/>
  <c r="E6094" i="12"/>
  <c r="T6106" i="11"/>
  <c r="E6190" i="12"/>
  <c r="T6202" i="11"/>
  <c r="E6262" i="12"/>
  <c r="T6274" i="11"/>
  <c r="E6358" i="12"/>
  <c r="T6370" i="11"/>
  <c r="E6430" i="12"/>
  <c r="T6442" i="11"/>
  <c r="E6510" i="12"/>
  <c r="T6522" i="11"/>
  <c r="E6682" i="12"/>
  <c r="T6694" i="11"/>
  <c r="E6826" i="12"/>
  <c r="T6838" i="11"/>
  <c r="E7018" i="12"/>
  <c r="T7030" i="11"/>
  <c r="E7178" i="12"/>
  <c r="T7190" i="11"/>
  <c r="E7386" i="12"/>
  <c r="T7398" i="11"/>
  <c r="E7546" i="12"/>
  <c r="T7558" i="11"/>
  <c r="E7814" i="12"/>
  <c r="T7826" i="11"/>
  <c r="E8337" i="12"/>
  <c r="T8349" i="11"/>
  <c r="E88" i="12"/>
  <c r="T92" i="11"/>
  <c r="E684" i="12"/>
  <c r="T690" i="11"/>
  <c r="E451" i="12"/>
  <c r="T456" i="11"/>
  <c r="E598" i="12"/>
  <c r="T604" i="11"/>
  <c r="E1218" i="12"/>
  <c r="T1225" i="11"/>
  <c r="E556" i="12"/>
  <c r="T561" i="11"/>
  <c r="E1323" i="12"/>
  <c r="T1330" i="11"/>
  <c r="E1526" i="12"/>
  <c r="T1533" i="11"/>
  <c r="E1762" i="12"/>
  <c r="T1769" i="11"/>
  <c r="E1905" i="12"/>
  <c r="T1913" i="11"/>
  <c r="E1193" i="12"/>
  <c r="T1200" i="11"/>
  <c r="E1491" i="12"/>
  <c r="T1498" i="11"/>
  <c r="E1705" i="12"/>
  <c r="T1712" i="11"/>
  <c r="E1864" i="12"/>
  <c r="T1872" i="11"/>
  <c r="E995" i="12"/>
  <c r="T1002" i="11"/>
  <c r="E1483" i="12"/>
  <c r="T1490" i="11"/>
  <c r="E1687" i="12"/>
  <c r="T1694" i="11"/>
  <c r="E1846" i="12"/>
  <c r="T1854" i="11"/>
  <c r="E1125" i="12"/>
  <c r="T1132" i="11"/>
  <c r="E1612" i="12"/>
  <c r="T1619" i="11"/>
  <c r="E1956" i="12"/>
  <c r="T1964" i="11"/>
  <c r="E2116" i="12"/>
  <c r="T2124" i="11"/>
  <c r="E2276" i="12"/>
  <c r="T2284" i="11"/>
  <c r="E2436" i="12"/>
  <c r="T2444" i="11"/>
  <c r="E2596" i="12"/>
  <c r="T2604" i="11"/>
  <c r="E2756" i="12"/>
  <c r="T2764" i="11"/>
  <c r="E2932" i="12"/>
  <c r="T2940" i="11"/>
  <c r="E3092" i="12"/>
  <c r="T3100" i="11"/>
  <c r="E3332" i="12"/>
  <c r="T3340" i="11"/>
  <c r="E1983" i="12"/>
  <c r="T1991" i="11"/>
  <c r="E2239" i="12"/>
  <c r="T2247" i="11"/>
  <c r="E2383" i="12"/>
  <c r="T2391" i="11"/>
  <c r="E937" i="12"/>
  <c r="T944" i="11"/>
  <c r="E1993" i="12"/>
  <c r="T2001" i="11"/>
  <c r="E2217" i="12"/>
  <c r="T2225" i="11"/>
  <c r="E2361" i="12"/>
  <c r="T2369" i="11"/>
  <c r="E2553" i="12"/>
  <c r="T2561" i="11"/>
  <c r="E2697" i="12"/>
  <c r="T2705" i="11"/>
  <c r="E2921" i="12"/>
  <c r="T2929" i="11"/>
  <c r="E3049" i="12"/>
  <c r="T3057" i="11"/>
  <c r="E2575" i="12"/>
  <c r="T2583" i="11"/>
  <c r="E2719" i="12"/>
  <c r="T2727" i="11"/>
  <c r="E2895" i="12"/>
  <c r="T2903" i="11"/>
  <c r="E3055" i="12"/>
  <c r="T3063" i="11"/>
  <c r="E3390" i="12"/>
  <c r="T3398" i="11"/>
  <c r="E3566" i="12"/>
  <c r="T3574" i="11"/>
  <c r="E1552" i="12"/>
  <c r="T1559" i="11"/>
  <c r="E2062" i="12"/>
  <c r="T2070" i="11"/>
  <c r="E2478" i="12"/>
  <c r="T2486" i="11"/>
  <c r="E3289" i="12"/>
  <c r="T3297" i="11"/>
  <c r="E3465" i="12"/>
  <c r="T3473" i="11"/>
  <c r="E1704" i="12"/>
  <c r="T1711" i="11"/>
  <c r="E2194" i="12"/>
  <c r="T2202" i="11"/>
  <c r="E2558" i="12"/>
  <c r="T2566" i="11"/>
  <c r="E2718" i="12"/>
  <c r="T2726" i="11"/>
  <c r="E2910" i="12"/>
  <c r="T2918" i="11"/>
  <c r="E3054" i="12"/>
  <c r="T3062" i="11"/>
  <c r="E3229" i="12"/>
  <c r="T3237" i="11"/>
  <c r="E3335" i="12"/>
  <c r="T3343" i="11"/>
  <c r="E3523" i="12"/>
  <c r="T3531" i="11"/>
  <c r="E3640" i="12"/>
  <c r="T3648" i="11"/>
  <c r="E3801" i="12"/>
  <c r="T3810" i="11"/>
  <c r="E3977" i="12"/>
  <c r="T3986" i="11"/>
  <c r="E4200" i="12"/>
  <c r="T4210" i="11"/>
  <c r="E4376" i="12"/>
  <c r="T4386" i="11"/>
  <c r="E4584" i="12"/>
  <c r="T4594" i="11"/>
  <c r="E3384" i="12"/>
  <c r="T3392" i="11"/>
  <c r="T3745" i="11"/>
  <c r="E3864" i="12"/>
  <c r="T3873" i="11"/>
  <c r="E4072" i="12"/>
  <c r="T4081" i="11"/>
  <c r="E4215" i="12"/>
  <c r="T4225" i="11"/>
  <c r="E4407" i="12"/>
  <c r="T4417" i="11"/>
  <c r="E4583" i="12"/>
  <c r="T4593" i="11"/>
  <c r="E3731" i="12"/>
  <c r="T3739" i="11"/>
  <c r="E3906" i="12"/>
  <c r="T3915" i="11"/>
  <c r="E4098" i="12"/>
  <c r="T4107" i="11"/>
  <c r="E4257" i="12"/>
  <c r="T4267" i="11"/>
  <c r="E4433" i="12"/>
  <c r="T4443" i="11"/>
  <c r="E4593" i="12"/>
  <c r="T4603" i="11"/>
  <c r="E3708" i="12"/>
  <c r="T3716" i="11"/>
  <c r="E3995" i="12"/>
  <c r="T4004" i="11"/>
  <c r="E4346" i="12"/>
  <c r="T4356" i="11"/>
  <c r="E4634" i="12"/>
  <c r="T4644" i="11"/>
  <c r="E4744" i="12"/>
  <c r="T4754" i="11"/>
  <c r="E4832" i="12"/>
  <c r="T4842" i="11"/>
  <c r="E4927" i="12"/>
  <c r="T4938" i="11"/>
  <c r="E5042" i="12"/>
  <c r="T5053" i="11"/>
  <c r="E4769" i="12"/>
  <c r="T4779" i="11"/>
  <c r="E4857" i="12"/>
  <c r="T4867" i="11"/>
  <c r="E4928" i="12"/>
  <c r="T4939" i="11"/>
  <c r="E3704" i="12"/>
  <c r="T3712" i="11"/>
  <c r="E4278" i="12"/>
  <c r="T4288" i="11"/>
  <c r="E3743" i="12"/>
  <c r="T3752" i="11"/>
  <c r="E4446" i="12"/>
  <c r="T4456" i="11"/>
  <c r="E6569" i="12"/>
  <c r="T6581" i="11"/>
  <c r="E6745" i="12"/>
  <c r="T6757" i="11"/>
  <c r="E6953" i="12"/>
  <c r="T6965" i="11"/>
  <c r="E7097" i="12"/>
  <c r="T7109" i="11"/>
  <c r="E7273" i="12"/>
  <c r="T7285" i="11"/>
  <c r="E7417" i="12"/>
  <c r="T7429" i="11"/>
  <c r="E5086" i="12"/>
  <c r="T5097" i="11"/>
  <c r="E5158" i="12"/>
  <c r="T5169" i="11"/>
  <c r="E5262" i="12"/>
  <c r="T5273" i="11"/>
  <c r="E5342" i="12"/>
  <c r="T5353" i="11"/>
  <c r="E5422" i="12"/>
  <c r="T5433" i="11"/>
  <c r="E5510" i="12"/>
  <c r="T5521" i="11"/>
  <c r="E5582" i="12"/>
  <c r="T5593" i="11"/>
  <c r="E5685" i="12"/>
  <c r="T5697" i="11"/>
  <c r="E5757" i="12"/>
  <c r="T5769" i="11"/>
  <c r="E5861" i="12"/>
  <c r="T5873" i="11"/>
  <c r="E5933" i="12"/>
  <c r="T5945" i="11"/>
  <c r="E6013" i="12"/>
  <c r="T6025" i="11"/>
  <c r="E6109" i="12"/>
  <c r="T6121" i="11"/>
  <c r="E6181" i="12"/>
  <c r="T6193" i="11"/>
  <c r="E6285" i="12"/>
  <c r="T6297" i="11"/>
  <c r="E6357" i="12"/>
  <c r="T6369" i="11"/>
  <c r="E6453" i="12"/>
  <c r="T6465" i="11"/>
  <c r="E6536" i="12"/>
  <c r="T6548" i="11"/>
  <c r="E6760" i="12"/>
  <c r="T6772" i="11"/>
  <c r="E6888" i="12"/>
  <c r="T6900" i="11"/>
  <c r="E7112" i="12"/>
  <c r="T7124" i="11"/>
  <c r="E7256" i="12"/>
  <c r="T7268" i="11"/>
  <c r="E7448" i="12"/>
  <c r="T7460" i="11"/>
  <c r="E5045" i="12"/>
  <c r="T5056" i="11"/>
  <c r="E5177" i="12"/>
  <c r="T5188" i="11"/>
  <c r="E5249" i="12"/>
  <c r="T5260" i="11"/>
  <c r="E5353" i="12"/>
  <c r="T5364" i="11"/>
  <c r="E5433" i="12"/>
  <c r="T5444" i="11"/>
  <c r="E5529" i="12"/>
  <c r="T5540" i="11"/>
  <c r="E5601" i="12"/>
  <c r="T5612" i="11"/>
  <c r="E5688" i="12"/>
  <c r="T5700" i="11"/>
  <c r="E5768" i="12"/>
  <c r="T5780" i="11"/>
  <c r="E5856" i="12"/>
  <c r="T5868" i="11"/>
  <c r="E5944" i="12"/>
  <c r="T5956" i="11"/>
  <c r="E6008" i="12"/>
  <c r="T6020" i="11"/>
  <c r="E6104" i="12"/>
  <c r="T6116" i="11"/>
  <c r="E6184" i="12"/>
  <c r="T6196" i="11"/>
  <c r="E6280" i="12"/>
  <c r="T6292" i="11"/>
  <c r="E6352" i="12"/>
  <c r="T6364" i="11"/>
  <c r="E6440" i="12"/>
  <c r="T6452" i="11"/>
  <c r="E6558" i="12"/>
  <c r="T6570" i="11"/>
  <c r="E6702" i="12"/>
  <c r="T6714" i="11"/>
  <c r="E6910" i="12"/>
  <c r="T6922" i="11"/>
  <c r="E7054" i="12"/>
  <c r="T7066" i="11"/>
  <c r="E7230" i="12"/>
  <c r="T7242" i="11"/>
  <c r="E7390" i="12"/>
  <c r="T7402" i="11"/>
  <c r="E7550" i="12"/>
  <c r="T7562" i="11"/>
  <c r="E7808" i="12"/>
  <c r="T7820" i="11"/>
  <c r="E7888" i="12"/>
  <c r="T7900" i="11"/>
  <c r="E7992" i="12"/>
  <c r="T8004" i="11"/>
  <c r="E36" i="12"/>
  <c r="T40" i="11"/>
  <c r="E206" i="12"/>
  <c r="T210" i="11"/>
  <c r="E101" i="12"/>
  <c r="T105" i="11"/>
  <c r="E248" i="12"/>
  <c r="T252" i="11"/>
  <c r="E436" i="12"/>
  <c r="T441" i="11"/>
  <c r="E634" i="12"/>
  <c r="T640" i="11"/>
  <c r="E838" i="12"/>
  <c r="T844" i="11"/>
  <c r="E140" i="12"/>
  <c r="T144" i="11"/>
  <c r="E420" i="12"/>
  <c r="T425" i="11"/>
  <c r="E126" i="12"/>
  <c r="T130" i="11"/>
  <c r="E407" i="12"/>
  <c r="T412" i="11"/>
  <c r="E610" i="12"/>
  <c r="T616" i="11"/>
  <c r="E828" i="12"/>
  <c r="T834" i="11"/>
  <c r="E1026" i="12"/>
  <c r="T1033" i="11"/>
  <c r="E1225" i="12"/>
  <c r="T1232" i="11"/>
  <c r="E1354" i="12"/>
  <c r="T1361" i="11"/>
  <c r="E293" i="12"/>
  <c r="T297" i="11"/>
  <c r="E671" i="12"/>
  <c r="T677" i="11"/>
  <c r="E977" i="12"/>
  <c r="T984" i="11"/>
  <c r="E1130" i="12"/>
  <c r="T1137" i="11"/>
  <c r="E1304" i="12"/>
  <c r="T1311" i="11"/>
  <c r="E1400" i="12"/>
  <c r="T1407" i="11"/>
  <c r="E1487" i="12"/>
  <c r="T1494" i="11"/>
  <c r="E1574" i="12"/>
  <c r="T1581" i="11"/>
  <c r="E1638" i="12"/>
  <c r="T1645" i="11"/>
  <c r="E1702" i="12"/>
  <c r="T1709" i="11"/>
  <c r="E1766" i="12"/>
  <c r="T1773" i="11"/>
  <c r="E1829" i="12"/>
  <c r="T1837" i="11"/>
  <c r="E1893" i="12"/>
  <c r="T1901" i="11"/>
  <c r="E357" i="12"/>
  <c r="T362" i="11"/>
  <c r="E792" i="12"/>
  <c r="T798" i="11"/>
  <c r="E1131" i="12"/>
  <c r="T1138" i="11"/>
  <c r="E1360" i="12"/>
  <c r="T1367" i="11"/>
  <c r="E1434" i="12"/>
  <c r="T1441" i="11"/>
  <c r="E1516" i="12"/>
  <c r="T1523" i="11"/>
  <c r="E1597" i="12"/>
  <c r="T1604" i="11"/>
  <c r="E1661" i="12"/>
  <c r="T1668" i="11"/>
  <c r="E1725" i="12"/>
  <c r="T1732" i="11"/>
  <c r="E1789" i="12"/>
  <c r="T1796" i="11"/>
  <c r="E1852" i="12"/>
  <c r="T1860" i="11"/>
  <c r="E371" i="12"/>
  <c r="T376" i="11"/>
  <c r="E666" i="12"/>
  <c r="T672" i="11"/>
  <c r="E870" i="12"/>
  <c r="T876" i="11"/>
  <c r="E1177" i="12"/>
  <c r="T1184" i="11"/>
  <c r="E1380" i="12"/>
  <c r="T1387" i="11"/>
  <c r="E1467" i="12"/>
  <c r="T1474" i="11"/>
  <c r="E1554" i="12"/>
  <c r="T1561" i="11"/>
  <c r="E1627" i="12"/>
  <c r="T1634" i="11"/>
  <c r="E1691" i="12"/>
  <c r="T1698" i="11"/>
  <c r="E1755" i="12"/>
  <c r="T1762" i="11"/>
  <c r="E1818" i="12"/>
  <c r="T1826" i="11"/>
  <c r="E1882" i="12"/>
  <c r="T1890" i="11"/>
  <c r="E364" i="12"/>
  <c r="T369" i="11"/>
  <c r="E1010" i="12"/>
  <c r="T1017" i="11"/>
  <c r="E1266" i="12"/>
  <c r="T1273" i="11"/>
  <c r="E1472" i="12"/>
  <c r="T1479" i="11"/>
  <c r="E1620" i="12"/>
  <c r="T1627" i="11"/>
  <c r="E1748" i="12"/>
  <c r="T1755" i="11"/>
  <c r="E1875" i="12"/>
  <c r="T1883" i="11"/>
  <c r="E1976" i="12"/>
  <c r="T1984" i="11"/>
  <c r="E2040" i="12"/>
  <c r="T2048" i="11"/>
  <c r="E2104" i="12"/>
  <c r="T2112" i="11"/>
  <c r="E2168" i="12"/>
  <c r="T2176" i="11"/>
  <c r="E2232" i="12"/>
  <c r="T2240" i="11"/>
  <c r="E2296" i="12"/>
  <c r="T2304" i="11"/>
  <c r="E2360" i="12"/>
  <c r="T2368" i="11"/>
  <c r="E2424" i="12"/>
  <c r="T2432" i="11"/>
  <c r="E2488" i="12"/>
  <c r="T2496" i="11"/>
  <c r="E2552" i="12"/>
  <c r="T2560" i="11"/>
  <c r="E2616" i="12"/>
  <c r="T2624" i="11"/>
  <c r="E2680" i="12"/>
  <c r="T2688" i="11"/>
  <c r="E2744" i="12"/>
  <c r="T2752" i="11"/>
  <c r="E2808" i="12"/>
  <c r="T2816" i="11"/>
  <c r="E2872" i="12"/>
  <c r="T2880" i="11"/>
  <c r="E2936" i="12"/>
  <c r="T2944" i="11"/>
  <c r="E3000" i="12"/>
  <c r="T3008" i="11"/>
  <c r="E3064" i="12"/>
  <c r="T3072" i="11"/>
  <c r="E3128" i="12"/>
  <c r="T3136" i="11"/>
  <c r="E3192" i="12"/>
  <c r="T3200" i="11"/>
  <c r="E3256" i="12"/>
  <c r="T3264" i="11"/>
  <c r="E3320" i="12"/>
  <c r="T3328" i="11"/>
  <c r="E744" i="12"/>
  <c r="T750" i="11"/>
  <c r="E1939" i="12"/>
  <c r="T1947" i="11"/>
  <c r="E2003" i="12"/>
  <c r="T2011" i="11"/>
  <c r="E2067" i="12"/>
  <c r="T2075" i="11"/>
  <c r="E2131" i="12"/>
  <c r="T2139" i="11"/>
  <c r="E2195" i="12"/>
  <c r="T2203" i="11"/>
  <c r="E2259" i="12"/>
  <c r="T2267" i="11"/>
  <c r="E2323" i="12"/>
  <c r="T2331" i="11"/>
  <c r="E2387" i="12"/>
  <c r="T2395" i="11"/>
  <c r="E2451" i="12"/>
  <c r="T2459" i="11"/>
  <c r="E2515" i="12"/>
  <c r="T2523" i="11"/>
  <c r="E754" i="12"/>
  <c r="T760" i="11"/>
  <c r="E1896" i="12"/>
  <c r="T1904" i="11"/>
  <c r="E1965" i="12"/>
  <c r="T1973" i="11"/>
  <c r="E2029" i="12"/>
  <c r="T2037" i="11"/>
  <c r="E2093" i="12"/>
  <c r="T2101" i="11"/>
  <c r="E2157" i="12"/>
  <c r="T2165" i="11"/>
  <c r="E2221" i="12"/>
  <c r="T2229" i="11"/>
  <c r="E2285" i="12"/>
  <c r="T2293" i="11"/>
  <c r="E2349" i="12"/>
  <c r="T2357" i="11"/>
  <c r="E2413" i="12"/>
  <c r="T2421" i="11"/>
  <c r="E2477" i="12"/>
  <c r="T2485" i="11"/>
  <c r="E2541" i="12"/>
  <c r="T2549" i="11"/>
  <c r="E2605" i="12"/>
  <c r="T2613" i="11"/>
  <c r="E2669" i="12"/>
  <c r="T2677" i="11"/>
  <c r="E2733" i="12"/>
  <c r="T2741" i="11"/>
  <c r="E2797" i="12"/>
  <c r="T2805" i="11"/>
  <c r="E2861" i="12"/>
  <c r="T2869" i="11"/>
  <c r="E2925" i="12"/>
  <c r="T2933" i="11"/>
  <c r="E2989" i="12"/>
  <c r="T2997" i="11"/>
  <c r="E3053" i="12"/>
  <c r="T3061" i="11"/>
  <c r="E3117" i="12"/>
  <c r="T3125" i="11"/>
  <c r="E3181" i="12"/>
  <c r="T3189" i="11"/>
  <c r="E2547" i="12"/>
  <c r="T2555" i="11"/>
  <c r="E2611" i="12"/>
  <c r="T2619" i="11"/>
  <c r="E2675" i="12"/>
  <c r="T2683" i="11"/>
  <c r="E2739" i="12"/>
  <c r="T2747" i="11"/>
  <c r="E2803" i="12"/>
  <c r="T2811" i="11"/>
  <c r="E2867" i="12"/>
  <c r="T2875" i="11"/>
  <c r="E2931" i="12"/>
  <c r="T2939" i="11"/>
  <c r="E2995" i="12"/>
  <c r="T3003" i="11"/>
  <c r="E3059" i="12"/>
  <c r="T3067" i="11"/>
  <c r="E3123" i="12"/>
  <c r="T3131" i="11"/>
  <c r="E3187" i="12"/>
  <c r="T3195" i="11"/>
  <c r="E3410" i="12"/>
  <c r="T3418" i="11"/>
  <c r="E3474" i="12"/>
  <c r="T3482" i="11"/>
  <c r="E3538" i="12"/>
  <c r="T3546" i="11"/>
  <c r="E3602" i="12"/>
  <c r="T3610" i="11"/>
  <c r="E3666" i="12"/>
  <c r="T3674" i="11"/>
  <c r="E1438" i="12"/>
  <c r="T1445" i="11"/>
  <c r="E1696" i="12"/>
  <c r="T1703" i="11"/>
  <c r="E1942" i="12"/>
  <c r="T1950" i="11"/>
  <c r="E2070" i="12"/>
  <c r="T2078" i="11"/>
  <c r="E2198" i="12"/>
  <c r="T2206" i="11"/>
  <c r="E2326" i="12"/>
  <c r="T2334" i="11"/>
  <c r="E2454" i="12"/>
  <c r="T2462" i="11"/>
  <c r="E3206" i="12"/>
  <c r="T3214" i="11"/>
  <c r="E3249" i="12"/>
  <c r="T3257" i="11"/>
  <c r="E3291" i="12"/>
  <c r="T3299" i="11"/>
  <c r="E3334" i="12"/>
  <c r="T3342" i="11"/>
  <c r="E3389" i="12"/>
  <c r="T3397" i="11"/>
  <c r="E3453" i="12"/>
  <c r="T3461" i="11"/>
  <c r="E3517" i="12"/>
  <c r="T3525" i="11"/>
  <c r="E1463" i="12"/>
  <c r="T1470" i="11"/>
  <c r="E1784" i="12"/>
  <c r="T1791" i="11"/>
  <c r="E1978" i="12"/>
  <c r="T1986" i="11"/>
  <c r="E2106" i="12"/>
  <c r="T2114" i="11"/>
  <c r="E2234" i="12"/>
  <c r="T2242" i="11"/>
  <c r="E2362" i="12"/>
  <c r="T2370" i="11"/>
  <c r="E2490" i="12"/>
  <c r="T2498" i="11"/>
  <c r="E2578" i="12"/>
  <c r="T2586" i="11"/>
  <c r="E2642" i="12"/>
  <c r="T2650" i="11"/>
  <c r="E2706" i="12"/>
  <c r="T2714" i="11"/>
  <c r="E2770" i="12"/>
  <c r="T2778" i="11"/>
  <c r="E2834" i="12"/>
  <c r="T2842" i="11"/>
  <c r="E2898" i="12"/>
  <c r="T2906" i="11"/>
  <c r="E2962" i="12"/>
  <c r="T2970" i="11"/>
  <c r="E3026" i="12"/>
  <c r="T3034" i="11"/>
  <c r="E3090" i="12"/>
  <c r="T3098" i="11"/>
  <c r="E3154" i="12"/>
  <c r="T3162" i="11"/>
  <c r="E3210" i="12"/>
  <c r="T3218" i="11"/>
  <c r="E3253" i="12"/>
  <c r="T3261" i="11"/>
  <c r="E3295" i="12"/>
  <c r="T3303" i="11"/>
  <c r="E3338" i="12"/>
  <c r="T3346" i="11"/>
  <c r="E3383" i="12"/>
  <c r="T3391" i="11"/>
  <c r="E3447" i="12"/>
  <c r="T3455" i="11"/>
  <c r="E3511" i="12"/>
  <c r="T3519" i="11"/>
  <c r="E3557" i="12"/>
  <c r="T3565" i="11"/>
  <c r="E3600" i="12"/>
  <c r="T3608" i="11"/>
  <c r="E3643" i="12"/>
  <c r="T3651" i="11"/>
  <c r="E3694" i="12"/>
  <c r="T3702" i="11"/>
  <c r="E3757" i="12"/>
  <c r="T3766" i="11"/>
  <c r="E3821" i="12"/>
  <c r="T3830" i="11"/>
  <c r="E3885" i="12"/>
  <c r="T3894" i="11"/>
  <c r="E3949" i="12"/>
  <c r="T3958" i="11"/>
  <c r="E4013" i="12"/>
  <c r="T4022" i="11"/>
  <c r="E4077" i="12"/>
  <c r="T4086" i="11"/>
  <c r="E4141" i="12"/>
  <c r="T4150" i="11"/>
  <c r="E4204" i="12"/>
  <c r="T4214" i="11"/>
  <c r="E4268" i="12"/>
  <c r="T4278" i="11"/>
  <c r="E4332" i="12"/>
  <c r="T4342" i="11"/>
  <c r="E4396" i="12"/>
  <c r="T4406" i="11"/>
  <c r="E4460" i="12"/>
  <c r="T4470" i="11"/>
  <c r="E4524" i="12"/>
  <c r="T4534" i="11"/>
  <c r="E4588" i="12"/>
  <c r="T4598" i="11"/>
  <c r="E4652" i="12"/>
  <c r="T4662" i="11"/>
  <c r="E1923" i="12"/>
  <c r="T1931" i="11"/>
  <c r="E3420" i="12"/>
  <c r="T3428" i="11"/>
  <c r="E3484" i="12"/>
  <c r="T3492" i="11"/>
  <c r="E3693" i="12"/>
  <c r="T3701" i="11"/>
  <c r="E3756" i="12"/>
  <c r="T3765" i="11"/>
  <c r="E3820" i="12"/>
  <c r="T3829" i="11"/>
  <c r="E3884" i="12"/>
  <c r="T3893" i="11"/>
  <c r="E3948" i="12"/>
  <c r="T3957" i="11"/>
  <c r="E4012" i="12"/>
  <c r="T4021" i="11"/>
  <c r="E4076" i="12"/>
  <c r="T4085" i="11"/>
  <c r="E4140" i="12"/>
  <c r="T4149" i="11"/>
  <c r="E4203" i="12"/>
  <c r="T4213" i="11"/>
  <c r="E4267" i="12"/>
  <c r="T4277" i="11"/>
  <c r="E4331" i="12"/>
  <c r="T4341" i="11"/>
  <c r="E4395" i="12"/>
  <c r="T4405" i="11"/>
  <c r="E4459" i="12"/>
  <c r="T4469" i="11"/>
  <c r="E4523" i="12"/>
  <c r="T4533" i="11"/>
  <c r="E4587" i="12"/>
  <c r="T4597" i="11"/>
  <c r="E4651" i="12"/>
  <c r="T4661" i="11"/>
  <c r="E692" i="12"/>
  <c r="T698" i="11"/>
  <c r="E3719" i="12"/>
  <c r="T3727" i="11"/>
  <c r="E3782" i="12"/>
  <c r="T3791" i="11"/>
  <c r="E3846" i="12"/>
  <c r="T3855" i="11"/>
  <c r="E3910" i="12"/>
  <c r="T3919" i="11"/>
  <c r="E3974" i="12"/>
  <c r="T3983" i="11"/>
  <c r="E4038" i="12"/>
  <c r="T4047" i="11"/>
  <c r="E4102" i="12"/>
  <c r="T4111" i="11"/>
  <c r="T4175" i="11"/>
  <c r="E4229" i="12"/>
  <c r="T4239" i="11"/>
  <c r="E4293" i="12"/>
  <c r="T4303" i="11"/>
  <c r="E4357" i="12"/>
  <c r="T4367" i="11"/>
  <c r="E4421" i="12"/>
  <c r="T4431" i="11"/>
  <c r="E4485" i="12"/>
  <c r="T4495" i="11"/>
  <c r="E4549" i="12"/>
  <c r="T4559" i="11"/>
  <c r="E4613" i="12"/>
  <c r="T4623" i="11"/>
  <c r="E4677" i="12"/>
  <c r="T4687" i="11"/>
  <c r="E3572" i="12"/>
  <c r="T3580" i="11"/>
  <c r="E3655" i="12"/>
  <c r="T3663" i="11"/>
  <c r="E3779" i="12"/>
  <c r="T3788" i="11"/>
  <c r="E3907" i="12"/>
  <c r="T3916" i="11"/>
  <c r="E4035" i="12"/>
  <c r="T4044" i="11"/>
  <c r="E4163" i="12"/>
  <c r="T4172" i="11"/>
  <c r="E4290" i="12"/>
  <c r="T4300" i="11"/>
  <c r="E4418" i="12"/>
  <c r="T4428" i="11"/>
  <c r="E4546" i="12"/>
  <c r="T4556" i="11"/>
  <c r="E4674" i="12"/>
  <c r="T4684" i="11"/>
  <c r="E5023" i="12"/>
  <c r="T5034" i="11"/>
  <c r="E4722" i="12"/>
  <c r="T4732" i="11"/>
  <c r="E4754" i="12"/>
  <c r="T4764" i="11"/>
  <c r="E4786" i="12"/>
  <c r="T4796" i="11"/>
  <c r="E4818" i="12"/>
  <c r="T4828" i="11"/>
  <c r="E4850" i="12"/>
  <c r="T4860" i="11"/>
  <c r="E4882" i="12"/>
  <c r="T4892" i="11"/>
  <c r="E4913" i="12"/>
  <c r="T4924" i="11"/>
  <c r="E4945" i="12"/>
  <c r="T4956" i="11"/>
  <c r="E4982" i="12"/>
  <c r="T4993" i="11"/>
  <c r="E5046" i="12"/>
  <c r="T5057" i="11"/>
  <c r="E4731" i="12"/>
  <c r="T4741" i="11"/>
  <c r="E4763" i="12"/>
  <c r="T4773" i="11"/>
  <c r="E4795" i="12"/>
  <c r="T4805" i="11"/>
  <c r="E4827" i="12"/>
  <c r="T4837" i="11"/>
  <c r="E4859" i="12"/>
  <c r="T4869" i="11"/>
  <c r="E4890" i="12"/>
  <c r="T4901" i="11"/>
  <c r="E4922" i="12"/>
  <c r="T4933" i="11"/>
  <c r="E4954" i="12"/>
  <c r="T4965" i="11"/>
  <c r="E5000" i="12"/>
  <c r="T5011" i="11"/>
  <c r="E5064" i="12"/>
  <c r="T5075" i="11"/>
  <c r="E3783" i="12"/>
  <c r="T3792" i="11"/>
  <c r="E4039" i="12"/>
  <c r="T4048" i="11"/>
  <c r="E4294" i="12"/>
  <c r="T4304" i="11"/>
  <c r="E4550" i="12"/>
  <c r="T4560" i="11"/>
  <c r="E3577" i="12"/>
  <c r="T3585" i="11"/>
  <c r="E3759" i="12"/>
  <c r="T3768" i="11"/>
  <c r="E4015" i="12"/>
  <c r="T4024" i="11"/>
  <c r="E4270" i="12"/>
  <c r="T4280" i="11"/>
  <c r="E4526" i="12"/>
  <c r="T4536" i="11"/>
  <c r="E5009" i="12"/>
  <c r="T5020" i="11"/>
  <c r="E6557" i="12"/>
  <c r="T6569" i="11"/>
  <c r="E6621" i="12"/>
  <c r="T6633" i="11"/>
  <c r="E6685" i="12"/>
  <c r="T6697" i="11"/>
  <c r="E6749" i="12"/>
  <c r="T6761" i="11"/>
  <c r="E6813" i="12"/>
  <c r="T6825" i="11"/>
  <c r="E6877" i="12"/>
  <c r="T6889" i="11"/>
  <c r="E6941" i="12"/>
  <c r="T6953" i="11"/>
  <c r="E7005" i="12"/>
  <c r="T7017" i="11"/>
  <c r="E7069" i="12"/>
  <c r="T7081" i="11"/>
  <c r="E7133" i="12"/>
  <c r="T7145" i="11"/>
  <c r="E7197" i="12"/>
  <c r="T7209" i="11"/>
  <c r="E7261" i="12"/>
  <c r="T7273" i="11"/>
  <c r="E7325" i="12"/>
  <c r="T7337" i="11"/>
  <c r="E7389" i="12"/>
  <c r="T7401" i="11"/>
  <c r="E7453" i="12"/>
  <c r="T7465" i="11"/>
  <c r="E7517" i="12"/>
  <c r="T7529" i="11"/>
  <c r="E3647" i="12"/>
  <c r="T3655" i="11"/>
  <c r="E5112" i="12"/>
  <c r="T5123" i="11"/>
  <c r="E5144" i="12"/>
  <c r="T5155" i="11"/>
  <c r="E5176" i="12"/>
  <c r="T5187" i="11"/>
  <c r="E5208" i="12"/>
  <c r="T5219" i="11"/>
  <c r="E5240" i="12"/>
  <c r="T5251" i="11"/>
  <c r="E5272" i="12"/>
  <c r="T5283" i="11"/>
  <c r="E5304" i="12"/>
  <c r="T5315" i="11"/>
  <c r="E5336" i="12"/>
  <c r="T5347" i="11"/>
  <c r="E5368" i="12"/>
  <c r="T5379" i="11"/>
  <c r="E5400" i="12"/>
  <c r="T5411" i="11"/>
  <c r="E5432" i="12"/>
  <c r="T5443" i="11"/>
  <c r="E5464" i="12"/>
  <c r="T5475" i="11"/>
  <c r="E5496" i="12"/>
  <c r="T5507" i="11"/>
  <c r="E5528" i="12"/>
  <c r="T5539" i="11"/>
  <c r="E5560" i="12"/>
  <c r="T5571" i="11"/>
  <c r="E5592" i="12"/>
  <c r="T5603" i="11"/>
  <c r="E5624" i="12"/>
  <c r="T5635" i="11"/>
  <c r="E5655" i="12"/>
  <c r="T5667" i="11"/>
  <c r="E5687" i="12"/>
  <c r="T5699" i="11"/>
  <c r="E5719" i="12"/>
  <c r="T5731" i="11"/>
  <c r="E5751" i="12"/>
  <c r="T5763" i="11"/>
  <c r="E5783" i="12"/>
  <c r="T5795" i="11"/>
  <c r="E5815" i="12"/>
  <c r="T5827" i="11"/>
  <c r="E5847" i="12"/>
  <c r="T5859" i="11"/>
  <c r="E5879" i="12"/>
  <c r="T5891" i="11"/>
  <c r="E5911" i="12"/>
  <c r="T5923" i="11"/>
  <c r="E5943" i="12"/>
  <c r="T5955" i="11"/>
  <c r="E5975" i="12"/>
  <c r="T5987" i="11"/>
  <c r="E6007" i="12"/>
  <c r="T6019" i="11"/>
  <c r="E6039" i="12"/>
  <c r="T6051" i="11"/>
  <c r="E6071" i="12"/>
  <c r="T6083" i="11"/>
  <c r="E6103" i="12"/>
  <c r="T6115" i="11"/>
  <c r="E6135" i="12"/>
  <c r="T6147" i="11"/>
  <c r="E6167" i="12"/>
  <c r="T6179" i="11"/>
  <c r="E6199" i="12"/>
  <c r="T6211" i="11"/>
  <c r="E6231" i="12"/>
  <c r="T6243" i="11"/>
  <c r="E6263" i="12"/>
  <c r="T6275" i="11"/>
  <c r="E6295" i="12"/>
  <c r="T6307" i="11"/>
  <c r="E6327" i="12"/>
  <c r="T6339" i="11"/>
  <c r="E6359" i="12"/>
  <c r="T6371" i="11"/>
  <c r="E6391" i="12"/>
  <c r="T6403" i="11"/>
  <c r="E6423" i="12"/>
  <c r="T6435" i="11"/>
  <c r="E6455" i="12"/>
  <c r="T6467" i="11"/>
  <c r="E6487" i="12"/>
  <c r="T6499" i="11"/>
  <c r="E6519" i="12"/>
  <c r="T6531" i="11"/>
  <c r="E6572" i="12"/>
  <c r="T6584" i="11"/>
  <c r="E6636" i="12"/>
  <c r="T6648" i="11"/>
  <c r="E6700" i="12"/>
  <c r="T6712" i="11"/>
  <c r="E6764" i="12"/>
  <c r="T6776" i="11"/>
  <c r="E6828" i="12"/>
  <c r="T6840" i="11"/>
  <c r="E6892" i="12"/>
  <c r="T6904" i="11"/>
  <c r="E6956" i="12"/>
  <c r="T6968" i="11"/>
  <c r="E7020" i="12"/>
  <c r="T7032" i="11"/>
  <c r="E7084" i="12"/>
  <c r="T7096" i="11"/>
  <c r="E7148" i="12"/>
  <c r="T7160" i="11"/>
  <c r="E7212" i="12"/>
  <c r="T7224" i="11"/>
  <c r="E7276" i="12"/>
  <c r="T7288" i="11"/>
  <c r="E7340" i="12"/>
  <c r="T7352" i="11"/>
  <c r="E7404" i="12"/>
  <c r="T7416" i="11"/>
  <c r="E7468" i="12"/>
  <c r="T7480" i="11"/>
  <c r="E7532" i="12"/>
  <c r="T7544" i="11"/>
  <c r="E5021" i="12"/>
  <c r="T5032" i="11"/>
  <c r="E5091" i="12"/>
  <c r="T5102" i="11"/>
  <c r="E5123" i="12"/>
  <c r="T5134" i="11"/>
  <c r="E5155" i="12"/>
  <c r="T5166" i="11"/>
  <c r="E5187" i="12"/>
  <c r="T5198" i="11"/>
  <c r="E5219" i="12"/>
  <c r="T5230" i="11"/>
  <c r="E5251" i="12"/>
  <c r="T5262" i="11"/>
  <c r="E5283" i="12"/>
  <c r="T5294" i="11"/>
  <c r="E5315" i="12"/>
  <c r="T5326" i="11"/>
  <c r="E5347" i="12"/>
  <c r="T5358" i="11"/>
  <c r="E5379" i="12"/>
  <c r="T5390" i="11"/>
  <c r="E5411" i="12"/>
  <c r="T5422" i="11"/>
  <c r="E5443" i="12"/>
  <c r="T5454" i="11"/>
  <c r="E5475" i="12"/>
  <c r="T5486" i="11"/>
  <c r="E5507" i="12"/>
  <c r="T5518" i="11"/>
  <c r="E5539" i="12"/>
  <c r="T5550" i="11"/>
  <c r="E5571" i="12"/>
  <c r="T5582" i="11"/>
  <c r="E5603" i="12"/>
  <c r="T5614" i="11"/>
  <c r="E5634" i="12"/>
  <c r="T5646" i="11"/>
  <c r="E5666" i="12"/>
  <c r="T5678" i="11"/>
  <c r="E5698" i="12"/>
  <c r="T5710" i="11"/>
  <c r="E5730" i="12"/>
  <c r="T5742" i="11"/>
  <c r="E5762" i="12"/>
  <c r="T5774" i="11"/>
  <c r="E5794" i="12"/>
  <c r="T5806" i="11"/>
  <c r="E5826" i="12"/>
  <c r="T5838" i="11"/>
  <c r="E5858" i="12"/>
  <c r="T5870" i="11"/>
  <c r="E5890" i="12"/>
  <c r="T5902" i="11"/>
  <c r="E5922" i="12"/>
  <c r="T5934" i="11"/>
  <c r="E5954" i="12"/>
  <c r="T5966" i="11"/>
  <c r="E5986" i="12"/>
  <c r="T5998" i="11"/>
  <c r="E6018" i="12"/>
  <c r="T6030" i="11"/>
  <c r="E6050" i="12"/>
  <c r="T6062" i="11"/>
  <c r="E6082" i="12"/>
  <c r="T6094" i="11"/>
  <c r="E6114" i="12"/>
  <c r="T6126" i="11"/>
  <c r="E6146" i="12"/>
  <c r="T6158" i="11"/>
  <c r="E6178" i="12"/>
  <c r="T6190" i="11"/>
  <c r="E6210" i="12"/>
  <c r="T6222" i="11"/>
  <c r="E6242" i="12"/>
  <c r="T6254" i="11"/>
  <c r="E6274" i="12"/>
  <c r="T6286" i="11"/>
  <c r="E6306" i="12"/>
  <c r="T6318" i="11"/>
  <c r="E6338" i="12"/>
  <c r="T6350" i="11"/>
  <c r="E6370" i="12"/>
  <c r="T6382" i="11"/>
  <c r="E6402" i="12"/>
  <c r="T6414" i="11"/>
  <c r="E6434" i="12"/>
  <c r="T6446" i="11"/>
  <c r="E6466" i="12"/>
  <c r="T6478" i="11"/>
  <c r="E6498" i="12"/>
  <c r="T6510" i="11"/>
  <c r="E6530" i="12"/>
  <c r="T6542" i="11"/>
  <c r="E6594" i="12"/>
  <c r="T6606" i="11"/>
  <c r="E6658" i="12"/>
  <c r="T6670" i="11"/>
  <c r="E6722" i="12"/>
  <c r="T6734" i="11"/>
  <c r="E6786" i="12"/>
  <c r="T6798" i="11"/>
  <c r="E6850" i="12"/>
  <c r="T6862" i="11"/>
  <c r="E6914" i="12"/>
  <c r="T6926" i="11"/>
  <c r="E6978" i="12"/>
  <c r="T6990" i="11"/>
  <c r="E7042" i="12"/>
  <c r="T7054" i="11"/>
  <c r="E7106" i="12"/>
  <c r="T7118" i="11"/>
  <c r="E7170" i="12"/>
  <c r="T7182" i="11"/>
  <c r="E7234" i="12"/>
  <c r="T7246" i="11"/>
  <c r="E7298" i="12"/>
  <c r="T7310" i="11"/>
  <c r="E7362" i="12"/>
  <c r="T7374" i="11"/>
  <c r="E7426" i="12"/>
  <c r="T7438" i="11"/>
  <c r="E7490" i="12"/>
  <c r="T7502" i="11"/>
  <c r="E7554" i="12"/>
  <c r="T7566" i="11"/>
  <c r="E7738" i="12"/>
  <c r="T7750" i="11"/>
  <c r="E7770" i="12"/>
  <c r="T7782" i="11"/>
  <c r="E7802" i="12"/>
  <c r="T7814" i="11"/>
  <c r="E7834" i="12"/>
  <c r="T7846" i="11"/>
  <c r="E7866" i="12"/>
  <c r="T7878" i="11"/>
  <c r="E7898" i="12"/>
  <c r="T7910" i="11"/>
  <c r="E7930" i="12"/>
  <c r="T7942" i="11"/>
  <c r="E7962" i="12"/>
  <c r="T7974" i="11"/>
  <c r="E7994" i="12"/>
  <c r="T8006" i="11"/>
  <c r="E8026" i="12"/>
  <c r="T8038" i="11"/>
  <c r="E8058" i="12"/>
  <c r="T8070" i="11"/>
  <c r="E8090" i="12"/>
  <c r="T8102" i="11"/>
  <c r="E8122" i="12"/>
  <c r="T8134" i="11"/>
  <c r="E8154" i="12"/>
  <c r="T8166" i="11"/>
  <c r="E8186" i="12"/>
  <c r="T8198" i="11"/>
  <c r="E8218" i="12"/>
  <c r="T8230" i="11"/>
  <c r="E8250" i="12"/>
  <c r="T8262" i="11"/>
  <c r="E8282" i="12"/>
  <c r="T8294" i="11"/>
  <c r="E8314" i="12"/>
  <c r="T8326" i="11"/>
  <c r="E8346" i="12"/>
  <c r="T8358" i="11"/>
  <c r="E8378" i="12"/>
  <c r="T8390" i="11"/>
  <c r="E6571" i="12"/>
  <c r="T6583" i="11"/>
  <c r="E6699" i="12"/>
  <c r="T6711" i="11"/>
  <c r="E6827" i="12"/>
  <c r="T6839" i="11"/>
  <c r="E6955" i="12"/>
  <c r="T6967" i="11"/>
  <c r="E7083" i="12"/>
  <c r="T7095" i="11"/>
  <c r="E7211" i="12"/>
  <c r="T7223" i="11"/>
  <c r="E7339" i="12"/>
  <c r="T7351" i="11"/>
  <c r="E7467" i="12"/>
  <c r="T7479" i="11"/>
  <c r="E6559" i="12"/>
  <c r="T6571" i="11"/>
  <c r="E6687" i="12"/>
  <c r="T6699" i="11"/>
  <c r="E6815" i="12"/>
  <c r="T6827" i="11"/>
  <c r="E6943" i="12"/>
  <c r="T6955" i="11"/>
  <c r="E7071" i="12"/>
  <c r="T7083" i="11"/>
  <c r="E7199" i="12"/>
  <c r="T7211" i="11"/>
  <c r="E7327" i="12"/>
  <c r="T7339" i="11"/>
  <c r="E7455" i="12"/>
  <c r="T7467" i="11"/>
  <c r="E7719" i="12"/>
  <c r="T7731" i="11"/>
  <c r="E7783" i="12"/>
  <c r="T7795" i="11"/>
  <c r="E7847" i="12"/>
  <c r="T7859" i="11"/>
  <c r="E7911" i="12"/>
  <c r="T7923" i="11"/>
  <c r="E7975" i="12"/>
  <c r="T7987" i="11"/>
  <c r="E8039" i="12"/>
  <c r="T8051" i="11"/>
  <c r="E8103" i="12"/>
  <c r="T8115" i="11"/>
  <c r="E8167" i="12"/>
  <c r="T8179" i="11"/>
  <c r="E8231" i="12"/>
  <c r="T8243" i="11"/>
  <c r="E8295" i="12"/>
  <c r="T8307" i="11"/>
  <c r="E8359" i="12"/>
  <c r="T8371" i="11"/>
  <c r="E7741" i="12"/>
  <c r="T7753" i="11"/>
  <c r="E7805" i="12"/>
  <c r="T7817" i="11"/>
  <c r="E8017" i="12"/>
  <c r="T8029" i="11"/>
  <c r="E8145" i="12"/>
  <c r="T8157" i="11"/>
  <c r="E8273" i="12"/>
  <c r="T8285" i="11"/>
  <c r="E8397" i="12"/>
  <c r="T8409" i="11"/>
  <c r="E7881" i="12"/>
  <c r="T7893" i="11"/>
  <c r="E7969" i="12"/>
  <c r="T7981" i="11"/>
  <c r="E8093" i="12"/>
  <c r="T8105" i="11"/>
  <c r="E8221" i="12"/>
  <c r="T8233" i="11"/>
  <c r="E8353" i="12"/>
  <c r="T8365" i="11"/>
  <c r="E168" i="12"/>
  <c r="T172" i="11"/>
  <c r="E148" i="12"/>
  <c r="T152" i="11"/>
  <c r="E403" i="12"/>
  <c r="T408" i="11"/>
  <c r="E710" i="12"/>
  <c r="T716" i="11"/>
  <c r="E268" i="12"/>
  <c r="T272" i="11"/>
  <c r="E548" i="12"/>
  <c r="T553" i="11"/>
  <c r="E445" i="12"/>
  <c r="T450" i="11"/>
  <c r="E842" i="12"/>
  <c r="T848" i="11"/>
  <c r="E1154" i="12"/>
  <c r="T1161" i="11"/>
  <c r="E1340" i="12"/>
  <c r="T1347" i="11"/>
  <c r="E611" i="12"/>
  <c r="T617" i="11"/>
  <c r="E1047" i="12"/>
  <c r="T1054" i="11"/>
  <c r="E1285" i="12"/>
  <c r="T1292" i="11"/>
  <c r="E1496" i="12"/>
  <c r="T1503" i="11"/>
  <c r="E1614" i="12"/>
  <c r="T1621" i="11"/>
  <c r="E1694" i="12"/>
  <c r="T1701" i="11"/>
  <c r="E1790" i="12"/>
  <c r="T1797" i="11"/>
  <c r="E1901" i="12"/>
  <c r="T1909" i="11"/>
  <c r="E664" i="12"/>
  <c r="T670" i="11"/>
  <c r="E1081" i="12"/>
  <c r="T1088" i="11"/>
  <c r="E1420" i="12"/>
  <c r="T1427" i="11"/>
  <c r="E1548" i="12"/>
  <c r="T1555" i="11"/>
  <c r="E1653" i="12"/>
  <c r="T1660" i="11"/>
  <c r="E1749" i="12"/>
  <c r="T1756" i="11"/>
  <c r="E1844" i="12"/>
  <c r="T1852" i="11"/>
  <c r="E539" i="12"/>
  <c r="T544" i="11"/>
  <c r="E851" i="12"/>
  <c r="T857" i="11"/>
  <c r="E1312" i="12"/>
  <c r="T1319" i="11"/>
  <c r="E1458" i="12"/>
  <c r="T1465" i="11"/>
  <c r="E1563" i="12"/>
  <c r="T1570" i="11"/>
  <c r="E1667" i="12"/>
  <c r="T1674" i="11"/>
  <c r="E1763" i="12"/>
  <c r="T1770" i="11"/>
  <c r="E1874" i="12"/>
  <c r="T1882" i="11"/>
  <c r="E690" i="12"/>
  <c r="T696" i="11"/>
  <c r="E1294" i="12"/>
  <c r="T1301" i="11"/>
  <c r="E1604" i="12"/>
  <c r="T1611" i="11"/>
  <c r="E1796" i="12"/>
  <c r="T1803" i="11"/>
  <c r="E1968" i="12"/>
  <c r="T1976" i="11"/>
  <c r="E2080" i="12"/>
  <c r="T2088" i="11"/>
  <c r="E2176" i="12"/>
  <c r="T2184" i="11"/>
  <c r="E2256" i="12"/>
  <c r="T2264" i="11"/>
  <c r="E2368" i="12"/>
  <c r="T2376" i="11"/>
  <c r="E2464" i="12"/>
  <c r="T2472" i="11"/>
  <c r="E2560" i="12"/>
  <c r="T2568" i="11"/>
  <c r="E2656" i="12"/>
  <c r="T2664" i="11"/>
  <c r="E2768" i="12"/>
  <c r="T2776" i="11"/>
  <c r="E2880" i="12"/>
  <c r="T2888" i="11"/>
  <c r="E2976" i="12"/>
  <c r="T2984" i="11"/>
  <c r="E3072" i="12"/>
  <c r="T3080" i="11"/>
  <c r="E3184" i="12"/>
  <c r="T3192" i="11"/>
  <c r="E3264" i="12"/>
  <c r="T3272" i="11"/>
  <c r="E3344" i="12"/>
  <c r="T3352" i="11"/>
  <c r="E1963" i="12"/>
  <c r="T1971" i="11"/>
  <c r="E2059" i="12"/>
  <c r="T2067" i="11"/>
  <c r="E2139" i="12"/>
  <c r="T2147" i="11"/>
  <c r="E2251" i="12"/>
  <c r="T2259" i="11"/>
  <c r="E2363" i="12"/>
  <c r="T2371" i="11"/>
  <c r="E2443" i="12"/>
  <c r="T2451" i="11"/>
  <c r="E170" i="12"/>
  <c r="T174" i="11"/>
  <c r="E1904" i="12"/>
  <c r="T1912" i="11"/>
  <c r="E2021" i="12"/>
  <c r="T2029" i="11"/>
  <c r="E2101" i="12"/>
  <c r="T2109" i="11"/>
  <c r="E2213" i="12"/>
  <c r="T2221" i="11"/>
  <c r="E2325" i="12"/>
  <c r="T2333" i="11"/>
  <c r="E2421" i="12"/>
  <c r="T2429" i="11"/>
  <c r="E2517" i="12"/>
  <c r="T2525" i="11"/>
  <c r="E2629" i="12"/>
  <c r="T2637" i="11"/>
  <c r="E2725" i="12"/>
  <c r="T2733" i="11"/>
  <c r="E2805" i="12"/>
  <c r="T2813" i="11"/>
  <c r="E2901" i="12"/>
  <c r="T2909" i="11"/>
  <c r="E3029" i="12"/>
  <c r="T3037" i="11"/>
  <c r="E3125" i="12"/>
  <c r="T3133" i="11"/>
  <c r="E965" i="12"/>
  <c r="T972" i="11"/>
  <c r="E2619" i="12"/>
  <c r="T2627" i="11"/>
  <c r="E2731" i="12"/>
  <c r="T2739" i="11"/>
  <c r="E2843" i="12"/>
  <c r="T2851" i="11"/>
  <c r="E2939" i="12"/>
  <c r="T2947" i="11"/>
  <c r="E3035" i="12"/>
  <c r="T3043" i="11"/>
  <c r="E3147" i="12"/>
  <c r="T3155" i="11"/>
  <c r="E3402" i="12"/>
  <c r="T3410" i="11"/>
  <c r="E3482" i="12"/>
  <c r="T3490" i="11"/>
  <c r="E3594" i="12"/>
  <c r="T3602" i="11"/>
  <c r="E1311" i="12"/>
  <c r="T1318" i="11"/>
  <c r="E1664" i="12"/>
  <c r="T1671" i="11"/>
  <c r="E1990" i="12"/>
  <c r="T1998" i="11"/>
  <c r="E2182" i="12"/>
  <c r="T2190" i="11"/>
  <c r="E2342" i="12"/>
  <c r="T2350" i="11"/>
  <c r="E2470" i="12"/>
  <c r="T2478" i="11"/>
  <c r="E3211" i="12"/>
  <c r="T3219" i="11"/>
  <c r="E3254" i="12"/>
  <c r="T3262" i="11"/>
  <c r="E3297" i="12"/>
  <c r="T3305" i="11"/>
  <c r="E3339" i="12"/>
  <c r="T3347" i="11"/>
  <c r="E3413" i="12"/>
  <c r="T3421" i="11"/>
  <c r="E3477" i="12"/>
  <c r="T3485" i="11"/>
  <c r="E1013" i="12"/>
  <c r="T1020" i="11"/>
  <c r="E1624" i="12"/>
  <c r="T1631" i="11"/>
  <c r="E1879" i="12"/>
  <c r="T1887" i="11"/>
  <c r="E2026" i="12"/>
  <c r="T2034" i="11"/>
  <c r="E2154" i="12"/>
  <c r="T2162" i="11"/>
  <c r="E2282" i="12"/>
  <c r="T2290" i="11"/>
  <c r="E2410" i="12"/>
  <c r="T2418" i="11"/>
  <c r="E2538" i="12"/>
  <c r="T2546" i="11"/>
  <c r="E2602" i="12"/>
  <c r="T2610" i="11"/>
  <c r="E2666" i="12"/>
  <c r="T2674" i="11"/>
  <c r="E2730" i="12"/>
  <c r="T2738" i="11"/>
  <c r="E2794" i="12"/>
  <c r="T2802" i="11"/>
  <c r="E2890" i="12"/>
  <c r="T2898" i="11"/>
  <c r="E2986" i="12"/>
  <c r="T2994" i="11"/>
  <c r="E3098" i="12"/>
  <c r="T3106" i="11"/>
  <c r="E3194" i="12"/>
  <c r="T3202" i="11"/>
  <c r="E3258" i="12"/>
  <c r="T3266" i="11"/>
  <c r="E3311" i="12"/>
  <c r="T3319" i="11"/>
  <c r="E3407" i="12"/>
  <c r="T3415" i="11"/>
  <c r="E3519" i="12"/>
  <c r="T3527" i="11"/>
  <c r="E3584" i="12"/>
  <c r="T3592" i="11"/>
  <c r="E3659" i="12"/>
  <c r="T3667" i="11"/>
  <c r="E3749" i="12"/>
  <c r="T3758" i="11"/>
  <c r="E3845" i="12"/>
  <c r="T3854" i="11"/>
  <c r="E3941" i="12"/>
  <c r="T3950" i="11"/>
  <c r="E4037" i="12"/>
  <c r="T4046" i="11"/>
  <c r="E4133" i="12"/>
  <c r="T4142" i="11"/>
  <c r="E4228" i="12"/>
  <c r="T4238" i="11"/>
  <c r="E4340" i="12"/>
  <c r="T4350" i="11"/>
  <c r="E4436" i="12"/>
  <c r="T4446" i="11"/>
  <c r="E4516" i="12"/>
  <c r="T4526" i="11"/>
  <c r="E4644" i="12"/>
  <c r="T4654" i="11"/>
  <c r="E3380" i="12"/>
  <c r="T3388" i="11"/>
  <c r="E3460" i="12"/>
  <c r="T3468" i="11"/>
  <c r="E3701" i="12"/>
  <c r="T3709" i="11"/>
  <c r="E3812" i="12"/>
  <c r="T3821" i="11"/>
  <c r="E3908" i="12"/>
  <c r="T3917" i="11"/>
  <c r="E3988" i="12"/>
  <c r="T3997" i="11"/>
  <c r="E4068" i="12"/>
  <c r="T4077" i="11"/>
  <c r="E4195" i="12"/>
  <c r="T4205" i="11"/>
  <c r="E4291" i="12"/>
  <c r="T4301" i="11"/>
  <c r="E4387" i="12"/>
  <c r="T4397" i="11"/>
  <c r="E4499" i="12"/>
  <c r="T4509" i="11"/>
  <c r="E4595" i="12"/>
  <c r="T4605" i="11"/>
  <c r="E4675" i="12"/>
  <c r="T4685" i="11"/>
  <c r="E3727" i="12"/>
  <c r="T3735" i="11"/>
  <c r="E3838" i="12"/>
  <c r="T3847" i="11"/>
  <c r="E3918" i="12"/>
  <c r="T3927" i="11"/>
  <c r="E4014" i="12"/>
  <c r="T4023" i="11"/>
  <c r="E4142" i="12"/>
  <c r="T4151" i="11"/>
  <c r="E4237" i="12"/>
  <c r="T4247" i="11"/>
  <c r="E4333" i="12"/>
  <c r="T4343" i="11"/>
  <c r="E4445" i="12"/>
  <c r="T4455" i="11"/>
  <c r="E4557" i="12"/>
  <c r="T4567" i="11"/>
  <c r="E4637" i="12"/>
  <c r="T4647" i="11"/>
  <c r="E3585" i="12"/>
  <c r="T3593" i="11"/>
  <c r="E3763" i="12"/>
  <c r="T3772" i="11"/>
  <c r="E3955" i="12"/>
  <c r="T3964" i="11"/>
  <c r="E4147" i="12"/>
  <c r="T4156" i="11"/>
  <c r="E4402" i="12"/>
  <c r="T4412" i="11"/>
  <c r="E4562" i="12"/>
  <c r="T4572" i="11"/>
  <c r="E5015" i="12"/>
  <c r="T5026" i="11"/>
  <c r="E4750" i="12"/>
  <c r="T4760" i="11"/>
  <c r="E4798" i="12"/>
  <c r="T4808" i="11"/>
  <c r="E4846" i="12"/>
  <c r="T4856" i="11"/>
  <c r="E4893" i="12"/>
  <c r="T4904" i="11"/>
  <c r="E4949" i="12"/>
  <c r="T4960" i="11"/>
  <c r="E5022" i="12"/>
  <c r="T5033" i="11"/>
  <c r="E4735" i="12"/>
  <c r="T4745" i="11"/>
  <c r="E4791" i="12"/>
  <c r="T4801" i="11"/>
  <c r="E4847" i="12"/>
  <c r="T4857" i="11"/>
  <c r="T4897" i="11"/>
  <c r="E4942" i="12"/>
  <c r="T4953" i="11"/>
  <c r="E5040" i="12"/>
  <c r="T5051" i="11"/>
  <c r="E3751" i="12"/>
  <c r="T3760" i="11"/>
  <c r="E4135" i="12"/>
  <c r="T4144" i="11"/>
  <c r="E4582" i="12"/>
  <c r="T4592" i="11"/>
  <c r="E3660" i="12"/>
  <c r="T3668" i="11"/>
  <c r="E3983" i="12"/>
  <c r="T3992" i="11"/>
  <c r="E4430" i="12"/>
  <c r="T4440" i="11"/>
  <c r="E5025" i="12"/>
  <c r="T5036" i="11"/>
  <c r="E6597" i="12"/>
  <c r="T6609" i="11"/>
  <c r="E6725" i="12"/>
  <c r="T6737" i="11"/>
  <c r="E6821" i="12"/>
  <c r="T6833" i="11"/>
  <c r="E6917" i="12"/>
  <c r="T6929" i="11"/>
  <c r="E7013" i="12"/>
  <c r="T7025" i="11"/>
  <c r="E7125" i="12"/>
  <c r="T7137" i="11"/>
  <c r="E7237" i="12"/>
  <c r="T7249" i="11"/>
  <c r="E7317" i="12"/>
  <c r="T7329" i="11"/>
  <c r="E7397" i="12"/>
  <c r="T7409" i="11"/>
  <c r="E7509" i="12"/>
  <c r="T7521" i="11"/>
  <c r="E5100" i="12"/>
  <c r="T5111" i="11"/>
  <c r="E5140" i="12"/>
  <c r="T5151" i="11"/>
  <c r="E5188" i="12"/>
  <c r="T5199" i="11"/>
  <c r="E5252" i="12"/>
  <c r="T5263" i="11"/>
  <c r="E5300" i="12"/>
  <c r="T5311" i="11"/>
  <c r="E5348" i="12"/>
  <c r="T5359" i="11"/>
  <c r="E5396" i="12"/>
  <c r="T5407" i="11"/>
  <c r="E5444" i="12"/>
  <c r="T5455" i="11"/>
  <c r="E5492" i="12"/>
  <c r="T5503" i="11"/>
  <c r="E5540" i="12"/>
  <c r="T5551" i="11"/>
  <c r="E5588" i="12"/>
  <c r="T5599" i="11"/>
  <c r="E5643" i="12"/>
  <c r="T5655" i="11"/>
  <c r="E5691" i="12"/>
  <c r="T5703" i="11"/>
  <c r="E5739" i="12"/>
  <c r="T5751" i="11"/>
  <c r="E5787" i="12"/>
  <c r="T5799" i="11"/>
  <c r="E5843" i="12"/>
  <c r="T5855" i="11"/>
  <c r="E5899" i="12"/>
  <c r="T5911" i="11"/>
  <c r="E5971" i="12"/>
  <c r="T5983" i="11"/>
  <c r="E6019" i="12"/>
  <c r="T6031" i="11"/>
  <c r="E6075" i="12"/>
  <c r="T6087" i="11"/>
  <c r="E6115" i="12"/>
  <c r="T6127" i="11"/>
  <c r="E6171" i="12"/>
  <c r="T6183" i="11"/>
  <c r="E6227" i="12"/>
  <c r="T6239" i="11"/>
  <c r="E6283" i="12"/>
  <c r="T6295" i="11"/>
  <c r="E6323" i="12"/>
  <c r="T6335" i="11"/>
  <c r="E6379" i="12"/>
  <c r="T6391" i="11"/>
  <c r="E6435" i="12"/>
  <c r="T6447" i="11"/>
  <c r="E6483" i="12"/>
  <c r="T6495" i="11"/>
  <c r="E6564" i="12"/>
  <c r="T6576" i="11"/>
  <c r="E6660" i="12"/>
  <c r="T6672" i="11"/>
  <c r="E6756" i="12"/>
  <c r="T6768" i="11"/>
  <c r="E6836" i="12"/>
  <c r="T6848" i="11"/>
  <c r="E6964" i="12"/>
  <c r="T6976" i="11"/>
  <c r="E7060" i="12"/>
  <c r="T7072" i="11"/>
  <c r="E7156" i="12"/>
  <c r="T7168" i="11"/>
  <c r="E7252" i="12"/>
  <c r="T7264" i="11"/>
  <c r="E7364" i="12"/>
  <c r="T7376" i="11"/>
  <c r="E7460" i="12"/>
  <c r="T7472" i="11"/>
  <c r="E7556" i="12"/>
  <c r="T7568" i="11"/>
  <c r="E5095" i="12"/>
  <c r="T5106" i="11"/>
  <c r="E5151" i="12"/>
  <c r="T5162" i="11"/>
  <c r="E5199" i="12"/>
  <c r="T5210" i="11"/>
  <c r="E5239" i="12"/>
  <c r="T5250" i="11"/>
  <c r="E5295" i="12"/>
  <c r="T5306" i="11"/>
  <c r="E5351" i="12"/>
  <c r="T5362" i="11"/>
  <c r="E5399" i="12"/>
  <c r="T5410" i="11"/>
  <c r="E5455" i="12"/>
  <c r="T5466" i="11"/>
  <c r="E5503" i="12"/>
  <c r="T5514" i="11"/>
  <c r="E5559" i="12"/>
  <c r="T5570" i="11"/>
  <c r="E5599" i="12"/>
  <c r="T5610" i="11"/>
  <c r="E5662" i="12"/>
  <c r="T5674" i="11"/>
  <c r="E5718" i="12"/>
  <c r="T5730" i="11"/>
  <c r="E5758" i="12"/>
  <c r="T5770" i="11"/>
  <c r="E5806" i="12"/>
  <c r="T5818" i="11"/>
  <c r="E5870" i="12"/>
  <c r="T5882" i="11"/>
  <c r="E5926" i="12"/>
  <c r="T5938" i="11"/>
  <c r="E5966" i="12"/>
  <c r="T5978" i="11"/>
  <c r="E6014" i="12"/>
  <c r="T6026" i="11"/>
  <c r="E6070" i="12"/>
  <c r="T6082" i="11"/>
  <c r="E6126" i="12"/>
  <c r="T6138" i="11"/>
  <c r="E6174" i="12"/>
  <c r="T6186" i="11"/>
  <c r="E6222" i="12"/>
  <c r="T6234" i="11"/>
  <c r="E6278" i="12"/>
  <c r="T6290" i="11"/>
  <c r="E6334" i="12"/>
  <c r="T6346" i="11"/>
  <c r="E6374" i="12"/>
  <c r="T6386" i="11"/>
  <c r="E6438" i="12"/>
  <c r="T6450" i="11"/>
  <c r="E6486" i="12"/>
  <c r="T6498" i="11"/>
  <c r="E6554" i="12"/>
  <c r="T6566" i="11"/>
  <c r="E6634" i="12"/>
  <c r="T6646" i="11"/>
  <c r="E6762" i="12"/>
  <c r="T6774" i="11"/>
  <c r="E6858" i="12"/>
  <c r="T6870" i="11"/>
  <c r="E6954" i="12"/>
  <c r="T6966" i="11"/>
  <c r="E7050" i="12"/>
  <c r="T7062" i="11"/>
  <c r="E7162" i="12"/>
  <c r="T7174" i="11"/>
  <c r="E7258" i="12"/>
  <c r="T7270" i="11"/>
  <c r="E7354" i="12"/>
  <c r="T7366" i="11"/>
  <c r="E7450" i="12"/>
  <c r="T7462" i="11"/>
  <c r="E7562" i="12"/>
  <c r="T7574" i="11"/>
  <c r="E7758" i="12"/>
  <c r="T7770" i="11"/>
  <c r="E7798" i="12"/>
  <c r="T7810" i="11"/>
  <c r="E7838" i="12"/>
  <c r="T7850" i="11"/>
  <c r="E7878" i="12"/>
  <c r="T7890" i="11"/>
  <c r="E7918" i="12"/>
  <c r="T7930" i="11"/>
  <c r="E7950" i="12"/>
  <c r="T7962" i="11"/>
  <c r="E7982" i="12"/>
  <c r="T7994" i="11"/>
  <c r="E8014" i="12"/>
  <c r="T8026" i="11"/>
  <c r="E8046" i="12"/>
  <c r="T8058" i="11"/>
  <c r="E8078" i="12"/>
  <c r="T8090" i="11"/>
  <c r="E8110" i="12"/>
  <c r="T8122" i="11"/>
  <c r="E8142" i="12"/>
  <c r="T8154" i="11"/>
  <c r="E8182" i="12"/>
  <c r="T8194" i="11"/>
  <c r="E8214" i="12"/>
  <c r="T8226" i="11"/>
  <c r="E8246" i="12"/>
  <c r="T8258" i="11"/>
  <c r="E8278" i="12"/>
  <c r="T8290" i="11"/>
  <c r="E8310" i="12"/>
  <c r="T8322" i="11"/>
  <c r="E8342" i="12"/>
  <c r="T8354" i="11"/>
  <c r="E8374" i="12"/>
  <c r="T8386" i="11"/>
  <c r="E6555" i="12"/>
  <c r="T6567" i="11"/>
  <c r="E6683" i="12"/>
  <c r="T6695" i="11"/>
  <c r="E6811" i="12"/>
  <c r="T6823" i="11"/>
  <c r="E6939" i="12"/>
  <c r="T6951" i="11"/>
  <c r="E7067" i="12"/>
  <c r="T7079" i="11"/>
  <c r="E7195" i="12"/>
  <c r="T7207" i="11"/>
  <c r="E7323" i="12"/>
  <c r="T7335" i="11"/>
  <c r="E7451" i="12"/>
  <c r="T7463" i="11"/>
  <c r="E6543" i="12"/>
  <c r="T6555" i="11"/>
  <c r="E6671" i="12"/>
  <c r="T6683" i="11"/>
  <c r="E6799" i="12"/>
  <c r="T6811" i="11"/>
  <c r="E6927" i="12"/>
  <c r="T6939" i="11"/>
  <c r="E7055" i="12"/>
  <c r="T7067" i="11"/>
  <c r="E7183" i="12"/>
  <c r="T7195" i="11"/>
  <c r="E7311" i="12"/>
  <c r="T7323" i="11"/>
  <c r="E7439" i="12"/>
  <c r="T7451" i="11"/>
  <c r="E7567" i="12"/>
  <c r="T7579" i="11"/>
  <c r="E7775" i="12"/>
  <c r="T7787" i="11"/>
  <c r="E7839" i="12"/>
  <c r="T7851" i="11"/>
  <c r="E7903" i="12"/>
  <c r="T7915" i="11"/>
  <c r="E7967" i="12"/>
  <c r="T7979" i="11"/>
  <c r="E8031" i="12"/>
  <c r="T8043" i="11"/>
  <c r="E8095" i="12"/>
  <c r="T8107" i="11"/>
  <c r="E8159" i="12"/>
  <c r="T8171" i="11"/>
  <c r="E8223" i="12"/>
  <c r="T8235" i="11"/>
  <c r="E8287" i="12"/>
  <c r="T8299" i="11"/>
  <c r="E8351" i="12"/>
  <c r="T8363" i="11"/>
  <c r="E7733" i="12"/>
  <c r="T7745" i="11"/>
  <c r="E7797" i="12"/>
  <c r="T7809" i="11"/>
  <c r="E8001" i="12"/>
  <c r="T8013" i="11"/>
  <c r="E8125" i="12"/>
  <c r="T8137" i="11"/>
  <c r="E8257" i="12"/>
  <c r="T8269" i="11"/>
  <c r="E8381" i="12"/>
  <c r="T8393" i="11"/>
  <c r="E7873" i="12"/>
  <c r="T7885" i="11"/>
  <c r="E7953" i="12"/>
  <c r="T7965" i="11"/>
  <c r="E8077" i="12"/>
  <c r="T8089" i="11"/>
  <c r="E8205" i="12"/>
  <c r="T8217" i="11"/>
  <c r="E8369" i="12"/>
  <c r="T8381" i="11"/>
  <c r="E284" i="12"/>
  <c r="T288" i="11"/>
  <c r="E189" i="12"/>
  <c r="T193" i="11"/>
  <c r="E467" i="12"/>
  <c r="T472" i="11"/>
  <c r="E774" i="12"/>
  <c r="T780" i="11"/>
  <c r="E300" i="12"/>
  <c r="T304" i="11"/>
  <c r="E555" i="12"/>
  <c r="T560" i="11"/>
  <c r="E509" i="12"/>
  <c r="T514" i="11"/>
  <c r="E802" i="12"/>
  <c r="T808" i="11"/>
  <c r="E1109" i="12"/>
  <c r="T1116" i="11"/>
  <c r="E1347" i="12"/>
  <c r="T1354" i="11"/>
  <c r="E428" i="12"/>
  <c r="T433" i="11"/>
  <c r="E971" i="12"/>
  <c r="T978" i="11"/>
  <c r="E1175" i="12"/>
  <c r="T1182" i="11"/>
  <c r="E1398" i="12"/>
  <c r="T1405" i="11"/>
  <c r="E1544" i="12"/>
  <c r="T1551" i="11"/>
  <c r="E1634" i="12"/>
  <c r="T1641" i="11"/>
  <c r="E1714" i="12"/>
  <c r="T1721" i="11"/>
  <c r="E1841" i="12"/>
  <c r="T1849" i="11"/>
  <c r="E100" i="12"/>
  <c r="T104" i="11"/>
  <c r="E856" i="12"/>
  <c r="T862" i="11"/>
  <c r="E1334" i="12"/>
  <c r="T1341" i="11"/>
  <c r="E1468" i="12"/>
  <c r="T1475" i="11"/>
  <c r="E1593" i="12"/>
  <c r="T1600" i="11"/>
  <c r="E1689" i="12"/>
  <c r="T1696" i="11"/>
  <c r="E1801" i="12"/>
  <c r="T1808" i="11"/>
  <c r="E94" i="12"/>
  <c r="T98" i="11"/>
  <c r="E716" i="12"/>
  <c r="T722" i="11"/>
  <c r="E1067" i="12"/>
  <c r="T1074" i="11"/>
  <c r="E1396" i="12"/>
  <c r="T1403" i="11"/>
  <c r="E1524" i="12"/>
  <c r="T1531" i="11"/>
  <c r="E1639" i="12"/>
  <c r="T1646" i="11"/>
  <c r="E1751" i="12"/>
  <c r="T1758" i="11"/>
  <c r="E1862" i="12"/>
  <c r="T1870" i="11"/>
  <c r="E327" i="12"/>
  <c r="T332" i="11"/>
  <c r="E1191" i="12"/>
  <c r="T1198" i="11"/>
  <c r="E1543" i="12"/>
  <c r="T1550" i="11"/>
  <c r="E1740" i="12"/>
  <c r="T1747" i="11"/>
  <c r="E1940" i="12"/>
  <c r="T1948" i="11"/>
  <c r="E2052" i="12"/>
  <c r="T2060" i="11"/>
  <c r="E2148" i="12"/>
  <c r="T2156" i="11"/>
  <c r="E2260" i="12"/>
  <c r="T2268" i="11"/>
  <c r="E2372" i="12"/>
  <c r="T2380" i="11"/>
  <c r="E2484" i="12"/>
  <c r="T2492" i="11"/>
  <c r="E2580" i="12"/>
  <c r="T2588" i="11"/>
  <c r="E2692" i="12"/>
  <c r="T2700" i="11"/>
  <c r="E2804" i="12"/>
  <c r="T2812" i="11"/>
  <c r="E2900" i="12"/>
  <c r="T2908" i="11"/>
  <c r="E2980" i="12"/>
  <c r="T2988" i="11"/>
  <c r="E3108" i="12"/>
  <c r="T3116" i="11"/>
  <c r="E3204" i="12"/>
  <c r="T3212" i="11"/>
  <c r="E3284" i="12"/>
  <c r="T3292" i="11"/>
  <c r="E359" i="12"/>
  <c r="T364" i="11"/>
  <c r="E1967" i="12"/>
  <c r="T1975" i="11"/>
  <c r="E2063" i="12"/>
  <c r="T2071" i="11"/>
  <c r="E2143" i="12"/>
  <c r="T2151" i="11"/>
  <c r="E2223" i="12"/>
  <c r="T2231" i="11"/>
  <c r="E2351" i="12"/>
  <c r="T2359" i="11"/>
  <c r="E2447" i="12"/>
  <c r="T2455" i="11"/>
  <c r="E2527" i="12"/>
  <c r="T2535" i="11"/>
  <c r="E1291" i="12"/>
  <c r="T1298" i="11"/>
  <c r="E2009" i="12"/>
  <c r="T2017" i="11"/>
  <c r="E2089" i="12"/>
  <c r="T2097" i="11"/>
  <c r="E2185" i="12"/>
  <c r="T2193" i="11"/>
  <c r="E2297" i="12"/>
  <c r="T2305" i="11"/>
  <c r="E2393" i="12"/>
  <c r="T2401" i="11"/>
  <c r="E2489" i="12"/>
  <c r="T2497" i="11"/>
  <c r="E2617" i="12"/>
  <c r="T2625" i="11"/>
  <c r="E2713" i="12"/>
  <c r="T2721" i="11"/>
  <c r="E2793" i="12"/>
  <c r="T2801" i="11"/>
  <c r="E2889" i="12"/>
  <c r="T2897" i="11"/>
  <c r="E3001" i="12"/>
  <c r="T3009" i="11"/>
  <c r="E3113" i="12"/>
  <c r="T3121" i="11"/>
  <c r="E1034" i="12"/>
  <c r="T1041" i="11"/>
  <c r="E2591" i="12"/>
  <c r="T2599" i="11"/>
  <c r="E2703" i="12"/>
  <c r="T2711" i="11"/>
  <c r="E2815" i="12"/>
  <c r="T2823" i="11"/>
  <c r="E2911" i="12"/>
  <c r="T2919" i="11"/>
  <c r="E3007" i="12"/>
  <c r="T3015" i="11"/>
  <c r="E3135" i="12"/>
  <c r="T3143" i="11"/>
  <c r="E3374" i="12"/>
  <c r="T3382" i="11"/>
  <c r="E3470" i="12"/>
  <c r="T3478" i="11"/>
  <c r="E3582" i="12"/>
  <c r="T3590" i="11"/>
  <c r="E935" i="12"/>
  <c r="T942" i="11"/>
  <c r="E1616" i="12"/>
  <c r="T1623" i="11"/>
  <c r="E1998" i="12"/>
  <c r="T2006" i="11"/>
  <c r="E2190" i="12"/>
  <c r="T2198" i="11"/>
  <c r="E2350" i="12"/>
  <c r="T2358" i="11"/>
  <c r="E3203" i="12"/>
  <c r="T3211" i="11"/>
  <c r="E3267" i="12"/>
  <c r="T3275" i="11"/>
  <c r="E3331" i="12"/>
  <c r="T3339" i="11"/>
  <c r="E3401" i="12"/>
  <c r="T3409" i="11"/>
  <c r="E3513" i="12"/>
  <c r="T3521" i="11"/>
  <c r="E1640" i="12"/>
  <c r="T1647" i="11"/>
  <c r="E1970" i="12"/>
  <c r="T1978" i="11"/>
  <c r="E2162" i="12"/>
  <c r="T2170" i="11"/>
  <c r="E2386" i="12"/>
  <c r="T2394" i="11"/>
  <c r="E2542" i="12"/>
  <c r="T2550" i="11"/>
  <c r="E2638" i="12"/>
  <c r="T2646" i="11"/>
  <c r="E2766" i="12"/>
  <c r="T2774" i="11"/>
  <c r="E2862" i="12"/>
  <c r="T2870" i="11"/>
  <c r="E2942" i="12"/>
  <c r="T2950" i="11"/>
  <c r="E3070" i="12"/>
  <c r="T3078" i="11"/>
  <c r="E3166" i="12"/>
  <c r="T3174" i="11"/>
  <c r="E3239" i="12"/>
  <c r="T3247" i="11"/>
  <c r="E3303" i="12"/>
  <c r="T3311" i="11"/>
  <c r="E3379" i="12"/>
  <c r="T3387" i="11"/>
  <c r="E3475" i="12"/>
  <c r="T3483" i="11"/>
  <c r="E3544" i="12"/>
  <c r="T3552" i="11"/>
  <c r="E3619" i="12"/>
  <c r="T3627" i="11"/>
  <c r="E3690" i="12"/>
  <c r="T3698" i="11"/>
  <c r="E3785" i="12"/>
  <c r="T3794" i="11"/>
  <c r="E3881" i="12"/>
  <c r="T3890" i="11"/>
  <c r="E3993" i="12"/>
  <c r="T4002" i="11"/>
  <c r="E4089" i="12"/>
  <c r="T4098" i="11"/>
  <c r="E4168" i="12"/>
  <c r="T4178" i="11"/>
  <c r="E4248" i="12"/>
  <c r="T4258" i="11"/>
  <c r="E4360" i="12"/>
  <c r="T4370" i="11"/>
  <c r="E4456" i="12"/>
  <c r="T4466" i="11"/>
  <c r="E4552" i="12"/>
  <c r="T4562" i="11"/>
  <c r="E4648" i="12"/>
  <c r="T4658" i="11"/>
  <c r="E3400" i="12"/>
  <c r="T3408" i="11"/>
  <c r="E3496" i="12"/>
  <c r="T3504" i="11"/>
  <c r="E3721" i="12"/>
  <c r="T3729" i="11"/>
  <c r="E3848" i="12"/>
  <c r="T3857" i="11"/>
  <c r="E3960" i="12"/>
  <c r="T3969" i="11"/>
  <c r="E4040" i="12"/>
  <c r="T4049" i="11"/>
  <c r="E4136" i="12"/>
  <c r="T4145" i="11"/>
  <c r="E4247" i="12"/>
  <c r="T4257" i="11"/>
  <c r="E4359" i="12"/>
  <c r="T4369" i="11"/>
  <c r="E4439" i="12"/>
  <c r="T4449" i="11"/>
  <c r="E4535" i="12"/>
  <c r="T4545" i="11"/>
  <c r="E4647" i="12"/>
  <c r="T4657" i="11"/>
  <c r="E3683" i="12"/>
  <c r="T3691" i="11"/>
  <c r="E3762" i="12"/>
  <c r="T3771" i="11"/>
  <c r="E3858" i="12"/>
  <c r="T3867" i="11"/>
  <c r="E3970" i="12"/>
  <c r="T3979" i="11"/>
  <c r="E4066" i="12"/>
  <c r="T4075" i="11"/>
  <c r="E4162" i="12"/>
  <c r="T4171" i="11"/>
  <c r="E4273" i="12"/>
  <c r="T4283" i="11"/>
  <c r="E4385" i="12"/>
  <c r="T4395" i="11"/>
  <c r="E4465" i="12"/>
  <c r="T4475" i="11"/>
  <c r="E4577" i="12"/>
  <c r="T4587" i="11"/>
  <c r="E4673" i="12"/>
  <c r="T4683" i="11"/>
  <c r="E3607" i="12"/>
  <c r="T3615" i="11"/>
  <c r="E3739" i="12"/>
  <c r="T3748" i="11"/>
  <c r="E3963" i="12"/>
  <c r="T3972" i="11"/>
  <c r="E4155" i="12"/>
  <c r="T4164" i="11"/>
  <c r="E4378" i="12"/>
  <c r="T4388" i="11"/>
  <c r="E4602" i="12"/>
  <c r="T4612" i="11"/>
  <c r="E5019" i="12"/>
  <c r="T5030" i="11"/>
  <c r="E4736" i="12"/>
  <c r="T4746" i="11"/>
  <c r="E4784" i="12"/>
  <c r="T4794" i="11"/>
  <c r="E4840" i="12"/>
  <c r="T4850" i="11"/>
  <c r="E4895" i="12"/>
  <c r="T4906" i="11"/>
  <c r="E4935" i="12"/>
  <c r="T4946" i="11"/>
  <c r="E4994" i="12"/>
  <c r="T5005" i="11"/>
  <c r="E4737" i="12"/>
  <c r="T4747" i="11"/>
  <c r="E4785" i="12"/>
  <c r="T4795" i="11"/>
  <c r="E4833" i="12"/>
  <c r="T4843" i="11"/>
  <c r="E4896" i="12"/>
  <c r="T4907" i="11"/>
  <c r="E4944" i="12"/>
  <c r="T4955" i="11"/>
  <c r="E4996" i="12"/>
  <c r="T5007" i="11"/>
  <c r="E3612" i="12"/>
  <c r="T3620" i="11"/>
  <c r="E4087" i="12"/>
  <c r="T4096" i="11"/>
  <c r="E4534" i="12"/>
  <c r="T4544" i="11"/>
  <c r="E3631" i="12"/>
  <c r="T3639" i="11"/>
  <c r="E3999" i="12"/>
  <c r="T4008" i="11"/>
  <c r="E4382" i="12"/>
  <c r="T4392" i="11"/>
  <c r="E5001" i="12"/>
  <c r="T5012" i="11"/>
  <c r="E6601" i="12"/>
  <c r="T6613" i="11"/>
  <c r="E6713" i="12"/>
  <c r="T6725" i="11"/>
  <c r="E6793" i="12"/>
  <c r="T6805" i="11"/>
  <c r="E6873" i="12"/>
  <c r="T6885" i="11"/>
  <c r="E7001" i="12"/>
  <c r="T7013" i="11"/>
  <c r="E7113" i="12"/>
  <c r="T7125" i="11"/>
  <c r="E7193" i="12"/>
  <c r="T7205" i="11"/>
  <c r="E7321" i="12"/>
  <c r="T7333" i="11"/>
  <c r="E7433" i="12"/>
  <c r="T7445" i="11"/>
  <c r="E7529" i="12"/>
  <c r="T7541" i="11"/>
  <c r="E5110" i="12"/>
  <c r="T5121" i="11"/>
  <c r="E5166" i="12"/>
  <c r="T5177" i="11"/>
  <c r="E5214" i="12"/>
  <c r="T5225" i="11"/>
  <c r="E5254" i="12"/>
  <c r="T5265" i="11"/>
  <c r="E5310" i="12"/>
  <c r="T5321" i="11"/>
  <c r="E5366" i="12"/>
  <c r="T5377" i="11"/>
  <c r="E5414" i="12"/>
  <c r="T5425" i="11"/>
  <c r="E5462" i="12"/>
  <c r="T5473" i="11"/>
  <c r="E5518" i="12"/>
  <c r="T5529" i="11"/>
  <c r="E5574" i="12"/>
  <c r="T5585" i="11"/>
  <c r="E5622" i="12"/>
  <c r="T5633" i="11"/>
  <c r="E5669" i="12"/>
  <c r="T5681" i="11"/>
  <c r="E5725" i="12"/>
  <c r="T5737" i="11"/>
  <c r="E5773" i="12"/>
  <c r="T5785" i="11"/>
  <c r="E5821" i="12"/>
  <c r="T5833" i="11"/>
  <c r="E5869" i="12"/>
  <c r="T5881" i="11"/>
  <c r="E5925" i="12"/>
  <c r="T5937" i="11"/>
  <c r="E5981" i="12"/>
  <c r="T5993" i="11"/>
  <c r="E6029" i="12"/>
  <c r="T6041" i="11"/>
  <c r="E6077" i="12"/>
  <c r="T6089" i="11"/>
  <c r="E6133" i="12"/>
  <c r="T6145" i="11"/>
  <c r="E6189" i="12"/>
  <c r="T6201" i="11"/>
  <c r="E6237" i="12"/>
  <c r="T6249" i="11"/>
  <c r="E6277" i="12"/>
  <c r="T6289" i="11"/>
  <c r="E6333" i="12"/>
  <c r="T6345" i="11"/>
  <c r="E6389" i="12"/>
  <c r="T6401" i="11"/>
  <c r="E6437" i="12"/>
  <c r="T6449" i="11"/>
  <c r="E6485" i="12"/>
  <c r="T6497" i="11"/>
  <c r="E6552" i="12"/>
  <c r="T6564" i="11"/>
  <c r="E6648" i="12"/>
  <c r="T6660" i="11"/>
  <c r="E6728" i="12"/>
  <c r="T6740" i="11"/>
  <c r="E6840" i="12"/>
  <c r="T6852" i="11"/>
  <c r="E6952" i="12"/>
  <c r="T6964" i="11"/>
  <c r="E7032" i="12"/>
  <c r="T7044" i="11"/>
  <c r="E7128" i="12"/>
  <c r="T7140" i="11"/>
  <c r="E7240" i="12"/>
  <c r="T7252" i="11"/>
  <c r="E7352" i="12"/>
  <c r="T7364" i="11"/>
  <c r="E7432" i="12"/>
  <c r="T7444" i="11"/>
  <c r="E7544" i="12"/>
  <c r="T7556" i="11"/>
  <c r="E5089" i="12"/>
  <c r="T5100" i="11"/>
  <c r="E5129" i="12"/>
  <c r="T5140" i="11"/>
  <c r="E5169" i="12"/>
  <c r="T5180" i="11"/>
  <c r="E5233" i="12"/>
  <c r="T5244" i="11"/>
  <c r="E5281" i="12"/>
  <c r="T5292" i="11"/>
  <c r="E5321" i="12"/>
  <c r="T5332" i="11"/>
  <c r="E5369" i="12"/>
  <c r="T5380" i="11"/>
  <c r="E5425" i="12"/>
  <c r="T5436" i="11"/>
  <c r="E5481" i="12"/>
  <c r="T5492" i="11"/>
  <c r="E5521" i="12"/>
  <c r="T5532" i="11"/>
  <c r="E5577" i="12"/>
  <c r="T5588" i="11"/>
  <c r="E5632" i="12"/>
  <c r="T5644" i="11"/>
  <c r="E5680" i="12"/>
  <c r="T5692" i="11"/>
  <c r="E5728" i="12"/>
  <c r="T5740" i="11"/>
  <c r="E5784" i="12"/>
  <c r="T5796" i="11"/>
  <c r="E5840" i="12"/>
  <c r="T5852" i="11"/>
  <c r="E5888" i="12"/>
  <c r="T5900" i="11"/>
  <c r="E5936" i="12"/>
  <c r="T5948" i="11"/>
  <c r="E6000" i="12"/>
  <c r="T6012" i="11"/>
  <c r="E6048" i="12"/>
  <c r="T6060" i="11"/>
  <c r="E6096" i="12"/>
  <c r="T6108" i="11"/>
  <c r="E6152" i="12"/>
  <c r="T6164" i="11"/>
  <c r="E6200" i="12"/>
  <c r="T6212" i="11"/>
  <c r="E6256" i="12"/>
  <c r="T6268" i="11"/>
  <c r="E6296" i="12"/>
  <c r="T6308" i="11"/>
  <c r="E6360" i="12"/>
  <c r="T6372" i="11"/>
  <c r="E6408" i="12"/>
  <c r="T6420" i="11"/>
  <c r="E6456" i="12"/>
  <c r="T6468" i="11"/>
  <c r="E6496" i="12"/>
  <c r="T6508" i="11"/>
  <c r="E6574" i="12"/>
  <c r="T6586" i="11"/>
  <c r="E6686" i="12"/>
  <c r="T6698" i="11"/>
  <c r="E6782" i="12"/>
  <c r="T6794" i="11"/>
  <c r="E6878" i="12"/>
  <c r="T6890" i="11"/>
  <c r="E6990" i="12"/>
  <c r="T7002" i="11"/>
  <c r="E7102" i="12"/>
  <c r="T7114" i="11"/>
  <c r="E7198" i="12"/>
  <c r="T7210" i="11"/>
  <c r="E7294" i="12"/>
  <c r="T7306" i="11"/>
  <c r="E7406" i="12"/>
  <c r="T7418" i="11"/>
  <c r="E7518" i="12"/>
  <c r="T7530" i="11"/>
  <c r="E7728" i="12"/>
  <c r="T7740" i="11"/>
  <c r="E7776" i="12"/>
  <c r="T7788" i="11"/>
  <c r="E7832" i="12"/>
  <c r="T7844" i="11"/>
  <c r="E7880" i="12"/>
  <c r="T7892" i="11"/>
  <c r="E7920" i="12"/>
  <c r="T7932" i="11"/>
  <c r="E7968" i="12"/>
  <c r="T7980" i="11"/>
  <c r="E8016" i="12"/>
  <c r="T8028" i="11"/>
  <c r="E8056" i="12"/>
  <c r="T8068" i="11"/>
  <c r="E8088" i="12"/>
  <c r="T8100" i="11"/>
  <c r="E8120" i="12"/>
  <c r="T8132" i="11"/>
  <c r="E8152" i="12"/>
  <c r="T8164" i="11"/>
  <c r="E8184" i="12"/>
  <c r="T8196" i="11"/>
  <c r="E8216" i="12"/>
  <c r="T8228" i="11"/>
  <c r="E8248" i="12"/>
  <c r="T8260" i="11"/>
  <c r="E8288" i="12"/>
  <c r="T8300" i="11"/>
  <c r="E8320" i="12"/>
  <c r="T8332" i="11"/>
  <c r="E8352" i="12"/>
  <c r="T8364" i="11"/>
  <c r="E8384" i="12"/>
  <c r="T8396" i="11"/>
  <c r="E6595" i="12"/>
  <c r="T6607" i="11"/>
  <c r="E6723" i="12"/>
  <c r="T6735" i="11"/>
  <c r="E6851" i="12"/>
  <c r="T6863" i="11"/>
  <c r="E6979" i="12"/>
  <c r="T6991" i="11"/>
  <c r="E7107" i="12"/>
  <c r="T7119" i="11"/>
  <c r="E7235" i="12"/>
  <c r="T7247" i="11"/>
  <c r="E7363" i="12"/>
  <c r="T7375" i="11"/>
  <c r="E7491" i="12"/>
  <c r="T7503" i="11"/>
  <c r="E6583" i="12"/>
  <c r="T6595" i="11"/>
  <c r="E6711" i="12"/>
  <c r="T6723" i="11"/>
  <c r="E6839" i="12"/>
  <c r="T6851" i="11"/>
  <c r="E6967" i="12"/>
  <c r="T6979" i="11"/>
  <c r="E7095" i="12"/>
  <c r="T7107" i="11"/>
  <c r="E7223" i="12"/>
  <c r="T7235" i="11"/>
  <c r="E7351" i="12"/>
  <c r="T7363" i="11"/>
  <c r="E7479" i="12"/>
  <c r="T7491" i="11"/>
  <c r="E7731" i="12"/>
  <c r="T7743" i="11"/>
  <c r="E7795" i="12"/>
  <c r="T7807" i="11"/>
  <c r="E7859" i="12"/>
  <c r="T7871" i="11"/>
  <c r="E7923" i="12"/>
  <c r="T7935" i="11"/>
  <c r="E7987" i="12"/>
  <c r="T7999" i="11"/>
  <c r="E8051" i="12"/>
  <c r="T8063" i="11"/>
  <c r="E8115" i="12"/>
  <c r="T8127" i="11"/>
  <c r="E8179" i="12"/>
  <c r="T8191" i="11"/>
  <c r="E8243" i="12"/>
  <c r="T8255" i="11"/>
  <c r="E8307" i="12"/>
  <c r="T8319" i="11"/>
  <c r="E8371" i="12"/>
  <c r="T8383" i="11"/>
  <c r="E7753" i="12"/>
  <c r="T7765" i="11"/>
  <c r="E7817" i="12"/>
  <c r="T7829" i="11"/>
  <c r="E8037" i="12"/>
  <c r="T8049" i="11"/>
  <c r="E8169" i="12"/>
  <c r="T8181" i="11"/>
  <c r="E8297" i="12"/>
  <c r="T8309" i="11"/>
  <c r="E7829" i="12"/>
  <c r="T7841" i="11"/>
  <c r="E7893" i="12"/>
  <c r="T7905" i="11"/>
  <c r="E7993" i="12"/>
  <c r="T8005" i="11"/>
  <c r="E8117" i="12"/>
  <c r="T8129" i="11"/>
  <c r="E8245" i="12"/>
  <c r="T8257" i="11"/>
  <c r="E14" i="12"/>
  <c r="T18" i="11"/>
  <c r="E213" i="12"/>
  <c r="T217" i="11"/>
  <c r="E106" i="12"/>
  <c r="T110" i="11"/>
  <c r="E261" i="12"/>
  <c r="T265" i="11"/>
  <c r="E443" i="12"/>
  <c r="T448" i="11"/>
  <c r="E646" i="12"/>
  <c r="T652" i="11"/>
  <c r="E850" i="12"/>
  <c r="T856" i="11"/>
  <c r="E172" i="12"/>
  <c r="T176" i="11"/>
  <c r="E427" i="12"/>
  <c r="T432" i="11"/>
  <c r="E132" i="12"/>
  <c r="T136" i="11"/>
  <c r="E419" i="12"/>
  <c r="T424" i="11"/>
  <c r="E636" i="12"/>
  <c r="T642" i="11"/>
  <c r="E835" i="12"/>
  <c r="T841" i="11"/>
  <c r="E1033" i="12"/>
  <c r="T1040" i="11"/>
  <c r="E1237" i="12"/>
  <c r="T1244" i="11"/>
  <c r="E1356" i="12"/>
  <c r="T1363" i="11"/>
  <c r="E298" i="12"/>
  <c r="T302" i="11"/>
  <c r="E675" i="12"/>
  <c r="T681" i="11"/>
  <c r="E987" i="12"/>
  <c r="T994" i="11"/>
  <c r="E1157" i="12"/>
  <c r="T1164" i="11"/>
  <c r="E1310" i="12"/>
  <c r="T1317" i="11"/>
  <c r="E1407" i="12"/>
  <c r="T1414" i="11"/>
  <c r="E1494" i="12"/>
  <c r="T1501" i="11"/>
  <c r="E1576" i="12"/>
  <c r="T1583" i="11"/>
  <c r="E1642" i="12"/>
  <c r="T1649" i="11"/>
  <c r="E1706" i="12"/>
  <c r="T1713" i="11"/>
  <c r="E1770" i="12"/>
  <c r="T1777" i="11"/>
  <c r="E1833" i="12"/>
  <c r="T1841" i="11"/>
  <c r="E1897" i="12"/>
  <c r="T1905" i="11"/>
  <c r="E397" i="12"/>
  <c r="T402" i="11"/>
  <c r="E796" i="12"/>
  <c r="T802" i="11"/>
  <c r="E1137" i="12"/>
  <c r="T1144" i="11"/>
  <c r="E1362" i="12"/>
  <c r="T1369" i="11"/>
  <c r="E1436" i="12"/>
  <c r="T1443" i="11"/>
  <c r="E1523" i="12"/>
  <c r="T1530" i="11"/>
  <c r="E1601" i="12"/>
  <c r="T1608" i="11"/>
  <c r="E1665" i="12"/>
  <c r="T1672" i="11"/>
  <c r="E1729" i="12"/>
  <c r="T1736" i="11"/>
  <c r="E1793" i="12"/>
  <c r="T1800" i="11"/>
  <c r="E1856" i="12"/>
  <c r="T1864" i="11"/>
  <c r="E411" i="12"/>
  <c r="T416" i="11"/>
  <c r="E678" i="12"/>
  <c r="T684" i="11"/>
  <c r="E875" i="12"/>
  <c r="T881" i="11"/>
  <c r="E1195" i="12"/>
  <c r="T1202" i="11"/>
  <c r="E1387" i="12"/>
  <c r="T1394" i="11"/>
  <c r="E1474" i="12"/>
  <c r="T1481" i="11"/>
  <c r="E1556" i="12"/>
  <c r="T1563" i="11"/>
  <c r="E1631" i="12"/>
  <c r="T1638" i="11"/>
  <c r="E1695" i="12"/>
  <c r="T1702" i="11"/>
  <c r="E1759" i="12"/>
  <c r="T1766" i="11"/>
  <c r="E1822" i="12"/>
  <c r="T1830" i="11"/>
  <c r="E1886" i="12"/>
  <c r="T1894" i="11"/>
  <c r="E404" i="12"/>
  <c r="T409" i="11"/>
  <c r="E1022" i="12"/>
  <c r="T1029" i="11"/>
  <c r="E1278" i="12"/>
  <c r="T1285" i="11"/>
  <c r="E1479" i="12"/>
  <c r="T1486" i="11"/>
  <c r="E1628" i="12"/>
  <c r="T1635" i="11"/>
  <c r="E1756" i="12"/>
  <c r="T1763" i="11"/>
  <c r="E1883" i="12"/>
  <c r="T1891" i="11"/>
  <c r="E1980" i="12"/>
  <c r="T1988" i="11"/>
  <c r="E2044" i="12"/>
  <c r="T2052" i="11"/>
  <c r="E2108" i="12"/>
  <c r="T2116" i="11"/>
  <c r="E2172" i="12"/>
  <c r="T2180" i="11"/>
  <c r="E2236" i="12"/>
  <c r="T2244" i="11"/>
  <c r="E2300" i="12"/>
  <c r="T2308" i="11"/>
  <c r="E2364" i="12"/>
  <c r="T2372" i="11"/>
  <c r="E2428" i="12"/>
  <c r="T2436" i="11"/>
  <c r="E2492" i="12"/>
  <c r="T2500" i="11"/>
  <c r="E2556" i="12"/>
  <c r="T2564" i="11"/>
  <c r="E2620" i="12"/>
  <c r="T2628" i="11"/>
  <c r="E2684" i="12"/>
  <c r="T2692" i="11"/>
  <c r="E2748" i="12"/>
  <c r="T2756" i="11"/>
  <c r="E2812" i="12"/>
  <c r="T2820" i="11"/>
  <c r="E2876" i="12"/>
  <c r="T2884" i="11"/>
  <c r="E2940" i="12"/>
  <c r="T2948" i="11"/>
  <c r="E3004" i="12"/>
  <c r="T3012" i="11"/>
  <c r="E3068" i="12"/>
  <c r="T3076" i="11"/>
  <c r="E3132" i="12"/>
  <c r="T3140" i="11"/>
  <c r="E3196" i="12"/>
  <c r="T3204" i="11"/>
  <c r="E3260" i="12"/>
  <c r="T3268" i="11"/>
  <c r="E3324" i="12"/>
  <c r="T3332" i="11"/>
  <c r="E756" i="12"/>
  <c r="T762" i="11"/>
  <c r="E1943" i="12"/>
  <c r="T1951" i="11"/>
  <c r="E2007" i="12"/>
  <c r="T2015" i="11"/>
  <c r="E2071" i="12"/>
  <c r="T2079" i="11"/>
  <c r="E2135" i="12"/>
  <c r="T2143" i="11"/>
  <c r="E2199" i="12"/>
  <c r="T2207" i="11"/>
  <c r="E2263" i="12"/>
  <c r="T2271" i="11"/>
  <c r="E2327" i="12"/>
  <c r="T2335" i="11"/>
  <c r="E2391" i="12"/>
  <c r="T2399" i="11"/>
  <c r="E2455" i="12"/>
  <c r="T2463" i="11"/>
  <c r="E2519" i="12"/>
  <c r="T2527" i="11"/>
  <c r="E872" i="12"/>
  <c r="T878" i="11"/>
  <c r="E1900" i="12"/>
  <c r="T1908" i="11"/>
  <c r="E1969" i="12"/>
  <c r="T1977" i="11"/>
  <c r="E2033" i="12"/>
  <c r="T2041" i="11"/>
  <c r="E2097" i="12"/>
  <c r="T2105" i="11"/>
  <c r="E2161" i="12"/>
  <c r="T2169" i="11"/>
  <c r="E2225" i="12"/>
  <c r="T2233" i="11"/>
  <c r="E2289" i="12"/>
  <c r="T2297" i="11"/>
  <c r="E2353" i="12"/>
  <c r="T2361" i="11"/>
  <c r="E2417" i="12"/>
  <c r="T2425" i="11"/>
  <c r="E2481" i="12"/>
  <c r="T2489" i="11"/>
  <c r="E2545" i="12"/>
  <c r="T2553" i="11"/>
  <c r="E2609" i="12"/>
  <c r="T2617" i="11"/>
  <c r="E2673" i="12"/>
  <c r="T2681" i="11"/>
  <c r="E2737" i="12"/>
  <c r="T2745" i="11"/>
  <c r="E2801" i="12"/>
  <c r="T2809" i="11"/>
  <c r="E2865" i="12"/>
  <c r="T2873" i="11"/>
  <c r="E2929" i="12"/>
  <c r="T2937" i="11"/>
  <c r="E2993" i="12"/>
  <c r="T3001" i="11"/>
  <c r="E3057" i="12"/>
  <c r="T3065" i="11"/>
  <c r="E3121" i="12"/>
  <c r="T3129" i="11"/>
  <c r="E3185" i="12"/>
  <c r="T3193" i="11"/>
  <c r="E2551" i="12"/>
  <c r="T2559" i="11"/>
  <c r="E2615" i="12"/>
  <c r="T2623" i="11"/>
  <c r="E2679" i="12"/>
  <c r="T2687" i="11"/>
  <c r="E2743" i="12"/>
  <c r="T2751" i="11"/>
  <c r="E2807" i="12"/>
  <c r="T2815" i="11"/>
  <c r="E2871" i="12"/>
  <c r="T2879" i="11"/>
  <c r="E2935" i="12"/>
  <c r="T2943" i="11"/>
  <c r="E2999" i="12"/>
  <c r="T3007" i="11"/>
  <c r="E3063" i="12"/>
  <c r="T3071" i="11"/>
  <c r="E3127" i="12"/>
  <c r="T3135" i="11"/>
  <c r="E3191" i="12"/>
  <c r="T3199" i="11"/>
  <c r="E3414" i="12"/>
  <c r="T3422" i="11"/>
  <c r="E3478" i="12"/>
  <c r="T3486" i="11"/>
  <c r="E3542" i="12"/>
  <c r="T3550" i="11"/>
  <c r="E3606" i="12"/>
  <c r="T3614" i="11"/>
  <c r="E72" i="12"/>
  <c r="T76" i="11"/>
  <c r="E1456" i="12"/>
  <c r="T1463" i="11"/>
  <c r="E1712" i="12"/>
  <c r="T1719" i="11"/>
  <c r="E1950" i="12"/>
  <c r="T1958" i="11"/>
  <c r="E2078" i="12"/>
  <c r="T2086" i="11"/>
  <c r="E2206" i="12"/>
  <c r="T2214" i="11"/>
  <c r="E2334" i="12"/>
  <c r="T2342" i="11"/>
  <c r="E2462" i="12"/>
  <c r="T2470" i="11"/>
  <c r="E3209" i="12"/>
  <c r="T3217" i="11"/>
  <c r="E3251" i="12"/>
  <c r="T3259" i="11"/>
  <c r="E3294" i="12"/>
  <c r="T3302" i="11"/>
  <c r="E3337" i="12"/>
  <c r="T3345" i="11"/>
  <c r="E3393" i="12"/>
  <c r="T3401" i="11"/>
  <c r="E3457" i="12"/>
  <c r="T3465" i="11"/>
  <c r="E3521" i="12"/>
  <c r="T3529" i="11"/>
  <c r="E1495" i="12"/>
  <c r="T1502" i="11"/>
  <c r="E1800" i="12"/>
  <c r="T1807" i="11"/>
  <c r="E1986" i="12"/>
  <c r="T1994" i="11"/>
  <c r="E2114" i="12"/>
  <c r="T2122" i="11"/>
  <c r="E2242" i="12"/>
  <c r="T2250" i="11"/>
  <c r="E2370" i="12"/>
  <c r="T2378" i="11"/>
  <c r="E2498" i="12"/>
  <c r="T2506" i="11"/>
  <c r="E2582" i="12"/>
  <c r="T2590" i="11"/>
  <c r="E2646" i="12"/>
  <c r="T2654" i="11"/>
  <c r="E2710" i="12"/>
  <c r="T2718" i="11"/>
  <c r="E2774" i="12"/>
  <c r="T2782" i="11"/>
  <c r="E2838" i="12"/>
  <c r="T2846" i="11"/>
  <c r="E2902" i="12"/>
  <c r="T2910" i="11"/>
  <c r="E2966" i="12"/>
  <c r="T2974" i="11"/>
  <c r="E3030" i="12"/>
  <c r="T3038" i="11"/>
  <c r="E3094" i="12"/>
  <c r="T3102" i="11"/>
  <c r="E3158" i="12"/>
  <c r="T3166" i="11"/>
  <c r="E3213" i="12"/>
  <c r="T3221" i="11"/>
  <c r="E3255" i="12"/>
  <c r="T3263" i="11"/>
  <c r="E3298" i="12"/>
  <c r="T3306" i="11"/>
  <c r="E3341" i="12"/>
  <c r="T3349" i="11"/>
  <c r="E3387" i="12"/>
  <c r="T3395" i="11"/>
  <c r="E3451" i="12"/>
  <c r="T3459" i="11"/>
  <c r="E3515" i="12"/>
  <c r="T3523" i="11"/>
  <c r="E3560" i="12"/>
  <c r="T3568" i="11"/>
  <c r="E3603" i="12"/>
  <c r="T3611" i="11"/>
  <c r="E3645" i="12"/>
  <c r="T3653" i="11"/>
  <c r="E3698" i="12"/>
  <c r="T3706" i="11"/>
  <c r="E3761" i="12"/>
  <c r="T3770" i="11"/>
  <c r="E3825" i="12"/>
  <c r="T3834" i="11"/>
  <c r="E3889" i="12"/>
  <c r="T3898" i="11"/>
  <c r="E3953" i="12"/>
  <c r="T3962" i="11"/>
  <c r="E4017" i="12"/>
  <c r="T4026" i="11"/>
  <c r="E4081" i="12"/>
  <c r="T4090" i="11"/>
  <c r="E4145" i="12"/>
  <c r="T4154" i="11"/>
  <c r="E4208" i="12"/>
  <c r="T4218" i="11"/>
  <c r="E4272" i="12"/>
  <c r="T4282" i="11"/>
  <c r="E4336" i="12"/>
  <c r="T4346" i="11"/>
  <c r="E4400" i="12"/>
  <c r="T4410" i="11"/>
  <c r="E4464" i="12"/>
  <c r="T4474" i="11"/>
  <c r="E4528" i="12"/>
  <c r="T4538" i="11"/>
  <c r="E4592" i="12"/>
  <c r="T4602" i="11"/>
  <c r="E4656" i="12"/>
  <c r="T4666" i="11"/>
  <c r="E3352" i="12"/>
  <c r="T3360" i="11"/>
  <c r="E3424" i="12"/>
  <c r="T3432" i="11"/>
  <c r="E3488" i="12"/>
  <c r="T3496" i="11"/>
  <c r="E3697" i="12"/>
  <c r="T3705" i="11"/>
  <c r="E3760" i="12"/>
  <c r="T3769" i="11"/>
  <c r="E3824" i="12"/>
  <c r="T3833" i="11"/>
  <c r="E3888" i="12"/>
  <c r="T3897" i="11"/>
  <c r="E3952" i="12"/>
  <c r="T3961" i="11"/>
  <c r="E4016" i="12"/>
  <c r="T4025" i="11"/>
  <c r="E4080" i="12"/>
  <c r="T4089" i="11"/>
  <c r="E4144" i="12"/>
  <c r="T4153" i="11"/>
  <c r="E4207" i="12"/>
  <c r="T4217" i="11"/>
  <c r="E4271" i="12"/>
  <c r="T4281" i="11"/>
  <c r="E4335" i="12"/>
  <c r="T4345" i="11"/>
  <c r="E4399" i="12"/>
  <c r="T4409" i="11"/>
  <c r="E4463" i="12"/>
  <c r="T4473" i="11"/>
  <c r="E4527" i="12"/>
  <c r="T4537" i="11"/>
  <c r="E4591" i="12"/>
  <c r="T4601" i="11"/>
  <c r="E4655" i="12"/>
  <c r="T4665" i="11"/>
  <c r="E1221" i="12"/>
  <c r="T1228" i="11"/>
  <c r="E3723" i="12"/>
  <c r="T3731" i="11"/>
  <c r="E3786" i="12"/>
  <c r="T3795" i="11"/>
  <c r="E3850" i="12"/>
  <c r="T3859" i="11"/>
  <c r="E3914" i="12"/>
  <c r="T3923" i="11"/>
  <c r="E3978" i="12"/>
  <c r="T3987" i="11"/>
  <c r="E4042" i="12"/>
  <c r="T4051" i="11"/>
  <c r="E4106" i="12"/>
  <c r="T4115" i="11"/>
  <c r="E4169" i="12"/>
  <c r="T4179" i="11"/>
  <c r="E4233" i="12"/>
  <c r="T4243" i="11"/>
  <c r="E4297" i="12"/>
  <c r="T4307" i="11"/>
  <c r="E4361" i="12"/>
  <c r="T4371" i="11"/>
  <c r="E4425" i="12"/>
  <c r="T4435" i="11"/>
  <c r="E4489" i="12"/>
  <c r="T4499" i="11"/>
  <c r="E4553" i="12"/>
  <c r="T4563" i="11"/>
  <c r="E4617" i="12"/>
  <c r="T4627" i="11"/>
  <c r="E4681" i="12"/>
  <c r="T4691" i="11"/>
  <c r="E3575" i="12"/>
  <c r="T3583" i="11"/>
  <c r="E3665" i="12"/>
  <c r="T3673" i="11"/>
  <c r="E3787" i="12"/>
  <c r="T3796" i="11"/>
  <c r="E3915" i="12"/>
  <c r="T3924" i="11"/>
  <c r="E4043" i="12"/>
  <c r="T4052" i="11"/>
  <c r="E4170" i="12"/>
  <c r="T4180" i="11"/>
  <c r="E4298" i="12"/>
  <c r="T4308" i="11"/>
  <c r="E4426" i="12"/>
  <c r="T4436" i="11"/>
  <c r="E4554" i="12"/>
  <c r="T4564" i="11"/>
  <c r="E4682" i="12"/>
  <c r="T4692" i="11"/>
  <c r="E5027" i="12"/>
  <c r="T5038" i="11"/>
  <c r="E4724" i="12"/>
  <c r="T4734" i="11"/>
  <c r="E4756" i="12"/>
  <c r="T4766" i="11"/>
  <c r="E4788" i="12"/>
  <c r="T4798" i="11"/>
  <c r="E4820" i="12"/>
  <c r="T4830" i="11"/>
  <c r="E4852" i="12"/>
  <c r="T4862" i="11"/>
  <c r="E4884" i="12"/>
  <c r="T4894" i="11"/>
  <c r="E4915" i="12"/>
  <c r="T4926" i="11"/>
  <c r="E4947" i="12"/>
  <c r="T4958" i="11"/>
  <c r="E4986" i="12"/>
  <c r="T4997" i="11"/>
  <c r="E5050" i="12"/>
  <c r="T5061" i="11"/>
  <c r="E4733" i="12"/>
  <c r="T4743" i="11"/>
  <c r="E4765" i="12"/>
  <c r="T4775" i="11"/>
  <c r="E4797" i="12"/>
  <c r="T4807" i="11"/>
  <c r="E4829" i="12"/>
  <c r="T4839" i="11"/>
  <c r="E4861" i="12"/>
  <c r="T4871" i="11"/>
  <c r="E4892" i="12"/>
  <c r="T4903" i="11"/>
  <c r="E4924" i="12"/>
  <c r="T4935" i="11"/>
  <c r="E4956" i="12"/>
  <c r="T4967" i="11"/>
  <c r="E5004" i="12"/>
  <c r="T5015" i="11"/>
  <c r="E5068" i="12"/>
  <c r="T5079" i="11"/>
  <c r="E3799" i="12"/>
  <c r="T3808" i="11"/>
  <c r="E4055" i="12"/>
  <c r="T4064" i="11"/>
  <c r="E4310" i="12"/>
  <c r="T4320" i="11"/>
  <c r="E4566" i="12"/>
  <c r="T4576" i="11"/>
  <c r="E3599" i="12"/>
  <c r="T3607" i="11"/>
  <c r="E3775" i="12"/>
  <c r="T3784" i="11"/>
  <c r="E4031" i="12"/>
  <c r="T4040" i="11"/>
  <c r="E4286" i="12"/>
  <c r="T4296" i="11"/>
  <c r="E4542" i="12"/>
  <c r="T4552" i="11"/>
  <c r="E5017" i="12"/>
  <c r="T5028" i="11"/>
  <c r="E6561" i="12"/>
  <c r="T6573" i="11"/>
  <c r="E6625" i="12"/>
  <c r="T6637" i="11"/>
  <c r="E6689" i="12"/>
  <c r="T6701" i="11"/>
  <c r="E6753" i="12"/>
  <c r="T6765" i="11"/>
  <c r="E6817" i="12"/>
  <c r="T6829" i="11"/>
  <c r="E6881" i="12"/>
  <c r="T6893" i="11"/>
  <c r="E6945" i="12"/>
  <c r="T6957" i="11"/>
  <c r="E7009" i="12"/>
  <c r="T7021" i="11"/>
  <c r="E7073" i="12"/>
  <c r="T7085" i="11"/>
  <c r="E7137" i="12"/>
  <c r="T7149" i="11"/>
  <c r="E7201" i="12"/>
  <c r="T7213" i="11"/>
  <c r="E7265" i="12"/>
  <c r="T7277" i="11"/>
  <c r="E7329" i="12"/>
  <c r="T7341" i="11"/>
  <c r="E7393" i="12"/>
  <c r="T7405" i="11"/>
  <c r="E7457" i="12"/>
  <c r="T7469" i="11"/>
  <c r="E7521" i="12"/>
  <c r="T7533" i="11"/>
  <c r="E3657" i="12"/>
  <c r="T3665" i="11"/>
  <c r="E5114" i="12"/>
  <c r="T5125" i="11"/>
  <c r="E5146" i="12"/>
  <c r="T5157" i="11"/>
  <c r="E5178" i="12"/>
  <c r="T5189" i="11"/>
  <c r="E5210" i="12"/>
  <c r="T5221" i="11"/>
  <c r="E5242" i="12"/>
  <c r="T5253" i="11"/>
  <c r="E5274" i="12"/>
  <c r="T5285" i="11"/>
  <c r="E5306" i="12"/>
  <c r="T5317" i="11"/>
  <c r="E5338" i="12"/>
  <c r="T5349" i="11"/>
  <c r="E5370" i="12"/>
  <c r="T5381" i="11"/>
  <c r="E5402" i="12"/>
  <c r="T5413" i="11"/>
  <c r="E5434" i="12"/>
  <c r="T5445" i="11"/>
  <c r="E5466" i="12"/>
  <c r="T5477" i="11"/>
  <c r="E5498" i="12"/>
  <c r="T5509" i="11"/>
  <c r="E5530" i="12"/>
  <c r="T5541" i="11"/>
  <c r="E5562" i="12"/>
  <c r="T5573" i="11"/>
  <c r="E5594" i="12"/>
  <c r="T5605" i="11"/>
  <c r="E5625" i="12"/>
  <c r="T5637" i="11"/>
  <c r="E5657" i="12"/>
  <c r="T5669" i="11"/>
  <c r="E5689" i="12"/>
  <c r="T5701" i="11"/>
  <c r="E5721" i="12"/>
  <c r="T5733" i="11"/>
  <c r="E5753" i="12"/>
  <c r="T5765" i="11"/>
  <c r="E5785" i="12"/>
  <c r="T5797" i="11"/>
  <c r="E5817" i="12"/>
  <c r="T5829" i="11"/>
  <c r="E5849" i="12"/>
  <c r="T5861" i="11"/>
  <c r="E5881" i="12"/>
  <c r="T5893" i="11"/>
  <c r="E5913" i="12"/>
  <c r="T5925" i="11"/>
  <c r="E5945" i="12"/>
  <c r="T5957" i="11"/>
  <c r="E5977" i="12"/>
  <c r="T5989" i="11"/>
  <c r="E6009" i="12"/>
  <c r="T6021" i="11"/>
  <c r="E6041" i="12"/>
  <c r="T6053" i="11"/>
  <c r="E6073" i="12"/>
  <c r="T6085" i="11"/>
  <c r="E6105" i="12"/>
  <c r="T6117" i="11"/>
  <c r="E6137" i="12"/>
  <c r="T6149" i="11"/>
  <c r="E6169" i="12"/>
  <c r="T6181" i="11"/>
  <c r="E6201" i="12"/>
  <c r="T6213" i="11"/>
  <c r="E6233" i="12"/>
  <c r="T6245" i="11"/>
  <c r="E6265" i="12"/>
  <c r="T6277" i="11"/>
  <c r="E6297" i="12"/>
  <c r="T6309" i="11"/>
  <c r="E6329" i="12"/>
  <c r="T6341" i="11"/>
  <c r="E6361" i="12"/>
  <c r="T6373" i="11"/>
  <c r="E6393" i="12"/>
  <c r="T6405" i="11"/>
  <c r="E6425" i="12"/>
  <c r="T6437" i="11"/>
  <c r="E6457" i="12"/>
  <c r="T6469" i="11"/>
  <c r="E6489" i="12"/>
  <c r="T6501" i="11"/>
  <c r="E6521" i="12"/>
  <c r="T6533" i="11"/>
  <c r="E6576" i="12"/>
  <c r="T6588" i="11"/>
  <c r="E6640" i="12"/>
  <c r="T6652" i="11"/>
  <c r="E6704" i="12"/>
  <c r="T6716" i="11"/>
  <c r="E6768" i="12"/>
  <c r="T6780" i="11"/>
  <c r="E6832" i="12"/>
  <c r="T6844" i="11"/>
  <c r="E6896" i="12"/>
  <c r="T6908" i="11"/>
  <c r="E6960" i="12"/>
  <c r="T6972" i="11"/>
  <c r="E7024" i="12"/>
  <c r="T7036" i="11"/>
  <c r="E7088" i="12"/>
  <c r="T7100" i="11"/>
  <c r="E7152" i="12"/>
  <c r="T7164" i="11"/>
  <c r="E7216" i="12"/>
  <c r="T7228" i="11"/>
  <c r="E7280" i="12"/>
  <c r="T7292" i="11"/>
  <c r="E7344" i="12"/>
  <c r="T7356" i="11"/>
  <c r="E7408" i="12"/>
  <c r="T7420" i="11"/>
  <c r="E7472" i="12"/>
  <c r="T7484" i="11"/>
  <c r="E7536" i="12"/>
  <c r="T7548" i="11"/>
  <c r="E5029" i="12"/>
  <c r="T5040" i="11"/>
  <c r="E5093" i="12"/>
  <c r="T5104" i="11"/>
  <c r="E5125" i="12"/>
  <c r="T5136" i="11"/>
  <c r="E5157" i="12"/>
  <c r="T5168" i="11"/>
  <c r="E5189" i="12"/>
  <c r="T5200" i="11"/>
  <c r="E5221" i="12"/>
  <c r="T5232" i="11"/>
  <c r="E5253" i="12"/>
  <c r="T5264" i="11"/>
  <c r="E5285" i="12"/>
  <c r="T5296" i="11"/>
  <c r="E5317" i="12"/>
  <c r="T5328" i="11"/>
  <c r="E5349" i="12"/>
  <c r="T5360" i="11"/>
  <c r="E5381" i="12"/>
  <c r="T5392" i="11"/>
  <c r="E5413" i="12"/>
  <c r="T5424" i="11"/>
  <c r="E5445" i="12"/>
  <c r="T5456" i="11"/>
  <c r="E5477" i="12"/>
  <c r="T5488" i="11"/>
  <c r="E5509" i="12"/>
  <c r="T5520" i="11"/>
  <c r="E5541" i="12"/>
  <c r="T5552" i="11"/>
  <c r="E5573" i="12"/>
  <c r="T5584" i="11"/>
  <c r="E5605" i="12"/>
  <c r="T5616" i="11"/>
  <c r="E5636" i="12"/>
  <c r="T5648" i="11"/>
  <c r="E5668" i="12"/>
  <c r="T5680" i="11"/>
  <c r="E5700" i="12"/>
  <c r="T5712" i="11"/>
  <c r="E5732" i="12"/>
  <c r="T5744" i="11"/>
  <c r="E5764" i="12"/>
  <c r="T5776" i="11"/>
  <c r="E5796" i="12"/>
  <c r="T5808" i="11"/>
  <c r="E5828" i="12"/>
  <c r="T5840" i="11"/>
  <c r="E5860" i="12"/>
  <c r="T5872" i="11"/>
  <c r="E5892" i="12"/>
  <c r="T5904" i="11"/>
  <c r="E5924" i="12"/>
  <c r="T5936" i="11"/>
  <c r="E5956" i="12"/>
  <c r="T5968" i="11"/>
  <c r="E5988" i="12"/>
  <c r="T6000" i="11"/>
  <c r="E6020" i="12"/>
  <c r="T6032" i="11"/>
  <c r="E6052" i="12"/>
  <c r="T6064" i="11"/>
  <c r="E6084" i="12"/>
  <c r="T6096" i="11"/>
  <c r="E6116" i="12"/>
  <c r="T6128" i="11"/>
  <c r="E6148" i="12"/>
  <c r="T6160" i="11"/>
  <c r="E6180" i="12"/>
  <c r="T6192" i="11"/>
  <c r="E6212" i="12"/>
  <c r="T6224" i="11"/>
  <c r="E6244" i="12"/>
  <c r="T6256" i="11"/>
  <c r="E6276" i="12"/>
  <c r="T6288" i="11"/>
  <c r="E6308" i="12"/>
  <c r="T6320" i="11"/>
  <c r="E6340" i="12"/>
  <c r="T6352" i="11"/>
  <c r="E6372" i="12"/>
  <c r="T6384" i="11"/>
  <c r="E6404" i="12"/>
  <c r="T6416" i="11"/>
  <c r="E6436" i="12"/>
  <c r="T6448" i="11"/>
  <c r="E6468" i="12"/>
  <c r="T6480" i="11"/>
  <c r="E6500" i="12"/>
  <c r="T6512" i="11"/>
  <c r="E6534" i="12"/>
  <c r="T6546" i="11"/>
  <c r="E6598" i="12"/>
  <c r="T6610" i="11"/>
  <c r="E6662" i="12"/>
  <c r="T6674" i="11"/>
  <c r="E6726" i="12"/>
  <c r="T6738" i="11"/>
  <c r="E6790" i="12"/>
  <c r="T6802" i="11"/>
  <c r="E6854" i="12"/>
  <c r="T6866" i="11"/>
  <c r="E6918" i="12"/>
  <c r="T6930" i="11"/>
  <c r="E6982" i="12"/>
  <c r="T6994" i="11"/>
  <c r="E7046" i="12"/>
  <c r="T7058" i="11"/>
  <c r="E7110" i="12"/>
  <c r="T7122" i="11"/>
  <c r="E7174" i="12"/>
  <c r="T7186" i="11"/>
  <c r="E7238" i="12"/>
  <c r="T7250" i="11"/>
  <c r="E7302" i="12"/>
  <c r="T7314" i="11"/>
  <c r="E7366" i="12"/>
  <c r="T7378" i="11"/>
  <c r="E7430" i="12"/>
  <c r="T7442" i="11"/>
  <c r="E7494" i="12"/>
  <c r="T7506" i="11"/>
  <c r="E7558" i="12"/>
  <c r="T7570" i="11"/>
  <c r="E7740" i="12"/>
  <c r="T7752" i="11"/>
  <c r="E7772" i="12"/>
  <c r="T7784" i="11"/>
  <c r="E7804" i="12"/>
  <c r="T7816" i="11"/>
  <c r="E7836" i="12"/>
  <c r="T7848" i="11"/>
  <c r="E7868" i="12"/>
  <c r="T7880" i="11"/>
  <c r="E7900" i="12"/>
  <c r="T7912" i="11"/>
  <c r="E7932" i="12"/>
  <c r="T7944" i="11"/>
  <c r="E7964" i="12"/>
  <c r="T7976" i="11"/>
  <c r="E7996" i="12"/>
  <c r="T8008" i="11"/>
  <c r="E8028" i="12"/>
  <c r="T8040" i="11"/>
  <c r="E8060" i="12"/>
  <c r="T8072" i="11"/>
  <c r="E8092" i="12"/>
  <c r="T8104" i="11"/>
  <c r="E8124" i="12"/>
  <c r="T8136" i="11"/>
  <c r="E8156" i="12"/>
  <c r="T8168" i="11"/>
  <c r="E8188" i="12"/>
  <c r="T8200" i="11"/>
  <c r="E8220" i="12"/>
  <c r="T8232" i="11"/>
  <c r="E8252" i="12"/>
  <c r="T8264" i="11"/>
  <c r="E8284" i="12"/>
  <c r="T8296" i="11"/>
  <c r="E8316" i="12"/>
  <c r="T8328" i="11"/>
  <c r="E8348" i="12"/>
  <c r="T8360" i="11"/>
  <c r="E8380" i="12"/>
  <c r="T8392" i="11"/>
  <c r="E6579" i="12"/>
  <c r="T6591" i="11"/>
  <c r="E6707" i="12"/>
  <c r="T6719" i="11"/>
  <c r="E6835" i="12"/>
  <c r="T6847" i="11"/>
  <c r="E6963" i="12"/>
  <c r="T6975" i="11"/>
  <c r="E7091" i="12"/>
  <c r="T7103" i="11"/>
  <c r="E7219" i="12"/>
  <c r="T7231" i="11"/>
  <c r="E7347" i="12"/>
  <c r="T7359" i="11"/>
  <c r="E7475" i="12"/>
  <c r="T7487" i="11"/>
  <c r="E6567" i="12"/>
  <c r="T6579" i="11"/>
  <c r="E6695" i="12"/>
  <c r="T6707" i="11"/>
  <c r="E6823" i="12"/>
  <c r="T6835" i="11"/>
  <c r="E6951" i="12"/>
  <c r="T6963" i="11"/>
  <c r="E7079" i="12"/>
  <c r="T7091" i="11"/>
  <c r="E7207" i="12"/>
  <c r="T7219" i="11"/>
  <c r="E7335" i="12"/>
  <c r="T7347" i="11"/>
  <c r="E7463" i="12"/>
  <c r="T7475" i="11"/>
  <c r="E7723" i="12"/>
  <c r="T7735" i="11"/>
  <c r="E7787" i="12"/>
  <c r="T7799" i="11"/>
  <c r="E7851" i="12"/>
  <c r="T7863" i="11"/>
  <c r="E7915" i="12"/>
  <c r="T7927" i="11"/>
  <c r="E7979" i="12"/>
  <c r="T7991" i="11"/>
  <c r="E8043" i="12"/>
  <c r="T8055" i="11"/>
  <c r="E8107" i="12"/>
  <c r="T8119" i="11"/>
  <c r="E8171" i="12"/>
  <c r="T8183" i="11"/>
  <c r="E8235" i="12"/>
  <c r="T8247" i="11"/>
  <c r="E8299" i="12"/>
  <c r="T8311" i="11"/>
  <c r="E8363" i="12"/>
  <c r="T8375" i="11"/>
  <c r="E7745" i="12"/>
  <c r="T7757" i="11"/>
  <c r="E7809" i="12"/>
  <c r="T7821" i="11"/>
  <c r="E8025" i="12"/>
  <c r="T8037" i="11"/>
  <c r="E8153" i="12"/>
  <c r="T8165" i="11"/>
  <c r="E8281" i="12"/>
  <c r="T8293" i="11"/>
  <c r="E7713" i="12"/>
  <c r="T7725" i="11"/>
  <c r="E7885" i="12"/>
  <c r="T7897" i="11"/>
  <c r="E7977" i="12"/>
  <c r="T7989" i="11"/>
  <c r="E8101" i="12"/>
  <c r="T8113" i="11"/>
  <c r="E8229" i="12"/>
  <c r="T8241" i="11"/>
  <c r="E8361" i="12"/>
  <c r="T8373" i="11"/>
  <c r="E7710" i="12"/>
  <c r="T7722" i="11"/>
  <c r="E7706" i="12"/>
  <c r="T7718" i="11"/>
  <c r="E7702" i="12"/>
  <c r="T7714" i="11"/>
  <c r="E7698" i="12"/>
  <c r="T7710" i="11"/>
  <c r="E7694" i="12"/>
  <c r="T7706" i="11"/>
  <c r="E7690" i="12"/>
  <c r="T7702" i="11"/>
  <c r="E7686" i="12"/>
  <c r="T7698" i="11"/>
  <c r="E7682" i="12"/>
  <c r="T7694" i="11"/>
  <c r="E7678" i="12"/>
  <c r="T7690" i="11"/>
  <c r="E7674" i="12"/>
  <c r="T7686" i="11"/>
  <c r="E7670" i="12"/>
  <c r="T7682" i="11"/>
  <c r="E7666" i="12"/>
  <c r="T7678" i="11"/>
  <c r="E7662" i="12"/>
  <c r="T7674" i="11"/>
  <c r="E7658" i="12"/>
  <c r="T7670" i="11"/>
  <c r="E7654" i="12"/>
  <c r="T7666" i="11"/>
  <c r="E7650" i="12"/>
  <c r="T7662" i="11"/>
  <c r="E7646" i="12"/>
  <c r="T7658" i="11"/>
  <c r="E7642" i="12"/>
  <c r="T7654" i="11"/>
  <c r="E7638" i="12"/>
  <c r="T7650" i="11"/>
  <c r="E7634" i="12"/>
  <c r="T7646" i="11"/>
  <c r="E7630" i="12"/>
  <c r="T7642" i="11"/>
  <c r="E7626" i="12"/>
  <c r="T7638" i="11"/>
  <c r="E7622" i="12"/>
  <c r="T7634" i="11"/>
  <c r="E7618" i="12"/>
  <c r="T7630" i="11"/>
  <c r="E7614" i="12"/>
  <c r="T7626" i="11"/>
  <c r="E7610" i="12"/>
  <c r="T7622" i="11"/>
  <c r="E7606" i="12"/>
  <c r="T7618" i="11"/>
  <c r="E7602" i="12"/>
  <c r="T7614" i="11"/>
  <c r="E7598" i="12"/>
  <c r="T7610" i="11"/>
  <c r="E7594" i="12"/>
  <c r="T7606" i="11"/>
  <c r="E7590" i="12"/>
  <c r="T7602" i="11"/>
  <c r="E7586" i="12"/>
  <c r="T7598" i="11"/>
  <c r="E7582" i="12"/>
  <c r="T7594" i="11"/>
  <c r="E7578" i="12"/>
  <c r="T7590" i="11"/>
  <c r="E7574" i="12"/>
  <c r="T7586" i="11"/>
  <c r="E7570" i="12"/>
  <c r="T7582" i="11"/>
  <c r="E4718" i="12"/>
  <c r="T4728" i="11"/>
  <c r="E4714" i="12"/>
  <c r="T4724" i="11"/>
  <c r="E4710" i="12"/>
  <c r="T4720" i="11"/>
  <c r="E4706" i="12"/>
  <c r="T4716" i="11"/>
  <c r="E262" i="12"/>
  <c r="T266" i="11"/>
  <c r="E1262" i="12"/>
  <c r="T1269" i="11"/>
  <c r="E958" i="12"/>
  <c r="T965" i="11"/>
  <c r="E639" i="12"/>
  <c r="T645" i="11"/>
  <c r="E767" i="12"/>
  <c r="T773" i="11"/>
  <c r="E214" i="12"/>
  <c r="T218" i="11"/>
  <c r="E1134" i="12"/>
  <c r="T1141" i="11"/>
  <c r="E967" i="12"/>
  <c r="T974" i="11"/>
  <c r="E576" i="12"/>
  <c r="T581" i="11"/>
  <c r="E1242" i="12"/>
  <c r="T1249" i="11"/>
  <c r="E986" i="12"/>
  <c r="T993" i="11"/>
  <c r="E1102" i="12"/>
  <c r="T1109" i="11"/>
  <c r="T894" i="11"/>
  <c r="E632" i="12"/>
  <c r="T638" i="11"/>
  <c r="E10" i="12"/>
  <c r="T14" i="11"/>
  <c r="E1219" i="12"/>
  <c r="T1226" i="11"/>
  <c r="E1107" i="12"/>
  <c r="T1114" i="11"/>
  <c r="E1011" i="12"/>
  <c r="T1018" i="11"/>
  <c r="E899" i="12"/>
  <c r="T906" i="11"/>
  <c r="E772" i="12"/>
  <c r="T778" i="11"/>
  <c r="E644" i="12"/>
  <c r="T650" i="11"/>
  <c r="E489" i="12"/>
  <c r="T494" i="11"/>
  <c r="E282" i="12"/>
  <c r="T286" i="11"/>
  <c r="E86" i="12"/>
  <c r="T90" i="11"/>
  <c r="E173" i="12"/>
  <c r="T177" i="11"/>
  <c r="E17" i="12"/>
  <c r="T21" i="11"/>
  <c r="E505" i="12"/>
  <c r="T510" i="11"/>
  <c r="E441" i="12"/>
  <c r="T446" i="11"/>
  <c r="E377" i="12"/>
  <c r="T382" i="11"/>
  <c r="E289" i="12"/>
  <c r="T293" i="11"/>
  <c r="E205" i="12"/>
  <c r="T209" i="11"/>
  <c r="E145" i="12"/>
  <c r="T149" i="11"/>
  <c r="E74" i="12"/>
  <c r="T78" i="11"/>
  <c r="E915" i="12"/>
  <c r="T922" i="11"/>
  <c r="E852" i="12"/>
  <c r="T858" i="11"/>
  <c r="E788" i="12"/>
  <c r="T794" i="11"/>
  <c r="E724" i="12"/>
  <c r="T730" i="11"/>
  <c r="E660" i="12"/>
  <c r="T666" i="11"/>
  <c r="E596" i="12"/>
  <c r="T602" i="11"/>
  <c r="E533" i="12"/>
  <c r="T538" i="11"/>
  <c r="E469" i="12"/>
  <c r="T474" i="11"/>
  <c r="E405" i="12"/>
  <c r="T410" i="11"/>
  <c r="E341" i="12"/>
  <c r="T346" i="11"/>
  <c r="E278" i="12"/>
  <c r="T282" i="11"/>
  <c r="E166" i="12"/>
  <c r="T170" i="11"/>
  <c r="E70" i="12"/>
  <c r="T74" i="11"/>
  <c r="E1212" i="12"/>
  <c r="T1219" i="11"/>
  <c r="E431" i="12"/>
  <c r="T436" i="11"/>
  <c r="E959" i="12"/>
  <c r="T966" i="11"/>
  <c r="E1461" i="12"/>
  <c r="T1468" i="11"/>
  <c r="E151" i="12"/>
  <c r="T155" i="11"/>
  <c r="E406" i="12"/>
  <c r="T411" i="11"/>
  <c r="E677" i="12"/>
  <c r="T683" i="11"/>
  <c r="E144" i="12"/>
  <c r="T148" i="11"/>
  <c r="E1119" i="12"/>
  <c r="T1126" i="11"/>
  <c r="E362" i="12"/>
  <c r="T367" i="11"/>
  <c r="E1064" i="12"/>
  <c r="T1071" i="11"/>
  <c r="E593" i="12"/>
  <c r="T598" i="11"/>
  <c r="E1489" i="12"/>
  <c r="T1496" i="11"/>
  <c r="E653" i="12"/>
  <c r="T659" i="11"/>
  <c r="E89" i="12"/>
  <c r="T93" i="11"/>
  <c r="E1046" i="12"/>
  <c r="T1053" i="11"/>
  <c r="E35" i="12"/>
  <c r="T39" i="11"/>
  <c r="E737" i="12"/>
  <c r="T743" i="11"/>
  <c r="E288" i="12"/>
  <c r="T292" i="11"/>
  <c r="E1433" i="12"/>
  <c r="T1440" i="11"/>
  <c r="E927" i="12"/>
  <c r="T934" i="11"/>
  <c r="E809" i="12"/>
  <c r="T815" i="11"/>
  <c r="E1361" i="12"/>
  <c r="T1368" i="11"/>
  <c r="E217" i="12"/>
  <c r="T221" i="11"/>
  <c r="E119" i="12"/>
  <c r="T123" i="11"/>
  <c r="E374" i="12"/>
  <c r="T379" i="11"/>
  <c r="E645" i="12"/>
  <c r="T651" i="11"/>
  <c r="E16" i="12"/>
  <c r="T20" i="11"/>
  <c r="E991" i="12"/>
  <c r="T998" i="11"/>
  <c r="E251" i="12"/>
  <c r="T255" i="11"/>
  <c r="E968" i="12"/>
  <c r="T975" i="11"/>
  <c r="E488" i="12"/>
  <c r="T493" i="11"/>
  <c r="E1409" i="12"/>
  <c r="T1416" i="11"/>
  <c r="E574" i="12"/>
  <c r="T579" i="11"/>
  <c r="E1276" i="12"/>
  <c r="T1283" i="11"/>
  <c r="E918" i="12"/>
  <c r="T925" i="11"/>
  <c r="E19" i="12"/>
  <c r="T23" i="11"/>
  <c r="E530" i="12"/>
  <c r="T535" i="11"/>
  <c r="E1040" i="12"/>
  <c r="T1047" i="11"/>
  <c r="E351" i="12"/>
  <c r="T356" i="11"/>
  <c r="E1030" i="12"/>
  <c r="T1037" i="11"/>
  <c r="E1545" i="12"/>
  <c r="T1552" i="11"/>
  <c r="E272" i="12"/>
  <c r="T276" i="11"/>
  <c r="E1293" i="12"/>
  <c r="T1300" i="11"/>
  <c r="E570" i="12"/>
  <c r="T575" i="11"/>
  <c r="E128" i="12"/>
  <c r="T132" i="11"/>
  <c r="E1213" i="12"/>
  <c r="T1220" i="11"/>
  <c r="E430" i="12"/>
  <c r="T435" i="11"/>
  <c r="E1244" i="12"/>
  <c r="T1251" i="11"/>
  <c r="E1005" i="12"/>
  <c r="T1012" i="11"/>
  <c r="E358" i="12"/>
  <c r="T363" i="11"/>
  <c r="E1076" i="12"/>
  <c r="T1083" i="11"/>
  <c r="E203" i="12"/>
  <c r="T207" i="11"/>
  <c r="E424" i="12"/>
  <c r="T429" i="11"/>
  <c r="E526" i="12"/>
  <c r="T531" i="11"/>
  <c r="E640" i="12"/>
  <c r="T646" i="11"/>
  <c r="E482" i="12"/>
  <c r="T487" i="11"/>
  <c r="E1184" i="12"/>
  <c r="T1191" i="11"/>
  <c r="E798" i="12"/>
  <c r="T804" i="11"/>
  <c r="E725" i="12"/>
  <c r="T731" i="11"/>
  <c r="E823" i="12"/>
  <c r="T829" i="11"/>
  <c r="E410" i="12"/>
  <c r="T415" i="11"/>
  <c r="E447" i="12"/>
  <c r="T452" i="11"/>
  <c r="E63" i="12"/>
  <c r="T67" i="11"/>
  <c r="E972" i="12"/>
  <c r="T979" i="11"/>
  <c r="E1023" i="12"/>
  <c r="T1030" i="11"/>
  <c r="E179" i="12"/>
  <c r="T183" i="11"/>
  <c r="E434" i="12"/>
  <c r="T439" i="11"/>
  <c r="E689" i="12"/>
  <c r="T695" i="11"/>
  <c r="E944" i="12"/>
  <c r="T951" i="11"/>
  <c r="E1200" i="12"/>
  <c r="T1207" i="11"/>
  <c r="E224" i="12"/>
  <c r="T228" i="11"/>
  <c r="E561" i="12"/>
  <c r="T566" i="11"/>
  <c r="E902" i="12"/>
  <c r="T909" i="11"/>
  <c r="E1245" i="12"/>
  <c r="T1252" i="11"/>
  <c r="E1513" i="12"/>
  <c r="T1520" i="11"/>
  <c r="E948" i="12"/>
  <c r="T955" i="11"/>
  <c r="E57" i="12"/>
  <c r="T61" i="11"/>
  <c r="E591" i="12"/>
  <c r="T596" i="11"/>
  <c r="E1101" i="12"/>
  <c r="T1108" i="11"/>
  <c r="E1533" i="12"/>
  <c r="T1540" i="11"/>
  <c r="E330" i="12"/>
  <c r="T335" i="11"/>
  <c r="E729" i="12"/>
  <c r="T735" i="11"/>
  <c r="E1128" i="12"/>
  <c r="T1135" i="11"/>
  <c r="E337" i="12"/>
  <c r="T342" i="11"/>
  <c r="E871" i="12"/>
  <c r="T877" i="11"/>
  <c r="E1377" i="12"/>
  <c r="T1384" i="11"/>
  <c r="E191" i="12"/>
  <c r="T195" i="11"/>
  <c r="E590" i="12"/>
  <c r="T595" i="11"/>
  <c r="E1004" i="12"/>
  <c r="T1011" i="11"/>
  <c r="E130" i="12"/>
  <c r="T134" i="11"/>
  <c r="E663" i="12"/>
  <c r="T669" i="11"/>
  <c r="E1215" i="12"/>
  <c r="T1222" i="11"/>
  <c r="E71" i="12"/>
  <c r="T75" i="11"/>
  <c r="E326" i="12"/>
  <c r="T331" i="11"/>
  <c r="E597" i="12"/>
  <c r="T603" i="11"/>
  <c r="E1172" i="12"/>
  <c r="T1179" i="11"/>
  <c r="E800" i="12"/>
  <c r="T806" i="11"/>
  <c r="E123" i="12"/>
  <c r="T127" i="11"/>
  <c r="E857" i="12"/>
  <c r="T863" i="11"/>
  <c r="E319" i="12"/>
  <c r="T324" i="11"/>
  <c r="E1231" i="12"/>
  <c r="T1238" i="11"/>
  <c r="E446" i="12"/>
  <c r="T451" i="11"/>
  <c r="E1132" i="12"/>
  <c r="T1139" i="11"/>
  <c r="E750" i="12"/>
  <c r="T756" i="11"/>
  <c r="E1573" i="12"/>
  <c r="T1580" i="11"/>
  <c r="E61" i="12"/>
  <c r="T65" i="11"/>
  <c r="E658" i="12"/>
  <c r="T664" i="11"/>
  <c r="E190" i="12"/>
  <c r="T194" i="11"/>
  <c r="E483" i="12"/>
  <c r="T488" i="11"/>
  <c r="E898" i="12"/>
  <c r="T905" i="11"/>
  <c r="E152" i="12"/>
  <c r="T156" i="11"/>
  <c r="E961" i="12"/>
  <c r="T968" i="11"/>
  <c r="E1368" i="12"/>
  <c r="T1375" i="11"/>
  <c r="E1542" i="12"/>
  <c r="T1549" i="11"/>
  <c r="E1774" i="12"/>
  <c r="T1781" i="11"/>
  <c r="E1917" i="12"/>
  <c r="T1925" i="11"/>
  <c r="E1300" i="12"/>
  <c r="T1307" i="11"/>
  <c r="E1507" i="12"/>
  <c r="T1514" i="11"/>
  <c r="E1733" i="12"/>
  <c r="T1740" i="11"/>
  <c r="E228" i="12"/>
  <c r="T232" i="11"/>
  <c r="E1201" i="12"/>
  <c r="T1208" i="11"/>
  <c r="E1587" i="12"/>
  <c r="T1594" i="11"/>
  <c r="E1779" i="12"/>
  <c r="T1786" i="11"/>
  <c r="E565" i="12"/>
  <c r="T570" i="11"/>
  <c r="E1358" i="12"/>
  <c r="T1365" i="11"/>
  <c r="E1764" i="12"/>
  <c r="T1771" i="11"/>
  <c r="E2032" i="12"/>
  <c r="T2040" i="11"/>
  <c r="E2224" i="12"/>
  <c r="T2232" i="11"/>
  <c r="E2384" i="12"/>
  <c r="T2392" i="11"/>
  <c r="E2576" i="12"/>
  <c r="T2584" i="11"/>
  <c r="E2736" i="12"/>
  <c r="T2744" i="11"/>
  <c r="E2912" i="12"/>
  <c r="T2920" i="11"/>
  <c r="E3088" i="12"/>
  <c r="T3096" i="11"/>
  <c r="E3296" i="12"/>
  <c r="T3304" i="11"/>
  <c r="E1947" i="12"/>
  <c r="T1955" i="11"/>
  <c r="E2155" i="12"/>
  <c r="T2163" i="11"/>
  <c r="E2315" i="12"/>
  <c r="T2323" i="11"/>
  <c r="E2523" i="12"/>
  <c r="T2531" i="11"/>
  <c r="E1920" i="12"/>
  <c r="T1928" i="11"/>
  <c r="E2117" i="12"/>
  <c r="T2125" i="11"/>
  <c r="E2261" i="12"/>
  <c r="T2269" i="11"/>
  <c r="E2453" i="12"/>
  <c r="T2461" i="11"/>
  <c r="E2613" i="12"/>
  <c r="T2621" i="11"/>
  <c r="E2837" i="12"/>
  <c r="T2845" i="11"/>
  <c r="E2981" i="12"/>
  <c r="T2989" i="11"/>
  <c r="E3189" i="12"/>
  <c r="T3197" i="11"/>
  <c r="E2635" i="12"/>
  <c r="T2643" i="11"/>
  <c r="E2795" i="12"/>
  <c r="T2803" i="11"/>
  <c r="E2987" i="12"/>
  <c r="T2995" i="11"/>
  <c r="E3131" i="12"/>
  <c r="T3139" i="11"/>
  <c r="E3498" i="12"/>
  <c r="T3506" i="11"/>
  <c r="E3642" i="12"/>
  <c r="T3650" i="11"/>
  <c r="E1958" i="12"/>
  <c r="T1966" i="11"/>
  <c r="E3350" i="12"/>
  <c r="T3358" i="11"/>
  <c r="E2954" i="12"/>
  <c r="T2962" i="11"/>
  <c r="E3130" i="12"/>
  <c r="T3138" i="11"/>
  <c r="E3290" i="12"/>
  <c r="T3298" i="11"/>
  <c r="E3391" i="12"/>
  <c r="T3399" i="11"/>
  <c r="E3541" i="12"/>
  <c r="T3549" i="11"/>
  <c r="E3648" i="12"/>
  <c r="T3656" i="11"/>
  <c r="E3829" i="12"/>
  <c r="T3838" i="11"/>
  <c r="E4005" i="12"/>
  <c r="T4014" i="11"/>
  <c r="E4212" i="12"/>
  <c r="T4222" i="11"/>
  <c r="E4356" i="12"/>
  <c r="T4366" i="11"/>
  <c r="E4580" i="12"/>
  <c r="T4590" i="11"/>
  <c r="E3360" i="12"/>
  <c r="T3368" i="11"/>
  <c r="E3717" i="12"/>
  <c r="T3725" i="11"/>
  <c r="E3876" i="12"/>
  <c r="T3885" i="11"/>
  <c r="E4100" i="12"/>
  <c r="T4109" i="11"/>
  <c r="E4243" i="12"/>
  <c r="T4253" i="11"/>
  <c r="E4435" i="12"/>
  <c r="T4445" i="11"/>
  <c r="E4627" i="12"/>
  <c r="T4637" i="11"/>
  <c r="E3742" i="12"/>
  <c r="T3751" i="11"/>
  <c r="E3934" i="12"/>
  <c r="T3943" i="11"/>
  <c r="E4078" i="12"/>
  <c r="T4087" i="11"/>
  <c r="E4269" i="12"/>
  <c r="T4279" i="11"/>
  <c r="E4429" i="12"/>
  <c r="T4439" i="11"/>
  <c r="E4605" i="12"/>
  <c r="T4615" i="11"/>
  <c r="E3604" i="12"/>
  <c r="T3612" i="11"/>
  <c r="E3891" i="12"/>
  <c r="T3900" i="11"/>
  <c r="E4210" i="12"/>
  <c r="T4220" i="11"/>
  <c r="E4594" i="12"/>
  <c r="T4604" i="11"/>
  <c r="E5063" i="12"/>
  <c r="T5074" i="11"/>
  <c r="E4782" i="12"/>
  <c r="T4792" i="11"/>
  <c r="E4886" i="12"/>
  <c r="T4896" i="11"/>
  <c r="E4957" i="12"/>
  <c r="T4968" i="11"/>
  <c r="E4751" i="12"/>
  <c r="T4761" i="11"/>
  <c r="E4823" i="12"/>
  <c r="T4833" i="11"/>
  <c r="E4918" i="12"/>
  <c r="T4929" i="11"/>
  <c r="E4992" i="12"/>
  <c r="T5003" i="11"/>
  <c r="E4007" i="12"/>
  <c r="T4016" i="11"/>
  <c r="E1290" i="12"/>
  <c r="T1297" i="11"/>
  <c r="E4238" i="12"/>
  <c r="T4248" i="11"/>
  <c r="E5057" i="12"/>
  <c r="T5068" i="11"/>
  <c r="E6693" i="12"/>
  <c r="T6705" i="11"/>
  <c r="E6837" i="12"/>
  <c r="T6849" i="11"/>
  <c r="E7045" i="12"/>
  <c r="T7057" i="11"/>
  <c r="E7189" i="12"/>
  <c r="T7201" i="11"/>
  <c r="E7413" i="12"/>
  <c r="T7425" i="11"/>
  <c r="E3583" i="12"/>
  <c r="T3591" i="11"/>
  <c r="E5172" i="12"/>
  <c r="T5183" i="11"/>
  <c r="E5244" i="12"/>
  <c r="T5255" i="11"/>
  <c r="E5340" i="12"/>
  <c r="T5351" i="11"/>
  <c r="E5436" i="12"/>
  <c r="T5447" i="11"/>
  <c r="E5532" i="12"/>
  <c r="T5543" i="11"/>
  <c r="E5612" i="12"/>
  <c r="T5623" i="11"/>
  <c r="E5699" i="12"/>
  <c r="T5711" i="11"/>
  <c r="E5795" i="12"/>
  <c r="T5807" i="11"/>
  <c r="E5875" i="12"/>
  <c r="T5887" i="11"/>
  <c r="E5939" i="12"/>
  <c r="T5951" i="11"/>
  <c r="E6011" i="12"/>
  <c r="T6023" i="11"/>
  <c r="E6099" i="12"/>
  <c r="T6111" i="11"/>
  <c r="E6179" i="12"/>
  <c r="T6191" i="11"/>
  <c r="E6251" i="12"/>
  <c r="T6263" i="11"/>
  <c r="E6355" i="12"/>
  <c r="T6367" i="11"/>
  <c r="E6427" i="12"/>
  <c r="T6439" i="11"/>
  <c r="E6507" i="12"/>
  <c r="T6519" i="11"/>
  <c r="E6644" i="12"/>
  <c r="T6656" i="11"/>
  <c r="E6852" i="12"/>
  <c r="T6864" i="11"/>
  <c r="E6996" i="12"/>
  <c r="T7008" i="11"/>
  <c r="E7188" i="12"/>
  <c r="T7200" i="11"/>
  <c r="E7332" i="12"/>
  <c r="T7344" i="11"/>
  <c r="E7540" i="12"/>
  <c r="T7552" i="11"/>
  <c r="E5111" i="12"/>
  <c r="T5122" i="11"/>
  <c r="E5191" i="12"/>
  <c r="T5202" i="11"/>
  <c r="E5279" i="12"/>
  <c r="T5290" i="11"/>
  <c r="E5359" i="12"/>
  <c r="T5370" i="11"/>
  <c r="E5447" i="12"/>
  <c r="T5458" i="11"/>
  <c r="E5527" i="12"/>
  <c r="T5538" i="11"/>
  <c r="E5623" i="12"/>
  <c r="T5634" i="11"/>
  <c r="E5694" i="12"/>
  <c r="T5706" i="11"/>
  <c r="E5790" i="12"/>
  <c r="T5802" i="11"/>
  <c r="E5862" i="12"/>
  <c r="T5874" i="11"/>
  <c r="E5950" i="12"/>
  <c r="T5962" i="11"/>
  <c r="E6030" i="12"/>
  <c r="T6042" i="11"/>
  <c r="E6110" i="12"/>
  <c r="T6122" i="11"/>
  <c r="E6214" i="12"/>
  <c r="T6226" i="11"/>
  <c r="E6286" i="12"/>
  <c r="T6298" i="11"/>
  <c r="E6382" i="12"/>
  <c r="T6394" i="11"/>
  <c r="E6454" i="12"/>
  <c r="T6466" i="11"/>
  <c r="E6538" i="12"/>
  <c r="T6550" i="11"/>
  <c r="E6714" i="12"/>
  <c r="T6726" i="11"/>
  <c r="E6874" i="12"/>
  <c r="T6886" i="11"/>
  <c r="E7066" i="12"/>
  <c r="T7078" i="11"/>
  <c r="E7226" i="12"/>
  <c r="T7238" i="11"/>
  <c r="E7434" i="12"/>
  <c r="T7446" i="11"/>
  <c r="E7718" i="12"/>
  <c r="T7730" i="11"/>
  <c r="E7854" i="12"/>
  <c r="T7866" i="11"/>
  <c r="E24" i="12"/>
  <c r="T28" i="11"/>
  <c r="E276" i="12"/>
  <c r="T280" i="11"/>
  <c r="E826" i="12"/>
  <c r="T832" i="11"/>
  <c r="E108" i="12"/>
  <c r="T112" i="11"/>
  <c r="E707" i="12"/>
  <c r="T713" i="11"/>
  <c r="E1324" i="12"/>
  <c r="T1331" i="11"/>
  <c r="E803" i="12"/>
  <c r="T809" i="11"/>
  <c r="E1375" i="12"/>
  <c r="T1382" i="11"/>
  <c r="E1586" i="12"/>
  <c r="T1593" i="11"/>
  <c r="E1778" i="12"/>
  <c r="T1785" i="11"/>
  <c r="E352" i="12"/>
  <c r="T357" i="11"/>
  <c r="E1302" i="12"/>
  <c r="T1309" i="11"/>
  <c r="E1578" i="12"/>
  <c r="T1585" i="11"/>
  <c r="E1737" i="12"/>
  <c r="T1744" i="11"/>
  <c r="E333" i="12"/>
  <c r="T338" i="11"/>
  <c r="E1145" i="12"/>
  <c r="T1152" i="11"/>
  <c r="E1547" i="12"/>
  <c r="T1554" i="11"/>
  <c r="E1703" i="12"/>
  <c r="T1710" i="11"/>
  <c r="E1910" i="12"/>
  <c r="T1918" i="11"/>
  <c r="E1250" i="12"/>
  <c r="T1257" i="11"/>
  <c r="E1708" i="12"/>
  <c r="T1715" i="11"/>
  <c r="E1988" i="12"/>
  <c r="T1996" i="11"/>
  <c r="E2164" i="12"/>
  <c r="T2172" i="11"/>
  <c r="E2324" i="12"/>
  <c r="T2332" i="11"/>
  <c r="E2468" i="12"/>
  <c r="T2476" i="11"/>
  <c r="E2644" i="12"/>
  <c r="T2652" i="11"/>
  <c r="E2788" i="12"/>
  <c r="T2796" i="11"/>
  <c r="E2996" i="12"/>
  <c r="T3004" i="11"/>
  <c r="E3140" i="12"/>
  <c r="T3148" i="11"/>
  <c r="E626" i="12"/>
  <c r="T632" i="11"/>
  <c r="E2031" i="12"/>
  <c r="T2039" i="11"/>
  <c r="E2271" i="12"/>
  <c r="T2279" i="11"/>
  <c r="E2431" i="12"/>
  <c r="T2439" i="11"/>
  <c r="E1153" i="12"/>
  <c r="T1160" i="11"/>
  <c r="E2041" i="12"/>
  <c r="T2049" i="11"/>
  <c r="E2249" i="12"/>
  <c r="T2257" i="11"/>
  <c r="E2409" i="12"/>
  <c r="T2417" i="11"/>
  <c r="E2585" i="12"/>
  <c r="T2593" i="11"/>
  <c r="E2761" i="12"/>
  <c r="T2769" i="11"/>
  <c r="E2953" i="12"/>
  <c r="T2961" i="11"/>
  <c r="E3097" i="12"/>
  <c r="T3105" i="11"/>
  <c r="E2623" i="12"/>
  <c r="T2631" i="11"/>
  <c r="E2751" i="12"/>
  <c r="T2759" i="11"/>
  <c r="E2959" i="12"/>
  <c r="T2967" i="11"/>
  <c r="E3087" i="12"/>
  <c r="T3095" i="11"/>
  <c r="E3438" i="12"/>
  <c r="T3446" i="11"/>
  <c r="E3598" i="12"/>
  <c r="T3606" i="11"/>
  <c r="E1744" i="12"/>
  <c r="T1751" i="11"/>
  <c r="E2158" i="12"/>
  <c r="T2166" i="11"/>
  <c r="E3193" i="12"/>
  <c r="T3201" i="11"/>
  <c r="E3321" i="12"/>
  <c r="T3329" i="11"/>
  <c r="E3481" i="12"/>
  <c r="T3489" i="11"/>
  <c r="E1895" i="12"/>
  <c r="T1903" i="11"/>
  <c r="E2258" i="12"/>
  <c r="T2266" i="11"/>
  <c r="E2622" i="12"/>
  <c r="T2630" i="11"/>
  <c r="E2750" i="12"/>
  <c r="T2758" i="11"/>
  <c r="E2958" i="12"/>
  <c r="T2966" i="11"/>
  <c r="E3102" i="12"/>
  <c r="T3110" i="11"/>
  <c r="E3271" i="12"/>
  <c r="T3279" i="11"/>
  <c r="E1907" i="12"/>
  <c r="T1915" i="11"/>
  <c r="E3555" i="12"/>
  <c r="T3563" i="11"/>
  <c r="E3661" i="12"/>
  <c r="T3669" i="11"/>
  <c r="E3865" i="12"/>
  <c r="T3874" i="11"/>
  <c r="E4009" i="12"/>
  <c r="T4018" i="11"/>
  <c r="E4264" i="12"/>
  <c r="T4274" i="11"/>
  <c r="E4424" i="12"/>
  <c r="T4434" i="11"/>
  <c r="E4632" i="12"/>
  <c r="T4642" i="11"/>
  <c r="E3432" i="12"/>
  <c r="T3440" i="11"/>
  <c r="E3768" i="12"/>
  <c r="T3777" i="11"/>
  <c r="E3912" i="12"/>
  <c r="T3921" i="11"/>
  <c r="E4120" i="12"/>
  <c r="T4129" i="11"/>
  <c r="E4263" i="12"/>
  <c r="T4273" i="11"/>
  <c r="E4471" i="12"/>
  <c r="T4481" i="11"/>
  <c r="E4631" i="12"/>
  <c r="T4641" i="11"/>
  <c r="E3778" i="12"/>
  <c r="T3787" i="11"/>
  <c r="E3938" i="12"/>
  <c r="T3947" i="11"/>
  <c r="E4146" i="12"/>
  <c r="T4155" i="11"/>
  <c r="E4289" i="12"/>
  <c r="T4299" i="11"/>
  <c r="E4481" i="12"/>
  <c r="T4491" i="11"/>
  <c r="E4641" i="12"/>
  <c r="T4651" i="11"/>
  <c r="E3803" i="12"/>
  <c r="T3812" i="11"/>
  <c r="E4091" i="12"/>
  <c r="T4100" i="11"/>
  <c r="E4410" i="12"/>
  <c r="T4420" i="11"/>
  <c r="E4987" i="12"/>
  <c r="T4998" i="11"/>
  <c r="E4776" i="12"/>
  <c r="T4786" i="11"/>
  <c r="E4848" i="12"/>
  <c r="T4858" i="11"/>
  <c r="E4951" i="12"/>
  <c r="T4962" i="11"/>
  <c r="E5074" i="12"/>
  <c r="T5085" i="11"/>
  <c r="E4801" i="12"/>
  <c r="T4811" i="11"/>
  <c r="E4873" i="12"/>
  <c r="T4883" i="11"/>
  <c r="E4952" i="12"/>
  <c r="T4963" i="11"/>
  <c r="E3831" i="12"/>
  <c r="T3840" i="11"/>
  <c r="E4470" i="12"/>
  <c r="T4480" i="11"/>
  <c r="E3935" i="12"/>
  <c r="T3944" i="11"/>
  <c r="E4702" i="12"/>
  <c r="T4712" i="11"/>
  <c r="E6617" i="12"/>
  <c r="T6629" i="11"/>
  <c r="E6825" i="12"/>
  <c r="T6837" i="11"/>
  <c r="E6985" i="12"/>
  <c r="T6997" i="11"/>
  <c r="E7161" i="12"/>
  <c r="T7173" i="11"/>
  <c r="E7305" i="12"/>
  <c r="T7317" i="11"/>
  <c r="E7449" i="12"/>
  <c r="T7461" i="11"/>
  <c r="E5102" i="12"/>
  <c r="T5113" i="11"/>
  <c r="E5182" i="12"/>
  <c r="T5193" i="11"/>
  <c r="E5286" i="12"/>
  <c r="T5297" i="11"/>
  <c r="E5358" i="12"/>
  <c r="T5369" i="11"/>
  <c r="E5446" i="12"/>
  <c r="T5457" i="11"/>
  <c r="E5534" i="12"/>
  <c r="T5545" i="11"/>
  <c r="E5606" i="12"/>
  <c r="T5617" i="11"/>
  <c r="E5701" i="12"/>
  <c r="T5713" i="11"/>
  <c r="E5781" i="12"/>
  <c r="T5793" i="11"/>
  <c r="E5885" i="12"/>
  <c r="T5897" i="11"/>
  <c r="E5949" i="12"/>
  <c r="T5961" i="11"/>
  <c r="E6045" i="12"/>
  <c r="T6057" i="11"/>
  <c r="E6125" i="12"/>
  <c r="T6137" i="11"/>
  <c r="E6197" i="12"/>
  <c r="T6209" i="11"/>
  <c r="E6301" i="12"/>
  <c r="T6313" i="11"/>
  <c r="E6373" i="12"/>
  <c r="T6385" i="11"/>
  <c r="E6477" i="12"/>
  <c r="T6489" i="11"/>
  <c r="E6568" i="12"/>
  <c r="T6580" i="11"/>
  <c r="E6792" i="12"/>
  <c r="T6804" i="11"/>
  <c r="E6936" i="12"/>
  <c r="T6948" i="11"/>
  <c r="E7160" i="12"/>
  <c r="T7172" i="11"/>
  <c r="E7288" i="12"/>
  <c r="T7300" i="11"/>
  <c r="E7496" i="12"/>
  <c r="T7508" i="11"/>
  <c r="E3625" i="12"/>
  <c r="T3633" i="11"/>
  <c r="E5193" i="12"/>
  <c r="T5204" i="11"/>
  <c r="E5273" i="12"/>
  <c r="T5284" i="11"/>
  <c r="E5377" i="12"/>
  <c r="T5388" i="11"/>
  <c r="E5449" i="12"/>
  <c r="T5460" i="11"/>
  <c r="E5553" i="12"/>
  <c r="T5564" i="11"/>
  <c r="E5617" i="12"/>
  <c r="T5628" i="11"/>
  <c r="E5712" i="12"/>
  <c r="T5724" i="11"/>
  <c r="E5792" i="12"/>
  <c r="T5804" i="11"/>
  <c r="E5880" i="12"/>
  <c r="T5892" i="11"/>
  <c r="E5952" i="12"/>
  <c r="T5964" i="11"/>
  <c r="E6032" i="12"/>
  <c r="T6044" i="11"/>
  <c r="E6128" i="12"/>
  <c r="T6140" i="11"/>
  <c r="E6208" i="12"/>
  <c r="T6220" i="11"/>
  <c r="E6304" i="12"/>
  <c r="T6316" i="11"/>
  <c r="E6376" i="12"/>
  <c r="T6388" i="11"/>
  <c r="E6472" i="12"/>
  <c r="T6484" i="11"/>
  <c r="E6590" i="12"/>
  <c r="T6602" i="11"/>
  <c r="E6750" i="12"/>
  <c r="T6762" i="11"/>
  <c r="E6942" i="12"/>
  <c r="T6954" i="11"/>
  <c r="E7086" i="12"/>
  <c r="T7098" i="11"/>
  <c r="E7278" i="12"/>
  <c r="T7290" i="11"/>
  <c r="E7422" i="12"/>
  <c r="T7434" i="11"/>
  <c r="E7744" i="12"/>
  <c r="T7756" i="11"/>
  <c r="E7824" i="12"/>
  <c r="T7836" i="11"/>
  <c r="E7928" i="12"/>
  <c r="T7940" i="11"/>
  <c r="E8040" i="12"/>
  <c r="T8052" i="11"/>
  <c r="E40" i="12"/>
  <c r="T44" i="11"/>
  <c r="E244" i="12"/>
  <c r="T248" i="11"/>
  <c r="E133" i="12"/>
  <c r="T137" i="11"/>
  <c r="E286" i="12"/>
  <c r="T290" i="11"/>
  <c r="E493" i="12"/>
  <c r="T498" i="11"/>
  <c r="E691" i="12"/>
  <c r="T697" i="11"/>
  <c r="E889" i="12"/>
  <c r="T896" i="11"/>
  <c r="E246" i="12"/>
  <c r="T250" i="11"/>
  <c r="E477" i="12"/>
  <c r="T482" i="11"/>
  <c r="E204" i="12"/>
  <c r="T208" i="11"/>
  <c r="E459" i="12"/>
  <c r="T464" i="11"/>
  <c r="E662" i="12"/>
  <c r="T668" i="11"/>
  <c r="E866" i="12"/>
  <c r="T872" i="11"/>
  <c r="E1083" i="12"/>
  <c r="T1090" i="11"/>
  <c r="E1282" i="12"/>
  <c r="T1289" i="11"/>
  <c r="E53" i="12"/>
  <c r="T57" i="11"/>
  <c r="E340" i="12"/>
  <c r="T345" i="11"/>
  <c r="E739" i="12"/>
  <c r="T745" i="11"/>
  <c r="E1029" i="12"/>
  <c r="T1036" i="11"/>
  <c r="E1186" i="12"/>
  <c r="T1193" i="11"/>
  <c r="E1327" i="12"/>
  <c r="T1334" i="11"/>
  <c r="E1423" i="12"/>
  <c r="T1430" i="11"/>
  <c r="E1510" i="12"/>
  <c r="T1517" i="11"/>
  <c r="E1590" i="12"/>
  <c r="T1597" i="11"/>
  <c r="E1654" i="12"/>
  <c r="T1661" i="11"/>
  <c r="E1718" i="12"/>
  <c r="T1725" i="11"/>
  <c r="E1782" i="12"/>
  <c r="T1789" i="11"/>
  <c r="E1845" i="12"/>
  <c r="T1853" i="11"/>
  <c r="E1909" i="12"/>
  <c r="T1917" i="11"/>
  <c r="E480" i="12"/>
  <c r="T485" i="11"/>
  <c r="E860" i="12"/>
  <c r="T866" i="11"/>
  <c r="E1209" i="12"/>
  <c r="T1216" i="11"/>
  <c r="E1370" i="12"/>
  <c r="T1377" i="11"/>
  <c r="E1452" i="12"/>
  <c r="T1459" i="11"/>
  <c r="E1539" i="12"/>
  <c r="T1546" i="11"/>
  <c r="E1613" i="12"/>
  <c r="T1620" i="11"/>
  <c r="E1677" i="12"/>
  <c r="T1684" i="11"/>
  <c r="E1741" i="12"/>
  <c r="T1748" i="11"/>
  <c r="E1805" i="12"/>
  <c r="T1812" i="11"/>
  <c r="E1868" i="12"/>
  <c r="T1876" i="11"/>
  <c r="E461" i="12"/>
  <c r="T466" i="11"/>
  <c r="E723" i="12"/>
  <c r="T729" i="11"/>
  <c r="E921" i="12"/>
  <c r="T928" i="11"/>
  <c r="E1257" i="12"/>
  <c r="T1264" i="11"/>
  <c r="E1403" i="12"/>
  <c r="T1410" i="11"/>
  <c r="E1490" i="12"/>
  <c r="T1497" i="11"/>
  <c r="E1572" i="12"/>
  <c r="T1579" i="11"/>
  <c r="E1643" i="12"/>
  <c r="T1650" i="11"/>
  <c r="E1707" i="12"/>
  <c r="T1714" i="11"/>
  <c r="E1771" i="12"/>
  <c r="T1778" i="11"/>
  <c r="E1834" i="12"/>
  <c r="T1842" i="11"/>
  <c r="E1898" i="12"/>
  <c r="T1906" i="11"/>
  <c r="E630" i="12"/>
  <c r="T636" i="11"/>
  <c r="E1082" i="12"/>
  <c r="T1089" i="11"/>
  <c r="E1326" i="12"/>
  <c r="T1333" i="11"/>
  <c r="E1511" i="12"/>
  <c r="T1518" i="11"/>
  <c r="E1652" i="12"/>
  <c r="T1659" i="11"/>
  <c r="E1780" i="12"/>
  <c r="T1787" i="11"/>
  <c r="E1928" i="12"/>
  <c r="T1936" i="11"/>
  <c r="E1992" i="12"/>
  <c r="T2000" i="11"/>
  <c r="E2056" i="12"/>
  <c r="T2064" i="11"/>
  <c r="E2120" i="12"/>
  <c r="T2128" i="11"/>
  <c r="E2184" i="12"/>
  <c r="T2192" i="11"/>
  <c r="E2248" i="12"/>
  <c r="T2256" i="11"/>
  <c r="E2312" i="12"/>
  <c r="T2320" i="11"/>
  <c r="E2376" i="12"/>
  <c r="T2384" i="11"/>
  <c r="E2440" i="12"/>
  <c r="T2448" i="11"/>
  <c r="E2504" i="12"/>
  <c r="T2512" i="11"/>
  <c r="E2568" i="12"/>
  <c r="T2576" i="11"/>
  <c r="E2632" i="12"/>
  <c r="T2640" i="11"/>
  <c r="E2696" i="12"/>
  <c r="T2704" i="11"/>
  <c r="E2760" i="12"/>
  <c r="T2768" i="11"/>
  <c r="E2824" i="12"/>
  <c r="T2832" i="11"/>
  <c r="E2888" i="12"/>
  <c r="T2896" i="11"/>
  <c r="E2952" i="12"/>
  <c r="T2960" i="11"/>
  <c r="E3016" i="12"/>
  <c r="T3024" i="11"/>
  <c r="E3080" i="12"/>
  <c r="T3088" i="11"/>
  <c r="E3144" i="12"/>
  <c r="T3152" i="11"/>
  <c r="E3208" i="12"/>
  <c r="T3216" i="11"/>
  <c r="E3272" i="12"/>
  <c r="T3280" i="11"/>
  <c r="E3336" i="12"/>
  <c r="T3344" i="11"/>
  <c r="E827" i="12"/>
  <c r="T833" i="11"/>
  <c r="E1955" i="12"/>
  <c r="T1963" i="11"/>
  <c r="E2019" i="12"/>
  <c r="T2027" i="11"/>
  <c r="E2083" i="12"/>
  <c r="T2091" i="11"/>
  <c r="E2147" i="12"/>
  <c r="T2155" i="11"/>
  <c r="E2211" i="12"/>
  <c r="T2219" i="11"/>
  <c r="E2275" i="12"/>
  <c r="T2283" i="11"/>
  <c r="E2339" i="12"/>
  <c r="T2347" i="11"/>
  <c r="E2403" i="12"/>
  <c r="T2411" i="11"/>
  <c r="E2467" i="12"/>
  <c r="T2475" i="11"/>
  <c r="E2531" i="12"/>
  <c r="T2539" i="11"/>
  <c r="E949" i="12"/>
  <c r="T956" i="11"/>
  <c r="E1912" i="12"/>
  <c r="T1920" i="11"/>
  <c r="E1981" i="12"/>
  <c r="T1989" i="11"/>
  <c r="E2045" i="12"/>
  <c r="T2053" i="11"/>
  <c r="E2109" i="12"/>
  <c r="T2117" i="11"/>
  <c r="E2173" i="12"/>
  <c r="T2181" i="11"/>
  <c r="E2237" i="12"/>
  <c r="T2245" i="11"/>
  <c r="E2301" i="12"/>
  <c r="T2309" i="11"/>
  <c r="E2365" i="12"/>
  <c r="T2373" i="11"/>
  <c r="E2429" i="12"/>
  <c r="T2437" i="11"/>
  <c r="E2493" i="12"/>
  <c r="T2501" i="11"/>
  <c r="E2557" i="12"/>
  <c r="T2565" i="11"/>
  <c r="E2621" i="12"/>
  <c r="T2629" i="11"/>
  <c r="E2685" i="12"/>
  <c r="T2693" i="11"/>
  <c r="E2749" i="12"/>
  <c r="T2757" i="11"/>
  <c r="E2813" i="12"/>
  <c r="T2821" i="11"/>
  <c r="E2877" i="12"/>
  <c r="T2885" i="11"/>
  <c r="E2941" i="12"/>
  <c r="T2949" i="11"/>
  <c r="E3005" i="12"/>
  <c r="T3013" i="11"/>
  <c r="E3069" i="12"/>
  <c r="T3077" i="11"/>
  <c r="E3133" i="12"/>
  <c r="T3141" i="11"/>
  <c r="E492" i="12"/>
  <c r="T497" i="11"/>
  <c r="E2563" i="12"/>
  <c r="T2571" i="11"/>
  <c r="E2627" i="12"/>
  <c r="T2635" i="11"/>
  <c r="E2691" i="12"/>
  <c r="T2699" i="11"/>
  <c r="E2755" i="12"/>
  <c r="T2763" i="11"/>
  <c r="E2819" i="12"/>
  <c r="T2827" i="11"/>
  <c r="E2883" i="12"/>
  <c r="T2891" i="11"/>
  <c r="E2947" i="12"/>
  <c r="T2955" i="11"/>
  <c r="E3011" i="12"/>
  <c r="T3019" i="11"/>
  <c r="E3075" i="12"/>
  <c r="T3083" i="11"/>
  <c r="E3139" i="12"/>
  <c r="T3147" i="11"/>
  <c r="E3362" i="12"/>
  <c r="T3370" i="11"/>
  <c r="E3426" i="12"/>
  <c r="T3434" i="11"/>
  <c r="E3490" i="12"/>
  <c r="T3498" i="11"/>
  <c r="E3554" i="12"/>
  <c r="T3562" i="11"/>
  <c r="E3618" i="12"/>
  <c r="T3626" i="11"/>
  <c r="E947" i="12"/>
  <c r="T954" i="11"/>
  <c r="E1502" i="12"/>
  <c r="T1509" i="11"/>
  <c r="E1760" i="12"/>
  <c r="T1767" i="11"/>
  <c r="E1974" i="12"/>
  <c r="T1982" i="11"/>
  <c r="E2102" i="12"/>
  <c r="T2110" i="11"/>
  <c r="E2230" i="12"/>
  <c r="T2238" i="11"/>
  <c r="E2358" i="12"/>
  <c r="T2366" i="11"/>
  <c r="E2486" i="12"/>
  <c r="T2494" i="11"/>
  <c r="E3217" i="12"/>
  <c r="T3225" i="11"/>
  <c r="E3259" i="12"/>
  <c r="T3267" i="11"/>
  <c r="E3302" i="12"/>
  <c r="T3310" i="11"/>
  <c r="E3345" i="12"/>
  <c r="T3353" i="11"/>
  <c r="E3405" i="12"/>
  <c r="T3413" i="11"/>
  <c r="E3469" i="12"/>
  <c r="T3477" i="11"/>
  <c r="E563" i="12"/>
  <c r="T568" i="11"/>
  <c r="E1592" i="12"/>
  <c r="T1599" i="11"/>
  <c r="E1847" i="12"/>
  <c r="T1855" i="11"/>
  <c r="E2010" i="12"/>
  <c r="T2018" i="11"/>
  <c r="E2138" i="12"/>
  <c r="T2146" i="11"/>
  <c r="E2266" i="12"/>
  <c r="T2274" i="11"/>
  <c r="E2394" i="12"/>
  <c r="T2402" i="11"/>
  <c r="E2522" i="12"/>
  <c r="T2530" i="11"/>
  <c r="E2594" i="12"/>
  <c r="T2602" i="11"/>
  <c r="E2658" i="12"/>
  <c r="T2666" i="11"/>
  <c r="E2722" i="12"/>
  <c r="T2730" i="11"/>
  <c r="E2786" i="12"/>
  <c r="T2794" i="11"/>
  <c r="E2850" i="12"/>
  <c r="T2858" i="11"/>
  <c r="E2914" i="12"/>
  <c r="T2922" i="11"/>
  <c r="E2978" i="12"/>
  <c r="T2986" i="11"/>
  <c r="E3042" i="12"/>
  <c r="T3050" i="11"/>
  <c r="E3106" i="12"/>
  <c r="T3114" i="11"/>
  <c r="E3170" i="12"/>
  <c r="T3178" i="11"/>
  <c r="E3221" i="12"/>
  <c r="T3229" i="11"/>
  <c r="E3263" i="12"/>
  <c r="T3271" i="11"/>
  <c r="E3306" i="12"/>
  <c r="T3314" i="11"/>
  <c r="E3349" i="12"/>
  <c r="T3357" i="11"/>
  <c r="E3399" i="12"/>
  <c r="T3407" i="11"/>
  <c r="E3463" i="12"/>
  <c r="T3471" i="11"/>
  <c r="E3525" i="12"/>
  <c r="T3533" i="11"/>
  <c r="E3568" i="12"/>
  <c r="T3576" i="11"/>
  <c r="E3611" i="12"/>
  <c r="T3619" i="11"/>
  <c r="E3653" i="12"/>
  <c r="T3661" i="11"/>
  <c r="E3710" i="12"/>
  <c r="T3718" i="11"/>
  <c r="E3773" i="12"/>
  <c r="T3782" i="11"/>
  <c r="E3837" i="12"/>
  <c r="T3846" i="11"/>
  <c r="E3901" i="12"/>
  <c r="T3910" i="11"/>
  <c r="E3965" i="12"/>
  <c r="T3974" i="11"/>
  <c r="E4029" i="12"/>
  <c r="T4038" i="11"/>
  <c r="E4093" i="12"/>
  <c r="T4102" i="11"/>
  <c r="E4157" i="12"/>
  <c r="T4166" i="11"/>
  <c r="E4220" i="12"/>
  <c r="T4230" i="11"/>
  <c r="E4284" i="12"/>
  <c r="T4294" i="11"/>
  <c r="E4348" i="12"/>
  <c r="T4358" i="11"/>
  <c r="E4412" i="12"/>
  <c r="T4422" i="11"/>
  <c r="E4476" i="12"/>
  <c r="T4486" i="11"/>
  <c r="E4540" i="12"/>
  <c r="T4550" i="11"/>
  <c r="E4604" i="12"/>
  <c r="T4614" i="11"/>
  <c r="E4668" i="12"/>
  <c r="T4678" i="11"/>
  <c r="E3372" i="12"/>
  <c r="T3380" i="11"/>
  <c r="E3436" i="12"/>
  <c r="T3444" i="11"/>
  <c r="E3500" i="12"/>
  <c r="T3508" i="11"/>
  <c r="E3709" i="12"/>
  <c r="T3717" i="11"/>
  <c r="E3772" i="12"/>
  <c r="T3781" i="11"/>
  <c r="E3836" i="12"/>
  <c r="T3845" i="11"/>
  <c r="E3900" i="12"/>
  <c r="T3909" i="11"/>
  <c r="E3964" i="12"/>
  <c r="T3973" i="11"/>
  <c r="E4028" i="12"/>
  <c r="T4037" i="11"/>
  <c r="E4092" i="12"/>
  <c r="T4101" i="11"/>
  <c r="E4156" i="12"/>
  <c r="T4165" i="11"/>
  <c r="E4219" i="12"/>
  <c r="T4229" i="11"/>
  <c r="E4283" i="12"/>
  <c r="T4293" i="11"/>
  <c r="E4347" i="12"/>
  <c r="T4357" i="11"/>
  <c r="E4411" i="12"/>
  <c r="T4421" i="11"/>
  <c r="E4475" i="12"/>
  <c r="T4485" i="11"/>
  <c r="E4539" i="12"/>
  <c r="T4549" i="11"/>
  <c r="E4603" i="12"/>
  <c r="T4613" i="11"/>
  <c r="E4667" i="12"/>
  <c r="T4677" i="11"/>
  <c r="E3671" i="12"/>
  <c r="T3679" i="11"/>
  <c r="E3735" i="12"/>
  <c r="T3743" i="11"/>
  <c r="E3798" i="12"/>
  <c r="T3807" i="11"/>
  <c r="E3862" i="12"/>
  <c r="T3871" i="11"/>
  <c r="E3926" i="12"/>
  <c r="T3935" i="11"/>
  <c r="E3990" i="12"/>
  <c r="T3999" i="11"/>
  <c r="E4054" i="12"/>
  <c r="T4063" i="11"/>
  <c r="E4118" i="12"/>
  <c r="T4127" i="11"/>
  <c r="E4181" i="12"/>
  <c r="T4191" i="11"/>
  <c r="E4245" i="12"/>
  <c r="T4255" i="11"/>
  <c r="E4309" i="12"/>
  <c r="T4319" i="11"/>
  <c r="E4373" i="12"/>
  <c r="T4383" i="11"/>
  <c r="E4437" i="12"/>
  <c r="T4447" i="11"/>
  <c r="E4501" i="12"/>
  <c r="T4511" i="11"/>
  <c r="E4565" i="12"/>
  <c r="T4575" i="11"/>
  <c r="E4629" i="12"/>
  <c r="T4639" i="11"/>
  <c r="E4693" i="12"/>
  <c r="T4703" i="11"/>
  <c r="E3591" i="12"/>
  <c r="T3599" i="11"/>
  <c r="E3684" i="12"/>
  <c r="T3692" i="11"/>
  <c r="E3811" i="12"/>
  <c r="T3820" i="11"/>
  <c r="E3939" i="12"/>
  <c r="T3948" i="11"/>
  <c r="E4067" i="12"/>
  <c r="T4076" i="11"/>
  <c r="E4194" i="12"/>
  <c r="T4204" i="11"/>
  <c r="E4322" i="12"/>
  <c r="T4332" i="11"/>
  <c r="E4450" i="12"/>
  <c r="T4460" i="11"/>
  <c r="E4578" i="12"/>
  <c r="T4588" i="11"/>
  <c r="E4975" i="12"/>
  <c r="T4986" i="11"/>
  <c r="E5039" i="12"/>
  <c r="T5050" i="11"/>
  <c r="E4730" i="12"/>
  <c r="T4740" i="11"/>
  <c r="E4762" i="12"/>
  <c r="T4772" i="11"/>
  <c r="E4794" i="12"/>
  <c r="T4804" i="11"/>
  <c r="E4826" i="12"/>
  <c r="T4836" i="11"/>
  <c r="E4858" i="12"/>
  <c r="T4868" i="11"/>
  <c r="E4889" i="12"/>
  <c r="T4900" i="11"/>
  <c r="E4921" i="12"/>
  <c r="T4932" i="11"/>
  <c r="E4953" i="12"/>
  <c r="T4964" i="11"/>
  <c r="E4998" i="12"/>
  <c r="T5009" i="11"/>
  <c r="E5062" i="12"/>
  <c r="T5073" i="11"/>
  <c r="E4739" i="12"/>
  <c r="T4749" i="11"/>
  <c r="E4771" i="12"/>
  <c r="T4781" i="11"/>
  <c r="E4803" i="12"/>
  <c r="T4813" i="11"/>
  <c r="E4835" i="12"/>
  <c r="T4845" i="11"/>
  <c r="E4867" i="12"/>
  <c r="T4877" i="11"/>
  <c r="E4898" i="12"/>
  <c r="T4909" i="11"/>
  <c r="E4930" i="12"/>
  <c r="T4941" i="11"/>
  <c r="E4962" i="12"/>
  <c r="T4973" i="11"/>
  <c r="E5016" i="12"/>
  <c r="T5027" i="11"/>
  <c r="E5080" i="12"/>
  <c r="T5091" i="11"/>
  <c r="E3847" i="12"/>
  <c r="T3856" i="11"/>
  <c r="E4103" i="12"/>
  <c r="T4112" i="11"/>
  <c r="E4358" i="12"/>
  <c r="T4368" i="11"/>
  <c r="E4614" i="12"/>
  <c r="T4624" i="11"/>
  <c r="E3641" i="12"/>
  <c r="T3649" i="11"/>
  <c r="E3823" i="12"/>
  <c r="T3832" i="11"/>
  <c r="E4079" i="12"/>
  <c r="T4088" i="11"/>
  <c r="E4334" i="12"/>
  <c r="T4344" i="11"/>
  <c r="E4590" i="12"/>
  <c r="T4600" i="11"/>
  <c r="E5041" i="12"/>
  <c r="T5052" i="11"/>
  <c r="E6573" i="12"/>
  <c r="T6585" i="11"/>
  <c r="E6637" i="12"/>
  <c r="T6649" i="11"/>
  <c r="E6701" i="12"/>
  <c r="T6713" i="11"/>
  <c r="E6765" i="12"/>
  <c r="T6777" i="11"/>
  <c r="E6829" i="12"/>
  <c r="T6841" i="11"/>
  <c r="E6893" i="12"/>
  <c r="T6905" i="11"/>
  <c r="E6957" i="12"/>
  <c r="T6969" i="11"/>
  <c r="E7021" i="12"/>
  <c r="T7033" i="11"/>
  <c r="E7085" i="12"/>
  <c r="T7097" i="11"/>
  <c r="E7149" i="12"/>
  <c r="T7161" i="11"/>
  <c r="E7213" i="12"/>
  <c r="T7225" i="11"/>
  <c r="E7277" i="12"/>
  <c r="T7289" i="11"/>
  <c r="E7341" i="12"/>
  <c r="T7353" i="11"/>
  <c r="E7405" i="12"/>
  <c r="T7417" i="11"/>
  <c r="E7469" i="12"/>
  <c r="T7481" i="11"/>
  <c r="E7533" i="12"/>
  <c r="T7545" i="11"/>
  <c r="E5088" i="12"/>
  <c r="T5099" i="11"/>
  <c r="E5120" i="12"/>
  <c r="T5131" i="11"/>
  <c r="E5152" i="12"/>
  <c r="T5163" i="11"/>
  <c r="E5184" i="12"/>
  <c r="T5195" i="11"/>
  <c r="E5216" i="12"/>
  <c r="T5227" i="11"/>
  <c r="E5248" i="12"/>
  <c r="T5259" i="11"/>
  <c r="E5280" i="12"/>
  <c r="T5291" i="11"/>
  <c r="E5312" i="12"/>
  <c r="T5323" i="11"/>
  <c r="E5344" i="12"/>
  <c r="T5355" i="11"/>
  <c r="E5376" i="12"/>
  <c r="T5387" i="11"/>
  <c r="E5408" i="12"/>
  <c r="T5419" i="11"/>
  <c r="E5440" i="12"/>
  <c r="T5451" i="11"/>
  <c r="E5472" i="12"/>
  <c r="T5483" i="11"/>
  <c r="E5504" i="12"/>
  <c r="T5515" i="11"/>
  <c r="E5536" i="12"/>
  <c r="T5547" i="11"/>
  <c r="E5568" i="12"/>
  <c r="T5579" i="11"/>
  <c r="E5600" i="12"/>
  <c r="T5611" i="11"/>
  <c r="E5631" i="12"/>
  <c r="T5643" i="11"/>
  <c r="E5663" i="12"/>
  <c r="T5675" i="11"/>
  <c r="E5695" i="12"/>
  <c r="T5707" i="11"/>
  <c r="E5727" i="12"/>
  <c r="T5739" i="11"/>
  <c r="E5759" i="12"/>
  <c r="T5771" i="11"/>
  <c r="E5791" i="12"/>
  <c r="T5803" i="11"/>
  <c r="E5823" i="12"/>
  <c r="T5835" i="11"/>
  <c r="E5855" i="12"/>
  <c r="T5867" i="11"/>
  <c r="E5887" i="12"/>
  <c r="T5899" i="11"/>
  <c r="E5919" i="12"/>
  <c r="T5931" i="11"/>
  <c r="E5951" i="12"/>
  <c r="T5963" i="11"/>
  <c r="E5983" i="12"/>
  <c r="T5995" i="11"/>
  <c r="E6015" i="12"/>
  <c r="T6027" i="11"/>
  <c r="E6047" i="12"/>
  <c r="T6059" i="11"/>
  <c r="E6079" i="12"/>
  <c r="T6091" i="11"/>
  <c r="E6111" i="12"/>
  <c r="T6123" i="11"/>
  <c r="E6143" i="12"/>
  <c r="T6155" i="11"/>
  <c r="E6175" i="12"/>
  <c r="T6187" i="11"/>
  <c r="E6207" i="12"/>
  <c r="T6219" i="11"/>
  <c r="E6239" i="12"/>
  <c r="T6251" i="11"/>
  <c r="E6271" i="12"/>
  <c r="T6283" i="11"/>
  <c r="E6303" i="12"/>
  <c r="T6315" i="11"/>
  <c r="E6335" i="12"/>
  <c r="T6347" i="11"/>
  <c r="E6367" i="12"/>
  <c r="T6379" i="11"/>
  <c r="E6399" i="12"/>
  <c r="T6411" i="11"/>
  <c r="E6431" i="12"/>
  <c r="T6443" i="11"/>
  <c r="E6463" i="12"/>
  <c r="T6475" i="11"/>
  <c r="E6495" i="12"/>
  <c r="T6507" i="11"/>
  <c r="E6527" i="12"/>
  <c r="T6539" i="11"/>
  <c r="E6588" i="12"/>
  <c r="T6600" i="11"/>
  <c r="E6652" i="12"/>
  <c r="T6664" i="11"/>
  <c r="E6716" i="12"/>
  <c r="T6728" i="11"/>
  <c r="E6780" i="12"/>
  <c r="T6792" i="11"/>
  <c r="E6844" i="12"/>
  <c r="T6856" i="11"/>
  <c r="E6908" i="12"/>
  <c r="T6920" i="11"/>
  <c r="E6972" i="12"/>
  <c r="T6984" i="11"/>
  <c r="E7036" i="12"/>
  <c r="T7048" i="11"/>
  <c r="E7100" i="12"/>
  <c r="T7112" i="11"/>
  <c r="E7164" i="12"/>
  <c r="T7176" i="11"/>
  <c r="E7228" i="12"/>
  <c r="T7240" i="11"/>
  <c r="E7292" i="12"/>
  <c r="T7304" i="11"/>
  <c r="E7356" i="12"/>
  <c r="T7368" i="11"/>
  <c r="E7420" i="12"/>
  <c r="T7432" i="11"/>
  <c r="E7484" i="12"/>
  <c r="T7496" i="11"/>
  <c r="E7548" i="12"/>
  <c r="T7560" i="11"/>
  <c r="E5053" i="12"/>
  <c r="T5064" i="11"/>
  <c r="E5099" i="12"/>
  <c r="T5110" i="11"/>
  <c r="E5131" i="12"/>
  <c r="T5142" i="11"/>
  <c r="E5163" i="12"/>
  <c r="T5174" i="11"/>
  <c r="E5195" i="12"/>
  <c r="T5206" i="11"/>
  <c r="E5227" i="12"/>
  <c r="T5238" i="11"/>
  <c r="E5259" i="12"/>
  <c r="T5270" i="11"/>
  <c r="E5291" i="12"/>
  <c r="T5302" i="11"/>
  <c r="E5323" i="12"/>
  <c r="T5334" i="11"/>
  <c r="E5355" i="12"/>
  <c r="T5366" i="11"/>
  <c r="E5387" i="12"/>
  <c r="T5398" i="11"/>
  <c r="E5419" i="12"/>
  <c r="T5430" i="11"/>
  <c r="E5451" i="12"/>
  <c r="T5462" i="11"/>
  <c r="E5483" i="12"/>
  <c r="T5494" i="11"/>
  <c r="E5515" i="12"/>
  <c r="T5526" i="11"/>
  <c r="E5547" i="12"/>
  <c r="T5558" i="11"/>
  <c r="E5579" i="12"/>
  <c r="T5590" i="11"/>
  <c r="E5611" i="12"/>
  <c r="T5622" i="11"/>
  <c r="E5642" i="12"/>
  <c r="T5654" i="11"/>
  <c r="E5674" i="12"/>
  <c r="T5686" i="11"/>
  <c r="E5706" i="12"/>
  <c r="T5718" i="11"/>
  <c r="E5738" i="12"/>
  <c r="T5750" i="11"/>
  <c r="E5770" i="12"/>
  <c r="T5782" i="11"/>
  <c r="E5802" i="12"/>
  <c r="T5814" i="11"/>
  <c r="E5834" i="12"/>
  <c r="T5846" i="11"/>
  <c r="E5866" i="12"/>
  <c r="T5878" i="11"/>
  <c r="E5898" i="12"/>
  <c r="T5910" i="11"/>
  <c r="E5930" i="12"/>
  <c r="T5942" i="11"/>
  <c r="E5962" i="12"/>
  <c r="T5974" i="11"/>
  <c r="E5994" i="12"/>
  <c r="T6006" i="11"/>
  <c r="E6026" i="12"/>
  <c r="T6038" i="11"/>
  <c r="E6058" i="12"/>
  <c r="T6070" i="11"/>
  <c r="E6090" i="12"/>
  <c r="T6102" i="11"/>
  <c r="E6122" i="12"/>
  <c r="T6134" i="11"/>
  <c r="E6154" i="12"/>
  <c r="T6166" i="11"/>
  <c r="E6186" i="12"/>
  <c r="T6198" i="11"/>
  <c r="E6218" i="12"/>
  <c r="T6230" i="11"/>
  <c r="E6250" i="12"/>
  <c r="T6262" i="11"/>
  <c r="E6282" i="12"/>
  <c r="T6294" i="11"/>
  <c r="E6314" i="12"/>
  <c r="T6326" i="11"/>
  <c r="E6346" i="12"/>
  <c r="T6358" i="11"/>
  <c r="E6378" i="12"/>
  <c r="T6390" i="11"/>
  <c r="E6410" i="12"/>
  <c r="T6422" i="11"/>
  <c r="E6442" i="12"/>
  <c r="T6454" i="11"/>
  <c r="E6474" i="12"/>
  <c r="T6486" i="11"/>
  <c r="E6506" i="12"/>
  <c r="T6518" i="11"/>
  <c r="E6546" i="12"/>
  <c r="T6558" i="11"/>
  <c r="E6610" i="12"/>
  <c r="T6622" i="11"/>
  <c r="E6674" i="12"/>
  <c r="T6686" i="11"/>
  <c r="E6738" i="12"/>
  <c r="T6750" i="11"/>
  <c r="E6802" i="12"/>
  <c r="T6814" i="11"/>
  <c r="E6866" i="12"/>
  <c r="T6878" i="11"/>
  <c r="E6930" i="12"/>
  <c r="T6942" i="11"/>
  <c r="E6994" i="12"/>
  <c r="T7006" i="11"/>
  <c r="E7058" i="12"/>
  <c r="T7070" i="11"/>
  <c r="E7122" i="12"/>
  <c r="T7134" i="11"/>
  <c r="E7186" i="12"/>
  <c r="T7198" i="11"/>
  <c r="E7250" i="12"/>
  <c r="T7262" i="11"/>
  <c r="E7314" i="12"/>
  <c r="T7326" i="11"/>
  <c r="E7378" i="12"/>
  <c r="T7390" i="11"/>
  <c r="E7442" i="12"/>
  <c r="T7454" i="11"/>
  <c r="E7506" i="12"/>
  <c r="T7518" i="11"/>
  <c r="E7714" i="12"/>
  <c r="T7726" i="11"/>
  <c r="E7746" i="12"/>
  <c r="T7758" i="11"/>
  <c r="E7778" i="12"/>
  <c r="T7790" i="11"/>
  <c r="E7810" i="12"/>
  <c r="T7822" i="11"/>
  <c r="E7842" i="12"/>
  <c r="T7854" i="11"/>
  <c r="E7874" i="12"/>
  <c r="T7886" i="11"/>
  <c r="E7906" i="12"/>
  <c r="T7918" i="11"/>
  <c r="E7938" i="12"/>
  <c r="T7950" i="11"/>
  <c r="E7970" i="12"/>
  <c r="T7982" i="11"/>
  <c r="E8002" i="12"/>
  <c r="T8014" i="11"/>
  <c r="E8034" i="12"/>
  <c r="T8046" i="11"/>
  <c r="E8066" i="12"/>
  <c r="T8078" i="11"/>
  <c r="E8098" i="12"/>
  <c r="T8110" i="11"/>
  <c r="E8130" i="12"/>
  <c r="T8142" i="11"/>
  <c r="E8162" i="12"/>
  <c r="T8174" i="11"/>
  <c r="E8194" i="12"/>
  <c r="T8206" i="11"/>
  <c r="E8226" i="12"/>
  <c r="T8238" i="11"/>
  <c r="E8258" i="12"/>
  <c r="T8270" i="11"/>
  <c r="E8290" i="12"/>
  <c r="T8302" i="11"/>
  <c r="E8322" i="12"/>
  <c r="T8334" i="11"/>
  <c r="E8354" i="12"/>
  <c r="T8366" i="11"/>
  <c r="E8386" i="12"/>
  <c r="T8398" i="11"/>
  <c r="E6603" i="12"/>
  <c r="T6615" i="11"/>
  <c r="E6731" i="12"/>
  <c r="T6743" i="11"/>
  <c r="E6859" i="12"/>
  <c r="T6871" i="11"/>
  <c r="E6987" i="12"/>
  <c r="T6999" i="11"/>
  <c r="E7115" i="12"/>
  <c r="T7127" i="11"/>
  <c r="E7243" i="12"/>
  <c r="T7255" i="11"/>
  <c r="E7371" i="12"/>
  <c r="T7383" i="11"/>
  <c r="E7499" i="12"/>
  <c r="T7511" i="11"/>
  <c r="E6591" i="12"/>
  <c r="T6603" i="11"/>
  <c r="E6719" i="12"/>
  <c r="T6731" i="11"/>
  <c r="E6847" i="12"/>
  <c r="T6859" i="11"/>
  <c r="E6975" i="12"/>
  <c r="T6987" i="11"/>
  <c r="E7103" i="12"/>
  <c r="T7115" i="11"/>
  <c r="E7231" i="12"/>
  <c r="T7243" i="11"/>
  <c r="E7359" i="12"/>
  <c r="T7371" i="11"/>
  <c r="E7487" i="12"/>
  <c r="T7499" i="11"/>
  <c r="E7735" i="12"/>
  <c r="T7747" i="11"/>
  <c r="E7799" i="12"/>
  <c r="T7811" i="11"/>
  <c r="E7863" i="12"/>
  <c r="T7875" i="11"/>
  <c r="E7927" i="12"/>
  <c r="T7939" i="11"/>
  <c r="E7991" i="12"/>
  <c r="T8003" i="11"/>
  <c r="E8055" i="12"/>
  <c r="T8067" i="11"/>
  <c r="E8119" i="12"/>
  <c r="T8131" i="11"/>
  <c r="E8183" i="12"/>
  <c r="T8195" i="11"/>
  <c r="E8247" i="12"/>
  <c r="T8259" i="11"/>
  <c r="E8311" i="12"/>
  <c r="T8323" i="11"/>
  <c r="E8375" i="12"/>
  <c r="T8387" i="11"/>
  <c r="E7757" i="12"/>
  <c r="T7769" i="11"/>
  <c r="E7821" i="12"/>
  <c r="T7833" i="11"/>
  <c r="E8045" i="12"/>
  <c r="T8057" i="11"/>
  <c r="E8177" i="12"/>
  <c r="T8189" i="11"/>
  <c r="E8305" i="12"/>
  <c r="T8317" i="11"/>
  <c r="E7833" i="12"/>
  <c r="T7845" i="11"/>
  <c r="E7897" i="12"/>
  <c r="T7909" i="11"/>
  <c r="E7997" i="12"/>
  <c r="T8009" i="11"/>
  <c r="E8129" i="12"/>
  <c r="T8141" i="11"/>
  <c r="E8253" i="12"/>
  <c r="T8265" i="11"/>
  <c r="E8385" i="12"/>
  <c r="T8397" i="11"/>
  <c r="E277" i="12"/>
  <c r="T281" i="11"/>
  <c r="E234" i="12"/>
  <c r="T238" i="11"/>
  <c r="E455" i="12"/>
  <c r="T460" i="11"/>
  <c r="E819" i="12"/>
  <c r="T825" i="11"/>
  <c r="E349" i="12"/>
  <c r="T354" i="11"/>
  <c r="E182" i="12"/>
  <c r="T186" i="11"/>
  <c r="E643" i="12"/>
  <c r="T649" i="11"/>
  <c r="E955" i="12"/>
  <c r="T962" i="11"/>
  <c r="E1211" i="12"/>
  <c r="T1218" i="11"/>
  <c r="E81" i="12"/>
  <c r="T85" i="11"/>
  <c r="E799" i="12"/>
  <c r="T805" i="11"/>
  <c r="E1077" i="12"/>
  <c r="T1084" i="11"/>
  <c r="E1342" i="12"/>
  <c r="T1349" i="11"/>
  <c r="E1519" i="12"/>
  <c r="T1526" i="11"/>
  <c r="E1630" i="12"/>
  <c r="T1637" i="11"/>
  <c r="E1726" i="12"/>
  <c r="T1733" i="11"/>
  <c r="E1821" i="12"/>
  <c r="T1829" i="11"/>
  <c r="E84" i="12"/>
  <c r="T88" i="11"/>
  <c r="E732" i="12"/>
  <c r="T738" i="11"/>
  <c r="E1259" i="12"/>
  <c r="T1266" i="11"/>
  <c r="E1443" i="12"/>
  <c r="T1450" i="11"/>
  <c r="E1589" i="12"/>
  <c r="T1596" i="11"/>
  <c r="E1669" i="12"/>
  <c r="T1676" i="11"/>
  <c r="E1781" i="12"/>
  <c r="T1788" i="11"/>
  <c r="E1876" i="12"/>
  <c r="T1884" i="11"/>
  <c r="E652" i="12"/>
  <c r="T658" i="11"/>
  <c r="E907" i="12"/>
  <c r="T914" i="11"/>
  <c r="E1371" i="12"/>
  <c r="T1378" i="11"/>
  <c r="E1499" i="12"/>
  <c r="T1506" i="11"/>
  <c r="E1603" i="12"/>
  <c r="T1610" i="11"/>
  <c r="E1699" i="12"/>
  <c r="T1706" i="11"/>
  <c r="E1795" i="12"/>
  <c r="T1802" i="11"/>
  <c r="E1906" i="12"/>
  <c r="T1914" i="11"/>
  <c r="E886" i="12"/>
  <c r="T892" i="11"/>
  <c r="E1408" i="12"/>
  <c r="T1415" i="11"/>
  <c r="E1668" i="12"/>
  <c r="T1675" i="11"/>
  <c r="E1827" i="12"/>
  <c r="T1835" i="11"/>
  <c r="E2000" i="12"/>
  <c r="T2008" i="11"/>
  <c r="E2096" i="12"/>
  <c r="T2104" i="11"/>
  <c r="E2192" i="12"/>
  <c r="T2200" i="11"/>
  <c r="E2288" i="12"/>
  <c r="T2296" i="11"/>
  <c r="E2400" i="12"/>
  <c r="T2408" i="11"/>
  <c r="E2496" i="12"/>
  <c r="T2504" i="11"/>
  <c r="E2592" i="12"/>
  <c r="T2600" i="11"/>
  <c r="E2688" i="12"/>
  <c r="T2696" i="11"/>
  <c r="E2800" i="12"/>
  <c r="T2808" i="11"/>
  <c r="E2896" i="12"/>
  <c r="T2904" i="11"/>
  <c r="E2992" i="12"/>
  <c r="T3000" i="11"/>
  <c r="E3104" i="12"/>
  <c r="T3112" i="11"/>
  <c r="E3200" i="12"/>
  <c r="T3208" i="11"/>
  <c r="E3280" i="12"/>
  <c r="T3288" i="11"/>
  <c r="E572" i="12"/>
  <c r="T577" i="11"/>
  <c r="E1995" i="12"/>
  <c r="T2003" i="11"/>
  <c r="E2075" i="12"/>
  <c r="T2083" i="11"/>
  <c r="E2171" i="12"/>
  <c r="T2179" i="11"/>
  <c r="E2283" i="12"/>
  <c r="T2291" i="11"/>
  <c r="E2379" i="12"/>
  <c r="T2387" i="11"/>
  <c r="E2475" i="12"/>
  <c r="T2483" i="11"/>
  <c r="E487" i="12"/>
  <c r="T492" i="11"/>
  <c r="E1941" i="12"/>
  <c r="T1949" i="11"/>
  <c r="E2037" i="12"/>
  <c r="T2045" i="11"/>
  <c r="E2133" i="12"/>
  <c r="T2141" i="11"/>
  <c r="E2245" i="12"/>
  <c r="T2253" i="11"/>
  <c r="E2357" i="12"/>
  <c r="T2365" i="11"/>
  <c r="E2437" i="12"/>
  <c r="T2445" i="11"/>
  <c r="E2533" i="12"/>
  <c r="T2541" i="11"/>
  <c r="E2645" i="12"/>
  <c r="T2653" i="11"/>
  <c r="E2741" i="12"/>
  <c r="T2749" i="11"/>
  <c r="E2821" i="12"/>
  <c r="T2829" i="11"/>
  <c r="E2933" i="12"/>
  <c r="T2941" i="11"/>
  <c r="E3045" i="12"/>
  <c r="T3053" i="11"/>
  <c r="E3141" i="12"/>
  <c r="T3149" i="11"/>
  <c r="E1194" i="12"/>
  <c r="T1201" i="11"/>
  <c r="E2651" i="12"/>
  <c r="T2659" i="11"/>
  <c r="E2763" i="12"/>
  <c r="T2771" i="11"/>
  <c r="E2875" i="12"/>
  <c r="T2883" i="11"/>
  <c r="E2955" i="12"/>
  <c r="T2963" i="11"/>
  <c r="E3067" i="12"/>
  <c r="T3075" i="11"/>
  <c r="E3179" i="12"/>
  <c r="T3187" i="11"/>
  <c r="E3418" i="12"/>
  <c r="T3426" i="11"/>
  <c r="E3514" i="12"/>
  <c r="T3522" i="11"/>
  <c r="E3626" i="12"/>
  <c r="T3634" i="11"/>
  <c r="E1406" i="12"/>
  <c r="T1413" i="11"/>
  <c r="E1792" i="12"/>
  <c r="T1799" i="11"/>
  <c r="E2022" i="12"/>
  <c r="T2030" i="11"/>
  <c r="E2214" i="12"/>
  <c r="T2222" i="11"/>
  <c r="E2374" i="12"/>
  <c r="T2382" i="11"/>
  <c r="E2502" i="12"/>
  <c r="T2510" i="11"/>
  <c r="E3222" i="12"/>
  <c r="T3230" i="11"/>
  <c r="E3265" i="12"/>
  <c r="T3273" i="11"/>
  <c r="E3307" i="12"/>
  <c r="T3315" i="11"/>
  <c r="E3365" i="12"/>
  <c r="T3373" i="11"/>
  <c r="E3429" i="12"/>
  <c r="T3437" i="11"/>
  <c r="E3493" i="12"/>
  <c r="T3501" i="11"/>
  <c r="E1253" i="12"/>
  <c r="T1260" i="11"/>
  <c r="E1688" i="12"/>
  <c r="T1695" i="11"/>
  <c r="E1930" i="12"/>
  <c r="T1938" i="11"/>
  <c r="E2058" i="12"/>
  <c r="T2066" i="11"/>
  <c r="E2186" i="12"/>
  <c r="T2194" i="11"/>
  <c r="E2314" i="12"/>
  <c r="T2322" i="11"/>
  <c r="E2442" i="12"/>
  <c r="T2450" i="11"/>
  <c r="E2554" i="12"/>
  <c r="T2562" i="11"/>
  <c r="E2618" i="12"/>
  <c r="T2626" i="11"/>
  <c r="E2682" i="12"/>
  <c r="T2690" i="11"/>
  <c r="E2746" i="12"/>
  <c r="T2754" i="11"/>
  <c r="E2826" i="12"/>
  <c r="T2834" i="11"/>
  <c r="E2922" i="12"/>
  <c r="T2930" i="11"/>
  <c r="E3018" i="12"/>
  <c r="T3026" i="11"/>
  <c r="E3114" i="12"/>
  <c r="T3122" i="11"/>
  <c r="E3215" i="12"/>
  <c r="T3223" i="11"/>
  <c r="E3269" i="12"/>
  <c r="T3277" i="11"/>
  <c r="E3333" i="12"/>
  <c r="T3341" i="11"/>
  <c r="E3423" i="12"/>
  <c r="T3431" i="11"/>
  <c r="E3531" i="12"/>
  <c r="T3539" i="11"/>
  <c r="E3595" i="12"/>
  <c r="T3603" i="11"/>
  <c r="E3670" i="12"/>
  <c r="T3678" i="11"/>
  <c r="E3781" i="12"/>
  <c r="T3790" i="11"/>
  <c r="E3861" i="12"/>
  <c r="T3870" i="11"/>
  <c r="E3973" i="12"/>
  <c r="T3982" i="11"/>
  <c r="E4069" i="12"/>
  <c r="T4078" i="11"/>
  <c r="E4165" i="12"/>
  <c r="T4174" i="11"/>
  <c r="E4244" i="12"/>
  <c r="T4254" i="11"/>
  <c r="E4372" i="12"/>
  <c r="T4382" i="11"/>
  <c r="E4468" i="12"/>
  <c r="T4478" i="11"/>
  <c r="E4548" i="12"/>
  <c r="T4558" i="11"/>
  <c r="E4660" i="12"/>
  <c r="T4670" i="11"/>
  <c r="E3396" i="12"/>
  <c r="T3404" i="11"/>
  <c r="E3492" i="12"/>
  <c r="T3500" i="11"/>
  <c r="E3733" i="12"/>
  <c r="T3741" i="11"/>
  <c r="E3844" i="12"/>
  <c r="T3853" i="11"/>
  <c r="E3940" i="12"/>
  <c r="T3949" i="11"/>
  <c r="E4004" i="12"/>
  <c r="T4013" i="11"/>
  <c r="E4116" i="12"/>
  <c r="T4125" i="11"/>
  <c r="E4227" i="12"/>
  <c r="T4237" i="11"/>
  <c r="E4323" i="12"/>
  <c r="T4333" i="11"/>
  <c r="E4419" i="12"/>
  <c r="T4429" i="11"/>
  <c r="E4531" i="12"/>
  <c r="T4541" i="11"/>
  <c r="E4611" i="12"/>
  <c r="T4621" i="11"/>
  <c r="E532" i="12"/>
  <c r="T537" i="11"/>
  <c r="E3758" i="12"/>
  <c r="T3767" i="11"/>
  <c r="E3854" i="12"/>
  <c r="T3863" i="11"/>
  <c r="E3950" i="12"/>
  <c r="T3959" i="11"/>
  <c r="E4062" i="12"/>
  <c r="T4071" i="11"/>
  <c r="E4158" i="12"/>
  <c r="T4167" i="11"/>
  <c r="E4253" i="12"/>
  <c r="T4263" i="11"/>
  <c r="E4349" i="12"/>
  <c r="T4359" i="11"/>
  <c r="E4477" i="12"/>
  <c r="T4487" i="11"/>
  <c r="E4573" i="12"/>
  <c r="T4583" i="11"/>
  <c r="E4669" i="12"/>
  <c r="T4679" i="11"/>
  <c r="E3623" i="12"/>
  <c r="T3631" i="11"/>
  <c r="E3827" i="12"/>
  <c r="T3836" i="11"/>
  <c r="E3987" i="12"/>
  <c r="T3996" i="11"/>
  <c r="E4242" i="12"/>
  <c r="T4252" i="11"/>
  <c r="E4434" i="12"/>
  <c r="T4444" i="11"/>
  <c r="E4626" i="12"/>
  <c r="T4636" i="11"/>
  <c r="E5047" i="12"/>
  <c r="T5058" i="11"/>
  <c r="E4758" i="12"/>
  <c r="T4768" i="11"/>
  <c r="E4814" i="12"/>
  <c r="T4824" i="11"/>
  <c r="E4854" i="12"/>
  <c r="T4864" i="11"/>
  <c r="E4909" i="12"/>
  <c r="T4920" i="11"/>
  <c r="E4965" i="12"/>
  <c r="T4976" i="11"/>
  <c r="E5038" i="12"/>
  <c r="T5049" i="11"/>
  <c r="E4743" i="12"/>
  <c r="T4753" i="11"/>
  <c r="E4807" i="12"/>
  <c r="T4817" i="11"/>
  <c r="E4855" i="12"/>
  <c r="T4865" i="11"/>
  <c r="E4902" i="12"/>
  <c r="T4913" i="11"/>
  <c r="E4966" i="12"/>
  <c r="T4977" i="11"/>
  <c r="E5056" i="12"/>
  <c r="T5067" i="11"/>
  <c r="E3879" i="12"/>
  <c r="T3888" i="11"/>
  <c r="E4262" i="12"/>
  <c r="T4272" i="11"/>
  <c r="E4646" i="12"/>
  <c r="T4656" i="11"/>
  <c r="E3728" i="12"/>
  <c r="T3736" i="11"/>
  <c r="E4047" i="12"/>
  <c r="T4056" i="11"/>
  <c r="E4494" i="12"/>
  <c r="T4504" i="11"/>
  <c r="E6533" i="12"/>
  <c r="T6545" i="11"/>
  <c r="E6613" i="12"/>
  <c r="T6625" i="11"/>
  <c r="E6741" i="12"/>
  <c r="T6753" i="11"/>
  <c r="E6853" i="12"/>
  <c r="T6865" i="11"/>
  <c r="E6949" i="12"/>
  <c r="T6961" i="11"/>
  <c r="E7029" i="12"/>
  <c r="T7041" i="11"/>
  <c r="E7141" i="12"/>
  <c r="T7153" i="11"/>
  <c r="E7253" i="12"/>
  <c r="T7265" i="11"/>
  <c r="E7333" i="12"/>
  <c r="T7345" i="11"/>
  <c r="E7429" i="12"/>
  <c r="T7441" i="11"/>
  <c r="E7525" i="12"/>
  <c r="T7537" i="11"/>
  <c r="E5108" i="12"/>
  <c r="T5119" i="11"/>
  <c r="E5156" i="12"/>
  <c r="T5167" i="11"/>
  <c r="E5204" i="12"/>
  <c r="T5215" i="11"/>
  <c r="E5260" i="12"/>
  <c r="T5271" i="11"/>
  <c r="E5316" i="12"/>
  <c r="T5327" i="11"/>
  <c r="E5356" i="12"/>
  <c r="T5367" i="11"/>
  <c r="E5404" i="12"/>
  <c r="T5415" i="11"/>
  <c r="E5460" i="12"/>
  <c r="T5471" i="11"/>
  <c r="E5508" i="12"/>
  <c r="T5519" i="11"/>
  <c r="E5548" i="12"/>
  <c r="T5559" i="11"/>
  <c r="E5604" i="12"/>
  <c r="T5615" i="11"/>
  <c r="E5651" i="12"/>
  <c r="T5663" i="11"/>
  <c r="E5707" i="12"/>
  <c r="T5719" i="11"/>
  <c r="E5747" i="12"/>
  <c r="T5759" i="11"/>
  <c r="E5803" i="12"/>
  <c r="T5815" i="11"/>
  <c r="E5851" i="12"/>
  <c r="T5863" i="11"/>
  <c r="E5907" i="12"/>
  <c r="T5919" i="11"/>
  <c r="E5979" i="12"/>
  <c r="T5991" i="11"/>
  <c r="E6035" i="12"/>
  <c r="T6047" i="11"/>
  <c r="E6083" i="12"/>
  <c r="T6095" i="11"/>
  <c r="E6131" i="12"/>
  <c r="T6143" i="11"/>
  <c r="E6187" i="12"/>
  <c r="T6199" i="11"/>
  <c r="E6243" i="12"/>
  <c r="T6255" i="11"/>
  <c r="E6291" i="12"/>
  <c r="T6303" i="11"/>
  <c r="E6339" i="12"/>
  <c r="T6351" i="11"/>
  <c r="E6395" i="12"/>
  <c r="T6407" i="11"/>
  <c r="E6443" i="12"/>
  <c r="T6455" i="11"/>
  <c r="E6499" i="12"/>
  <c r="T6511" i="11"/>
  <c r="E6580" i="12"/>
  <c r="T6592" i="11"/>
  <c r="E6676" i="12"/>
  <c r="T6688" i="11"/>
  <c r="E6772" i="12"/>
  <c r="T6784" i="11"/>
  <c r="E6868" i="12"/>
  <c r="T6880" i="11"/>
  <c r="E6980" i="12"/>
  <c r="T6992" i="11"/>
  <c r="E7092" i="12"/>
  <c r="T7104" i="11"/>
  <c r="E7172" i="12"/>
  <c r="T7184" i="11"/>
  <c r="E7284" i="12"/>
  <c r="T7296" i="11"/>
  <c r="E7396" i="12"/>
  <c r="T7408" i="11"/>
  <c r="E7492" i="12"/>
  <c r="T7504" i="11"/>
  <c r="E4973" i="12"/>
  <c r="T4984" i="11"/>
  <c r="E5103" i="12"/>
  <c r="T5114" i="11"/>
  <c r="E5159" i="12"/>
  <c r="T5170" i="11"/>
  <c r="E5207" i="12"/>
  <c r="T5218" i="11"/>
  <c r="E5255" i="12"/>
  <c r="T5266" i="11"/>
  <c r="E5311" i="12"/>
  <c r="T5322" i="11"/>
  <c r="E5367" i="12"/>
  <c r="T5378" i="11"/>
  <c r="E5407" i="12"/>
  <c r="T5418" i="11"/>
  <c r="E5463" i="12"/>
  <c r="T5474" i="11"/>
  <c r="E5519" i="12"/>
  <c r="T5530" i="11"/>
  <c r="E5567" i="12"/>
  <c r="T5578" i="11"/>
  <c r="E5615" i="12"/>
  <c r="T5626" i="11"/>
  <c r="E5670" i="12"/>
  <c r="T5682" i="11"/>
  <c r="E5726" i="12"/>
  <c r="T5738" i="11"/>
  <c r="E5774" i="12"/>
  <c r="T5786" i="11"/>
  <c r="E5822" i="12"/>
  <c r="T5834" i="11"/>
  <c r="E5886" i="12"/>
  <c r="T5898" i="11"/>
  <c r="E5934" i="12"/>
  <c r="T5946" i="11"/>
  <c r="E5982" i="12"/>
  <c r="T5994" i="11"/>
  <c r="E6038" i="12"/>
  <c r="T6050" i="11"/>
  <c r="E6086" i="12"/>
  <c r="T6098" i="11"/>
  <c r="E6142" i="12"/>
  <c r="T6154" i="11"/>
  <c r="E6182" i="12"/>
  <c r="T6194" i="11"/>
  <c r="E6238" i="12"/>
  <c r="T6250" i="11"/>
  <c r="E6294" i="12"/>
  <c r="T6306" i="11"/>
  <c r="E6342" i="12"/>
  <c r="T6354" i="11"/>
  <c r="E6390" i="12"/>
  <c r="T6402" i="11"/>
  <c r="E6446" i="12"/>
  <c r="T6458" i="11"/>
  <c r="E6502" i="12"/>
  <c r="T6514" i="11"/>
  <c r="E6570" i="12"/>
  <c r="T6582" i="11"/>
  <c r="E6650" i="12"/>
  <c r="T6662" i="11"/>
  <c r="E6778" i="12"/>
  <c r="T6790" i="11"/>
  <c r="E6890" i="12"/>
  <c r="T6902" i="11"/>
  <c r="E6986" i="12"/>
  <c r="T6998" i="11"/>
  <c r="E7082" i="12"/>
  <c r="T7094" i="11"/>
  <c r="E7194" i="12"/>
  <c r="T7206" i="11"/>
  <c r="E7290" i="12"/>
  <c r="T7302" i="11"/>
  <c r="E7370" i="12"/>
  <c r="T7382" i="11"/>
  <c r="E7482" i="12"/>
  <c r="T7494" i="11"/>
  <c r="E7726" i="12"/>
  <c r="T7738" i="11"/>
  <c r="E7774" i="12"/>
  <c r="T7786" i="11"/>
  <c r="E7806" i="12"/>
  <c r="T7818" i="11"/>
  <c r="E7846" i="12"/>
  <c r="T7858" i="11"/>
  <c r="E7886" i="12"/>
  <c r="T7898" i="11"/>
  <c r="E7926" i="12"/>
  <c r="T7938" i="11"/>
  <c r="E7958" i="12"/>
  <c r="T7970" i="11"/>
  <c r="E7990" i="12"/>
  <c r="T8002" i="11"/>
  <c r="E8022" i="12"/>
  <c r="T8034" i="11"/>
  <c r="E8054" i="12"/>
  <c r="T8066" i="11"/>
  <c r="E8086" i="12"/>
  <c r="T8098" i="11"/>
  <c r="E8118" i="12"/>
  <c r="T8130" i="11"/>
  <c r="E8150" i="12"/>
  <c r="T8162" i="11"/>
  <c r="E8190" i="12"/>
  <c r="T8202" i="11"/>
  <c r="E8222" i="12"/>
  <c r="T8234" i="11"/>
  <c r="E8254" i="12"/>
  <c r="T8266" i="11"/>
  <c r="E8286" i="12"/>
  <c r="T8298" i="11"/>
  <c r="E8318" i="12"/>
  <c r="T8330" i="11"/>
  <c r="E8350" i="12"/>
  <c r="T8362" i="11"/>
  <c r="E8382" i="12"/>
  <c r="T8394" i="11"/>
  <c r="E6587" i="12"/>
  <c r="T6599" i="11"/>
  <c r="E6715" i="12"/>
  <c r="T6727" i="11"/>
  <c r="E6843" i="12"/>
  <c r="T6855" i="11"/>
  <c r="E6971" i="12"/>
  <c r="T6983" i="11"/>
  <c r="E7099" i="12"/>
  <c r="T7111" i="11"/>
  <c r="E7227" i="12"/>
  <c r="T7239" i="11"/>
  <c r="E7355" i="12"/>
  <c r="T7367" i="11"/>
  <c r="E7483" i="12"/>
  <c r="T7495" i="11"/>
  <c r="E6575" i="12"/>
  <c r="T6587" i="11"/>
  <c r="E6703" i="12"/>
  <c r="T6715" i="11"/>
  <c r="E6831" i="12"/>
  <c r="T6843" i="11"/>
  <c r="E6959" i="12"/>
  <c r="T6971" i="11"/>
  <c r="E7087" i="12"/>
  <c r="T7099" i="11"/>
  <c r="E7215" i="12"/>
  <c r="T7227" i="11"/>
  <c r="E7343" i="12"/>
  <c r="T7355" i="11"/>
  <c r="E7471" i="12"/>
  <c r="T7483" i="11"/>
  <c r="E7727" i="12"/>
  <c r="T7739" i="11"/>
  <c r="E7791" i="12"/>
  <c r="T7803" i="11"/>
  <c r="E7855" i="12"/>
  <c r="T7867" i="11"/>
  <c r="E7919" i="12"/>
  <c r="T7931" i="11"/>
  <c r="E7983" i="12"/>
  <c r="T7995" i="11"/>
  <c r="E8047" i="12"/>
  <c r="T8059" i="11"/>
  <c r="E8111" i="12"/>
  <c r="T8123" i="11"/>
  <c r="E8175" i="12"/>
  <c r="T8187" i="11"/>
  <c r="E8239" i="12"/>
  <c r="T8251" i="11"/>
  <c r="E8303" i="12"/>
  <c r="T8315" i="11"/>
  <c r="E8367" i="12"/>
  <c r="T8379" i="11"/>
  <c r="E7749" i="12"/>
  <c r="T7761" i="11"/>
  <c r="E7813" i="12"/>
  <c r="T7825" i="11"/>
  <c r="E8033" i="12"/>
  <c r="T8045" i="11"/>
  <c r="E8161" i="12"/>
  <c r="T8173" i="11"/>
  <c r="E8289" i="12"/>
  <c r="T8301" i="11"/>
  <c r="E7825" i="12"/>
  <c r="T7837" i="11"/>
  <c r="E7889" i="12"/>
  <c r="T7901" i="11"/>
  <c r="E7985" i="12"/>
  <c r="T7997" i="11"/>
  <c r="E8109" i="12"/>
  <c r="T8121" i="11"/>
  <c r="E8237" i="12"/>
  <c r="T8249" i="11"/>
  <c r="E28" i="12"/>
  <c r="T32" i="11"/>
  <c r="E37" i="12"/>
  <c r="T41" i="11"/>
  <c r="E245" i="12"/>
  <c r="T249" i="11"/>
  <c r="E519" i="12"/>
  <c r="T524" i="11"/>
  <c r="E883" i="12"/>
  <c r="T889" i="11"/>
  <c r="E356" i="12"/>
  <c r="T361" i="11"/>
  <c r="E188" i="12"/>
  <c r="T192" i="11"/>
  <c r="E547" i="12"/>
  <c r="T552" i="11"/>
  <c r="E905" i="12"/>
  <c r="T912" i="11"/>
  <c r="E1161" i="12"/>
  <c r="T1168" i="11"/>
  <c r="E113" i="12"/>
  <c r="T117" i="11"/>
  <c r="E642" i="12"/>
  <c r="T648" i="11"/>
  <c r="E1002" i="12"/>
  <c r="T1009" i="11"/>
  <c r="E1243" i="12"/>
  <c r="T1250" i="11"/>
  <c r="E1439" i="12"/>
  <c r="T1446" i="11"/>
  <c r="E1567" i="12"/>
  <c r="T1574" i="11"/>
  <c r="E1650" i="12"/>
  <c r="T1657" i="11"/>
  <c r="E1746" i="12"/>
  <c r="T1753" i="11"/>
  <c r="E1873" i="12"/>
  <c r="T1881" i="11"/>
  <c r="E475" i="12"/>
  <c r="T480" i="11"/>
  <c r="E923" i="12"/>
  <c r="T930" i="11"/>
  <c r="E1366" i="12"/>
  <c r="T1373" i="11"/>
  <c r="E1514" i="12"/>
  <c r="T1521" i="11"/>
  <c r="E1609" i="12"/>
  <c r="T1616" i="11"/>
  <c r="E1721" i="12"/>
  <c r="T1728" i="11"/>
  <c r="E1832" i="12"/>
  <c r="T1840" i="11"/>
  <c r="E421" i="12"/>
  <c r="T426" i="11"/>
  <c r="E747" i="12"/>
  <c r="T753" i="11"/>
  <c r="E1251" i="12"/>
  <c r="T1258" i="11"/>
  <c r="E1442" i="12"/>
  <c r="T1449" i="11"/>
  <c r="E1570" i="12"/>
  <c r="T1577" i="11"/>
  <c r="E1671" i="12"/>
  <c r="T1678" i="11"/>
  <c r="E1783" i="12"/>
  <c r="T1790" i="11"/>
  <c r="E1878" i="12"/>
  <c r="T1886" i="11"/>
  <c r="E808" i="12"/>
  <c r="T814" i="11"/>
  <c r="E1320" i="12"/>
  <c r="T1327" i="11"/>
  <c r="E1582" i="12"/>
  <c r="T1589" i="11"/>
  <c r="E1772" i="12"/>
  <c r="T1779" i="11"/>
  <c r="E1972" i="12"/>
  <c r="T1980" i="11"/>
  <c r="E2084" i="12"/>
  <c r="T2092" i="11"/>
  <c r="E2180" i="12"/>
  <c r="T2188" i="11"/>
  <c r="E2292" i="12"/>
  <c r="T2300" i="11"/>
  <c r="E2388" i="12"/>
  <c r="T2396" i="11"/>
  <c r="E2500" i="12"/>
  <c r="T2508" i="11"/>
  <c r="E2612" i="12"/>
  <c r="T2620" i="11"/>
  <c r="E2708" i="12"/>
  <c r="T2716" i="11"/>
  <c r="E2820" i="12"/>
  <c r="T2828" i="11"/>
  <c r="E2916" i="12"/>
  <c r="T2924" i="11"/>
  <c r="E3012" i="12"/>
  <c r="T3020" i="11"/>
  <c r="E3124" i="12"/>
  <c r="T3132" i="11"/>
  <c r="E3220" i="12"/>
  <c r="T3228" i="11"/>
  <c r="E3300" i="12"/>
  <c r="T3308" i="11"/>
  <c r="E822" i="12"/>
  <c r="T828" i="11"/>
  <c r="E1999" i="12"/>
  <c r="T2007" i="11"/>
  <c r="E2095" i="12"/>
  <c r="T2103" i="11"/>
  <c r="E2159" i="12"/>
  <c r="T2167" i="11"/>
  <c r="E2255" i="12"/>
  <c r="T2263" i="11"/>
  <c r="E2367" i="12"/>
  <c r="T2375" i="11"/>
  <c r="E2463" i="12"/>
  <c r="T2471" i="11"/>
  <c r="E241" i="12"/>
  <c r="T245" i="11"/>
  <c r="E1924" i="12"/>
  <c r="T1932" i="11"/>
  <c r="E2025" i="12"/>
  <c r="T2033" i="11"/>
  <c r="E2121" i="12"/>
  <c r="T2129" i="11"/>
  <c r="E2201" i="12"/>
  <c r="T2209" i="11"/>
  <c r="E2313" i="12"/>
  <c r="T2321" i="11"/>
  <c r="E2425" i="12"/>
  <c r="T2433" i="11"/>
  <c r="E2521" i="12"/>
  <c r="T2529" i="11"/>
  <c r="E2633" i="12"/>
  <c r="T2641" i="11"/>
  <c r="E2729" i="12"/>
  <c r="T2737" i="11"/>
  <c r="E2825" i="12"/>
  <c r="T2833" i="11"/>
  <c r="E2905" i="12"/>
  <c r="T2913" i="11"/>
  <c r="E3033" i="12"/>
  <c r="T3041" i="11"/>
  <c r="E3129" i="12"/>
  <c r="T3137" i="11"/>
  <c r="E1274" i="12"/>
  <c r="T1281" i="11"/>
  <c r="E2607" i="12"/>
  <c r="T2615" i="11"/>
  <c r="E2735" i="12"/>
  <c r="T2743" i="11"/>
  <c r="E2847" i="12"/>
  <c r="T2855" i="11"/>
  <c r="E2927" i="12"/>
  <c r="T2935" i="11"/>
  <c r="E3039" i="12"/>
  <c r="T3047" i="11"/>
  <c r="E3151" i="12"/>
  <c r="T3159" i="11"/>
  <c r="E3406" i="12"/>
  <c r="T3414" i="11"/>
  <c r="E3502" i="12"/>
  <c r="T3510" i="11"/>
  <c r="E3614" i="12"/>
  <c r="T3622" i="11"/>
  <c r="E1343" i="12"/>
  <c r="T1350" i="11"/>
  <c r="E1680" i="12"/>
  <c r="T1687" i="11"/>
  <c r="E2030" i="12"/>
  <c r="T2038" i="11"/>
  <c r="E2222" i="12"/>
  <c r="T2230" i="11"/>
  <c r="E2414" i="12"/>
  <c r="T2422" i="11"/>
  <c r="E3214" i="12"/>
  <c r="T3222" i="11"/>
  <c r="E3278" i="12"/>
  <c r="T3286" i="11"/>
  <c r="E3342" i="12"/>
  <c r="T3350" i="11"/>
  <c r="E3433" i="12"/>
  <c r="T3441" i="11"/>
  <c r="E1079" i="12"/>
  <c r="T1086" i="11"/>
  <c r="E1768" i="12"/>
  <c r="T1775" i="11"/>
  <c r="E2002" i="12"/>
  <c r="T2010" i="11"/>
  <c r="E2226" i="12"/>
  <c r="T2234" i="11"/>
  <c r="E2418" i="12"/>
  <c r="T2426" i="11"/>
  <c r="E2574" i="12"/>
  <c r="T2582" i="11"/>
  <c r="E2670" i="12"/>
  <c r="T2678" i="11"/>
  <c r="E2798" i="12"/>
  <c r="T2806" i="11"/>
  <c r="E2878" i="12"/>
  <c r="T2886" i="11"/>
  <c r="E2974" i="12"/>
  <c r="T2982" i="11"/>
  <c r="E3086" i="12"/>
  <c r="T3094" i="11"/>
  <c r="E3197" i="12"/>
  <c r="T3205" i="11"/>
  <c r="E3250" i="12"/>
  <c r="T3258" i="11"/>
  <c r="E3325" i="12"/>
  <c r="T3333" i="11"/>
  <c r="E3395" i="12"/>
  <c r="T3403" i="11"/>
  <c r="E3491" i="12"/>
  <c r="T3499" i="11"/>
  <c r="E3565" i="12"/>
  <c r="T3573" i="11"/>
  <c r="E3629" i="12"/>
  <c r="T3637" i="11"/>
  <c r="E3722" i="12"/>
  <c r="T3730" i="11"/>
  <c r="E3817" i="12"/>
  <c r="T3826" i="11"/>
  <c r="E3897" i="12"/>
  <c r="T3906" i="11"/>
  <c r="E4025" i="12"/>
  <c r="T4034" i="11"/>
  <c r="E4105" i="12"/>
  <c r="T4114" i="11"/>
  <c r="E4184" i="12"/>
  <c r="T4194" i="11"/>
  <c r="E4280" i="12"/>
  <c r="T4290" i="11"/>
  <c r="E4392" i="12"/>
  <c r="T4402" i="11"/>
  <c r="E4488" i="12"/>
  <c r="T4498" i="11"/>
  <c r="E4568" i="12"/>
  <c r="T4578" i="11"/>
  <c r="E4680" i="12"/>
  <c r="T4690" i="11"/>
  <c r="E3416" i="12"/>
  <c r="T3424" i="11"/>
  <c r="E3512" i="12"/>
  <c r="T3520" i="11"/>
  <c r="E3752" i="12"/>
  <c r="T3761" i="11"/>
  <c r="E3880" i="12"/>
  <c r="T3889" i="11"/>
  <c r="E3976" i="12"/>
  <c r="T3985" i="11"/>
  <c r="E4056" i="12"/>
  <c r="T4065" i="11"/>
  <c r="E4167" i="12"/>
  <c r="T4177" i="11"/>
  <c r="E4279" i="12"/>
  <c r="T4289" i="11"/>
  <c r="E4375" i="12"/>
  <c r="T4385" i="11"/>
  <c r="E4455" i="12"/>
  <c r="T4465" i="11"/>
  <c r="E4567" i="12"/>
  <c r="T4577" i="11"/>
  <c r="E4663" i="12"/>
  <c r="T4673" i="11"/>
  <c r="E3699" i="12"/>
  <c r="T3707" i="11"/>
  <c r="E3794" i="12"/>
  <c r="T3803" i="11"/>
  <c r="E3890" i="12"/>
  <c r="T3899" i="11"/>
  <c r="E4002" i="12"/>
  <c r="T4011" i="11"/>
  <c r="E4082" i="12"/>
  <c r="T4091" i="11"/>
  <c r="E4177" i="12"/>
  <c r="T4187" i="11"/>
  <c r="E4305" i="12"/>
  <c r="T4315" i="11"/>
  <c r="E4401" i="12"/>
  <c r="T4411" i="11"/>
  <c r="E4497" i="12"/>
  <c r="T4507" i="11"/>
  <c r="E4609" i="12"/>
  <c r="T4619" i="11"/>
  <c r="E3524" i="12"/>
  <c r="T3532" i="11"/>
  <c r="E3633" i="12"/>
  <c r="T3641" i="11"/>
  <c r="E3771" i="12"/>
  <c r="T3780" i="11"/>
  <c r="E4027" i="12"/>
  <c r="T4036" i="11"/>
  <c r="E4218" i="12"/>
  <c r="T4228" i="11"/>
  <c r="E4442" i="12"/>
  <c r="T4452" i="11"/>
  <c r="E4666" i="12"/>
  <c r="T4676" i="11"/>
  <c r="E5051" i="12"/>
  <c r="T5062" i="11"/>
  <c r="E4752" i="12"/>
  <c r="T4762" i="11"/>
  <c r="E4800" i="12"/>
  <c r="T4810" i="11"/>
  <c r="E4856" i="12"/>
  <c r="T4866" i="11"/>
  <c r="E4903" i="12"/>
  <c r="T4914" i="11"/>
  <c r="E4943" i="12"/>
  <c r="T4954" i="11"/>
  <c r="E5026" i="12"/>
  <c r="T5037" i="11"/>
  <c r="E4753" i="12"/>
  <c r="T4763" i="11"/>
  <c r="E4793" i="12"/>
  <c r="T4803" i="11"/>
  <c r="E4849" i="12"/>
  <c r="T4859" i="11"/>
  <c r="E4912" i="12"/>
  <c r="T4923" i="11"/>
  <c r="E4960" i="12"/>
  <c r="T4971" i="11"/>
  <c r="E5028" i="12"/>
  <c r="T5039" i="11"/>
  <c r="E3767" i="12"/>
  <c r="T3776" i="11"/>
  <c r="E4214" i="12"/>
  <c r="T4224" i="11"/>
  <c r="E4598" i="12"/>
  <c r="T4608" i="11"/>
  <c r="E3680" i="12"/>
  <c r="T3688" i="11"/>
  <c r="E4127" i="12"/>
  <c r="T4136" i="11"/>
  <c r="E4510" i="12"/>
  <c r="T4520" i="11"/>
  <c r="E5033" i="12"/>
  <c r="T5044" i="11"/>
  <c r="E6633" i="12"/>
  <c r="T6645" i="11"/>
  <c r="E6729" i="12"/>
  <c r="T6741" i="11"/>
  <c r="E6809" i="12"/>
  <c r="T6821" i="11"/>
  <c r="E6905" i="12"/>
  <c r="T6917" i="11"/>
  <c r="E7017" i="12"/>
  <c r="T7029" i="11"/>
  <c r="E7129" i="12"/>
  <c r="T7141" i="11"/>
  <c r="E7225" i="12"/>
  <c r="T7237" i="11"/>
  <c r="E7353" i="12"/>
  <c r="T7365" i="11"/>
  <c r="E7465" i="12"/>
  <c r="T7477" i="11"/>
  <c r="E7561" i="12"/>
  <c r="T7573" i="11"/>
  <c r="E5126" i="12"/>
  <c r="T5137" i="11"/>
  <c r="E5174" i="12"/>
  <c r="T5185" i="11"/>
  <c r="E5222" i="12"/>
  <c r="T5233" i="11"/>
  <c r="E5270" i="12"/>
  <c r="T5281" i="11"/>
  <c r="E5326" i="12"/>
  <c r="T5337" i="11"/>
  <c r="E5374" i="12"/>
  <c r="T5385" i="11"/>
  <c r="E5430" i="12"/>
  <c r="T5441" i="11"/>
  <c r="E5478" i="12"/>
  <c r="T5489" i="11"/>
  <c r="E5526" i="12"/>
  <c r="T5537" i="11"/>
  <c r="E5590" i="12"/>
  <c r="T5601" i="11"/>
  <c r="E5629" i="12"/>
  <c r="T5641" i="11"/>
  <c r="E5677" i="12"/>
  <c r="T5689" i="11"/>
  <c r="E5733" i="12"/>
  <c r="T5745" i="11"/>
  <c r="E5789" i="12"/>
  <c r="T5801" i="11"/>
  <c r="E5837" i="12"/>
  <c r="T5849" i="11"/>
  <c r="E5877" i="12"/>
  <c r="T5889" i="11"/>
  <c r="E5941" i="12"/>
  <c r="T5953" i="11"/>
  <c r="E5997" i="12"/>
  <c r="T6009" i="11"/>
  <c r="E6037" i="12"/>
  <c r="T6049" i="11"/>
  <c r="E6085" i="12"/>
  <c r="T6097" i="11"/>
  <c r="E6149" i="12"/>
  <c r="T6161" i="11"/>
  <c r="E6205" i="12"/>
  <c r="T6217" i="11"/>
  <c r="E6245" i="12"/>
  <c r="T6257" i="11"/>
  <c r="E6293" i="12"/>
  <c r="T6305" i="11"/>
  <c r="E6349" i="12"/>
  <c r="T6361" i="11"/>
  <c r="E6405" i="12"/>
  <c r="T6417" i="11"/>
  <c r="E6445" i="12"/>
  <c r="T6457" i="11"/>
  <c r="E6501" i="12"/>
  <c r="T6513" i="11"/>
  <c r="E6584" i="12"/>
  <c r="T6596" i="11"/>
  <c r="E6664" i="12"/>
  <c r="T6676" i="11"/>
  <c r="E6744" i="12"/>
  <c r="T6756" i="11"/>
  <c r="E6872" i="12"/>
  <c r="T6884" i="11"/>
  <c r="E6984" i="12"/>
  <c r="T6996" i="11"/>
  <c r="E7064" i="12"/>
  <c r="T7076" i="11"/>
  <c r="E7144" i="12"/>
  <c r="T7156" i="11"/>
  <c r="E7272" i="12"/>
  <c r="T7284" i="11"/>
  <c r="E7368" i="12"/>
  <c r="T7380" i="11"/>
  <c r="E7464" i="12"/>
  <c r="T7476" i="11"/>
  <c r="E7560" i="12"/>
  <c r="T7572" i="11"/>
  <c r="E5097" i="12"/>
  <c r="T5108" i="11"/>
  <c r="E5137" i="12"/>
  <c r="T5148" i="11"/>
  <c r="E5185" i="12"/>
  <c r="T5196" i="11"/>
  <c r="E5241" i="12"/>
  <c r="T5252" i="11"/>
  <c r="E5289" i="12"/>
  <c r="T5300" i="11"/>
  <c r="E5337" i="12"/>
  <c r="T5348" i="11"/>
  <c r="E5385" i="12"/>
  <c r="T5396" i="11"/>
  <c r="E5441" i="12"/>
  <c r="T5452" i="11"/>
  <c r="E5489" i="12"/>
  <c r="T5500" i="11"/>
  <c r="E5537" i="12"/>
  <c r="T5548" i="11"/>
  <c r="E5593" i="12"/>
  <c r="T5604" i="11"/>
  <c r="E5648" i="12"/>
  <c r="T5660" i="11"/>
  <c r="E5696" i="12"/>
  <c r="T5708" i="11"/>
  <c r="E5744" i="12"/>
  <c r="T5756" i="11"/>
  <c r="E5800" i="12"/>
  <c r="T5812" i="11"/>
  <c r="E5848" i="12"/>
  <c r="T5860" i="11"/>
  <c r="E5896" i="12"/>
  <c r="T5908" i="11"/>
  <c r="E5960" i="12"/>
  <c r="T5972" i="11"/>
  <c r="E6016" i="12"/>
  <c r="T6028" i="11"/>
  <c r="E6064" i="12"/>
  <c r="T6076" i="11"/>
  <c r="E6112" i="12"/>
  <c r="T6124" i="11"/>
  <c r="E6168" i="12"/>
  <c r="T6180" i="11"/>
  <c r="E6216" i="12"/>
  <c r="T6228" i="11"/>
  <c r="E6264" i="12"/>
  <c r="T6276" i="11"/>
  <c r="E6312" i="12"/>
  <c r="T6324" i="11"/>
  <c r="E6368" i="12"/>
  <c r="T6380" i="11"/>
  <c r="E6424" i="12"/>
  <c r="T6436" i="11"/>
  <c r="E6464" i="12"/>
  <c r="T6476" i="11"/>
  <c r="E6512" i="12"/>
  <c r="T6524" i="11"/>
  <c r="E6606" i="12"/>
  <c r="T6618" i="11"/>
  <c r="E6718" i="12"/>
  <c r="T6730" i="11"/>
  <c r="E6814" i="12"/>
  <c r="T6826" i="11"/>
  <c r="E6894" i="12"/>
  <c r="T6906" i="11"/>
  <c r="E7022" i="12"/>
  <c r="T7034" i="11"/>
  <c r="E7134" i="12"/>
  <c r="T7146" i="11"/>
  <c r="E7214" i="12"/>
  <c r="T7226" i="11"/>
  <c r="E7326" i="12"/>
  <c r="T7338" i="11"/>
  <c r="E7438" i="12"/>
  <c r="T7450" i="11"/>
  <c r="E7534" i="12"/>
  <c r="T7546" i="11"/>
  <c r="E7736" i="12"/>
  <c r="T7748" i="11"/>
  <c r="E7792" i="12"/>
  <c r="T7804" i="11"/>
  <c r="E7840" i="12"/>
  <c r="T7852" i="11"/>
  <c r="E7896" i="12"/>
  <c r="T7908" i="11"/>
  <c r="E7936" i="12"/>
  <c r="T7948" i="11"/>
  <c r="E7984" i="12"/>
  <c r="T7996" i="11"/>
  <c r="E8024" i="12"/>
  <c r="T8036" i="11"/>
  <c r="E8064" i="12"/>
  <c r="T8076" i="11"/>
  <c r="E8096" i="12"/>
  <c r="T8108" i="11"/>
  <c r="E8128" i="12"/>
  <c r="T8140" i="11"/>
  <c r="E8160" i="12"/>
  <c r="T8172" i="11"/>
  <c r="E8192" i="12"/>
  <c r="T8204" i="11"/>
  <c r="E8224" i="12"/>
  <c r="T8236" i="11"/>
  <c r="E8256" i="12"/>
  <c r="T8268" i="11"/>
  <c r="E8296" i="12"/>
  <c r="T8308" i="11"/>
  <c r="E8328" i="12"/>
  <c r="T8340" i="11"/>
  <c r="E8360" i="12"/>
  <c r="T8372" i="11"/>
  <c r="E8392" i="12"/>
  <c r="T8404" i="11"/>
  <c r="E6627" i="12"/>
  <c r="T6639" i="11"/>
  <c r="E6755" i="12"/>
  <c r="T6767" i="11"/>
  <c r="E6883" i="12"/>
  <c r="T6895" i="11"/>
  <c r="E7011" i="12"/>
  <c r="T7023" i="11"/>
  <c r="E7139" i="12"/>
  <c r="T7151" i="11"/>
  <c r="E7267" i="12"/>
  <c r="T7279" i="11"/>
  <c r="E7395" i="12"/>
  <c r="T7407" i="11"/>
  <c r="E7523" i="12"/>
  <c r="T7535" i="11"/>
  <c r="E6615" i="12"/>
  <c r="T6627" i="11"/>
  <c r="E6743" i="12"/>
  <c r="T6755" i="11"/>
  <c r="E6871" i="12"/>
  <c r="T6883" i="11"/>
  <c r="E6999" i="12"/>
  <c r="T7011" i="11"/>
  <c r="E7127" i="12"/>
  <c r="T7139" i="11"/>
  <c r="E7255" i="12"/>
  <c r="T7267" i="11"/>
  <c r="E7383" i="12"/>
  <c r="T7395" i="11"/>
  <c r="E7511" i="12"/>
  <c r="T7523" i="11"/>
  <c r="E7747" i="12"/>
  <c r="T7759" i="11"/>
  <c r="E7811" i="12"/>
  <c r="T7823" i="11"/>
  <c r="E7875" i="12"/>
  <c r="T7887" i="11"/>
  <c r="E7939" i="12"/>
  <c r="T7951" i="11"/>
  <c r="E8003" i="12"/>
  <c r="T8015" i="11"/>
  <c r="E8067" i="12"/>
  <c r="T8079" i="11"/>
  <c r="E8131" i="12"/>
  <c r="T8143" i="11"/>
  <c r="E8195" i="12"/>
  <c r="T8207" i="11"/>
  <c r="E8259" i="12"/>
  <c r="T8271" i="11"/>
  <c r="E8323" i="12"/>
  <c r="T8335" i="11"/>
  <c r="E8387" i="12"/>
  <c r="T8399" i="11"/>
  <c r="E7769" i="12"/>
  <c r="T7781" i="11"/>
  <c r="E7945" i="12"/>
  <c r="T7957" i="11"/>
  <c r="E8073" i="12"/>
  <c r="T8085" i="11"/>
  <c r="E8197" i="12"/>
  <c r="T8209" i="11"/>
  <c r="E8329" i="12"/>
  <c r="T8341" i="11"/>
  <c r="E7845" i="12"/>
  <c r="T7857" i="11"/>
  <c r="E7909" i="12"/>
  <c r="T7921" i="11"/>
  <c r="E8021" i="12"/>
  <c r="T8033" i="11"/>
  <c r="E8149" i="12"/>
  <c r="T8161" i="11"/>
  <c r="E8277" i="12"/>
  <c r="T8289" i="11"/>
  <c r="E52" i="12"/>
  <c r="T56" i="11"/>
  <c r="E270" i="12"/>
  <c r="T274" i="11"/>
  <c r="E136" i="12"/>
  <c r="T140" i="11"/>
  <c r="E292" i="12"/>
  <c r="T296" i="11"/>
  <c r="E500" i="12"/>
  <c r="T505" i="11"/>
  <c r="E698" i="12"/>
  <c r="T704" i="11"/>
  <c r="E901" i="12"/>
  <c r="T908" i="11"/>
  <c r="E252" i="12"/>
  <c r="T256" i="11"/>
  <c r="E484" i="12"/>
  <c r="T489" i="11"/>
  <c r="E236" i="12"/>
  <c r="T240" i="11"/>
  <c r="E471" i="12"/>
  <c r="T476" i="11"/>
  <c r="E674" i="12"/>
  <c r="T680" i="11"/>
  <c r="E891" i="12"/>
  <c r="T898" i="11"/>
  <c r="E1090" i="12"/>
  <c r="T1097" i="11"/>
  <c r="E1289" i="12"/>
  <c r="T1296" i="11"/>
  <c r="E69" i="12"/>
  <c r="T73" i="11"/>
  <c r="E345" i="12"/>
  <c r="T350" i="11"/>
  <c r="E770" i="12"/>
  <c r="T776" i="11"/>
  <c r="E1042" i="12"/>
  <c r="T1049" i="11"/>
  <c r="E1189" i="12"/>
  <c r="T1196" i="11"/>
  <c r="E1336" i="12"/>
  <c r="T1343" i="11"/>
  <c r="E1430" i="12"/>
  <c r="T1437" i="11"/>
  <c r="E1512" i="12"/>
  <c r="T1519" i="11"/>
  <c r="E1594" i="12"/>
  <c r="T1601" i="11"/>
  <c r="E1658" i="12"/>
  <c r="T1665" i="11"/>
  <c r="E1722" i="12"/>
  <c r="T1729" i="11"/>
  <c r="E1786" i="12"/>
  <c r="T1793" i="11"/>
  <c r="E1849" i="12"/>
  <c r="T1857" i="11"/>
  <c r="E1913" i="12"/>
  <c r="T1921" i="11"/>
  <c r="E485" i="12"/>
  <c r="T490" i="11"/>
  <c r="E868" i="12"/>
  <c r="T874" i="11"/>
  <c r="E1241" i="12"/>
  <c r="T1248" i="11"/>
  <c r="E1372" i="12"/>
  <c r="T1379" i="11"/>
  <c r="E1459" i="12"/>
  <c r="T1466" i="11"/>
  <c r="E1546" i="12"/>
  <c r="T1553" i="11"/>
  <c r="E1617" i="12"/>
  <c r="T1624" i="11"/>
  <c r="E1681" i="12"/>
  <c r="T1688" i="11"/>
  <c r="E1745" i="12"/>
  <c r="T1752" i="11"/>
  <c r="E1809" i="12"/>
  <c r="T1816" i="11"/>
  <c r="E1872" i="12"/>
  <c r="T1880" i="11"/>
  <c r="E499" i="12"/>
  <c r="T504" i="11"/>
  <c r="E730" i="12"/>
  <c r="T736" i="11"/>
  <c r="E933" i="12"/>
  <c r="T940" i="11"/>
  <c r="E1273" i="12"/>
  <c r="T1280" i="11"/>
  <c r="E1410" i="12"/>
  <c r="T1417" i="11"/>
  <c r="E1492" i="12"/>
  <c r="T1499" i="11"/>
  <c r="E1579" i="12"/>
  <c r="T1586" i="11"/>
  <c r="E1647" i="12"/>
  <c r="T1654" i="11"/>
  <c r="E1711" i="12"/>
  <c r="T1718" i="11"/>
  <c r="E1775" i="12"/>
  <c r="T1782" i="11"/>
  <c r="E1838" i="12"/>
  <c r="T1846" i="11"/>
  <c r="E1902" i="12"/>
  <c r="T1910" i="11"/>
  <c r="E635" i="12"/>
  <c r="T641" i="11"/>
  <c r="E1093" i="12"/>
  <c r="T1100" i="11"/>
  <c r="E1352" i="12"/>
  <c r="T1359" i="11"/>
  <c r="E1518" i="12"/>
  <c r="T1525" i="11"/>
  <c r="E1660" i="12"/>
  <c r="T1667" i="11"/>
  <c r="E1788" i="12"/>
  <c r="T1795" i="11"/>
  <c r="E1932" i="12"/>
  <c r="T1940" i="11"/>
  <c r="E1996" i="12"/>
  <c r="T2004" i="11"/>
  <c r="E2060" i="12"/>
  <c r="T2068" i="11"/>
  <c r="E2124" i="12"/>
  <c r="T2132" i="11"/>
  <c r="E2188" i="12"/>
  <c r="T2196" i="11"/>
  <c r="E2252" i="12"/>
  <c r="T2260" i="11"/>
  <c r="E2316" i="12"/>
  <c r="T2324" i="11"/>
  <c r="E2380" i="12"/>
  <c r="T2388" i="11"/>
  <c r="E2444" i="12"/>
  <c r="T2452" i="11"/>
  <c r="E2508" i="12"/>
  <c r="T2516" i="11"/>
  <c r="E2572" i="12"/>
  <c r="T2580" i="11"/>
  <c r="E2636" i="12"/>
  <c r="T2644" i="11"/>
  <c r="E2700" i="12"/>
  <c r="T2708" i="11"/>
  <c r="E2764" i="12"/>
  <c r="T2772" i="11"/>
  <c r="E2828" i="12"/>
  <c r="T2836" i="11"/>
  <c r="E2892" i="12"/>
  <c r="T2900" i="11"/>
  <c r="E2956" i="12"/>
  <c r="T2964" i="11"/>
  <c r="E3020" i="12"/>
  <c r="T3028" i="11"/>
  <c r="E3084" i="12"/>
  <c r="T3092" i="11"/>
  <c r="E3148" i="12"/>
  <c r="T3156" i="11"/>
  <c r="E3212" i="12"/>
  <c r="T3220" i="11"/>
  <c r="E3276" i="12"/>
  <c r="T3284" i="11"/>
  <c r="E3340" i="12"/>
  <c r="T3348" i="11"/>
  <c r="E882" i="12"/>
  <c r="T888" i="11"/>
  <c r="E1959" i="12"/>
  <c r="T1967" i="11"/>
  <c r="E2023" i="12"/>
  <c r="T2031" i="11"/>
  <c r="E2087" i="12"/>
  <c r="T2095" i="11"/>
  <c r="E2151" i="12"/>
  <c r="T2159" i="11"/>
  <c r="E2215" i="12"/>
  <c r="T2223" i="11"/>
  <c r="E2279" i="12"/>
  <c r="T2287" i="11"/>
  <c r="E2343" i="12"/>
  <c r="T2351" i="11"/>
  <c r="E2407" i="12"/>
  <c r="T2415" i="11"/>
  <c r="E2471" i="12"/>
  <c r="T2479" i="11"/>
  <c r="E2535" i="12"/>
  <c r="T2543" i="11"/>
  <c r="E954" i="12"/>
  <c r="T961" i="11"/>
  <c r="E1916" i="12"/>
  <c r="T1924" i="11"/>
  <c r="E1985" i="12"/>
  <c r="T1993" i="11"/>
  <c r="E2049" i="12"/>
  <c r="T2057" i="11"/>
  <c r="E2113" i="12"/>
  <c r="T2121" i="11"/>
  <c r="E2177" i="12"/>
  <c r="T2185" i="11"/>
  <c r="E2241" i="12"/>
  <c r="T2249" i="11"/>
  <c r="E2305" i="12"/>
  <c r="T2313" i="11"/>
  <c r="E2369" i="12"/>
  <c r="T2377" i="11"/>
  <c r="E2433" i="12"/>
  <c r="T2441" i="11"/>
  <c r="E2497" i="12"/>
  <c r="T2505" i="11"/>
  <c r="E2561" i="12"/>
  <c r="T2569" i="11"/>
  <c r="E2625" i="12"/>
  <c r="T2633" i="11"/>
  <c r="E2689" i="12"/>
  <c r="T2697" i="11"/>
  <c r="E2753" i="12"/>
  <c r="T2761" i="11"/>
  <c r="E2817" i="12"/>
  <c r="T2825" i="11"/>
  <c r="E2881" i="12"/>
  <c r="T2889" i="11"/>
  <c r="E2945" i="12"/>
  <c r="T2953" i="11"/>
  <c r="E3009" i="12"/>
  <c r="T3017" i="11"/>
  <c r="E3073" i="12"/>
  <c r="T3081" i="11"/>
  <c r="E3137" i="12"/>
  <c r="T3145" i="11"/>
  <c r="E763" i="12"/>
  <c r="T769" i="11"/>
  <c r="E2567" i="12"/>
  <c r="T2575" i="11"/>
  <c r="E2631" i="12"/>
  <c r="T2639" i="11"/>
  <c r="E2695" i="12"/>
  <c r="T2703" i="11"/>
  <c r="E2759" i="12"/>
  <c r="T2767" i="11"/>
  <c r="E2823" i="12"/>
  <c r="T2831" i="11"/>
  <c r="E2887" i="12"/>
  <c r="T2895" i="11"/>
  <c r="E2951" i="12"/>
  <c r="T2959" i="11"/>
  <c r="E3015" i="12"/>
  <c r="T3023" i="11"/>
  <c r="E3079" i="12"/>
  <c r="T3087" i="11"/>
  <c r="E3143" i="12"/>
  <c r="T3151" i="11"/>
  <c r="E3366" i="12"/>
  <c r="T3374" i="11"/>
  <c r="E3430" i="12"/>
  <c r="T3438" i="11"/>
  <c r="E3494" i="12"/>
  <c r="T3502" i="11"/>
  <c r="E3558" i="12"/>
  <c r="T3566" i="11"/>
  <c r="E3622" i="12"/>
  <c r="T3630" i="11"/>
  <c r="E997" i="12"/>
  <c r="T1004" i="11"/>
  <c r="E1520" i="12"/>
  <c r="T1527" i="11"/>
  <c r="E1776" i="12"/>
  <c r="T1783" i="11"/>
  <c r="E1982" i="12"/>
  <c r="T1990" i="11"/>
  <c r="E2110" i="12"/>
  <c r="T2118" i="11"/>
  <c r="E2238" i="12"/>
  <c r="T2246" i="11"/>
  <c r="E2366" i="12"/>
  <c r="T2374" i="11"/>
  <c r="E2494" i="12"/>
  <c r="T2502" i="11"/>
  <c r="E3219" i="12"/>
  <c r="T3227" i="11"/>
  <c r="E3262" i="12"/>
  <c r="T3270" i="11"/>
  <c r="E3305" i="12"/>
  <c r="T3313" i="11"/>
  <c r="E3347" i="12"/>
  <c r="T3355" i="11"/>
  <c r="E3409" i="12"/>
  <c r="T3417" i="11"/>
  <c r="E3473" i="12"/>
  <c r="T3481" i="11"/>
  <c r="E970" i="12"/>
  <c r="T977" i="11"/>
  <c r="E1608" i="12"/>
  <c r="T1615" i="11"/>
  <c r="E1863" i="12"/>
  <c r="T1871" i="11"/>
  <c r="E2018" i="12"/>
  <c r="T2026" i="11"/>
  <c r="E2146" i="12"/>
  <c r="T2154" i="11"/>
  <c r="E2274" i="12"/>
  <c r="T2282" i="11"/>
  <c r="E2402" i="12"/>
  <c r="T2410" i="11"/>
  <c r="E2530" i="12"/>
  <c r="T2538" i="11"/>
  <c r="E2598" i="12"/>
  <c r="T2606" i="11"/>
  <c r="E2662" i="12"/>
  <c r="T2670" i="11"/>
  <c r="E2726" i="12"/>
  <c r="T2734" i="11"/>
  <c r="E2790" i="12"/>
  <c r="T2798" i="11"/>
  <c r="E2854" i="12"/>
  <c r="T2862" i="11"/>
  <c r="E2918" i="12"/>
  <c r="T2926" i="11"/>
  <c r="E2982" i="12"/>
  <c r="T2990" i="11"/>
  <c r="E3046" i="12"/>
  <c r="T3054" i="11"/>
  <c r="E3110" i="12"/>
  <c r="T3118" i="11"/>
  <c r="E3174" i="12"/>
  <c r="T3182" i="11"/>
  <c r="E3223" i="12"/>
  <c r="T3231" i="11"/>
  <c r="E3266" i="12"/>
  <c r="T3274" i="11"/>
  <c r="E3309" i="12"/>
  <c r="T3317" i="11"/>
  <c r="E3351" i="12"/>
  <c r="T3359" i="11"/>
  <c r="E3403" i="12"/>
  <c r="T3411" i="11"/>
  <c r="E3467" i="12"/>
  <c r="T3475" i="11"/>
  <c r="E3528" i="12"/>
  <c r="T3536" i="11"/>
  <c r="E3571" i="12"/>
  <c r="T3579" i="11"/>
  <c r="E3613" i="12"/>
  <c r="T3621" i="11"/>
  <c r="E3656" i="12"/>
  <c r="T3664" i="11"/>
  <c r="E3714" i="12"/>
  <c r="T3722" i="11"/>
  <c r="E3777" i="12"/>
  <c r="T3786" i="11"/>
  <c r="E3841" i="12"/>
  <c r="T3850" i="11"/>
  <c r="E3905" i="12"/>
  <c r="T3914" i="11"/>
  <c r="E3969" i="12"/>
  <c r="T3978" i="11"/>
  <c r="E4033" i="12"/>
  <c r="T4042" i="11"/>
  <c r="E4097" i="12"/>
  <c r="T4106" i="11"/>
  <c r="E4161" i="12"/>
  <c r="T4170" i="11"/>
  <c r="E4224" i="12"/>
  <c r="T4234" i="11"/>
  <c r="E4288" i="12"/>
  <c r="T4298" i="11"/>
  <c r="E4352" i="12"/>
  <c r="T4362" i="11"/>
  <c r="E4416" i="12"/>
  <c r="T4426" i="11"/>
  <c r="E4480" i="12"/>
  <c r="T4490" i="11"/>
  <c r="E4544" i="12"/>
  <c r="T4554" i="11"/>
  <c r="E4608" i="12"/>
  <c r="T4618" i="11"/>
  <c r="E4672" i="12"/>
  <c r="T4682" i="11"/>
  <c r="E3376" i="12"/>
  <c r="T3384" i="11"/>
  <c r="E3440" i="12"/>
  <c r="T3448" i="11"/>
  <c r="E3504" i="12"/>
  <c r="T3512" i="11"/>
  <c r="E3713" i="12"/>
  <c r="T3721" i="11"/>
  <c r="E3776" i="12"/>
  <c r="T3785" i="11"/>
  <c r="E3840" i="12"/>
  <c r="T3849" i="11"/>
  <c r="E3904" i="12"/>
  <c r="T3913" i="11"/>
  <c r="E3968" i="12"/>
  <c r="T3977" i="11"/>
  <c r="E4032" i="12"/>
  <c r="T4041" i="11"/>
  <c r="E4096" i="12"/>
  <c r="T4105" i="11"/>
  <c r="E4160" i="12"/>
  <c r="T4169" i="11"/>
  <c r="E4223" i="12"/>
  <c r="T4233" i="11"/>
  <c r="E4287" i="12"/>
  <c r="T4297" i="11"/>
  <c r="E4351" i="12"/>
  <c r="T4361" i="11"/>
  <c r="E4415" i="12"/>
  <c r="T4425" i="11"/>
  <c r="E4479" i="12"/>
  <c r="T4489" i="11"/>
  <c r="E4543" i="12"/>
  <c r="T4553" i="11"/>
  <c r="E4607" i="12"/>
  <c r="T4617" i="11"/>
  <c r="E4671" i="12"/>
  <c r="T4681" i="11"/>
  <c r="E3675" i="12"/>
  <c r="T3683" i="11"/>
  <c r="E3738" i="12"/>
  <c r="T3747" i="11"/>
  <c r="E3802" i="12"/>
  <c r="T3811" i="11"/>
  <c r="E3866" i="12"/>
  <c r="T3875" i="11"/>
  <c r="E3930" i="12"/>
  <c r="T3939" i="11"/>
  <c r="E3994" i="12"/>
  <c r="T4003" i="11"/>
  <c r="E4058" i="12"/>
  <c r="T4067" i="11"/>
  <c r="E4122" i="12"/>
  <c r="T4131" i="11"/>
  <c r="E4185" i="12"/>
  <c r="T4195" i="11"/>
  <c r="E4249" i="12"/>
  <c r="T4259" i="11"/>
  <c r="E4313" i="12"/>
  <c r="T4323" i="11"/>
  <c r="E4377" i="12"/>
  <c r="T4387" i="11"/>
  <c r="E4441" i="12"/>
  <c r="T4451" i="11"/>
  <c r="E4505" i="12"/>
  <c r="T4515" i="11"/>
  <c r="E4569" i="12"/>
  <c r="T4579" i="11"/>
  <c r="E4633" i="12"/>
  <c r="T4643" i="11"/>
  <c r="E4697" i="12"/>
  <c r="T4707" i="11"/>
  <c r="E3601" i="12"/>
  <c r="T3609" i="11"/>
  <c r="E3692" i="12"/>
  <c r="T3700" i="11"/>
  <c r="E3819" i="12"/>
  <c r="T3828" i="11"/>
  <c r="E3947" i="12"/>
  <c r="T3956" i="11"/>
  <c r="E4075" i="12"/>
  <c r="T4084" i="11"/>
  <c r="E4202" i="12"/>
  <c r="T4212" i="11"/>
  <c r="E4330" i="12"/>
  <c r="T4340" i="11"/>
  <c r="E4458" i="12"/>
  <c r="T4468" i="11"/>
  <c r="E4586" i="12"/>
  <c r="T4596" i="11"/>
  <c r="E4979" i="12"/>
  <c r="T4990" i="11"/>
  <c r="E5043" i="12"/>
  <c r="T5054" i="11"/>
  <c r="E4732" i="12"/>
  <c r="T4742" i="11"/>
  <c r="E4764" i="12"/>
  <c r="T4774" i="11"/>
  <c r="E4796" i="12"/>
  <c r="T4806" i="11"/>
  <c r="E4828" i="12"/>
  <c r="T4838" i="11"/>
  <c r="E4860" i="12"/>
  <c r="T4870" i="11"/>
  <c r="E4891" i="12"/>
  <c r="T4902" i="11"/>
  <c r="E4923" i="12"/>
  <c r="T4934" i="11"/>
  <c r="E4955" i="12"/>
  <c r="T4966" i="11"/>
  <c r="E5002" i="12"/>
  <c r="T5013" i="11"/>
  <c r="E5066" i="12"/>
  <c r="T5077" i="11"/>
  <c r="E4741" i="12"/>
  <c r="T4751" i="11"/>
  <c r="E4773" i="12"/>
  <c r="T4783" i="11"/>
  <c r="E4805" i="12"/>
  <c r="T4815" i="11"/>
  <c r="E4837" i="12"/>
  <c r="T4847" i="11"/>
  <c r="E4869" i="12"/>
  <c r="T4879" i="11"/>
  <c r="E4900" i="12"/>
  <c r="T4911" i="11"/>
  <c r="E4932" i="12"/>
  <c r="T4943" i="11"/>
  <c r="E4964" i="12"/>
  <c r="T4975" i="11"/>
  <c r="E5020" i="12"/>
  <c r="T5031" i="11"/>
  <c r="E3548" i="12"/>
  <c r="T3556" i="11"/>
  <c r="E3863" i="12"/>
  <c r="T3872" i="11"/>
  <c r="E4119" i="12"/>
  <c r="T4128" i="11"/>
  <c r="E4374" i="12"/>
  <c r="T4384" i="11"/>
  <c r="E4630" i="12"/>
  <c r="T4640" i="11"/>
  <c r="E3663" i="12"/>
  <c r="T3671" i="11"/>
  <c r="E3839" i="12"/>
  <c r="T3848" i="11"/>
  <c r="E4095" i="12"/>
  <c r="T4104" i="11"/>
  <c r="E4350" i="12"/>
  <c r="T4360" i="11"/>
  <c r="E4606" i="12"/>
  <c r="T4616" i="11"/>
  <c r="E5049" i="12"/>
  <c r="T5060" i="11"/>
  <c r="E6577" i="12"/>
  <c r="T6589" i="11"/>
  <c r="E6641" i="12"/>
  <c r="T6653" i="11"/>
  <c r="E6705" i="12"/>
  <c r="T6717" i="11"/>
  <c r="E6769" i="12"/>
  <c r="T6781" i="11"/>
  <c r="E6833" i="12"/>
  <c r="T6845" i="11"/>
  <c r="E6897" i="12"/>
  <c r="T6909" i="11"/>
  <c r="E6961" i="12"/>
  <c r="T6973" i="11"/>
  <c r="E7025" i="12"/>
  <c r="T7037" i="11"/>
  <c r="E7089" i="12"/>
  <c r="T7101" i="11"/>
  <c r="E7153" i="12"/>
  <c r="T7165" i="11"/>
  <c r="E7217" i="12"/>
  <c r="T7229" i="11"/>
  <c r="E7281" i="12"/>
  <c r="T7293" i="11"/>
  <c r="E7345" i="12"/>
  <c r="T7357" i="11"/>
  <c r="E7409" i="12"/>
  <c r="T7421" i="11"/>
  <c r="E7473" i="12"/>
  <c r="T7485" i="11"/>
  <c r="E7537" i="12"/>
  <c r="T7549" i="11"/>
  <c r="E5090" i="12"/>
  <c r="T5101" i="11"/>
  <c r="E5122" i="12"/>
  <c r="T5133" i="11"/>
  <c r="E5154" i="12"/>
  <c r="T5165" i="11"/>
  <c r="E5186" i="12"/>
  <c r="T5197" i="11"/>
  <c r="E5218" i="12"/>
  <c r="T5229" i="11"/>
  <c r="E5250" i="12"/>
  <c r="T5261" i="11"/>
  <c r="E5282" i="12"/>
  <c r="T5293" i="11"/>
  <c r="E5314" i="12"/>
  <c r="T5325" i="11"/>
  <c r="E5346" i="12"/>
  <c r="T5357" i="11"/>
  <c r="E5378" i="12"/>
  <c r="T5389" i="11"/>
  <c r="E5410" i="12"/>
  <c r="T5421" i="11"/>
  <c r="E5442" i="12"/>
  <c r="T5453" i="11"/>
  <c r="E5474" i="12"/>
  <c r="T5485" i="11"/>
  <c r="E5506" i="12"/>
  <c r="T5517" i="11"/>
  <c r="E5538" i="12"/>
  <c r="T5549" i="11"/>
  <c r="E5570" i="12"/>
  <c r="T5581" i="11"/>
  <c r="E5602" i="12"/>
  <c r="T5613" i="11"/>
  <c r="E5633" i="12"/>
  <c r="T5645" i="11"/>
  <c r="E5665" i="12"/>
  <c r="T5677" i="11"/>
  <c r="E5697" i="12"/>
  <c r="T5709" i="11"/>
  <c r="E5729" i="12"/>
  <c r="T5741" i="11"/>
  <c r="E5761" i="12"/>
  <c r="T5773" i="11"/>
  <c r="E5793" i="12"/>
  <c r="T5805" i="11"/>
  <c r="E5825" i="12"/>
  <c r="T5837" i="11"/>
  <c r="E5857" i="12"/>
  <c r="T5869" i="11"/>
  <c r="E5889" i="12"/>
  <c r="T5901" i="11"/>
  <c r="E5921" i="12"/>
  <c r="T5933" i="11"/>
  <c r="E5953" i="12"/>
  <c r="T5965" i="11"/>
  <c r="E5985" i="12"/>
  <c r="T5997" i="11"/>
  <c r="E6017" i="12"/>
  <c r="T6029" i="11"/>
  <c r="E6049" i="12"/>
  <c r="T6061" i="11"/>
  <c r="E6081" i="12"/>
  <c r="T6093" i="11"/>
  <c r="E6113" i="12"/>
  <c r="T6125" i="11"/>
  <c r="E6145" i="12"/>
  <c r="T6157" i="11"/>
  <c r="E6177" i="12"/>
  <c r="T6189" i="11"/>
  <c r="E6209" i="12"/>
  <c r="T6221" i="11"/>
  <c r="E6241" i="12"/>
  <c r="T6253" i="11"/>
  <c r="E6273" i="12"/>
  <c r="T6285" i="11"/>
  <c r="E6305" i="12"/>
  <c r="T6317" i="11"/>
  <c r="E6337" i="12"/>
  <c r="T6349" i="11"/>
  <c r="E6369" i="12"/>
  <c r="T6381" i="11"/>
  <c r="E6401" i="12"/>
  <c r="T6413" i="11"/>
  <c r="E6433" i="12"/>
  <c r="T6445" i="11"/>
  <c r="E6465" i="12"/>
  <c r="T6477" i="11"/>
  <c r="E6497" i="12"/>
  <c r="T6509" i="11"/>
  <c r="E6529" i="12"/>
  <c r="T6541" i="11"/>
  <c r="E6592" i="12"/>
  <c r="T6604" i="11"/>
  <c r="E6656" i="12"/>
  <c r="T6668" i="11"/>
  <c r="E6720" i="12"/>
  <c r="T6732" i="11"/>
  <c r="E6784" i="12"/>
  <c r="T6796" i="11"/>
  <c r="E6848" i="12"/>
  <c r="T6860" i="11"/>
  <c r="E6912" i="12"/>
  <c r="T6924" i="11"/>
  <c r="E6976" i="12"/>
  <c r="T6988" i="11"/>
  <c r="E7040" i="12"/>
  <c r="T7052" i="11"/>
  <c r="E7104" i="12"/>
  <c r="T7116" i="11"/>
  <c r="E7168" i="12"/>
  <c r="T7180" i="11"/>
  <c r="E7232" i="12"/>
  <c r="T7244" i="11"/>
  <c r="E7296" i="12"/>
  <c r="T7308" i="11"/>
  <c r="E7360" i="12"/>
  <c r="T7372" i="11"/>
  <c r="E7424" i="12"/>
  <c r="T7436" i="11"/>
  <c r="E7488" i="12"/>
  <c r="T7500" i="11"/>
  <c r="E7552" i="12"/>
  <c r="T7564" i="11"/>
  <c r="E5061" i="12"/>
  <c r="T5072" i="11"/>
  <c r="E5101" i="12"/>
  <c r="T5112" i="11"/>
  <c r="E5133" i="12"/>
  <c r="T5144" i="11"/>
  <c r="E5165" i="12"/>
  <c r="T5176" i="11"/>
  <c r="E5197" i="12"/>
  <c r="T5208" i="11"/>
  <c r="E5229" i="12"/>
  <c r="T5240" i="11"/>
  <c r="E5261" i="12"/>
  <c r="T5272" i="11"/>
  <c r="E5293" i="12"/>
  <c r="T5304" i="11"/>
  <c r="E5325" i="12"/>
  <c r="T5336" i="11"/>
  <c r="E5357" i="12"/>
  <c r="T5368" i="11"/>
  <c r="E5389" i="12"/>
  <c r="T5400" i="11"/>
  <c r="E5421" i="12"/>
  <c r="T5432" i="11"/>
  <c r="E5453" i="12"/>
  <c r="T5464" i="11"/>
  <c r="E5485" i="12"/>
  <c r="T5496" i="11"/>
  <c r="E5517" i="12"/>
  <c r="T5528" i="11"/>
  <c r="E5549" i="12"/>
  <c r="T5560" i="11"/>
  <c r="E5581" i="12"/>
  <c r="T5592" i="11"/>
  <c r="E5613" i="12"/>
  <c r="T5624" i="11"/>
  <c r="E5644" i="12"/>
  <c r="T5656" i="11"/>
  <c r="E5676" i="12"/>
  <c r="T5688" i="11"/>
  <c r="E5708" i="12"/>
  <c r="T5720" i="11"/>
  <c r="E5740" i="12"/>
  <c r="T5752" i="11"/>
  <c r="E5772" i="12"/>
  <c r="T5784" i="11"/>
  <c r="E5804" i="12"/>
  <c r="T5816" i="11"/>
  <c r="E5836" i="12"/>
  <c r="T5848" i="11"/>
  <c r="E5868" i="12"/>
  <c r="T5880" i="11"/>
  <c r="E5900" i="12"/>
  <c r="T5912" i="11"/>
  <c r="E5932" i="12"/>
  <c r="T5944" i="11"/>
  <c r="E5964" i="12"/>
  <c r="T5976" i="11"/>
  <c r="E5996" i="12"/>
  <c r="T6008" i="11"/>
  <c r="E6028" i="12"/>
  <c r="T6040" i="11"/>
  <c r="E6060" i="12"/>
  <c r="T6072" i="11"/>
  <c r="E6092" i="12"/>
  <c r="T6104" i="11"/>
  <c r="E6124" i="12"/>
  <c r="T6136" i="11"/>
  <c r="E6156" i="12"/>
  <c r="T6168" i="11"/>
  <c r="E6188" i="12"/>
  <c r="T6200" i="11"/>
  <c r="E6220" i="12"/>
  <c r="T6232" i="11"/>
  <c r="E6252" i="12"/>
  <c r="T6264" i="11"/>
  <c r="E6284" i="12"/>
  <c r="T6296" i="11"/>
  <c r="E6316" i="12"/>
  <c r="T6328" i="11"/>
  <c r="E6348" i="12"/>
  <c r="T6360" i="11"/>
  <c r="E6380" i="12"/>
  <c r="T6392" i="11"/>
  <c r="E6412" i="12"/>
  <c r="T6424" i="11"/>
  <c r="E6444" i="12"/>
  <c r="T6456" i="11"/>
  <c r="E6476" i="12"/>
  <c r="T6488" i="11"/>
  <c r="E6508" i="12"/>
  <c r="T6520" i="11"/>
  <c r="E6550" i="12"/>
  <c r="T6562" i="11"/>
  <c r="E6614" i="12"/>
  <c r="T6626" i="11"/>
  <c r="E6678" i="12"/>
  <c r="T6690" i="11"/>
  <c r="E6742" i="12"/>
  <c r="T6754" i="11"/>
  <c r="E6806" i="12"/>
  <c r="T6818" i="11"/>
  <c r="E6870" i="12"/>
  <c r="T6882" i="11"/>
  <c r="E6934" i="12"/>
  <c r="T6946" i="11"/>
  <c r="E6998" i="12"/>
  <c r="T7010" i="11"/>
  <c r="E7062" i="12"/>
  <c r="T7074" i="11"/>
  <c r="E7126" i="12"/>
  <c r="T7138" i="11"/>
  <c r="E7190" i="12"/>
  <c r="T7202" i="11"/>
  <c r="E7254" i="12"/>
  <c r="T7266" i="11"/>
  <c r="E7318" i="12"/>
  <c r="T7330" i="11"/>
  <c r="E7382" i="12"/>
  <c r="T7394" i="11"/>
  <c r="E7446" i="12"/>
  <c r="T7458" i="11"/>
  <c r="E7510" i="12"/>
  <c r="T7522" i="11"/>
  <c r="E7716" i="12"/>
  <c r="T7728" i="11"/>
  <c r="E7748" i="12"/>
  <c r="T7760" i="11"/>
  <c r="E7780" i="12"/>
  <c r="T7792" i="11"/>
  <c r="E7812" i="12"/>
  <c r="T7824" i="11"/>
  <c r="E7844" i="12"/>
  <c r="T7856" i="11"/>
  <c r="E7876" i="12"/>
  <c r="T7888" i="11"/>
  <c r="E7908" i="12"/>
  <c r="T7920" i="11"/>
  <c r="E7940" i="12"/>
  <c r="T7952" i="11"/>
  <c r="E7972" i="12"/>
  <c r="T7984" i="11"/>
  <c r="E8004" i="12"/>
  <c r="T8016" i="11"/>
  <c r="E8036" i="12"/>
  <c r="T8048" i="11"/>
  <c r="E8068" i="12"/>
  <c r="T8080" i="11"/>
  <c r="E8100" i="12"/>
  <c r="T8112" i="11"/>
  <c r="E8132" i="12"/>
  <c r="T8144" i="11"/>
  <c r="E8164" i="12"/>
  <c r="T8176" i="11"/>
  <c r="E8196" i="12"/>
  <c r="T8208" i="11"/>
  <c r="E8228" i="12"/>
  <c r="T8240" i="11"/>
  <c r="E8260" i="12"/>
  <c r="T8272" i="11"/>
  <c r="E8292" i="12"/>
  <c r="T8304" i="11"/>
  <c r="E8324" i="12"/>
  <c r="T8336" i="11"/>
  <c r="E8356" i="12"/>
  <c r="T8368" i="11"/>
  <c r="E8388" i="12"/>
  <c r="T8400" i="11"/>
  <c r="E6611" i="12"/>
  <c r="T6623" i="11"/>
  <c r="E6739" i="12"/>
  <c r="T6751" i="11"/>
  <c r="E6867" i="12"/>
  <c r="T6879" i="11"/>
  <c r="E6995" i="12"/>
  <c r="T7007" i="11"/>
  <c r="E7123" i="12"/>
  <c r="T7135" i="11"/>
  <c r="E7251" i="12"/>
  <c r="T7263" i="11"/>
  <c r="E7379" i="12"/>
  <c r="T7391" i="11"/>
  <c r="E7507" i="12"/>
  <c r="T7519" i="11"/>
  <c r="E6599" i="12"/>
  <c r="T6611" i="11"/>
  <c r="E6727" i="12"/>
  <c r="T6739" i="11"/>
  <c r="E6855" i="12"/>
  <c r="T6867" i="11"/>
  <c r="E6983" i="12"/>
  <c r="T6995" i="11"/>
  <c r="E7111" i="12"/>
  <c r="T7123" i="11"/>
  <c r="E7239" i="12"/>
  <c r="T7251" i="11"/>
  <c r="E7367" i="12"/>
  <c r="T7379" i="11"/>
  <c r="E7495" i="12"/>
  <c r="T7507" i="11"/>
  <c r="E7739" i="12"/>
  <c r="T7751" i="11"/>
  <c r="E7803" i="12"/>
  <c r="T7815" i="11"/>
  <c r="E7867" i="12"/>
  <c r="T7879" i="11"/>
  <c r="E7931" i="12"/>
  <c r="T7943" i="11"/>
  <c r="E7995" i="12"/>
  <c r="T8007" i="11"/>
  <c r="E8059" i="12"/>
  <c r="T8071" i="11"/>
  <c r="E8123" i="12"/>
  <c r="T8135" i="11"/>
  <c r="E8187" i="12"/>
  <c r="T8199" i="11"/>
  <c r="E8251" i="12"/>
  <c r="T8263" i="11"/>
  <c r="E8315" i="12"/>
  <c r="T8327" i="11"/>
  <c r="E8379" i="12"/>
  <c r="T8391" i="11"/>
  <c r="E7761" i="12"/>
  <c r="T7773" i="11"/>
  <c r="E7929" i="12"/>
  <c r="T7941" i="11"/>
  <c r="E8057" i="12"/>
  <c r="T8069" i="11"/>
  <c r="E8185" i="12"/>
  <c r="T8197" i="11"/>
  <c r="E8313" i="12"/>
  <c r="T8325" i="11"/>
  <c r="E7837" i="12"/>
  <c r="T7849" i="11"/>
  <c r="E7901" i="12"/>
  <c r="T7913" i="11"/>
  <c r="E8005" i="12"/>
  <c r="T8017" i="11"/>
  <c r="E8137" i="12"/>
  <c r="T8149" i="11"/>
  <c r="E8261" i="12"/>
  <c r="T8273" i="11"/>
  <c r="E8393" i="12"/>
  <c r="T8405" i="11"/>
  <c r="E7709" i="12"/>
  <c r="T7721" i="11"/>
  <c r="E7705" i="12"/>
  <c r="T7717" i="11"/>
  <c r="E7701" i="12"/>
  <c r="T7713" i="11"/>
  <c r="E7697" i="12"/>
  <c r="T7709" i="11"/>
  <c r="E7693" i="12"/>
  <c r="T7705" i="11"/>
  <c r="E7689" i="12"/>
  <c r="T7701" i="11"/>
  <c r="E7685" i="12"/>
  <c r="T7697" i="11"/>
  <c r="E7681" i="12"/>
  <c r="T7693" i="11"/>
  <c r="E7677" i="12"/>
  <c r="T7689" i="11"/>
  <c r="E7673" i="12"/>
  <c r="T7685" i="11"/>
  <c r="E7669" i="12"/>
  <c r="T7681" i="11"/>
  <c r="E7665" i="12"/>
  <c r="T7677" i="11"/>
  <c r="E7661" i="12"/>
  <c r="T7673" i="11"/>
  <c r="E7657" i="12"/>
  <c r="T7669" i="11"/>
  <c r="E7653" i="12"/>
  <c r="T7665" i="11"/>
  <c r="E7649" i="12"/>
  <c r="T7661" i="11"/>
  <c r="E7645" i="12"/>
  <c r="T7657" i="11"/>
  <c r="E7641" i="12"/>
  <c r="T7653" i="11"/>
  <c r="E7637" i="12"/>
  <c r="T7649" i="11"/>
  <c r="E7633" i="12"/>
  <c r="T7645" i="11"/>
  <c r="E7629" i="12"/>
  <c r="T7641" i="11"/>
  <c r="E7625" i="12"/>
  <c r="T7637" i="11"/>
  <c r="E7621" i="12"/>
  <c r="T7633" i="11"/>
  <c r="E7617" i="12"/>
  <c r="T7629" i="11"/>
  <c r="E7613" i="12"/>
  <c r="T7625" i="11"/>
  <c r="E7609" i="12"/>
  <c r="T7621" i="11"/>
  <c r="E7605" i="12"/>
  <c r="T7617" i="11"/>
  <c r="E7601" i="12"/>
  <c r="T7613" i="11"/>
  <c r="E7597" i="12"/>
  <c r="T7609" i="11"/>
  <c r="E7593" i="12"/>
  <c r="T7605" i="11"/>
  <c r="E7589" i="12"/>
  <c r="T7601" i="11"/>
  <c r="E7585" i="12"/>
  <c r="T7597" i="11"/>
  <c r="E7581" i="12"/>
  <c r="T7593" i="11"/>
  <c r="E7577" i="12"/>
  <c r="T7589" i="11"/>
  <c r="E7573" i="12"/>
  <c r="T7585" i="11"/>
  <c r="E7569" i="12"/>
  <c r="T7581" i="11"/>
  <c r="E4717" i="12"/>
  <c r="T4727" i="11"/>
  <c r="E4713" i="12"/>
  <c r="T4723" i="11"/>
  <c r="E4709" i="12"/>
  <c r="T4719" i="11"/>
  <c r="E4705" i="12"/>
  <c r="T4715" i="11"/>
  <c r="E1095" i="12"/>
  <c r="T1102" i="11"/>
  <c r="E1171" i="12"/>
  <c r="T1178" i="11"/>
  <c r="E425" i="12"/>
  <c r="T430" i="11"/>
  <c r="E373" i="12"/>
  <c r="T378" i="11"/>
  <c r="E588" i="12"/>
  <c r="T593" i="11"/>
  <c r="E154" i="12"/>
  <c r="T158" i="11"/>
  <c r="E1075" i="12"/>
  <c r="T1082" i="11"/>
  <c r="E906" i="12"/>
  <c r="T913" i="11"/>
  <c r="E553" i="12"/>
  <c r="T558" i="11"/>
  <c r="E1166" i="12"/>
  <c r="T1173" i="11"/>
  <c r="E444" i="12"/>
  <c r="T449" i="11"/>
  <c r="E1050" i="12"/>
  <c r="T1057" i="11"/>
  <c r="E824" i="12"/>
  <c r="T830" i="11"/>
  <c r="E569" i="12"/>
  <c r="T574" i="11"/>
  <c r="E1287" i="12"/>
  <c r="T1294" i="11"/>
  <c r="E1198" i="12"/>
  <c r="T1205" i="11"/>
  <c r="E1091" i="12"/>
  <c r="T1098" i="11"/>
  <c r="E979" i="12"/>
  <c r="T986" i="11"/>
  <c r="E879" i="12"/>
  <c r="T885" i="11"/>
  <c r="E751" i="12"/>
  <c r="T757" i="11"/>
  <c r="E623" i="12"/>
  <c r="T629" i="11"/>
  <c r="E437" i="12"/>
  <c r="T442" i="11"/>
  <c r="E193" i="12"/>
  <c r="T197" i="11"/>
  <c r="E13" i="12"/>
  <c r="T17" i="11"/>
  <c r="E97" i="12"/>
  <c r="T101" i="11"/>
  <c r="E524" i="12"/>
  <c r="T529" i="11"/>
  <c r="E460" i="12"/>
  <c r="T465" i="11"/>
  <c r="E396" i="12"/>
  <c r="T401" i="11"/>
  <c r="E332" i="12"/>
  <c r="T337" i="11"/>
  <c r="E273" i="12"/>
  <c r="T277" i="11"/>
  <c r="E202" i="12"/>
  <c r="T206" i="11"/>
  <c r="E109" i="12"/>
  <c r="T113" i="11"/>
  <c r="E58" i="12"/>
  <c r="T62" i="11"/>
  <c r="E910" i="12"/>
  <c r="T917" i="11"/>
  <c r="E847" i="12"/>
  <c r="T853" i="11"/>
  <c r="E783" i="12"/>
  <c r="T789" i="11"/>
  <c r="E719" i="12"/>
  <c r="T725" i="11"/>
  <c r="E655" i="12"/>
  <c r="T661" i="11"/>
  <c r="E592" i="12"/>
  <c r="T597" i="11"/>
  <c r="E528" i="12"/>
  <c r="T533" i="11"/>
  <c r="E464" i="12"/>
  <c r="T469" i="11"/>
  <c r="E400" i="12"/>
  <c r="T405" i="11"/>
  <c r="E336" i="12"/>
  <c r="T341" i="11"/>
  <c r="E257" i="12"/>
  <c r="T261" i="11"/>
  <c r="E150" i="12"/>
  <c r="T154" i="11"/>
  <c r="E38" i="12"/>
  <c r="T42" i="11"/>
  <c r="E25" i="12"/>
  <c r="T29" i="11"/>
  <c r="E559" i="12"/>
  <c r="T564" i="11"/>
  <c r="E1087" i="12"/>
  <c r="T1094" i="11"/>
  <c r="E1557" i="12"/>
  <c r="T1564" i="11"/>
  <c r="E215" i="12"/>
  <c r="T219" i="11"/>
  <c r="E470" i="12"/>
  <c r="T475" i="11"/>
  <c r="E837" i="12"/>
  <c r="T843" i="11"/>
  <c r="E376" i="12"/>
  <c r="T381" i="11"/>
  <c r="E1357" i="12"/>
  <c r="T1364" i="11"/>
  <c r="E538" i="12"/>
  <c r="T543" i="11"/>
  <c r="E1224" i="12"/>
  <c r="T1231" i="11"/>
  <c r="E848" i="12"/>
  <c r="T854" i="11"/>
  <c r="E143" i="12"/>
  <c r="T147" i="11"/>
  <c r="E813" i="12"/>
  <c r="T819" i="11"/>
  <c r="E344" i="12"/>
  <c r="T349" i="11"/>
  <c r="E1261" i="12"/>
  <c r="T1268" i="11"/>
  <c r="E227" i="12"/>
  <c r="T231" i="11"/>
  <c r="E928" i="12"/>
  <c r="T935" i="11"/>
  <c r="E543" i="12"/>
  <c r="T548" i="11"/>
  <c r="E821" i="12"/>
  <c r="T827" i="11"/>
  <c r="E1517" i="12"/>
  <c r="T1524" i="11"/>
  <c r="E1208" i="12"/>
  <c r="T1215" i="11"/>
  <c r="E159" i="12"/>
  <c r="T163" i="11"/>
  <c r="E768" i="12"/>
  <c r="T774" i="11"/>
  <c r="E183" i="12"/>
  <c r="T187" i="11"/>
  <c r="E438" i="12"/>
  <c r="T443" i="11"/>
  <c r="E741" i="12"/>
  <c r="T747" i="11"/>
  <c r="E249" i="12"/>
  <c r="T253" i="11"/>
  <c r="E1247" i="12"/>
  <c r="T1254" i="11"/>
  <c r="E458" i="12"/>
  <c r="T463" i="11"/>
  <c r="E1144" i="12"/>
  <c r="T1151" i="11"/>
  <c r="E720" i="12"/>
  <c r="T726" i="11"/>
  <c r="E31" i="12"/>
  <c r="T35" i="11"/>
  <c r="E733" i="12"/>
  <c r="T739" i="11"/>
  <c r="E240" i="12"/>
  <c r="T244" i="11"/>
  <c r="E1151" i="12"/>
  <c r="T1158" i="11"/>
  <c r="E147" i="12"/>
  <c r="T151" i="11"/>
  <c r="E657" i="12"/>
  <c r="T663" i="11"/>
  <c r="E1168" i="12"/>
  <c r="T1175" i="11"/>
  <c r="E520" i="12"/>
  <c r="T525" i="11"/>
  <c r="E1199" i="12"/>
  <c r="T1206" i="11"/>
  <c r="E805" i="12"/>
  <c r="T811" i="11"/>
  <c r="E527" i="12"/>
  <c r="T532" i="11"/>
  <c r="E1581" i="12"/>
  <c r="T1588" i="11"/>
  <c r="E777" i="12"/>
  <c r="T783" i="11"/>
  <c r="E401" i="12"/>
  <c r="T406" i="11"/>
  <c r="E1425" i="12"/>
  <c r="T1432" i="11"/>
  <c r="E637" i="12"/>
  <c r="T643" i="11"/>
  <c r="E194" i="12"/>
  <c r="T198" i="11"/>
  <c r="E1279" i="12"/>
  <c r="T1286" i="11"/>
  <c r="E422" i="12"/>
  <c r="T427" i="11"/>
  <c r="E440" i="12"/>
  <c r="T445" i="11"/>
  <c r="E586" i="12"/>
  <c r="T591" i="11"/>
  <c r="E893" i="12"/>
  <c r="T900" i="11"/>
  <c r="E877" i="12"/>
  <c r="T883" i="11"/>
  <c r="E1110" i="12"/>
  <c r="T1117" i="11"/>
  <c r="E609" i="12"/>
  <c r="T615" i="11"/>
  <c r="E114" i="12"/>
  <c r="T118" i="11"/>
  <c r="E1053" i="12"/>
  <c r="T1060" i="11"/>
  <c r="E1012" i="12"/>
  <c r="T1019" i="11"/>
  <c r="E1206" i="12"/>
  <c r="T1213" i="11"/>
  <c r="E697" i="12"/>
  <c r="T703" i="11"/>
  <c r="E702" i="12"/>
  <c r="T708" i="11"/>
  <c r="E366" i="12"/>
  <c r="T371" i="11"/>
  <c r="E1260" i="12"/>
  <c r="T1267" i="11"/>
  <c r="E1413" i="12"/>
  <c r="T1420" i="11"/>
  <c r="E243" i="12"/>
  <c r="T247" i="11"/>
  <c r="E498" i="12"/>
  <c r="T503" i="11"/>
  <c r="E753" i="12"/>
  <c r="T759" i="11"/>
  <c r="E1008" i="12"/>
  <c r="T1015" i="11"/>
  <c r="E1264" i="12"/>
  <c r="T1271" i="11"/>
  <c r="E306" i="12"/>
  <c r="T310" i="11"/>
  <c r="E647" i="12"/>
  <c r="T653" i="11"/>
  <c r="E989" i="12"/>
  <c r="T996" i="11"/>
  <c r="E1321" i="12"/>
  <c r="T1328" i="11"/>
  <c r="E1577" i="12"/>
  <c r="T1584" i="11"/>
  <c r="E1044" i="12"/>
  <c r="T1051" i="11"/>
  <c r="E185" i="12"/>
  <c r="T189" i="11"/>
  <c r="E718" i="12"/>
  <c r="T724" i="11"/>
  <c r="E1229" i="12"/>
  <c r="T1236" i="11"/>
  <c r="E43" i="12"/>
  <c r="T47" i="11"/>
  <c r="E426" i="12"/>
  <c r="T431" i="11"/>
  <c r="E825" i="12"/>
  <c r="T831" i="11"/>
  <c r="E1240" i="12"/>
  <c r="T1247" i="11"/>
  <c r="E465" i="12"/>
  <c r="T470" i="11"/>
  <c r="E998" i="12"/>
  <c r="T1005" i="11"/>
  <c r="E1473" i="12"/>
  <c r="T1480" i="11"/>
  <c r="E287" i="12"/>
  <c r="T291" i="11"/>
  <c r="E685" i="12"/>
  <c r="T691" i="11"/>
  <c r="E1084" i="12"/>
  <c r="T1091" i="11"/>
  <c r="E258" i="12"/>
  <c r="T262" i="11"/>
  <c r="E791" i="12"/>
  <c r="T797" i="11"/>
  <c r="E1333" i="12"/>
  <c r="T1340" i="11"/>
  <c r="E135" i="12"/>
  <c r="T139" i="11"/>
  <c r="E390" i="12"/>
  <c r="T395" i="11"/>
  <c r="E661" i="12"/>
  <c r="T667" i="11"/>
  <c r="E80" i="12"/>
  <c r="T84" i="11"/>
  <c r="E1055" i="12"/>
  <c r="T1062" i="11"/>
  <c r="E314" i="12"/>
  <c r="T319" i="11"/>
  <c r="E1016" i="12"/>
  <c r="T1023" i="11"/>
  <c r="E529" i="12"/>
  <c r="T534" i="11"/>
  <c r="E1457" i="12"/>
  <c r="T1464" i="11"/>
  <c r="E605" i="12"/>
  <c r="T611" i="11"/>
  <c r="E48" i="12"/>
  <c r="T52" i="11"/>
  <c r="E982" i="12"/>
  <c r="T989" i="11"/>
  <c r="E21" i="12"/>
  <c r="T25" i="11"/>
  <c r="E177" i="12"/>
  <c r="T181" i="11"/>
  <c r="E762" i="12"/>
  <c r="T768" i="11"/>
  <c r="E387" i="12"/>
  <c r="T392" i="11"/>
  <c r="E535" i="12"/>
  <c r="T540" i="11"/>
  <c r="E1045" i="12"/>
  <c r="T1052" i="11"/>
  <c r="E250" i="12"/>
  <c r="T254" i="11"/>
  <c r="E1115" i="12"/>
  <c r="T1122" i="11"/>
  <c r="E1391" i="12"/>
  <c r="T1398" i="11"/>
  <c r="E1598" i="12"/>
  <c r="T1605" i="11"/>
  <c r="E1806" i="12"/>
  <c r="T1813" i="11"/>
  <c r="E435" i="12"/>
  <c r="T440" i="11"/>
  <c r="E1364" i="12"/>
  <c r="T1371" i="11"/>
  <c r="E1571" i="12"/>
  <c r="T1578" i="11"/>
  <c r="E1765" i="12"/>
  <c r="T1772" i="11"/>
  <c r="E595" i="12"/>
  <c r="T601" i="11"/>
  <c r="E1344" i="12"/>
  <c r="T1351" i="11"/>
  <c r="E1651" i="12"/>
  <c r="T1658" i="11"/>
  <c r="T1818" i="11"/>
  <c r="E983" i="12"/>
  <c r="T990" i="11"/>
  <c r="E1447" i="12"/>
  <c r="T1454" i="11"/>
  <c r="E1859" i="12"/>
  <c r="T1867" i="11"/>
  <c r="E2064" i="12"/>
  <c r="T2072" i="11"/>
  <c r="E2272" i="12"/>
  <c r="T2280" i="11"/>
  <c r="E2432" i="12"/>
  <c r="T2440" i="11"/>
  <c r="E2624" i="12"/>
  <c r="T2632" i="11"/>
  <c r="E2784" i="12"/>
  <c r="T2792" i="11"/>
  <c r="E2960" i="12"/>
  <c r="T2968" i="11"/>
  <c r="E3120" i="12"/>
  <c r="T3128" i="11"/>
  <c r="E280" i="12"/>
  <c r="T284" i="11"/>
  <c r="E1979" i="12"/>
  <c r="T1987" i="11"/>
  <c r="E2203" i="12"/>
  <c r="T2211" i="11"/>
  <c r="E2347" i="12"/>
  <c r="T2355" i="11"/>
  <c r="E694" i="12"/>
  <c r="T700" i="11"/>
  <c r="E1973" i="12"/>
  <c r="T1981" i="11"/>
  <c r="E2165" i="12"/>
  <c r="T2173" i="11"/>
  <c r="E2309" i="12"/>
  <c r="T2317" i="11"/>
  <c r="E2501" i="12"/>
  <c r="T2509" i="11"/>
  <c r="E2661" i="12"/>
  <c r="T2669" i="11"/>
  <c r="E2885" i="12"/>
  <c r="T2893" i="11"/>
  <c r="E3013" i="12"/>
  <c r="T3021" i="11"/>
  <c r="E2539" i="12"/>
  <c r="T2547" i="11"/>
  <c r="E2683" i="12"/>
  <c r="T2691" i="11"/>
  <c r="E2827" i="12"/>
  <c r="T2835" i="11"/>
  <c r="E3019" i="12"/>
  <c r="T3027" i="11"/>
  <c r="E3163" i="12"/>
  <c r="T3171" i="11"/>
  <c r="E3546" i="12"/>
  <c r="T3554" i="11"/>
  <c r="E1063" i="12"/>
  <c r="T1070" i="11"/>
  <c r="E2054" i="12"/>
  <c r="T2062" i="11"/>
  <c r="E2810" i="12"/>
  <c r="T2818" i="11"/>
  <c r="E3002" i="12"/>
  <c r="T3010" i="11"/>
  <c r="E3162" i="12"/>
  <c r="T3170" i="11"/>
  <c r="E3322" i="12"/>
  <c r="T3330" i="11"/>
  <c r="E3439" i="12"/>
  <c r="T3447" i="11"/>
  <c r="E3573" i="12"/>
  <c r="T3581" i="11"/>
  <c r="E3686" i="12"/>
  <c r="T3694" i="11"/>
  <c r="E3877" i="12"/>
  <c r="T3886" i="11"/>
  <c r="E4053" i="12"/>
  <c r="T4062" i="11"/>
  <c r="E4260" i="12"/>
  <c r="T4270" i="11"/>
  <c r="E4404" i="12"/>
  <c r="T4414" i="11"/>
  <c r="E4612" i="12"/>
  <c r="T4622" i="11"/>
  <c r="E3412" i="12"/>
  <c r="T3420" i="11"/>
  <c r="E3748" i="12"/>
  <c r="T3757" i="11"/>
  <c r="E3924" i="12"/>
  <c r="T3933" i="11"/>
  <c r="E4132" i="12"/>
  <c r="T4141" i="11"/>
  <c r="E4307" i="12"/>
  <c r="T4317" i="11"/>
  <c r="E4467" i="12"/>
  <c r="T4477" i="11"/>
  <c r="E4691" i="12"/>
  <c r="T4701" i="11"/>
  <c r="E3790" i="12"/>
  <c r="T3799" i="11"/>
  <c r="E3998" i="12"/>
  <c r="T4007" i="11"/>
  <c r="E4126" i="12"/>
  <c r="T4135" i="11"/>
  <c r="E4317" i="12"/>
  <c r="T4327" i="11"/>
  <c r="E4461" i="12"/>
  <c r="T4471" i="11"/>
  <c r="E4653" i="12"/>
  <c r="T4663" i="11"/>
  <c r="E3649" i="12"/>
  <c r="T3657" i="11"/>
  <c r="E4019" i="12"/>
  <c r="T4028" i="11"/>
  <c r="E4306" i="12"/>
  <c r="T4316" i="11"/>
  <c r="E4690" i="12"/>
  <c r="T4700" i="11"/>
  <c r="E5079" i="12"/>
  <c r="T5090" i="11"/>
  <c r="E4806" i="12"/>
  <c r="T4816" i="11"/>
  <c r="E4901" i="12"/>
  <c r="T4912" i="11"/>
  <c r="E4990" i="12"/>
  <c r="T5001" i="11"/>
  <c r="E4767" i="12"/>
  <c r="T4777" i="11"/>
  <c r="E4839" i="12"/>
  <c r="T4849" i="11"/>
  <c r="E4934" i="12"/>
  <c r="T4945" i="11"/>
  <c r="E5024" i="12"/>
  <c r="T5035" i="11"/>
  <c r="E4198" i="12"/>
  <c r="T4208" i="11"/>
  <c r="E3532" i="12"/>
  <c r="T3540" i="11"/>
  <c r="E4366" i="12"/>
  <c r="T4376" i="11"/>
  <c r="E6581" i="12"/>
  <c r="T6593" i="11"/>
  <c r="E6709" i="12"/>
  <c r="T6721" i="11"/>
  <c r="E6869" i="12"/>
  <c r="T6881" i="11"/>
  <c r="E7077" i="12"/>
  <c r="T7089" i="11"/>
  <c r="E7221" i="12"/>
  <c r="T7233" i="11"/>
  <c r="E7461" i="12"/>
  <c r="T7473" i="11"/>
  <c r="E5092" i="12"/>
  <c r="T5103" i="11"/>
  <c r="E5196" i="12"/>
  <c r="T5207" i="11"/>
  <c r="E5268" i="12"/>
  <c r="T5279" i="11"/>
  <c r="E5364" i="12"/>
  <c r="T5375" i="11"/>
  <c r="E5452" i="12"/>
  <c r="T5463" i="11"/>
  <c r="E5556" i="12"/>
  <c r="T5567" i="11"/>
  <c r="E5635" i="12"/>
  <c r="T5647" i="11"/>
  <c r="E5723" i="12"/>
  <c r="T5735" i="11"/>
  <c r="E5819" i="12"/>
  <c r="T5831" i="11"/>
  <c r="E5891" i="12"/>
  <c r="T5903" i="11"/>
  <c r="E5947" i="12"/>
  <c r="T5959" i="11"/>
  <c r="E6027" i="12"/>
  <c r="T6039" i="11"/>
  <c r="E6123" i="12"/>
  <c r="T6135" i="11"/>
  <c r="E6195" i="12"/>
  <c r="T6207" i="11"/>
  <c r="E6275" i="12"/>
  <c r="T6287" i="11"/>
  <c r="E6363" i="12"/>
  <c r="T6375" i="11"/>
  <c r="E6451" i="12"/>
  <c r="T6463" i="11"/>
  <c r="E6523" i="12"/>
  <c r="T6535" i="11"/>
  <c r="E6692" i="12"/>
  <c r="T6704" i="11"/>
  <c r="E6900" i="12"/>
  <c r="T6912" i="11"/>
  <c r="E7028" i="12"/>
  <c r="T7040" i="11"/>
  <c r="E7236" i="12"/>
  <c r="T7248" i="11"/>
  <c r="E7380" i="12"/>
  <c r="T7392" i="11"/>
  <c r="E5005" i="12"/>
  <c r="T5016" i="11"/>
  <c r="E5127" i="12"/>
  <c r="T5138" i="11"/>
  <c r="E5223" i="12"/>
  <c r="T5234" i="11"/>
  <c r="E5303" i="12"/>
  <c r="T5314" i="11"/>
  <c r="E5375" i="12"/>
  <c r="T5386" i="11"/>
  <c r="E5471" i="12"/>
  <c r="T5482" i="11"/>
  <c r="E5551" i="12"/>
  <c r="T5562" i="11"/>
  <c r="E5638" i="12"/>
  <c r="T5650" i="11"/>
  <c r="E5710" i="12"/>
  <c r="T5722" i="11"/>
  <c r="E5814" i="12"/>
  <c r="T5826" i="11"/>
  <c r="E5878" i="12"/>
  <c r="T5890" i="11"/>
  <c r="E5974" i="12"/>
  <c r="T5986" i="11"/>
  <c r="E6054" i="12"/>
  <c r="T6066" i="11"/>
  <c r="E6134" i="12"/>
  <c r="T6146" i="11"/>
  <c r="E6230" i="12"/>
  <c r="T6242" i="11"/>
  <c r="E6302" i="12"/>
  <c r="T6314" i="11"/>
  <c r="E6406" i="12"/>
  <c r="T6418" i="11"/>
  <c r="E6478" i="12"/>
  <c r="T6490" i="11"/>
  <c r="E6618" i="12"/>
  <c r="T6630" i="11"/>
  <c r="E6746" i="12"/>
  <c r="T6758" i="11"/>
  <c r="E6922" i="12"/>
  <c r="T6934" i="11"/>
  <c r="E7098" i="12"/>
  <c r="T7110" i="11"/>
  <c r="E7274" i="12"/>
  <c r="T7286" i="11"/>
  <c r="E7466" i="12"/>
  <c r="T7478" i="11"/>
  <c r="E7742" i="12"/>
  <c r="T7754" i="11"/>
  <c r="E7894" i="12"/>
  <c r="T7906" i="11"/>
  <c r="E85" i="12"/>
  <c r="T89" i="11"/>
  <c r="E429" i="12"/>
  <c r="T434" i="11"/>
  <c r="E939" i="12"/>
  <c r="T946" i="11"/>
  <c r="E343" i="12"/>
  <c r="T348" i="11"/>
  <c r="E854" i="12"/>
  <c r="T860" i="11"/>
  <c r="E42" i="12"/>
  <c r="T46" i="11"/>
  <c r="E1058" i="12"/>
  <c r="T1065" i="11"/>
  <c r="E1416" i="12"/>
  <c r="T1423" i="11"/>
  <c r="E1682" i="12"/>
  <c r="T1689" i="11"/>
  <c r="E1810" i="12"/>
  <c r="T1817" i="11"/>
  <c r="E740" i="12"/>
  <c r="T746" i="11"/>
  <c r="E1386" i="12"/>
  <c r="T1393" i="11"/>
  <c r="E1625" i="12"/>
  <c r="T1632" i="11"/>
  <c r="E1769" i="12"/>
  <c r="T1776" i="11"/>
  <c r="E659" i="12"/>
  <c r="T665" i="11"/>
  <c r="E1346" i="12"/>
  <c r="T1353" i="11"/>
  <c r="E1607" i="12"/>
  <c r="T1614" i="11"/>
  <c r="E1767" i="12"/>
  <c r="T1774" i="11"/>
  <c r="E618" i="12"/>
  <c r="T624" i="11"/>
  <c r="E1415" i="12"/>
  <c r="T1422" i="11"/>
  <c r="E1804" i="12"/>
  <c r="T1811" i="11"/>
  <c r="E2036" i="12"/>
  <c r="T2044" i="11"/>
  <c r="E2196" i="12"/>
  <c r="T2204" i="11"/>
  <c r="E2356" i="12"/>
  <c r="T2364" i="11"/>
  <c r="E2516" i="12"/>
  <c r="T2524" i="11"/>
  <c r="E2676" i="12"/>
  <c r="T2684" i="11"/>
  <c r="E2836" i="12"/>
  <c r="T2844" i="11"/>
  <c r="E3044" i="12"/>
  <c r="T3052" i="11"/>
  <c r="E3188" i="12"/>
  <c r="T3196" i="11"/>
  <c r="E1041" i="12"/>
  <c r="T1048" i="11"/>
  <c r="E2079" i="12"/>
  <c r="T2087" i="11"/>
  <c r="E2303" i="12"/>
  <c r="T2311" i="11"/>
  <c r="E2495" i="12"/>
  <c r="T2503" i="11"/>
  <c r="E1908" i="12"/>
  <c r="T1916" i="11"/>
  <c r="E2105" i="12"/>
  <c r="T2113" i="11"/>
  <c r="E2281" i="12"/>
  <c r="T2289" i="11"/>
  <c r="E2457" i="12"/>
  <c r="T2465" i="11"/>
  <c r="E2601" i="12"/>
  <c r="T2609" i="11"/>
  <c r="E2809" i="12"/>
  <c r="T2817" i="11"/>
  <c r="E2985" i="12"/>
  <c r="T2993" i="11"/>
  <c r="E3145" i="12"/>
  <c r="T3153" i="11"/>
  <c r="E2655" i="12"/>
  <c r="T2663" i="11"/>
  <c r="E2783" i="12"/>
  <c r="T2791" i="11"/>
  <c r="E2991" i="12"/>
  <c r="T2999" i="11"/>
  <c r="E3119" i="12"/>
  <c r="T3127" i="11"/>
  <c r="E3486" i="12"/>
  <c r="T3494" i="11"/>
  <c r="E3646" i="12"/>
  <c r="T3654" i="11"/>
  <c r="E1871" i="12"/>
  <c r="T1879" i="11"/>
  <c r="E2286" i="12"/>
  <c r="T2294" i="11"/>
  <c r="E3225" i="12"/>
  <c r="T3233" i="11"/>
  <c r="E3369" i="12"/>
  <c r="T3377" i="11"/>
  <c r="E311" i="12"/>
  <c r="T316" i="11"/>
  <c r="E2034" i="12"/>
  <c r="T2042" i="11"/>
  <c r="E2354" i="12"/>
  <c r="T2362" i="11"/>
  <c r="E2654" i="12"/>
  <c r="T2662" i="11"/>
  <c r="E2782" i="12"/>
  <c r="T2790" i="11"/>
  <c r="E3006" i="12"/>
  <c r="T3014" i="11"/>
  <c r="E3134" i="12"/>
  <c r="T3142" i="11"/>
  <c r="E3293" i="12"/>
  <c r="T3301" i="11"/>
  <c r="E3411" i="12"/>
  <c r="T3419" i="11"/>
  <c r="E3587" i="12"/>
  <c r="T3595" i="11"/>
  <c r="E3706" i="12"/>
  <c r="T3714" i="11"/>
  <c r="E3913" i="12"/>
  <c r="T3922" i="11"/>
  <c r="E4073" i="12"/>
  <c r="T4082" i="11"/>
  <c r="E4312" i="12"/>
  <c r="T4322" i="11"/>
  <c r="E4472" i="12"/>
  <c r="T4482" i="11"/>
  <c r="E4664" i="12"/>
  <c r="T4674" i="11"/>
  <c r="E3480" i="12"/>
  <c r="T3488" i="11"/>
  <c r="E3784" i="12"/>
  <c r="T3793" i="11"/>
  <c r="E3944" i="12"/>
  <c r="T3953" i="11"/>
  <c r="E4152" i="12"/>
  <c r="T4161" i="11"/>
  <c r="E4295" i="12"/>
  <c r="T4305" i="11"/>
  <c r="E4519" i="12"/>
  <c r="T4529" i="11"/>
  <c r="E4679" i="12"/>
  <c r="T4689" i="11"/>
  <c r="E3826" i="12"/>
  <c r="T3835" i="11"/>
  <c r="E3986" i="12"/>
  <c r="T3995" i="11"/>
  <c r="E4193" i="12"/>
  <c r="T4203" i="11"/>
  <c r="E4321" i="12"/>
  <c r="T4331" i="11"/>
  <c r="E4529" i="12"/>
  <c r="T4539" i="11"/>
  <c r="E4689" i="12"/>
  <c r="T4699" i="11"/>
  <c r="E3867" i="12"/>
  <c r="T3876" i="11"/>
  <c r="E4186" i="12"/>
  <c r="T4196" i="11"/>
  <c r="E4474" i="12"/>
  <c r="T4484" i="11"/>
  <c r="E5035" i="12"/>
  <c r="T5046" i="11"/>
  <c r="E4792" i="12"/>
  <c r="T4802" i="11"/>
  <c r="E4864" i="12"/>
  <c r="T4874" i="11"/>
  <c r="E4978" i="12"/>
  <c r="T4989" i="11"/>
  <c r="E4729" i="12"/>
  <c r="T4739" i="11"/>
  <c r="E4825" i="12"/>
  <c r="T4835" i="11"/>
  <c r="E4888" i="12"/>
  <c r="T4899" i="11"/>
  <c r="E5012" i="12"/>
  <c r="T5023" i="11"/>
  <c r="E3959" i="12"/>
  <c r="T3968" i="11"/>
  <c r="E1307" i="12"/>
  <c r="T1314" i="11"/>
  <c r="E4063" i="12"/>
  <c r="T4072" i="11"/>
  <c r="E5065" i="12"/>
  <c r="T5076" i="11"/>
  <c r="E6649" i="12"/>
  <c r="T6661" i="11"/>
  <c r="E6889" i="12"/>
  <c r="T6901" i="11"/>
  <c r="E7033" i="12"/>
  <c r="T7045" i="11"/>
  <c r="E7209" i="12"/>
  <c r="T7221" i="11"/>
  <c r="E7337" i="12"/>
  <c r="T7349" i="11"/>
  <c r="E7497" i="12"/>
  <c r="T7509" i="11"/>
  <c r="E5118" i="12"/>
  <c r="T5129" i="11"/>
  <c r="E5206" i="12"/>
  <c r="T5217" i="11"/>
  <c r="E5302" i="12"/>
  <c r="T5313" i="11"/>
  <c r="E5382" i="12"/>
  <c r="T5393" i="11"/>
  <c r="E5470" i="12"/>
  <c r="T5481" i="11"/>
  <c r="E5550" i="12"/>
  <c r="T5561" i="11"/>
  <c r="E5637" i="12"/>
  <c r="T5649" i="11"/>
  <c r="E5717" i="12"/>
  <c r="T5729" i="11"/>
  <c r="E5797" i="12"/>
  <c r="T5809" i="11"/>
  <c r="E5901" i="12"/>
  <c r="T5913" i="11"/>
  <c r="E5965" i="12"/>
  <c r="T5977" i="11"/>
  <c r="E6069" i="12"/>
  <c r="T6081" i="11"/>
  <c r="E6141" i="12"/>
  <c r="T6153" i="11"/>
  <c r="E6229" i="12"/>
  <c r="T6241" i="11"/>
  <c r="E6317" i="12"/>
  <c r="T6329" i="11"/>
  <c r="E6397" i="12"/>
  <c r="T6409" i="11"/>
  <c r="E6493" i="12"/>
  <c r="T6505" i="11"/>
  <c r="E6616" i="12"/>
  <c r="T6628" i="11"/>
  <c r="E6824" i="12"/>
  <c r="T6836" i="11"/>
  <c r="E6968" i="12"/>
  <c r="T6980" i="11"/>
  <c r="E7176" i="12"/>
  <c r="T7188" i="11"/>
  <c r="E7336" i="12"/>
  <c r="T7348" i="11"/>
  <c r="E7528" i="12"/>
  <c r="T7540" i="11"/>
  <c r="E5113" i="12"/>
  <c r="T5124" i="11"/>
  <c r="E5209" i="12"/>
  <c r="T5220" i="11"/>
  <c r="E5297" i="12"/>
  <c r="T5308" i="11"/>
  <c r="E5393" i="12"/>
  <c r="T5404" i="11"/>
  <c r="E5473" i="12"/>
  <c r="T5484" i="11"/>
  <c r="E5569" i="12"/>
  <c r="T5580" i="11"/>
  <c r="E5640" i="12"/>
  <c r="T5652" i="11"/>
  <c r="E5736" i="12"/>
  <c r="T5748" i="11"/>
  <c r="E5808" i="12"/>
  <c r="T5820" i="11"/>
  <c r="E5904" i="12"/>
  <c r="T5916" i="11"/>
  <c r="E5968" i="12"/>
  <c r="T5980" i="11"/>
  <c r="E6056" i="12"/>
  <c r="T6068" i="11"/>
  <c r="E6144" i="12"/>
  <c r="T6156" i="11"/>
  <c r="E6232" i="12"/>
  <c r="T6244" i="11"/>
  <c r="E6320" i="12"/>
  <c r="T6332" i="11"/>
  <c r="E6392" i="12"/>
  <c r="T6404" i="11"/>
  <c r="E6504" i="12"/>
  <c r="T6516" i="11"/>
  <c r="E6622" i="12"/>
  <c r="T6634" i="11"/>
  <c r="E6798" i="12"/>
  <c r="T6810" i="11"/>
  <c r="E6974" i="12"/>
  <c r="T6986" i="11"/>
  <c r="E7118" i="12"/>
  <c r="T7130" i="11"/>
  <c r="E7310" i="12"/>
  <c r="T7322" i="11"/>
  <c r="E7470" i="12"/>
  <c r="T7482" i="11"/>
  <c r="E7768" i="12"/>
  <c r="T7780" i="11"/>
  <c r="E7848" i="12"/>
  <c r="T7860" i="11"/>
  <c r="E7952" i="12"/>
  <c r="T7964" i="11"/>
  <c r="E8280" i="12"/>
  <c r="T8292" i="11"/>
  <c r="E92" i="12"/>
  <c r="T96" i="11"/>
  <c r="E296" i="12"/>
  <c r="T300" i="11"/>
  <c r="E164" i="12"/>
  <c r="T168" i="11"/>
  <c r="E316" i="12"/>
  <c r="T321" i="11"/>
  <c r="E531" i="12"/>
  <c r="T536" i="11"/>
  <c r="E748" i="12"/>
  <c r="T754" i="11"/>
  <c r="E946" i="12"/>
  <c r="T953" i="11"/>
  <c r="E317" i="12"/>
  <c r="T322" i="11"/>
  <c r="E515" i="12"/>
  <c r="T520" i="11"/>
  <c r="E309" i="12"/>
  <c r="T314" i="11"/>
  <c r="E516" i="12"/>
  <c r="T521" i="11"/>
  <c r="E714" i="12"/>
  <c r="T720" i="11"/>
  <c r="E917" i="12"/>
  <c r="T924" i="11"/>
  <c r="E1121" i="12"/>
  <c r="T1128" i="11"/>
  <c r="E1308" i="12"/>
  <c r="T1315" i="11"/>
  <c r="E125" i="12"/>
  <c r="T129" i="11"/>
  <c r="E468" i="12"/>
  <c r="T473" i="11"/>
  <c r="E834" i="12"/>
  <c r="T840" i="11"/>
  <c r="E1061" i="12"/>
  <c r="T1068" i="11"/>
  <c r="E1217" i="12"/>
  <c r="T1224" i="11"/>
  <c r="E1355" i="12"/>
  <c r="T1362" i="11"/>
  <c r="E1446" i="12"/>
  <c r="T1453" i="11"/>
  <c r="E1528" i="12"/>
  <c r="T1535" i="11"/>
  <c r="E1606" i="12"/>
  <c r="T1613" i="11"/>
  <c r="E1670" i="12"/>
  <c r="T1677" i="11"/>
  <c r="E1734" i="12"/>
  <c r="T1741" i="11"/>
  <c r="E1798" i="12"/>
  <c r="T1805" i="11"/>
  <c r="E1861" i="12"/>
  <c r="T1869" i="11"/>
  <c r="E1925" i="12"/>
  <c r="T1933" i="11"/>
  <c r="E604" i="12"/>
  <c r="T610" i="11"/>
  <c r="E931" i="12"/>
  <c r="T938" i="11"/>
  <c r="E1296" i="12"/>
  <c r="T1303" i="11"/>
  <c r="E1388" i="12"/>
  <c r="T1395" i="11"/>
  <c r="E1475" i="12"/>
  <c r="T1482" i="11"/>
  <c r="E1562" i="12"/>
  <c r="T1569" i="11"/>
  <c r="E1629" i="12"/>
  <c r="T1636" i="11"/>
  <c r="E1693" i="12"/>
  <c r="T1700" i="11"/>
  <c r="E1757" i="12"/>
  <c r="T1764" i="11"/>
  <c r="E1820" i="12"/>
  <c r="T1828" i="11"/>
  <c r="E1884" i="12"/>
  <c r="T1892" i="11"/>
  <c r="E549" i="12"/>
  <c r="T554" i="11"/>
  <c r="E780" i="12"/>
  <c r="T786" i="11"/>
  <c r="E1001" i="12"/>
  <c r="T1008" i="11"/>
  <c r="E1316" i="12"/>
  <c r="T1323" i="11"/>
  <c r="E1426" i="12"/>
  <c r="T1433" i="11"/>
  <c r="E1508" i="12"/>
  <c r="T1515" i="11"/>
  <c r="E1595" i="12"/>
  <c r="T1602" i="11"/>
  <c r="E1659" i="12"/>
  <c r="T1666" i="11"/>
  <c r="E1723" i="12"/>
  <c r="T1730" i="11"/>
  <c r="E1787" i="12"/>
  <c r="T1794" i="11"/>
  <c r="E1850" i="12"/>
  <c r="T1858" i="11"/>
  <c r="E1914" i="12"/>
  <c r="T1922" i="11"/>
  <c r="E820" i="12"/>
  <c r="T826" i="11"/>
  <c r="E1141" i="12"/>
  <c r="T1148" i="11"/>
  <c r="E1383" i="12"/>
  <c r="T1390" i="11"/>
  <c r="E1550" i="12"/>
  <c r="T1557" i="11"/>
  <c r="E1684" i="12"/>
  <c r="T1691" i="11"/>
  <c r="E1811" i="12"/>
  <c r="T1819" i="11"/>
  <c r="E1944" i="12"/>
  <c r="T1952" i="11"/>
  <c r="E2008" i="12"/>
  <c r="T2016" i="11"/>
  <c r="E2072" i="12"/>
  <c r="T2080" i="11"/>
  <c r="E2136" i="12"/>
  <c r="T2144" i="11"/>
  <c r="E2200" i="12"/>
  <c r="T2208" i="11"/>
  <c r="E2264" i="12"/>
  <c r="T2272" i="11"/>
  <c r="E2328" i="12"/>
  <c r="T2336" i="11"/>
  <c r="E2392" i="12"/>
  <c r="T2400" i="11"/>
  <c r="E2456" i="12"/>
  <c r="T2464" i="11"/>
  <c r="E2520" i="12"/>
  <c r="T2528" i="11"/>
  <c r="E2584" i="12"/>
  <c r="T2592" i="11"/>
  <c r="E2648" i="12"/>
  <c r="T2656" i="11"/>
  <c r="E2712" i="12"/>
  <c r="T2720" i="11"/>
  <c r="E2776" i="12"/>
  <c r="T2784" i="11"/>
  <c r="E2840" i="12"/>
  <c r="T2848" i="11"/>
  <c r="E2904" i="12"/>
  <c r="T2912" i="11"/>
  <c r="E2968" i="12"/>
  <c r="T2976" i="11"/>
  <c r="E3032" i="12"/>
  <c r="T3040" i="11"/>
  <c r="E3096" i="12"/>
  <c r="T3104" i="11"/>
  <c r="E3160" i="12"/>
  <c r="T3168" i="11"/>
  <c r="E3224" i="12"/>
  <c r="T3232" i="11"/>
  <c r="E3288" i="12"/>
  <c r="T3296" i="11"/>
  <c r="E197" i="12"/>
  <c r="T201" i="11"/>
  <c r="E1127" i="12"/>
  <c r="T1134" i="11"/>
  <c r="E1971" i="12"/>
  <c r="T1979" i="11"/>
  <c r="E2035" i="12"/>
  <c r="T2043" i="11"/>
  <c r="E2099" i="12"/>
  <c r="T2107" i="11"/>
  <c r="E2163" i="12"/>
  <c r="T2171" i="11"/>
  <c r="E2227" i="12"/>
  <c r="T2235" i="11"/>
  <c r="E2291" i="12"/>
  <c r="T2299" i="11"/>
  <c r="E2355" i="12"/>
  <c r="T2363" i="11"/>
  <c r="E2419" i="12"/>
  <c r="T2427" i="11"/>
  <c r="E2483" i="12"/>
  <c r="T2491" i="11"/>
  <c r="E253" i="12"/>
  <c r="T257" i="11"/>
  <c r="E1035" i="12"/>
  <c r="T1042" i="11"/>
  <c r="E1933" i="12"/>
  <c r="T1941" i="11"/>
  <c r="E1997" i="12"/>
  <c r="T2005" i="11"/>
  <c r="E2061" i="12"/>
  <c r="T2069" i="11"/>
  <c r="E2125" i="12"/>
  <c r="T2133" i="11"/>
  <c r="E2189" i="12"/>
  <c r="T2197" i="11"/>
  <c r="E2253" i="12"/>
  <c r="T2261" i="11"/>
  <c r="E2317" i="12"/>
  <c r="T2325" i="11"/>
  <c r="E2381" i="12"/>
  <c r="T2389" i="11"/>
  <c r="E2445" i="12"/>
  <c r="T2453" i="11"/>
  <c r="E2509" i="12"/>
  <c r="T2517" i="11"/>
  <c r="E2573" i="12"/>
  <c r="T2581" i="11"/>
  <c r="E2637" i="12"/>
  <c r="T2645" i="11"/>
  <c r="E2701" i="12"/>
  <c r="T2709" i="11"/>
  <c r="E2765" i="12"/>
  <c r="T2773" i="11"/>
  <c r="E2829" i="12"/>
  <c r="T2837" i="11"/>
  <c r="E2893" i="12"/>
  <c r="T2901" i="11"/>
  <c r="E2957" i="12"/>
  <c r="T2965" i="11"/>
  <c r="E3021" i="12"/>
  <c r="T3029" i="11"/>
  <c r="E3085" i="12"/>
  <c r="T3093" i="11"/>
  <c r="E3149" i="12"/>
  <c r="T3157" i="11"/>
  <c r="E1111" i="12"/>
  <c r="T1118" i="11"/>
  <c r="E2579" i="12"/>
  <c r="T2587" i="11"/>
  <c r="E2643" i="12"/>
  <c r="T2651" i="11"/>
  <c r="E2707" i="12"/>
  <c r="T2715" i="11"/>
  <c r="E2771" i="12"/>
  <c r="T2779" i="11"/>
  <c r="E2835" i="12"/>
  <c r="T2843" i="11"/>
  <c r="E2899" i="12"/>
  <c r="T2907" i="11"/>
  <c r="E2963" i="12"/>
  <c r="T2971" i="11"/>
  <c r="E3027" i="12"/>
  <c r="T3035" i="11"/>
  <c r="E3091" i="12"/>
  <c r="T3099" i="11"/>
  <c r="E3155" i="12"/>
  <c r="T3163" i="11"/>
  <c r="E3378" i="12"/>
  <c r="T3386" i="11"/>
  <c r="E3442" i="12"/>
  <c r="T3450" i="11"/>
  <c r="E3506" i="12"/>
  <c r="T3514" i="11"/>
  <c r="E3570" i="12"/>
  <c r="T3578" i="11"/>
  <c r="E3634" i="12"/>
  <c r="T3642" i="11"/>
  <c r="E1226" i="12"/>
  <c r="T1233" i="11"/>
  <c r="E1566" i="12"/>
  <c r="T1573" i="11"/>
  <c r="E1823" i="12"/>
  <c r="T1831" i="11"/>
  <c r="E2006" i="12"/>
  <c r="T2014" i="11"/>
  <c r="E2134" i="12"/>
  <c r="T2142" i="11"/>
  <c r="E2262" i="12"/>
  <c r="T2270" i="11"/>
  <c r="E2390" i="12"/>
  <c r="T2398" i="11"/>
  <c r="E2518" i="12"/>
  <c r="T2526" i="11"/>
  <c r="E3227" i="12"/>
  <c r="T3235" i="11"/>
  <c r="E3270" i="12"/>
  <c r="T3278" i="11"/>
  <c r="E3313" i="12"/>
  <c r="T3321" i="11"/>
  <c r="E3357" i="12"/>
  <c r="T3365" i="11"/>
  <c r="E3421" i="12"/>
  <c r="T3429" i="11"/>
  <c r="E3485" i="12"/>
  <c r="T3493" i="11"/>
  <c r="E1122" i="12"/>
  <c r="T1129" i="11"/>
  <c r="E1656" i="12"/>
  <c r="T1663" i="11"/>
  <c r="E1911" i="12"/>
  <c r="T1919" i="11"/>
  <c r="E2042" i="12"/>
  <c r="T2050" i="11"/>
  <c r="E2170" i="12"/>
  <c r="T2178" i="11"/>
  <c r="E2298" i="12"/>
  <c r="T2306" i="11"/>
  <c r="E2426" i="12"/>
  <c r="T2434" i="11"/>
  <c r="E2546" i="12"/>
  <c r="T2554" i="11"/>
  <c r="E2610" i="12"/>
  <c r="T2618" i="11"/>
  <c r="E2674" i="12"/>
  <c r="T2682" i="11"/>
  <c r="E2738" i="12"/>
  <c r="T2746" i="11"/>
  <c r="E2802" i="12"/>
  <c r="T2810" i="11"/>
  <c r="E2866" i="12"/>
  <c r="T2874" i="11"/>
  <c r="E2930" i="12"/>
  <c r="T2938" i="11"/>
  <c r="E2994" i="12"/>
  <c r="T3002" i="11"/>
  <c r="E3058" i="12"/>
  <c r="T3066" i="11"/>
  <c r="E3122" i="12"/>
  <c r="T3130" i="11"/>
  <c r="E3186" i="12"/>
  <c r="T3194" i="11"/>
  <c r="E3231" i="12"/>
  <c r="T3239" i="11"/>
  <c r="E3274" i="12"/>
  <c r="T3282" i="11"/>
  <c r="E3317" i="12"/>
  <c r="T3325" i="11"/>
  <c r="E3363" i="12"/>
  <c r="T3371" i="11"/>
  <c r="E3415" i="12"/>
  <c r="T3423" i="11"/>
  <c r="E3479" i="12"/>
  <c r="T3487" i="11"/>
  <c r="E3536" i="12"/>
  <c r="T3544" i="11"/>
  <c r="E3579" i="12"/>
  <c r="T3587" i="11"/>
  <c r="E3621" i="12"/>
  <c r="T3629" i="11"/>
  <c r="E3664" i="12"/>
  <c r="T3672" i="11"/>
  <c r="E3726" i="12"/>
  <c r="T3734" i="11"/>
  <c r="E3789" i="12"/>
  <c r="T3798" i="11"/>
  <c r="E3853" i="12"/>
  <c r="T3862" i="11"/>
  <c r="E3917" i="12"/>
  <c r="T3926" i="11"/>
  <c r="E3981" i="12"/>
  <c r="T3990" i="11"/>
  <c r="E4045" i="12"/>
  <c r="T4054" i="11"/>
  <c r="E4109" i="12"/>
  <c r="T4118" i="11"/>
  <c r="E4172" i="12"/>
  <c r="T4182" i="11"/>
  <c r="E4236" i="12"/>
  <c r="T4246" i="11"/>
  <c r="E4300" i="12"/>
  <c r="T4310" i="11"/>
  <c r="E4364" i="12"/>
  <c r="T4374" i="11"/>
  <c r="E4428" i="12"/>
  <c r="T4438" i="11"/>
  <c r="E4492" i="12"/>
  <c r="T4502" i="11"/>
  <c r="E4556" i="12"/>
  <c r="T4566" i="11"/>
  <c r="E4620" i="12"/>
  <c r="T4630" i="11"/>
  <c r="E4684" i="12"/>
  <c r="T4694" i="11"/>
  <c r="E3388" i="12"/>
  <c r="T3396" i="11"/>
  <c r="E3452" i="12"/>
  <c r="T3460" i="11"/>
  <c r="E3516" i="12"/>
  <c r="T3524" i="11"/>
  <c r="E3725" i="12"/>
  <c r="T3733" i="11"/>
  <c r="E3788" i="12"/>
  <c r="T3797" i="11"/>
  <c r="E3852" i="12"/>
  <c r="T3861" i="11"/>
  <c r="E3916" i="12"/>
  <c r="T3925" i="11"/>
  <c r="E3980" i="12"/>
  <c r="T3989" i="11"/>
  <c r="E4044" i="12"/>
  <c r="T4053" i="11"/>
  <c r="E4108" i="12"/>
  <c r="T4117" i="11"/>
  <c r="E4171" i="12"/>
  <c r="T4181" i="11"/>
  <c r="E4235" i="12"/>
  <c r="T4245" i="11"/>
  <c r="E4299" i="12"/>
  <c r="T4309" i="11"/>
  <c r="E4363" i="12"/>
  <c r="T4373" i="11"/>
  <c r="E4427" i="12"/>
  <c r="T4437" i="11"/>
  <c r="E4491" i="12"/>
  <c r="T4501" i="11"/>
  <c r="E4555" i="12"/>
  <c r="T4565" i="11"/>
  <c r="E4619" i="12"/>
  <c r="T4629" i="11"/>
  <c r="E4683" i="12"/>
  <c r="T4693" i="11"/>
  <c r="E3687" i="12"/>
  <c r="T3695" i="11"/>
  <c r="E3750" i="12"/>
  <c r="T3759" i="11"/>
  <c r="E3814" i="12"/>
  <c r="T3823" i="11"/>
  <c r="E3878" i="12"/>
  <c r="T3887" i="11"/>
  <c r="E3942" i="12"/>
  <c r="T3951" i="11"/>
  <c r="E4006" i="12"/>
  <c r="T4015" i="11"/>
  <c r="E4070" i="12"/>
  <c r="T4079" i="11"/>
  <c r="E4134" i="12"/>
  <c r="T4143" i="11"/>
  <c r="E4197" i="12"/>
  <c r="T4207" i="11"/>
  <c r="E4261" i="12"/>
  <c r="T4271" i="11"/>
  <c r="E4325" i="12"/>
  <c r="T4335" i="11"/>
  <c r="E4389" i="12"/>
  <c r="T4399" i="11"/>
  <c r="E4453" i="12"/>
  <c r="T4463" i="11"/>
  <c r="E4517" i="12"/>
  <c r="T4527" i="11"/>
  <c r="E4581" i="12"/>
  <c r="T4591" i="11"/>
  <c r="E4645" i="12"/>
  <c r="T4655" i="11"/>
  <c r="E3527" i="12"/>
  <c r="T3535" i="11"/>
  <c r="E3617" i="12"/>
  <c r="T3625" i="11"/>
  <c r="E3716" i="12"/>
  <c r="T3724" i="11"/>
  <c r="E3843" i="12"/>
  <c r="T3852" i="11"/>
  <c r="E3971" i="12"/>
  <c r="T3980" i="11"/>
  <c r="E4099" i="12"/>
  <c r="T4108" i="11"/>
  <c r="E4226" i="12"/>
  <c r="T4236" i="11"/>
  <c r="E4354" i="12"/>
  <c r="T4364" i="11"/>
  <c r="E4482" i="12"/>
  <c r="T4492" i="11"/>
  <c r="E4610" i="12"/>
  <c r="T4620" i="11"/>
  <c r="E4991" i="12"/>
  <c r="T5002" i="11"/>
  <c r="E5055" i="12"/>
  <c r="T5066" i="11"/>
  <c r="E4738" i="12"/>
  <c r="T4748" i="11"/>
  <c r="E4770" i="12"/>
  <c r="T4780" i="11"/>
  <c r="E4802" i="12"/>
  <c r="T4812" i="11"/>
  <c r="E4834" i="12"/>
  <c r="T4844" i="11"/>
  <c r="E4866" i="12"/>
  <c r="T4876" i="11"/>
  <c r="E4897" i="12"/>
  <c r="T4908" i="11"/>
  <c r="E4929" i="12"/>
  <c r="T4940" i="11"/>
  <c r="E4961" i="12"/>
  <c r="T4972" i="11"/>
  <c r="E5014" i="12"/>
  <c r="T5025" i="11"/>
  <c r="E5078" i="12"/>
  <c r="T5089" i="11"/>
  <c r="E4747" i="12"/>
  <c r="T4757" i="11"/>
  <c r="E4779" i="12"/>
  <c r="T4789" i="11"/>
  <c r="E4811" i="12"/>
  <c r="T4821" i="11"/>
  <c r="E4843" i="12"/>
  <c r="T4853" i="11"/>
  <c r="E4875" i="12"/>
  <c r="T4885" i="11"/>
  <c r="E4906" i="12"/>
  <c r="T4917" i="11"/>
  <c r="E4938" i="12"/>
  <c r="T4949" i="11"/>
  <c r="E4970" i="12"/>
  <c r="T4981" i="11"/>
  <c r="E5032" i="12"/>
  <c r="T5043" i="11"/>
  <c r="E3644" i="12"/>
  <c r="T3652" i="11"/>
  <c r="E3911" i="12"/>
  <c r="T3920" i="11"/>
  <c r="E4166" i="12"/>
  <c r="T4176" i="11"/>
  <c r="E4422" i="12"/>
  <c r="T4432" i="11"/>
  <c r="E4678" i="12"/>
  <c r="T4688" i="11"/>
  <c r="E3596" i="12"/>
  <c r="T3604" i="11"/>
  <c r="E3887" i="12"/>
  <c r="T3896" i="11"/>
  <c r="E4143" i="12"/>
  <c r="T4152" i="11"/>
  <c r="E4398" i="12"/>
  <c r="T4408" i="11"/>
  <c r="E4654" i="12"/>
  <c r="T4664" i="11"/>
  <c r="E5073" i="12"/>
  <c r="T5084" i="11"/>
  <c r="E6589" i="12"/>
  <c r="T6601" i="11"/>
  <c r="E6653" i="12"/>
  <c r="T6665" i="11"/>
  <c r="E6717" i="12"/>
  <c r="T6729" i="11"/>
  <c r="E6781" i="12"/>
  <c r="T6793" i="11"/>
  <c r="E6845" i="12"/>
  <c r="T6857" i="11"/>
  <c r="E6909" i="12"/>
  <c r="T6921" i="11"/>
  <c r="E6973" i="12"/>
  <c r="T6985" i="11"/>
  <c r="E7037" i="12"/>
  <c r="T7049" i="11"/>
  <c r="E7101" i="12"/>
  <c r="T7113" i="11"/>
  <c r="E7165" i="12"/>
  <c r="T7177" i="11"/>
  <c r="E7229" i="12"/>
  <c r="T7241" i="11"/>
  <c r="E7293" i="12"/>
  <c r="T7305" i="11"/>
  <c r="E7357" i="12"/>
  <c r="T7369" i="11"/>
  <c r="E7421" i="12"/>
  <c r="T7433" i="11"/>
  <c r="E7485" i="12"/>
  <c r="T7497" i="11"/>
  <c r="E7549" i="12"/>
  <c r="T7561" i="11"/>
  <c r="E5096" i="12"/>
  <c r="T5107" i="11"/>
  <c r="E5128" i="12"/>
  <c r="T5139" i="11"/>
  <c r="E5160" i="12"/>
  <c r="T5171" i="11"/>
  <c r="E5192" i="12"/>
  <c r="T5203" i="11"/>
  <c r="E5224" i="12"/>
  <c r="T5235" i="11"/>
  <c r="E5256" i="12"/>
  <c r="T5267" i="11"/>
  <c r="E5288" i="12"/>
  <c r="T5299" i="11"/>
  <c r="E5320" i="12"/>
  <c r="T5331" i="11"/>
  <c r="E5352" i="12"/>
  <c r="T5363" i="11"/>
  <c r="E5384" i="12"/>
  <c r="T5395" i="11"/>
  <c r="E5416" i="12"/>
  <c r="T5427" i="11"/>
  <c r="E5448" i="12"/>
  <c r="T5459" i="11"/>
  <c r="E5480" i="12"/>
  <c r="T5491" i="11"/>
  <c r="E5512" i="12"/>
  <c r="T5523" i="11"/>
  <c r="E5544" i="12"/>
  <c r="T5555" i="11"/>
  <c r="E5576" i="12"/>
  <c r="T5587" i="11"/>
  <c r="E5608" i="12"/>
  <c r="T5619" i="11"/>
  <c r="E5639" i="12"/>
  <c r="T5651" i="11"/>
  <c r="E5671" i="12"/>
  <c r="T5683" i="11"/>
  <c r="E5703" i="12"/>
  <c r="T5715" i="11"/>
  <c r="E5735" i="12"/>
  <c r="T5747" i="11"/>
  <c r="E5767" i="12"/>
  <c r="T5779" i="11"/>
  <c r="E5799" i="12"/>
  <c r="T5811" i="11"/>
  <c r="E5831" i="12"/>
  <c r="T5843" i="11"/>
  <c r="E5863" i="12"/>
  <c r="T5875" i="11"/>
  <c r="E5895" i="12"/>
  <c r="T5907" i="11"/>
  <c r="E5927" i="12"/>
  <c r="T5939" i="11"/>
  <c r="E5959" i="12"/>
  <c r="T5971" i="11"/>
  <c r="E5991" i="12"/>
  <c r="T6003" i="11"/>
  <c r="E6023" i="12"/>
  <c r="T6035" i="11"/>
  <c r="E6055" i="12"/>
  <c r="T6067" i="11"/>
  <c r="E6087" i="12"/>
  <c r="T6099" i="11"/>
  <c r="E6119" i="12"/>
  <c r="T6131" i="11"/>
  <c r="E6151" i="12"/>
  <c r="T6163" i="11"/>
  <c r="E6183" i="12"/>
  <c r="T6195" i="11"/>
  <c r="E6215" i="12"/>
  <c r="T6227" i="11"/>
  <c r="E6247" i="12"/>
  <c r="T6259" i="11"/>
  <c r="E6279" i="12"/>
  <c r="T6291" i="11"/>
  <c r="E6311" i="12"/>
  <c r="T6323" i="11"/>
  <c r="E6343" i="12"/>
  <c r="T6355" i="11"/>
  <c r="E6375" i="12"/>
  <c r="T6387" i="11"/>
  <c r="E6407" i="12"/>
  <c r="T6419" i="11"/>
  <c r="E6439" i="12"/>
  <c r="T6451" i="11"/>
  <c r="E6471" i="12"/>
  <c r="T6483" i="11"/>
  <c r="E6503" i="12"/>
  <c r="T6515" i="11"/>
  <c r="E6540" i="12"/>
  <c r="T6552" i="11"/>
  <c r="E6604" i="12"/>
  <c r="T6616" i="11"/>
  <c r="E6668" i="12"/>
  <c r="T6680" i="11"/>
  <c r="E6732" i="12"/>
  <c r="T6744" i="11"/>
  <c r="E6796" i="12"/>
  <c r="T6808" i="11"/>
  <c r="E6860" i="12"/>
  <c r="T6872" i="11"/>
  <c r="E6924" i="12"/>
  <c r="T6936" i="11"/>
  <c r="E6988" i="12"/>
  <c r="T7000" i="11"/>
  <c r="E7052" i="12"/>
  <c r="T7064" i="11"/>
  <c r="E7116" i="12"/>
  <c r="T7128" i="11"/>
  <c r="E7180" i="12"/>
  <c r="T7192" i="11"/>
  <c r="E7244" i="12"/>
  <c r="T7256" i="11"/>
  <c r="E7308" i="12"/>
  <c r="T7320" i="11"/>
  <c r="E7372" i="12"/>
  <c r="T7384" i="11"/>
  <c r="E7436" i="12"/>
  <c r="T7448" i="11"/>
  <c r="E7500" i="12"/>
  <c r="T7512" i="11"/>
  <c r="E7564" i="12"/>
  <c r="T7576" i="11"/>
  <c r="E3551" i="12"/>
  <c r="T3559" i="11"/>
  <c r="E5107" i="12"/>
  <c r="T5118" i="11"/>
  <c r="E5139" i="12"/>
  <c r="T5150" i="11"/>
  <c r="E5171" i="12"/>
  <c r="T5182" i="11"/>
  <c r="E5203" i="12"/>
  <c r="T5214" i="11"/>
  <c r="E5235" i="12"/>
  <c r="T5246" i="11"/>
  <c r="E5267" i="12"/>
  <c r="T5278" i="11"/>
  <c r="E5299" i="12"/>
  <c r="T5310" i="11"/>
  <c r="E5331" i="12"/>
  <c r="T5342" i="11"/>
  <c r="E5363" i="12"/>
  <c r="T5374" i="11"/>
  <c r="E5395" i="12"/>
  <c r="T5406" i="11"/>
  <c r="E5427" i="12"/>
  <c r="T5438" i="11"/>
  <c r="E5459" i="12"/>
  <c r="T5470" i="11"/>
  <c r="E5491" i="12"/>
  <c r="T5502" i="11"/>
  <c r="E5523" i="12"/>
  <c r="T5534" i="11"/>
  <c r="E5555" i="12"/>
  <c r="T5566" i="11"/>
  <c r="E5587" i="12"/>
  <c r="T5598" i="11"/>
  <c r="E5619" i="12"/>
  <c r="T5630" i="11"/>
  <c r="E5650" i="12"/>
  <c r="T5662" i="11"/>
  <c r="E5682" i="12"/>
  <c r="T5694" i="11"/>
  <c r="E5714" i="12"/>
  <c r="T5726" i="11"/>
  <c r="E5746" i="12"/>
  <c r="T5758" i="11"/>
  <c r="E5778" i="12"/>
  <c r="T5790" i="11"/>
  <c r="E5810" i="12"/>
  <c r="T5822" i="11"/>
  <c r="E5842" i="12"/>
  <c r="T5854" i="11"/>
  <c r="E5874" i="12"/>
  <c r="T5886" i="11"/>
  <c r="E5906" i="12"/>
  <c r="T5918" i="11"/>
  <c r="E5938" i="12"/>
  <c r="T5950" i="11"/>
  <c r="E5970" i="12"/>
  <c r="T5982" i="11"/>
  <c r="E6002" i="12"/>
  <c r="T6014" i="11"/>
  <c r="E6034" i="12"/>
  <c r="T6046" i="11"/>
  <c r="E6066" i="12"/>
  <c r="T6078" i="11"/>
  <c r="E6098" i="12"/>
  <c r="T6110" i="11"/>
  <c r="E6130" i="12"/>
  <c r="T6142" i="11"/>
  <c r="E6162" i="12"/>
  <c r="T6174" i="11"/>
  <c r="E6194" i="12"/>
  <c r="T6206" i="11"/>
  <c r="E6226" i="12"/>
  <c r="T6238" i="11"/>
  <c r="E6258" i="12"/>
  <c r="T6270" i="11"/>
  <c r="E6290" i="12"/>
  <c r="T6302" i="11"/>
  <c r="E6322" i="12"/>
  <c r="T6334" i="11"/>
  <c r="E6354" i="12"/>
  <c r="T6366" i="11"/>
  <c r="E6386" i="12"/>
  <c r="T6398" i="11"/>
  <c r="E6418" i="12"/>
  <c r="T6430" i="11"/>
  <c r="E6450" i="12"/>
  <c r="T6462" i="11"/>
  <c r="E6482" i="12"/>
  <c r="T6494" i="11"/>
  <c r="E6514" i="12"/>
  <c r="T6526" i="11"/>
  <c r="E6562" i="12"/>
  <c r="T6574" i="11"/>
  <c r="E6626" i="12"/>
  <c r="T6638" i="11"/>
  <c r="E6690" i="12"/>
  <c r="T6702" i="11"/>
  <c r="E6754" i="12"/>
  <c r="T6766" i="11"/>
  <c r="E6818" i="12"/>
  <c r="T6830" i="11"/>
  <c r="E6882" i="12"/>
  <c r="T6894" i="11"/>
  <c r="E6946" i="12"/>
  <c r="T6958" i="11"/>
  <c r="E7010" i="12"/>
  <c r="T7022" i="11"/>
  <c r="E7074" i="12"/>
  <c r="T7086" i="11"/>
  <c r="E7138" i="12"/>
  <c r="T7150" i="11"/>
  <c r="E7202" i="12"/>
  <c r="T7214" i="11"/>
  <c r="E7266" i="12"/>
  <c r="T7278" i="11"/>
  <c r="E7330" i="12"/>
  <c r="T7342" i="11"/>
  <c r="E7394" i="12"/>
  <c r="T7406" i="11"/>
  <c r="E7458" i="12"/>
  <c r="T7470" i="11"/>
  <c r="E7522" i="12"/>
  <c r="T7534" i="11"/>
  <c r="E7722" i="12"/>
  <c r="T7734" i="11"/>
  <c r="E7754" i="12"/>
  <c r="T7766" i="11"/>
  <c r="E7786" i="12"/>
  <c r="T7798" i="11"/>
  <c r="E7818" i="12"/>
  <c r="T7830" i="11"/>
  <c r="E7850" i="12"/>
  <c r="T7862" i="11"/>
  <c r="E7882" i="12"/>
  <c r="T7894" i="11"/>
  <c r="E7914" i="12"/>
  <c r="T7926" i="11"/>
  <c r="E7946" i="12"/>
  <c r="T7958" i="11"/>
  <c r="E7978" i="12"/>
  <c r="T7990" i="11"/>
  <c r="E8010" i="12"/>
  <c r="T8022" i="11"/>
  <c r="E8042" i="12"/>
  <c r="T8054" i="11"/>
  <c r="E8074" i="12"/>
  <c r="T8086" i="11"/>
  <c r="E8106" i="12"/>
  <c r="T8118" i="11"/>
  <c r="E8138" i="12"/>
  <c r="T8150" i="11"/>
  <c r="E8170" i="12"/>
  <c r="T8182" i="11"/>
  <c r="E8202" i="12"/>
  <c r="T8214" i="11"/>
  <c r="E8234" i="12"/>
  <c r="T8246" i="11"/>
  <c r="E8266" i="12"/>
  <c r="T8278" i="11"/>
  <c r="E8298" i="12"/>
  <c r="T8310" i="11"/>
  <c r="E8330" i="12"/>
  <c r="T8342" i="11"/>
  <c r="E8362" i="12"/>
  <c r="T8374" i="11"/>
  <c r="E8394" i="12"/>
  <c r="T8406" i="11"/>
  <c r="E6635" i="12"/>
  <c r="T6647" i="11"/>
  <c r="E6763" i="12"/>
  <c r="T6775" i="11"/>
  <c r="E6891" i="12"/>
  <c r="T6903" i="11"/>
  <c r="E7019" i="12"/>
  <c r="T7031" i="11"/>
  <c r="E7147" i="12"/>
  <c r="T7159" i="11"/>
  <c r="E7275" i="12"/>
  <c r="T7287" i="11"/>
  <c r="E7403" i="12"/>
  <c r="T7415" i="11"/>
  <c r="E7531" i="12"/>
  <c r="T7543" i="11"/>
  <c r="E6623" i="12"/>
  <c r="T6635" i="11"/>
  <c r="E6751" i="12"/>
  <c r="T6763" i="11"/>
  <c r="E6879" i="12"/>
  <c r="T6891" i="11"/>
  <c r="E7007" i="12"/>
  <c r="T7019" i="11"/>
  <c r="E7135" i="12"/>
  <c r="T7147" i="11"/>
  <c r="E7263" i="12"/>
  <c r="T7275" i="11"/>
  <c r="E7391" i="12"/>
  <c r="T7403" i="11"/>
  <c r="E7519" i="12"/>
  <c r="T7531" i="11"/>
  <c r="E7751" i="12"/>
  <c r="T7763" i="11"/>
  <c r="E7815" i="12"/>
  <c r="T7827" i="11"/>
  <c r="E7879" i="12"/>
  <c r="T7891" i="11"/>
  <c r="E7943" i="12"/>
  <c r="T7955" i="11"/>
  <c r="E8007" i="12"/>
  <c r="T8019" i="11"/>
  <c r="E8071" i="12"/>
  <c r="T8083" i="11"/>
  <c r="E8135" i="12"/>
  <c r="T8147" i="11"/>
  <c r="E8199" i="12"/>
  <c r="T8211" i="11"/>
  <c r="E8263" i="12"/>
  <c r="T8275" i="11"/>
  <c r="E8327" i="12"/>
  <c r="T8339" i="11"/>
  <c r="E8391" i="12"/>
  <c r="T8403" i="11"/>
  <c r="E7773" i="12"/>
  <c r="T7785" i="11"/>
  <c r="E7949" i="12"/>
  <c r="T7961" i="11"/>
  <c r="E8081" i="12"/>
  <c r="T8093" i="11"/>
  <c r="E8209" i="12"/>
  <c r="T8221" i="11"/>
  <c r="E8333" i="12"/>
  <c r="T8345" i="11"/>
  <c r="E7849" i="12"/>
  <c r="T7861" i="11"/>
  <c r="E7913" i="12"/>
  <c r="T7925" i="11"/>
  <c r="E8029" i="12"/>
  <c r="T8041" i="11"/>
  <c r="E8157" i="12"/>
  <c r="T8169" i="11"/>
  <c r="E8285" i="12"/>
  <c r="T8297" i="11"/>
  <c r="E12" i="12"/>
  <c r="T16" i="11"/>
  <c r="E30" i="12"/>
  <c r="T34" i="11"/>
  <c r="E264" i="12"/>
  <c r="T268" i="11"/>
  <c r="E564" i="12"/>
  <c r="T569" i="11"/>
  <c r="E913" i="12"/>
  <c r="T920" i="11"/>
  <c r="E439" i="12"/>
  <c r="T444" i="11"/>
  <c r="E254" i="12"/>
  <c r="T258" i="11"/>
  <c r="E700" i="12"/>
  <c r="T706" i="11"/>
  <c r="E993" i="12"/>
  <c r="T1000" i="11"/>
  <c r="E1299" i="12"/>
  <c r="T1306" i="11"/>
  <c r="E308" i="12"/>
  <c r="T313" i="11"/>
  <c r="E867" i="12"/>
  <c r="T873" i="11"/>
  <c r="E1170" i="12"/>
  <c r="T1177" i="11"/>
  <c r="E1414" i="12"/>
  <c r="T1421" i="11"/>
  <c r="E1560" i="12"/>
  <c r="T1567" i="11"/>
  <c r="E1662" i="12"/>
  <c r="T1669" i="11"/>
  <c r="E1742" i="12"/>
  <c r="T1749" i="11"/>
  <c r="E1853" i="12"/>
  <c r="T1861" i="11"/>
  <c r="E347" i="12"/>
  <c r="T352" i="11"/>
  <c r="E804" i="12"/>
  <c r="T810" i="11"/>
  <c r="E1332" i="12"/>
  <c r="T1339" i="11"/>
  <c r="E1484" i="12"/>
  <c r="T1491" i="11"/>
  <c r="E1605" i="12"/>
  <c r="T1612" i="11"/>
  <c r="E1701" i="12"/>
  <c r="T1708" i="11"/>
  <c r="E1797" i="12"/>
  <c r="T1804" i="11"/>
  <c r="E1892" i="12"/>
  <c r="T1900" i="11"/>
  <c r="E683" i="12"/>
  <c r="T689" i="11"/>
  <c r="E938" i="12"/>
  <c r="T945" i="11"/>
  <c r="E1394" i="12"/>
  <c r="T1401" i="11"/>
  <c r="E1522" i="12"/>
  <c r="T1529" i="11"/>
  <c r="E1619" i="12"/>
  <c r="T1626" i="11"/>
  <c r="E1715" i="12"/>
  <c r="T1722" i="11"/>
  <c r="E1826" i="12"/>
  <c r="T1834" i="11"/>
  <c r="E1922" i="12"/>
  <c r="T1930" i="11"/>
  <c r="E1054" i="12"/>
  <c r="T1061" i="11"/>
  <c r="E1486" i="12"/>
  <c r="T1493" i="11"/>
  <c r="E1700" i="12"/>
  <c r="T1707" i="11"/>
  <c r="E1891" i="12"/>
  <c r="T1899" i="11"/>
  <c r="E2016" i="12"/>
  <c r="T2024" i="11"/>
  <c r="E2128" i="12"/>
  <c r="T2136" i="11"/>
  <c r="E2208" i="12"/>
  <c r="T2216" i="11"/>
  <c r="E2304" i="12"/>
  <c r="T2312" i="11"/>
  <c r="E2416" i="12"/>
  <c r="T2424" i="11"/>
  <c r="E2528" i="12"/>
  <c r="T2536" i="11"/>
  <c r="E2608" i="12"/>
  <c r="T2616" i="11"/>
  <c r="E2720" i="12"/>
  <c r="T2728" i="11"/>
  <c r="E2832" i="12"/>
  <c r="T2840" i="11"/>
  <c r="E2928" i="12"/>
  <c r="T2936" i="11"/>
  <c r="E3024" i="12"/>
  <c r="T3032" i="11"/>
  <c r="E3136" i="12"/>
  <c r="T3144" i="11"/>
  <c r="E3232" i="12"/>
  <c r="T3240" i="11"/>
  <c r="E3312" i="12"/>
  <c r="T3320" i="11"/>
  <c r="E1025" i="12"/>
  <c r="T1032" i="11"/>
  <c r="E2011" i="12"/>
  <c r="T2019" i="11"/>
  <c r="E2107" i="12"/>
  <c r="T2115" i="11"/>
  <c r="E2187" i="12"/>
  <c r="T2195" i="11"/>
  <c r="E2299" i="12"/>
  <c r="T2307" i="11"/>
  <c r="E2411" i="12"/>
  <c r="T2419" i="11"/>
  <c r="E2491" i="12"/>
  <c r="T2499" i="11"/>
  <c r="E999" i="12"/>
  <c r="T1006" i="11"/>
  <c r="E1957" i="12"/>
  <c r="T1965" i="11"/>
  <c r="E2069" i="12"/>
  <c r="T2077" i="11"/>
  <c r="E2149" i="12"/>
  <c r="T2157" i="11"/>
  <c r="E2277" i="12"/>
  <c r="T2285" i="11"/>
  <c r="E2373" i="12"/>
  <c r="T2381" i="11"/>
  <c r="E2469" i="12"/>
  <c r="T2477" i="11"/>
  <c r="E2565" i="12"/>
  <c r="T2573" i="11"/>
  <c r="E2677" i="12"/>
  <c r="T2685" i="11"/>
  <c r="E2773" i="12"/>
  <c r="T2781" i="11"/>
  <c r="E2853" i="12"/>
  <c r="T2861" i="11"/>
  <c r="E2965" i="12"/>
  <c r="T2973" i="11"/>
  <c r="E3077" i="12"/>
  <c r="T3085" i="11"/>
  <c r="E3157" i="12"/>
  <c r="T3165" i="11"/>
  <c r="E2555" i="12"/>
  <c r="T2563" i="11"/>
  <c r="E2667" i="12"/>
  <c r="T2675" i="11"/>
  <c r="E2779" i="12"/>
  <c r="T2787" i="11"/>
  <c r="E2891" i="12"/>
  <c r="T2899" i="11"/>
  <c r="E2971" i="12"/>
  <c r="T2979" i="11"/>
  <c r="E3099" i="12"/>
  <c r="T3107" i="11"/>
  <c r="E3354" i="12"/>
  <c r="T3362" i="11"/>
  <c r="E3450" i="12"/>
  <c r="T3458" i="11"/>
  <c r="E3530" i="12"/>
  <c r="T3538" i="11"/>
  <c r="E3658" i="12"/>
  <c r="T3666" i="11"/>
  <c r="E1534" i="12"/>
  <c r="T1541" i="11"/>
  <c r="E1855" i="12"/>
  <c r="T1863" i="11"/>
  <c r="E2086" i="12"/>
  <c r="T2094" i="11"/>
  <c r="E2246" i="12"/>
  <c r="T2254" i="11"/>
  <c r="E2406" i="12"/>
  <c r="T2414" i="11"/>
  <c r="E2534" i="12"/>
  <c r="T2542" i="11"/>
  <c r="E3233" i="12"/>
  <c r="T3241" i="11"/>
  <c r="E3275" i="12"/>
  <c r="T3283" i="11"/>
  <c r="E3318" i="12"/>
  <c r="T3326" i="11"/>
  <c r="E3381" i="12"/>
  <c r="T3389" i="11"/>
  <c r="E3445" i="12"/>
  <c r="T3453" i="11"/>
  <c r="E3509" i="12"/>
  <c r="T3517" i="11"/>
  <c r="E1399" i="12"/>
  <c r="T1406" i="11"/>
  <c r="E1752" i="12"/>
  <c r="T1759" i="11"/>
  <c r="E1962" i="12"/>
  <c r="T1970" i="11"/>
  <c r="E2090" i="12"/>
  <c r="T2098" i="11"/>
  <c r="E2218" i="12"/>
  <c r="T2226" i="11"/>
  <c r="E2346" i="12"/>
  <c r="T2354" i="11"/>
  <c r="E2474" i="12"/>
  <c r="T2482" i="11"/>
  <c r="E2570" i="12"/>
  <c r="T2578" i="11"/>
  <c r="E2634" i="12"/>
  <c r="T2642" i="11"/>
  <c r="E2698" i="12"/>
  <c r="T2706" i="11"/>
  <c r="E2762" i="12"/>
  <c r="T2770" i="11"/>
  <c r="E2842" i="12"/>
  <c r="T2850" i="11"/>
  <c r="E2938" i="12"/>
  <c r="T2946" i="11"/>
  <c r="E3050" i="12"/>
  <c r="T3058" i="11"/>
  <c r="E3146" i="12"/>
  <c r="T3154" i="11"/>
  <c r="E3226" i="12"/>
  <c r="T3234" i="11"/>
  <c r="E3279" i="12"/>
  <c r="T3287" i="11"/>
  <c r="E3355" i="12"/>
  <c r="T3363" i="11"/>
  <c r="E3455" i="12"/>
  <c r="T3463" i="11"/>
  <c r="E3552" i="12"/>
  <c r="T3560" i="11"/>
  <c r="E3616" i="12"/>
  <c r="T3624" i="11"/>
  <c r="E3702" i="12"/>
  <c r="T3710" i="11"/>
  <c r="E3797" i="12"/>
  <c r="T3806" i="11"/>
  <c r="E3893" i="12"/>
  <c r="T3902" i="11"/>
  <c r="E3989" i="12"/>
  <c r="T3998" i="11"/>
  <c r="E4085" i="12"/>
  <c r="T4094" i="11"/>
  <c r="E4180" i="12"/>
  <c r="T4190" i="11"/>
  <c r="E4276" i="12"/>
  <c r="T4286" i="11"/>
  <c r="E4388" i="12"/>
  <c r="T4398" i="11"/>
  <c r="E4484" i="12"/>
  <c r="T4494" i="11"/>
  <c r="E4564" i="12"/>
  <c r="T4574" i="11"/>
  <c r="E4692" i="12"/>
  <c r="T4702" i="11"/>
  <c r="E3428" i="12"/>
  <c r="T3436" i="11"/>
  <c r="E3508" i="12"/>
  <c r="T3516" i="11"/>
  <c r="E3764" i="12"/>
  <c r="T3773" i="11"/>
  <c r="E3860" i="12"/>
  <c r="T3869" i="11"/>
  <c r="E3956" i="12"/>
  <c r="T3965" i="11"/>
  <c r="E4020" i="12"/>
  <c r="T4029" i="11"/>
  <c r="E4148" i="12"/>
  <c r="T4157" i="11"/>
  <c r="E4259" i="12"/>
  <c r="T4269" i="11"/>
  <c r="E4339" i="12"/>
  <c r="T4349" i="11"/>
  <c r="E4451" i="12"/>
  <c r="T4461" i="11"/>
  <c r="E4547" i="12"/>
  <c r="T4557" i="11"/>
  <c r="E4643" i="12"/>
  <c r="T4653" i="11"/>
  <c r="E3356" i="12"/>
  <c r="T3364" i="11"/>
  <c r="E3774" i="12"/>
  <c r="T3783" i="11"/>
  <c r="E3886" i="12"/>
  <c r="T3895" i="11"/>
  <c r="E3966" i="12"/>
  <c r="T3975" i="11"/>
  <c r="E4094" i="12"/>
  <c r="T4103" i="11"/>
  <c r="E4189" i="12"/>
  <c r="T4199" i="11"/>
  <c r="E4285" i="12"/>
  <c r="T4295" i="11"/>
  <c r="E4381" i="12"/>
  <c r="T4391" i="11"/>
  <c r="E4509" i="12"/>
  <c r="T4519" i="11"/>
  <c r="E4589" i="12"/>
  <c r="T4599" i="11"/>
  <c r="E4685" i="12"/>
  <c r="T4695" i="11"/>
  <c r="E3668" i="12"/>
  <c r="T3676" i="11"/>
  <c r="E3859" i="12"/>
  <c r="T3868" i="11"/>
  <c r="E4051" i="12"/>
  <c r="T4060" i="11"/>
  <c r="E4274" i="12"/>
  <c r="T4284" i="11"/>
  <c r="E4498" i="12"/>
  <c r="T4508" i="11"/>
  <c r="E4658" i="12"/>
  <c r="T4668" i="11"/>
  <c r="E4726" i="12"/>
  <c r="T4736" i="11"/>
  <c r="E4774" i="12"/>
  <c r="T4784" i="11"/>
  <c r="E4822" i="12"/>
  <c r="T4832" i="11"/>
  <c r="E4870" i="12"/>
  <c r="T4880" i="11"/>
  <c r="E4917" i="12"/>
  <c r="T4928" i="11"/>
  <c r="E4974" i="12"/>
  <c r="T4985" i="11"/>
  <c r="E5070" i="12"/>
  <c r="T5081" i="11"/>
  <c r="E4759" i="12"/>
  <c r="T4769" i="11"/>
  <c r="E4815" i="12"/>
  <c r="T4825" i="11"/>
  <c r="E4871" i="12"/>
  <c r="T4881" i="11"/>
  <c r="E4910" i="12"/>
  <c r="T4921" i="11"/>
  <c r="E4976" i="12"/>
  <c r="T4987" i="11"/>
  <c r="E3580" i="12"/>
  <c r="T3588" i="11"/>
  <c r="E3943" i="12"/>
  <c r="T3952" i="11"/>
  <c r="E4390" i="12"/>
  <c r="T4400" i="11"/>
  <c r="E3545" i="12"/>
  <c r="T3553" i="11"/>
  <c r="E3791" i="12"/>
  <c r="T3800" i="11"/>
  <c r="E4174" i="12"/>
  <c r="T4184" i="11"/>
  <c r="E4622" i="12"/>
  <c r="T4632" i="11"/>
  <c r="E6549" i="12"/>
  <c r="T6561" i="11"/>
  <c r="E6645" i="12"/>
  <c r="T6657" i="11"/>
  <c r="E6773" i="12"/>
  <c r="T6785" i="11"/>
  <c r="E6885" i="12"/>
  <c r="T6897" i="11"/>
  <c r="E6965" i="12"/>
  <c r="T6977" i="11"/>
  <c r="E7061" i="12"/>
  <c r="T7073" i="11"/>
  <c r="E7173" i="12"/>
  <c r="T7185" i="11"/>
  <c r="E7269" i="12"/>
  <c r="T7281" i="11"/>
  <c r="E7365" i="12"/>
  <c r="T7377" i="11"/>
  <c r="E7445" i="12"/>
  <c r="T7457" i="11"/>
  <c r="E7557" i="12"/>
  <c r="T7569" i="11"/>
  <c r="E5124" i="12"/>
  <c r="T5135" i="11"/>
  <c r="E5164" i="12"/>
  <c r="T5175" i="11"/>
  <c r="E5220" i="12"/>
  <c r="T5231" i="11"/>
  <c r="E5276" i="12"/>
  <c r="T5287" i="11"/>
  <c r="E5324" i="12"/>
  <c r="T5335" i="11"/>
  <c r="E5372" i="12"/>
  <c r="T5383" i="11"/>
  <c r="E5420" i="12"/>
  <c r="T5431" i="11"/>
  <c r="E5468" i="12"/>
  <c r="T5479" i="11"/>
  <c r="E5516" i="12"/>
  <c r="T5527" i="11"/>
  <c r="E5564" i="12"/>
  <c r="T5575" i="11"/>
  <c r="E5620" i="12"/>
  <c r="T5631" i="11"/>
  <c r="E5667" i="12"/>
  <c r="T5679" i="11"/>
  <c r="E5715" i="12"/>
  <c r="T5727" i="11"/>
  <c r="E5763" i="12"/>
  <c r="T5775" i="11"/>
  <c r="E5811" i="12"/>
  <c r="T5823" i="11"/>
  <c r="E5867" i="12"/>
  <c r="T5879" i="11"/>
  <c r="E5923" i="12"/>
  <c r="T5935" i="11"/>
  <c r="E5995" i="12"/>
  <c r="T6007" i="11"/>
  <c r="E6051" i="12"/>
  <c r="T6063" i="11"/>
  <c r="E6091" i="12"/>
  <c r="T6103" i="11"/>
  <c r="E6139" i="12"/>
  <c r="T6151" i="11"/>
  <c r="E6203" i="12"/>
  <c r="T6215" i="11"/>
  <c r="E6259" i="12"/>
  <c r="T6271" i="11"/>
  <c r="E6299" i="12"/>
  <c r="T6311" i="11"/>
  <c r="E6347" i="12"/>
  <c r="T6359" i="11"/>
  <c r="E6411" i="12"/>
  <c r="T6423" i="11"/>
  <c r="E6459" i="12"/>
  <c r="T6471" i="11"/>
  <c r="E6515" i="12"/>
  <c r="T6527" i="11"/>
  <c r="E6612" i="12"/>
  <c r="T6624" i="11"/>
  <c r="E6708" i="12"/>
  <c r="T6720" i="11"/>
  <c r="E6788" i="12"/>
  <c r="T6800" i="11"/>
  <c r="E6884" i="12"/>
  <c r="T6896" i="11"/>
  <c r="E7012" i="12"/>
  <c r="T7024" i="11"/>
  <c r="E7108" i="12"/>
  <c r="T7120" i="11"/>
  <c r="E7204" i="12"/>
  <c r="T7216" i="11"/>
  <c r="E7316" i="12"/>
  <c r="T7328" i="11"/>
  <c r="E7412" i="12"/>
  <c r="T7424" i="11"/>
  <c r="E7508" i="12"/>
  <c r="T7520" i="11"/>
  <c r="E5037" i="12"/>
  <c r="T5048" i="11"/>
  <c r="E5119" i="12"/>
  <c r="T5130" i="11"/>
  <c r="E5175" i="12"/>
  <c r="T5186" i="11"/>
  <c r="E5215" i="12"/>
  <c r="T5226" i="11"/>
  <c r="E5271" i="12"/>
  <c r="T5282" i="11"/>
  <c r="E5327" i="12"/>
  <c r="T5338" i="11"/>
  <c r="E5383" i="12"/>
  <c r="T5394" i="11"/>
  <c r="E5423" i="12"/>
  <c r="T5434" i="11"/>
  <c r="E5479" i="12"/>
  <c r="T5490" i="11"/>
  <c r="E5535" i="12"/>
  <c r="T5546" i="11"/>
  <c r="E5575" i="12"/>
  <c r="T5586" i="11"/>
  <c r="E5630" i="12"/>
  <c r="T5642" i="11"/>
  <c r="E5686" i="12"/>
  <c r="T5698" i="11"/>
  <c r="E5742" i="12"/>
  <c r="T5754" i="11"/>
  <c r="E5782" i="12"/>
  <c r="T5794" i="11"/>
  <c r="E5838" i="12"/>
  <c r="T5850" i="11"/>
  <c r="E5894" i="12"/>
  <c r="T5906" i="11"/>
  <c r="E5942" i="12"/>
  <c r="T5954" i="11"/>
  <c r="E5990" i="12"/>
  <c r="T6002" i="11"/>
  <c r="E6046" i="12"/>
  <c r="T6058" i="11"/>
  <c r="E6102" i="12"/>
  <c r="T6114" i="11"/>
  <c r="E6150" i="12"/>
  <c r="T6162" i="11"/>
  <c r="E6198" i="12"/>
  <c r="T6210" i="11"/>
  <c r="E6254" i="12"/>
  <c r="T6266" i="11"/>
  <c r="E6310" i="12"/>
  <c r="T6322" i="11"/>
  <c r="E6350" i="12"/>
  <c r="T6362" i="11"/>
  <c r="E6398" i="12"/>
  <c r="T6410" i="11"/>
  <c r="E6462" i="12"/>
  <c r="T6474" i="11"/>
  <c r="E6518" i="12"/>
  <c r="T6530" i="11"/>
  <c r="E6586" i="12"/>
  <c r="T6598" i="11"/>
  <c r="E6698" i="12"/>
  <c r="T6710" i="11"/>
  <c r="E6810" i="12"/>
  <c r="T6822" i="11"/>
  <c r="E6906" i="12"/>
  <c r="T6918" i="11"/>
  <c r="E7002" i="12"/>
  <c r="T7014" i="11"/>
  <c r="E7114" i="12"/>
  <c r="T7126" i="11"/>
  <c r="E7210" i="12"/>
  <c r="T7222" i="11"/>
  <c r="E7306" i="12"/>
  <c r="T7318" i="11"/>
  <c r="E7402" i="12"/>
  <c r="T7414" i="11"/>
  <c r="E7514" i="12"/>
  <c r="T7526" i="11"/>
  <c r="E7734" i="12"/>
  <c r="T7746" i="11"/>
  <c r="E7782" i="12"/>
  <c r="T7794" i="11"/>
  <c r="E7822" i="12"/>
  <c r="T7834" i="11"/>
  <c r="E7862" i="12"/>
  <c r="T7874" i="11"/>
  <c r="E7902" i="12"/>
  <c r="T7914" i="11"/>
  <c r="E7934" i="12"/>
  <c r="T7946" i="11"/>
  <c r="E7966" i="12"/>
  <c r="T7978" i="11"/>
  <c r="E7998" i="12"/>
  <c r="T8010" i="11"/>
  <c r="E8030" i="12"/>
  <c r="T8042" i="11"/>
  <c r="E8062" i="12"/>
  <c r="T8074" i="11"/>
  <c r="E8094" i="12"/>
  <c r="T8106" i="11"/>
  <c r="E8126" i="12"/>
  <c r="T8138" i="11"/>
  <c r="E8158" i="12"/>
  <c r="T8170" i="11"/>
  <c r="E8198" i="12"/>
  <c r="T8210" i="11"/>
  <c r="E8230" i="12"/>
  <c r="T8242" i="11"/>
  <c r="E8262" i="12"/>
  <c r="T8274" i="11"/>
  <c r="E8294" i="12"/>
  <c r="T8306" i="11"/>
  <c r="E8326" i="12"/>
  <c r="T8338" i="11"/>
  <c r="E8358" i="12"/>
  <c r="T8370" i="11"/>
  <c r="E8390" i="12"/>
  <c r="T8402" i="11"/>
  <c r="E6619" i="12"/>
  <c r="T6631" i="11"/>
  <c r="E6747" i="12"/>
  <c r="T6759" i="11"/>
  <c r="E6875" i="12"/>
  <c r="T6887" i="11"/>
  <c r="E7003" i="12"/>
  <c r="T7015" i="11"/>
  <c r="E7131" i="12"/>
  <c r="T7143" i="11"/>
  <c r="E7259" i="12"/>
  <c r="T7271" i="11"/>
  <c r="E7387" i="12"/>
  <c r="T7399" i="11"/>
  <c r="E7515" i="12"/>
  <c r="T7527" i="11"/>
  <c r="E6607" i="12"/>
  <c r="T6619" i="11"/>
  <c r="E6735" i="12"/>
  <c r="T6747" i="11"/>
  <c r="E6863" i="12"/>
  <c r="T6875" i="11"/>
  <c r="E6991" i="12"/>
  <c r="T7003" i="11"/>
  <c r="E7119" i="12"/>
  <c r="T7131" i="11"/>
  <c r="E7247" i="12"/>
  <c r="T7259" i="11"/>
  <c r="E7375" i="12"/>
  <c r="T7387" i="11"/>
  <c r="E7503" i="12"/>
  <c r="T7515" i="11"/>
  <c r="E7743" i="12"/>
  <c r="T7755" i="11"/>
  <c r="E7807" i="12"/>
  <c r="T7819" i="11"/>
  <c r="E7871" i="12"/>
  <c r="T7883" i="11"/>
  <c r="E7935" i="12"/>
  <c r="T7947" i="11"/>
  <c r="E7999" i="12"/>
  <c r="T8011" i="11"/>
  <c r="E8063" i="12"/>
  <c r="T8075" i="11"/>
  <c r="E8127" i="12"/>
  <c r="T8139" i="11"/>
  <c r="E8191" i="12"/>
  <c r="T8203" i="11"/>
  <c r="E8255" i="12"/>
  <c r="T8267" i="11"/>
  <c r="E8319" i="12"/>
  <c r="T8331" i="11"/>
  <c r="E8383" i="12"/>
  <c r="T8395" i="11"/>
  <c r="E7765" i="12"/>
  <c r="T7777" i="11"/>
  <c r="E7937" i="12"/>
  <c r="T7949" i="11"/>
  <c r="E8065" i="12"/>
  <c r="T8077" i="11"/>
  <c r="E8189" i="12"/>
  <c r="T8201" i="11"/>
  <c r="E8321" i="12"/>
  <c r="T8333" i="11"/>
  <c r="E7841" i="12"/>
  <c r="T7853" i="11"/>
  <c r="E7905" i="12"/>
  <c r="T7917" i="11"/>
  <c r="E8013" i="12"/>
  <c r="T8025" i="11"/>
  <c r="E8141" i="12"/>
  <c r="T8153" i="11"/>
  <c r="E8269" i="12"/>
  <c r="T8281" i="11"/>
  <c r="E142" i="12"/>
  <c r="T146" i="11"/>
  <c r="E120" i="12"/>
  <c r="T124" i="11"/>
  <c r="E305" i="12"/>
  <c r="T309" i="11"/>
  <c r="E627" i="12"/>
  <c r="T633" i="11"/>
  <c r="E44" i="12"/>
  <c r="T48" i="11"/>
  <c r="E413" i="12"/>
  <c r="T418" i="11"/>
  <c r="E260" i="12"/>
  <c r="T264" i="11"/>
  <c r="E650" i="12"/>
  <c r="T656" i="11"/>
  <c r="E962" i="12"/>
  <c r="T969" i="11"/>
  <c r="E1275" i="12"/>
  <c r="T1282" i="11"/>
  <c r="E157" i="12"/>
  <c r="T161" i="11"/>
  <c r="E735" i="12"/>
  <c r="T741" i="11"/>
  <c r="E1089" i="12"/>
  <c r="T1096" i="11"/>
  <c r="E1295" i="12"/>
  <c r="T1302" i="11"/>
  <c r="E1480" i="12"/>
  <c r="T1487" i="11"/>
  <c r="E1602" i="12"/>
  <c r="T1609" i="11"/>
  <c r="E1666" i="12"/>
  <c r="T1673" i="11"/>
  <c r="E1794" i="12"/>
  <c r="T1801" i="11"/>
  <c r="E1889" i="12"/>
  <c r="T1897" i="11"/>
  <c r="E600" i="12"/>
  <c r="T606" i="11"/>
  <c r="E1113" i="12"/>
  <c r="T1120" i="11"/>
  <c r="E1404" i="12"/>
  <c r="T1411" i="11"/>
  <c r="E1532" i="12"/>
  <c r="T1539" i="11"/>
  <c r="E1641" i="12"/>
  <c r="T1648" i="11"/>
  <c r="E1753" i="12"/>
  <c r="T1760" i="11"/>
  <c r="E1848" i="12"/>
  <c r="T1856" i="11"/>
  <c r="E544" i="12"/>
  <c r="T549" i="11"/>
  <c r="E806" i="12"/>
  <c r="T812" i="11"/>
  <c r="E1314" i="12"/>
  <c r="T1321" i="11"/>
  <c r="E1460" i="12"/>
  <c r="T1467" i="11"/>
  <c r="E1591" i="12"/>
  <c r="T1598" i="11"/>
  <c r="E1719" i="12"/>
  <c r="T1726" i="11"/>
  <c r="E1814" i="12"/>
  <c r="T1822" i="11"/>
  <c r="E1894" i="12"/>
  <c r="T1902" i="11"/>
  <c r="E890" i="12"/>
  <c r="T897" i="11"/>
  <c r="E1376" i="12"/>
  <c r="T1383" i="11"/>
  <c r="E1644" i="12"/>
  <c r="T1651" i="11"/>
  <c r="E1835" i="12"/>
  <c r="T1843" i="11"/>
  <c r="E2004" i="12"/>
  <c r="T2012" i="11"/>
  <c r="E2100" i="12"/>
  <c r="T2108" i="11"/>
  <c r="E2212" i="12"/>
  <c r="T2220" i="11"/>
  <c r="E2308" i="12"/>
  <c r="T2316" i="11"/>
  <c r="E2420" i="12"/>
  <c r="T2428" i="11"/>
  <c r="E2532" i="12"/>
  <c r="T2540" i="11"/>
  <c r="E2628" i="12"/>
  <c r="T2636" i="11"/>
  <c r="E2740" i="12"/>
  <c r="T2748" i="11"/>
  <c r="E2852" i="12"/>
  <c r="T2860" i="11"/>
  <c r="E2948" i="12"/>
  <c r="T2956" i="11"/>
  <c r="E3028" i="12"/>
  <c r="T3036" i="11"/>
  <c r="E3156" i="12"/>
  <c r="T3164" i="11"/>
  <c r="E3236" i="12"/>
  <c r="T3244" i="11"/>
  <c r="E3316" i="12"/>
  <c r="T3324" i="11"/>
  <c r="E1179" i="12"/>
  <c r="T1186" i="11"/>
  <c r="E2015" i="12"/>
  <c r="T2023" i="11"/>
  <c r="E2111" i="12"/>
  <c r="T2119" i="11"/>
  <c r="E2191" i="12"/>
  <c r="T2199" i="11"/>
  <c r="E2287" i="12"/>
  <c r="T2295" i="11"/>
  <c r="E2399" i="12"/>
  <c r="T2407" i="11"/>
  <c r="E2479" i="12"/>
  <c r="T2487" i="11"/>
  <c r="E699" i="12"/>
  <c r="T705" i="11"/>
  <c r="E1961" i="12"/>
  <c r="T1969" i="11"/>
  <c r="E2057" i="12"/>
  <c r="T2065" i="11"/>
  <c r="E2137" i="12"/>
  <c r="T2145" i="11"/>
  <c r="E2233" i="12"/>
  <c r="T2241" i="11"/>
  <c r="E2345" i="12"/>
  <c r="T2353" i="11"/>
  <c r="E2441" i="12"/>
  <c r="T2449" i="11"/>
  <c r="E2537" i="12"/>
  <c r="T2545" i="11"/>
  <c r="E2665" i="12"/>
  <c r="T2673" i="11"/>
  <c r="E2745" i="12"/>
  <c r="T2753" i="11"/>
  <c r="E2841" i="12"/>
  <c r="T2849" i="11"/>
  <c r="E2937" i="12"/>
  <c r="T2945" i="11"/>
  <c r="E3065" i="12"/>
  <c r="T3073" i="11"/>
  <c r="E3161" i="12"/>
  <c r="T3169" i="11"/>
  <c r="E2543" i="12"/>
  <c r="T2551" i="11"/>
  <c r="E2639" i="12"/>
  <c r="T2647" i="11"/>
  <c r="E2767" i="12"/>
  <c r="T2775" i="11"/>
  <c r="E2863" i="12"/>
  <c r="T2871" i="11"/>
  <c r="E2943" i="12"/>
  <c r="T2951" i="11"/>
  <c r="E3071" i="12"/>
  <c r="T3079" i="11"/>
  <c r="E3183" i="12"/>
  <c r="T3191" i="11"/>
  <c r="E3422" i="12"/>
  <c r="T3430" i="11"/>
  <c r="E3518" i="12"/>
  <c r="T3526" i="11"/>
  <c r="E3630" i="12"/>
  <c r="T3638" i="11"/>
  <c r="E1424" i="12"/>
  <c r="T1431" i="11"/>
  <c r="E1808" i="12"/>
  <c r="T1815" i="11"/>
  <c r="E2094" i="12"/>
  <c r="T2102" i="11"/>
  <c r="E2254" i="12"/>
  <c r="T2262" i="11"/>
  <c r="E2446" i="12"/>
  <c r="T2454" i="11"/>
  <c r="E3235" i="12"/>
  <c r="T3243" i="11"/>
  <c r="E3299" i="12"/>
  <c r="T3307" i="11"/>
  <c r="E3353" i="12"/>
  <c r="T3361" i="11"/>
  <c r="E3449" i="12"/>
  <c r="T3457" i="11"/>
  <c r="E1303" i="12"/>
  <c r="T1310" i="11"/>
  <c r="E1831" i="12"/>
  <c r="T1839" i="11"/>
  <c r="E2066" i="12"/>
  <c r="T2074" i="11"/>
  <c r="E2290" i="12"/>
  <c r="T2298" i="11"/>
  <c r="E2482" i="12"/>
  <c r="T2490" i="11"/>
  <c r="E2590" i="12"/>
  <c r="T2598" i="11"/>
  <c r="E2702" i="12"/>
  <c r="T2710" i="11"/>
  <c r="E2814" i="12"/>
  <c r="T2822" i="11"/>
  <c r="E2894" i="12"/>
  <c r="T2902" i="11"/>
  <c r="E2990" i="12"/>
  <c r="T2998" i="11"/>
  <c r="E3118" i="12"/>
  <c r="T3126" i="11"/>
  <c r="E3207" i="12"/>
  <c r="T3215" i="11"/>
  <c r="E3261" i="12"/>
  <c r="T3269" i="11"/>
  <c r="E3346" i="12"/>
  <c r="T3354" i="11"/>
  <c r="E3427" i="12"/>
  <c r="T3435" i="11"/>
  <c r="E3507" i="12"/>
  <c r="T3515" i="11"/>
  <c r="E3576" i="12"/>
  <c r="T3584" i="11"/>
  <c r="E3651" i="12"/>
  <c r="T3659" i="11"/>
  <c r="E3737" i="12"/>
  <c r="T3746" i="11"/>
  <c r="E3833" i="12"/>
  <c r="T3842" i="11"/>
  <c r="E3929" i="12"/>
  <c r="T3938" i="11"/>
  <c r="E4041" i="12"/>
  <c r="T4050" i="11"/>
  <c r="E4121" i="12"/>
  <c r="T4130" i="11"/>
  <c r="E4216" i="12"/>
  <c r="T4226" i="11"/>
  <c r="E4296" i="12"/>
  <c r="T4306" i="11"/>
  <c r="E4408" i="12"/>
  <c r="T4418" i="11"/>
  <c r="E4504" i="12"/>
  <c r="T4514" i="11"/>
  <c r="E4600" i="12"/>
  <c r="T4610" i="11"/>
  <c r="E1150" i="12"/>
  <c r="T1157" i="11"/>
  <c r="E3448" i="12"/>
  <c r="T3456" i="11"/>
  <c r="E3673" i="12"/>
  <c r="T3681" i="11"/>
  <c r="E3800" i="12"/>
  <c r="T3809" i="11"/>
  <c r="E3896" i="12"/>
  <c r="T3905" i="11"/>
  <c r="E4008" i="12"/>
  <c r="T4017" i="11"/>
  <c r="E4088" i="12"/>
  <c r="T4097" i="11"/>
  <c r="E4199" i="12"/>
  <c r="T4209" i="11"/>
  <c r="E4311" i="12"/>
  <c r="T4321" i="11"/>
  <c r="E4391" i="12"/>
  <c r="T4401" i="11"/>
  <c r="E4487" i="12"/>
  <c r="T4497" i="11"/>
  <c r="E4599" i="12"/>
  <c r="T4609" i="11"/>
  <c r="E4695" i="12"/>
  <c r="T4705" i="11"/>
  <c r="E3715" i="12"/>
  <c r="T3723" i="11"/>
  <c r="E3810" i="12"/>
  <c r="T3819" i="11"/>
  <c r="E3922" i="12"/>
  <c r="T3931" i="11"/>
  <c r="E4034" i="12"/>
  <c r="T4043" i="11"/>
  <c r="E4114" i="12"/>
  <c r="T4123" i="11"/>
  <c r="E4209" i="12"/>
  <c r="T4219" i="11"/>
  <c r="E4337" i="12"/>
  <c r="T4347" i="11"/>
  <c r="E4417" i="12"/>
  <c r="T4427" i="11"/>
  <c r="E4513" i="12"/>
  <c r="T4523" i="11"/>
  <c r="E4625" i="12"/>
  <c r="T4635" i="11"/>
  <c r="E3543" i="12"/>
  <c r="T3551" i="11"/>
  <c r="E3652" i="12"/>
  <c r="T3660" i="11"/>
  <c r="E3835" i="12"/>
  <c r="T3844" i="11"/>
  <c r="E4059" i="12"/>
  <c r="T4068" i="11"/>
  <c r="E4250" i="12"/>
  <c r="T4260" i="11"/>
  <c r="E4506" i="12"/>
  <c r="T4516" i="11"/>
  <c r="E4698" i="12"/>
  <c r="T4708" i="11"/>
  <c r="E5067" i="12"/>
  <c r="T5078" i="11"/>
  <c r="E4760" i="12"/>
  <c r="T4770" i="11"/>
  <c r="E4816" i="12"/>
  <c r="T4826" i="11"/>
  <c r="E4872" i="12"/>
  <c r="T4882" i="11"/>
  <c r="E4911" i="12"/>
  <c r="T4922" i="11"/>
  <c r="E4959" i="12"/>
  <c r="T4970" i="11"/>
  <c r="E5058" i="12"/>
  <c r="T5069" i="11"/>
  <c r="E4761" i="12"/>
  <c r="T4771" i="11"/>
  <c r="E4809" i="12"/>
  <c r="T4819" i="11"/>
  <c r="E4865" i="12"/>
  <c r="T4875" i="11"/>
  <c r="E4920" i="12"/>
  <c r="T4931" i="11"/>
  <c r="E4968" i="12"/>
  <c r="T4979" i="11"/>
  <c r="E5044" i="12"/>
  <c r="T5055" i="11"/>
  <c r="E3895" i="12"/>
  <c r="T3904" i="11"/>
  <c r="E4342" i="12"/>
  <c r="T4352" i="11"/>
  <c r="E4662" i="12"/>
  <c r="T4672" i="11"/>
  <c r="E3807" i="12"/>
  <c r="T3816" i="11"/>
  <c r="E4190" i="12"/>
  <c r="T4200" i="11"/>
  <c r="E4574" i="12"/>
  <c r="T4584" i="11"/>
  <c r="E6553" i="12"/>
  <c r="T6565" i="11"/>
  <c r="E6665" i="12"/>
  <c r="T6677" i="11"/>
  <c r="E6761" i="12"/>
  <c r="T6773" i="11"/>
  <c r="E6841" i="12"/>
  <c r="T6853" i="11"/>
  <c r="E6937" i="12"/>
  <c r="T6949" i="11"/>
  <c r="E7049" i="12"/>
  <c r="T7061" i="11"/>
  <c r="E7145" i="12"/>
  <c r="T7157" i="11"/>
  <c r="E7257" i="12"/>
  <c r="T7269" i="11"/>
  <c r="E7385" i="12"/>
  <c r="T7397" i="11"/>
  <c r="E7481" i="12"/>
  <c r="T7493" i="11"/>
  <c r="E3593" i="12"/>
  <c r="T3601" i="11"/>
  <c r="E5134" i="12"/>
  <c r="T5145" i="11"/>
  <c r="E5190" i="12"/>
  <c r="T5201" i="11"/>
  <c r="E5238" i="12"/>
  <c r="T5249" i="11"/>
  <c r="E5278" i="12"/>
  <c r="T5289" i="11"/>
  <c r="E5334" i="12"/>
  <c r="T5345" i="11"/>
  <c r="E5390" i="12"/>
  <c r="T5401" i="11"/>
  <c r="E5438" i="12"/>
  <c r="T5449" i="11"/>
  <c r="E5486" i="12"/>
  <c r="T5497" i="11"/>
  <c r="E5542" i="12"/>
  <c r="T5553" i="11"/>
  <c r="E5598" i="12"/>
  <c r="T5609" i="11"/>
  <c r="E5645" i="12"/>
  <c r="T5657" i="11"/>
  <c r="E5693" i="12"/>
  <c r="T5705" i="11"/>
  <c r="E5749" i="12"/>
  <c r="T5761" i="11"/>
  <c r="E5805" i="12"/>
  <c r="T5817" i="11"/>
  <c r="E5845" i="12"/>
  <c r="T5857" i="11"/>
  <c r="E5893" i="12"/>
  <c r="T5905" i="11"/>
  <c r="E5957" i="12"/>
  <c r="T5969" i="11"/>
  <c r="E6005" i="12"/>
  <c r="T6017" i="11"/>
  <c r="E6053" i="12"/>
  <c r="T6065" i="11"/>
  <c r="E6101" i="12"/>
  <c r="T6113" i="11"/>
  <c r="E6165" i="12"/>
  <c r="T6177" i="11"/>
  <c r="E6213" i="12"/>
  <c r="T6225" i="11"/>
  <c r="E6253" i="12"/>
  <c r="T6265" i="11"/>
  <c r="E6309" i="12"/>
  <c r="T6321" i="11"/>
  <c r="E6365" i="12"/>
  <c r="T6377" i="11"/>
  <c r="E6413" i="12"/>
  <c r="T6425" i="11"/>
  <c r="E6461" i="12"/>
  <c r="T6473" i="11"/>
  <c r="E6517" i="12"/>
  <c r="T6529" i="11"/>
  <c r="E6600" i="12"/>
  <c r="T6612" i="11"/>
  <c r="E6680" i="12"/>
  <c r="T6692" i="11"/>
  <c r="E6776" i="12"/>
  <c r="T6788" i="11"/>
  <c r="E6904" i="12"/>
  <c r="T6916" i="11"/>
  <c r="E7000" i="12"/>
  <c r="T7012" i="11"/>
  <c r="E7080" i="12"/>
  <c r="T7092" i="11"/>
  <c r="E7192" i="12"/>
  <c r="T7204" i="11"/>
  <c r="E7304" i="12"/>
  <c r="T7316" i="11"/>
  <c r="E7384" i="12"/>
  <c r="T7396" i="11"/>
  <c r="E7480" i="12"/>
  <c r="T7492" i="11"/>
  <c r="E5013" i="12"/>
  <c r="T5024" i="11"/>
  <c r="E5105" i="12"/>
  <c r="T5116" i="11"/>
  <c r="E5153" i="12"/>
  <c r="T5164" i="11"/>
  <c r="E5201" i="12"/>
  <c r="T5212" i="11"/>
  <c r="E5257" i="12"/>
  <c r="T5268" i="11"/>
  <c r="E5305" i="12"/>
  <c r="T5316" i="11"/>
  <c r="E5345" i="12"/>
  <c r="T5356" i="11"/>
  <c r="E5401" i="12"/>
  <c r="T5412" i="11"/>
  <c r="E5457" i="12"/>
  <c r="T5468" i="11"/>
  <c r="E5497" i="12"/>
  <c r="T5508" i="11"/>
  <c r="E5545" i="12"/>
  <c r="T5556" i="11"/>
  <c r="E5609" i="12"/>
  <c r="T5620" i="11"/>
  <c r="E5664" i="12"/>
  <c r="T5676" i="11"/>
  <c r="E5704" i="12"/>
  <c r="T5716" i="11"/>
  <c r="E5760" i="12"/>
  <c r="T5772" i="11"/>
  <c r="E5816" i="12"/>
  <c r="T5828" i="11"/>
  <c r="E5864" i="12"/>
  <c r="T5876" i="11"/>
  <c r="E5912" i="12"/>
  <c r="T5924" i="11"/>
  <c r="E5976" i="12"/>
  <c r="T5988" i="11"/>
  <c r="E6024" i="12"/>
  <c r="T6036" i="11"/>
  <c r="E6072" i="12"/>
  <c r="T6084" i="11"/>
  <c r="E6120" i="12"/>
  <c r="T6132" i="11"/>
  <c r="E6176" i="12"/>
  <c r="T6188" i="11"/>
  <c r="E6224" i="12"/>
  <c r="T6236" i="11"/>
  <c r="E6272" i="12"/>
  <c r="T6284" i="11"/>
  <c r="E6328" i="12"/>
  <c r="T6340" i="11"/>
  <c r="E6384" i="12"/>
  <c r="T6396" i="11"/>
  <c r="E6432" i="12"/>
  <c r="T6444" i="11"/>
  <c r="E6480" i="12"/>
  <c r="T6492" i="11"/>
  <c r="E6520" i="12"/>
  <c r="T6532" i="11"/>
  <c r="E6638" i="12"/>
  <c r="T6650" i="11"/>
  <c r="E6734" i="12"/>
  <c r="T6746" i="11"/>
  <c r="E6830" i="12"/>
  <c r="T6842" i="11"/>
  <c r="E6926" i="12"/>
  <c r="T6938" i="11"/>
  <c r="E7038" i="12"/>
  <c r="T7050" i="11"/>
  <c r="E7150" i="12"/>
  <c r="T7162" i="11"/>
  <c r="E7246" i="12"/>
  <c r="T7258" i="11"/>
  <c r="E7358" i="12"/>
  <c r="T7370" i="11"/>
  <c r="E7454" i="12"/>
  <c r="T7466" i="11"/>
  <c r="E7566" i="12"/>
  <c r="T7578" i="11"/>
  <c r="E7752" i="12"/>
  <c r="T7764" i="11"/>
  <c r="E7800" i="12"/>
  <c r="T7812" i="11"/>
  <c r="E7856" i="12"/>
  <c r="T7868" i="11"/>
  <c r="E7904" i="12"/>
  <c r="T7916" i="11"/>
  <c r="E7944" i="12"/>
  <c r="T7956" i="11"/>
  <c r="E8000" i="12"/>
  <c r="T8012" i="11"/>
  <c r="E8032" i="12"/>
  <c r="T8044" i="11"/>
  <c r="E8072" i="12"/>
  <c r="T8084" i="11"/>
  <c r="E8104" i="12"/>
  <c r="T8116" i="11"/>
  <c r="E8136" i="12"/>
  <c r="T8148" i="11"/>
  <c r="E8168" i="12"/>
  <c r="T8180" i="11"/>
  <c r="E8200" i="12"/>
  <c r="T8212" i="11"/>
  <c r="E8232" i="12"/>
  <c r="T8244" i="11"/>
  <c r="E8264" i="12"/>
  <c r="T8276" i="11"/>
  <c r="E8304" i="12"/>
  <c r="T8316" i="11"/>
  <c r="E8336" i="12"/>
  <c r="T8348" i="11"/>
  <c r="E8368" i="12"/>
  <c r="T8380" i="11"/>
  <c r="E6531" i="12"/>
  <c r="T6543" i="11"/>
  <c r="E6659" i="12"/>
  <c r="T6671" i="11"/>
  <c r="E6787" i="12"/>
  <c r="T6799" i="11"/>
  <c r="E6915" i="12"/>
  <c r="T6927" i="11"/>
  <c r="E7043" i="12"/>
  <c r="T7055" i="11"/>
  <c r="E7171" i="12"/>
  <c r="T7183" i="11"/>
  <c r="E7299" i="12"/>
  <c r="T7311" i="11"/>
  <c r="E7427" i="12"/>
  <c r="T7439" i="11"/>
  <c r="E7555" i="12"/>
  <c r="T7567" i="11"/>
  <c r="E6647" i="12"/>
  <c r="T6659" i="11"/>
  <c r="E6775" i="12"/>
  <c r="T6787" i="11"/>
  <c r="E6903" i="12"/>
  <c r="T6915" i="11"/>
  <c r="E7031" i="12"/>
  <c r="T7043" i="11"/>
  <c r="E7159" i="12"/>
  <c r="T7171" i="11"/>
  <c r="E7287" i="12"/>
  <c r="T7299" i="11"/>
  <c r="E7415" i="12"/>
  <c r="T7427" i="11"/>
  <c r="E7543" i="12"/>
  <c r="T7555" i="11"/>
  <c r="E7763" i="12"/>
  <c r="T7775" i="11"/>
  <c r="E7827" i="12"/>
  <c r="T7839" i="11"/>
  <c r="E7891" i="12"/>
  <c r="T7903" i="11"/>
  <c r="E7955" i="12"/>
  <c r="T7967" i="11"/>
  <c r="E8019" i="12"/>
  <c r="T8031" i="11"/>
  <c r="E8083" i="12"/>
  <c r="T8095" i="11"/>
  <c r="E8147" i="12"/>
  <c r="T8159" i="11"/>
  <c r="E8211" i="12"/>
  <c r="T8223" i="11"/>
  <c r="E8275" i="12"/>
  <c r="T8287" i="11"/>
  <c r="E8339" i="12"/>
  <c r="T8351" i="11"/>
  <c r="E7721" i="12"/>
  <c r="T7733" i="11"/>
  <c r="E7785" i="12"/>
  <c r="T7797" i="11"/>
  <c r="E7973" i="12"/>
  <c r="T7985" i="11"/>
  <c r="E8105" i="12"/>
  <c r="T8117" i="11"/>
  <c r="E8233" i="12"/>
  <c r="T8245" i="11"/>
  <c r="E8357" i="12"/>
  <c r="T8369" i="11"/>
  <c r="E7861" i="12"/>
  <c r="T7873" i="11"/>
  <c r="E7925" i="12"/>
  <c r="T7937" i="11"/>
  <c r="E8053" i="12"/>
  <c r="T8065" i="11"/>
  <c r="E8181" i="12"/>
  <c r="T8193" i="11"/>
  <c r="E8309" i="12"/>
  <c r="T8321" i="11"/>
  <c r="E104" i="12"/>
  <c r="T108" i="11"/>
  <c r="E307" i="12"/>
  <c r="T312" i="11"/>
  <c r="E174" i="12"/>
  <c r="T178" i="11"/>
  <c r="E339" i="12"/>
  <c r="T344" i="11"/>
  <c r="E557" i="12"/>
  <c r="T562" i="11"/>
  <c r="E755" i="12"/>
  <c r="T761" i="11"/>
  <c r="E953" i="12"/>
  <c r="T960" i="11"/>
  <c r="E323" i="12"/>
  <c r="T328" i="11"/>
  <c r="E541" i="12"/>
  <c r="T546" i="11"/>
  <c r="E315" i="12"/>
  <c r="T320" i="11"/>
  <c r="E523" i="12"/>
  <c r="T528" i="11"/>
  <c r="E726" i="12"/>
  <c r="T732" i="11"/>
  <c r="E929" i="12"/>
  <c r="T936" i="11"/>
  <c r="E1147" i="12"/>
  <c r="T1154" i="11"/>
  <c r="E1315" i="12"/>
  <c r="T1322" i="11"/>
  <c r="E141" i="12"/>
  <c r="T145" i="11"/>
  <c r="E473" i="12"/>
  <c r="T478" i="11"/>
  <c r="E863" i="12"/>
  <c r="T869" i="11"/>
  <c r="E1074" i="12"/>
  <c r="T1081" i="11"/>
  <c r="E1227" i="12"/>
  <c r="T1234" i="11"/>
  <c r="E1359" i="12"/>
  <c r="T1366" i="11"/>
  <c r="E1448" i="12"/>
  <c r="T1455" i="11"/>
  <c r="E1535" i="12"/>
  <c r="T1542" i="11"/>
  <c r="E1610" i="12"/>
  <c r="T1617" i="11"/>
  <c r="E1674" i="12"/>
  <c r="T1681" i="11"/>
  <c r="E1738" i="12"/>
  <c r="T1745" i="11"/>
  <c r="E1802" i="12"/>
  <c r="T1809" i="11"/>
  <c r="E1865" i="12"/>
  <c r="T1873" i="11"/>
  <c r="E1929" i="12"/>
  <c r="T1937" i="11"/>
  <c r="E612" i="12"/>
  <c r="T618" i="11"/>
  <c r="E985" i="12"/>
  <c r="T992" i="11"/>
  <c r="E1298" i="12"/>
  <c r="T1305" i="11"/>
  <c r="E1395" i="12"/>
  <c r="T1402" i="11"/>
  <c r="E1482" i="12"/>
  <c r="T1489" i="11"/>
  <c r="E1564" i="12"/>
  <c r="T1571" i="11"/>
  <c r="E1633" i="12"/>
  <c r="T1640" i="11"/>
  <c r="E1697" i="12"/>
  <c r="T1704" i="11"/>
  <c r="E1761" i="12"/>
  <c r="T1768" i="11"/>
  <c r="E1824" i="12"/>
  <c r="T1832" i="11"/>
  <c r="E1888" i="12"/>
  <c r="T1896" i="11"/>
  <c r="E589" i="12"/>
  <c r="T594" i="11"/>
  <c r="E787" i="12"/>
  <c r="T793" i="11"/>
  <c r="E1017" i="12"/>
  <c r="T1024" i="11"/>
  <c r="E1318" i="12"/>
  <c r="T1325" i="11"/>
  <c r="E1428" i="12"/>
  <c r="T1435" i="11"/>
  <c r="E1515" i="12"/>
  <c r="T1522" i="11"/>
  <c r="E1599" i="12"/>
  <c r="T1606" i="11"/>
  <c r="E1663" i="12"/>
  <c r="T1670" i="11"/>
  <c r="E1727" i="12"/>
  <c r="T1734" i="11"/>
  <c r="E1791" i="12"/>
  <c r="T1798" i="11"/>
  <c r="E1854" i="12"/>
  <c r="T1862" i="11"/>
  <c r="E1918" i="12"/>
  <c r="T1926" i="11"/>
  <c r="E874" i="12"/>
  <c r="T880" i="11"/>
  <c r="E1146" i="12"/>
  <c r="T1153" i="11"/>
  <c r="E1390" i="12"/>
  <c r="T1397" i="11"/>
  <c r="E1568" i="12"/>
  <c r="T1575" i="11"/>
  <c r="E1692" i="12"/>
  <c r="T1699" i="11"/>
  <c r="E1819" i="12"/>
  <c r="T1827" i="11"/>
  <c r="E1948" i="12"/>
  <c r="T1956" i="11"/>
  <c r="E2012" i="12"/>
  <c r="T2020" i="11"/>
  <c r="E2076" i="12"/>
  <c r="T2084" i="11"/>
  <c r="E2140" i="12"/>
  <c r="T2148" i="11"/>
  <c r="E2204" i="12"/>
  <c r="T2212" i="11"/>
  <c r="E2268" i="12"/>
  <c r="T2276" i="11"/>
  <c r="E2332" i="12"/>
  <c r="T2340" i="11"/>
  <c r="E2396" i="12"/>
  <c r="T2404" i="11"/>
  <c r="E2460" i="12"/>
  <c r="T2468" i="11"/>
  <c r="E2524" i="12"/>
  <c r="T2532" i="11"/>
  <c r="E2588" i="12"/>
  <c r="T2596" i="11"/>
  <c r="E2652" i="12"/>
  <c r="T2660" i="11"/>
  <c r="E2716" i="12"/>
  <c r="T2724" i="11"/>
  <c r="E2780" i="12"/>
  <c r="T2788" i="11"/>
  <c r="E2844" i="12"/>
  <c r="T2852" i="11"/>
  <c r="E2908" i="12"/>
  <c r="T2916" i="11"/>
  <c r="E2972" i="12"/>
  <c r="T2980" i="11"/>
  <c r="E3036" i="12"/>
  <c r="T3044" i="11"/>
  <c r="E3100" i="12"/>
  <c r="T3108" i="11"/>
  <c r="E3164" i="12"/>
  <c r="T3172" i="11"/>
  <c r="E3228" i="12"/>
  <c r="T3236" i="11"/>
  <c r="E3292" i="12"/>
  <c r="T3300" i="11"/>
  <c r="E209" i="12"/>
  <c r="T213" i="11"/>
  <c r="E1143" i="12"/>
  <c r="T1150" i="11"/>
  <c r="E1975" i="12"/>
  <c r="T1983" i="11"/>
  <c r="E2039" i="12"/>
  <c r="T2047" i="11"/>
  <c r="E2103" i="12"/>
  <c r="T2111" i="11"/>
  <c r="E2167" i="12"/>
  <c r="T2175" i="11"/>
  <c r="E2231" i="12"/>
  <c r="T2239" i="11"/>
  <c r="E2295" i="12"/>
  <c r="T2303" i="11"/>
  <c r="E2359" i="12"/>
  <c r="T2367" i="11"/>
  <c r="E2423" i="12"/>
  <c r="T2431" i="11"/>
  <c r="E2487" i="12"/>
  <c r="T2495" i="11"/>
  <c r="E409" i="12"/>
  <c r="T414" i="11"/>
  <c r="E1051" i="12"/>
  <c r="T1058" i="11"/>
  <c r="E1937" i="12"/>
  <c r="T1945" i="11"/>
  <c r="E2001" i="12"/>
  <c r="T2009" i="11"/>
  <c r="E2065" i="12"/>
  <c r="T2073" i="11"/>
  <c r="E2129" i="12"/>
  <c r="T2137" i="11"/>
  <c r="E2193" i="12"/>
  <c r="T2201" i="11"/>
  <c r="E2257" i="12"/>
  <c r="T2265" i="11"/>
  <c r="E2321" i="12"/>
  <c r="T2329" i="11"/>
  <c r="E2385" i="12"/>
  <c r="T2393" i="11"/>
  <c r="E2449" i="12"/>
  <c r="T2457" i="11"/>
  <c r="E2513" i="12"/>
  <c r="T2521" i="11"/>
  <c r="E2577" i="12"/>
  <c r="T2585" i="11"/>
  <c r="E2641" i="12"/>
  <c r="T2649" i="11"/>
  <c r="E2705" i="12"/>
  <c r="T2713" i="11"/>
  <c r="E2769" i="12"/>
  <c r="T2777" i="11"/>
  <c r="E2833" i="12"/>
  <c r="T2841" i="11"/>
  <c r="E2897" i="12"/>
  <c r="T2905" i="11"/>
  <c r="E2961" i="12"/>
  <c r="T2969" i="11"/>
  <c r="E3025" i="12"/>
  <c r="T3033" i="11"/>
  <c r="E3089" i="12"/>
  <c r="T3097" i="11"/>
  <c r="E3153" i="12"/>
  <c r="T3161" i="11"/>
  <c r="E1182" i="12"/>
  <c r="T1189" i="11"/>
  <c r="E2583" i="12"/>
  <c r="T2591" i="11"/>
  <c r="E2647" i="12"/>
  <c r="T2655" i="11"/>
  <c r="E2711" i="12"/>
  <c r="T2719" i="11"/>
  <c r="E2775" i="12"/>
  <c r="T2783" i="11"/>
  <c r="E2839" i="12"/>
  <c r="T2847" i="11"/>
  <c r="E2903" i="12"/>
  <c r="T2911" i="11"/>
  <c r="E2967" i="12"/>
  <c r="T2975" i="11"/>
  <c r="E3031" i="12"/>
  <c r="T3039" i="11"/>
  <c r="E3095" i="12"/>
  <c r="T3103" i="11"/>
  <c r="E3159" i="12"/>
  <c r="T3167" i="11"/>
  <c r="E3382" i="12"/>
  <c r="T3390" i="11"/>
  <c r="E3446" i="12"/>
  <c r="T3454" i="11"/>
  <c r="E3510" i="12"/>
  <c r="T3518" i="11"/>
  <c r="E3574" i="12"/>
  <c r="T3582" i="11"/>
  <c r="E3638" i="12"/>
  <c r="T3646" i="11"/>
  <c r="E1269" i="12"/>
  <c r="T1276" i="11"/>
  <c r="E1584" i="12"/>
  <c r="T1591" i="11"/>
  <c r="E1839" i="12"/>
  <c r="T1847" i="11"/>
  <c r="E2014" i="12"/>
  <c r="T2022" i="11"/>
  <c r="E2142" i="12"/>
  <c r="T2150" i="11"/>
  <c r="E2270" i="12"/>
  <c r="T2278" i="11"/>
  <c r="E2398" i="12"/>
  <c r="T2406" i="11"/>
  <c r="E2526" i="12"/>
  <c r="T2534" i="11"/>
  <c r="E3230" i="12"/>
  <c r="T3238" i="11"/>
  <c r="E3273" i="12"/>
  <c r="T3281" i="11"/>
  <c r="E3315" i="12"/>
  <c r="T3323" i="11"/>
  <c r="E3361" i="12"/>
  <c r="T3369" i="11"/>
  <c r="E3425" i="12"/>
  <c r="T3433" i="11"/>
  <c r="E3489" i="12"/>
  <c r="T3497" i="11"/>
  <c r="E1210" i="12"/>
  <c r="T1217" i="11"/>
  <c r="E1672" i="12"/>
  <c r="T1679" i="11"/>
  <c r="E1927" i="12"/>
  <c r="T1935" i="11"/>
  <c r="E2050" i="12"/>
  <c r="T2058" i="11"/>
  <c r="E2178" i="12"/>
  <c r="T2186" i="11"/>
  <c r="E2306" i="12"/>
  <c r="T2314" i="11"/>
  <c r="E2434" i="12"/>
  <c r="T2442" i="11"/>
  <c r="E2550" i="12"/>
  <c r="T2558" i="11"/>
  <c r="E2614" i="12"/>
  <c r="T2622" i="11"/>
  <c r="E2678" i="12"/>
  <c r="T2686" i="11"/>
  <c r="E2742" i="12"/>
  <c r="T2750" i="11"/>
  <c r="E2806" i="12"/>
  <c r="T2814" i="11"/>
  <c r="E2870" i="12"/>
  <c r="T2878" i="11"/>
  <c r="E2934" i="12"/>
  <c r="T2942" i="11"/>
  <c r="E2998" i="12"/>
  <c r="T3006" i="11"/>
  <c r="E3062" i="12"/>
  <c r="T3070" i="11"/>
  <c r="E3126" i="12"/>
  <c r="T3134" i="11"/>
  <c r="E3190" i="12"/>
  <c r="T3198" i="11"/>
  <c r="E3234" i="12"/>
  <c r="T3242" i="11"/>
  <c r="E3277" i="12"/>
  <c r="T3285" i="11"/>
  <c r="E3319" i="12"/>
  <c r="T3327" i="11"/>
  <c r="E818" i="12"/>
  <c r="T824" i="11"/>
  <c r="E3419" i="12"/>
  <c r="T3427" i="11"/>
  <c r="E3483" i="12"/>
  <c r="T3491" i="11"/>
  <c r="E3539" i="12"/>
  <c r="T3547" i="11"/>
  <c r="E3581" i="12"/>
  <c r="T3589" i="11"/>
  <c r="E3624" i="12"/>
  <c r="T3632" i="11"/>
  <c r="E3667" i="12"/>
  <c r="T3675" i="11"/>
  <c r="E3730" i="12"/>
  <c r="T3738" i="11"/>
  <c r="E3793" i="12"/>
  <c r="T3802" i="11"/>
  <c r="E3857" i="12"/>
  <c r="T3866" i="11"/>
  <c r="E3921" i="12"/>
  <c r="T3930" i="11"/>
  <c r="E3985" i="12"/>
  <c r="T3994" i="11"/>
  <c r="E4049" i="12"/>
  <c r="T4058" i="11"/>
  <c r="E4113" i="12"/>
  <c r="T4122" i="11"/>
  <c r="E4176" i="12"/>
  <c r="T4186" i="11"/>
  <c r="E4240" i="12"/>
  <c r="T4250" i="11"/>
  <c r="E4304" i="12"/>
  <c r="T4314" i="11"/>
  <c r="E4368" i="12"/>
  <c r="T4378" i="11"/>
  <c r="E4432" i="12"/>
  <c r="T4442" i="11"/>
  <c r="E4496" i="12"/>
  <c r="T4506" i="11"/>
  <c r="E4560" i="12"/>
  <c r="T4570" i="11"/>
  <c r="E4624" i="12"/>
  <c r="T4634" i="11"/>
  <c r="E4688" i="12"/>
  <c r="T4698" i="11"/>
  <c r="E3392" i="12"/>
  <c r="T3400" i="11"/>
  <c r="E3456" i="12"/>
  <c r="T3464" i="11"/>
  <c r="E3520" i="12"/>
  <c r="T3528" i="11"/>
  <c r="E3729" i="12"/>
  <c r="T3737" i="11"/>
  <c r="E3792" i="12"/>
  <c r="T3801" i="11"/>
  <c r="E3856" i="12"/>
  <c r="T3865" i="11"/>
  <c r="E3920" i="12"/>
  <c r="T3929" i="11"/>
  <c r="E3984" i="12"/>
  <c r="T3993" i="11"/>
  <c r="E4048" i="12"/>
  <c r="T4057" i="11"/>
  <c r="E4112" i="12"/>
  <c r="T4121" i="11"/>
  <c r="E4175" i="12"/>
  <c r="T4185" i="11"/>
  <c r="E4239" i="12"/>
  <c r="T4249" i="11"/>
  <c r="E4303" i="12"/>
  <c r="T4313" i="11"/>
  <c r="E4367" i="12"/>
  <c r="T4377" i="11"/>
  <c r="E4431" i="12"/>
  <c r="T4441" i="11"/>
  <c r="E4495" i="12"/>
  <c r="T4505" i="11"/>
  <c r="E4559" i="12"/>
  <c r="T4569" i="11"/>
  <c r="E4623" i="12"/>
  <c r="T4633" i="11"/>
  <c r="E4687" i="12"/>
  <c r="T4697" i="11"/>
  <c r="E3691" i="12"/>
  <c r="T3699" i="11"/>
  <c r="E3754" i="12"/>
  <c r="T3763" i="11"/>
  <c r="E3818" i="12"/>
  <c r="T3827" i="11"/>
  <c r="E3882" i="12"/>
  <c r="T3891" i="11"/>
  <c r="E3946" i="12"/>
  <c r="T3955" i="11"/>
  <c r="E4010" i="12"/>
  <c r="T4019" i="11"/>
  <c r="E4074" i="12"/>
  <c r="T4083" i="11"/>
  <c r="E4138" i="12"/>
  <c r="T4147" i="11"/>
  <c r="E4201" i="12"/>
  <c r="T4211" i="11"/>
  <c r="E4265" i="12"/>
  <c r="T4275" i="11"/>
  <c r="E4329" i="12"/>
  <c r="T4339" i="11"/>
  <c r="E4393" i="12"/>
  <c r="T4403" i="11"/>
  <c r="E4457" i="12"/>
  <c r="T4467" i="11"/>
  <c r="E4521" i="12"/>
  <c r="T4531" i="11"/>
  <c r="E4585" i="12"/>
  <c r="T4595" i="11"/>
  <c r="E4649" i="12"/>
  <c r="T4659" i="11"/>
  <c r="E3537" i="12"/>
  <c r="T3545" i="11"/>
  <c r="E3620" i="12"/>
  <c r="T3628" i="11"/>
  <c r="E3724" i="12"/>
  <c r="T3732" i="11"/>
  <c r="E3851" i="12"/>
  <c r="T3860" i="11"/>
  <c r="E3979" i="12"/>
  <c r="T3988" i="11"/>
  <c r="E4107" i="12"/>
  <c r="T4116" i="11"/>
  <c r="E4234" i="12"/>
  <c r="T4244" i="11"/>
  <c r="E4362" i="12"/>
  <c r="T4372" i="11"/>
  <c r="E4490" i="12"/>
  <c r="T4500" i="11"/>
  <c r="E4618" i="12"/>
  <c r="T4628" i="11"/>
  <c r="E4995" i="12"/>
  <c r="T5006" i="11"/>
  <c r="E5059" i="12"/>
  <c r="T5070" i="11"/>
  <c r="E4740" i="12"/>
  <c r="T4750" i="11"/>
  <c r="E4772" i="12"/>
  <c r="T4782" i="11"/>
  <c r="E4804" i="12"/>
  <c r="T4814" i="11"/>
  <c r="E4836" i="12"/>
  <c r="T4846" i="11"/>
  <c r="E4868" i="12"/>
  <c r="T4878" i="11"/>
  <c r="E4899" i="12"/>
  <c r="T4910" i="11"/>
  <c r="E4931" i="12"/>
  <c r="T4942" i="11"/>
  <c r="E4963" i="12"/>
  <c r="T4974" i="11"/>
  <c r="E5018" i="12"/>
  <c r="T5029" i="11"/>
  <c r="E5082" i="12"/>
  <c r="T5093" i="11"/>
  <c r="E4749" i="12"/>
  <c r="T4759" i="11"/>
  <c r="E4781" i="12"/>
  <c r="T4791" i="11"/>
  <c r="E4813" i="12"/>
  <c r="T4823" i="11"/>
  <c r="E4845" i="12"/>
  <c r="T4855" i="11"/>
  <c r="E4877" i="12"/>
  <c r="T4887" i="11"/>
  <c r="E4908" i="12"/>
  <c r="T4919" i="11"/>
  <c r="E4940" i="12"/>
  <c r="T4951" i="11"/>
  <c r="E4972" i="12"/>
  <c r="T4983" i="11"/>
  <c r="E5036" i="12"/>
  <c r="T5047" i="11"/>
  <c r="E3672" i="12"/>
  <c r="T3680" i="11"/>
  <c r="E3927" i="12"/>
  <c r="T3936" i="11"/>
  <c r="E4182" i="12"/>
  <c r="T4192" i="11"/>
  <c r="E4438" i="12"/>
  <c r="T4448" i="11"/>
  <c r="E4694" i="12"/>
  <c r="T4704" i="11"/>
  <c r="E3628" i="12"/>
  <c r="T3636" i="11"/>
  <c r="E3903" i="12"/>
  <c r="T3912" i="11"/>
  <c r="E4159" i="12"/>
  <c r="T4168" i="11"/>
  <c r="E4414" i="12"/>
  <c r="T4424" i="11"/>
  <c r="E4670" i="12"/>
  <c r="T4680" i="11"/>
  <c r="E5081" i="12"/>
  <c r="T5092" i="11"/>
  <c r="E6593" i="12"/>
  <c r="T6605" i="11"/>
  <c r="E6657" i="12"/>
  <c r="T6669" i="11"/>
  <c r="E6721" i="12"/>
  <c r="T6733" i="11"/>
  <c r="E6785" i="12"/>
  <c r="T6797" i="11"/>
  <c r="E6849" i="12"/>
  <c r="T6861" i="11"/>
  <c r="E6913" i="12"/>
  <c r="T6925" i="11"/>
  <c r="E6977" i="12"/>
  <c r="T6989" i="11"/>
  <c r="E7041" i="12"/>
  <c r="T7053" i="11"/>
  <c r="E7105" i="12"/>
  <c r="T7117" i="11"/>
  <c r="E7169" i="12"/>
  <c r="T7181" i="11"/>
  <c r="E7233" i="12"/>
  <c r="T7245" i="11"/>
  <c r="E7297" i="12"/>
  <c r="T7309" i="11"/>
  <c r="E7361" i="12"/>
  <c r="T7373" i="11"/>
  <c r="E7425" i="12"/>
  <c r="T7437" i="11"/>
  <c r="E7489" i="12"/>
  <c r="T7501" i="11"/>
  <c r="E7553" i="12"/>
  <c r="T7565" i="11"/>
  <c r="E5098" i="12"/>
  <c r="T5109" i="11"/>
  <c r="E5130" i="12"/>
  <c r="T5141" i="11"/>
  <c r="E5162" i="12"/>
  <c r="T5173" i="11"/>
  <c r="E5194" i="12"/>
  <c r="T5205" i="11"/>
  <c r="E5226" i="12"/>
  <c r="T5237" i="11"/>
  <c r="E5258" i="12"/>
  <c r="T5269" i="11"/>
  <c r="E5290" i="12"/>
  <c r="T5301" i="11"/>
  <c r="E5322" i="12"/>
  <c r="T5333" i="11"/>
  <c r="E5354" i="12"/>
  <c r="T5365" i="11"/>
  <c r="E5386" i="12"/>
  <c r="T5397" i="11"/>
  <c r="E5418" i="12"/>
  <c r="T5429" i="11"/>
  <c r="E5450" i="12"/>
  <c r="T5461" i="11"/>
  <c r="E5482" i="12"/>
  <c r="T5493" i="11"/>
  <c r="E5514" i="12"/>
  <c r="T5525" i="11"/>
  <c r="E5546" i="12"/>
  <c r="T5557" i="11"/>
  <c r="E5578" i="12"/>
  <c r="T5589" i="11"/>
  <c r="E5610" i="12"/>
  <c r="T5621" i="11"/>
  <c r="E5641" i="12"/>
  <c r="T5653" i="11"/>
  <c r="E5673" i="12"/>
  <c r="T5685" i="11"/>
  <c r="E5705" i="12"/>
  <c r="T5717" i="11"/>
  <c r="E5737" i="12"/>
  <c r="T5749" i="11"/>
  <c r="E5769" i="12"/>
  <c r="T5781" i="11"/>
  <c r="E5801" i="12"/>
  <c r="T5813" i="11"/>
  <c r="E5833" i="12"/>
  <c r="T5845" i="11"/>
  <c r="E5865" i="12"/>
  <c r="T5877" i="11"/>
  <c r="E5897" i="12"/>
  <c r="T5909" i="11"/>
  <c r="E5929" i="12"/>
  <c r="T5941" i="11"/>
  <c r="E5961" i="12"/>
  <c r="T5973" i="11"/>
  <c r="E5993" i="12"/>
  <c r="T6005" i="11"/>
  <c r="E6025" i="12"/>
  <c r="T6037" i="11"/>
  <c r="E6057" i="12"/>
  <c r="T6069" i="11"/>
  <c r="E6089" i="12"/>
  <c r="T6101" i="11"/>
  <c r="E6121" i="12"/>
  <c r="T6133" i="11"/>
  <c r="E6153" i="12"/>
  <c r="T6165" i="11"/>
  <c r="E6185" i="12"/>
  <c r="T6197" i="11"/>
  <c r="E6217" i="12"/>
  <c r="T6229" i="11"/>
  <c r="E6249" i="12"/>
  <c r="T6261" i="11"/>
  <c r="E6281" i="12"/>
  <c r="T6293" i="11"/>
  <c r="E6313" i="12"/>
  <c r="T6325" i="11"/>
  <c r="E6345" i="12"/>
  <c r="T6357" i="11"/>
  <c r="E6377" i="12"/>
  <c r="T6389" i="11"/>
  <c r="E6409" i="12"/>
  <c r="T6421" i="11"/>
  <c r="E6441" i="12"/>
  <c r="T6453" i="11"/>
  <c r="E6473" i="12"/>
  <c r="T6485" i="11"/>
  <c r="E6505" i="12"/>
  <c r="T6517" i="11"/>
  <c r="E6544" i="12"/>
  <c r="T6556" i="11"/>
  <c r="E6608" i="12"/>
  <c r="T6620" i="11"/>
  <c r="E6672" i="12"/>
  <c r="T6684" i="11"/>
  <c r="E6736" i="12"/>
  <c r="T6748" i="11"/>
  <c r="E6800" i="12"/>
  <c r="T6812" i="11"/>
  <c r="E6864" i="12"/>
  <c r="T6876" i="11"/>
  <c r="E6928" i="12"/>
  <c r="T6940" i="11"/>
  <c r="E6992" i="12"/>
  <c r="T7004" i="11"/>
  <c r="E7056" i="12"/>
  <c r="T7068" i="11"/>
  <c r="E7120" i="12"/>
  <c r="T7132" i="11"/>
  <c r="E7184" i="12"/>
  <c r="T7196" i="11"/>
  <c r="E7248" i="12"/>
  <c r="T7260" i="11"/>
  <c r="E7312" i="12"/>
  <c r="T7324" i="11"/>
  <c r="E7376" i="12"/>
  <c r="T7388" i="11"/>
  <c r="E7440" i="12"/>
  <c r="T7452" i="11"/>
  <c r="E7504" i="12"/>
  <c r="T7516" i="11"/>
  <c r="E7568" i="12"/>
  <c r="T7580" i="11"/>
  <c r="E3561" i="12"/>
  <c r="T3569" i="11"/>
  <c r="E5109" i="12"/>
  <c r="T5120" i="11"/>
  <c r="E5141" i="12"/>
  <c r="T5152" i="11"/>
  <c r="E5173" i="12"/>
  <c r="T5184" i="11"/>
  <c r="E5205" i="12"/>
  <c r="T5216" i="11"/>
  <c r="E5237" i="12"/>
  <c r="T5248" i="11"/>
  <c r="E5269" i="12"/>
  <c r="T5280" i="11"/>
  <c r="E5301" i="12"/>
  <c r="T5312" i="11"/>
  <c r="E5333" i="12"/>
  <c r="T5344" i="11"/>
  <c r="E5365" i="12"/>
  <c r="T5376" i="11"/>
  <c r="E5397" i="12"/>
  <c r="T5408" i="11"/>
  <c r="E5429" i="12"/>
  <c r="T5440" i="11"/>
  <c r="E5461" i="12"/>
  <c r="T5472" i="11"/>
  <c r="E5493" i="12"/>
  <c r="T5504" i="11"/>
  <c r="E5525" i="12"/>
  <c r="T5536" i="11"/>
  <c r="E5557" i="12"/>
  <c r="T5568" i="11"/>
  <c r="E5589" i="12"/>
  <c r="T5600" i="11"/>
  <c r="E5621" i="12"/>
  <c r="T5632" i="11"/>
  <c r="E5652" i="12"/>
  <c r="T5664" i="11"/>
  <c r="E5684" i="12"/>
  <c r="T5696" i="11"/>
  <c r="E5716" i="12"/>
  <c r="T5728" i="11"/>
  <c r="E5748" i="12"/>
  <c r="T5760" i="11"/>
  <c r="E5780" i="12"/>
  <c r="T5792" i="11"/>
  <c r="E5812" i="12"/>
  <c r="T5824" i="11"/>
  <c r="E5844" i="12"/>
  <c r="T5856" i="11"/>
  <c r="E5876" i="12"/>
  <c r="T5888" i="11"/>
  <c r="E5908" i="12"/>
  <c r="T5920" i="11"/>
  <c r="E5940" i="12"/>
  <c r="T5952" i="11"/>
  <c r="E5972" i="12"/>
  <c r="T5984" i="11"/>
  <c r="E6004" i="12"/>
  <c r="T6016" i="11"/>
  <c r="E6036" i="12"/>
  <c r="T6048" i="11"/>
  <c r="E6068" i="12"/>
  <c r="T6080" i="11"/>
  <c r="E6100" i="12"/>
  <c r="T6112" i="11"/>
  <c r="E6132" i="12"/>
  <c r="T6144" i="11"/>
  <c r="E6164" i="12"/>
  <c r="T6176" i="11"/>
  <c r="E6196" i="12"/>
  <c r="T6208" i="11"/>
  <c r="E6228" i="12"/>
  <c r="T6240" i="11"/>
  <c r="E6260" i="12"/>
  <c r="T6272" i="11"/>
  <c r="E6292" i="12"/>
  <c r="T6304" i="11"/>
  <c r="E6324" i="12"/>
  <c r="T6336" i="11"/>
  <c r="E6356" i="12"/>
  <c r="T6368" i="11"/>
  <c r="E6388" i="12"/>
  <c r="T6400" i="11"/>
  <c r="E6420" i="12"/>
  <c r="T6432" i="11"/>
  <c r="E6452" i="12"/>
  <c r="T6464" i="11"/>
  <c r="E6484" i="12"/>
  <c r="T6496" i="11"/>
  <c r="E6516" i="12"/>
  <c r="T6528" i="11"/>
  <c r="E6566" i="12"/>
  <c r="T6578" i="11"/>
  <c r="E6630" i="12"/>
  <c r="T6642" i="11"/>
  <c r="E6694" i="12"/>
  <c r="T6706" i="11"/>
  <c r="E6758" i="12"/>
  <c r="T6770" i="11"/>
  <c r="E6822" i="12"/>
  <c r="T6834" i="11"/>
  <c r="E6886" i="12"/>
  <c r="T6898" i="11"/>
  <c r="E6950" i="12"/>
  <c r="T6962" i="11"/>
  <c r="E7014" i="12"/>
  <c r="T7026" i="11"/>
  <c r="E7078" i="12"/>
  <c r="T7090" i="11"/>
  <c r="E7142" i="12"/>
  <c r="T7154" i="11"/>
  <c r="E7206" i="12"/>
  <c r="T7218" i="11"/>
  <c r="E7270" i="12"/>
  <c r="T7282" i="11"/>
  <c r="E7334" i="12"/>
  <c r="T7346" i="11"/>
  <c r="E7398" i="12"/>
  <c r="T7410" i="11"/>
  <c r="E7462" i="12"/>
  <c r="T7474" i="11"/>
  <c r="E7526" i="12"/>
  <c r="T7538" i="11"/>
  <c r="E7724" i="12"/>
  <c r="T7736" i="11"/>
  <c r="E7756" i="12"/>
  <c r="T7768" i="11"/>
  <c r="E7788" i="12"/>
  <c r="T7800" i="11"/>
  <c r="E7820" i="12"/>
  <c r="T7832" i="11"/>
  <c r="E7852" i="12"/>
  <c r="T7864" i="11"/>
  <c r="E7884" i="12"/>
  <c r="T7896" i="11"/>
  <c r="E7916" i="12"/>
  <c r="T7928" i="11"/>
  <c r="E7948" i="12"/>
  <c r="T7960" i="11"/>
  <c r="E7980" i="12"/>
  <c r="T7992" i="11"/>
  <c r="E8012" i="12"/>
  <c r="T8024" i="11"/>
  <c r="E8044" i="12"/>
  <c r="T8056" i="11"/>
  <c r="E8076" i="12"/>
  <c r="T8088" i="11"/>
  <c r="E8108" i="12"/>
  <c r="T8120" i="11"/>
  <c r="E8140" i="12"/>
  <c r="T8152" i="11"/>
  <c r="E8172" i="12"/>
  <c r="T8184" i="11"/>
  <c r="E8204" i="12"/>
  <c r="T8216" i="11"/>
  <c r="E8236" i="12"/>
  <c r="T8248" i="11"/>
  <c r="E8268" i="12"/>
  <c r="T8280" i="11"/>
  <c r="E8300" i="12"/>
  <c r="T8312" i="11"/>
  <c r="E8332" i="12"/>
  <c r="T8344" i="11"/>
  <c r="E8364" i="12"/>
  <c r="T8376" i="11"/>
  <c r="E8396" i="12"/>
  <c r="T8408" i="11"/>
  <c r="E6643" i="12"/>
  <c r="T6655" i="11"/>
  <c r="E6771" i="12"/>
  <c r="T6783" i="11"/>
  <c r="E6899" i="12"/>
  <c r="T6911" i="11"/>
  <c r="E7027" i="12"/>
  <c r="T7039" i="11"/>
  <c r="E7155" i="12"/>
  <c r="T7167" i="11"/>
  <c r="E7283" i="12"/>
  <c r="T7295" i="11"/>
  <c r="E7411" i="12"/>
  <c r="T7423" i="11"/>
  <c r="E7539" i="12"/>
  <c r="T7551" i="11"/>
  <c r="E6631" i="12"/>
  <c r="T6643" i="11"/>
  <c r="E6759" i="12"/>
  <c r="T6771" i="11"/>
  <c r="E6887" i="12"/>
  <c r="T6899" i="11"/>
  <c r="E7015" i="12"/>
  <c r="T7027" i="11"/>
  <c r="E7143" i="12"/>
  <c r="T7155" i="11"/>
  <c r="E7271" i="12"/>
  <c r="T7283" i="11"/>
  <c r="E7399" i="12"/>
  <c r="T7411" i="11"/>
  <c r="E7527" i="12"/>
  <c r="T7539" i="11"/>
  <c r="E7755" i="12"/>
  <c r="T7767" i="11"/>
  <c r="E7819" i="12"/>
  <c r="T7831" i="11"/>
  <c r="E7883" i="12"/>
  <c r="T7895" i="11"/>
  <c r="E7947" i="12"/>
  <c r="T7959" i="11"/>
  <c r="E8011" i="12"/>
  <c r="T8023" i="11"/>
  <c r="E8075" i="12"/>
  <c r="T8087" i="11"/>
  <c r="E8139" i="12"/>
  <c r="T8151" i="11"/>
  <c r="E8203" i="12"/>
  <c r="T8215" i="11"/>
  <c r="E8267" i="12"/>
  <c r="T8279" i="11"/>
  <c r="E8331" i="12"/>
  <c r="T8343" i="11"/>
  <c r="E8395" i="12"/>
  <c r="T8407" i="11"/>
  <c r="E7777" i="12"/>
  <c r="T7789" i="11"/>
  <c r="E7957" i="12"/>
  <c r="T7969" i="11"/>
  <c r="E8089" i="12"/>
  <c r="T8101" i="11"/>
  <c r="E8217" i="12"/>
  <c r="T8229" i="11"/>
  <c r="E8341" i="12"/>
  <c r="T8353" i="11"/>
  <c r="E7853" i="12"/>
  <c r="T7865" i="11"/>
  <c r="E7917" i="12"/>
  <c r="T7929" i="11"/>
  <c r="E8041" i="12"/>
  <c r="T8053" i="11"/>
  <c r="E8165" i="12"/>
  <c r="T8177" i="11"/>
  <c r="E8293" i="12"/>
  <c r="T8305" i="11"/>
  <c r="E7712" i="12"/>
  <c r="T7724" i="11"/>
  <c r="E7708" i="12"/>
  <c r="T7720" i="11"/>
  <c r="E7704" i="12"/>
  <c r="T7716" i="11"/>
  <c r="E7700" i="12"/>
  <c r="T7712" i="11"/>
  <c r="E7696" i="12"/>
  <c r="T7708" i="11"/>
  <c r="E7692" i="12"/>
  <c r="T7704" i="11"/>
  <c r="E7688" i="12"/>
  <c r="T7700" i="11"/>
  <c r="E7684" i="12"/>
  <c r="T7696" i="11"/>
  <c r="E7680" i="12"/>
  <c r="T7692" i="11"/>
  <c r="E7676" i="12"/>
  <c r="T7688" i="11"/>
  <c r="E7672" i="12"/>
  <c r="T7684" i="11"/>
  <c r="E7668" i="12"/>
  <c r="T7680" i="11"/>
  <c r="E7664" i="12"/>
  <c r="T7676" i="11"/>
  <c r="E7660" i="12"/>
  <c r="T7672" i="11"/>
  <c r="E7656" i="12"/>
  <c r="T7668" i="11"/>
  <c r="E7652" i="12"/>
  <c r="T7664" i="11"/>
  <c r="E7648" i="12"/>
  <c r="T7660" i="11"/>
  <c r="E7644" i="12"/>
  <c r="T7656" i="11"/>
  <c r="E7640" i="12"/>
  <c r="T7652" i="11"/>
  <c r="E7636" i="12"/>
  <c r="T7648" i="11"/>
  <c r="E7632" i="12"/>
  <c r="T7644" i="11"/>
  <c r="E7628" i="12"/>
  <c r="T7640" i="11"/>
  <c r="E7624" i="12"/>
  <c r="T7636" i="11"/>
  <c r="E7620" i="12"/>
  <c r="T7632" i="11"/>
  <c r="E7616" i="12"/>
  <c r="T7628" i="11"/>
  <c r="E7612" i="12"/>
  <c r="T7624" i="11"/>
  <c r="E7608" i="12"/>
  <c r="T7620" i="11"/>
  <c r="E7604" i="12"/>
  <c r="T7616" i="11"/>
  <c r="E7600" i="12"/>
  <c r="T7612" i="11"/>
  <c r="E7596" i="12"/>
  <c r="T7608" i="11"/>
  <c r="E7592" i="12"/>
  <c r="T7604" i="11"/>
  <c r="E7588" i="12"/>
  <c r="T7600" i="11"/>
  <c r="E7584" i="12"/>
  <c r="T7596" i="11"/>
  <c r="E7580" i="12"/>
  <c r="T7592" i="11"/>
  <c r="E7576" i="12"/>
  <c r="T7588" i="11"/>
  <c r="E7572" i="12"/>
  <c r="T7584" i="11"/>
  <c r="E779" i="12"/>
  <c r="T785" i="11"/>
  <c r="E4716" i="12"/>
  <c r="T4726" i="11"/>
  <c r="E4712" i="12"/>
  <c r="T4722" i="11"/>
  <c r="E4708" i="12"/>
  <c r="T4718" i="11"/>
  <c r="E4704" i="12"/>
  <c r="T4714" i="11"/>
  <c r="E1203" i="12"/>
  <c r="T1210" i="11"/>
  <c r="E703" i="12"/>
  <c r="T709" i="11"/>
  <c r="E894" i="12"/>
  <c r="T901" i="11"/>
  <c r="E368" i="12"/>
  <c r="T373" i="11"/>
  <c r="E501" i="12"/>
  <c r="T506" i="11"/>
  <c r="E1283" i="12"/>
  <c r="T1290" i="11"/>
  <c r="E1043" i="12"/>
  <c r="T1050" i="11"/>
  <c r="E831" i="12"/>
  <c r="T837" i="11"/>
  <c r="E320" i="12"/>
  <c r="T325" i="11"/>
  <c r="E1114" i="12"/>
  <c r="T1121" i="11"/>
  <c r="E1230" i="12"/>
  <c r="T1237" i="11"/>
  <c r="E974" i="12"/>
  <c r="T981" i="11"/>
  <c r="E760" i="12"/>
  <c r="T766" i="11"/>
  <c r="E508" i="12"/>
  <c r="T513" i="11"/>
  <c r="E1267" i="12"/>
  <c r="T1274" i="11"/>
  <c r="E1159" i="12"/>
  <c r="T1166" i="11"/>
  <c r="E1070" i="12"/>
  <c r="T1077" i="11"/>
  <c r="E963" i="12"/>
  <c r="T970" i="11"/>
  <c r="E836" i="12"/>
  <c r="T842" i="11"/>
  <c r="E708" i="12"/>
  <c r="T714" i="11"/>
  <c r="E581" i="12"/>
  <c r="T586" i="11"/>
  <c r="E432" i="12"/>
  <c r="T437" i="11"/>
  <c r="E134" i="12"/>
  <c r="T138" i="11"/>
  <c r="E301" i="12"/>
  <c r="T305" i="11"/>
  <c r="E45" i="12"/>
  <c r="T49" i="11"/>
  <c r="E517" i="12"/>
  <c r="T522" i="11"/>
  <c r="E453" i="12"/>
  <c r="T458" i="11"/>
  <c r="E389" i="12"/>
  <c r="T394" i="11"/>
  <c r="E329" i="12"/>
  <c r="T334" i="11"/>
  <c r="E237" i="12"/>
  <c r="T241" i="11"/>
  <c r="E186" i="12"/>
  <c r="T190" i="11"/>
  <c r="E93" i="12"/>
  <c r="T97" i="11"/>
  <c r="E22" i="12"/>
  <c r="T26" i="11"/>
  <c r="E903" i="12"/>
  <c r="T910" i="11"/>
  <c r="E840" i="12"/>
  <c r="T846" i="11"/>
  <c r="E776" i="12"/>
  <c r="T782" i="11"/>
  <c r="E712" i="12"/>
  <c r="T718" i="11"/>
  <c r="E648" i="12"/>
  <c r="T654" i="11"/>
  <c r="E585" i="12"/>
  <c r="T590" i="11"/>
  <c r="E521" i="12"/>
  <c r="T526" i="11"/>
  <c r="E457" i="12"/>
  <c r="T462" i="11"/>
  <c r="E393" i="12"/>
  <c r="T398" i="11"/>
  <c r="E325" i="12"/>
  <c r="T330" i="11"/>
  <c r="E218" i="12"/>
  <c r="T222" i="11"/>
  <c r="E129" i="12"/>
  <c r="T133" i="11"/>
  <c r="E33" i="12"/>
  <c r="T37" i="11"/>
  <c r="E176" i="12"/>
  <c r="T180" i="11"/>
  <c r="E704" i="12"/>
  <c r="T710" i="11"/>
  <c r="E1238" i="12"/>
  <c r="T1245" i="11"/>
  <c r="E23" i="12"/>
  <c r="T27" i="11"/>
  <c r="E279" i="12"/>
  <c r="T283" i="11"/>
  <c r="E550" i="12"/>
  <c r="T555" i="11"/>
  <c r="E1028" i="12"/>
  <c r="T1035" i="11"/>
  <c r="E608" i="12"/>
  <c r="T614" i="11"/>
  <c r="E1549" i="12"/>
  <c r="T1556" i="11"/>
  <c r="E713" i="12"/>
  <c r="T719" i="11"/>
  <c r="E146" i="12"/>
  <c r="T150" i="11"/>
  <c r="E1039" i="12"/>
  <c r="T1046" i="11"/>
  <c r="E318" i="12"/>
  <c r="T323" i="11"/>
  <c r="E988" i="12"/>
  <c r="T995" i="11"/>
  <c r="E577" i="12"/>
  <c r="T582" i="11"/>
  <c r="E1445" i="12"/>
  <c r="T1452" i="11"/>
  <c r="E418" i="12"/>
  <c r="T423" i="11"/>
  <c r="E1120" i="12"/>
  <c r="T1127" i="11"/>
  <c r="E880" i="12"/>
  <c r="T886" i="11"/>
  <c r="E1204" i="12"/>
  <c r="T1211" i="11"/>
  <c r="E219" i="12"/>
  <c r="T223" i="11"/>
  <c r="E297" i="12"/>
  <c r="T301" i="11"/>
  <c r="E669" i="12"/>
  <c r="T675" i="11"/>
  <c r="E1301" i="12"/>
  <c r="T1308" i="11"/>
  <c r="E247" i="12"/>
  <c r="T251" i="11"/>
  <c r="E502" i="12"/>
  <c r="T507" i="11"/>
  <c r="E916" i="12"/>
  <c r="T923" i="11"/>
  <c r="E481" i="12"/>
  <c r="T486" i="11"/>
  <c r="E1437" i="12"/>
  <c r="T1444" i="11"/>
  <c r="E633" i="12"/>
  <c r="T639" i="11"/>
  <c r="E18" i="12"/>
  <c r="T22" i="11"/>
  <c r="E957" i="12"/>
  <c r="T964" i="11"/>
  <c r="E223" i="12"/>
  <c r="T227" i="11"/>
  <c r="E924" i="12"/>
  <c r="T931" i="11"/>
  <c r="E472" i="12"/>
  <c r="T477" i="11"/>
  <c r="E1349" i="12"/>
  <c r="T1356" i="11"/>
  <c r="E275" i="12"/>
  <c r="T279" i="11"/>
  <c r="E785" i="12"/>
  <c r="T791" i="11"/>
  <c r="E9" i="12"/>
  <c r="T13" i="11"/>
  <c r="E688" i="12"/>
  <c r="T694" i="11"/>
  <c r="E1353" i="12"/>
  <c r="T1360" i="11"/>
  <c r="E1092" i="12"/>
  <c r="T1099" i="11"/>
  <c r="E782" i="12"/>
  <c r="T788" i="11"/>
  <c r="E187" i="12"/>
  <c r="T191" i="11"/>
  <c r="E984" i="12"/>
  <c r="T991" i="11"/>
  <c r="E679" i="12"/>
  <c r="T685" i="11"/>
  <c r="E47" i="12"/>
  <c r="T51" i="11"/>
  <c r="E845" i="12"/>
  <c r="T851" i="11"/>
  <c r="E449" i="12"/>
  <c r="T454" i="11"/>
  <c r="E103" i="12"/>
  <c r="T107" i="11"/>
  <c r="E566" i="12"/>
  <c r="T571" i="11"/>
  <c r="E950" i="12"/>
  <c r="T957" i="11"/>
  <c r="E936" i="12"/>
  <c r="T943" i="11"/>
  <c r="E1345" i="12"/>
  <c r="T1352" i="11"/>
  <c r="E1228" i="12"/>
  <c r="T1235" i="11"/>
  <c r="E99" i="12"/>
  <c r="T103" i="11"/>
  <c r="E801" i="12"/>
  <c r="T807" i="11"/>
  <c r="E369" i="12"/>
  <c r="T374" i="11"/>
  <c r="E1305" i="12"/>
  <c r="T1312" i="11"/>
  <c r="E162" i="12"/>
  <c r="T166" i="11"/>
  <c r="E1421" i="12"/>
  <c r="T1428" i="11"/>
  <c r="E1000" i="12"/>
  <c r="T1007" i="11"/>
  <c r="E1126" i="12"/>
  <c r="T1133" i="11"/>
  <c r="E558" i="12"/>
  <c r="T563" i="11"/>
  <c r="E367" i="12"/>
  <c r="T372" i="11"/>
  <c r="E51" i="12"/>
  <c r="T55" i="11"/>
  <c r="T311" i="11"/>
  <c r="E562" i="12"/>
  <c r="T567" i="11"/>
  <c r="E817" i="12"/>
  <c r="T823" i="11"/>
  <c r="E1072" i="12"/>
  <c r="T1079" i="11"/>
  <c r="E50" i="12"/>
  <c r="T54" i="11"/>
  <c r="E392" i="12"/>
  <c r="T397" i="11"/>
  <c r="E734" i="12"/>
  <c r="T740" i="11"/>
  <c r="E1071" i="12"/>
  <c r="T1078" i="11"/>
  <c r="E1385" i="12"/>
  <c r="T1392" i="11"/>
  <c r="E757" i="12"/>
  <c r="T763" i="11"/>
  <c r="E1140" i="12"/>
  <c r="T1147" i="11"/>
  <c r="E335" i="12"/>
  <c r="T340" i="11"/>
  <c r="E846" i="12"/>
  <c r="T852" i="11"/>
  <c r="E1341" i="12"/>
  <c r="T1348" i="11"/>
  <c r="E139" i="12"/>
  <c r="T143" i="11"/>
  <c r="E522" i="12"/>
  <c r="T527" i="11"/>
  <c r="E920" i="12"/>
  <c r="T927" i="11"/>
  <c r="E64" i="12"/>
  <c r="T68" i="11"/>
  <c r="E615" i="12"/>
  <c r="T621" i="11"/>
  <c r="E1149" i="12"/>
  <c r="T1156" i="11"/>
  <c r="E1569" i="12"/>
  <c r="T1576" i="11"/>
  <c r="E382" i="12"/>
  <c r="T387" i="11"/>
  <c r="E797" i="12"/>
  <c r="T803" i="11"/>
  <c r="E1196" i="12"/>
  <c r="T1203" i="11"/>
  <c r="E385" i="12"/>
  <c r="T390" i="11"/>
  <c r="E941" i="12"/>
  <c r="T948" i="11"/>
  <c r="E1429" i="12"/>
  <c r="T1436" i="11"/>
  <c r="E199" i="12"/>
  <c r="T203" i="11"/>
  <c r="E454" i="12"/>
  <c r="T459" i="11"/>
  <c r="E789" i="12"/>
  <c r="T795" i="11"/>
  <c r="E312" i="12"/>
  <c r="T317" i="11"/>
  <c r="E1309" i="12"/>
  <c r="T1316" i="11"/>
  <c r="E506" i="12"/>
  <c r="T511" i="11"/>
  <c r="E1176" i="12"/>
  <c r="T1183" i="11"/>
  <c r="E784" i="12"/>
  <c r="T790" i="11"/>
  <c r="E95" i="12"/>
  <c r="T99" i="11"/>
  <c r="E781" i="12"/>
  <c r="T787" i="11"/>
  <c r="E281" i="12"/>
  <c r="T285" i="11"/>
  <c r="E1197" i="12"/>
  <c r="T1204" i="11"/>
  <c r="E116" i="12"/>
  <c r="T120" i="11"/>
  <c r="E302" i="12"/>
  <c r="T306" i="11"/>
  <c r="E876" i="12"/>
  <c r="T882" i="11"/>
  <c r="E76" i="12"/>
  <c r="T80" i="11"/>
  <c r="E587" i="12"/>
  <c r="T592" i="11"/>
  <c r="E1249" i="12"/>
  <c r="T1256" i="11"/>
  <c r="E551" i="12"/>
  <c r="T556" i="11"/>
  <c r="E1233" i="12"/>
  <c r="T1240" i="11"/>
  <c r="E1432" i="12"/>
  <c r="T1439" i="11"/>
  <c r="E1646" i="12"/>
  <c r="T1653" i="11"/>
  <c r="E1837" i="12"/>
  <c r="T1845" i="11"/>
  <c r="E919" i="12"/>
  <c r="T926" i="11"/>
  <c r="E1402" i="12"/>
  <c r="T1409" i="11"/>
  <c r="E1621" i="12"/>
  <c r="T1628" i="11"/>
  <c r="E1812" i="12"/>
  <c r="T1820" i="11"/>
  <c r="E794" i="12"/>
  <c r="T800" i="11"/>
  <c r="E1412" i="12"/>
  <c r="T1419" i="11"/>
  <c r="E1683" i="12"/>
  <c r="T1690" i="11"/>
  <c r="E1842" i="12"/>
  <c r="T1850" i="11"/>
  <c r="E1098" i="12"/>
  <c r="T1105" i="11"/>
  <c r="E1575" i="12"/>
  <c r="T1582" i="11"/>
  <c r="E1952" i="12"/>
  <c r="T1960" i="11"/>
  <c r="E2112" i="12"/>
  <c r="T2120" i="11"/>
  <c r="E2320" i="12"/>
  <c r="T2328" i="11"/>
  <c r="E2480" i="12"/>
  <c r="T2488" i="11"/>
  <c r="E2672" i="12"/>
  <c r="T2680" i="11"/>
  <c r="E2816" i="12"/>
  <c r="T2824" i="11"/>
  <c r="E3008" i="12"/>
  <c r="T3016" i="11"/>
  <c r="E3168" i="12"/>
  <c r="T3176" i="11"/>
  <c r="E810" i="12"/>
  <c r="T816" i="11"/>
  <c r="E2027" i="12"/>
  <c r="T2035" i="11"/>
  <c r="E2235" i="12"/>
  <c r="T2243" i="11"/>
  <c r="E2395" i="12"/>
  <c r="T2403" i="11"/>
  <c r="E884" i="12"/>
  <c r="T890" i="11"/>
  <c r="E2005" i="12"/>
  <c r="T2013" i="11"/>
  <c r="E2197" i="12"/>
  <c r="T2205" i="11"/>
  <c r="E2341" i="12"/>
  <c r="T2349" i="11"/>
  <c r="E2549" i="12"/>
  <c r="T2557" i="11"/>
  <c r="E2709" i="12"/>
  <c r="T2717" i="11"/>
  <c r="E2917" i="12"/>
  <c r="T2925" i="11"/>
  <c r="E3061" i="12"/>
  <c r="T3069" i="11"/>
  <c r="E2571" i="12"/>
  <c r="T2579" i="11"/>
  <c r="E2715" i="12"/>
  <c r="T2723" i="11"/>
  <c r="E2859" i="12"/>
  <c r="T2867" i="11"/>
  <c r="E3051" i="12"/>
  <c r="T3059" i="11"/>
  <c r="E3370" i="12"/>
  <c r="T3378" i="11"/>
  <c r="E3578" i="12"/>
  <c r="T3586" i="11"/>
  <c r="E1470" i="12"/>
  <c r="T1477" i="11"/>
  <c r="E2118" i="12"/>
  <c r="T2126" i="11"/>
  <c r="E2858" i="12"/>
  <c r="T2866" i="11"/>
  <c r="E3034" i="12"/>
  <c r="T3042" i="11"/>
  <c r="E3205" i="12"/>
  <c r="T3213" i="11"/>
  <c r="E3343" i="12"/>
  <c r="T3351" i="11"/>
  <c r="E3471" i="12"/>
  <c r="T3479" i="11"/>
  <c r="E3605" i="12"/>
  <c r="T3613" i="11"/>
  <c r="E3718" i="12"/>
  <c r="T3726" i="11"/>
  <c r="E3925" i="12"/>
  <c r="T3934" i="11"/>
  <c r="E4101" i="12"/>
  <c r="T4110" i="11"/>
  <c r="E4292" i="12"/>
  <c r="T4302" i="11"/>
  <c r="E4452" i="12"/>
  <c r="T4462" i="11"/>
  <c r="E4628" i="12"/>
  <c r="T4638" i="11"/>
  <c r="E3476" i="12"/>
  <c r="T3484" i="11"/>
  <c r="E3780" i="12"/>
  <c r="T3789" i="11"/>
  <c r="E4052" i="12"/>
  <c r="T4061" i="11"/>
  <c r="E4164" i="12"/>
  <c r="T4173" i="11"/>
  <c r="E4355" i="12"/>
  <c r="T4365" i="11"/>
  <c r="E4515" i="12"/>
  <c r="T4525" i="11"/>
  <c r="E3679" i="12"/>
  <c r="T3687" i="11"/>
  <c r="E3822" i="12"/>
  <c r="T3831" i="11"/>
  <c r="E4030" i="12"/>
  <c r="T4039" i="11"/>
  <c r="E4173" i="12"/>
  <c r="T4183" i="11"/>
  <c r="E4365" i="12"/>
  <c r="T4375" i="11"/>
  <c r="E4493" i="12"/>
  <c r="T4503" i="11"/>
  <c r="E4701" i="12"/>
  <c r="T4711" i="11"/>
  <c r="E3700" i="12"/>
  <c r="T3708" i="11"/>
  <c r="E4115" i="12"/>
  <c r="T4124" i="11"/>
  <c r="E4370" i="12"/>
  <c r="T4380" i="11"/>
  <c r="E4999" i="12"/>
  <c r="T5010" i="11"/>
  <c r="E4742" i="12"/>
  <c r="T4752" i="11"/>
  <c r="E4830" i="12"/>
  <c r="T4840" i="11"/>
  <c r="E4925" i="12"/>
  <c r="T4936" i="11"/>
  <c r="E5054" i="12"/>
  <c r="T5065" i="11"/>
  <c r="E4775" i="12"/>
  <c r="T4785" i="11"/>
  <c r="E4863" i="12"/>
  <c r="T4873" i="11"/>
  <c r="E4950" i="12"/>
  <c r="T4961" i="11"/>
  <c r="E5072" i="12"/>
  <c r="T5083" i="11"/>
  <c r="E4326" i="12"/>
  <c r="T4336" i="11"/>
  <c r="E3855" i="12"/>
  <c r="T3864" i="11"/>
  <c r="E4558" i="12"/>
  <c r="T4568" i="11"/>
  <c r="E6629" i="12"/>
  <c r="T6641" i="11"/>
  <c r="E6757" i="12"/>
  <c r="T6769" i="11"/>
  <c r="E6933" i="12"/>
  <c r="T6945" i="11"/>
  <c r="E7109" i="12"/>
  <c r="T7121" i="11"/>
  <c r="E7285" i="12"/>
  <c r="T7297" i="11"/>
  <c r="E7493" i="12"/>
  <c r="T7505" i="11"/>
  <c r="E5116" i="12"/>
  <c r="T5127" i="11"/>
  <c r="E5212" i="12"/>
  <c r="T5223" i="11"/>
  <c r="E5284" i="12"/>
  <c r="T5295" i="11"/>
  <c r="E5388" i="12"/>
  <c r="T5399" i="11"/>
  <c r="E5476" i="12"/>
  <c r="T5487" i="11"/>
  <c r="E5580" i="12"/>
  <c r="T5591" i="11"/>
  <c r="E5659" i="12"/>
  <c r="T5671" i="11"/>
  <c r="E5755" i="12"/>
  <c r="T5767" i="11"/>
  <c r="E5835" i="12"/>
  <c r="T5847" i="11"/>
  <c r="E5915" i="12"/>
  <c r="T5927" i="11"/>
  <c r="E5963" i="12"/>
  <c r="T5975" i="11"/>
  <c r="E6043" i="12"/>
  <c r="T6055" i="11"/>
  <c r="E6147" i="12"/>
  <c r="T6159" i="11"/>
  <c r="E6211" i="12"/>
  <c r="T6223" i="11"/>
  <c r="E6307" i="12"/>
  <c r="T6319" i="11"/>
  <c r="E6387" i="12"/>
  <c r="T6399" i="11"/>
  <c r="E6475" i="12"/>
  <c r="T6487" i="11"/>
  <c r="E6548" i="12"/>
  <c r="T6560" i="11"/>
  <c r="E6724" i="12"/>
  <c r="T6736" i="11"/>
  <c r="E6916" i="12"/>
  <c r="T6928" i="11"/>
  <c r="E7076" i="12"/>
  <c r="T7088" i="11"/>
  <c r="E7268" i="12"/>
  <c r="T7280" i="11"/>
  <c r="E7428" i="12"/>
  <c r="T7440" i="11"/>
  <c r="E5069" i="12"/>
  <c r="T5080" i="11"/>
  <c r="E5143" i="12"/>
  <c r="T5154" i="11"/>
  <c r="E5247" i="12"/>
  <c r="T5258" i="11"/>
  <c r="E5319" i="12"/>
  <c r="T5330" i="11"/>
  <c r="E5415" i="12"/>
  <c r="T5426" i="11"/>
  <c r="E5487" i="12"/>
  <c r="T5498" i="11"/>
  <c r="E5583" i="12"/>
  <c r="T5594" i="11"/>
  <c r="E5654" i="12"/>
  <c r="T5666" i="11"/>
  <c r="E5734" i="12"/>
  <c r="T5746" i="11"/>
  <c r="E5830" i="12"/>
  <c r="T5842" i="11"/>
  <c r="E5902" i="12"/>
  <c r="T5914" i="11"/>
  <c r="E5998" i="12"/>
  <c r="T6010" i="11"/>
  <c r="E6078" i="12"/>
  <c r="T6090" i="11"/>
  <c r="E6158" i="12"/>
  <c r="T6170" i="11"/>
  <c r="E6246" i="12"/>
  <c r="T6258" i="11"/>
  <c r="E6326" i="12"/>
  <c r="T6338" i="11"/>
  <c r="E6422" i="12"/>
  <c r="T6434" i="11"/>
  <c r="E6494" i="12"/>
  <c r="T6506" i="11"/>
  <c r="E6666" i="12"/>
  <c r="T6678" i="11"/>
  <c r="E6794" i="12"/>
  <c r="T6806" i="11"/>
  <c r="E6970" i="12"/>
  <c r="T6982" i="11"/>
  <c r="E7130" i="12"/>
  <c r="T7142" i="11"/>
  <c r="E7338" i="12"/>
  <c r="T7350" i="11"/>
  <c r="E7498" i="12"/>
  <c r="T7510" i="11"/>
  <c r="E7766" i="12"/>
  <c r="T7778" i="11"/>
  <c r="E8166" i="12"/>
  <c r="T8178" i="11"/>
  <c r="E232" i="12"/>
  <c r="T236" i="11"/>
  <c r="E571" i="12"/>
  <c r="T576" i="11"/>
  <c r="E124" i="12"/>
  <c r="T128" i="11"/>
  <c r="E452" i="12"/>
  <c r="T457" i="11"/>
  <c r="E1019" i="12"/>
  <c r="T1026" i="11"/>
  <c r="E266" i="12"/>
  <c r="T270" i="11"/>
  <c r="E1205" i="12"/>
  <c r="T1212" i="11"/>
  <c r="E1462" i="12"/>
  <c r="T1469" i="11"/>
  <c r="E1730" i="12"/>
  <c r="T1737" i="11"/>
  <c r="E1857" i="12"/>
  <c r="T1865" i="11"/>
  <c r="E1009" i="12"/>
  <c r="T1016" i="11"/>
  <c r="E1427" i="12"/>
  <c r="T1434" i="11"/>
  <c r="E1673" i="12"/>
  <c r="T1680" i="11"/>
  <c r="E1816" i="12"/>
  <c r="T1824" i="11"/>
  <c r="E858" i="12"/>
  <c r="T864" i="11"/>
  <c r="E1419" i="12"/>
  <c r="T1426" i="11"/>
  <c r="E1655" i="12"/>
  <c r="T1662" i="11"/>
  <c r="E1799" i="12"/>
  <c r="T1806" i="11"/>
  <c r="E994" i="12"/>
  <c r="T1001" i="11"/>
  <c r="E1504" i="12"/>
  <c r="T1511" i="11"/>
  <c r="E1926" i="12"/>
  <c r="T1934" i="11"/>
  <c r="E2068" i="12"/>
  <c r="T2076" i="11"/>
  <c r="E2244" i="12"/>
  <c r="T2252" i="11"/>
  <c r="E2404" i="12"/>
  <c r="T2412" i="11"/>
  <c r="E2564" i="12"/>
  <c r="T2572" i="11"/>
  <c r="E2724" i="12"/>
  <c r="T2732" i="11"/>
  <c r="E2884" i="12"/>
  <c r="T2892" i="11"/>
  <c r="E3076" i="12"/>
  <c r="T3084" i="11"/>
  <c r="E3252" i="12"/>
  <c r="T3260" i="11"/>
  <c r="E1935" i="12"/>
  <c r="T1943" i="11"/>
  <c r="E2175" i="12"/>
  <c r="T2183" i="11"/>
  <c r="E2335" i="12"/>
  <c r="T2343" i="11"/>
  <c r="E616" i="12"/>
  <c r="T622" i="11"/>
  <c r="E1945" i="12"/>
  <c r="T1953" i="11"/>
  <c r="E2169" i="12"/>
  <c r="T2177" i="11"/>
  <c r="E2329" i="12"/>
  <c r="T2337" i="11"/>
  <c r="E2505" i="12"/>
  <c r="T2513" i="11"/>
  <c r="E2649" i="12"/>
  <c r="T2657" i="11"/>
  <c r="E2873" i="12"/>
  <c r="T2881" i="11"/>
  <c r="E3017" i="12"/>
  <c r="T3025" i="11"/>
  <c r="E181" i="12"/>
  <c r="T185" i="11"/>
  <c r="E2687" i="12"/>
  <c r="T2695" i="11"/>
  <c r="E2831" i="12"/>
  <c r="T2839" i="11"/>
  <c r="E3023" i="12"/>
  <c r="T3031" i="11"/>
  <c r="E3167" i="12"/>
  <c r="T3175" i="11"/>
  <c r="E3534" i="12"/>
  <c r="T3542" i="11"/>
  <c r="E1106" i="12"/>
  <c r="T1113" i="11"/>
  <c r="E1966" i="12"/>
  <c r="T1974" i="11"/>
  <c r="E2382" i="12"/>
  <c r="T2390" i="11"/>
  <c r="E3257" i="12"/>
  <c r="T3265" i="11"/>
  <c r="E3417" i="12"/>
  <c r="T3425" i="11"/>
  <c r="E1431" i="12"/>
  <c r="T1438" i="11"/>
  <c r="E2130" i="12"/>
  <c r="T2138" i="11"/>
  <c r="E2450" i="12"/>
  <c r="T2458" i="11"/>
  <c r="E2686" i="12"/>
  <c r="T2694" i="11"/>
  <c r="E2830" i="12"/>
  <c r="T2838" i="11"/>
  <c r="E3022" i="12"/>
  <c r="T3030" i="11"/>
  <c r="E3182" i="12"/>
  <c r="T3190" i="11"/>
  <c r="E3314" i="12"/>
  <c r="T3322" i="11"/>
  <c r="E3459" i="12"/>
  <c r="T3467" i="11"/>
  <c r="E3608" i="12"/>
  <c r="T3616" i="11"/>
  <c r="E3753" i="12"/>
  <c r="T3762" i="11"/>
  <c r="E3945" i="12"/>
  <c r="T3954" i="11"/>
  <c r="E4137" i="12"/>
  <c r="T4146" i="11"/>
  <c r="E4344" i="12"/>
  <c r="T4354" i="11"/>
  <c r="E4520" i="12"/>
  <c r="T4530" i="11"/>
  <c r="E4696" i="12"/>
  <c r="T4706" i="11"/>
  <c r="E3689" i="12"/>
  <c r="T3697" i="11"/>
  <c r="E3816" i="12"/>
  <c r="T3825" i="11"/>
  <c r="E3992" i="12"/>
  <c r="T4001" i="11"/>
  <c r="E4183" i="12"/>
  <c r="T4193" i="11"/>
  <c r="E4343" i="12"/>
  <c r="T4353" i="11"/>
  <c r="E4551" i="12"/>
  <c r="T4561" i="11"/>
  <c r="E3364" i="12"/>
  <c r="T3372" i="11"/>
  <c r="E3874" i="12"/>
  <c r="T3883" i="11"/>
  <c r="E4018" i="12"/>
  <c r="T4027" i="11"/>
  <c r="E4225" i="12"/>
  <c r="T4235" i="11"/>
  <c r="E4369" i="12"/>
  <c r="T4379" i="11"/>
  <c r="E4561" i="12"/>
  <c r="T4571" i="11"/>
  <c r="E3588" i="12"/>
  <c r="T3596" i="11"/>
  <c r="E3931" i="12"/>
  <c r="T3940" i="11"/>
  <c r="E4282" i="12"/>
  <c r="T4292" i="11"/>
  <c r="E4570" i="12"/>
  <c r="T4580" i="11"/>
  <c r="E4720" i="12"/>
  <c r="T4730" i="11"/>
  <c r="E4808" i="12"/>
  <c r="T4818" i="11"/>
  <c r="E4887" i="12"/>
  <c r="T4898" i="11"/>
  <c r="E5010" i="12"/>
  <c r="T5021" i="11"/>
  <c r="E4745" i="12"/>
  <c r="T4755" i="11"/>
  <c r="E4841" i="12"/>
  <c r="T4851" i="11"/>
  <c r="E4904" i="12"/>
  <c r="T4915" i="11"/>
  <c r="E5076" i="12"/>
  <c r="T5087" i="11"/>
  <c r="E4151" i="12"/>
  <c r="T4160" i="11"/>
  <c r="E3564" i="12"/>
  <c r="T3572" i="11"/>
  <c r="E4254" i="12"/>
  <c r="T4264" i="11"/>
  <c r="E6537" i="12"/>
  <c r="T6549" i="11"/>
  <c r="E6697" i="12"/>
  <c r="T6709" i="11"/>
  <c r="E6921" i="12"/>
  <c r="T6933" i="11"/>
  <c r="E7065" i="12"/>
  <c r="T7077" i="11"/>
  <c r="E7241" i="12"/>
  <c r="T7253" i="11"/>
  <c r="E7369" i="12"/>
  <c r="T7381" i="11"/>
  <c r="E7545" i="12"/>
  <c r="T7557" i="11"/>
  <c r="E5142" i="12"/>
  <c r="T5153" i="11"/>
  <c r="E5230" i="12"/>
  <c r="T5241" i="11"/>
  <c r="E5318" i="12"/>
  <c r="T5329" i="11"/>
  <c r="E5398" i="12"/>
  <c r="T5409" i="11"/>
  <c r="E5494" i="12"/>
  <c r="T5505" i="11"/>
  <c r="E5566" i="12"/>
  <c r="T5577" i="11"/>
  <c r="E5661" i="12"/>
  <c r="T5673" i="11"/>
  <c r="E5741" i="12"/>
  <c r="T5753" i="11"/>
  <c r="E5829" i="12"/>
  <c r="T5841" i="11"/>
  <c r="E5917" i="12"/>
  <c r="T5929" i="11"/>
  <c r="E5989" i="12"/>
  <c r="T6001" i="11"/>
  <c r="E6093" i="12"/>
  <c r="T6105" i="11"/>
  <c r="E6157" i="12"/>
  <c r="T6169" i="11"/>
  <c r="E6261" i="12"/>
  <c r="T6273" i="11"/>
  <c r="E6341" i="12"/>
  <c r="T6353" i="11"/>
  <c r="E6429" i="12"/>
  <c r="T6441" i="11"/>
  <c r="E6509" i="12"/>
  <c r="T6521" i="11"/>
  <c r="E6712" i="12"/>
  <c r="T6724" i="11"/>
  <c r="E6856" i="12"/>
  <c r="T6868" i="11"/>
  <c r="E7048" i="12"/>
  <c r="T7060" i="11"/>
  <c r="E7208" i="12"/>
  <c r="T7220" i="11"/>
  <c r="E7400" i="12"/>
  <c r="T7412" i="11"/>
  <c r="E4981" i="12"/>
  <c r="T4992" i="11"/>
  <c r="E5145" i="12"/>
  <c r="T5156" i="11"/>
  <c r="E5225" i="12"/>
  <c r="T5236" i="11"/>
  <c r="E5329" i="12"/>
  <c r="T5340" i="11"/>
  <c r="E5409" i="12"/>
  <c r="T5420" i="11"/>
  <c r="E5505" i="12"/>
  <c r="T5516" i="11"/>
  <c r="E5585" i="12"/>
  <c r="T5596" i="11"/>
  <c r="E5656" i="12"/>
  <c r="T5668" i="11"/>
  <c r="E5752" i="12"/>
  <c r="T5764" i="11"/>
  <c r="E5832" i="12"/>
  <c r="T5844" i="11"/>
  <c r="E5928" i="12"/>
  <c r="T5940" i="11"/>
  <c r="E5992" i="12"/>
  <c r="T6004" i="11"/>
  <c r="E6088" i="12"/>
  <c r="T6100" i="11"/>
  <c r="E6160" i="12"/>
  <c r="T6172" i="11"/>
  <c r="E6248" i="12"/>
  <c r="T6260" i="11"/>
  <c r="E6336" i="12"/>
  <c r="T6348" i="11"/>
  <c r="E6416" i="12"/>
  <c r="T6428" i="11"/>
  <c r="E6528" i="12"/>
  <c r="T6540" i="11"/>
  <c r="E6670" i="12"/>
  <c r="T6682" i="11"/>
  <c r="E6862" i="12"/>
  <c r="T6874" i="11"/>
  <c r="E7006" i="12"/>
  <c r="T7018" i="11"/>
  <c r="E7166" i="12"/>
  <c r="T7178" i="11"/>
  <c r="E7342" i="12"/>
  <c r="T7354" i="11"/>
  <c r="E7502" i="12"/>
  <c r="T7514" i="11"/>
  <c r="E7784" i="12"/>
  <c r="T7796" i="11"/>
  <c r="E7872" i="12"/>
  <c r="T7884" i="11"/>
  <c r="E7976" i="12"/>
  <c r="T7988" i="11"/>
  <c r="E8345" i="12"/>
  <c r="T8357" i="11"/>
  <c r="E149" i="12"/>
  <c r="T153" i="11"/>
  <c r="E46" i="12"/>
  <c r="T50" i="11"/>
  <c r="E216" i="12"/>
  <c r="T220" i="11"/>
  <c r="E379" i="12"/>
  <c r="T384" i="11"/>
  <c r="E583" i="12"/>
  <c r="T588" i="11"/>
  <c r="E786" i="12"/>
  <c r="T792" i="11"/>
  <c r="E62" i="12"/>
  <c r="T66" i="11"/>
  <c r="E363" i="12"/>
  <c r="T368" i="11"/>
  <c r="E54" i="12"/>
  <c r="T58" i="11"/>
  <c r="E355" i="12"/>
  <c r="T360" i="11"/>
  <c r="E573" i="12"/>
  <c r="T578" i="11"/>
  <c r="E771" i="12"/>
  <c r="T777" i="11"/>
  <c r="E969" i="12"/>
  <c r="T976" i="11"/>
  <c r="E1173" i="12"/>
  <c r="T1180" i="11"/>
  <c r="E1331" i="12"/>
  <c r="T1338" i="11"/>
  <c r="E184" i="12"/>
  <c r="T188" i="11"/>
  <c r="E579" i="12"/>
  <c r="T584" i="11"/>
  <c r="E926" i="12"/>
  <c r="T933" i="11"/>
  <c r="E1099" i="12"/>
  <c r="T1106" i="11"/>
  <c r="E1246" i="12"/>
  <c r="T1253" i="11"/>
  <c r="E1382" i="12"/>
  <c r="T1389" i="11"/>
  <c r="E1464" i="12"/>
  <c r="T1471" i="11"/>
  <c r="E1551" i="12"/>
  <c r="T1558" i="11"/>
  <c r="E1622" i="12"/>
  <c r="T1629" i="11"/>
  <c r="E1686" i="12"/>
  <c r="T1693" i="11"/>
  <c r="E1750" i="12"/>
  <c r="T1757" i="11"/>
  <c r="E1813" i="12"/>
  <c r="T1821" i="11"/>
  <c r="E1877" i="12"/>
  <c r="T1885" i="11"/>
  <c r="E222" i="12"/>
  <c r="T226" i="11"/>
  <c r="E676" i="12"/>
  <c r="T682" i="11"/>
  <c r="E1059" i="12"/>
  <c r="T1066" i="11"/>
  <c r="E1328" i="12"/>
  <c r="T1335" i="11"/>
  <c r="E1411" i="12"/>
  <c r="T1418" i="11"/>
  <c r="E1498" i="12"/>
  <c r="T1505" i="11"/>
  <c r="E1580" i="12"/>
  <c r="T1587" i="11"/>
  <c r="E1645" i="12"/>
  <c r="T1652" i="11"/>
  <c r="E1709" i="12"/>
  <c r="T1716" i="11"/>
  <c r="E1773" i="12"/>
  <c r="T1780" i="11"/>
  <c r="E1836" i="12"/>
  <c r="T1844" i="11"/>
  <c r="E110" i="12"/>
  <c r="T114" i="11"/>
  <c r="E614" i="12"/>
  <c r="T620" i="11"/>
  <c r="E811" i="12"/>
  <c r="T817" i="11"/>
  <c r="E1073" i="12"/>
  <c r="T1080" i="11"/>
  <c r="E1348" i="12"/>
  <c r="T1355" i="11"/>
  <c r="E1444" i="12"/>
  <c r="T1451" i="11"/>
  <c r="E1531" i="12"/>
  <c r="T1538" i="11"/>
  <c r="E1611" i="12"/>
  <c r="T1618" i="11"/>
  <c r="E1675" i="12"/>
  <c r="T1682" i="11"/>
  <c r="E1739" i="12"/>
  <c r="T1746" i="11"/>
  <c r="E1803" i="12"/>
  <c r="T1810" i="11"/>
  <c r="E1866" i="12"/>
  <c r="T1874" i="11"/>
  <c r="E122" i="12"/>
  <c r="T126" i="11"/>
  <c r="E945" i="12"/>
  <c r="T952" i="11"/>
  <c r="E1207" i="12"/>
  <c r="T1214" i="11"/>
  <c r="E1422" i="12"/>
  <c r="T1429" i="11"/>
  <c r="E1588" i="12"/>
  <c r="T1595" i="11"/>
  <c r="E1716" i="12"/>
  <c r="T1723" i="11"/>
  <c r="E1843" i="12"/>
  <c r="T1851" i="11"/>
  <c r="E1960" i="12"/>
  <c r="T1968" i="11"/>
  <c r="E2024" i="12"/>
  <c r="T2032" i="11"/>
  <c r="E2088" i="12"/>
  <c r="T2096" i="11"/>
  <c r="E2152" i="12"/>
  <c r="T2160" i="11"/>
  <c r="E2216" i="12"/>
  <c r="T2224" i="11"/>
  <c r="E2280" i="12"/>
  <c r="T2288" i="11"/>
  <c r="E2344" i="12"/>
  <c r="T2352" i="11"/>
  <c r="E2408" i="12"/>
  <c r="T2416" i="11"/>
  <c r="E2472" i="12"/>
  <c r="T2480" i="11"/>
  <c r="E2536" i="12"/>
  <c r="T2544" i="11"/>
  <c r="E2600" i="12"/>
  <c r="T2608" i="11"/>
  <c r="E2664" i="12"/>
  <c r="T2672" i="11"/>
  <c r="E2728" i="12"/>
  <c r="T2736" i="11"/>
  <c r="E2792" i="12"/>
  <c r="T2800" i="11"/>
  <c r="E2856" i="12"/>
  <c r="T2864" i="11"/>
  <c r="E2920" i="12"/>
  <c r="T2928" i="11"/>
  <c r="E2984" i="12"/>
  <c r="T2992" i="11"/>
  <c r="E3048" i="12"/>
  <c r="T3056" i="11"/>
  <c r="E3112" i="12"/>
  <c r="T3120" i="11"/>
  <c r="E3176" i="12"/>
  <c r="T3184" i="11"/>
  <c r="E3240" i="12"/>
  <c r="T3248" i="11"/>
  <c r="E3304" i="12"/>
  <c r="T3312" i="11"/>
  <c r="E537" i="12"/>
  <c r="T542" i="11"/>
  <c r="E1214" i="12"/>
  <c r="T1221" i="11"/>
  <c r="E1987" i="12"/>
  <c r="T1995" i="11"/>
  <c r="E2051" i="12"/>
  <c r="T2059" i="11"/>
  <c r="E2115" i="12"/>
  <c r="T2123" i="11"/>
  <c r="E2179" i="12"/>
  <c r="T2187" i="11"/>
  <c r="E2243" i="12"/>
  <c r="T2251" i="11"/>
  <c r="E2307" i="12"/>
  <c r="T2315" i="11"/>
  <c r="E2371" i="12"/>
  <c r="T2379" i="11"/>
  <c r="E2435" i="12"/>
  <c r="T2443" i="11"/>
  <c r="E2499" i="12"/>
  <c r="T2507" i="11"/>
  <c r="E628" i="12"/>
  <c r="T634" i="11"/>
  <c r="E1169" i="12"/>
  <c r="T1176" i="11"/>
  <c r="E1949" i="12"/>
  <c r="T1957" i="11"/>
  <c r="E2013" i="12"/>
  <c r="T2021" i="11"/>
  <c r="E2077" i="12"/>
  <c r="T2085" i="11"/>
  <c r="E2141" i="12"/>
  <c r="T2149" i="11"/>
  <c r="E2205" i="12"/>
  <c r="T2213" i="11"/>
  <c r="E2269" i="12"/>
  <c r="T2277" i="11"/>
  <c r="E2333" i="12"/>
  <c r="T2341" i="11"/>
  <c r="E2397" i="12"/>
  <c r="T2405" i="11"/>
  <c r="E2461" i="12"/>
  <c r="T2469" i="11"/>
  <c r="E2525" i="12"/>
  <c r="T2533" i="11"/>
  <c r="E2589" i="12"/>
  <c r="T2597" i="11"/>
  <c r="E2653" i="12"/>
  <c r="T2661" i="11"/>
  <c r="E2717" i="12"/>
  <c r="T2725" i="11"/>
  <c r="E2781" i="12"/>
  <c r="T2789" i="11"/>
  <c r="E2845" i="12"/>
  <c r="T2853" i="11"/>
  <c r="E2909" i="12"/>
  <c r="T2917" i="11"/>
  <c r="E2973" i="12"/>
  <c r="T2981" i="11"/>
  <c r="E3037" i="12"/>
  <c r="T3045" i="11"/>
  <c r="E3101" i="12"/>
  <c r="T3109" i="11"/>
  <c r="E3165" i="12"/>
  <c r="T3173" i="11"/>
  <c r="E1899" i="12"/>
  <c r="T1907" i="11"/>
  <c r="E2595" i="12"/>
  <c r="T2603" i="11"/>
  <c r="E2659" i="12"/>
  <c r="T2667" i="11"/>
  <c r="E2723" i="12"/>
  <c r="T2731" i="11"/>
  <c r="E2787" i="12"/>
  <c r="T2795" i="11"/>
  <c r="E2851" i="12"/>
  <c r="T2859" i="11"/>
  <c r="E2915" i="12"/>
  <c r="T2923" i="11"/>
  <c r="E2979" i="12"/>
  <c r="T2987" i="11"/>
  <c r="E3043" i="12"/>
  <c r="T3051" i="11"/>
  <c r="E3107" i="12"/>
  <c r="T3115" i="11"/>
  <c r="E3171" i="12"/>
  <c r="T3179" i="11"/>
  <c r="E3394" i="12"/>
  <c r="T3402" i="11"/>
  <c r="E3458" i="12"/>
  <c r="T3466" i="11"/>
  <c r="E3522" i="12"/>
  <c r="T3530" i="11"/>
  <c r="E3586" i="12"/>
  <c r="T3594" i="11"/>
  <c r="E3650" i="12"/>
  <c r="T3658" i="11"/>
  <c r="E1374" i="12"/>
  <c r="T1381" i="11"/>
  <c r="E1632" i="12"/>
  <c r="T1639" i="11"/>
  <c r="E1887" i="12"/>
  <c r="T1895" i="11"/>
  <c r="E2038" i="12"/>
  <c r="T2046" i="11"/>
  <c r="E2166" i="12"/>
  <c r="T2174" i="11"/>
  <c r="E2294" i="12"/>
  <c r="T2302" i="11"/>
  <c r="E2422" i="12"/>
  <c r="T2430" i="11"/>
  <c r="E3195" i="12"/>
  <c r="T3203" i="11"/>
  <c r="E3238" i="12"/>
  <c r="T3246" i="11"/>
  <c r="E3281" i="12"/>
  <c r="T3289" i="11"/>
  <c r="E3323" i="12"/>
  <c r="T3331" i="11"/>
  <c r="E3373" i="12"/>
  <c r="T3381" i="11"/>
  <c r="E3437" i="12"/>
  <c r="T3445" i="11"/>
  <c r="E3501" i="12"/>
  <c r="T3509" i="11"/>
  <c r="E1335" i="12"/>
  <c r="T1342" i="11"/>
  <c r="E1720" i="12"/>
  <c r="T1727" i="11"/>
  <c r="E1946" i="12"/>
  <c r="T1954" i="11"/>
  <c r="E2074" i="12"/>
  <c r="T2082" i="11"/>
  <c r="E2202" i="12"/>
  <c r="T2210" i="11"/>
  <c r="E2330" i="12"/>
  <c r="T2338" i="11"/>
  <c r="E2458" i="12"/>
  <c r="T2466" i="11"/>
  <c r="E2562" i="12"/>
  <c r="T2570" i="11"/>
  <c r="E2626" i="12"/>
  <c r="T2634" i="11"/>
  <c r="E2690" i="12"/>
  <c r="T2698" i="11"/>
  <c r="E2754" i="12"/>
  <c r="T2762" i="11"/>
  <c r="E2818" i="12"/>
  <c r="T2826" i="11"/>
  <c r="E2882" i="12"/>
  <c r="T2890" i="11"/>
  <c r="E2946" i="12"/>
  <c r="T2954" i="11"/>
  <c r="E3010" i="12"/>
  <c r="T3018" i="11"/>
  <c r="E3074" i="12"/>
  <c r="T3082" i="11"/>
  <c r="E3138" i="12"/>
  <c r="T3146" i="11"/>
  <c r="E3199" i="12"/>
  <c r="T3207" i="11"/>
  <c r="E3242" i="12"/>
  <c r="T3250" i="11"/>
  <c r="E3285" i="12"/>
  <c r="T3293" i="11"/>
  <c r="E3327" i="12"/>
  <c r="T3335" i="11"/>
  <c r="E3367" i="12"/>
  <c r="T3375" i="11"/>
  <c r="E3431" i="12"/>
  <c r="T3439" i="11"/>
  <c r="E3495" i="12"/>
  <c r="T3503" i="11"/>
  <c r="E3547" i="12"/>
  <c r="T3555" i="11"/>
  <c r="E3589" i="12"/>
  <c r="T3597" i="11"/>
  <c r="E3632" i="12"/>
  <c r="T3640" i="11"/>
  <c r="E3678" i="12"/>
  <c r="T3686" i="11"/>
  <c r="E3741" i="12"/>
  <c r="T3750" i="11"/>
  <c r="E3805" i="12"/>
  <c r="T3814" i="11"/>
  <c r="E3869" i="12"/>
  <c r="T3878" i="11"/>
  <c r="E3933" i="12"/>
  <c r="T3942" i="11"/>
  <c r="E3997" i="12"/>
  <c r="T4006" i="11"/>
  <c r="E4061" i="12"/>
  <c r="T4070" i="11"/>
  <c r="E4125" i="12"/>
  <c r="T4134" i="11"/>
  <c r="E4188" i="12"/>
  <c r="T4198" i="11"/>
  <c r="E4252" i="12"/>
  <c r="T4262" i="11"/>
  <c r="E4316" i="12"/>
  <c r="T4326" i="11"/>
  <c r="E4380" i="12"/>
  <c r="T4390" i="11"/>
  <c r="E4444" i="12"/>
  <c r="T4454" i="11"/>
  <c r="E4508" i="12"/>
  <c r="T4518" i="11"/>
  <c r="E4572" i="12"/>
  <c r="T4582" i="11"/>
  <c r="E4636" i="12"/>
  <c r="T4646" i="11"/>
  <c r="E4700" i="12"/>
  <c r="T4710" i="11"/>
  <c r="E3404" i="12"/>
  <c r="T3412" i="11"/>
  <c r="E3468" i="12"/>
  <c r="T3476" i="11"/>
  <c r="E3677" i="12"/>
  <c r="T3685" i="11"/>
  <c r="E3740" i="12"/>
  <c r="T3749" i="11"/>
  <c r="E3804" i="12"/>
  <c r="T3813" i="11"/>
  <c r="E3868" i="12"/>
  <c r="T3877" i="11"/>
  <c r="E3932" i="12"/>
  <c r="T3941" i="11"/>
  <c r="E3996" i="12"/>
  <c r="T4005" i="11"/>
  <c r="E4060" i="12"/>
  <c r="T4069" i="11"/>
  <c r="E4124" i="12"/>
  <c r="T4133" i="11"/>
  <c r="E4187" i="12"/>
  <c r="T4197" i="11"/>
  <c r="E4251" i="12"/>
  <c r="T4261" i="11"/>
  <c r="E4315" i="12"/>
  <c r="T4325" i="11"/>
  <c r="E4379" i="12"/>
  <c r="T4389" i="11"/>
  <c r="E4443" i="12"/>
  <c r="T4453" i="11"/>
  <c r="E4507" i="12"/>
  <c r="T4517" i="11"/>
  <c r="E4571" i="12"/>
  <c r="T4581" i="11"/>
  <c r="E4635" i="12"/>
  <c r="T4645" i="11"/>
  <c r="E4699" i="12"/>
  <c r="T4709" i="11"/>
  <c r="E3703" i="12"/>
  <c r="T3711" i="11"/>
  <c r="E3766" i="12"/>
  <c r="T3775" i="11"/>
  <c r="E3830" i="12"/>
  <c r="T3839" i="11"/>
  <c r="E3894" i="12"/>
  <c r="T3903" i="11"/>
  <c r="E3958" i="12"/>
  <c r="T3967" i="11"/>
  <c r="E4022" i="12"/>
  <c r="T4031" i="11"/>
  <c r="E4086" i="12"/>
  <c r="T4095" i="11"/>
  <c r="E4150" i="12"/>
  <c r="T4159" i="11"/>
  <c r="E4213" i="12"/>
  <c r="T4223" i="11"/>
  <c r="E4277" i="12"/>
  <c r="T4287" i="11"/>
  <c r="E4341" i="12"/>
  <c r="T4351" i="11"/>
  <c r="E4405" i="12"/>
  <c r="T4415" i="11"/>
  <c r="E4469" i="12"/>
  <c r="T4479" i="11"/>
  <c r="E4533" i="12"/>
  <c r="T4543" i="11"/>
  <c r="E4597" i="12"/>
  <c r="T4607" i="11"/>
  <c r="E4661" i="12"/>
  <c r="T4671" i="11"/>
  <c r="E3553" i="12"/>
  <c r="T3561" i="11"/>
  <c r="E3636" i="12"/>
  <c r="T3644" i="11"/>
  <c r="E3747" i="12"/>
  <c r="T3756" i="11"/>
  <c r="E3875" i="12"/>
  <c r="T3884" i="11"/>
  <c r="E4003" i="12"/>
  <c r="T4012" i="11"/>
  <c r="E4131" i="12"/>
  <c r="T4140" i="11"/>
  <c r="E4258" i="12"/>
  <c r="T4268" i="11"/>
  <c r="E4386" i="12"/>
  <c r="T4396" i="11"/>
  <c r="E4514" i="12"/>
  <c r="T4524" i="11"/>
  <c r="E4642" i="12"/>
  <c r="T4652" i="11"/>
  <c r="E5007" i="12"/>
  <c r="T5018" i="11"/>
  <c r="E5071" i="12"/>
  <c r="T5082" i="11"/>
  <c r="E4746" i="12"/>
  <c r="T4756" i="11"/>
  <c r="E4778" i="12"/>
  <c r="T4788" i="11"/>
  <c r="E4810" i="12"/>
  <c r="T4820" i="11"/>
  <c r="E4842" i="12"/>
  <c r="T4852" i="11"/>
  <c r="E4874" i="12"/>
  <c r="T4884" i="11"/>
  <c r="E4905" i="12"/>
  <c r="T4916" i="11"/>
  <c r="E4937" i="12"/>
  <c r="T4948" i="11"/>
  <c r="E4969" i="12"/>
  <c r="T4980" i="11"/>
  <c r="E5030" i="12"/>
  <c r="T5041" i="11"/>
  <c r="E4723" i="12"/>
  <c r="T4733" i="11"/>
  <c r="E4755" i="12"/>
  <c r="T4765" i="11"/>
  <c r="E4787" i="12"/>
  <c r="T4797" i="11"/>
  <c r="E4819" i="12"/>
  <c r="T4829" i="11"/>
  <c r="E4851" i="12"/>
  <c r="T4861" i="11"/>
  <c r="E4883" i="12"/>
  <c r="T4893" i="11"/>
  <c r="E4914" i="12"/>
  <c r="T4925" i="11"/>
  <c r="E4946" i="12"/>
  <c r="T4957" i="11"/>
  <c r="E4984" i="12"/>
  <c r="T4995" i="11"/>
  <c r="E5048" i="12"/>
  <c r="T5059" i="11"/>
  <c r="E3720" i="12"/>
  <c r="T3728" i="11"/>
  <c r="E3975" i="12"/>
  <c r="T3984" i="11"/>
  <c r="E4230" i="12"/>
  <c r="T4240" i="11"/>
  <c r="E4486" i="12"/>
  <c r="T4496" i="11"/>
  <c r="E1339" i="12"/>
  <c r="T1346" i="11"/>
  <c r="E3696" i="12"/>
  <c r="T3704" i="11"/>
  <c r="E3951" i="12"/>
  <c r="T3960" i="11"/>
  <c r="E4206" i="12"/>
  <c r="T4216" i="11"/>
  <c r="E4462" i="12"/>
  <c r="T4472" i="11"/>
  <c r="E4977" i="12"/>
  <c r="T4988" i="11"/>
  <c r="E6541" i="12"/>
  <c r="T6553" i="11"/>
  <c r="E6605" i="12"/>
  <c r="T6617" i="11"/>
  <c r="E6669" i="12"/>
  <c r="T6681" i="11"/>
  <c r="E6733" i="12"/>
  <c r="T6745" i="11"/>
  <c r="E6797" i="12"/>
  <c r="T6809" i="11"/>
  <c r="E6861" i="12"/>
  <c r="T6873" i="11"/>
  <c r="E6925" i="12"/>
  <c r="T6937" i="11"/>
  <c r="E6989" i="12"/>
  <c r="T7001" i="11"/>
  <c r="E7053" i="12"/>
  <c r="T7065" i="11"/>
  <c r="E7117" i="12"/>
  <c r="T7129" i="11"/>
  <c r="E7181" i="12"/>
  <c r="T7193" i="11"/>
  <c r="E7245" i="12"/>
  <c r="T7257" i="11"/>
  <c r="E7309" i="12"/>
  <c r="T7321" i="11"/>
  <c r="E7373" i="12"/>
  <c r="T7385" i="11"/>
  <c r="E7437" i="12"/>
  <c r="T7449" i="11"/>
  <c r="E7501" i="12"/>
  <c r="T7513" i="11"/>
  <c r="E7565" i="12"/>
  <c r="T7577" i="11"/>
  <c r="E5104" i="12"/>
  <c r="T5115" i="11"/>
  <c r="E5136" i="12"/>
  <c r="T5147" i="11"/>
  <c r="E5168" i="12"/>
  <c r="T5179" i="11"/>
  <c r="E5200" i="12"/>
  <c r="T5211" i="11"/>
  <c r="E5232" i="12"/>
  <c r="T5243" i="11"/>
  <c r="E5264" i="12"/>
  <c r="T5275" i="11"/>
  <c r="E5296" i="12"/>
  <c r="T5307" i="11"/>
  <c r="E5328" i="12"/>
  <c r="T5339" i="11"/>
  <c r="E5360" i="12"/>
  <c r="T5371" i="11"/>
  <c r="E5392" i="12"/>
  <c r="T5403" i="11"/>
  <c r="E5424" i="12"/>
  <c r="T5435" i="11"/>
  <c r="E5456" i="12"/>
  <c r="T5467" i="11"/>
  <c r="E5488" i="12"/>
  <c r="T5499" i="11"/>
  <c r="E5520" i="12"/>
  <c r="T5531" i="11"/>
  <c r="E5552" i="12"/>
  <c r="T5563" i="11"/>
  <c r="E5584" i="12"/>
  <c r="T5595" i="11"/>
  <c r="E5616" i="12"/>
  <c r="T5627" i="11"/>
  <c r="E5647" i="12"/>
  <c r="T5659" i="11"/>
  <c r="E5679" i="12"/>
  <c r="T5691" i="11"/>
  <c r="E5711" i="12"/>
  <c r="T5723" i="11"/>
  <c r="E5743" i="12"/>
  <c r="T5755" i="11"/>
  <c r="E5775" i="12"/>
  <c r="T5787" i="11"/>
  <c r="E5807" i="12"/>
  <c r="T5819" i="11"/>
  <c r="E5839" i="12"/>
  <c r="T5851" i="11"/>
  <c r="E5871" i="12"/>
  <c r="T5883" i="11"/>
  <c r="E5903" i="12"/>
  <c r="T5915" i="11"/>
  <c r="E5935" i="12"/>
  <c r="T5947" i="11"/>
  <c r="E5967" i="12"/>
  <c r="T5979" i="11"/>
  <c r="E5999" i="12"/>
  <c r="T6011" i="11"/>
  <c r="E6031" i="12"/>
  <c r="T6043" i="11"/>
  <c r="E6063" i="12"/>
  <c r="T6075" i="11"/>
  <c r="E6095" i="12"/>
  <c r="T6107" i="11"/>
  <c r="E6127" i="12"/>
  <c r="T6139" i="11"/>
  <c r="E6159" i="12"/>
  <c r="T6171" i="11"/>
  <c r="E6191" i="12"/>
  <c r="T6203" i="11"/>
  <c r="E6223" i="12"/>
  <c r="T6235" i="11"/>
  <c r="E6255" i="12"/>
  <c r="T6267" i="11"/>
  <c r="E6287" i="12"/>
  <c r="T6299" i="11"/>
  <c r="E6319" i="12"/>
  <c r="T6331" i="11"/>
  <c r="E6351" i="12"/>
  <c r="T6363" i="11"/>
  <c r="E6383" i="12"/>
  <c r="T6395" i="11"/>
  <c r="E6415" i="12"/>
  <c r="T6427" i="11"/>
  <c r="E6447" i="12"/>
  <c r="T6459" i="11"/>
  <c r="E6479" i="12"/>
  <c r="T6491" i="11"/>
  <c r="E6511" i="12"/>
  <c r="T6523" i="11"/>
  <c r="E6556" i="12"/>
  <c r="T6568" i="11"/>
  <c r="E6620" i="12"/>
  <c r="T6632" i="11"/>
  <c r="E6684" i="12"/>
  <c r="T6696" i="11"/>
  <c r="E6748" i="12"/>
  <c r="T6760" i="11"/>
  <c r="E6812" i="12"/>
  <c r="T6824" i="11"/>
  <c r="E6876" i="12"/>
  <c r="T6888" i="11"/>
  <c r="E6940" i="12"/>
  <c r="T6952" i="11"/>
  <c r="E7004" i="12"/>
  <c r="T7016" i="11"/>
  <c r="E7068" i="12"/>
  <c r="T7080" i="11"/>
  <c r="E7132" i="12"/>
  <c r="T7144" i="11"/>
  <c r="E7196" i="12"/>
  <c r="T7208" i="11"/>
  <c r="E7260" i="12"/>
  <c r="T7272" i="11"/>
  <c r="E7324" i="12"/>
  <c r="T7336" i="11"/>
  <c r="E7388" i="12"/>
  <c r="T7400" i="11"/>
  <c r="E7452" i="12"/>
  <c r="T7464" i="11"/>
  <c r="E7516" i="12"/>
  <c r="T7528" i="11"/>
  <c r="E4989" i="12"/>
  <c r="T5000" i="11"/>
  <c r="E5083" i="12"/>
  <c r="T5094" i="11"/>
  <c r="E5115" i="12"/>
  <c r="T5126" i="11"/>
  <c r="E5147" i="12"/>
  <c r="T5158" i="11"/>
  <c r="E5179" i="12"/>
  <c r="T5190" i="11"/>
  <c r="E5211" i="12"/>
  <c r="T5222" i="11"/>
  <c r="E5243" i="12"/>
  <c r="T5254" i="11"/>
  <c r="E5275" i="12"/>
  <c r="T5286" i="11"/>
  <c r="E5307" i="12"/>
  <c r="T5318" i="11"/>
  <c r="E5339" i="12"/>
  <c r="T5350" i="11"/>
  <c r="E5371" i="12"/>
  <c r="T5382" i="11"/>
  <c r="E5403" i="12"/>
  <c r="T5414" i="11"/>
  <c r="E5435" i="12"/>
  <c r="T5446" i="11"/>
  <c r="E5467" i="12"/>
  <c r="T5478" i="11"/>
  <c r="E5499" i="12"/>
  <c r="T5510" i="11"/>
  <c r="E5531" i="12"/>
  <c r="T5542" i="11"/>
  <c r="E5563" i="12"/>
  <c r="T5574" i="11"/>
  <c r="E5595" i="12"/>
  <c r="T5606" i="11"/>
  <c r="E5626" i="12"/>
  <c r="T5638" i="11"/>
  <c r="E5658" i="12"/>
  <c r="T5670" i="11"/>
  <c r="E5690" i="12"/>
  <c r="T5702" i="11"/>
  <c r="E5722" i="12"/>
  <c r="T5734" i="11"/>
  <c r="E5754" i="12"/>
  <c r="T5766" i="11"/>
  <c r="E5786" i="12"/>
  <c r="T5798" i="11"/>
  <c r="E5818" i="12"/>
  <c r="T5830" i="11"/>
  <c r="E5850" i="12"/>
  <c r="T5862" i="11"/>
  <c r="E5882" i="12"/>
  <c r="T5894" i="11"/>
  <c r="E5914" i="12"/>
  <c r="T5926" i="11"/>
  <c r="E5946" i="12"/>
  <c r="T5958" i="11"/>
  <c r="E5978" i="12"/>
  <c r="T5990" i="11"/>
  <c r="E6010" i="12"/>
  <c r="T6022" i="11"/>
  <c r="E6042" i="12"/>
  <c r="T6054" i="11"/>
  <c r="E6074" i="12"/>
  <c r="T6086" i="11"/>
  <c r="E6106" i="12"/>
  <c r="T6118" i="11"/>
  <c r="E6138" i="12"/>
  <c r="T6150" i="11"/>
  <c r="E6170" i="12"/>
  <c r="T6182" i="11"/>
  <c r="E6202" i="12"/>
  <c r="T6214" i="11"/>
  <c r="E6234" i="12"/>
  <c r="T6246" i="11"/>
  <c r="E6266" i="12"/>
  <c r="T6278" i="11"/>
  <c r="E6298" i="12"/>
  <c r="T6310" i="11"/>
  <c r="E6330" i="12"/>
  <c r="T6342" i="11"/>
  <c r="E6362" i="12"/>
  <c r="T6374" i="11"/>
  <c r="E6394" i="12"/>
  <c r="T6406" i="11"/>
  <c r="E6426" i="12"/>
  <c r="T6438" i="11"/>
  <c r="E6458" i="12"/>
  <c r="T6470" i="11"/>
  <c r="E6490" i="12"/>
  <c r="T6502" i="11"/>
  <c r="E6522" i="12"/>
  <c r="T6534" i="11"/>
  <c r="E6578" i="12"/>
  <c r="T6590" i="11"/>
  <c r="E6642" i="12"/>
  <c r="T6654" i="11"/>
  <c r="E6706" i="12"/>
  <c r="T6718" i="11"/>
  <c r="E6770" i="12"/>
  <c r="T6782" i="11"/>
  <c r="E6834" i="12"/>
  <c r="T6846" i="11"/>
  <c r="E6898" i="12"/>
  <c r="T6910" i="11"/>
  <c r="E6962" i="12"/>
  <c r="T6974" i="11"/>
  <c r="E7026" i="12"/>
  <c r="T7038" i="11"/>
  <c r="E7090" i="12"/>
  <c r="T7102" i="11"/>
  <c r="E7154" i="12"/>
  <c r="T7166" i="11"/>
  <c r="E7218" i="12"/>
  <c r="T7230" i="11"/>
  <c r="E7282" i="12"/>
  <c r="T7294" i="11"/>
  <c r="E7346" i="12"/>
  <c r="T7358" i="11"/>
  <c r="E7410" i="12"/>
  <c r="T7422" i="11"/>
  <c r="E7474" i="12"/>
  <c r="T7486" i="11"/>
  <c r="E7538" i="12"/>
  <c r="T7550" i="11"/>
  <c r="E7730" i="12"/>
  <c r="T7742" i="11"/>
  <c r="E7762" i="12"/>
  <c r="T7774" i="11"/>
  <c r="E7794" i="12"/>
  <c r="T7806" i="11"/>
  <c r="E7826" i="12"/>
  <c r="T7838" i="11"/>
  <c r="E7858" i="12"/>
  <c r="T7870" i="11"/>
  <c r="E7890" i="12"/>
  <c r="T7902" i="11"/>
  <c r="E7922" i="12"/>
  <c r="T7934" i="11"/>
  <c r="E7954" i="12"/>
  <c r="T7966" i="11"/>
  <c r="E7986" i="12"/>
  <c r="T7998" i="11"/>
  <c r="E8018" i="12"/>
  <c r="T8030" i="11"/>
  <c r="E8050" i="12"/>
  <c r="T8062" i="11"/>
  <c r="E8082" i="12"/>
  <c r="T8094" i="11"/>
  <c r="E8114" i="12"/>
  <c r="T8126" i="11"/>
  <c r="E8146" i="12"/>
  <c r="T8158" i="11"/>
  <c r="E8178" i="12"/>
  <c r="T8190" i="11"/>
  <c r="E8210" i="12"/>
  <c r="T8222" i="11"/>
  <c r="E8242" i="12"/>
  <c r="T8254" i="11"/>
  <c r="E8274" i="12"/>
  <c r="T8286" i="11"/>
  <c r="E8306" i="12"/>
  <c r="T8318" i="11"/>
  <c r="E8338" i="12"/>
  <c r="T8350" i="11"/>
  <c r="E8370" i="12"/>
  <c r="T8382" i="11"/>
  <c r="E6539" i="12"/>
  <c r="T6551" i="11"/>
  <c r="E6667" i="12"/>
  <c r="T6679" i="11"/>
  <c r="E6795" i="12"/>
  <c r="T6807" i="11"/>
  <c r="E6923" i="12"/>
  <c r="T6935" i="11"/>
  <c r="E7051" i="12"/>
  <c r="T7063" i="11"/>
  <c r="E7179" i="12"/>
  <c r="T7191" i="11"/>
  <c r="E7307" i="12"/>
  <c r="T7319" i="11"/>
  <c r="E7435" i="12"/>
  <c r="T7447" i="11"/>
  <c r="E7563" i="12"/>
  <c r="T7575" i="11"/>
  <c r="E6655" i="12"/>
  <c r="T6667" i="11"/>
  <c r="E6783" i="12"/>
  <c r="T6795" i="11"/>
  <c r="E6911" i="12"/>
  <c r="T6923" i="11"/>
  <c r="E7039" i="12"/>
  <c r="T7051" i="11"/>
  <c r="E7167" i="12"/>
  <c r="T7179" i="11"/>
  <c r="E7295" i="12"/>
  <c r="T7307" i="11"/>
  <c r="E7423" i="12"/>
  <c r="T7435" i="11"/>
  <c r="E7551" i="12"/>
  <c r="T7563" i="11"/>
  <c r="E7767" i="12"/>
  <c r="T7779" i="11"/>
  <c r="E7831" i="12"/>
  <c r="T7843" i="11"/>
  <c r="E7895" i="12"/>
  <c r="T7907" i="11"/>
  <c r="E7959" i="12"/>
  <c r="T7971" i="11"/>
  <c r="E8023" i="12"/>
  <c r="T8035" i="11"/>
  <c r="E8087" i="12"/>
  <c r="T8099" i="11"/>
  <c r="E8151" i="12"/>
  <c r="T8163" i="11"/>
  <c r="E8215" i="12"/>
  <c r="T8227" i="11"/>
  <c r="E8279" i="12"/>
  <c r="T8291" i="11"/>
  <c r="E8343" i="12"/>
  <c r="T8355" i="11"/>
  <c r="E7725" i="12"/>
  <c r="T7737" i="11"/>
  <c r="E7789" i="12"/>
  <c r="T7801" i="11"/>
  <c r="E7981" i="12"/>
  <c r="T7993" i="11"/>
  <c r="E8113" i="12"/>
  <c r="T8125" i="11"/>
  <c r="E8241" i="12"/>
  <c r="T8253" i="11"/>
  <c r="E8365" i="12"/>
  <c r="T8377" i="11"/>
  <c r="E7865" i="12"/>
  <c r="T7877" i="11"/>
  <c r="E7933" i="12"/>
  <c r="T7945" i="11"/>
  <c r="E8061" i="12"/>
  <c r="T8073" i="11"/>
  <c r="E8193" i="12"/>
  <c r="T8205" i="11"/>
  <c r="E8317" i="12"/>
  <c r="T8329" i="11"/>
  <c r="E78" i="12"/>
  <c r="T82" i="11"/>
  <c r="E117" i="12"/>
  <c r="T121" i="11"/>
  <c r="E365" i="12"/>
  <c r="T370" i="11"/>
  <c r="E620" i="12"/>
  <c r="T626" i="11"/>
  <c r="E118" i="12"/>
  <c r="T122" i="11"/>
  <c r="E491" i="12"/>
  <c r="T496" i="11"/>
  <c r="E388" i="12"/>
  <c r="T393" i="11"/>
  <c r="E790" i="12"/>
  <c r="T796" i="11"/>
  <c r="E1097" i="12"/>
  <c r="T1104" i="11"/>
  <c r="E1322" i="12"/>
  <c r="T1329" i="11"/>
  <c r="E423" i="12"/>
  <c r="T428" i="11"/>
  <c r="E990" i="12"/>
  <c r="T997" i="11"/>
  <c r="E1202" i="12"/>
  <c r="T1209" i="11"/>
  <c r="E1455" i="12"/>
  <c r="T1462" i="11"/>
  <c r="E1583" i="12"/>
  <c r="T1590" i="11"/>
  <c r="E1678" i="12"/>
  <c r="T1685" i="11"/>
  <c r="E1758" i="12"/>
  <c r="T1765" i="11"/>
  <c r="E1885" i="12"/>
  <c r="T1893" i="11"/>
  <c r="E525" i="12"/>
  <c r="T530" i="11"/>
  <c r="E1003" i="12"/>
  <c r="T1010" i="11"/>
  <c r="E1379" i="12"/>
  <c r="T1386" i="11"/>
  <c r="E1530" i="12"/>
  <c r="T1537" i="11"/>
  <c r="E1637" i="12"/>
  <c r="T1644" i="11"/>
  <c r="E1717" i="12"/>
  <c r="T1724" i="11"/>
  <c r="E1828" i="12"/>
  <c r="T1836" i="11"/>
  <c r="E416" i="12"/>
  <c r="T421" i="11"/>
  <c r="E742" i="12"/>
  <c r="T748" i="11"/>
  <c r="E1129" i="12"/>
  <c r="T1136" i="11"/>
  <c r="E1435" i="12"/>
  <c r="T1442" i="11"/>
  <c r="E1540" i="12"/>
  <c r="T1547" i="11"/>
  <c r="E1635" i="12"/>
  <c r="T1642" i="11"/>
  <c r="E1747" i="12"/>
  <c r="T1754" i="11"/>
  <c r="E1858" i="12"/>
  <c r="T1866" i="11"/>
  <c r="E285" i="12"/>
  <c r="T289" i="11"/>
  <c r="E1162" i="12"/>
  <c r="T1169" i="11"/>
  <c r="E1536" i="12"/>
  <c r="T1543" i="11"/>
  <c r="E1732" i="12"/>
  <c r="T1739" i="11"/>
  <c r="E1936" i="12"/>
  <c r="T1944" i="11"/>
  <c r="E2048" i="12"/>
  <c r="T2056" i="11"/>
  <c r="E2144" i="12"/>
  <c r="T2152" i="11"/>
  <c r="E2240" i="12"/>
  <c r="T2248" i="11"/>
  <c r="E2336" i="12"/>
  <c r="T2344" i="11"/>
  <c r="E2448" i="12"/>
  <c r="T2456" i="11"/>
  <c r="E2544" i="12"/>
  <c r="T2552" i="11"/>
  <c r="E2640" i="12"/>
  <c r="T2648" i="11"/>
  <c r="E2752" i="12"/>
  <c r="T2760" i="11"/>
  <c r="E2848" i="12"/>
  <c r="T2856" i="11"/>
  <c r="E2944" i="12"/>
  <c r="T2952" i="11"/>
  <c r="E3040" i="12"/>
  <c r="T3048" i="11"/>
  <c r="E3152" i="12"/>
  <c r="T3160" i="11"/>
  <c r="E3248" i="12"/>
  <c r="T3256" i="11"/>
  <c r="E3328" i="12"/>
  <c r="T3336" i="11"/>
  <c r="E1931" i="12"/>
  <c r="T1939" i="11"/>
  <c r="E2043" i="12"/>
  <c r="T2051" i="11"/>
  <c r="E2123" i="12"/>
  <c r="T2131" i="11"/>
  <c r="E2219" i="12"/>
  <c r="T2227" i="11"/>
  <c r="E2331" i="12"/>
  <c r="T2339" i="11"/>
  <c r="E2427" i="12"/>
  <c r="T2435" i="11"/>
  <c r="E2507" i="12"/>
  <c r="T2515" i="11"/>
  <c r="E1086" i="12"/>
  <c r="T1093" i="11"/>
  <c r="E1989" i="12"/>
  <c r="T1997" i="11"/>
  <c r="E2085" i="12"/>
  <c r="T2093" i="11"/>
  <c r="E2181" i="12"/>
  <c r="T2189" i="11"/>
  <c r="E2293" i="12"/>
  <c r="T2301" i="11"/>
  <c r="E2405" i="12"/>
  <c r="T2413" i="11"/>
  <c r="E2485" i="12"/>
  <c r="T2493" i="11"/>
  <c r="E2597" i="12"/>
  <c r="T2605" i="11"/>
  <c r="E2693" i="12"/>
  <c r="T2701" i="11"/>
  <c r="E2789" i="12"/>
  <c r="T2797" i="11"/>
  <c r="E2869" i="12"/>
  <c r="T2877" i="11"/>
  <c r="E2997" i="12"/>
  <c r="T3005" i="11"/>
  <c r="E3093" i="12"/>
  <c r="T3101" i="11"/>
  <c r="E3173" i="12"/>
  <c r="T3181" i="11"/>
  <c r="E2587" i="12"/>
  <c r="T2595" i="11"/>
  <c r="E2699" i="12"/>
  <c r="T2707" i="11"/>
  <c r="E2811" i="12"/>
  <c r="T2819" i="11"/>
  <c r="E2907" i="12"/>
  <c r="T2915" i="11"/>
  <c r="E3003" i="12"/>
  <c r="T3011" i="11"/>
  <c r="E3115" i="12"/>
  <c r="T3123" i="11"/>
  <c r="E3386" i="12"/>
  <c r="T3394" i="11"/>
  <c r="E3466" i="12"/>
  <c r="T3474" i="11"/>
  <c r="E3562" i="12"/>
  <c r="T3570" i="11"/>
  <c r="E758" i="12"/>
  <c r="T764" i="11"/>
  <c r="E1600" i="12"/>
  <c r="T1607" i="11"/>
  <c r="E1919" i="12"/>
  <c r="T1927" i="11"/>
  <c r="E2150" i="12"/>
  <c r="T2158" i="11"/>
  <c r="E2278" i="12"/>
  <c r="T2286" i="11"/>
  <c r="E2438" i="12"/>
  <c r="T2446" i="11"/>
  <c r="E3201" i="12"/>
  <c r="T3209" i="11"/>
  <c r="E3243" i="12"/>
  <c r="T3251" i="11"/>
  <c r="E3286" i="12"/>
  <c r="T3294" i="11"/>
  <c r="E3329" i="12"/>
  <c r="T3337" i="11"/>
  <c r="E3397" i="12"/>
  <c r="T3405" i="11"/>
  <c r="E3461" i="12"/>
  <c r="T3469" i="11"/>
  <c r="E138" i="12"/>
  <c r="T142" i="11"/>
  <c r="E1527" i="12"/>
  <c r="T1534" i="11"/>
  <c r="E1815" i="12"/>
  <c r="T1823" i="11"/>
  <c r="E1994" i="12"/>
  <c r="T2002" i="11"/>
  <c r="E2122" i="12"/>
  <c r="T2130" i="11"/>
  <c r="E2250" i="12"/>
  <c r="T2258" i="11"/>
  <c r="E2378" i="12"/>
  <c r="T2386" i="11"/>
  <c r="E2506" i="12"/>
  <c r="T2514" i="11"/>
  <c r="E2586" i="12"/>
  <c r="T2594" i="11"/>
  <c r="E2650" i="12"/>
  <c r="T2658" i="11"/>
  <c r="E2714" i="12"/>
  <c r="T2722" i="11"/>
  <c r="E2778" i="12"/>
  <c r="T2786" i="11"/>
  <c r="E2874" i="12"/>
  <c r="T2882" i="11"/>
  <c r="E2970" i="12"/>
  <c r="T2978" i="11"/>
  <c r="E3066" i="12"/>
  <c r="T3074" i="11"/>
  <c r="E3178" i="12"/>
  <c r="T3186" i="11"/>
  <c r="E3237" i="12"/>
  <c r="T3245" i="11"/>
  <c r="E3301" i="12"/>
  <c r="T3309" i="11"/>
  <c r="E3375" i="12"/>
  <c r="T3383" i="11"/>
  <c r="E3487" i="12"/>
  <c r="T3495" i="11"/>
  <c r="E3563" i="12"/>
  <c r="T3571" i="11"/>
  <c r="E3637" i="12"/>
  <c r="T3645" i="11"/>
  <c r="E3734" i="12"/>
  <c r="T3742" i="11"/>
  <c r="E3813" i="12"/>
  <c r="T3822" i="11"/>
  <c r="E3909" i="12"/>
  <c r="T3918" i="11"/>
  <c r="E4021" i="12"/>
  <c r="T4030" i="11"/>
  <c r="E4117" i="12"/>
  <c r="T4126" i="11"/>
  <c r="E4196" i="12"/>
  <c r="T4206" i="11"/>
  <c r="E4308" i="12"/>
  <c r="T4318" i="11"/>
  <c r="E4420" i="12"/>
  <c r="T4430" i="11"/>
  <c r="E4500" i="12"/>
  <c r="T4510" i="11"/>
  <c r="E4596" i="12"/>
  <c r="T4606" i="11"/>
  <c r="E1138" i="12"/>
  <c r="T1145" i="11"/>
  <c r="E3444" i="12"/>
  <c r="T3452" i="11"/>
  <c r="E3685" i="12"/>
  <c r="T3693" i="11"/>
  <c r="E3796" i="12"/>
  <c r="T3805" i="11"/>
  <c r="E3892" i="12"/>
  <c r="T3901" i="11"/>
  <c r="E3972" i="12"/>
  <c r="T3981" i="11"/>
  <c r="E4036" i="12"/>
  <c r="T4045" i="11"/>
  <c r="E4179" i="12"/>
  <c r="T4189" i="11"/>
  <c r="E4275" i="12"/>
  <c r="T4285" i="11"/>
  <c r="E4371" i="12"/>
  <c r="T4381" i="11"/>
  <c r="E4483" i="12"/>
  <c r="T4493" i="11"/>
  <c r="E4579" i="12"/>
  <c r="T4589" i="11"/>
  <c r="E4659" i="12"/>
  <c r="T4669" i="11"/>
  <c r="E3695" i="12"/>
  <c r="T3703" i="11"/>
  <c r="E3806" i="12"/>
  <c r="T3815" i="11"/>
  <c r="E3902" i="12"/>
  <c r="T3911" i="11"/>
  <c r="E3982" i="12"/>
  <c r="T3991" i="11"/>
  <c r="E4110" i="12"/>
  <c r="T4119" i="11"/>
  <c r="E4221" i="12"/>
  <c r="T4231" i="11"/>
  <c r="E4301" i="12"/>
  <c r="T4311" i="11"/>
  <c r="E4413" i="12"/>
  <c r="T4423" i="11"/>
  <c r="E4525" i="12"/>
  <c r="T4535" i="11"/>
  <c r="E4621" i="12"/>
  <c r="T4631" i="11"/>
  <c r="E3540" i="12"/>
  <c r="T3548" i="11"/>
  <c r="E3732" i="12"/>
  <c r="T3740" i="11"/>
  <c r="E3923" i="12"/>
  <c r="T3932" i="11"/>
  <c r="E4083" i="12"/>
  <c r="T4092" i="11"/>
  <c r="E4338" i="12"/>
  <c r="T4348" i="11"/>
  <c r="E4530" i="12"/>
  <c r="T4540" i="11"/>
  <c r="E4983" i="12"/>
  <c r="T4994" i="11"/>
  <c r="E4734" i="12"/>
  <c r="T4744" i="11"/>
  <c r="E4790" i="12"/>
  <c r="T4800" i="11"/>
  <c r="E4838" i="12"/>
  <c r="T4848" i="11"/>
  <c r="E4878" i="12"/>
  <c r="T4888" i="11"/>
  <c r="E4933" i="12"/>
  <c r="T4944" i="11"/>
  <c r="E5006" i="12"/>
  <c r="T5017" i="11"/>
  <c r="E746" i="12"/>
  <c r="T752" i="11"/>
  <c r="E4783" i="12"/>
  <c r="T4793" i="11"/>
  <c r="E4831" i="12"/>
  <c r="T4841" i="11"/>
  <c r="E4879" i="12"/>
  <c r="T4889" i="11"/>
  <c r="E4926" i="12"/>
  <c r="T4937" i="11"/>
  <c r="E5008" i="12"/>
  <c r="T5019" i="11"/>
  <c r="E3688" i="12"/>
  <c r="T3696" i="11"/>
  <c r="E4071" i="12"/>
  <c r="T4080" i="11"/>
  <c r="E4454" i="12"/>
  <c r="T4464" i="11"/>
  <c r="E3609" i="12"/>
  <c r="T3617" i="11"/>
  <c r="E3919" i="12"/>
  <c r="T3928" i="11"/>
  <c r="E4302" i="12"/>
  <c r="T4312" i="11"/>
  <c r="E4993" i="12"/>
  <c r="T5004" i="11"/>
  <c r="E6565" i="12"/>
  <c r="T6577" i="11"/>
  <c r="E6677" i="12"/>
  <c r="T6689" i="11"/>
  <c r="E6805" i="12"/>
  <c r="T6817" i="11"/>
  <c r="E6901" i="12"/>
  <c r="T6913" i="11"/>
  <c r="E6981" i="12"/>
  <c r="T6993" i="11"/>
  <c r="E7093" i="12"/>
  <c r="T7105" i="11"/>
  <c r="E7205" i="12"/>
  <c r="T7217" i="11"/>
  <c r="E7301" i="12"/>
  <c r="T7313" i="11"/>
  <c r="E7381" i="12"/>
  <c r="T7393" i="11"/>
  <c r="E7477" i="12"/>
  <c r="T7489" i="11"/>
  <c r="E5084" i="12"/>
  <c r="T5095" i="11"/>
  <c r="E5132" i="12"/>
  <c r="T5143" i="11"/>
  <c r="E5180" i="12"/>
  <c r="T5191" i="11"/>
  <c r="E5236" i="12"/>
  <c r="T5247" i="11"/>
  <c r="E5292" i="12"/>
  <c r="T5303" i="11"/>
  <c r="E5332" i="12"/>
  <c r="T5343" i="11"/>
  <c r="E5380" i="12"/>
  <c r="T5391" i="11"/>
  <c r="E5428" i="12"/>
  <c r="T5439" i="11"/>
  <c r="E5484" i="12"/>
  <c r="T5495" i="11"/>
  <c r="E5524" i="12"/>
  <c r="T5535" i="11"/>
  <c r="E5572" i="12"/>
  <c r="T5583" i="11"/>
  <c r="E5627" i="12"/>
  <c r="T5639" i="11"/>
  <c r="E5683" i="12"/>
  <c r="T5695" i="11"/>
  <c r="E5731" i="12"/>
  <c r="T5743" i="11"/>
  <c r="E5771" i="12"/>
  <c r="T5783" i="11"/>
  <c r="E5827" i="12"/>
  <c r="T5839" i="11"/>
  <c r="E5883" i="12"/>
  <c r="T5895" i="11"/>
  <c r="E5955" i="12"/>
  <c r="T5967" i="11"/>
  <c r="E6003" i="12"/>
  <c r="T6015" i="11"/>
  <c r="E6059" i="12"/>
  <c r="T6071" i="11"/>
  <c r="E6107" i="12"/>
  <c r="T6119" i="11"/>
  <c r="E6155" i="12"/>
  <c r="T6167" i="11"/>
  <c r="E6219" i="12"/>
  <c r="T6231" i="11"/>
  <c r="E6267" i="12"/>
  <c r="T6279" i="11"/>
  <c r="E6315" i="12"/>
  <c r="T6327" i="11"/>
  <c r="E6371" i="12"/>
  <c r="T6383" i="11"/>
  <c r="E6419" i="12"/>
  <c r="T6431" i="11"/>
  <c r="E6467" i="12"/>
  <c r="T6479" i="11"/>
  <c r="E6532" i="12"/>
  <c r="T6544" i="11"/>
  <c r="E6628" i="12"/>
  <c r="T6640" i="11"/>
  <c r="E6740" i="12"/>
  <c r="T6752" i="11"/>
  <c r="E6820" i="12"/>
  <c r="T6832" i="11"/>
  <c r="E6932" i="12"/>
  <c r="T6944" i="11"/>
  <c r="E7044" i="12"/>
  <c r="T7056" i="11"/>
  <c r="E7124" i="12"/>
  <c r="T7136" i="11"/>
  <c r="E7220" i="12"/>
  <c r="T7232" i="11"/>
  <c r="E7348" i="12"/>
  <c r="T7360" i="11"/>
  <c r="E7444" i="12"/>
  <c r="T7456" i="11"/>
  <c r="E7524" i="12"/>
  <c r="T7536" i="11"/>
  <c r="E3615" i="12"/>
  <c r="T3623" i="11"/>
  <c r="E5135" i="12"/>
  <c r="T5146" i="11"/>
  <c r="E5183" i="12"/>
  <c r="T5194" i="11"/>
  <c r="E5231" i="12"/>
  <c r="T5242" i="11"/>
  <c r="E5287" i="12"/>
  <c r="T5298" i="11"/>
  <c r="E5335" i="12"/>
  <c r="T5346" i="11"/>
  <c r="E5391" i="12"/>
  <c r="T5402" i="11"/>
  <c r="E5439" i="12"/>
  <c r="T5450" i="11"/>
  <c r="E5495" i="12"/>
  <c r="T5506" i="11"/>
  <c r="E5543" i="12"/>
  <c r="T5554" i="11"/>
  <c r="E5591" i="12"/>
  <c r="T5602" i="11"/>
  <c r="E5646" i="12"/>
  <c r="T5658" i="11"/>
  <c r="E5702" i="12"/>
  <c r="T5714" i="11"/>
  <c r="E5750" i="12"/>
  <c r="T5762" i="11"/>
  <c r="E5798" i="12"/>
  <c r="T5810" i="11"/>
  <c r="E5854" i="12"/>
  <c r="T5866" i="11"/>
  <c r="E5910" i="12"/>
  <c r="T5922" i="11"/>
  <c r="E5958" i="12"/>
  <c r="T5970" i="11"/>
  <c r="E6006" i="12"/>
  <c r="T6018" i="11"/>
  <c r="E6062" i="12"/>
  <c r="T6074" i="11"/>
  <c r="E6118" i="12"/>
  <c r="T6130" i="11"/>
  <c r="E6166" i="12"/>
  <c r="T6178" i="11"/>
  <c r="E6206" i="12"/>
  <c r="T6218" i="11"/>
  <c r="E6270" i="12"/>
  <c r="T6282" i="11"/>
  <c r="E6318" i="12"/>
  <c r="T6330" i="11"/>
  <c r="E6366" i="12"/>
  <c r="T6378" i="11"/>
  <c r="E6414" i="12"/>
  <c r="T6426" i="11"/>
  <c r="E6470" i="12"/>
  <c r="T6482" i="11"/>
  <c r="E6526" i="12"/>
  <c r="T6538" i="11"/>
  <c r="E6602" i="12"/>
  <c r="T6614" i="11"/>
  <c r="E6730" i="12"/>
  <c r="T6742" i="11"/>
  <c r="E6842" i="12"/>
  <c r="T6854" i="11"/>
  <c r="E6938" i="12"/>
  <c r="T6950" i="11"/>
  <c r="E7034" i="12"/>
  <c r="T7046" i="11"/>
  <c r="E7146" i="12"/>
  <c r="T7158" i="11"/>
  <c r="E7242" i="12"/>
  <c r="T7254" i="11"/>
  <c r="E7322" i="12"/>
  <c r="T7334" i="11"/>
  <c r="E7418" i="12"/>
  <c r="T7430" i="11"/>
  <c r="E7530" i="12"/>
  <c r="T7542" i="11"/>
  <c r="E7750" i="12"/>
  <c r="T7762" i="11"/>
  <c r="E7790" i="12"/>
  <c r="T7802" i="11"/>
  <c r="E7830" i="12"/>
  <c r="T7842" i="11"/>
  <c r="E7870" i="12"/>
  <c r="T7882" i="11"/>
  <c r="E7910" i="12"/>
  <c r="T7922" i="11"/>
  <c r="E7942" i="12"/>
  <c r="T7954" i="11"/>
  <c r="E7974" i="12"/>
  <c r="T7986" i="11"/>
  <c r="E8006" i="12"/>
  <c r="T8018" i="11"/>
  <c r="E8038" i="12"/>
  <c r="T8050" i="11"/>
  <c r="E8070" i="12"/>
  <c r="T8082" i="11"/>
  <c r="E8102" i="12"/>
  <c r="T8114" i="11"/>
  <c r="E8134" i="12"/>
  <c r="T8146" i="11"/>
  <c r="E8174" i="12"/>
  <c r="T8186" i="11"/>
  <c r="E8206" i="12"/>
  <c r="T8218" i="11"/>
  <c r="E8238" i="12"/>
  <c r="T8250" i="11"/>
  <c r="E8270" i="12"/>
  <c r="T8282" i="11"/>
  <c r="E8302" i="12"/>
  <c r="T8314" i="11"/>
  <c r="E8334" i="12"/>
  <c r="T8346" i="11"/>
  <c r="E8366" i="12"/>
  <c r="T8378" i="11"/>
  <c r="E8398" i="12"/>
  <c r="T8410" i="11"/>
  <c r="E6651" i="12"/>
  <c r="T6663" i="11"/>
  <c r="E6779" i="12"/>
  <c r="T6791" i="11"/>
  <c r="E6907" i="12"/>
  <c r="T6919" i="11"/>
  <c r="E7035" i="12"/>
  <c r="T7047" i="11"/>
  <c r="E7163" i="12"/>
  <c r="T7175" i="11"/>
  <c r="E7291" i="12"/>
  <c r="T7303" i="11"/>
  <c r="E7419" i="12"/>
  <c r="T7431" i="11"/>
  <c r="E7547" i="12"/>
  <c r="T7559" i="11"/>
  <c r="E6639" i="12"/>
  <c r="T6651" i="11"/>
  <c r="E6767" i="12"/>
  <c r="T6779" i="11"/>
  <c r="E6895" i="12"/>
  <c r="T6907" i="11"/>
  <c r="E7023" i="12"/>
  <c r="T7035" i="11"/>
  <c r="E7151" i="12"/>
  <c r="T7163" i="11"/>
  <c r="E7279" i="12"/>
  <c r="T7291" i="11"/>
  <c r="E7407" i="12"/>
  <c r="T7419" i="11"/>
  <c r="E7535" i="12"/>
  <c r="T7547" i="11"/>
  <c r="E7759" i="12"/>
  <c r="T7771" i="11"/>
  <c r="E7823" i="12"/>
  <c r="T7835" i="11"/>
  <c r="E7887" i="12"/>
  <c r="T7899" i="11"/>
  <c r="E7951" i="12"/>
  <c r="T7963" i="11"/>
  <c r="E8015" i="12"/>
  <c r="T8027" i="11"/>
  <c r="E8079" i="12"/>
  <c r="T8091" i="11"/>
  <c r="E8143" i="12"/>
  <c r="T8155" i="11"/>
  <c r="E8207" i="12"/>
  <c r="T8219" i="11"/>
  <c r="E8271" i="12"/>
  <c r="T8283" i="11"/>
  <c r="E8335" i="12"/>
  <c r="T8347" i="11"/>
  <c r="E7717" i="12"/>
  <c r="T7729" i="11"/>
  <c r="E7781" i="12"/>
  <c r="T7793" i="11"/>
  <c r="E7965" i="12"/>
  <c r="T7977" i="11"/>
  <c r="E8097" i="12"/>
  <c r="T8109" i="11"/>
  <c r="E8225" i="12"/>
  <c r="T8237" i="11"/>
  <c r="E8349" i="12"/>
  <c r="T8361" i="11"/>
  <c r="E7857" i="12"/>
  <c r="T7869" i="11"/>
  <c r="E7921" i="12"/>
  <c r="T7933" i="11"/>
  <c r="E8049" i="12"/>
  <c r="T8061" i="11"/>
  <c r="E8173" i="12"/>
  <c r="T8185" i="11"/>
  <c r="E8301" i="12"/>
  <c r="T8313" i="11"/>
  <c r="E180" i="12"/>
  <c r="T184" i="11"/>
  <c r="E158" i="12"/>
  <c r="T162" i="11"/>
  <c r="E372" i="12"/>
  <c r="T377" i="11"/>
  <c r="E722" i="12"/>
  <c r="T728" i="11"/>
  <c r="E196" i="12"/>
  <c r="T200" i="11"/>
  <c r="E503" i="12"/>
  <c r="T508" i="11"/>
  <c r="E395" i="12"/>
  <c r="T400" i="11"/>
  <c r="E764" i="12"/>
  <c r="T770" i="11"/>
  <c r="E1057" i="12"/>
  <c r="T1064" i="11"/>
  <c r="E1306" i="12"/>
  <c r="T1313" i="11"/>
  <c r="E324" i="12"/>
  <c r="T329" i="11"/>
  <c r="E897" i="12"/>
  <c r="T904" i="11"/>
  <c r="E1118" i="12"/>
  <c r="T1125" i="11"/>
  <c r="E1351" i="12"/>
  <c r="T1358" i="11"/>
  <c r="E1503" i="12"/>
  <c r="T1510" i="11"/>
  <c r="E1618" i="12"/>
  <c r="T1625" i="11"/>
  <c r="E1698" i="12"/>
  <c r="T1705" i="11"/>
  <c r="E1825" i="12"/>
  <c r="T1833" i="11"/>
  <c r="E1921" i="12"/>
  <c r="T1929" i="11"/>
  <c r="E668" i="12"/>
  <c r="T674" i="11"/>
  <c r="E1265" i="12"/>
  <c r="T1272" i="11"/>
  <c r="E1450" i="12"/>
  <c r="T1457" i="11"/>
  <c r="E1555" i="12"/>
  <c r="T1562" i="11"/>
  <c r="E1657" i="12"/>
  <c r="T1664" i="11"/>
  <c r="E1785" i="12"/>
  <c r="T1792" i="11"/>
  <c r="E1880" i="12"/>
  <c r="T1888" i="11"/>
  <c r="E602" i="12"/>
  <c r="T608" i="11"/>
  <c r="E914" i="12"/>
  <c r="T921" i="11"/>
  <c r="E1378" i="12"/>
  <c r="T1385" i="11"/>
  <c r="E1506" i="12"/>
  <c r="T1513" i="11"/>
  <c r="E1623" i="12"/>
  <c r="T1630" i="11"/>
  <c r="E1735" i="12"/>
  <c r="T1742" i="11"/>
  <c r="E1830" i="12"/>
  <c r="T1838" i="11"/>
  <c r="E56" i="12"/>
  <c r="T60" i="11"/>
  <c r="E1066" i="12"/>
  <c r="T1073" i="11"/>
  <c r="E1454" i="12"/>
  <c r="T1461" i="11"/>
  <c r="E1676" i="12"/>
  <c r="T1683" i="11"/>
  <c r="E1867" i="12"/>
  <c r="T1875" i="11"/>
  <c r="E2020" i="12"/>
  <c r="T2028" i="11"/>
  <c r="E2132" i="12"/>
  <c r="T2140" i="11"/>
  <c r="E2228" i="12"/>
  <c r="T2236" i="11"/>
  <c r="E2340" i="12"/>
  <c r="T2348" i="11"/>
  <c r="E2452" i="12"/>
  <c r="T2460" i="11"/>
  <c r="E2548" i="12"/>
  <c r="T2556" i="11"/>
  <c r="E2660" i="12"/>
  <c r="T2668" i="11"/>
  <c r="E2772" i="12"/>
  <c r="T2780" i="11"/>
  <c r="E2868" i="12"/>
  <c r="T2876" i="11"/>
  <c r="E2964" i="12"/>
  <c r="T2972" i="11"/>
  <c r="E3060" i="12"/>
  <c r="T3068" i="11"/>
  <c r="E3172" i="12"/>
  <c r="T3180" i="11"/>
  <c r="E3268" i="12"/>
  <c r="T3276" i="11"/>
  <c r="E3348" i="12"/>
  <c r="T3356" i="11"/>
  <c r="E1951" i="12"/>
  <c r="T1959" i="11"/>
  <c r="E2047" i="12"/>
  <c r="T2055" i="11"/>
  <c r="E2127" i="12"/>
  <c r="T2135" i="11"/>
  <c r="E2207" i="12"/>
  <c r="T2215" i="11"/>
  <c r="E2319" i="12"/>
  <c r="T2327" i="11"/>
  <c r="E2415" i="12"/>
  <c r="T2423" i="11"/>
  <c r="E2511" i="12"/>
  <c r="T2519" i="11"/>
  <c r="E1015" i="12"/>
  <c r="T1022" i="11"/>
  <c r="E1977" i="12"/>
  <c r="T1985" i="11"/>
  <c r="E2073" i="12"/>
  <c r="T2081" i="11"/>
  <c r="E2153" i="12"/>
  <c r="T2161" i="11"/>
  <c r="E2265" i="12"/>
  <c r="T2273" i="11"/>
  <c r="E2377" i="12"/>
  <c r="T2385" i="11"/>
  <c r="E2473" i="12"/>
  <c r="T2481" i="11"/>
  <c r="E2569" i="12"/>
  <c r="T2577" i="11"/>
  <c r="E2681" i="12"/>
  <c r="T2689" i="11"/>
  <c r="E2777" i="12"/>
  <c r="T2785" i="11"/>
  <c r="E2857" i="12"/>
  <c r="T2865" i="11"/>
  <c r="E2969" i="12"/>
  <c r="T2977" i="11"/>
  <c r="E3081" i="12"/>
  <c r="T3089" i="11"/>
  <c r="E3177" i="12"/>
  <c r="T3185" i="11"/>
  <c r="E2559" i="12"/>
  <c r="T2567" i="11"/>
  <c r="E2671" i="12"/>
  <c r="T2679" i="11"/>
  <c r="E2799" i="12"/>
  <c r="T2807" i="11"/>
  <c r="E2879" i="12"/>
  <c r="T2887" i="11"/>
  <c r="E2975" i="12"/>
  <c r="T2983" i="11"/>
  <c r="E3103" i="12"/>
  <c r="T3111" i="11"/>
  <c r="E3358" i="12"/>
  <c r="T3366" i="11"/>
  <c r="E3454" i="12"/>
  <c r="T3462" i="11"/>
  <c r="E3550" i="12"/>
  <c r="T3558" i="11"/>
  <c r="E3662" i="12"/>
  <c r="T3670" i="11"/>
  <c r="E1488" i="12"/>
  <c r="T1495" i="11"/>
  <c r="E1934" i="12"/>
  <c r="T1942" i="11"/>
  <c r="E2126" i="12"/>
  <c r="T2134" i="11"/>
  <c r="E2318" i="12"/>
  <c r="T2326" i="11"/>
  <c r="E2510" i="12"/>
  <c r="T2518" i="11"/>
  <c r="E3246" i="12"/>
  <c r="T3254" i="11"/>
  <c r="E3310" i="12"/>
  <c r="T3318" i="11"/>
  <c r="E3385" i="12"/>
  <c r="T3393" i="11"/>
  <c r="E3497" i="12"/>
  <c r="T3505" i="11"/>
  <c r="E1559" i="12"/>
  <c r="T1566" i="11"/>
  <c r="E1938" i="12"/>
  <c r="T1946" i="11"/>
  <c r="E2098" i="12"/>
  <c r="T2106" i="11"/>
  <c r="E2322" i="12"/>
  <c r="T2330" i="11"/>
  <c r="E2514" i="12"/>
  <c r="T2522" i="11"/>
  <c r="E2606" i="12"/>
  <c r="T2614" i="11"/>
  <c r="E2734" i="12"/>
  <c r="T2742" i="11"/>
  <c r="E2846" i="12"/>
  <c r="T2854" i="11"/>
  <c r="E2926" i="12"/>
  <c r="T2934" i="11"/>
  <c r="E3038" i="12"/>
  <c r="T3046" i="11"/>
  <c r="E3150" i="12"/>
  <c r="T3158" i="11"/>
  <c r="E3218" i="12"/>
  <c r="T3226" i="11"/>
  <c r="E3282" i="12"/>
  <c r="T3290" i="11"/>
  <c r="E3359" i="12"/>
  <c r="T3367" i="11"/>
  <c r="E3443" i="12"/>
  <c r="T3451" i="11"/>
  <c r="E3533" i="12"/>
  <c r="T3541" i="11"/>
  <c r="E3597" i="12"/>
  <c r="T3605" i="11"/>
  <c r="E3674" i="12"/>
  <c r="T3682" i="11"/>
  <c r="E3769" i="12"/>
  <c r="T3778" i="11"/>
  <c r="E3849" i="12"/>
  <c r="T3858" i="11"/>
  <c r="E3961" i="12"/>
  <c r="T3970" i="11"/>
  <c r="E4057" i="12"/>
  <c r="T4066" i="11"/>
  <c r="E4153" i="12"/>
  <c r="T4162" i="11"/>
  <c r="E4232" i="12"/>
  <c r="T4242" i="11"/>
  <c r="E4328" i="12"/>
  <c r="T4338" i="11"/>
  <c r="E4440" i="12"/>
  <c r="T4450" i="11"/>
  <c r="E4536" i="12"/>
  <c r="T4546" i="11"/>
  <c r="E4616" i="12"/>
  <c r="T4626" i="11"/>
  <c r="E3368" i="12"/>
  <c r="T3376" i="11"/>
  <c r="E3464" i="12"/>
  <c r="T3472" i="11"/>
  <c r="E3705" i="12"/>
  <c r="T3713" i="11"/>
  <c r="E3832" i="12"/>
  <c r="T3841" i="11"/>
  <c r="E3928" i="12"/>
  <c r="T3937" i="11"/>
  <c r="E4024" i="12"/>
  <c r="T4033" i="11"/>
  <c r="E4104" i="12"/>
  <c r="T4113" i="11"/>
  <c r="E4231" i="12"/>
  <c r="T4241" i="11"/>
  <c r="E4327" i="12"/>
  <c r="T4337" i="11"/>
  <c r="E4423" i="12"/>
  <c r="T4433" i="11"/>
  <c r="E4503" i="12"/>
  <c r="T4513" i="11"/>
  <c r="E4615" i="12"/>
  <c r="T4625" i="11"/>
  <c r="E680" i="12"/>
  <c r="T686" i="11"/>
  <c r="E3746" i="12"/>
  <c r="T3755" i="11"/>
  <c r="E3842" i="12"/>
  <c r="T3851" i="11"/>
  <c r="E3954" i="12"/>
  <c r="T3963" i="11"/>
  <c r="E4050" i="12"/>
  <c r="T4059" i="11"/>
  <c r="E4130" i="12"/>
  <c r="T4139" i="11"/>
  <c r="E4241" i="12"/>
  <c r="T4251" i="11"/>
  <c r="E4353" i="12"/>
  <c r="T4363" i="11"/>
  <c r="E4449" i="12"/>
  <c r="T4459" i="11"/>
  <c r="E4545" i="12"/>
  <c r="T4555" i="11"/>
  <c r="E4657" i="12"/>
  <c r="T4667" i="11"/>
  <c r="E3569" i="12"/>
  <c r="T3577" i="11"/>
  <c r="E3676" i="12"/>
  <c r="T3684" i="11"/>
  <c r="E3899" i="12"/>
  <c r="T3908" i="11"/>
  <c r="E4123" i="12"/>
  <c r="T4132" i="11"/>
  <c r="E4314" i="12"/>
  <c r="T4324" i="11"/>
  <c r="E4538" i="12"/>
  <c r="T4548" i="11"/>
  <c r="E5003" i="12"/>
  <c r="T5014" i="11"/>
  <c r="E4728" i="12"/>
  <c r="T4738" i="11"/>
  <c r="E4768" i="12"/>
  <c r="T4778" i="11"/>
  <c r="E4824" i="12"/>
  <c r="T4834" i="11"/>
  <c r="E4880" i="12"/>
  <c r="T4890" i="11"/>
  <c r="E4919" i="12"/>
  <c r="T4930" i="11"/>
  <c r="E4967" i="12"/>
  <c r="T4978" i="11"/>
  <c r="E4721" i="12"/>
  <c r="T4731" i="11"/>
  <c r="E4777" i="12"/>
  <c r="T4787" i="11"/>
  <c r="E4817" i="12"/>
  <c r="T4827" i="11"/>
  <c r="E4881" i="12"/>
  <c r="T4891" i="11"/>
  <c r="E4936" i="12"/>
  <c r="T4947" i="11"/>
  <c r="E4980" i="12"/>
  <c r="T4991" i="11"/>
  <c r="E5060" i="12"/>
  <c r="T5071" i="11"/>
  <c r="E4023" i="12"/>
  <c r="T4032" i="11"/>
  <c r="E4406" i="12"/>
  <c r="T4416" i="11"/>
  <c r="E3567" i="12"/>
  <c r="T3575" i="11"/>
  <c r="E3871" i="12"/>
  <c r="T3880" i="11"/>
  <c r="E4318" i="12"/>
  <c r="T4328" i="11"/>
  <c r="E4638" i="12"/>
  <c r="T4648" i="11"/>
  <c r="E6585" i="12"/>
  <c r="T6597" i="11"/>
  <c r="E6681" i="12"/>
  <c r="T6693" i="11"/>
  <c r="E6777" i="12"/>
  <c r="T6789" i="11"/>
  <c r="E6857" i="12"/>
  <c r="T6869" i="11"/>
  <c r="E6969" i="12"/>
  <c r="T6981" i="11"/>
  <c r="E7081" i="12"/>
  <c r="T7093" i="11"/>
  <c r="E7177" i="12"/>
  <c r="T7189" i="11"/>
  <c r="E7289" i="12"/>
  <c r="T7301" i="11"/>
  <c r="E7401" i="12"/>
  <c r="T7413" i="11"/>
  <c r="E7513" i="12"/>
  <c r="T7525" i="11"/>
  <c r="E5094" i="12"/>
  <c r="T5105" i="11"/>
  <c r="E5150" i="12"/>
  <c r="T5161" i="11"/>
  <c r="E5198" i="12"/>
  <c r="T5209" i="11"/>
  <c r="E5246" i="12"/>
  <c r="T5257" i="11"/>
  <c r="E5294" i="12"/>
  <c r="T5305" i="11"/>
  <c r="E5350" i="12"/>
  <c r="T5361" i="11"/>
  <c r="E5406" i="12"/>
  <c r="T5417" i="11"/>
  <c r="E5454" i="12"/>
  <c r="T5465" i="11"/>
  <c r="E5502" i="12"/>
  <c r="T5513" i="11"/>
  <c r="E5558" i="12"/>
  <c r="T5569" i="11"/>
  <c r="E5614" i="12"/>
  <c r="T5625" i="11"/>
  <c r="E5653" i="12"/>
  <c r="T5665" i="11"/>
  <c r="E5709" i="12"/>
  <c r="T5721" i="11"/>
  <c r="E5765" i="12"/>
  <c r="T5777" i="11"/>
  <c r="E5813" i="12"/>
  <c r="T5825" i="11"/>
  <c r="E5853" i="12"/>
  <c r="T5865" i="11"/>
  <c r="E5909" i="12"/>
  <c r="T5921" i="11"/>
  <c r="E5973" i="12"/>
  <c r="T5985" i="11"/>
  <c r="E6021" i="12"/>
  <c r="T6033" i="11"/>
  <c r="E6061" i="12"/>
  <c r="T6073" i="11"/>
  <c r="E6117" i="12"/>
  <c r="T6129" i="11"/>
  <c r="E6173" i="12"/>
  <c r="T6185" i="11"/>
  <c r="E6221" i="12"/>
  <c r="T6233" i="11"/>
  <c r="E6269" i="12"/>
  <c r="T6281" i="11"/>
  <c r="E6325" i="12"/>
  <c r="T6337" i="11"/>
  <c r="E6381" i="12"/>
  <c r="T6393" i="11"/>
  <c r="E6421" i="12"/>
  <c r="T6433" i="11"/>
  <c r="E6469" i="12"/>
  <c r="T6481" i="11"/>
  <c r="E6525" i="12"/>
  <c r="T6537" i="11"/>
  <c r="E6632" i="12"/>
  <c r="T6644" i="11"/>
  <c r="E6696" i="12"/>
  <c r="T6708" i="11"/>
  <c r="E6808" i="12"/>
  <c r="T6820" i="11"/>
  <c r="E6920" i="12"/>
  <c r="T6932" i="11"/>
  <c r="E7016" i="12"/>
  <c r="T7028" i="11"/>
  <c r="E7096" i="12"/>
  <c r="T7108" i="11"/>
  <c r="E7224" i="12"/>
  <c r="T7236" i="11"/>
  <c r="E7320" i="12"/>
  <c r="T7332" i="11"/>
  <c r="E7416" i="12"/>
  <c r="T7428" i="11"/>
  <c r="E7512" i="12"/>
  <c r="T7524" i="11"/>
  <c r="E5077" i="12"/>
  <c r="T5088" i="11"/>
  <c r="E5121" i="12"/>
  <c r="T5132" i="11"/>
  <c r="E5161" i="12"/>
  <c r="T5172" i="11"/>
  <c r="E5217" i="12"/>
  <c r="T5228" i="11"/>
  <c r="E5265" i="12"/>
  <c r="T5276" i="11"/>
  <c r="E5313" i="12"/>
  <c r="T5324" i="11"/>
  <c r="E5361" i="12"/>
  <c r="T5372" i="11"/>
  <c r="E5417" i="12"/>
  <c r="T5428" i="11"/>
  <c r="E5465" i="12"/>
  <c r="T5476" i="11"/>
  <c r="E5513" i="12"/>
  <c r="T5524" i="11"/>
  <c r="E5561" i="12"/>
  <c r="T5572" i="11"/>
  <c r="T5636" i="11"/>
  <c r="E5672" i="12"/>
  <c r="T5684" i="11"/>
  <c r="E5720" i="12"/>
  <c r="T5732" i="11"/>
  <c r="E5776" i="12"/>
  <c r="T5788" i="11"/>
  <c r="E5824" i="12"/>
  <c r="T5836" i="11"/>
  <c r="E5872" i="12"/>
  <c r="T5884" i="11"/>
  <c r="E5920" i="12"/>
  <c r="T5932" i="11"/>
  <c r="E5984" i="12"/>
  <c r="T5996" i="11"/>
  <c r="E6040" i="12"/>
  <c r="T6052" i="11"/>
  <c r="E6080" i="12"/>
  <c r="T6092" i="11"/>
  <c r="E6136" i="12"/>
  <c r="T6148" i="11"/>
  <c r="E6192" i="12"/>
  <c r="T6204" i="11"/>
  <c r="E6240" i="12"/>
  <c r="T6252" i="11"/>
  <c r="E6288" i="12"/>
  <c r="T6300" i="11"/>
  <c r="E6344" i="12"/>
  <c r="T6356" i="11"/>
  <c r="E6400" i="12"/>
  <c r="T6412" i="11"/>
  <c r="E6448" i="12"/>
  <c r="T6460" i="11"/>
  <c r="E6488" i="12"/>
  <c r="T6500" i="11"/>
  <c r="E6542" i="12"/>
  <c r="T6554" i="11"/>
  <c r="E6654" i="12"/>
  <c r="T6666" i="11"/>
  <c r="E6766" i="12"/>
  <c r="T6778" i="11"/>
  <c r="E6846" i="12"/>
  <c r="T6858" i="11"/>
  <c r="E6958" i="12"/>
  <c r="T6970" i="11"/>
  <c r="E7070" i="12"/>
  <c r="T7082" i="11"/>
  <c r="E7182" i="12"/>
  <c r="T7194" i="11"/>
  <c r="E7262" i="12"/>
  <c r="T7274" i="11"/>
  <c r="E7374" i="12"/>
  <c r="T7386" i="11"/>
  <c r="E7486" i="12"/>
  <c r="T7498" i="11"/>
  <c r="E7720" i="12"/>
  <c r="T7732" i="11"/>
  <c r="E7760" i="12"/>
  <c r="T7772" i="11"/>
  <c r="E7816" i="12"/>
  <c r="T7828" i="11"/>
  <c r="E7864" i="12"/>
  <c r="T7876" i="11"/>
  <c r="E7912" i="12"/>
  <c r="T7924" i="11"/>
  <c r="E7960" i="12"/>
  <c r="T7972" i="11"/>
  <c r="E8008" i="12"/>
  <c r="T8020" i="11"/>
  <c r="E8048" i="12"/>
  <c r="T8060" i="11"/>
  <c r="E8080" i="12"/>
  <c r="T8092" i="11"/>
  <c r="E8112" i="12"/>
  <c r="T8124" i="11"/>
  <c r="E8144" i="12"/>
  <c r="T8156" i="11"/>
  <c r="E8176" i="12"/>
  <c r="T8188" i="11"/>
  <c r="E8208" i="12"/>
  <c r="T8220" i="11"/>
  <c r="E8240" i="12"/>
  <c r="T8252" i="11"/>
  <c r="E8272" i="12"/>
  <c r="T8284" i="11"/>
  <c r="E8312" i="12"/>
  <c r="T8324" i="11"/>
  <c r="E8344" i="12"/>
  <c r="T8356" i="11"/>
  <c r="E8376" i="12"/>
  <c r="T8388" i="11"/>
  <c r="E6563" i="12"/>
  <c r="T6575" i="11"/>
  <c r="E6691" i="12"/>
  <c r="T6703" i="11"/>
  <c r="E6819" i="12"/>
  <c r="T6831" i="11"/>
  <c r="E6947" i="12"/>
  <c r="T6959" i="11"/>
  <c r="E7075" i="12"/>
  <c r="T7087" i="11"/>
  <c r="E7203" i="12"/>
  <c r="T7215" i="11"/>
  <c r="E7331" i="12"/>
  <c r="T7343" i="11"/>
  <c r="E7459" i="12"/>
  <c r="T7471" i="11"/>
  <c r="E6551" i="12"/>
  <c r="T6563" i="11"/>
  <c r="E6679" i="12"/>
  <c r="T6691" i="11"/>
  <c r="E6807" i="12"/>
  <c r="T6819" i="11"/>
  <c r="E6935" i="12"/>
  <c r="T6947" i="11"/>
  <c r="E7063" i="12"/>
  <c r="T7075" i="11"/>
  <c r="E7191" i="12"/>
  <c r="T7203" i="11"/>
  <c r="E7319" i="12"/>
  <c r="T7331" i="11"/>
  <c r="E7447" i="12"/>
  <c r="T7459" i="11"/>
  <c r="E7715" i="12"/>
  <c r="T7727" i="11"/>
  <c r="E7779" i="12"/>
  <c r="T7791" i="11"/>
  <c r="E7843" i="12"/>
  <c r="T7855" i="11"/>
  <c r="E7907" i="12"/>
  <c r="T7919" i="11"/>
  <c r="E7971" i="12"/>
  <c r="T7983" i="11"/>
  <c r="E8035" i="12"/>
  <c r="T8047" i="11"/>
  <c r="E8099" i="12"/>
  <c r="T8111" i="11"/>
  <c r="E8163" i="12"/>
  <c r="T8175" i="11"/>
  <c r="E8227" i="12"/>
  <c r="T8239" i="11"/>
  <c r="E8291" i="12"/>
  <c r="T8303" i="11"/>
  <c r="E8355" i="12"/>
  <c r="T8367" i="11"/>
  <c r="E7737" i="12"/>
  <c r="T7749" i="11"/>
  <c r="E7801" i="12"/>
  <c r="T7813" i="11"/>
  <c r="E8009" i="12"/>
  <c r="T8021" i="11"/>
  <c r="E8133" i="12"/>
  <c r="T8145" i="11"/>
  <c r="E8265" i="12"/>
  <c r="T8277" i="11"/>
  <c r="E8389" i="12"/>
  <c r="T8401" i="11"/>
  <c r="E7877" i="12"/>
  <c r="T7889" i="11"/>
  <c r="E7961" i="12"/>
  <c r="T7973" i="11"/>
  <c r="E8085" i="12"/>
  <c r="T8097" i="11"/>
  <c r="E8213" i="12"/>
  <c r="T8225" i="11"/>
  <c r="E8377" i="12"/>
  <c r="T8389" i="11"/>
  <c r="E156" i="12"/>
  <c r="T160" i="11"/>
  <c r="E49" i="12"/>
  <c r="T53" i="11"/>
  <c r="E229" i="12"/>
  <c r="T233" i="11"/>
  <c r="E391" i="12"/>
  <c r="T396" i="11"/>
  <c r="T600" i="11"/>
  <c r="E812" i="12"/>
  <c r="T818" i="11"/>
  <c r="E68" i="12"/>
  <c r="T72" i="11"/>
  <c r="E375" i="12"/>
  <c r="T380" i="11"/>
  <c r="E60" i="12"/>
  <c r="T64" i="11"/>
  <c r="E381" i="12"/>
  <c r="T386" i="11"/>
  <c r="E580" i="12"/>
  <c r="T585" i="11"/>
  <c r="E778" i="12"/>
  <c r="T784" i="11"/>
  <c r="E981" i="12"/>
  <c r="T988" i="11"/>
  <c r="E1185" i="12"/>
  <c r="T1192" i="11"/>
  <c r="E1338" i="12"/>
  <c r="T1345" i="11"/>
  <c r="E200" i="12"/>
  <c r="T204" i="11"/>
  <c r="E607" i="12"/>
  <c r="T613" i="11"/>
  <c r="E930" i="12"/>
  <c r="T937" i="11"/>
  <c r="E1105" i="12"/>
  <c r="T1112" i="11"/>
  <c r="E1258" i="12"/>
  <c r="T1265" i="11"/>
  <c r="E1384" i="12"/>
  <c r="T1391" i="11"/>
  <c r="E1471" i="12"/>
  <c r="T1478" i="11"/>
  <c r="E1558" i="12"/>
  <c r="T1565" i="11"/>
  <c r="E1626" i="12"/>
  <c r="T1633" i="11"/>
  <c r="E1690" i="12"/>
  <c r="T1697" i="11"/>
  <c r="E1754" i="12"/>
  <c r="T1761" i="11"/>
  <c r="E1817" i="12"/>
  <c r="T1825" i="11"/>
  <c r="E1881" i="12"/>
  <c r="T1889" i="11"/>
  <c r="E238" i="12"/>
  <c r="T242" i="11"/>
  <c r="E728" i="12"/>
  <c r="T734" i="11"/>
  <c r="E1065" i="12"/>
  <c r="T1072" i="11"/>
  <c r="E1330" i="12"/>
  <c r="T1337" i="11"/>
  <c r="E1418" i="12"/>
  <c r="T1425" i="11"/>
  <c r="E1500" i="12"/>
  <c r="T1507" i="11"/>
  <c r="E1585" i="12"/>
  <c r="T1592" i="11"/>
  <c r="E1649" i="12"/>
  <c r="T1656" i="11"/>
  <c r="E1713" i="12"/>
  <c r="T1720" i="11"/>
  <c r="E1777" i="12"/>
  <c r="T1784" i="11"/>
  <c r="E1840" i="12"/>
  <c r="T1848" i="11"/>
  <c r="E212" i="12"/>
  <c r="T216" i="11"/>
  <c r="E619" i="12"/>
  <c r="T625" i="11"/>
  <c r="E844" i="12"/>
  <c r="T850" i="11"/>
  <c r="E1123" i="12"/>
  <c r="T1130" i="11"/>
  <c r="E1350" i="12"/>
  <c r="T1357" i="11"/>
  <c r="E1451" i="12"/>
  <c r="T1458" i="11"/>
  <c r="E1538" i="12"/>
  <c r="T1545" i="11"/>
  <c r="E1615" i="12"/>
  <c r="T1622" i="11"/>
  <c r="E1679" i="12"/>
  <c r="T1686" i="11"/>
  <c r="E1743" i="12"/>
  <c r="T1750" i="11"/>
  <c r="E1807" i="12"/>
  <c r="T1814" i="11"/>
  <c r="E1870" i="12"/>
  <c r="T1878" i="11"/>
  <c r="E165" i="12"/>
  <c r="T169" i="11"/>
  <c r="E978" i="12"/>
  <c r="T985" i="11"/>
  <c r="E1234" i="12"/>
  <c r="T1241" i="11"/>
  <c r="E1440" i="12"/>
  <c r="T1447" i="11"/>
  <c r="E1596" i="12"/>
  <c r="T1603" i="11"/>
  <c r="E1724" i="12"/>
  <c r="T1731" i="11"/>
  <c r="E1851" i="12"/>
  <c r="T1859" i="11"/>
  <c r="E1964" i="12"/>
  <c r="T1972" i="11"/>
  <c r="E2028" i="12"/>
  <c r="T2036" i="11"/>
  <c r="E2092" i="12"/>
  <c r="T2100" i="11"/>
  <c r="E2156" i="12"/>
  <c r="T2164" i="11"/>
  <c r="E2220" i="12"/>
  <c r="T2228" i="11"/>
  <c r="E2284" i="12"/>
  <c r="T2292" i="11"/>
  <c r="E2348" i="12"/>
  <c r="T2356" i="11"/>
  <c r="E2412" i="12"/>
  <c r="T2420" i="11"/>
  <c r="E2476" i="12"/>
  <c r="T2484" i="11"/>
  <c r="E2540" i="12"/>
  <c r="T2548" i="11"/>
  <c r="E2604" i="12"/>
  <c r="T2612" i="11"/>
  <c r="E2668" i="12"/>
  <c r="T2676" i="11"/>
  <c r="E2732" i="12"/>
  <c r="T2740" i="11"/>
  <c r="E2796" i="12"/>
  <c r="T2804" i="11"/>
  <c r="E2860" i="12"/>
  <c r="T2868" i="11"/>
  <c r="E2924" i="12"/>
  <c r="T2932" i="11"/>
  <c r="E2988" i="12"/>
  <c r="T2996" i="11"/>
  <c r="E3052" i="12"/>
  <c r="T3060" i="11"/>
  <c r="E3116" i="12"/>
  <c r="T3124" i="11"/>
  <c r="E3180" i="12"/>
  <c r="T3188" i="11"/>
  <c r="E3244" i="12"/>
  <c r="T3252" i="11"/>
  <c r="E3308" i="12"/>
  <c r="T3316" i="11"/>
  <c r="E567" i="12"/>
  <c r="T572" i="11"/>
  <c r="E1281" i="12"/>
  <c r="T1288" i="11"/>
  <c r="E1991" i="12"/>
  <c r="T1999" i="11"/>
  <c r="E2055" i="12"/>
  <c r="T2063" i="11"/>
  <c r="E2119" i="12"/>
  <c r="T2127" i="11"/>
  <c r="E2183" i="12"/>
  <c r="T2191" i="11"/>
  <c r="E2247" i="12"/>
  <c r="T2255" i="11"/>
  <c r="E2311" i="12"/>
  <c r="T2319" i="11"/>
  <c r="E2375" i="12"/>
  <c r="T2383" i="11"/>
  <c r="E2439" i="12"/>
  <c r="T2447" i="11"/>
  <c r="E2503" i="12"/>
  <c r="T2511" i="11"/>
  <c r="E682" i="12"/>
  <c r="T688" i="11"/>
  <c r="E1255" i="12"/>
  <c r="T1262" i="11"/>
  <c r="E1953" i="12"/>
  <c r="T1961" i="11"/>
  <c r="E2017" i="12"/>
  <c r="T2025" i="11"/>
  <c r="E2081" i="12"/>
  <c r="T2089" i="11"/>
  <c r="E2145" i="12"/>
  <c r="T2153" i="11"/>
  <c r="E2209" i="12"/>
  <c r="T2217" i="11"/>
  <c r="E2273" i="12"/>
  <c r="T2281" i="11"/>
  <c r="E2337" i="12"/>
  <c r="T2345" i="11"/>
  <c r="E2401" i="12"/>
  <c r="T2409" i="11"/>
  <c r="E2465" i="12"/>
  <c r="T2473" i="11"/>
  <c r="E2529" i="12"/>
  <c r="T2537" i="11"/>
  <c r="E2593" i="12"/>
  <c r="T2601" i="11"/>
  <c r="E2657" i="12"/>
  <c r="T2665" i="11"/>
  <c r="E2721" i="12"/>
  <c r="T2729" i="11"/>
  <c r="E2785" i="12"/>
  <c r="T2793" i="11"/>
  <c r="E2849" i="12"/>
  <c r="T2857" i="11"/>
  <c r="E2913" i="12"/>
  <c r="T2921" i="11"/>
  <c r="E2977" i="12"/>
  <c r="T2985" i="11"/>
  <c r="E3041" i="12"/>
  <c r="T3049" i="11"/>
  <c r="E3105" i="12"/>
  <c r="T3113" i="11"/>
  <c r="E3169" i="12"/>
  <c r="T3177" i="11"/>
  <c r="E1915" i="12"/>
  <c r="T1923" i="11"/>
  <c r="E2599" i="12"/>
  <c r="T2607" i="11"/>
  <c r="E2663" i="12"/>
  <c r="T2671" i="11"/>
  <c r="E2727" i="12"/>
  <c r="T2735" i="11"/>
  <c r="E2791" i="12"/>
  <c r="T2799" i="11"/>
  <c r="E2855" i="12"/>
  <c r="T2863" i="11"/>
  <c r="E2919" i="12"/>
  <c r="T2927" i="11"/>
  <c r="E2983" i="12"/>
  <c r="T2991" i="11"/>
  <c r="E3047" i="12"/>
  <c r="T3055" i="11"/>
  <c r="E3111" i="12"/>
  <c r="T3119" i="11"/>
  <c r="E3175" i="12"/>
  <c r="T3183" i="11"/>
  <c r="E3398" i="12"/>
  <c r="T3406" i="11"/>
  <c r="E3462" i="12"/>
  <c r="T3470" i="11"/>
  <c r="E3526" i="12"/>
  <c r="T3534" i="11"/>
  <c r="E3590" i="12"/>
  <c r="T3598" i="11"/>
  <c r="E3654" i="12"/>
  <c r="T3662" i="11"/>
  <c r="E1392" i="12"/>
  <c r="T1399" i="11"/>
  <c r="E1648" i="12"/>
  <c r="T1655" i="11"/>
  <c r="E1903" i="12"/>
  <c r="T1911" i="11"/>
  <c r="E2046" i="12"/>
  <c r="T2054" i="11"/>
  <c r="E2174" i="12"/>
  <c r="T2182" i="11"/>
  <c r="E2302" i="12"/>
  <c r="T2310" i="11"/>
  <c r="E2430" i="12"/>
  <c r="T2438" i="11"/>
  <c r="E3198" i="12"/>
  <c r="T3206" i="11"/>
  <c r="E3241" i="12"/>
  <c r="T3249" i="11"/>
  <c r="E3283" i="12"/>
  <c r="T3291" i="11"/>
  <c r="E3326" i="12"/>
  <c r="T3334" i="11"/>
  <c r="E3377" i="12"/>
  <c r="T3385" i="11"/>
  <c r="E3441" i="12"/>
  <c r="T3449" i="11"/>
  <c r="E3505" i="12"/>
  <c r="T3513" i="11"/>
  <c r="E1367" i="12"/>
  <c r="T1374" i="11"/>
  <c r="E1736" i="12"/>
  <c r="T1743" i="11"/>
  <c r="E1954" i="12"/>
  <c r="T1962" i="11"/>
  <c r="E2082" i="12"/>
  <c r="T2090" i="11"/>
  <c r="E2210" i="12"/>
  <c r="T2218" i="11"/>
  <c r="E2338" i="12"/>
  <c r="T2346" i="11"/>
  <c r="E2466" i="12"/>
  <c r="T2474" i="11"/>
  <c r="E2566" i="12"/>
  <c r="T2574" i="11"/>
  <c r="E2630" i="12"/>
  <c r="T2638" i="11"/>
  <c r="E2694" i="12"/>
  <c r="T2702" i="11"/>
  <c r="E2758" i="12"/>
  <c r="T2766" i="11"/>
  <c r="E2822" i="12"/>
  <c r="T2830" i="11"/>
  <c r="E2886" i="12"/>
  <c r="T2894" i="11"/>
  <c r="E2950" i="12"/>
  <c r="T2958" i="11"/>
  <c r="E3014" i="12"/>
  <c r="T3022" i="11"/>
  <c r="E3078" i="12"/>
  <c r="T3086" i="11"/>
  <c r="E3142" i="12"/>
  <c r="T3150" i="11"/>
  <c r="E3202" i="12"/>
  <c r="T3210" i="11"/>
  <c r="E3245" i="12"/>
  <c r="T3253" i="11"/>
  <c r="E3287" i="12"/>
  <c r="T3295" i="11"/>
  <c r="E3330" i="12"/>
  <c r="T3338" i="11"/>
  <c r="E3371" i="12"/>
  <c r="T3379" i="11"/>
  <c r="E3435" i="12"/>
  <c r="T3443" i="11"/>
  <c r="E3499" i="12"/>
  <c r="T3507" i="11"/>
  <c r="E3549" i="12"/>
  <c r="T3557" i="11"/>
  <c r="E3592" i="12"/>
  <c r="T3600" i="11"/>
  <c r="E3635" i="12"/>
  <c r="T3643" i="11"/>
  <c r="E3682" i="12"/>
  <c r="T3690" i="11"/>
  <c r="E3745" i="12"/>
  <c r="T3754" i="11"/>
  <c r="E3809" i="12"/>
  <c r="T3818" i="11"/>
  <c r="E3873" i="12"/>
  <c r="T3882" i="11"/>
  <c r="E3937" i="12"/>
  <c r="T3946" i="11"/>
  <c r="E4001" i="12"/>
  <c r="T4010" i="11"/>
  <c r="E4065" i="12"/>
  <c r="T4074" i="11"/>
  <c r="E4129" i="12"/>
  <c r="T4138" i="11"/>
  <c r="E4192" i="12"/>
  <c r="T4202" i="11"/>
  <c r="E4256" i="12"/>
  <c r="T4266" i="11"/>
  <c r="E4320" i="12"/>
  <c r="T4330" i="11"/>
  <c r="E4384" i="12"/>
  <c r="T4394" i="11"/>
  <c r="E4448" i="12"/>
  <c r="T4458" i="11"/>
  <c r="E4512" i="12"/>
  <c r="T4522" i="11"/>
  <c r="E4576" i="12"/>
  <c r="T4586" i="11"/>
  <c r="E4640" i="12"/>
  <c r="T4650" i="11"/>
  <c r="E269" i="12"/>
  <c r="T273" i="11"/>
  <c r="E3408" i="12"/>
  <c r="T3416" i="11"/>
  <c r="E3472" i="12"/>
  <c r="T3480" i="11"/>
  <c r="E3681" i="12"/>
  <c r="T3689" i="11"/>
  <c r="E3744" i="12"/>
  <c r="T3753" i="11"/>
  <c r="E3808" i="12"/>
  <c r="T3817" i="11"/>
  <c r="E3872" i="12"/>
  <c r="T3881" i="11"/>
  <c r="E3936" i="12"/>
  <c r="T3945" i="11"/>
  <c r="E4000" i="12"/>
  <c r="T4009" i="11"/>
  <c r="E4064" i="12"/>
  <c r="T4073" i="11"/>
  <c r="E4128" i="12"/>
  <c r="T4137" i="11"/>
  <c r="E4191" i="12"/>
  <c r="T4201" i="11"/>
  <c r="E4255" i="12"/>
  <c r="T4265" i="11"/>
  <c r="E4319" i="12"/>
  <c r="T4329" i="11"/>
  <c r="E4383" i="12"/>
  <c r="T4393" i="11"/>
  <c r="E4447" i="12"/>
  <c r="T4457" i="11"/>
  <c r="E4511" i="12"/>
  <c r="T4521" i="11"/>
  <c r="E4575" i="12"/>
  <c r="T4585" i="11"/>
  <c r="E4639" i="12"/>
  <c r="T4649" i="11"/>
  <c r="E4703" i="12"/>
  <c r="T4713" i="11"/>
  <c r="E3707" i="12"/>
  <c r="T3715" i="11"/>
  <c r="E3770" i="12"/>
  <c r="T3779" i="11"/>
  <c r="E3834" i="12"/>
  <c r="T3843" i="11"/>
  <c r="E3898" i="12"/>
  <c r="T3907" i="11"/>
  <c r="E3962" i="12"/>
  <c r="T3971" i="11"/>
  <c r="E4026" i="12"/>
  <c r="T4035" i="11"/>
  <c r="E4090" i="12"/>
  <c r="T4099" i="11"/>
  <c r="E4154" i="12"/>
  <c r="T4163" i="11"/>
  <c r="E4217" i="12"/>
  <c r="T4227" i="11"/>
  <c r="E4281" i="12"/>
  <c r="T4291" i="11"/>
  <c r="E4345" i="12"/>
  <c r="T4355" i="11"/>
  <c r="E4409" i="12"/>
  <c r="T4419" i="11"/>
  <c r="E4473" i="12"/>
  <c r="T4483" i="11"/>
  <c r="E4537" i="12"/>
  <c r="T4547" i="11"/>
  <c r="E4601" i="12"/>
  <c r="T4611" i="11"/>
  <c r="E4665" i="12"/>
  <c r="T4675" i="11"/>
  <c r="E3556" i="12"/>
  <c r="T3564" i="11"/>
  <c r="E3639" i="12"/>
  <c r="T3647" i="11"/>
  <c r="E3755" i="12"/>
  <c r="T3764" i="11"/>
  <c r="E3883" i="12"/>
  <c r="T3892" i="11"/>
  <c r="E4011" i="12"/>
  <c r="T4020" i="11"/>
  <c r="E4139" i="12"/>
  <c r="T4148" i="11"/>
  <c r="E4266" i="12"/>
  <c r="T4276" i="11"/>
  <c r="E4394" i="12"/>
  <c r="T4404" i="11"/>
  <c r="E4522" i="12"/>
  <c r="T4532" i="11"/>
  <c r="E4650" i="12"/>
  <c r="T4660" i="11"/>
  <c r="E5011" i="12"/>
  <c r="T5022" i="11"/>
  <c r="E5075" i="12"/>
  <c r="T5086" i="11"/>
  <c r="E4748" i="12"/>
  <c r="T4758" i="11"/>
  <c r="E4780" i="12"/>
  <c r="T4790" i="11"/>
  <c r="E4812" i="12"/>
  <c r="T4822" i="11"/>
  <c r="E4844" i="12"/>
  <c r="T4854" i="11"/>
  <c r="E4876" i="12"/>
  <c r="T4886" i="11"/>
  <c r="E4907" i="12"/>
  <c r="T4918" i="11"/>
  <c r="E4939" i="12"/>
  <c r="T4950" i="11"/>
  <c r="E4971" i="12"/>
  <c r="T4982" i="11"/>
  <c r="E5034" i="12"/>
  <c r="T5045" i="11"/>
  <c r="E4725" i="12"/>
  <c r="T4735" i="11"/>
  <c r="E4757" i="12"/>
  <c r="T4767" i="11"/>
  <c r="E4789" i="12"/>
  <c r="T4799" i="11"/>
  <c r="E4821" i="12"/>
  <c r="T4831" i="11"/>
  <c r="E4853" i="12"/>
  <c r="T4863" i="11"/>
  <c r="E4885" i="12"/>
  <c r="T4895" i="11"/>
  <c r="E4916" i="12"/>
  <c r="T4927" i="11"/>
  <c r="E4948" i="12"/>
  <c r="T4959" i="11"/>
  <c r="E4988" i="12"/>
  <c r="T4999" i="11"/>
  <c r="E5052" i="12"/>
  <c r="T5063" i="11"/>
  <c r="E3736" i="12"/>
  <c r="T3744" i="11"/>
  <c r="E3991" i="12"/>
  <c r="T4000" i="11"/>
  <c r="E4246" i="12"/>
  <c r="T4256" i="11"/>
  <c r="E4502" i="12"/>
  <c r="T4512" i="11"/>
  <c r="E3535" i="12"/>
  <c r="T3543" i="11"/>
  <c r="E3712" i="12"/>
  <c r="T3720" i="11"/>
  <c r="E3967" i="12"/>
  <c r="T3976" i="11"/>
  <c r="E4222" i="12"/>
  <c r="T4232" i="11"/>
  <c r="E4478" i="12"/>
  <c r="T4488" i="11"/>
  <c r="E4985" i="12"/>
  <c r="T4996" i="11"/>
  <c r="E6545" i="12"/>
  <c r="T6557" i="11"/>
  <c r="E6609" i="12"/>
  <c r="T6621" i="11"/>
  <c r="E6673" i="12"/>
  <c r="T6685" i="11"/>
  <c r="E6737" i="12"/>
  <c r="T6749" i="11"/>
  <c r="E6801" i="12"/>
  <c r="T6813" i="11"/>
  <c r="E6865" i="12"/>
  <c r="T6877" i="11"/>
  <c r="E6929" i="12"/>
  <c r="T6941" i="11"/>
  <c r="E6993" i="12"/>
  <c r="T7005" i="11"/>
  <c r="E7057" i="12"/>
  <c r="T7069" i="11"/>
  <c r="E7121" i="12"/>
  <c r="T7133" i="11"/>
  <c r="E7185" i="12"/>
  <c r="T7197" i="11"/>
  <c r="E7249" i="12"/>
  <c r="T7261" i="11"/>
  <c r="E7313" i="12"/>
  <c r="T7325" i="11"/>
  <c r="E7377" i="12"/>
  <c r="T7389" i="11"/>
  <c r="E7441" i="12"/>
  <c r="T7453" i="11"/>
  <c r="E7505" i="12"/>
  <c r="T7517" i="11"/>
  <c r="E3529" i="12"/>
  <c r="T3537" i="11"/>
  <c r="E5106" i="12"/>
  <c r="T5117" i="11"/>
  <c r="E5138" i="12"/>
  <c r="T5149" i="11"/>
  <c r="E5170" i="12"/>
  <c r="T5181" i="11"/>
  <c r="E5202" i="12"/>
  <c r="T5213" i="11"/>
  <c r="E5234" i="12"/>
  <c r="T5245" i="11"/>
  <c r="E5266" i="12"/>
  <c r="T5277" i="11"/>
  <c r="E5298" i="12"/>
  <c r="T5309" i="11"/>
  <c r="E5330" i="12"/>
  <c r="T5341" i="11"/>
  <c r="E5362" i="12"/>
  <c r="T5373" i="11"/>
  <c r="E5394" i="12"/>
  <c r="T5405" i="11"/>
  <c r="E5426" i="12"/>
  <c r="T5437" i="11"/>
  <c r="E5458" i="12"/>
  <c r="T5469" i="11"/>
  <c r="E5490" i="12"/>
  <c r="T5501" i="11"/>
  <c r="E5522" i="12"/>
  <c r="T5533" i="11"/>
  <c r="E5554" i="12"/>
  <c r="T5565" i="11"/>
  <c r="E5586" i="12"/>
  <c r="T5597" i="11"/>
  <c r="E5618" i="12"/>
  <c r="T5629" i="11"/>
  <c r="E5649" i="12"/>
  <c r="T5661" i="11"/>
  <c r="E5681" i="12"/>
  <c r="T5693" i="11"/>
  <c r="E5713" i="12"/>
  <c r="T5725" i="11"/>
  <c r="E5745" i="12"/>
  <c r="T5757" i="11"/>
  <c r="E5777" i="12"/>
  <c r="T5789" i="11"/>
  <c r="E5809" i="12"/>
  <c r="T5821" i="11"/>
  <c r="E5841" i="12"/>
  <c r="T5853" i="11"/>
  <c r="E5873" i="12"/>
  <c r="T5885" i="11"/>
  <c r="E5905" i="12"/>
  <c r="T5917" i="11"/>
  <c r="E5937" i="12"/>
  <c r="T5949" i="11"/>
  <c r="E5969" i="12"/>
  <c r="T5981" i="11"/>
  <c r="E6001" i="12"/>
  <c r="T6013" i="11"/>
  <c r="E6033" i="12"/>
  <c r="T6045" i="11"/>
  <c r="E6065" i="12"/>
  <c r="T6077" i="11"/>
  <c r="E6097" i="12"/>
  <c r="T6109" i="11"/>
  <c r="E6129" i="12"/>
  <c r="T6141" i="11"/>
  <c r="E6161" i="12"/>
  <c r="T6173" i="11"/>
  <c r="E6193" i="12"/>
  <c r="T6205" i="11"/>
  <c r="E6225" i="12"/>
  <c r="T6237" i="11"/>
  <c r="E6257" i="12"/>
  <c r="T6269" i="11"/>
  <c r="E6289" i="12"/>
  <c r="T6301" i="11"/>
  <c r="E6321" i="12"/>
  <c r="T6333" i="11"/>
  <c r="E6353" i="12"/>
  <c r="T6365" i="11"/>
  <c r="E6385" i="12"/>
  <c r="T6397" i="11"/>
  <c r="E6417" i="12"/>
  <c r="T6429" i="11"/>
  <c r="E6449" i="12"/>
  <c r="T6461" i="11"/>
  <c r="E6481" i="12"/>
  <c r="T6493" i="11"/>
  <c r="E6513" i="12"/>
  <c r="T6525" i="11"/>
  <c r="E6560" i="12"/>
  <c r="T6572" i="11"/>
  <c r="E6624" i="12"/>
  <c r="T6636" i="11"/>
  <c r="E6688" i="12"/>
  <c r="T6700" i="11"/>
  <c r="E6752" i="12"/>
  <c r="T6764" i="11"/>
  <c r="E6816" i="12"/>
  <c r="T6828" i="11"/>
  <c r="E6880" i="12"/>
  <c r="T6892" i="11"/>
  <c r="E6944" i="12"/>
  <c r="T6956" i="11"/>
  <c r="E7008" i="12"/>
  <c r="T7020" i="11"/>
  <c r="E7072" i="12"/>
  <c r="T7084" i="11"/>
  <c r="E7136" i="12"/>
  <c r="T7148" i="11"/>
  <c r="E7200" i="12"/>
  <c r="T7212" i="11"/>
  <c r="E7264" i="12"/>
  <c r="T7276" i="11"/>
  <c r="E7328" i="12"/>
  <c r="T7340" i="11"/>
  <c r="E7392" i="12"/>
  <c r="T7404" i="11"/>
  <c r="E7456" i="12"/>
  <c r="T7468" i="11"/>
  <c r="E7520" i="12"/>
  <c r="T7532" i="11"/>
  <c r="E4997" i="12"/>
  <c r="T5008" i="11"/>
  <c r="E5085" i="12"/>
  <c r="T5096" i="11"/>
  <c r="E5117" i="12"/>
  <c r="T5128" i="11"/>
  <c r="E5149" i="12"/>
  <c r="T5160" i="11"/>
  <c r="E5181" i="12"/>
  <c r="T5192" i="11"/>
  <c r="E5213" i="12"/>
  <c r="T5224" i="11"/>
  <c r="E5245" i="12"/>
  <c r="T5256" i="11"/>
  <c r="E5277" i="12"/>
  <c r="T5288" i="11"/>
  <c r="E5309" i="12"/>
  <c r="T5320" i="11"/>
  <c r="E5341" i="12"/>
  <c r="T5352" i="11"/>
  <c r="E5373" i="12"/>
  <c r="T5384" i="11"/>
  <c r="E5405" i="12"/>
  <c r="T5416" i="11"/>
  <c r="E5437" i="12"/>
  <c r="T5448" i="11"/>
  <c r="E5469" i="12"/>
  <c r="T5480" i="11"/>
  <c r="E5501" i="12"/>
  <c r="T5512" i="11"/>
  <c r="E5533" i="12"/>
  <c r="T5544" i="11"/>
  <c r="E5565" i="12"/>
  <c r="T5576" i="11"/>
  <c r="E5597" i="12"/>
  <c r="T5608" i="11"/>
  <c r="E5628" i="12"/>
  <c r="T5640" i="11"/>
  <c r="E5660" i="12"/>
  <c r="T5672" i="11"/>
  <c r="E5692" i="12"/>
  <c r="T5704" i="11"/>
  <c r="E5724" i="12"/>
  <c r="T5736" i="11"/>
  <c r="E5756" i="12"/>
  <c r="T5768" i="11"/>
  <c r="E5788" i="12"/>
  <c r="T5800" i="11"/>
  <c r="E5820" i="12"/>
  <c r="T5832" i="11"/>
  <c r="E5852" i="12"/>
  <c r="T5864" i="11"/>
  <c r="E5884" i="12"/>
  <c r="T5896" i="11"/>
  <c r="E5916" i="12"/>
  <c r="T5928" i="11"/>
  <c r="E5948" i="12"/>
  <c r="T5960" i="11"/>
  <c r="E5980" i="12"/>
  <c r="T5992" i="11"/>
  <c r="E6012" i="12"/>
  <c r="T6024" i="11"/>
  <c r="E6044" i="12"/>
  <c r="T6056" i="11"/>
  <c r="E6076" i="12"/>
  <c r="T6088" i="11"/>
  <c r="E6108" i="12"/>
  <c r="T6120" i="11"/>
  <c r="E6140" i="12"/>
  <c r="T6152" i="11"/>
  <c r="E6172" i="12"/>
  <c r="T6184" i="11"/>
  <c r="E6204" i="12"/>
  <c r="T6216" i="11"/>
  <c r="E6236" i="12"/>
  <c r="T6248" i="11"/>
  <c r="E6268" i="12"/>
  <c r="T6280" i="11"/>
  <c r="E6300" i="12"/>
  <c r="T6312" i="11"/>
  <c r="E6332" i="12"/>
  <c r="T6344" i="11"/>
  <c r="E6364" i="12"/>
  <c r="T6376" i="11"/>
  <c r="E6396" i="12"/>
  <c r="T6408" i="11"/>
  <c r="E6428" i="12"/>
  <c r="T6440" i="11"/>
  <c r="E6460" i="12"/>
  <c r="T6472" i="11"/>
  <c r="E6492" i="12"/>
  <c r="T6504" i="11"/>
  <c r="E6524" i="12"/>
  <c r="T6536" i="11"/>
  <c r="E6582" i="12"/>
  <c r="T6594" i="11"/>
  <c r="E6646" i="12"/>
  <c r="T6658" i="11"/>
  <c r="E6710" i="12"/>
  <c r="T6722" i="11"/>
  <c r="E6774" i="12"/>
  <c r="T6786" i="11"/>
  <c r="E6838" i="12"/>
  <c r="T6850" i="11"/>
  <c r="E6902" i="12"/>
  <c r="T6914" i="11"/>
  <c r="E6966" i="12"/>
  <c r="T6978" i="11"/>
  <c r="E7030" i="12"/>
  <c r="T7042" i="11"/>
  <c r="E7094" i="12"/>
  <c r="T7106" i="11"/>
  <c r="E7158" i="12"/>
  <c r="T7170" i="11"/>
  <c r="E7222" i="12"/>
  <c r="T7234" i="11"/>
  <c r="E7286" i="12"/>
  <c r="T7298" i="11"/>
  <c r="E7350" i="12"/>
  <c r="T7362" i="11"/>
  <c r="E7414" i="12"/>
  <c r="T7426" i="11"/>
  <c r="E7478" i="12"/>
  <c r="T7490" i="11"/>
  <c r="E7542" i="12"/>
  <c r="T7554" i="11"/>
  <c r="E7732" i="12"/>
  <c r="T7744" i="11"/>
  <c r="E7764" i="12"/>
  <c r="T7776" i="11"/>
  <c r="E7796" i="12"/>
  <c r="T7808" i="11"/>
  <c r="E7828" i="12"/>
  <c r="T7840" i="11"/>
  <c r="E7860" i="12"/>
  <c r="T7872" i="11"/>
  <c r="E7892" i="12"/>
  <c r="T7904" i="11"/>
  <c r="E7924" i="12"/>
  <c r="T7936" i="11"/>
  <c r="E7956" i="12"/>
  <c r="T7968" i="11"/>
  <c r="E7988" i="12"/>
  <c r="T8000" i="11"/>
  <c r="E8020" i="12"/>
  <c r="T8032" i="11"/>
  <c r="E8052" i="12"/>
  <c r="T8064" i="11"/>
  <c r="E8084" i="12"/>
  <c r="T8096" i="11"/>
  <c r="E8116" i="12"/>
  <c r="T8128" i="11"/>
  <c r="E8148" i="12"/>
  <c r="T8160" i="11"/>
  <c r="E8180" i="12"/>
  <c r="T8192" i="11"/>
  <c r="E8212" i="12"/>
  <c r="T8224" i="11"/>
  <c r="E8244" i="12"/>
  <c r="T8256" i="11"/>
  <c r="E8276" i="12"/>
  <c r="T8288" i="11"/>
  <c r="E8308" i="12"/>
  <c r="T8320" i="11"/>
  <c r="E8340" i="12"/>
  <c r="T8352" i="11"/>
  <c r="E8372" i="12"/>
  <c r="T8384" i="11"/>
  <c r="E6547" i="12"/>
  <c r="T6559" i="11"/>
  <c r="E6675" i="12"/>
  <c r="T6687" i="11"/>
  <c r="E6803" i="12"/>
  <c r="T6815" i="11"/>
  <c r="E6931" i="12"/>
  <c r="T6943" i="11"/>
  <c r="E7059" i="12"/>
  <c r="T7071" i="11"/>
  <c r="E7187" i="12"/>
  <c r="T7199" i="11"/>
  <c r="E7315" i="12"/>
  <c r="T7327" i="11"/>
  <c r="E7443" i="12"/>
  <c r="T7455" i="11"/>
  <c r="E6535" i="12"/>
  <c r="T6547" i="11"/>
  <c r="E6663" i="12"/>
  <c r="T6675" i="11"/>
  <c r="E6791" i="12"/>
  <c r="T6803" i="11"/>
  <c r="E6919" i="12"/>
  <c r="T6931" i="11"/>
  <c r="E7047" i="12"/>
  <c r="T7059" i="11"/>
  <c r="E7175" i="12"/>
  <c r="T7187" i="11"/>
  <c r="E7303" i="12"/>
  <c r="T7315" i="11"/>
  <c r="E7431" i="12"/>
  <c r="T7443" i="11"/>
  <c r="E7559" i="12"/>
  <c r="T7571" i="11"/>
  <c r="E7771" i="12"/>
  <c r="T7783" i="11"/>
  <c r="E7835" i="12"/>
  <c r="T7847" i="11"/>
  <c r="E7899" i="12"/>
  <c r="T7911" i="11"/>
  <c r="E7963" i="12"/>
  <c r="T7975" i="11"/>
  <c r="E8027" i="12"/>
  <c r="T8039" i="11"/>
  <c r="E8091" i="12"/>
  <c r="T8103" i="11"/>
  <c r="E8155" i="12"/>
  <c r="T8167" i="11"/>
  <c r="E8219" i="12"/>
  <c r="T8231" i="11"/>
  <c r="E8283" i="12"/>
  <c r="T8295" i="11"/>
  <c r="E8347" i="12"/>
  <c r="T8359" i="11"/>
  <c r="E7729" i="12"/>
  <c r="T7741" i="11"/>
  <c r="E7793" i="12"/>
  <c r="T7805" i="11"/>
  <c r="E7989" i="12"/>
  <c r="T8001" i="11"/>
  <c r="E8121" i="12"/>
  <c r="T8133" i="11"/>
  <c r="E8249" i="12"/>
  <c r="T8261" i="11"/>
  <c r="E8373" i="12"/>
  <c r="T8385" i="11"/>
  <c r="E7869" i="12"/>
  <c r="T7881" i="11"/>
  <c r="E7941" i="12"/>
  <c r="T7953" i="11"/>
  <c r="E8069" i="12"/>
  <c r="T8081" i="11"/>
  <c r="E8201" i="12"/>
  <c r="T8213" i="11"/>
  <c r="E8325" i="12"/>
  <c r="T8337" i="11"/>
  <c r="E7711" i="12"/>
  <c r="T7723" i="11"/>
  <c r="E7707" i="12"/>
  <c r="T7719" i="11"/>
  <c r="E7703" i="12"/>
  <c r="T7715" i="11"/>
  <c r="E7699" i="12"/>
  <c r="T7711" i="11"/>
  <c r="E7695" i="12"/>
  <c r="T7707" i="11"/>
  <c r="E7691" i="12"/>
  <c r="T7703" i="11"/>
  <c r="E7687" i="12"/>
  <c r="T7699" i="11"/>
  <c r="E7683" i="12"/>
  <c r="T7695" i="11"/>
  <c r="E7679" i="12"/>
  <c r="T7691" i="11"/>
  <c r="E7675" i="12"/>
  <c r="T7687" i="11"/>
  <c r="E7671" i="12"/>
  <c r="T7683" i="11"/>
  <c r="E7667" i="12"/>
  <c r="T7679" i="11"/>
  <c r="E7663" i="12"/>
  <c r="T7675" i="11"/>
  <c r="E7659" i="12"/>
  <c r="T7671" i="11"/>
  <c r="E7655" i="12"/>
  <c r="T7667" i="11"/>
  <c r="E7651" i="12"/>
  <c r="T7663" i="11"/>
  <c r="E7647" i="12"/>
  <c r="T7659" i="11"/>
  <c r="E7643" i="12"/>
  <c r="T7655" i="11"/>
  <c r="E7639" i="12"/>
  <c r="T7651" i="11"/>
  <c r="E7635" i="12"/>
  <c r="T7647" i="11"/>
  <c r="E7631" i="12"/>
  <c r="T7643" i="11"/>
  <c r="E7627" i="12"/>
  <c r="T7639" i="11"/>
  <c r="E7623" i="12"/>
  <c r="T7635" i="11"/>
  <c r="E7619" i="12"/>
  <c r="T7631" i="11"/>
  <c r="E7615" i="12"/>
  <c r="T7627" i="11"/>
  <c r="E7611" i="12"/>
  <c r="T7623" i="11"/>
  <c r="E7607" i="12"/>
  <c r="T7619" i="11"/>
  <c r="E7603" i="12"/>
  <c r="T7615" i="11"/>
  <c r="E7599" i="12"/>
  <c r="T7611" i="11"/>
  <c r="E7595" i="12"/>
  <c r="T7607" i="11"/>
  <c r="E7591" i="12"/>
  <c r="T7603" i="11"/>
  <c r="E7587" i="12"/>
  <c r="T7599" i="11"/>
  <c r="E7583" i="12"/>
  <c r="T7595" i="11"/>
  <c r="E7579" i="12"/>
  <c r="T7591" i="11"/>
  <c r="E7575" i="12"/>
  <c r="T7587" i="11"/>
  <c r="E7571" i="12"/>
  <c r="T7583" i="11"/>
  <c r="E4719" i="12"/>
  <c r="T4729" i="11"/>
  <c r="E4715" i="12"/>
  <c r="T4725" i="11"/>
  <c r="E4711" i="12"/>
  <c r="T4721" i="11"/>
  <c r="E4707" i="12"/>
  <c r="T4717" i="11"/>
  <c r="E1155" i="12"/>
  <c r="T1162" i="11"/>
  <c r="E1006" i="12"/>
  <c r="T1013" i="11"/>
  <c r="E65" i="12"/>
  <c r="T69" i="11"/>
  <c r="E715" i="12"/>
  <c r="T721" i="11"/>
  <c r="E843" i="12"/>
  <c r="T849" i="11"/>
  <c r="E496" i="12"/>
  <c r="T501" i="11"/>
  <c r="E1223" i="12"/>
  <c r="T1230" i="11"/>
  <c r="E1027" i="12"/>
  <c r="T1034" i="11"/>
  <c r="E651" i="12"/>
  <c r="T657" i="11"/>
  <c r="E230" i="12"/>
  <c r="T234" i="11"/>
  <c r="E1038" i="12"/>
  <c r="T1045" i="11"/>
  <c r="E1178" i="12"/>
  <c r="T1185" i="11"/>
  <c r="E951" i="12"/>
  <c r="T958" i="11"/>
  <c r="E696" i="12"/>
  <c r="T702" i="11"/>
  <c r="E380" i="12"/>
  <c r="T385" i="11"/>
  <c r="E1235" i="12"/>
  <c r="T1242" i="11"/>
  <c r="E1139" i="12"/>
  <c r="T1146" i="11"/>
  <c r="E1031" i="12"/>
  <c r="T1038" i="11"/>
  <c r="E942" i="12"/>
  <c r="T949" i="11"/>
  <c r="E815" i="12"/>
  <c r="T821" i="11"/>
  <c r="E687" i="12"/>
  <c r="T693" i="11"/>
  <c r="E560" i="12"/>
  <c r="T565" i="11"/>
  <c r="E361" i="12"/>
  <c r="T366" i="11"/>
  <c r="E102" i="12"/>
  <c r="T106" i="11"/>
  <c r="E225" i="12"/>
  <c r="T229" i="11"/>
  <c r="E29" i="12"/>
  <c r="T33" i="11"/>
  <c r="E512" i="12"/>
  <c r="T517" i="11"/>
  <c r="E448" i="12"/>
  <c r="T453" i="11"/>
  <c r="E384" i="12"/>
  <c r="T389" i="11"/>
  <c r="E313" i="12"/>
  <c r="T318" i="11"/>
  <c r="E221" i="12"/>
  <c r="T225" i="11"/>
  <c r="E161" i="12"/>
  <c r="T165" i="11"/>
  <c r="E77" i="12"/>
  <c r="T81" i="11"/>
  <c r="E922" i="12"/>
  <c r="T929" i="11"/>
  <c r="E859" i="12"/>
  <c r="T865" i="11"/>
  <c r="E795" i="12"/>
  <c r="T801" i="11"/>
  <c r="E731" i="12"/>
  <c r="T737" i="11"/>
  <c r="E667" i="12"/>
  <c r="T673" i="11"/>
  <c r="E603" i="12"/>
  <c r="T609" i="11"/>
  <c r="E540" i="12"/>
  <c r="T545" i="11"/>
  <c r="E476" i="12"/>
  <c r="T481" i="11"/>
  <c r="E412" i="12"/>
  <c r="T417" i="11"/>
  <c r="E348" i="12"/>
  <c r="T353" i="11"/>
  <c r="E294" i="12"/>
  <c r="T298" i="11"/>
  <c r="E198" i="12"/>
  <c r="T202" i="11"/>
  <c r="E90" i="12"/>
  <c r="T94" i="11"/>
  <c r="E26" i="12"/>
  <c r="T30" i="11"/>
  <c r="L27" i="12" l="1"/>
  <c r="L32" i="12"/>
  <c r="L26" i="12"/>
  <c r="L35" i="12"/>
  <c r="L34" i="12" s="1"/>
  <c r="L28" i="12"/>
  <c r="L30" i="12"/>
  <c r="L31" i="12"/>
  <c r="L29" i="12"/>
  <c r="Q3" i="11"/>
  <c r="Q9" i="11" s="1"/>
  <c r="T9" i="11" s="1"/>
  <c r="T6" i="11"/>
  <c r="T7" i="11"/>
  <c r="L33" i="12" l="1"/>
  <c r="G11" i="12"/>
  <c r="G15" i="12"/>
  <c r="G19" i="12"/>
  <c r="G23" i="12"/>
  <c r="G27" i="12"/>
  <c r="G31" i="12"/>
  <c r="G35" i="12"/>
  <c r="G39" i="12"/>
  <c r="G43" i="12"/>
  <c r="G47" i="12"/>
  <c r="G51" i="12"/>
  <c r="G55" i="12"/>
  <c r="G59" i="12"/>
  <c r="G63" i="12"/>
  <c r="G67" i="12"/>
  <c r="G71" i="12"/>
  <c r="G75" i="12"/>
  <c r="G79" i="12"/>
  <c r="G83" i="12"/>
  <c r="G87" i="12"/>
  <c r="G91" i="12"/>
  <c r="G95" i="12"/>
  <c r="G99" i="12"/>
  <c r="G103" i="12"/>
  <c r="G107" i="12"/>
  <c r="G111" i="12"/>
  <c r="G115" i="12"/>
  <c r="G119" i="12"/>
  <c r="G123" i="12"/>
  <c r="G127" i="12"/>
  <c r="G131" i="12"/>
  <c r="G135" i="12"/>
  <c r="G139" i="12"/>
  <c r="G143" i="12"/>
  <c r="G147" i="12"/>
  <c r="G151" i="12"/>
  <c r="G155" i="12"/>
  <c r="G159" i="12"/>
  <c r="G163" i="12"/>
  <c r="G167" i="12"/>
  <c r="G171" i="12"/>
  <c r="G175" i="12"/>
  <c r="G179" i="12"/>
  <c r="G183" i="12"/>
  <c r="G187" i="12"/>
  <c r="G191" i="12"/>
  <c r="G195" i="12"/>
  <c r="G199" i="12"/>
  <c r="G203" i="12"/>
  <c r="G207" i="12"/>
  <c r="G211" i="12"/>
  <c r="G215" i="12"/>
  <c r="G219" i="12"/>
  <c r="G223" i="12"/>
  <c r="G227" i="12"/>
  <c r="G231" i="12"/>
  <c r="G235" i="12"/>
  <c r="G239" i="12"/>
  <c r="G243" i="12"/>
  <c r="G247" i="12"/>
  <c r="G251" i="12"/>
  <c r="G255" i="12"/>
  <c r="G259" i="12"/>
  <c r="G263" i="12"/>
  <c r="G267" i="12"/>
  <c r="G271" i="12"/>
  <c r="G275" i="12"/>
  <c r="G279" i="12"/>
  <c r="G283" i="12"/>
  <c r="G287" i="12"/>
  <c r="G291" i="12"/>
  <c r="G295" i="12"/>
  <c r="G299" i="12"/>
  <c r="G303" i="12"/>
  <c r="G310" i="12"/>
  <c r="G314" i="12"/>
  <c r="G318" i="12"/>
  <c r="G322" i="12"/>
  <c r="G326" i="12"/>
  <c r="G330" i="12"/>
  <c r="G334" i="12"/>
  <c r="G338" i="12"/>
  <c r="G342" i="12"/>
  <c r="G346" i="12"/>
  <c r="G12" i="12"/>
  <c r="G17" i="12"/>
  <c r="G22" i="12"/>
  <c r="G28" i="12"/>
  <c r="G33" i="12"/>
  <c r="G38" i="12"/>
  <c r="G44" i="12"/>
  <c r="G49" i="12"/>
  <c r="G54" i="12"/>
  <c r="G60" i="12"/>
  <c r="G65" i="12"/>
  <c r="G70" i="12"/>
  <c r="G76" i="12"/>
  <c r="G81" i="12"/>
  <c r="G86" i="12"/>
  <c r="G92" i="12"/>
  <c r="G97" i="12"/>
  <c r="G102" i="12"/>
  <c r="G108" i="12"/>
  <c r="G113" i="12"/>
  <c r="G118" i="12"/>
  <c r="G124" i="12"/>
  <c r="G129" i="12"/>
  <c r="G134" i="12"/>
  <c r="G140" i="12"/>
  <c r="G145" i="12"/>
  <c r="G150" i="12"/>
  <c r="G156" i="12"/>
  <c r="G161" i="12"/>
  <c r="G166" i="12"/>
  <c r="G172" i="12"/>
  <c r="G177" i="12"/>
  <c r="G182" i="12"/>
  <c r="G188" i="12"/>
  <c r="G193" i="12"/>
  <c r="G198" i="12"/>
  <c r="G204" i="12"/>
  <c r="G209" i="12"/>
  <c r="G214" i="12"/>
  <c r="G220" i="12"/>
  <c r="G225" i="12"/>
  <c r="G230" i="12"/>
  <c r="G236" i="12"/>
  <c r="G241" i="12"/>
  <c r="G246" i="12"/>
  <c r="G252" i="12"/>
  <c r="G257" i="12"/>
  <c r="G262" i="12"/>
  <c r="G268" i="12"/>
  <c r="G273" i="12"/>
  <c r="G278" i="12"/>
  <c r="G284" i="12"/>
  <c r="G289" i="12"/>
  <c r="G294" i="12"/>
  <c r="G300" i="12"/>
  <c r="G305" i="12"/>
  <c r="G309" i="12"/>
  <c r="G315" i="12"/>
  <c r="G320" i="12"/>
  <c r="G325" i="12"/>
  <c r="G331" i="12"/>
  <c r="G336" i="12"/>
  <c r="G341" i="12"/>
  <c r="G347" i="12"/>
  <c r="G351" i="12"/>
  <c r="G355" i="12"/>
  <c r="G359" i="12"/>
  <c r="G363" i="12"/>
  <c r="G367" i="12"/>
  <c r="G371" i="12"/>
  <c r="G375" i="12"/>
  <c r="G379" i="12"/>
  <c r="G383" i="12"/>
  <c r="G387" i="12"/>
  <c r="G391" i="12"/>
  <c r="G395" i="12"/>
  <c r="G399" i="12"/>
  <c r="G403" i="12"/>
  <c r="G407" i="12"/>
  <c r="G411" i="12"/>
  <c r="G415" i="12"/>
  <c r="G419" i="12"/>
  <c r="G423" i="12"/>
  <c r="G427" i="12"/>
  <c r="G431" i="12"/>
  <c r="G435" i="12"/>
  <c r="G439" i="12"/>
  <c r="G443" i="12"/>
  <c r="G447" i="12"/>
  <c r="G451" i="12"/>
  <c r="G455" i="12"/>
  <c r="G459" i="12"/>
  <c r="G463" i="12"/>
  <c r="G467" i="12"/>
  <c r="G471" i="12"/>
  <c r="G475" i="12"/>
  <c r="G479" i="12"/>
  <c r="G483" i="12"/>
  <c r="G487" i="12"/>
  <c r="G491" i="12"/>
  <c r="G495" i="12"/>
  <c r="G499" i="12"/>
  <c r="G503" i="12"/>
  <c r="G507" i="12"/>
  <c r="G511" i="12"/>
  <c r="G515" i="12"/>
  <c r="G519" i="12"/>
  <c r="G523" i="12"/>
  <c r="G527" i="12"/>
  <c r="G531" i="12"/>
  <c r="G535" i="12"/>
  <c r="G539" i="12"/>
  <c r="G543" i="12"/>
  <c r="G547" i="12"/>
  <c r="G551" i="12"/>
  <c r="G555" i="12"/>
  <c r="G559" i="12"/>
  <c r="G563" i="12"/>
  <c r="G567" i="12"/>
  <c r="G571" i="12"/>
  <c r="G575" i="12"/>
  <c r="G579" i="12"/>
  <c r="G583" i="12"/>
  <c r="G587" i="12"/>
  <c r="G591" i="12"/>
  <c r="G598" i="12"/>
  <c r="G602" i="12"/>
  <c r="G606" i="12"/>
  <c r="G610" i="12"/>
  <c r="G614" i="12"/>
  <c r="G618" i="12"/>
  <c r="G622" i="12"/>
  <c r="G626" i="12"/>
  <c r="G630" i="12"/>
  <c r="G634" i="12"/>
  <c r="G638" i="12"/>
  <c r="G642" i="12"/>
  <c r="G646" i="12"/>
  <c r="G650" i="12"/>
  <c r="G654" i="12"/>
  <c r="G658" i="12"/>
  <c r="G662" i="12"/>
  <c r="G666" i="12"/>
  <c r="G670" i="12"/>
  <c r="G674" i="12"/>
  <c r="G678" i="12"/>
  <c r="G682" i="12"/>
  <c r="G686" i="12"/>
  <c r="G690" i="12"/>
  <c r="G694" i="12"/>
  <c r="G698" i="12"/>
  <c r="G702" i="12"/>
  <c r="G706" i="12"/>
  <c r="G710" i="12"/>
  <c r="G714" i="12"/>
  <c r="G718" i="12"/>
  <c r="G722" i="12"/>
  <c r="G726" i="12"/>
  <c r="G730" i="12"/>
  <c r="G734" i="12"/>
  <c r="G738" i="12"/>
  <c r="G742" i="12"/>
  <c r="G746" i="12"/>
  <c r="G750" i="12"/>
  <c r="G754" i="12"/>
  <c r="G758" i="12"/>
  <c r="G762" i="12"/>
  <c r="G766" i="12"/>
  <c r="G770" i="12"/>
  <c r="G13" i="12"/>
  <c r="G20" i="12"/>
  <c r="G26" i="12"/>
  <c r="G34" i="12"/>
  <c r="G41" i="12"/>
  <c r="G48" i="12"/>
  <c r="G56" i="12"/>
  <c r="G62" i="12"/>
  <c r="G69" i="12"/>
  <c r="G77" i="12"/>
  <c r="G84" i="12"/>
  <c r="G90" i="12"/>
  <c r="G98" i="12"/>
  <c r="G105" i="12"/>
  <c r="G112" i="12"/>
  <c r="G120" i="12"/>
  <c r="G126" i="12"/>
  <c r="G133" i="12"/>
  <c r="G141" i="12"/>
  <c r="G148" i="12"/>
  <c r="G154" i="12"/>
  <c r="G162" i="12"/>
  <c r="G169" i="12"/>
  <c r="G176" i="12"/>
  <c r="G184" i="12"/>
  <c r="G190" i="12"/>
  <c r="G197" i="12"/>
  <c r="G205" i="12"/>
  <c r="G212" i="12"/>
  <c r="G218" i="12"/>
  <c r="G226" i="12"/>
  <c r="G233" i="12"/>
  <c r="G240" i="12"/>
  <c r="G248" i="12"/>
  <c r="G254" i="12"/>
  <c r="G261" i="12"/>
  <c r="G269" i="12"/>
  <c r="G276" i="12"/>
  <c r="G282" i="12"/>
  <c r="G290" i="12"/>
  <c r="G297" i="12"/>
  <c r="G304" i="12"/>
  <c r="G311" i="12"/>
  <c r="G317" i="12"/>
  <c r="G324" i="12"/>
  <c r="G332" i="12"/>
  <c r="G339" i="12"/>
  <c r="G345" i="12"/>
  <c r="G352" i="12"/>
  <c r="G357" i="12"/>
  <c r="G362" i="12"/>
  <c r="G368" i="12"/>
  <c r="G373" i="12"/>
  <c r="G378" i="12"/>
  <c r="G384" i="12"/>
  <c r="G389" i="12"/>
  <c r="G394" i="12"/>
  <c r="G400" i="12"/>
  <c r="G405" i="12"/>
  <c r="G410" i="12"/>
  <c r="G416" i="12"/>
  <c r="G421" i="12"/>
  <c r="G426" i="12"/>
  <c r="G432" i="12"/>
  <c r="G437" i="12"/>
  <c r="G442" i="12"/>
  <c r="G448" i="12"/>
  <c r="G453" i="12"/>
  <c r="G458" i="12"/>
  <c r="G464" i="12"/>
  <c r="G469" i="12"/>
  <c r="G474" i="12"/>
  <c r="G480" i="12"/>
  <c r="G485" i="12"/>
  <c r="G490" i="12"/>
  <c r="G496" i="12"/>
  <c r="G501" i="12"/>
  <c r="G506" i="12"/>
  <c r="G512" i="12"/>
  <c r="G517" i="12"/>
  <c r="G522" i="12"/>
  <c r="G528" i="12"/>
  <c r="G533" i="12"/>
  <c r="G538" i="12"/>
  <c r="G544" i="12"/>
  <c r="G549" i="12"/>
  <c r="G554" i="12"/>
  <c r="G560" i="12"/>
  <c r="G565" i="12"/>
  <c r="G570" i="12"/>
  <c r="G576" i="12"/>
  <c r="G581" i="12"/>
  <c r="G586" i="12"/>
  <c r="G592" i="12"/>
  <c r="G596" i="12"/>
  <c r="G601" i="12"/>
  <c r="G607" i="12"/>
  <c r="G612" i="12"/>
  <c r="G617" i="12"/>
  <c r="G623" i="12"/>
  <c r="G628" i="12"/>
  <c r="G633" i="12"/>
  <c r="G639" i="12"/>
  <c r="G644" i="12"/>
  <c r="G649" i="12"/>
  <c r="G655" i="12"/>
  <c r="G660" i="12"/>
  <c r="G665" i="12"/>
  <c r="G671" i="12"/>
  <c r="G676" i="12"/>
  <c r="G681" i="12"/>
  <c r="G687" i="12"/>
  <c r="G692" i="12"/>
  <c r="G697" i="12"/>
  <c r="G703" i="12"/>
  <c r="G708" i="12"/>
  <c r="G713" i="12"/>
  <c r="G719" i="12"/>
  <c r="G724" i="12"/>
  <c r="G729" i="12"/>
  <c r="G735" i="12"/>
  <c r="G740" i="12"/>
  <c r="G745" i="12"/>
  <c r="G751" i="12"/>
  <c r="G756" i="12"/>
  <c r="G761" i="12"/>
  <c r="G767" i="12"/>
  <c r="G772" i="12"/>
  <c r="G776" i="12"/>
  <c r="G780" i="12"/>
  <c r="G784" i="12"/>
  <c r="G788" i="12"/>
  <c r="G792" i="12"/>
  <c r="G796" i="12"/>
  <c r="G800" i="12"/>
  <c r="G804" i="12"/>
  <c r="G808" i="12"/>
  <c r="G812" i="12"/>
  <c r="G816" i="12"/>
  <c r="G820" i="12"/>
  <c r="G824" i="12"/>
  <c r="G828" i="12"/>
  <c r="G832" i="12"/>
  <c r="G836" i="12"/>
  <c r="G840" i="12"/>
  <c r="G844" i="12"/>
  <c r="G848" i="12"/>
  <c r="G852" i="12"/>
  <c r="G856" i="12"/>
  <c r="G860" i="12"/>
  <c r="G864" i="12"/>
  <c r="G868" i="12"/>
  <c r="G872" i="12"/>
  <c r="G876" i="12"/>
  <c r="G880" i="12"/>
  <c r="G884" i="12"/>
  <c r="G891" i="12"/>
  <c r="G895" i="12"/>
  <c r="G899" i="12"/>
  <c r="G903" i="12"/>
  <c r="G907" i="12"/>
  <c r="G911" i="12"/>
  <c r="G915" i="12"/>
  <c r="G919" i="12"/>
  <c r="G923" i="12"/>
  <c r="G927" i="12"/>
  <c r="G931" i="12"/>
  <c r="G935" i="12"/>
  <c r="G939" i="12"/>
  <c r="G943" i="12"/>
  <c r="G947" i="12"/>
  <c r="G951" i="12"/>
  <c r="G955" i="12"/>
  <c r="G959" i="12"/>
  <c r="G963" i="12"/>
  <c r="G967" i="12"/>
  <c r="G971" i="12"/>
  <c r="G975" i="12"/>
  <c r="G979" i="12"/>
  <c r="G983" i="12"/>
  <c r="G987" i="12"/>
  <c r="G991" i="12"/>
  <c r="G995" i="12"/>
  <c r="G999" i="12"/>
  <c r="G1003" i="12"/>
  <c r="G1007" i="12"/>
  <c r="G1011" i="12"/>
  <c r="G1015" i="12"/>
  <c r="G1019" i="12"/>
  <c r="G1023" i="12"/>
  <c r="G1027" i="12"/>
  <c r="G1031" i="12"/>
  <c r="G1035" i="12"/>
  <c r="G1039" i="12"/>
  <c r="G1043" i="12"/>
  <c r="G1047" i="12"/>
  <c r="G1051" i="12"/>
  <c r="G1055" i="12"/>
  <c r="G1059" i="12"/>
  <c r="G1063" i="12"/>
  <c r="G1067" i="12"/>
  <c r="G1071" i="12"/>
  <c r="G1075" i="12"/>
  <c r="G1079" i="12"/>
  <c r="G1083" i="12"/>
  <c r="G1087" i="12"/>
  <c r="G1091" i="12"/>
  <c r="G1095" i="12"/>
  <c r="G1099" i="12"/>
  <c r="G1103" i="12"/>
  <c r="G1107" i="12"/>
  <c r="G1111" i="12"/>
  <c r="G1115" i="12"/>
  <c r="G1119" i="12"/>
  <c r="G1123" i="12"/>
  <c r="G1127" i="12"/>
  <c r="G1131" i="12"/>
  <c r="G1135" i="12"/>
  <c r="G1139" i="12"/>
  <c r="G1143" i="12"/>
  <c r="G1147" i="12"/>
  <c r="G1151" i="12"/>
  <c r="G1155" i="12"/>
  <c r="G1159" i="12"/>
  <c r="G1163" i="12"/>
  <c r="G1167" i="12"/>
  <c r="G1171" i="12"/>
  <c r="G1175" i="12"/>
  <c r="G1179" i="12"/>
  <c r="G1183" i="12"/>
  <c r="G1187" i="12"/>
  <c r="G1191" i="12"/>
  <c r="G1195" i="12"/>
  <c r="G1199" i="12"/>
  <c r="G1203" i="12"/>
  <c r="G1207" i="12"/>
  <c r="G1211" i="12"/>
  <c r="G1215" i="12"/>
  <c r="G1219" i="12"/>
  <c r="G1223" i="12"/>
  <c r="G1227" i="12"/>
  <c r="G1231" i="12"/>
  <c r="G1235" i="12"/>
  <c r="G1239" i="12"/>
  <c r="G1243" i="12"/>
  <c r="G1247" i="12"/>
  <c r="G1251" i="12"/>
  <c r="G1255" i="12"/>
  <c r="G1259" i="12"/>
  <c r="G1263" i="12"/>
  <c r="G1267" i="12"/>
  <c r="G1271" i="12"/>
  <c r="G1275" i="12"/>
  <c r="G1279" i="12"/>
  <c r="G1283" i="12"/>
  <c r="G1287" i="12"/>
  <c r="G1291" i="12"/>
  <c r="G1295" i="12"/>
  <c r="G1299" i="12"/>
  <c r="G1303" i="12"/>
  <c r="G1307" i="12"/>
  <c r="G1311" i="12"/>
  <c r="G1315" i="12"/>
  <c r="G1319" i="12"/>
  <c r="G1323" i="12"/>
  <c r="G1327" i="12"/>
  <c r="G1331" i="12"/>
  <c r="G1335" i="12"/>
  <c r="G1339" i="12"/>
  <c r="G1343" i="12"/>
  <c r="G1347" i="12"/>
  <c r="G1351" i="12"/>
  <c r="G1355" i="12"/>
  <c r="G1359" i="12"/>
  <c r="G1363" i="12"/>
  <c r="G1367" i="12"/>
  <c r="G1371" i="12"/>
  <c r="G1375" i="12"/>
  <c r="G1379" i="12"/>
  <c r="G1383" i="12"/>
  <c r="G1387" i="12"/>
  <c r="G1391" i="12"/>
  <c r="G1395" i="12"/>
  <c r="G1399" i="12"/>
  <c r="G1403" i="12"/>
  <c r="G1407" i="12"/>
  <c r="G1411" i="12"/>
  <c r="G1415" i="12"/>
  <c r="G1419" i="12"/>
  <c r="G1423" i="12"/>
  <c r="G1427" i="12"/>
  <c r="G1431" i="12"/>
  <c r="G1435" i="12"/>
  <c r="G1439" i="12"/>
  <c r="G1443" i="12"/>
  <c r="G1447" i="12"/>
  <c r="G1451" i="12"/>
  <c r="G1455" i="12"/>
  <c r="G1459" i="12"/>
  <c r="G1463" i="12"/>
  <c r="G1467" i="12"/>
  <c r="G1471" i="12"/>
  <c r="G1475" i="12"/>
  <c r="G1479" i="12"/>
  <c r="G1483" i="12"/>
  <c r="G1487" i="12"/>
  <c r="G1491" i="12"/>
  <c r="G1495" i="12"/>
  <c r="G1499" i="12"/>
  <c r="G1503" i="12"/>
  <c r="G1507" i="12"/>
  <c r="G1511" i="12"/>
  <c r="G1515" i="12"/>
  <c r="G1519" i="12"/>
  <c r="G1523" i="12"/>
  <c r="G1527" i="12"/>
  <c r="G1531" i="12"/>
  <c r="G1535" i="12"/>
  <c r="G1539" i="12"/>
  <c r="G1543" i="12"/>
  <c r="G1547" i="12"/>
  <c r="G1551" i="12"/>
  <c r="G1555" i="12"/>
  <c r="G1559" i="12"/>
  <c r="G1563" i="12"/>
  <c r="G1567" i="12"/>
  <c r="G1571" i="12"/>
  <c r="G1575" i="12"/>
  <c r="G1579" i="12"/>
  <c r="G1583" i="12"/>
  <c r="G1587" i="12"/>
  <c r="G1591" i="12"/>
  <c r="G1595" i="12"/>
  <c r="G1599" i="12"/>
  <c r="G1603" i="12"/>
  <c r="G1607" i="12"/>
  <c r="G1611" i="12"/>
  <c r="G1615" i="12"/>
  <c r="G1619" i="12"/>
  <c r="G1623" i="12"/>
  <c r="G14" i="12"/>
  <c r="G24" i="12"/>
  <c r="G32" i="12"/>
  <c r="G42" i="12"/>
  <c r="G52" i="12"/>
  <c r="G61" i="12"/>
  <c r="G72" i="12"/>
  <c r="G80" i="12"/>
  <c r="G89" i="12"/>
  <c r="G100" i="12"/>
  <c r="G109" i="12"/>
  <c r="G117" i="12"/>
  <c r="G128" i="12"/>
  <c r="G137" i="12"/>
  <c r="G146" i="12"/>
  <c r="G157" i="12"/>
  <c r="G165" i="12"/>
  <c r="G174" i="12"/>
  <c r="G185" i="12"/>
  <c r="G194" i="12"/>
  <c r="G202" i="12"/>
  <c r="G213" i="12"/>
  <c r="G222" i="12"/>
  <c r="G232" i="12"/>
  <c r="G242" i="12"/>
  <c r="G250" i="12"/>
  <c r="G260" i="12"/>
  <c r="G270" i="12"/>
  <c r="G280" i="12"/>
  <c r="G288" i="12"/>
  <c r="G298" i="12"/>
  <c r="G307" i="12"/>
  <c r="G316" i="12"/>
  <c r="G327" i="12"/>
  <c r="G335" i="12"/>
  <c r="G344" i="12"/>
  <c r="G353" i="12"/>
  <c r="G360" i="12"/>
  <c r="G366" i="12"/>
  <c r="G374" i="12"/>
  <c r="G381" i="12"/>
  <c r="G388" i="12"/>
  <c r="G396" i="12"/>
  <c r="G402" i="12"/>
  <c r="G409" i="12"/>
  <c r="G417" i="12"/>
  <c r="G424" i="12"/>
  <c r="G430" i="12"/>
  <c r="G438" i="12"/>
  <c r="G445" i="12"/>
  <c r="G452" i="12"/>
  <c r="G460" i="12"/>
  <c r="G466" i="12"/>
  <c r="G473" i="12"/>
  <c r="G481" i="12"/>
  <c r="G488" i="12"/>
  <c r="G494" i="12"/>
  <c r="G502" i="12"/>
  <c r="G509" i="12"/>
  <c r="G516" i="12"/>
  <c r="G524" i="12"/>
  <c r="G530" i="12"/>
  <c r="G537" i="12"/>
  <c r="G545" i="12"/>
  <c r="G552" i="12"/>
  <c r="G558" i="12"/>
  <c r="G566" i="12"/>
  <c r="G573" i="12"/>
  <c r="G580" i="12"/>
  <c r="G588" i="12"/>
  <c r="G594" i="12"/>
  <c r="G600" i="12"/>
  <c r="G608" i="12"/>
  <c r="G615" i="12"/>
  <c r="G621" i="12"/>
  <c r="G629" i="12"/>
  <c r="G636" i="12"/>
  <c r="G643" i="12"/>
  <c r="G651" i="12"/>
  <c r="G657" i="12"/>
  <c r="G664" i="12"/>
  <c r="G672" i="12"/>
  <c r="G679" i="12"/>
  <c r="G685" i="12"/>
  <c r="G693" i="12"/>
  <c r="G700" i="12"/>
  <c r="G707" i="12"/>
  <c r="G715" i="12"/>
  <c r="G721" i="12"/>
  <c r="G728" i="12"/>
  <c r="G736" i="12"/>
  <c r="G743" i="12"/>
  <c r="G749" i="12"/>
  <c r="G757" i="12"/>
  <c r="G764" i="12"/>
  <c r="G771" i="12"/>
  <c r="G777" i="12"/>
  <c r="G782" i="12"/>
  <c r="G787" i="12"/>
  <c r="G793" i="12"/>
  <c r="G798" i="12"/>
  <c r="G803" i="12"/>
  <c r="G809" i="12"/>
  <c r="G814" i="12"/>
  <c r="G819" i="12"/>
  <c r="G825" i="12"/>
  <c r="G830" i="12"/>
  <c r="G835" i="12"/>
  <c r="G841" i="12"/>
  <c r="G846" i="12"/>
  <c r="G851" i="12"/>
  <c r="G857" i="12"/>
  <c r="G862" i="12"/>
  <c r="G867" i="12"/>
  <c r="G873" i="12"/>
  <c r="G878" i="12"/>
  <c r="G883" i="12"/>
  <c r="G888" i="12"/>
  <c r="G893" i="12"/>
  <c r="G898" i="12"/>
  <c r="G904" i="12"/>
  <c r="G909" i="12"/>
  <c r="G914" i="12"/>
  <c r="G920" i="12"/>
  <c r="G925" i="12"/>
  <c r="G930" i="12"/>
  <c r="G936" i="12"/>
  <c r="G941" i="12"/>
  <c r="G946" i="12"/>
  <c r="G952" i="12"/>
  <c r="G957" i="12"/>
  <c r="G962" i="12"/>
  <c r="G968" i="12"/>
  <c r="G973" i="12"/>
  <c r="G978" i="12"/>
  <c r="G984" i="12"/>
  <c r="G989" i="12"/>
  <c r="G994" i="12"/>
  <c r="G1000" i="12"/>
  <c r="G1005" i="12"/>
  <c r="G1010" i="12"/>
  <c r="G1016" i="12"/>
  <c r="G1021" i="12"/>
  <c r="G1026" i="12"/>
  <c r="G1032" i="12"/>
  <c r="G1037" i="12"/>
  <c r="G1042" i="12"/>
  <c r="G1048" i="12"/>
  <c r="G1053" i="12"/>
  <c r="G1058" i="12"/>
  <c r="G1064" i="12"/>
  <c r="G1069" i="12"/>
  <c r="G1074" i="12"/>
  <c r="G1080" i="12"/>
  <c r="G1085" i="12"/>
  <c r="G1090" i="12"/>
  <c r="G1096" i="12"/>
  <c r="G1101" i="12"/>
  <c r="G1106" i="12"/>
  <c r="G1112" i="12"/>
  <c r="G1117" i="12"/>
  <c r="G1122" i="12"/>
  <c r="G1128" i="12"/>
  <c r="G1133" i="12"/>
  <c r="G1138" i="12"/>
  <c r="G1144" i="12"/>
  <c r="G1149" i="12"/>
  <c r="G1154" i="12"/>
  <c r="G1160" i="12"/>
  <c r="G1165" i="12"/>
  <c r="G1170" i="12"/>
  <c r="G1176" i="12"/>
  <c r="G1181" i="12"/>
  <c r="G1186" i="12"/>
  <c r="G1192" i="12"/>
  <c r="G1197" i="12"/>
  <c r="G1202" i="12"/>
  <c r="G1208" i="12"/>
  <c r="G1213" i="12"/>
  <c r="G1218" i="12"/>
  <c r="G1224" i="12"/>
  <c r="G1229" i="12"/>
  <c r="G1234" i="12"/>
  <c r="G1240" i="12"/>
  <c r="G1245" i="12"/>
  <c r="G1250" i="12"/>
  <c r="G1256" i="12"/>
  <c r="G1261" i="12"/>
  <c r="G1266" i="12"/>
  <c r="G1272" i="12"/>
  <c r="G1277" i="12"/>
  <c r="G1282" i="12"/>
  <c r="G1288" i="12"/>
  <c r="G1293" i="12"/>
  <c r="G1298" i="12"/>
  <c r="G1304" i="12"/>
  <c r="G1309" i="12"/>
  <c r="G1314" i="12"/>
  <c r="G1320" i="12"/>
  <c r="G1325" i="12"/>
  <c r="G1330" i="12"/>
  <c r="G1336" i="12"/>
  <c r="G1341" i="12"/>
  <c r="G1346" i="12"/>
  <c r="G1352" i="12"/>
  <c r="G1357" i="12"/>
  <c r="G1362" i="12"/>
  <c r="G1368" i="12"/>
  <c r="G1373" i="12"/>
  <c r="G1378" i="12"/>
  <c r="G1384" i="12"/>
  <c r="G1389" i="12"/>
  <c r="G1394" i="12"/>
  <c r="G1400" i="12"/>
  <c r="G1405" i="12"/>
  <c r="G1410" i="12"/>
  <c r="G1416" i="12"/>
  <c r="G1421" i="12"/>
  <c r="G1426" i="12"/>
  <c r="G1432" i="12"/>
  <c r="G1437" i="12"/>
  <c r="G1442" i="12"/>
  <c r="G1448" i="12"/>
  <c r="G1453" i="12"/>
  <c r="G1458" i="12"/>
  <c r="G1464" i="12"/>
  <c r="G1469" i="12"/>
  <c r="G1474" i="12"/>
  <c r="G1480" i="12"/>
  <c r="G1485" i="12"/>
  <c r="G1490" i="12"/>
  <c r="G1496" i="12"/>
  <c r="G1501" i="12"/>
  <c r="G1506" i="12"/>
  <c r="G1512" i="12"/>
  <c r="G1517" i="12"/>
  <c r="G1522" i="12"/>
  <c r="G1528" i="12"/>
  <c r="G1533" i="12"/>
  <c r="G1538" i="12"/>
  <c r="G1544" i="12"/>
  <c r="G1549" i="12"/>
  <c r="G1554" i="12"/>
  <c r="G1560" i="12"/>
  <c r="G1565" i="12"/>
  <c r="G1570" i="12"/>
  <c r="G1576" i="12"/>
  <c r="G1581" i="12"/>
  <c r="G1586" i="12"/>
  <c r="G1592" i="12"/>
  <c r="G1597" i="12"/>
  <c r="G1602" i="12"/>
  <c r="G1608" i="12"/>
  <c r="G1613" i="12"/>
  <c r="G1618" i="12"/>
  <c r="G1624" i="12"/>
  <c r="G1628" i="12"/>
  <c r="G1632" i="12"/>
  <c r="G1636" i="12"/>
  <c r="G1640" i="12"/>
  <c r="G1644" i="12"/>
  <c r="G1648" i="12"/>
  <c r="G1652" i="12"/>
  <c r="G1656" i="12"/>
  <c r="G1660" i="12"/>
  <c r="G1664" i="12"/>
  <c r="G1668" i="12"/>
  <c r="G1672" i="12"/>
  <c r="G1676" i="12"/>
  <c r="G1680" i="12"/>
  <c r="G1684" i="12"/>
  <c r="G1688" i="12"/>
  <c r="G1692" i="12"/>
  <c r="G1696" i="12"/>
  <c r="G1700" i="12"/>
  <c r="G1704" i="12"/>
  <c r="G1708" i="12"/>
  <c r="G1712" i="12"/>
  <c r="G1716" i="12"/>
  <c r="G1720" i="12"/>
  <c r="G1724" i="12"/>
  <c r="G1728" i="12"/>
  <c r="G1732" i="12"/>
  <c r="G1736" i="12"/>
  <c r="G1740" i="12"/>
  <c r="G1744" i="12"/>
  <c r="G1748" i="12"/>
  <c r="G1752" i="12"/>
  <c r="G1756" i="12"/>
  <c r="G1760" i="12"/>
  <c r="G1764" i="12"/>
  <c r="G1768" i="12"/>
  <c r="G1772" i="12"/>
  <c r="G1776" i="12"/>
  <c r="G1780" i="12"/>
  <c r="G1784" i="12"/>
  <c r="G1788" i="12"/>
  <c r="G1792" i="12"/>
  <c r="G1796" i="12"/>
  <c r="G1800" i="12"/>
  <c r="G1804" i="12"/>
  <c r="G1808" i="12"/>
  <c r="G1811" i="12"/>
  <c r="G1815" i="12"/>
  <c r="G1819" i="12"/>
  <c r="G1823" i="12"/>
  <c r="G1827" i="12"/>
  <c r="G1831" i="12"/>
  <c r="G1835" i="12"/>
  <c r="G1839" i="12"/>
  <c r="G1843" i="12"/>
  <c r="G1847" i="12"/>
  <c r="G1851" i="12"/>
  <c r="G1855" i="12"/>
  <c r="G1859" i="12"/>
  <c r="G1863" i="12"/>
  <c r="G1867" i="12"/>
  <c r="G1871" i="12"/>
  <c r="G1875" i="12"/>
  <c r="G1879" i="12"/>
  <c r="G1883" i="12"/>
  <c r="G1887" i="12"/>
  <c r="G1891" i="12"/>
  <c r="G1895" i="12"/>
  <c r="G1899" i="12"/>
  <c r="G1903" i="12"/>
  <c r="G1907" i="12"/>
  <c r="G1911" i="12"/>
  <c r="G1915" i="12"/>
  <c r="G1919" i="12"/>
  <c r="G1923" i="12"/>
  <c r="G1927" i="12"/>
  <c r="G1931" i="12"/>
  <c r="G1935" i="12"/>
  <c r="G1939" i="12"/>
  <c r="G1943" i="12"/>
  <c r="G1947" i="12"/>
  <c r="G1951" i="12"/>
  <c r="G1955" i="12"/>
  <c r="G1959" i="12"/>
  <c r="G1963" i="12"/>
  <c r="G1967" i="12"/>
  <c r="G1971" i="12"/>
  <c r="G1975" i="12"/>
  <c r="G1979" i="12"/>
  <c r="G1983" i="12"/>
  <c r="G1987" i="12"/>
  <c r="G1991" i="12"/>
  <c r="G1995" i="12"/>
  <c r="G1999" i="12"/>
  <c r="G2003" i="12"/>
  <c r="G2007" i="12"/>
  <c r="G2011" i="12"/>
  <c r="G2015" i="12"/>
  <c r="G2019" i="12"/>
  <c r="G2023" i="12"/>
  <c r="G2027" i="12"/>
  <c r="G2031" i="12"/>
  <c r="G2035" i="12"/>
  <c r="G2039" i="12"/>
  <c r="G2043" i="12"/>
  <c r="G2047" i="12"/>
  <c r="G2051" i="12"/>
  <c r="G2055" i="12"/>
  <c r="G2059" i="12"/>
  <c r="G2063" i="12"/>
  <c r="G2067" i="12"/>
  <c r="G2071" i="12"/>
  <c r="G2075" i="12"/>
  <c r="G2079" i="12"/>
  <c r="G2083" i="12"/>
  <c r="G2087" i="12"/>
  <c r="G2091" i="12"/>
  <c r="G2095" i="12"/>
  <c r="G2099" i="12"/>
  <c r="G2103" i="12"/>
  <c r="G2107" i="12"/>
  <c r="G2111" i="12"/>
  <c r="G2115" i="12"/>
  <c r="G2119" i="12"/>
  <c r="G2123" i="12"/>
  <c r="G2127" i="12"/>
  <c r="G2131" i="12"/>
  <c r="G2135" i="12"/>
  <c r="G2139" i="12"/>
  <c r="G2143" i="12"/>
  <c r="G2147" i="12"/>
  <c r="G2151" i="12"/>
  <c r="G2155" i="12"/>
  <c r="G2159" i="12"/>
  <c r="G2163" i="12"/>
  <c r="G2167" i="12"/>
  <c r="G2171" i="12"/>
  <c r="G2175" i="12"/>
  <c r="G2179" i="12"/>
  <c r="G2183" i="12"/>
  <c r="G2187" i="12"/>
  <c r="G2191" i="12"/>
  <c r="G2195" i="12"/>
  <c r="G2199" i="12"/>
  <c r="G2203" i="12"/>
  <c r="G2207" i="12"/>
  <c r="G2211" i="12"/>
  <c r="G2215" i="12"/>
  <c r="G2219" i="12"/>
  <c r="G2223" i="12"/>
  <c r="G2227" i="12"/>
  <c r="G2231" i="12"/>
  <c r="G2235" i="12"/>
  <c r="G2239" i="12"/>
  <c r="G2243" i="12"/>
  <c r="G2247" i="12"/>
  <c r="G2251" i="12"/>
  <c r="G2255" i="12"/>
  <c r="G2259" i="12"/>
  <c r="G2263" i="12"/>
  <c r="G2267" i="12"/>
  <c r="G2271" i="12"/>
  <c r="G2275" i="12"/>
  <c r="G2279" i="12"/>
  <c r="G2283" i="12"/>
  <c r="G2287" i="12"/>
  <c r="G2291" i="12"/>
  <c r="G2295" i="12"/>
  <c r="G2299" i="12"/>
  <c r="G2303" i="12"/>
  <c r="G2307" i="12"/>
  <c r="G2311" i="12"/>
  <c r="G2315" i="12"/>
  <c r="G2319" i="12"/>
  <c r="G2323" i="12"/>
  <c r="G2327" i="12"/>
  <c r="G2331" i="12"/>
  <c r="G2335" i="12"/>
  <c r="G2339" i="12"/>
  <c r="G2343" i="12"/>
  <c r="G2347" i="12"/>
  <c r="G2351" i="12"/>
  <c r="G2355" i="12"/>
  <c r="G2359" i="12"/>
  <c r="G2363" i="12"/>
  <c r="G2367" i="12"/>
  <c r="G2371" i="12"/>
  <c r="G2375" i="12"/>
  <c r="G2379" i="12"/>
  <c r="G2383" i="12"/>
  <c r="G2387" i="12"/>
  <c r="G2391" i="12"/>
  <c r="G2395" i="12"/>
  <c r="G2399" i="12"/>
  <c r="G2403" i="12"/>
  <c r="G2407" i="12"/>
  <c r="G2411" i="12"/>
  <c r="G2415" i="12"/>
  <c r="G2419" i="12"/>
  <c r="G2423" i="12"/>
  <c r="G2427" i="12"/>
  <c r="G2431" i="12"/>
  <c r="G2435" i="12"/>
  <c r="G2439" i="12"/>
  <c r="G2443" i="12"/>
  <c r="G2447" i="12"/>
  <c r="G2451" i="12"/>
  <c r="G2455" i="12"/>
  <c r="G2459" i="12"/>
  <c r="G2463" i="12"/>
  <c r="G2467" i="12"/>
  <c r="G2471" i="12"/>
  <c r="G2475" i="12"/>
  <c r="G2479" i="12"/>
  <c r="G2483" i="12"/>
  <c r="G2487" i="12"/>
  <c r="G2491" i="12"/>
  <c r="G2495" i="12"/>
  <c r="G2499" i="12"/>
  <c r="G2503" i="12"/>
  <c r="G2507" i="12"/>
  <c r="G2511" i="12"/>
  <c r="G2515" i="12"/>
  <c r="G2519" i="12"/>
  <c r="G2523" i="12"/>
  <c r="G2527" i="12"/>
  <c r="G2531" i="12"/>
  <c r="G2535" i="12"/>
  <c r="G2539" i="12"/>
  <c r="G2543" i="12"/>
  <c r="G2547" i="12"/>
  <c r="G2551" i="12"/>
  <c r="G2555" i="12"/>
  <c r="G2559" i="12"/>
  <c r="G2563" i="12"/>
  <c r="G2567" i="12"/>
  <c r="G2571" i="12"/>
  <c r="G2575" i="12"/>
  <c r="G2579" i="12"/>
  <c r="G2583" i="12"/>
  <c r="G2587" i="12"/>
  <c r="G2591" i="12"/>
  <c r="G2595" i="12"/>
  <c r="G2599" i="12"/>
  <c r="G2603" i="12"/>
  <c r="G2607" i="12"/>
  <c r="G2611" i="12"/>
  <c r="G2615" i="12"/>
  <c r="G2619" i="12"/>
  <c r="G2623" i="12"/>
  <c r="G2627" i="12"/>
  <c r="G2631" i="12"/>
  <c r="G2635" i="12"/>
  <c r="G2639" i="12"/>
  <c r="G2643" i="12"/>
  <c r="G2647" i="12"/>
  <c r="G2651" i="12"/>
  <c r="G2655" i="12"/>
  <c r="G2659" i="12"/>
  <c r="G2663" i="12"/>
  <c r="G2667" i="12"/>
  <c r="G2671" i="12"/>
  <c r="G2675" i="12"/>
  <c r="G2679" i="12"/>
  <c r="G2683" i="12"/>
  <c r="G2687" i="12"/>
  <c r="G2691" i="12"/>
  <c r="G2695" i="12"/>
  <c r="G2699" i="12"/>
  <c r="G2703" i="12"/>
  <c r="G2707" i="12"/>
  <c r="G2711" i="12"/>
  <c r="G2715" i="12"/>
  <c r="G2719" i="12"/>
  <c r="G2723" i="12"/>
  <c r="G2727" i="12"/>
  <c r="G2731" i="12"/>
  <c r="G2735" i="12"/>
  <c r="G2739" i="12"/>
  <c r="G2743" i="12"/>
  <c r="G2747" i="12"/>
  <c r="G2751" i="12"/>
  <c r="G2755" i="12"/>
  <c r="G2759" i="12"/>
  <c r="G2763" i="12"/>
  <c r="G2767" i="12"/>
  <c r="G2771" i="12"/>
  <c r="G2775" i="12"/>
  <c r="G2779" i="12"/>
  <c r="G2783" i="12"/>
  <c r="G2787" i="12"/>
  <c r="G2791" i="12"/>
  <c r="G2795" i="12"/>
  <c r="G2799" i="12"/>
  <c r="G2803" i="12"/>
  <c r="G2807" i="12"/>
  <c r="G2811" i="12"/>
  <c r="G2815" i="12"/>
  <c r="G2819" i="12"/>
  <c r="G2823" i="12"/>
  <c r="G2827" i="12"/>
  <c r="G2831" i="12"/>
  <c r="G2835" i="12"/>
  <c r="G2839" i="12"/>
  <c r="G2843" i="12"/>
  <c r="G2847" i="12"/>
  <c r="G2851" i="12"/>
  <c r="G2855" i="12"/>
  <c r="G2859" i="12"/>
  <c r="G2863" i="12"/>
  <c r="G2867" i="12"/>
  <c r="G2871" i="12"/>
  <c r="G2875" i="12"/>
  <c r="G2879" i="12"/>
  <c r="G2883" i="12"/>
  <c r="G2887" i="12"/>
  <c r="G2891" i="12"/>
  <c r="G2895" i="12"/>
  <c r="G2899" i="12"/>
  <c r="G2903" i="12"/>
  <c r="G2907" i="12"/>
  <c r="G2911" i="12"/>
  <c r="G2915" i="12"/>
  <c r="G2919" i="12"/>
  <c r="G2923" i="12"/>
  <c r="G2927" i="12"/>
  <c r="G2931" i="12"/>
  <c r="G2935" i="12"/>
  <c r="G2939" i="12"/>
  <c r="G2943" i="12"/>
  <c r="G2947" i="12"/>
  <c r="G2951" i="12"/>
  <c r="G2955" i="12"/>
  <c r="G2959" i="12"/>
  <c r="G2963" i="12"/>
  <c r="G2967" i="12"/>
  <c r="G2971" i="12"/>
  <c r="G2975" i="12"/>
  <c r="G2979" i="12"/>
  <c r="G2983" i="12"/>
  <c r="G2987" i="12"/>
  <c r="G2991" i="12"/>
  <c r="G2995" i="12"/>
  <c r="G2999" i="12"/>
  <c r="G3003" i="12"/>
  <c r="G3007" i="12"/>
  <c r="G3011" i="12"/>
  <c r="G3015" i="12"/>
  <c r="G3019" i="12"/>
  <c r="G3023" i="12"/>
  <c r="G3027" i="12"/>
  <c r="G3031" i="12"/>
  <c r="G3035" i="12"/>
  <c r="G3039" i="12"/>
  <c r="G3043" i="12"/>
  <c r="G3047" i="12"/>
  <c r="G3051" i="12"/>
  <c r="G3055" i="12"/>
  <c r="G3059" i="12"/>
  <c r="G3063" i="12"/>
  <c r="G3067" i="12"/>
  <c r="G3071" i="12"/>
  <c r="G3075" i="12"/>
  <c r="G3079" i="12"/>
  <c r="G3083" i="12"/>
  <c r="G3087" i="12"/>
  <c r="G3091" i="12"/>
  <c r="G3095" i="12"/>
  <c r="G3099" i="12"/>
  <c r="G3103" i="12"/>
  <c r="G3107" i="12"/>
  <c r="G3111" i="12"/>
  <c r="G3115" i="12"/>
  <c r="G3119" i="12"/>
  <c r="G3123" i="12"/>
  <c r="G3127" i="12"/>
  <c r="G3131" i="12"/>
  <c r="G3135" i="12"/>
  <c r="G3139" i="12"/>
  <c r="G3143" i="12"/>
  <c r="G3147" i="12"/>
  <c r="G3151" i="12"/>
  <c r="G3155" i="12"/>
  <c r="G3159" i="12"/>
  <c r="G3163" i="12"/>
  <c r="G3167" i="12"/>
  <c r="G3171" i="12"/>
  <c r="G3175" i="12"/>
  <c r="G3179" i="12"/>
  <c r="G3183" i="12"/>
  <c r="G3187" i="12"/>
  <c r="G3191" i="12"/>
  <c r="G3195" i="12"/>
  <c r="G3199" i="12"/>
  <c r="G3203" i="12"/>
  <c r="G3207" i="12"/>
  <c r="G3211" i="12"/>
  <c r="G3215" i="12"/>
  <c r="G3219" i="12"/>
  <c r="G3223" i="12"/>
  <c r="G3227" i="12"/>
  <c r="G3231" i="12"/>
  <c r="G3235" i="12"/>
  <c r="G3239" i="12"/>
  <c r="G3243" i="12"/>
  <c r="G3247" i="12"/>
  <c r="G3251" i="12"/>
  <c r="G3255" i="12"/>
  <c r="G3259" i="12"/>
  <c r="G3263" i="12"/>
  <c r="G3267" i="12"/>
  <c r="G3271" i="12"/>
  <c r="G3275" i="12"/>
  <c r="G3279" i="12"/>
  <c r="G3283" i="12"/>
  <c r="G3287" i="12"/>
  <c r="G3291" i="12"/>
  <c r="G3295" i="12"/>
  <c r="G3299" i="12"/>
  <c r="G3303" i="12"/>
  <c r="G3307" i="12"/>
  <c r="G3311" i="12"/>
  <c r="G3315" i="12"/>
  <c r="G3319" i="12"/>
  <c r="G3323" i="12"/>
  <c r="G3327" i="12"/>
  <c r="G16" i="12"/>
  <c r="G29" i="12"/>
  <c r="G40" i="12"/>
  <c r="G53" i="12"/>
  <c r="G66" i="12"/>
  <c r="G78" i="12"/>
  <c r="G93" i="12"/>
  <c r="G104" i="12"/>
  <c r="G116" i="12"/>
  <c r="G130" i="12"/>
  <c r="G142" i="12"/>
  <c r="G153" i="12"/>
  <c r="G168" i="12"/>
  <c r="G180" i="12"/>
  <c r="G192" i="12"/>
  <c r="G206" i="12"/>
  <c r="G217" i="12"/>
  <c r="G229" i="12"/>
  <c r="G244" i="12"/>
  <c r="G256" i="12"/>
  <c r="G266" i="12"/>
  <c r="G281" i="12"/>
  <c r="G293" i="12"/>
  <c r="G306" i="12"/>
  <c r="G319" i="12"/>
  <c r="G329" i="12"/>
  <c r="G343" i="12"/>
  <c r="G354" i="12"/>
  <c r="G364" i="12"/>
  <c r="G372" i="12"/>
  <c r="G382" i="12"/>
  <c r="G392" i="12"/>
  <c r="G401" i="12"/>
  <c r="G412" i="12"/>
  <c r="G420" i="12"/>
  <c r="G429" i="12"/>
  <c r="G440" i="12"/>
  <c r="G449" i="12"/>
  <c r="G457" i="12"/>
  <c r="G468" i="12"/>
  <c r="G477" i="12"/>
  <c r="G486" i="12"/>
  <c r="G497" i="12"/>
  <c r="G505" i="12"/>
  <c r="G514" i="12"/>
  <c r="G525" i="12"/>
  <c r="G534" i="12"/>
  <c r="G542" i="12"/>
  <c r="G553" i="12"/>
  <c r="G562" i="12"/>
  <c r="G572" i="12"/>
  <c r="G582" i="12"/>
  <c r="G590" i="12"/>
  <c r="G599" i="12"/>
  <c r="G609" i="12"/>
  <c r="G619" i="12"/>
  <c r="G627" i="12"/>
  <c r="G637" i="12"/>
  <c r="G647" i="12"/>
  <c r="G656" i="12"/>
  <c r="G667" i="12"/>
  <c r="G675" i="12"/>
  <c r="G684" i="12"/>
  <c r="G695" i="12"/>
  <c r="G704" i="12"/>
  <c r="G712" i="12"/>
  <c r="G723" i="12"/>
  <c r="G732" i="12"/>
  <c r="G741" i="12"/>
  <c r="G752" i="12"/>
  <c r="G760" i="12"/>
  <c r="G769" i="12"/>
  <c r="G778" i="12"/>
  <c r="G785" i="12"/>
  <c r="G791" i="12"/>
  <c r="G799" i="12"/>
  <c r="G806" i="12"/>
  <c r="G813" i="12"/>
  <c r="G821" i="12"/>
  <c r="G827" i="12"/>
  <c r="G834" i="12"/>
  <c r="G842" i="12"/>
  <c r="G849" i="12"/>
  <c r="G855" i="12"/>
  <c r="G863" i="12"/>
  <c r="G870" i="12"/>
  <c r="G877" i="12"/>
  <c r="G885" i="12"/>
  <c r="G890" i="12"/>
  <c r="G897" i="12"/>
  <c r="G905" i="12"/>
  <c r="G912" i="12"/>
  <c r="G918" i="12"/>
  <c r="G926" i="12"/>
  <c r="G933" i="12"/>
  <c r="G940" i="12"/>
  <c r="G948" i="12"/>
  <c r="G954" i="12"/>
  <c r="G961" i="12"/>
  <c r="G969" i="12"/>
  <c r="G976" i="12"/>
  <c r="G982" i="12"/>
  <c r="G990" i="12"/>
  <c r="G997" i="12"/>
  <c r="G1004" i="12"/>
  <c r="G1012" i="12"/>
  <c r="G1018" i="12"/>
  <c r="G1025" i="12"/>
  <c r="G1033" i="12"/>
  <c r="G1040" i="12"/>
  <c r="G1046" i="12"/>
  <c r="G1054" i="12"/>
  <c r="G1061" i="12"/>
  <c r="G1068" i="12"/>
  <c r="G1076" i="12"/>
  <c r="G1082" i="12"/>
  <c r="G1089" i="12"/>
  <c r="G1097" i="12"/>
  <c r="G1104" i="12"/>
  <c r="G1110" i="12"/>
  <c r="G1118" i="12"/>
  <c r="G1125" i="12"/>
  <c r="G1132" i="12"/>
  <c r="G1140" i="12"/>
  <c r="G1146" i="12"/>
  <c r="G1153" i="12"/>
  <c r="G1161" i="12"/>
  <c r="G1168" i="12"/>
  <c r="G1174" i="12"/>
  <c r="G1182" i="12"/>
  <c r="G1189" i="12"/>
  <c r="G1196" i="12"/>
  <c r="G1204" i="12"/>
  <c r="G1210" i="12"/>
  <c r="G1217" i="12"/>
  <c r="G1225" i="12"/>
  <c r="G1232" i="12"/>
  <c r="G1238" i="12"/>
  <c r="G1246" i="12"/>
  <c r="G1253" i="12"/>
  <c r="G1260" i="12"/>
  <c r="G1268" i="12"/>
  <c r="G1274" i="12"/>
  <c r="G1281" i="12"/>
  <c r="G1289" i="12"/>
  <c r="G1296" i="12"/>
  <c r="G1302" i="12"/>
  <c r="G1310" i="12"/>
  <c r="G1317" i="12"/>
  <c r="G1324" i="12"/>
  <c r="G1332" i="12"/>
  <c r="G1338" i="12"/>
  <c r="G1345" i="12"/>
  <c r="G1353" i="12"/>
  <c r="G1360" i="12"/>
  <c r="G1366" i="12"/>
  <c r="G1374" i="12"/>
  <c r="G1381" i="12"/>
  <c r="G1388" i="12"/>
  <c r="G1396" i="12"/>
  <c r="G1402" i="12"/>
  <c r="G1409" i="12"/>
  <c r="G1417" i="12"/>
  <c r="G1424" i="12"/>
  <c r="G1430" i="12"/>
  <c r="G1438" i="12"/>
  <c r="G1445" i="12"/>
  <c r="G1452" i="12"/>
  <c r="G1460" i="12"/>
  <c r="G1466" i="12"/>
  <c r="G1473" i="12"/>
  <c r="G1481" i="12"/>
  <c r="G1488" i="12"/>
  <c r="G1494" i="12"/>
  <c r="G1502" i="12"/>
  <c r="G1509" i="12"/>
  <c r="G1516" i="12"/>
  <c r="G1524" i="12"/>
  <c r="G1530" i="12"/>
  <c r="G1537" i="12"/>
  <c r="G1545" i="12"/>
  <c r="G1552" i="12"/>
  <c r="G1558" i="12"/>
  <c r="G1566" i="12"/>
  <c r="G1573" i="12"/>
  <c r="G1580" i="12"/>
  <c r="G1588" i="12"/>
  <c r="G1594" i="12"/>
  <c r="G1601" i="12"/>
  <c r="G1609" i="12"/>
  <c r="G1616" i="12"/>
  <c r="G1622" i="12"/>
  <c r="G1629" i="12"/>
  <c r="G1634" i="12"/>
  <c r="G1639" i="12"/>
  <c r="G1645" i="12"/>
  <c r="G1650" i="12"/>
  <c r="G1655" i="12"/>
  <c r="G1661" i="12"/>
  <c r="G1666" i="12"/>
  <c r="G1671" i="12"/>
  <c r="G1677" i="12"/>
  <c r="G1682" i="12"/>
  <c r="G1687" i="12"/>
  <c r="G1693" i="12"/>
  <c r="G1698" i="12"/>
  <c r="G1703" i="12"/>
  <c r="G1709" i="12"/>
  <c r="G1714" i="12"/>
  <c r="G1719" i="12"/>
  <c r="G1725" i="12"/>
  <c r="G1730" i="12"/>
  <c r="G1735" i="12"/>
  <c r="G1741" i="12"/>
  <c r="G1746" i="12"/>
  <c r="G1751" i="12"/>
  <c r="G1757" i="12"/>
  <c r="G1762" i="12"/>
  <c r="G1767" i="12"/>
  <c r="G1773" i="12"/>
  <c r="G1778" i="12"/>
  <c r="G1783" i="12"/>
  <c r="G1789" i="12"/>
  <c r="G1794" i="12"/>
  <c r="G1799" i="12"/>
  <c r="G1805" i="12"/>
  <c r="G1810" i="12"/>
  <c r="G1814" i="12"/>
  <c r="G1820" i="12"/>
  <c r="G1825" i="12"/>
  <c r="G1830" i="12"/>
  <c r="G1836" i="12"/>
  <c r="G1841" i="12"/>
  <c r="G1846" i="12"/>
  <c r="G1852" i="12"/>
  <c r="G1857" i="12"/>
  <c r="G1862" i="12"/>
  <c r="G1868" i="12"/>
  <c r="G1873" i="12"/>
  <c r="G1878" i="12"/>
  <c r="G1884" i="12"/>
  <c r="G1889" i="12"/>
  <c r="G1894" i="12"/>
  <c r="G1900" i="12"/>
  <c r="G1905" i="12"/>
  <c r="G1910" i="12"/>
  <c r="G1916" i="12"/>
  <c r="G1921" i="12"/>
  <c r="G1926" i="12"/>
  <c r="G1932" i="12"/>
  <c r="G1937" i="12"/>
  <c r="G1942" i="12"/>
  <c r="G1948" i="12"/>
  <c r="G1953" i="12"/>
  <c r="G1958" i="12"/>
  <c r="G1964" i="12"/>
  <c r="G1969" i="12"/>
  <c r="G1974" i="12"/>
  <c r="G1980" i="12"/>
  <c r="G1985" i="12"/>
  <c r="G1990" i="12"/>
  <c r="G1996" i="12"/>
  <c r="G2001" i="12"/>
  <c r="G2006" i="12"/>
  <c r="G2012" i="12"/>
  <c r="G2017" i="12"/>
  <c r="G2022" i="12"/>
  <c r="G2028" i="12"/>
  <c r="G2033" i="12"/>
  <c r="G2038" i="12"/>
  <c r="G2044" i="12"/>
  <c r="G2049" i="12"/>
  <c r="G2054" i="12"/>
  <c r="G2060" i="12"/>
  <c r="G2065" i="12"/>
  <c r="G2070" i="12"/>
  <c r="G2076" i="12"/>
  <c r="G2081" i="12"/>
  <c r="G2086" i="12"/>
  <c r="G2092" i="12"/>
  <c r="G2097" i="12"/>
  <c r="G2102" i="12"/>
  <c r="G2108" i="12"/>
  <c r="G2113" i="12"/>
  <c r="G2118" i="12"/>
  <c r="G2124" i="12"/>
  <c r="G2129" i="12"/>
  <c r="G2134" i="12"/>
  <c r="G2140" i="12"/>
  <c r="G2145" i="12"/>
  <c r="G2150" i="12"/>
  <c r="G2156" i="12"/>
  <c r="G2161" i="12"/>
  <c r="G2166" i="12"/>
  <c r="G2172" i="12"/>
  <c r="G2177" i="12"/>
  <c r="G2182" i="12"/>
  <c r="G2188" i="12"/>
  <c r="G2193" i="12"/>
  <c r="G2198" i="12"/>
  <c r="G2204" i="12"/>
  <c r="G2209" i="12"/>
  <c r="G2214" i="12"/>
  <c r="G2220" i="12"/>
  <c r="G2225" i="12"/>
  <c r="G2230" i="12"/>
  <c r="G2236" i="12"/>
  <c r="G2241" i="12"/>
  <c r="G2246" i="12"/>
  <c r="G2252" i="12"/>
  <c r="G2257" i="12"/>
  <c r="G2262" i="12"/>
  <c r="G2268" i="12"/>
  <c r="G2273" i="12"/>
  <c r="G2278" i="12"/>
  <c r="G2284" i="12"/>
  <c r="G2289" i="12"/>
  <c r="G2294" i="12"/>
  <c r="G2300" i="12"/>
  <c r="G2305" i="12"/>
  <c r="G2310" i="12"/>
  <c r="G2316" i="12"/>
  <c r="G2321" i="12"/>
  <c r="G2326" i="12"/>
  <c r="G2332" i="12"/>
  <c r="G2337" i="12"/>
  <c r="G2342" i="12"/>
  <c r="G2348" i="12"/>
  <c r="G2353" i="12"/>
  <c r="G2358" i="12"/>
  <c r="G2364" i="12"/>
  <c r="G2369" i="12"/>
  <c r="G2374" i="12"/>
  <c r="G2380" i="12"/>
  <c r="G2385" i="12"/>
  <c r="G2390" i="12"/>
  <c r="G2396" i="12"/>
  <c r="G2401" i="12"/>
  <c r="G2406" i="12"/>
  <c r="G2412" i="12"/>
  <c r="G2417" i="12"/>
  <c r="G2422" i="12"/>
  <c r="G2428" i="12"/>
  <c r="G2433" i="12"/>
  <c r="G2438" i="12"/>
  <c r="G2444" i="12"/>
  <c r="G2449" i="12"/>
  <c r="G2454" i="12"/>
  <c r="G2460" i="12"/>
  <c r="G2465" i="12"/>
  <c r="G2470" i="12"/>
  <c r="G2476" i="12"/>
  <c r="G2481" i="12"/>
  <c r="G2486" i="12"/>
  <c r="G2492" i="12"/>
  <c r="G2497" i="12"/>
  <c r="G2502" i="12"/>
  <c r="G2508" i="12"/>
  <c r="G2513" i="12"/>
  <c r="G2518" i="12"/>
  <c r="G2524" i="12"/>
  <c r="G2529" i="12"/>
  <c r="G2534" i="12"/>
  <c r="G2540" i="12"/>
  <c r="G2545" i="12"/>
  <c r="G2550" i="12"/>
  <c r="G2556" i="12"/>
  <c r="G2561" i="12"/>
  <c r="G2566" i="12"/>
  <c r="G2572" i="12"/>
  <c r="G2577" i="12"/>
  <c r="G2582" i="12"/>
  <c r="G2588" i="12"/>
  <c r="G2593" i="12"/>
  <c r="G2598" i="12"/>
  <c r="G2604" i="12"/>
  <c r="G2609" i="12"/>
  <c r="G2614" i="12"/>
  <c r="G2620" i="12"/>
  <c r="G2625" i="12"/>
  <c r="G2630" i="12"/>
  <c r="G2636" i="12"/>
  <c r="G2641" i="12"/>
  <c r="G2646" i="12"/>
  <c r="G2652" i="12"/>
  <c r="G2657" i="12"/>
  <c r="G2662" i="12"/>
  <c r="G2668" i="12"/>
  <c r="G2673" i="12"/>
  <c r="G2678" i="12"/>
  <c r="G2684" i="12"/>
  <c r="G2689" i="12"/>
  <c r="G2694" i="12"/>
  <c r="G2700" i="12"/>
  <c r="G2705" i="12"/>
  <c r="G2710" i="12"/>
  <c r="G2716" i="12"/>
  <c r="G2721" i="12"/>
  <c r="G2726" i="12"/>
  <c r="G2732" i="12"/>
  <c r="G2737" i="12"/>
  <c r="G2742" i="12"/>
  <c r="G2748" i="12"/>
  <c r="G2753" i="12"/>
  <c r="G2758" i="12"/>
  <c r="G2764" i="12"/>
  <c r="G2769" i="12"/>
  <c r="G2774" i="12"/>
  <c r="G2780" i="12"/>
  <c r="G2785" i="12"/>
  <c r="G2790" i="12"/>
  <c r="G2796" i="12"/>
  <c r="G2801" i="12"/>
  <c r="G2806" i="12"/>
  <c r="G2812" i="12"/>
  <c r="G2817" i="12"/>
  <c r="G2822" i="12"/>
  <c r="G2828" i="12"/>
  <c r="G2833" i="12"/>
  <c r="G2838" i="12"/>
  <c r="G2844" i="12"/>
  <c r="G2849" i="12"/>
  <c r="G2854" i="12"/>
  <c r="G2860" i="12"/>
  <c r="G2865" i="12"/>
  <c r="G2870" i="12"/>
  <c r="G2876" i="12"/>
  <c r="G2881" i="12"/>
  <c r="G2886" i="12"/>
  <c r="G2892" i="12"/>
  <c r="G2897" i="12"/>
  <c r="G2902" i="12"/>
  <c r="G2908" i="12"/>
  <c r="G2913" i="12"/>
  <c r="G2918" i="12"/>
  <c r="G2924" i="12"/>
  <c r="G2929" i="12"/>
  <c r="G2934" i="12"/>
  <c r="G2940" i="12"/>
  <c r="G2945" i="12"/>
  <c r="G2950" i="12"/>
  <c r="G2956" i="12"/>
  <c r="G2961" i="12"/>
  <c r="G2966" i="12"/>
  <c r="G2972" i="12"/>
  <c r="G2977" i="12"/>
  <c r="G2982" i="12"/>
  <c r="G2988" i="12"/>
  <c r="G2993" i="12"/>
  <c r="G2998" i="12"/>
  <c r="G3004" i="12"/>
  <c r="G3009" i="12"/>
  <c r="G3014" i="12"/>
  <c r="G3020" i="12"/>
  <c r="G3025" i="12"/>
  <c r="G3030" i="12"/>
  <c r="G3036" i="12"/>
  <c r="G3041" i="12"/>
  <c r="G3046" i="12"/>
  <c r="G3052" i="12"/>
  <c r="G3057" i="12"/>
  <c r="G3062" i="12"/>
  <c r="G3068" i="12"/>
  <c r="G3073" i="12"/>
  <c r="G3078" i="12"/>
  <c r="G3084" i="12"/>
  <c r="G3089" i="12"/>
  <c r="G3094" i="12"/>
  <c r="G3100" i="12"/>
  <c r="G3105" i="12"/>
  <c r="G3110" i="12"/>
  <c r="G3116" i="12"/>
  <c r="G3121" i="12"/>
  <c r="G3126" i="12"/>
  <c r="G3132" i="12"/>
  <c r="G3137" i="12"/>
  <c r="G3142" i="12"/>
  <c r="G3148" i="12"/>
  <c r="G3153" i="12"/>
  <c r="G3158" i="12"/>
  <c r="G3164" i="12"/>
  <c r="G3169" i="12"/>
  <c r="G3174" i="12"/>
  <c r="G3180" i="12"/>
  <c r="G3185" i="12"/>
  <c r="G3190" i="12"/>
  <c r="G3196" i="12"/>
  <c r="G3201" i="12"/>
  <c r="G3206" i="12"/>
  <c r="G3212" i="12"/>
  <c r="G3217" i="12"/>
  <c r="G3222" i="12"/>
  <c r="G3228" i="12"/>
  <c r="G3233" i="12"/>
  <c r="G3238" i="12"/>
  <c r="G3244" i="12"/>
  <c r="G3249" i="12"/>
  <c r="G3254" i="12"/>
  <c r="G3260" i="12"/>
  <c r="G3265" i="12"/>
  <c r="G3270" i="12"/>
  <c r="G3276" i="12"/>
  <c r="G3281" i="12"/>
  <c r="G3286" i="12"/>
  <c r="G3292" i="12"/>
  <c r="G3297" i="12"/>
  <c r="G3302" i="12"/>
  <c r="G3308" i="12"/>
  <c r="G3313" i="12"/>
  <c r="G3318" i="12"/>
  <c r="G3324" i="12"/>
  <c r="G3329" i="12"/>
  <c r="G3333" i="12"/>
  <c r="G3337" i="12"/>
  <c r="G3341" i="12"/>
  <c r="G3345" i="12"/>
  <c r="G3349" i="12"/>
  <c r="G3353" i="12"/>
  <c r="G3357" i="12"/>
  <c r="G3361" i="12"/>
  <c r="G3365" i="12"/>
  <c r="G3369" i="12"/>
  <c r="G3373" i="12"/>
  <c r="G3377" i="12"/>
  <c r="G3381" i="12"/>
  <c r="G3385" i="12"/>
  <c r="G3389" i="12"/>
  <c r="G3393" i="12"/>
  <c r="G3397" i="12"/>
  <c r="G3401" i="12"/>
  <c r="G3405" i="12"/>
  <c r="G3409" i="12"/>
  <c r="G3413" i="12"/>
  <c r="G3417" i="12"/>
  <c r="G3421" i="12"/>
  <c r="G3425" i="12"/>
  <c r="G3429" i="12"/>
  <c r="G3433" i="12"/>
  <c r="G3437" i="12"/>
  <c r="G3441" i="12"/>
  <c r="G3445" i="12"/>
  <c r="G3449" i="12"/>
  <c r="G3453" i="12"/>
  <c r="G3457" i="12"/>
  <c r="G3461" i="12"/>
  <c r="G3465" i="12"/>
  <c r="G3469" i="12"/>
  <c r="G3473" i="12"/>
  <c r="G3477" i="12"/>
  <c r="G3481" i="12"/>
  <c r="G3485" i="12"/>
  <c r="G3489" i="12"/>
  <c r="G3493" i="12"/>
  <c r="G3497" i="12"/>
  <c r="G3501" i="12"/>
  <c r="G3505" i="12"/>
  <c r="G3509" i="12"/>
  <c r="G3513" i="12"/>
  <c r="G3517" i="12"/>
  <c r="G3521" i="12"/>
  <c r="G3525" i="12"/>
  <c r="G3529" i="12"/>
  <c r="G3533" i="12"/>
  <c r="G3537" i="12"/>
  <c r="G3541" i="12"/>
  <c r="G3545" i="12"/>
  <c r="G3549" i="12"/>
  <c r="G3553" i="12"/>
  <c r="G3557" i="12"/>
  <c r="G3561" i="12"/>
  <c r="G3565" i="12"/>
  <c r="G3569" i="12"/>
  <c r="G3573" i="12"/>
  <c r="G3577" i="12"/>
  <c r="G3581" i="12"/>
  <c r="G3585" i="12"/>
  <c r="G3589" i="12"/>
  <c r="G3593" i="12"/>
  <c r="G3597" i="12"/>
  <c r="G3601" i="12"/>
  <c r="G3605" i="12"/>
  <c r="G3609" i="12"/>
  <c r="G3613" i="12"/>
  <c r="G3617" i="12"/>
  <c r="G3621" i="12"/>
  <c r="G3625" i="12"/>
  <c r="G3629" i="12"/>
  <c r="G3633" i="12"/>
  <c r="G3637" i="12"/>
  <c r="G3641" i="12"/>
  <c r="G3645" i="12"/>
  <c r="G3649" i="12"/>
  <c r="G3653" i="12"/>
  <c r="G3657" i="12"/>
  <c r="G3661" i="12"/>
  <c r="G3665" i="12"/>
  <c r="G3669" i="12"/>
  <c r="G3673" i="12"/>
  <c r="G3677" i="12"/>
  <c r="G3681" i="12"/>
  <c r="G3685" i="12"/>
  <c r="G3689" i="12"/>
  <c r="G3693" i="12"/>
  <c r="G3697" i="12"/>
  <c r="G3701" i="12"/>
  <c r="G3705" i="12"/>
  <c r="G3709" i="12"/>
  <c r="G3713" i="12"/>
  <c r="G3717" i="12"/>
  <c r="G3721" i="12"/>
  <c r="G3725" i="12"/>
  <c r="G3729" i="12"/>
  <c r="G3733" i="12"/>
  <c r="G3740" i="12"/>
  <c r="G3744" i="12"/>
  <c r="G3748" i="12"/>
  <c r="G3752" i="12"/>
  <c r="G3756" i="12"/>
  <c r="G3760" i="12"/>
  <c r="G3764" i="12"/>
  <c r="G3768" i="12"/>
  <c r="G3772" i="12"/>
  <c r="G3776" i="12"/>
  <c r="G3780" i="12"/>
  <c r="G3784" i="12"/>
  <c r="G3788" i="12"/>
  <c r="G3792" i="12"/>
  <c r="G3796" i="12"/>
  <c r="G3800" i="12"/>
  <c r="G3804" i="12"/>
  <c r="G3808" i="12"/>
  <c r="G3812" i="12"/>
  <c r="G3816" i="12"/>
  <c r="G3820" i="12"/>
  <c r="G3824" i="12"/>
  <c r="G3828" i="12"/>
  <c r="G3832" i="12"/>
  <c r="G3836" i="12"/>
  <c r="G3840" i="12"/>
  <c r="G3844" i="12"/>
  <c r="G3848" i="12"/>
  <c r="G3852" i="12"/>
  <c r="G3856" i="12"/>
  <c r="G3860" i="12"/>
  <c r="G3864" i="12"/>
  <c r="G3868" i="12"/>
  <c r="G3872" i="12"/>
  <c r="G3876" i="12"/>
  <c r="G3880" i="12"/>
  <c r="G3884" i="12"/>
  <c r="G3888" i="12"/>
  <c r="G3892" i="12"/>
  <c r="G3896" i="12"/>
  <c r="G3900" i="12"/>
  <c r="G3904" i="12"/>
  <c r="G3908" i="12"/>
  <c r="G3912" i="12"/>
  <c r="G3916" i="12"/>
  <c r="G3920" i="12"/>
  <c r="G3924" i="12"/>
  <c r="G3928" i="12"/>
  <c r="G3932" i="12"/>
  <c r="G3936" i="12"/>
  <c r="G3940" i="12"/>
  <c r="G3944" i="12"/>
  <c r="G3948" i="12"/>
  <c r="G3952" i="12"/>
  <c r="G3956" i="12"/>
  <c r="G3960" i="12"/>
  <c r="G3964" i="12"/>
  <c r="G3968" i="12"/>
  <c r="G3972" i="12"/>
  <c r="G3976" i="12"/>
  <c r="G3980" i="12"/>
  <c r="G3984" i="12"/>
  <c r="G3988" i="12"/>
  <c r="G3992" i="12"/>
  <c r="G3996" i="12"/>
  <c r="G4000" i="12"/>
  <c r="G4004" i="12"/>
  <c r="G4008" i="12"/>
  <c r="G4012" i="12"/>
  <c r="G4016" i="12"/>
  <c r="G4020" i="12"/>
  <c r="G4024" i="12"/>
  <c r="G4028" i="12"/>
  <c r="G4032" i="12"/>
  <c r="G4036" i="12"/>
  <c r="G4040" i="12"/>
  <c r="G4044" i="12"/>
  <c r="G4048" i="12"/>
  <c r="G4052" i="12"/>
  <c r="G4056" i="12"/>
  <c r="G4060" i="12"/>
  <c r="G4064" i="12"/>
  <c r="G4068" i="12"/>
  <c r="G4072" i="12"/>
  <c r="G4076" i="12"/>
  <c r="G4080" i="12"/>
  <c r="G4084" i="12"/>
  <c r="G4088" i="12"/>
  <c r="G4092" i="12"/>
  <c r="G4096" i="12"/>
  <c r="G4100" i="12"/>
  <c r="G4104" i="12"/>
  <c r="G4108" i="12"/>
  <c r="G4112" i="12"/>
  <c r="G4116" i="12"/>
  <c r="G4120" i="12"/>
  <c r="G4124" i="12"/>
  <c r="G4128" i="12"/>
  <c r="G4132" i="12"/>
  <c r="G4136" i="12"/>
  <c r="G4140" i="12"/>
  <c r="G4144" i="12"/>
  <c r="G4148" i="12"/>
  <c r="G4152" i="12"/>
  <c r="G4156" i="12"/>
  <c r="G4160" i="12"/>
  <c r="G4164" i="12"/>
  <c r="G4167" i="12"/>
  <c r="G4171" i="12"/>
  <c r="G4175" i="12"/>
  <c r="G4179" i="12"/>
  <c r="G4183" i="12"/>
  <c r="G4187" i="12"/>
  <c r="G4191" i="12"/>
  <c r="G4195" i="12"/>
  <c r="G4199" i="12"/>
  <c r="G4203" i="12"/>
  <c r="G4207" i="12"/>
  <c r="G4211" i="12"/>
  <c r="G4215" i="12"/>
  <c r="G4219" i="12"/>
  <c r="G4223" i="12"/>
  <c r="G4227" i="12"/>
  <c r="G4231" i="12"/>
  <c r="G4235" i="12"/>
  <c r="G4239" i="12"/>
  <c r="G4243" i="12"/>
  <c r="G4247" i="12"/>
  <c r="G4251" i="12"/>
  <c r="G4255" i="12"/>
  <c r="G4259" i="12"/>
  <c r="G4263" i="12"/>
  <c r="G4267" i="12"/>
  <c r="G4271" i="12"/>
  <c r="G4275" i="12"/>
  <c r="G4279" i="12"/>
  <c r="G4283" i="12"/>
  <c r="G4287" i="12"/>
  <c r="G4291" i="12"/>
  <c r="G4295" i="12"/>
  <c r="G4299" i="12"/>
  <c r="G4303" i="12"/>
  <c r="G4307" i="12"/>
  <c r="G4311" i="12"/>
  <c r="G4315" i="12"/>
  <c r="G4319" i="12"/>
  <c r="G4323" i="12"/>
  <c r="G4327" i="12"/>
  <c r="G4331" i="12"/>
  <c r="G4335" i="12"/>
  <c r="G4339" i="12"/>
  <c r="G4343" i="12"/>
  <c r="G4347" i="12"/>
  <c r="G4351" i="12"/>
  <c r="G4355" i="12"/>
  <c r="G4359" i="12"/>
  <c r="G4363" i="12"/>
  <c r="G4367" i="12"/>
  <c r="G4371" i="12"/>
  <c r="G4375" i="12"/>
  <c r="G4379" i="12"/>
  <c r="G4383" i="12"/>
  <c r="G4387" i="12"/>
  <c r="G4391" i="12"/>
  <c r="G4395" i="12"/>
  <c r="G4399" i="12"/>
  <c r="G4403" i="12"/>
  <c r="G4407" i="12"/>
  <c r="G4411" i="12"/>
  <c r="G4415" i="12"/>
  <c r="G4419" i="12"/>
  <c r="G4423" i="12"/>
  <c r="G4427" i="12"/>
  <c r="G4431" i="12"/>
  <c r="G4435" i="12"/>
  <c r="G4439" i="12"/>
  <c r="G4443" i="12"/>
  <c r="G4447" i="12"/>
  <c r="G4451" i="12"/>
  <c r="G4455" i="12"/>
  <c r="G4459" i="12"/>
  <c r="G4463" i="12"/>
  <c r="G4467" i="12"/>
  <c r="G4471" i="12"/>
  <c r="G4475" i="12"/>
  <c r="G4479" i="12"/>
  <c r="G4483" i="12"/>
  <c r="G4487" i="12"/>
  <c r="G4491" i="12"/>
  <c r="G4495" i="12"/>
  <c r="G4499" i="12"/>
  <c r="G4503" i="12"/>
  <c r="G4507" i="12"/>
  <c r="G4511" i="12"/>
  <c r="G4515" i="12"/>
  <c r="G4519" i="12"/>
  <c r="G4523" i="12"/>
  <c r="G4527" i="12"/>
  <c r="G4531" i="12"/>
  <c r="G4535" i="12"/>
  <c r="G4539" i="12"/>
  <c r="G4543" i="12"/>
  <c r="G4547" i="12"/>
  <c r="G4551" i="12"/>
  <c r="G4555" i="12"/>
  <c r="G4559" i="12"/>
  <c r="G4563" i="12"/>
  <c r="G4567" i="12"/>
  <c r="G4571" i="12"/>
  <c r="G4575" i="12"/>
  <c r="G4579" i="12"/>
  <c r="G4583" i="12"/>
  <c r="G4587" i="12"/>
  <c r="G4591" i="12"/>
  <c r="G4595" i="12"/>
  <c r="G4599" i="12"/>
  <c r="G4603" i="12"/>
  <c r="G4607" i="12"/>
  <c r="G4611" i="12"/>
  <c r="G4615" i="12"/>
  <c r="G4619" i="12"/>
  <c r="G4623" i="12"/>
  <c r="G4627" i="12"/>
  <c r="G4631" i="12"/>
  <c r="G4635" i="12"/>
  <c r="G4639" i="12"/>
  <c r="G4643" i="12"/>
  <c r="G4647" i="12"/>
  <c r="G4651" i="12"/>
  <c r="G4655" i="12"/>
  <c r="G4659" i="12"/>
  <c r="G4663" i="12"/>
  <c r="G4667" i="12"/>
  <c r="G4671" i="12"/>
  <c r="G4675" i="12"/>
  <c r="G4679" i="12"/>
  <c r="G4683" i="12"/>
  <c r="G4687" i="12"/>
  <c r="G4691" i="12"/>
  <c r="G4695" i="12"/>
  <c r="G4699" i="12"/>
  <c r="G4703" i="12"/>
  <c r="G4707" i="12"/>
  <c r="G4711" i="12"/>
  <c r="G4715" i="12"/>
  <c r="G4719" i="12"/>
  <c r="G4723" i="12"/>
  <c r="G4727" i="12"/>
  <c r="G4731" i="12"/>
  <c r="G4735" i="12"/>
  <c r="G4739" i="12"/>
  <c r="G4743" i="12"/>
  <c r="G4747" i="12"/>
  <c r="G4751" i="12"/>
  <c r="G4755" i="12"/>
  <c r="G4759" i="12"/>
  <c r="G4763" i="12"/>
  <c r="G4767" i="12"/>
  <c r="G4771" i="12"/>
  <c r="G4775" i="12"/>
  <c r="G4779" i="12"/>
  <c r="G4783" i="12"/>
  <c r="G4787" i="12"/>
  <c r="G4791" i="12"/>
  <c r="G4795" i="12"/>
  <c r="G4799" i="12"/>
  <c r="G4803" i="12"/>
  <c r="G4807" i="12"/>
  <c r="G4811" i="12"/>
  <c r="G4815" i="12"/>
  <c r="G4819" i="12"/>
  <c r="G4823" i="12"/>
  <c r="G4827" i="12"/>
  <c r="G4831" i="12"/>
  <c r="G4835" i="12"/>
  <c r="G4839" i="12"/>
  <c r="G4843" i="12"/>
  <c r="G4847" i="12"/>
  <c r="G4851" i="12"/>
  <c r="G4855" i="12"/>
  <c r="G4859" i="12"/>
  <c r="G4863" i="12"/>
  <c r="G4867" i="12"/>
  <c r="G4871" i="12"/>
  <c r="G4875" i="12"/>
  <c r="G4879" i="12"/>
  <c r="G4883" i="12"/>
  <c r="G4890" i="12"/>
  <c r="G4894" i="12"/>
  <c r="G4898" i="12"/>
  <c r="G4902" i="12"/>
  <c r="G4906" i="12"/>
  <c r="G4910" i="12"/>
  <c r="G4914" i="12"/>
  <c r="G4918" i="12"/>
  <c r="G4922" i="12"/>
  <c r="G4926" i="12"/>
  <c r="G4930" i="12"/>
  <c r="G4934" i="12"/>
  <c r="G4938" i="12"/>
  <c r="G4942" i="12"/>
  <c r="G4946" i="12"/>
  <c r="G4950" i="12"/>
  <c r="G4954" i="12"/>
  <c r="G4958" i="12"/>
  <c r="G4962" i="12"/>
  <c r="G4966" i="12"/>
  <c r="G4970" i="12"/>
  <c r="G4974" i="12"/>
  <c r="G4978" i="12"/>
  <c r="G4982" i="12"/>
  <c r="G4986" i="12"/>
  <c r="G4990" i="12"/>
  <c r="G4994" i="12"/>
  <c r="G4998" i="12"/>
  <c r="G5002" i="12"/>
  <c r="G5006" i="12"/>
  <c r="G5010" i="12"/>
  <c r="G5014" i="12"/>
  <c r="G5018" i="12"/>
  <c r="G5022" i="12"/>
  <c r="G5026" i="12"/>
  <c r="G5030" i="12"/>
  <c r="G5034" i="12"/>
  <c r="G5038" i="12"/>
  <c r="G5042" i="12"/>
  <c r="G5046" i="12"/>
  <c r="G5050" i="12"/>
  <c r="G5054" i="12"/>
  <c r="G5058" i="12"/>
  <c r="G5062" i="12"/>
  <c r="G5066" i="12"/>
  <c r="G5070" i="12"/>
  <c r="G5074" i="12"/>
  <c r="G5078" i="12"/>
  <c r="G5082" i="12"/>
  <c r="G5086" i="12"/>
  <c r="G5090" i="12"/>
  <c r="G5094" i="12"/>
  <c r="G5098" i="12"/>
  <c r="G5102" i="12"/>
  <c r="G5106" i="12"/>
  <c r="G5110" i="12"/>
  <c r="G5114" i="12"/>
  <c r="G5118" i="12"/>
  <c r="G5122" i="12"/>
  <c r="G5126" i="12"/>
  <c r="G5130" i="12"/>
  <c r="G5134" i="12"/>
  <c r="G5138" i="12"/>
  <c r="G5142" i="12"/>
  <c r="G5146" i="12"/>
  <c r="G5150" i="12"/>
  <c r="G5154" i="12"/>
  <c r="G5158" i="12"/>
  <c r="G5162" i="12"/>
  <c r="G5166" i="12"/>
  <c r="G5170" i="12"/>
  <c r="G5174" i="12"/>
  <c r="G5178" i="12"/>
  <c r="G5182" i="12"/>
  <c r="G5186" i="12"/>
  <c r="G5190" i="12"/>
  <c r="G5194" i="12"/>
  <c r="G5198" i="12"/>
  <c r="G5202" i="12"/>
  <c r="G5206" i="12"/>
  <c r="G5210" i="12"/>
  <c r="G5214" i="12"/>
  <c r="G5218" i="12"/>
  <c r="G5222" i="12"/>
  <c r="G5226" i="12"/>
  <c r="G5230" i="12"/>
  <c r="G5234" i="12"/>
  <c r="G5238" i="12"/>
  <c r="G5242" i="12"/>
  <c r="G5246" i="12"/>
  <c r="G5250" i="12"/>
  <c r="G5254" i="12"/>
  <c r="G5258" i="12"/>
  <c r="G5262" i="12"/>
  <c r="G5266" i="12"/>
  <c r="G5270" i="12"/>
  <c r="G5274" i="12"/>
  <c r="G5278" i="12"/>
  <c r="G5282" i="12"/>
  <c r="G5286" i="12"/>
  <c r="G5290" i="12"/>
  <c r="G5294" i="12"/>
  <c r="G5298" i="12"/>
  <c r="G5302" i="12"/>
  <c r="G5306" i="12"/>
  <c r="G5310" i="12"/>
  <c r="G5314" i="12"/>
  <c r="G5318" i="12"/>
  <c r="G5322" i="12"/>
  <c r="G5326" i="12"/>
  <c r="G5330" i="12"/>
  <c r="G5334" i="12"/>
  <c r="G5338" i="12"/>
  <c r="G5342" i="12"/>
  <c r="G5346" i="12"/>
  <c r="G5350" i="12"/>
  <c r="G5354" i="12"/>
  <c r="G5358" i="12"/>
  <c r="G5362" i="12"/>
  <c r="G5366" i="12"/>
  <c r="G5370" i="12"/>
  <c r="G5374" i="12"/>
  <c r="G5378" i="12"/>
  <c r="G5382" i="12"/>
  <c r="G5386" i="12"/>
  <c r="G5390" i="12"/>
  <c r="G5394" i="12"/>
  <c r="G5398" i="12"/>
  <c r="G5402" i="12"/>
  <c r="G5406" i="12"/>
  <c r="G5410" i="12"/>
  <c r="G5414" i="12"/>
  <c r="G5418" i="12"/>
  <c r="G5422" i="12"/>
  <c r="G5426" i="12"/>
  <c r="G5430" i="12"/>
  <c r="G5434" i="12"/>
  <c r="G5438" i="12"/>
  <c r="G5442" i="12"/>
  <c r="G5446" i="12"/>
  <c r="G5450" i="12"/>
  <c r="G5454" i="12"/>
  <c r="G5458" i="12"/>
  <c r="G5462" i="12"/>
  <c r="G5466" i="12"/>
  <c r="G5470" i="12"/>
  <c r="G5474" i="12"/>
  <c r="G5478" i="12"/>
  <c r="G5482" i="12"/>
  <c r="G5486" i="12"/>
  <c r="G5490" i="12"/>
  <c r="G5494" i="12"/>
  <c r="G5498" i="12"/>
  <c r="G5502" i="12"/>
  <c r="G5506" i="12"/>
  <c r="G5510" i="12"/>
  <c r="G5514" i="12"/>
  <c r="G5518" i="12"/>
  <c r="G5522" i="12"/>
  <c r="G5526" i="12"/>
  <c r="G5530" i="12"/>
  <c r="G5534" i="12"/>
  <c r="G5538" i="12"/>
  <c r="G5542" i="12"/>
  <c r="G5546" i="12"/>
  <c r="G5550" i="12"/>
  <c r="G5554" i="12"/>
  <c r="G5558" i="12"/>
  <c r="G5562" i="12"/>
  <c r="G5566" i="12"/>
  <c r="G5570" i="12"/>
  <c r="G5574" i="12"/>
  <c r="G5578" i="12"/>
  <c r="G5582" i="12"/>
  <c r="G5586" i="12"/>
  <c r="G5590" i="12"/>
  <c r="G5594" i="12"/>
  <c r="G5598" i="12"/>
  <c r="G5602" i="12"/>
  <c r="G5606" i="12"/>
  <c r="G5610" i="12"/>
  <c r="G5614" i="12"/>
  <c r="G5618" i="12"/>
  <c r="G5622" i="12"/>
  <c r="G5625" i="12"/>
  <c r="G5629" i="12"/>
  <c r="G5633" i="12"/>
  <c r="G5637" i="12"/>
  <c r="G5641" i="12"/>
  <c r="G5645" i="12"/>
  <c r="G5649" i="12"/>
  <c r="G5653" i="12"/>
  <c r="G5657" i="12"/>
  <c r="G5661" i="12"/>
  <c r="G5665" i="12"/>
  <c r="G5669" i="12"/>
  <c r="G5673" i="12"/>
  <c r="G5677" i="12"/>
  <c r="G5681" i="12"/>
  <c r="G5685" i="12"/>
  <c r="G5689" i="12"/>
  <c r="G5693" i="12"/>
  <c r="G5697" i="12"/>
  <c r="G5701" i="12"/>
  <c r="G5705" i="12"/>
  <c r="G5709" i="12"/>
  <c r="G5713" i="12"/>
  <c r="G5717" i="12"/>
  <c r="G5721" i="12"/>
  <c r="G5725" i="12"/>
  <c r="G5729" i="12"/>
  <c r="G5733" i="12"/>
  <c r="G5737" i="12"/>
  <c r="G5741" i="12"/>
  <c r="G5745" i="12"/>
  <c r="G5749" i="12"/>
  <c r="G5753" i="12"/>
  <c r="G5757" i="12"/>
  <c r="G5761" i="12"/>
  <c r="G5765" i="12"/>
  <c r="G5769" i="12"/>
  <c r="G5773" i="12"/>
  <c r="G5777" i="12"/>
  <c r="G5781" i="12"/>
  <c r="G5785" i="12"/>
  <c r="G5789" i="12"/>
  <c r="G5793" i="12"/>
  <c r="G5797" i="12"/>
  <c r="G5801" i="12"/>
  <c r="G5805" i="12"/>
  <c r="G5809" i="12"/>
  <c r="G5813" i="12"/>
  <c r="G5817" i="12"/>
  <c r="G5821" i="12"/>
  <c r="G5825" i="12"/>
  <c r="G5829" i="12"/>
  <c r="G5833" i="12"/>
  <c r="G5837" i="12"/>
  <c r="G5841" i="12"/>
  <c r="G5845" i="12"/>
  <c r="G5849" i="12"/>
  <c r="G5853" i="12"/>
  <c r="G5857" i="12"/>
  <c r="G5861" i="12"/>
  <c r="G5865" i="12"/>
  <c r="G5869" i="12"/>
  <c r="G5873" i="12"/>
  <c r="G5877" i="12"/>
  <c r="G5881" i="12"/>
  <c r="G5885" i="12"/>
  <c r="G5889" i="12"/>
  <c r="G5893" i="12"/>
  <c r="G5897" i="12"/>
  <c r="G5901" i="12"/>
  <c r="G5905" i="12"/>
  <c r="G5909" i="12"/>
  <c r="G5913" i="12"/>
  <c r="G5917" i="12"/>
  <c r="G5921" i="12"/>
  <c r="G5925" i="12"/>
  <c r="G5929" i="12"/>
  <c r="G5933" i="12"/>
  <c r="G5937" i="12"/>
  <c r="G5941" i="12"/>
  <c r="G5945" i="12"/>
  <c r="G5949" i="12"/>
  <c r="G5953" i="12"/>
  <c r="G5957" i="12"/>
  <c r="G5961" i="12"/>
  <c r="G5965" i="12"/>
  <c r="G5969" i="12"/>
  <c r="G5973" i="12"/>
  <c r="G5977" i="12"/>
  <c r="G5981" i="12"/>
  <c r="G5985" i="12"/>
  <c r="G5989" i="12"/>
  <c r="G5993" i="12"/>
  <c r="G5997" i="12"/>
  <c r="G6001" i="12"/>
  <c r="G6005" i="12"/>
  <c r="G6009" i="12"/>
  <c r="G6013" i="12"/>
  <c r="G6017" i="12"/>
  <c r="G6021" i="12"/>
  <c r="G6025" i="12"/>
  <c r="G6029" i="12"/>
  <c r="G6033" i="12"/>
  <c r="G6037" i="12"/>
  <c r="G6041" i="12"/>
  <c r="G6045" i="12"/>
  <c r="G6049" i="12"/>
  <c r="G6053" i="12"/>
  <c r="G6057" i="12"/>
  <c r="G6061" i="12"/>
  <c r="G6065" i="12"/>
  <c r="G6069" i="12"/>
  <c r="G6073" i="12"/>
  <c r="G6077" i="12"/>
  <c r="G6081" i="12"/>
  <c r="G6085" i="12"/>
  <c r="G6089" i="12"/>
  <c r="G6093" i="12"/>
  <c r="G6097" i="12"/>
  <c r="G6101" i="12"/>
  <c r="G6105" i="12"/>
  <c r="G6109" i="12"/>
  <c r="G6113" i="12"/>
  <c r="G6117" i="12"/>
  <c r="G6121" i="12"/>
  <c r="G6125" i="12"/>
  <c r="G6129" i="12"/>
  <c r="G6133" i="12"/>
  <c r="G6137" i="12"/>
  <c r="G6141" i="12"/>
  <c r="G6145" i="12"/>
  <c r="G6149" i="12"/>
  <c r="G6153" i="12"/>
  <c r="G6157" i="12"/>
  <c r="G6161" i="12"/>
  <c r="G6165" i="12"/>
  <c r="G6169" i="12"/>
  <c r="G6173" i="12"/>
  <c r="G6177" i="12"/>
  <c r="G6181" i="12"/>
  <c r="G6185" i="12"/>
  <c r="G6189" i="12"/>
  <c r="G6193" i="12"/>
  <c r="G6197" i="12"/>
  <c r="G6201" i="12"/>
  <c r="G6205" i="12"/>
  <c r="G6209" i="12"/>
  <c r="G6213" i="12"/>
  <c r="G6217" i="12"/>
  <c r="G6221" i="12"/>
  <c r="G6225" i="12"/>
  <c r="G6229" i="12"/>
  <c r="G6233" i="12"/>
  <c r="G6237" i="12"/>
  <c r="G6241" i="12"/>
  <c r="G6245" i="12"/>
  <c r="G6249" i="12"/>
  <c r="G6253" i="12"/>
  <c r="G6257" i="12"/>
  <c r="G6261" i="12"/>
  <c r="G6265" i="12"/>
  <c r="G6269" i="12"/>
  <c r="G6273" i="12"/>
  <c r="G6277" i="12"/>
  <c r="G6281" i="12"/>
  <c r="G6285" i="12"/>
  <c r="G6289" i="12"/>
  <c r="G6293" i="12"/>
  <c r="G6297" i="12"/>
  <c r="G6301" i="12"/>
  <c r="G6305" i="12"/>
  <c r="G6309" i="12"/>
  <c r="G6313" i="12"/>
  <c r="G6317" i="12"/>
  <c r="G6321" i="12"/>
  <c r="G6325" i="12"/>
  <c r="G6329" i="12"/>
  <c r="G6333" i="12"/>
  <c r="G6337" i="12"/>
  <c r="G6341" i="12"/>
  <c r="G6345" i="12"/>
  <c r="G6349" i="12"/>
  <c r="G6353" i="12"/>
  <c r="G6357" i="12"/>
  <c r="G6361" i="12"/>
  <c r="G6365" i="12"/>
  <c r="G6369" i="12"/>
  <c r="G6373" i="12"/>
  <c r="G6377" i="12"/>
  <c r="G6381" i="12"/>
  <c r="G6385" i="12"/>
  <c r="G6389" i="12"/>
  <c r="G6393" i="12"/>
  <c r="G6397" i="12"/>
  <c r="G6401" i="12"/>
  <c r="G6405" i="12"/>
  <c r="G6409" i="12"/>
  <c r="G6413" i="12"/>
  <c r="G6417" i="12"/>
  <c r="G6421" i="12"/>
  <c r="G6425" i="12"/>
  <c r="G6429" i="12"/>
  <c r="G6433" i="12"/>
  <c r="G6437" i="12"/>
  <c r="G6441" i="12"/>
  <c r="G6445" i="12"/>
  <c r="G6449" i="12"/>
  <c r="G6453" i="12"/>
  <c r="G6457" i="12"/>
  <c r="G6461" i="12"/>
  <c r="G6465" i="12"/>
  <c r="G6469" i="12"/>
  <c r="G6473" i="12"/>
  <c r="G6477" i="12"/>
  <c r="G6481" i="12"/>
  <c r="G6485" i="12"/>
  <c r="G6489" i="12"/>
  <c r="G6493" i="12"/>
  <c r="G6497" i="12"/>
  <c r="G6501" i="12"/>
  <c r="G6505" i="12"/>
  <c r="G6509" i="12"/>
  <c r="G6513" i="12"/>
  <c r="G6517" i="12"/>
  <c r="G6521" i="12"/>
  <c r="G6525" i="12"/>
  <c r="G6529" i="12"/>
  <c r="G6533" i="12"/>
  <c r="G6537" i="12"/>
  <c r="G6541" i="12"/>
  <c r="G6545" i="12"/>
  <c r="G6549" i="12"/>
  <c r="G6553" i="12"/>
  <c r="G6557" i="12"/>
  <c r="G6561" i="12"/>
  <c r="G6565" i="12"/>
  <c r="G6569" i="12"/>
  <c r="G6573" i="12"/>
  <c r="G6577" i="12"/>
  <c r="G6581" i="12"/>
  <c r="G6585" i="12"/>
  <c r="G6589" i="12"/>
  <c r="G6593" i="12"/>
  <c r="G6597" i="12"/>
  <c r="G6601" i="12"/>
  <c r="G6605" i="12"/>
  <c r="G6609" i="12"/>
  <c r="G6613" i="12"/>
  <c r="G6617" i="12"/>
  <c r="G6621" i="12"/>
  <c r="G6625" i="12"/>
  <c r="G6629" i="12"/>
  <c r="G6633" i="12"/>
  <c r="G6637" i="12"/>
  <c r="G6641" i="12"/>
  <c r="G6645" i="12"/>
  <c r="G6649" i="12"/>
  <c r="G6653" i="12"/>
  <c r="G6657" i="12"/>
  <c r="G6661" i="12"/>
  <c r="G6665" i="12"/>
  <c r="G6669" i="12"/>
  <c r="G6673" i="12"/>
  <c r="G6677" i="12"/>
  <c r="G6681" i="12"/>
  <c r="G6685" i="12"/>
  <c r="G6689" i="12"/>
  <c r="G6693" i="12"/>
  <c r="G6697" i="12"/>
  <c r="G6701" i="12"/>
  <c r="G6705" i="12"/>
  <c r="G6709" i="12"/>
  <c r="G6713" i="12"/>
  <c r="G6717" i="12"/>
  <c r="G6721" i="12"/>
  <c r="G6725" i="12"/>
  <c r="G6729" i="12"/>
  <c r="G6733" i="12"/>
  <c r="G6737" i="12"/>
  <c r="G9" i="12"/>
  <c r="G25" i="12"/>
  <c r="G45" i="12"/>
  <c r="G58" i="12"/>
  <c r="G74" i="12"/>
  <c r="G94" i="12"/>
  <c r="G110" i="12"/>
  <c r="G125" i="12"/>
  <c r="G144" i="12"/>
  <c r="G160" i="12"/>
  <c r="G178" i="12"/>
  <c r="G196" i="12"/>
  <c r="G210" i="12"/>
  <c r="G228" i="12"/>
  <c r="G245" i="12"/>
  <c r="G264" i="12"/>
  <c r="G277" i="12"/>
  <c r="G296" i="12"/>
  <c r="G312" i="12"/>
  <c r="G328" i="12"/>
  <c r="G348" i="12"/>
  <c r="G358" i="12"/>
  <c r="G370" i="12"/>
  <c r="G385" i="12"/>
  <c r="G397" i="12"/>
  <c r="G408" i="12"/>
  <c r="G422" i="12"/>
  <c r="G434" i="12"/>
  <c r="G446" i="12"/>
  <c r="G461" i="12"/>
  <c r="G472" i="12"/>
  <c r="G484" i="12"/>
  <c r="G498" i="12"/>
  <c r="G510" i="12"/>
  <c r="G521" i="12"/>
  <c r="G536" i="12"/>
  <c r="G548" i="12"/>
  <c r="G561" i="12"/>
  <c r="G574" i="12"/>
  <c r="G585" i="12"/>
  <c r="G597" i="12"/>
  <c r="G611" i="12"/>
  <c r="G624" i="12"/>
  <c r="G635" i="12"/>
  <c r="G648" i="12"/>
  <c r="G661" i="12"/>
  <c r="G673" i="12"/>
  <c r="G688" i="12"/>
  <c r="G699" i="12"/>
  <c r="G711" i="12"/>
  <c r="G725" i="12"/>
  <c r="G737" i="12"/>
  <c r="G748" i="12"/>
  <c r="G763" i="12"/>
  <c r="G774" i="12"/>
  <c r="G783" i="12"/>
  <c r="G794" i="12"/>
  <c r="G802" i="12"/>
  <c r="G811" i="12"/>
  <c r="G822" i="12"/>
  <c r="G831" i="12"/>
  <c r="G839" i="12"/>
  <c r="G850" i="12"/>
  <c r="G859" i="12"/>
  <c r="G869" i="12"/>
  <c r="G879" i="12"/>
  <c r="G887" i="12"/>
  <c r="G896" i="12"/>
  <c r="G906" i="12"/>
  <c r="G916" i="12"/>
  <c r="G924" i="12"/>
  <c r="G934" i="12"/>
  <c r="G944" i="12"/>
  <c r="G953" i="12"/>
  <c r="G964" i="12"/>
  <c r="G972" i="12"/>
  <c r="G981" i="12"/>
  <c r="G992" i="12"/>
  <c r="G1001" i="12"/>
  <c r="G1009" i="12"/>
  <c r="G1020" i="12"/>
  <c r="G1029" i="12"/>
  <c r="G1038" i="12"/>
  <c r="G1049" i="12"/>
  <c r="G1057" i="12"/>
  <c r="G18" i="12"/>
  <c r="G36" i="12"/>
  <c r="G50" i="12"/>
  <c r="G68" i="12"/>
  <c r="G85" i="12"/>
  <c r="G101" i="12"/>
  <c r="G121" i="12"/>
  <c r="G136" i="12"/>
  <c r="G152" i="12"/>
  <c r="G170" i="12"/>
  <c r="G186" i="12"/>
  <c r="G201" i="12"/>
  <c r="G221" i="12"/>
  <c r="G237" i="12"/>
  <c r="G253" i="12"/>
  <c r="G272" i="12"/>
  <c r="G286" i="12"/>
  <c r="G302" i="12"/>
  <c r="G321" i="12"/>
  <c r="G337" i="12"/>
  <c r="G350" i="12"/>
  <c r="G365" i="12"/>
  <c r="G377" i="12"/>
  <c r="G390" i="12"/>
  <c r="G404" i="12"/>
  <c r="G414" i="12"/>
  <c r="G428" i="12"/>
  <c r="G441" i="12"/>
  <c r="G454" i="12"/>
  <c r="G465" i="12"/>
  <c r="G478" i="12"/>
  <c r="G492" i="12"/>
  <c r="G504" i="12"/>
  <c r="G518" i="12"/>
  <c r="G529" i="12"/>
  <c r="G541" i="12"/>
  <c r="G556" i="12"/>
  <c r="G568" i="12"/>
  <c r="G578" i="12"/>
  <c r="G593" i="12"/>
  <c r="G604" i="12"/>
  <c r="G616" i="12"/>
  <c r="G631" i="12"/>
  <c r="G641" i="12"/>
  <c r="G653" i="12"/>
  <c r="G668" i="12"/>
  <c r="G680" i="12"/>
  <c r="G691" i="12"/>
  <c r="G705" i="12"/>
  <c r="G717" i="12"/>
  <c r="G731" i="12"/>
  <c r="G744" i="12"/>
  <c r="G755" i="12"/>
  <c r="G768" i="12"/>
  <c r="G779" i="12"/>
  <c r="G789" i="12"/>
  <c r="G797" i="12"/>
  <c r="G807" i="12"/>
  <c r="G817" i="12"/>
  <c r="G826" i="12"/>
  <c r="G837" i="12"/>
  <c r="G845" i="12"/>
  <c r="G854" i="12"/>
  <c r="G865" i="12"/>
  <c r="G874" i="12"/>
  <c r="G882" i="12"/>
  <c r="G892" i="12"/>
  <c r="G901" i="12"/>
  <c r="G910" i="12"/>
  <c r="G921" i="12"/>
  <c r="G929" i="12"/>
  <c r="G938" i="12"/>
  <c r="G949" i="12"/>
  <c r="G958" i="12"/>
  <c r="G966" i="12"/>
  <c r="G977" i="12"/>
  <c r="G986" i="12"/>
  <c r="G996" i="12"/>
  <c r="G1006" i="12"/>
  <c r="G1014" i="12"/>
  <c r="G1024" i="12"/>
  <c r="G1034" i="12"/>
  <c r="G1044" i="12"/>
  <c r="G1052" i="12"/>
  <c r="G1062" i="12"/>
  <c r="G1072" i="12"/>
  <c r="G1081" i="12"/>
  <c r="G1092" i="12"/>
  <c r="G1100" i="12"/>
  <c r="G1109" i="12"/>
  <c r="G1120" i="12"/>
  <c r="G1129" i="12"/>
  <c r="G1137" i="12"/>
  <c r="G1148" i="12"/>
  <c r="G1157" i="12"/>
  <c r="G1166" i="12"/>
  <c r="G1177" i="12"/>
  <c r="G1185" i="12"/>
  <c r="G1194" i="12"/>
  <c r="G1205" i="12"/>
  <c r="G1214" i="12"/>
  <c r="G1222" i="12"/>
  <c r="G1233" i="12"/>
  <c r="G1242" i="12"/>
  <c r="G1252" i="12"/>
  <c r="G1262" i="12"/>
  <c r="G1270" i="12"/>
  <c r="G1280" i="12"/>
  <c r="G1290" i="12"/>
  <c r="G1300" i="12"/>
  <c r="G1308" i="12"/>
  <c r="G1318" i="12"/>
  <c r="G1328" i="12"/>
  <c r="G1337" i="12"/>
  <c r="G1348" i="12"/>
  <c r="G1356" i="12"/>
  <c r="G1365" i="12"/>
  <c r="G1376" i="12"/>
  <c r="G1385" i="12"/>
  <c r="G1393" i="12"/>
  <c r="G1404" i="12"/>
  <c r="G1413" i="12"/>
  <c r="G1422" i="12"/>
  <c r="G1433" i="12"/>
  <c r="G1441" i="12"/>
  <c r="G1450" i="12"/>
  <c r="G1461" i="12"/>
  <c r="G1470" i="12"/>
  <c r="G1478" i="12"/>
  <c r="G1489" i="12"/>
  <c r="G1498" i="12"/>
  <c r="G1508" i="12"/>
  <c r="G1518" i="12"/>
  <c r="G1526" i="12"/>
  <c r="G1536" i="12"/>
  <c r="G1546" i="12"/>
  <c r="G1556" i="12"/>
  <c r="G1564" i="12"/>
  <c r="G1574" i="12"/>
  <c r="G1584" i="12"/>
  <c r="G1593" i="12"/>
  <c r="G1604" i="12"/>
  <c r="G1612" i="12"/>
  <c r="G1621" i="12"/>
  <c r="G1630" i="12"/>
  <c r="G1637" i="12"/>
  <c r="G1643" i="12"/>
  <c r="G1651" i="12"/>
  <c r="G1658" i="12"/>
  <c r="G1665" i="12"/>
  <c r="G1673" i="12"/>
  <c r="G1679" i="12"/>
  <c r="G1686" i="12"/>
  <c r="G1694" i="12"/>
  <c r="G1701" i="12"/>
  <c r="G1707" i="12"/>
  <c r="G1715" i="12"/>
  <c r="G1722" i="12"/>
  <c r="G1729" i="12"/>
  <c r="G1737" i="12"/>
  <c r="G1743" i="12"/>
  <c r="G1750" i="12"/>
  <c r="G1758" i="12"/>
  <c r="G1765" i="12"/>
  <c r="G1771" i="12"/>
  <c r="G1779" i="12"/>
  <c r="G1786" i="12"/>
  <c r="G1793" i="12"/>
  <c r="G1801" i="12"/>
  <c r="G1807" i="12"/>
  <c r="G1813" i="12"/>
  <c r="G1821" i="12"/>
  <c r="G1828" i="12"/>
  <c r="G1834" i="12"/>
  <c r="G1842" i="12"/>
  <c r="G1849" i="12"/>
  <c r="G1856" i="12"/>
  <c r="G1864" i="12"/>
  <c r="G1870" i="12"/>
  <c r="G1877" i="12"/>
  <c r="G1885" i="12"/>
  <c r="G1892" i="12"/>
  <c r="G1898" i="12"/>
  <c r="G1906" i="12"/>
  <c r="G1913" i="12"/>
  <c r="G1920" i="12"/>
  <c r="G1928" i="12"/>
  <c r="G1934" i="12"/>
  <c r="G1941" i="12"/>
  <c r="G1949" i="12"/>
  <c r="G1956" i="12"/>
  <c r="G1962" i="12"/>
  <c r="G1970" i="12"/>
  <c r="G1977" i="12"/>
  <c r="G1984" i="12"/>
  <c r="G1992" i="12"/>
  <c r="G1998" i="12"/>
  <c r="G2005" i="12"/>
  <c r="G2013" i="12"/>
  <c r="G2020" i="12"/>
  <c r="G2026" i="12"/>
  <c r="G2034" i="12"/>
  <c r="G2041" i="12"/>
  <c r="G2048" i="12"/>
  <c r="G2056" i="12"/>
  <c r="G2062" i="12"/>
  <c r="G2069" i="12"/>
  <c r="G2077" i="12"/>
  <c r="G2084" i="12"/>
  <c r="G2090" i="12"/>
  <c r="G2098" i="12"/>
  <c r="G2105" i="12"/>
  <c r="G2112" i="12"/>
  <c r="G2120" i="12"/>
  <c r="G2126" i="12"/>
  <c r="G2133" i="12"/>
  <c r="G2141" i="12"/>
  <c r="G2148" i="12"/>
  <c r="G2154" i="12"/>
  <c r="G2162" i="12"/>
  <c r="G2169" i="12"/>
  <c r="G2176" i="12"/>
  <c r="G2184" i="12"/>
  <c r="G2190" i="12"/>
  <c r="G2197" i="12"/>
  <c r="G2205" i="12"/>
  <c r="G2212" i="12"/>
  <c r="G2218" i="12"/>
  <c r="G2226" i="12"/>
  <c r="G2233" i="12"/>
  <c r="G2240" i="12"/>
  <c r="G2248" i="12"/>
  <c r="G2254" i="12"/>
  <c r="G2261" i="12"/>
  <c r="G2269" i="12"/>
  <c r="G2276" i="12"/>
  <c r="G2282" i="12"/>
  <c r="G2290" i="12"/>
  <c r="G2297" i="12"/>
  <c r="G2304" i="12"/>
  <c r="G2312" i="12"/>
  <c r="G2318" i="12"/>
  <c r="G2325" i="12"/>
  <c r="G2333" i="12"/>
  <c r="G2340" i="12"/>
  <c r="G2346" i="12"/>
  <c r="G2354" i="12"/>
  <c r="G2361" i="12"/>
  <c r="G2368" i="12"/>
  <c r="G2376" i="12"/>
  <c r="G2382" i="12"/>
  <c r="G2389" i="12"/>
  <c r="G2397" i="12"/>
  <c r="G2404" i="12"/>
  <c r="G2410" i="12"/>
  <c r="G2418" i="12"/>
  <c r="G2425" i="12"/>
  <c r="G2432" i="12"/>
  <c r="G2440" i="12"/>
  <c r="G2446" i="12"/>
  <c r="G2453" i="12"/>
  <c r="G2461" i="12"/>
  <c r="G2468" i="12"/>
  <c r="G2474" i="12"/>
  <c r="G2482" i="12"/>
  <c r="G2489" i="12"/>
  <c r="G2496" i="12"/>
  <c r="G2504" i="12"/>
  <c r="G2510" i="12"/>
  <c r="G2517" i="12"/>
  <c r="G2525" i="12"/>
  <c r="G2532" i="12"/>
  <c r="G2538" i="12"/>
  <c r="G2546" i="12"/>
  <c r="G2553" i="12"/>
  <c r="G2560" i="12"/>
  <c r="G2568" i="12"/>
  <c r="G2574" i="12"/>
  <c r="G2581" i="12"/>
  <c r="G2589" i="12"/>
  <c r="G2596" i="12"/>
  <c r="G2602" i="12"/>
  <c r="G2610" i="12"/>
  <c r="G2617" i="12"/>
  <c r="G2624" i="12"/>
  <c r="G2632" i="12"/>
  <c r="G2638" i="12"/>
  <c r="G2645" i="12"/>
  <c r="G2653" i="12"/>
  <c r="G2660" i="12"/>
  <c r="G2666" i="12"/>
  <c r="G2674" i="12"/>
  <c r="G2681" i="12"/>
  <c r="G2688" i="12"/>
  <c r="G2696" i="12"/>
  <c r="G2702" i="12"/>
  <c r="G2709" i="12"/>
  <c r="G2717" i="12"/>
  <c r="G2724" i="12"/>
  <c r="G2730" i="12"/>
  <c r="G2738" i="12"/>
  <c r="G2745" i="12"/>
  <c r="G2752" i="12"/>
  <c r="G2760" i="12"/>
  <c r="G2766" i="12"/>
  <c r="G2773" i="12"/>
  <c r="G2781" i="12"/>
  <c r="G2788" i="12"/>
  <c r="G2794" i="12"/>
  <c r="G2802" i="12"/>
  <c r="G2809" i="12"/>
  <c r="G2816" i="12"/>
  <c r="G2824" i="12"/>
  <c r="G2830" i="12"/>
  <c r="G2837" i="12"/>
  <c r="G2845" i="12"/>
  <c r="G2852" i="12"/>
  <c r="G2858" i="12"/>
  <c r="G2866" i="12"/>
  <c r="G2873" i="12"/>
  <c r="G2880" i="12"/>
  <c r="G2888" i="12"/>
  <c r="G2894" i="12"/>
  <c r="G2901" i="12"/>
  <c r="G2909" i="12"/>
  <c r="G2916" i="12"/>
  <c r="G2922" i="12"/>
  <c r="G2930" i="12"/>
  <c r="G2937" i="12"/>
  <c r="G2944" i="12"/>
  <c r="G2952" i="12"/>
  <c r="G2958" i="12"/>
  <c r="G2965" i="12"/>
  <c r="G2973" i="12"/>
  <c r="G2980" i="12"/>
  <c r="G2986" i="12"/>
  <c r="G2994" i="12"/>
  <c r="G3001" i="12"/>
  <c r="G3008" i="12"/>
  <c r="G3016" i="12"/>
  <c r="G3022" i="12"/>
  <c r="G3029" i="12"/>
  <c r="G3037" i="12"/>
  <c r="G3044" i="12"/>
  <c r="G3050" i="12"/>
  <c r="G3058" i="12"/>
  <c r="G3065" i="12"/>
  <c r="G3072" i="12"/>
  <c r="G3080" i="12"/>
  <c r="G3086" i="12"/>
  <c r="G3093" i="12"/>
  <c r="G3101" i="12"/>
  <c r="G3108" i="12"/>
  <c r="G3114" i="12"/>
  <c r="G3122" i="12"/>
  <c r="G3129" i="12"/>
  <c r="G3136" i="12"/>
  <c r="G3144" i="12"/>
  <c r="G3150" i="12"/>
  <c r="G3157" i="12"/>
  <c r="G3165" i="12"/>
  <c r="G3172" i="12"/>
  <c r="G3178" i="12"/>
  <c r="G3186" i="12"/>
  <c r="G3193" i="12"/>
  <c r="G3200" i="12"/>
  <c r="G3208" i="12"/>
  <c r="G3214" i="12"/>
  <c r="G3221" i="12"/>
  <c r="G3229" i="12"/>
  <c r="G3236" i="12"/>
  <c r="G3242" i="12"/>
  <c r="G3250" i="12"/>
  <c r="G3257" i="12"/>
  <c r="G3264" i="12"/>
  <c r="G3272" i="12"/>
  <c r="G3278" i="12"/>
  <c r="G3285" i="12"/>
  <c r="G3293" i="12"/>
  <c r="G3300" i="12"/>
  <c r="G3306" i="12"/>
  <c r="G3314" i="12"/>
  <c r="G3321" i="12"/>
  <c r="G3328" i="12"/>
  <c r="G3334" i="12"/>
  <c r="G3339" i="12"/>
  <c r="G3344" i="12"/>
  <c r="G3350" i="12"/>
  <c r="G3355" i="12"/>
  <c r="G3360" i="12"/>
  <c r="G3366" i="12"/>
  <c r="G3371" i="12"/>
  <c r="G3376" i="12"/>
  <c r="G3382" i="12"/>
  <c r="G3387" i="12"/>
  <c r="G3392" i="12"/>
  <c r="G3398" i="12"/>
  <c r="G3403" i="12"/>
  <c r="G3408" i="12"/>
  <c r="G3414" i="12"/>
  <c r="G3419" i="12"/>
  <c r="G3424" i="12"/>
  <c r="G3430" i="12"/>
  <c r="G3435" i="12"/>
  <c r="G3440" i="12"/>
  <c r="G3446" i="12"/>
  <c r="G3451" i="12"/>
  <c r="G3456" i="12"/>
  <c r="G3462" i="12"/>
  <c r="G3467" i="12"/>
  <c r="G3472" i="12"/>
  <c r="G3478" i="12"/>
  <c r="G3483" i="12"/>
  <c r="G3488" i="12"/>
  <c r="G3494" i="12"/>
  <c r="G3499" i="12"/>
  <c r="G3504" i="12"/>
  <c r="G3510" i="12"/>
  <c r="G3515" i="12"/>
  <c r="G3520" i="12"/>
  <c r="G3526" i="12"/>
  <c r="G3531" i="12"/>
  <c r="G3536" i="12"/>
  <c r="G3542" i="12"/>
  <c r="G3547" i="12"/>
  <c r="G3552" i="12"/>
  <c r="G3558" i="12"/>
  <c r="G3563" i="12"/>
  <c r="G3568" i="12"/>
  <c r="G3574" i="12"/>
  <c r="G3579" i="12"/>
  <c r="G3584" i="12"/>
  <c r="G3590" i="12"/>
  <c r="G3595" i="12"/>
  <c r="G3600" i="12"/>
  <c r="G3606" i="12"/>
  <c r="G3611" i="12"/>
  <c r="G3616" i="12"/>
  <c r="G3622" i="12"/>
  <c r="G3627" i="12"/>
  <c r="G3632" i="12"/>
  <c r="G3638" i="12"/>
  <c r="G3643" i="12"/>
  <c r="G3648" i="12"/>
  <c r="G3654" i="12"/>
  <c r="G3659" i="12"/>
  <c r="G3664" i="12"/>
  <c r="G3670" i="12"/>
  <c r="G3675" i="12"/>
  <c r="G3680" i="12"/>
  <c r="G3686" i="12"/>
  <c r="G3691" i="12"/>
  <c r="G3696" i="12"/>
  <c r="G3702" i="12"/>
  <c r="G3707" i="12"/>
  <c r="G3712" i="12"/>
  <c r="G3718" i="12"/>
  <c r="G3723" i="12"/>
  <c r="G3728" i="12"/>
  <c r="G3734" i="12"/>
  <c r="G3738" i="12"/>
  <c r="G3743" i="12"/>
  <c r="G3749" i="12"/>
  <c r="G3754" i="12"/>
  <c r="G3759" i="12"/>
  <c r="G3765" i="12"/>
  <c r="G3770" i="12"/>
  <c r="G3775" i="12"/>
  <c r="G3781" i="12"/>
  <c r="G3786" i="12"/>
  <c r="G3791" i="12"/>
  <c r="G3797" i="12"/>
  <c r="G3802" i="12"/>
  <c r="G3807" i="12"/>
  <c r="G3813" i="12"/>
  <c r="G3818" i="12"/>
  <c r="G3823" i="12"/>
  <c r="G3829" i="12"/>
  <c r="G3834" i="12"/>
  <c r="G3839" i="12"/>
  <c r="G3845" i="12"/>
  <c r="G3850" i="12"/>
  <c r="G3855" i="12"/>
  <c r="G3861" i="12"/>
  <c r="G3866" i="12"/>
  <c r="G3871" i="12"/>
  <c r="G3877" i="12"/>
  <c r="G3882" i="12"/>
  <c r="G3887" i="12"/>
  <c r="G3893" i="12"/>
  <c r="G3898" i="12"/>
  <c r="G3903" i="12"/>
  <c r="G3909" i="12"/>
  <c r="G3914" i="12"/>
  <c r="G3919" i="12"/>
  <c r="G3925" i="12"/>
  <c r="G3930" i="12"/>
  <c r="G3935" i="12"/>
  <c r="G3941" i="12"/>
  <c r="G3946" i="12"/>
  <c r="G3951" i="12"/>
  <c r="G3957" i="12"/>
  <c r="G3962" i="12"/>
  <c r="G3967" i="12"/>
  <c r="G3973" i="12"/>
  <c r="G3978" i="12"/>
  <c r="G3983" i="12"/>
  <c r="G3989" i="12"/>
  <c r="G3994" i="12"/>
  <c r="G3999" i="12"/>
  <c r="G4005" i="12"/>
  <c r="G4010" i="12"/>
  <c r="G4015" i="12"/>
  <c r="G4021" i="12"/>
  <c r="G4026" i="12"/>
  <c r="G4031" i="12"/>
  <c r="G4037" i="12"/>
  <c r="G4042" i="12"/>
  <c r="G4047" i="12"/>
  <c r="G4053" i="12"/>
  <c r="G4058" i="12"/>
  <c r="G4063" i="12"/>
  <c r="G4069" i="12"/>
  <c r="G4074" i="12"/>
  <c r="G4079" i="12"/>
  <c r="G4085" i="12"/>
  <c r="G4090" i="12"/>
  <c r="G4095" i="12"/>
  <c r="G4101" i="12"/>
  <c r="G4106" i="12"/>
  <c r="G4111" i="12"/>
  <c r="G4117" i="12"/>
  <c r="G4122" i="12"/>
  <c r="G4127" i="12"/>
  <c r="G4133" i="12"/>
  <c r="G4138" i="12"/>
  <c r="G4143" i="12"/>
  <c r="G4149" i="12"/>
  <c r="G4154" i="12"/>
  <c r="G4159" i="12"/>
  <c r="G4165" i="12"/>
  <c r="G4169" i="12"/>
  <c r="G4174" i="12"/>
  <c r="G4180" i="12"/>
  <c r="G4185" i="12"/>
  <c r="G4190" i="12"/>
  <c r="G4196" i="12"/>
  <c r="G4201" i="12"/>
  <c r="G4206" i="12"/>
  <c r="G4212" i="12"/>
  <c r="G4217" i="12"/>
  <c r="G4222" i="12"/>
  <c r="G4228" i="12"/>
  <c r="G4233" i="12"/>
  <c r="G4238" i="12"/>
  <c r="G4244" i="12"/>
  <c r="G4249" i="12"/>
  <c r="G4254" i="12"/>
  <c r="G4260" i="12"/>
  <c r="G4265" i="12"/>
  <c r="G4270" i="12"/>
  <c r="G4276" i="12"/>
  <c r="G4281" i="12"/>
  <c r="G4286" i="12"/>
  <c r="G4292" i="12"/>
  <c r="G4297" i="12"/>
  <c r="G4302" i="12"/>
  <c r="G4308" i="12"/>
  <c r="G4313" i="12"/>
  <c r="G4318" i="12"/>
  <c r="G4324" i="12"/>
  <c r="G4329" i="12"/>
  <c r="G4334" i="12"/>
  <c r="G4340" i="12"/>
  <c r="G4345" i="12"/>
  <c r="G4350" i="12"/>
  <c r="G4356" i="12"/>
  <c r="G4361" i="12"/>
  <c r="G4366" i="12"/>
  <c r="G4372" i="12"/>
  <c r="G4377" i="12"/>
  <c r="G4382" i="12"/>
  <c r="G4388" i="12"/>
  <c r="G4393" i="12"/>
  <c r="G4398" i="12"/>
  <c r="G4404" i="12"/>
  <c r="G4409" i="12"/>
  <c r="G4414" i="12"/>
  <c r="G4420" i="12"/>
  <c r="G4425" i="12"/>
  <c r="G4430" i="12"/>
  <c r="G4436" i="12"/>
  <c r="G4441" i="12"/>
  <c r="G4446" i="12"/>
  <c r="G4452" i="12"/>
  <c r="G4457" i="12"/>
  <c r="G4462" i="12"/>
  <c r="G4468" i="12"/>
  <c r="G4473" i="12"/>
  <c r="G4478" i="12"/>
  <c r="G4484" i="12"/>
  <c r="G4489" i="12"/>
  <c r="G4494" i="12"/>
  <c r="G4500" i="12"/>
  <c r="G4505" i="12"/>
  <c r="G4510" i="12"/>
  <c r="G4516" i="12"/>
  <c r="G4521" i="12"/>
  <c r="G4526" i="12"/>
  <c r="G4532" i="12"/>
  <c r="G4537" i="12"/>
  <c r="G4542" i="12"/>
  <c r="G4548" i="12"/>
  <c r="G4553" i="12"/>
  <c r="G4558" i="12"/>
  <c r="G4564" i="12"/>
  <c r="G4569" i="12"/>
  <c r="G4574" i="12"/>
  <c r="G4580" i="12"/>
  <c r="G4585" i="12"/>
  <c r="G4590" i="12"/>
  <c r="G4596" i="12"/>
  <c r="G4601" i="12"/>
  <c r="G4606" i="12"/>
  <c r="G4612" i="12"/>
  <c r="G4617" i="12"/>
  <c r="G4622" i="12"/>
  <c r="G4628" i="12"/>
  <c r="G4633" i="12"/>
  <c r="G4638" i="12"/>
  <c r="G4644" i="12"/>
  <c r="G4649" i="12"/>
  <c r="G4654" i="12"/>
  <c r="G4660" i="12"/>
  <c r="G4665" i="12"/>
  <c r="G4670" i="12"/>
  <c r="G4676" i="12"/>
  <c r="G4681" i="12"/>
  <c r="G4686" i="12"/>
  <c r="G4692" i="12"/>
  <c r="G4697" i="12"/>
  <c r="G4702" i="12"/>
  <c r="G4708" i="12"/>
  <c r="G4713" i="12"/>
  <c r="G4718" i="12"/>
  <c r="G4724" i="12"/>
  <c r="G4729" i="12"/>
  <c r="G4734" i="12"/>
  <c r="G4740" i="12"/>
  <c r="G4745" i="12"/>
  <c r="G4750" i="12"/>
  <c r="G4756" i="12"/>
  <c r="G4761" i="12"/>
  <c r="G4766" i="12"/>
  <c r="G4772" i="12"/>
  <c r="G4777" i="12"/>
  <c r="G4782" i="12"/>
  <c r="G4788" i="12"/>
  <c r="G4793" i="12"/>
  <c r="G4798" i="12"/>
  <c r="G4804" i="12"/>
  <c r="G4809" i="12"/>
  <c r="G4814" i="12"/>
  <c r="G4820" i="12"/>
  <c r="G4825" i="12"/>
  <c r="G4830" i="12"/>
  <c r="G4836" i="12"/>
  <c r="G4841" i="12"/>
  <c r="G4846" i="12"/>
  <c r="G4852" i="12"/>
  <c r="G4857" i="12"/>
  <c r="G4862" i="12"/>
  <c r="G4868" i="12"/>
  <c r="G4873" i="12"/>
  <c r="G4878" i="12"/>
  <c r="G4884" i="12"/>
  <c r="G4888" i="12"/>
  <c r="G4893" i="12"/>
  <c r="G4899" i="12"/>
  <c r="G4904" i="12"/>
  <c r="G4909" i="12"/>
  <c r="G4915" i="12"/>
  <c r="G4920" i="12"/>
  <c r="G4925" i="12"/>
  <c r="G4931" i="12"/>
  <c r="G4936" i="12"/>
  <c r="G4941" i="12"/>
  <c r="G4947" i="12"/>
  <c r="G4952" i="12"/>
  <c r="G4957" i="12"/>
  <c r="G4963" i="12"/>
  <c r="G4968" i="12"/>
  <c r="G4973" i="12"/>
  <c r="G4979" i="12"/>
  <c r="G4984" i="12"/>
  <c r="G4989" i="12"/>
  <c r="G4995" i="12"/>
  <c r="G5000" i="12"/>
  <c r="G5005" i="12"/>
  <c r="G5011" i="12"/>
  <c r="G5016" i="12"/>
  <c r="G5021" i="12"/>
  <c r="G5027" i="12"/>
  <c r="G5032" i="12"/>
  <c r="G5037" i="12"/>
  <c r="G5043" i="12"/>
  <c r="G5048" i="12"/>
  <c r="G5053" i="12"/>
  <c r="G5059" i="12"/>
  <c r="G5064" i="12"/>
  <c r="G5069" i="12"/>
  <c r="G5075" i="12"/>
  <c r="G5080" i="12"/>
  <c r="G5085" i="12"/>
  <c r="G5091" i="12"/>
  <c r="G5096" i="12"/>
  <c r="G5101" i="12"/>
  <c r="G5107" i="12"/>
  <c r="G5112" i="12"/>
  <c r="G5117" i="12"/>
  <c r="G5123" i="12"/>
  <c r="G5128" i="12"/>
  <c r="G5133" i="12"/>
  <c r="G5139" i="12"/>
  <c r="G5144" i="12"/>
  <c r="G5149" i="12"/>
  <c r="G5155" i="12"/>
  <c r="G5160" i="12"/>
  <c r="G5165" i="12"/>
  <c r="G5171" i="12"/>
  <c r="G5176" i="12"/>
  <c r="G5181" i="12"/>
  <c r="G5187" i="12"/>
  <c r="G5192" i="12"/>
  <c r="G5197" i="12"/>
  <c r="G5203" i="12"/>
  <c r="G5208" i="12"/>
  <c r="G5213" i="12"/>
  <c r="G5219" i="12"/>
  <c r="G5224" i="12"/>
  <c r="G5229" i="12"/>
  <c r="G5235" i="12"/>
  <c r="G5240" i="12"/>
  <c r="G5245" i="12"/>
  <c r="G5251" i="12"/>
  <c r="G5256" i="12"/>
  <c r="G5261" i="12"/>
  <c r="G5267" i="12"/>
  <c r="G5272" i="12"/>
  <c r="G5277" i="12"/>
  <c r="G5283" i="12"/>
  <c r="G5288" i="12"/>
  <c r="G5293" i="12"/>
  <c r="G5299" i="12"/>
  <c r="G5304" i="12"/>
  <c r="G5309" i="12"/>
  <c r="G5315" i="12"/>
  <c r="G5320" i="12"/>
  <c r="G5325" i="12"/>
  <c r="G5331" i="12"/>
  <c r="G5336" i="12"/>
  <c r="G5341" i="12"/>
  <c r="G5347" i="12"/>
  <c r="G5352" i="12"/>
  <c r="G5357" i="12"/>
  <c r="G5363" i="12"/>
  <c r="G5368" i="12"/>
  <c r="G5373" i="12"/>
  <c r="G5379" i="12"/>
  <c r="G5384" i="12"/>
  <c r="G5389" i="12"/>
  <c r="G5395" i="12"/>
  <c r="G5400" i="12"/>
  <c r="G5405" i="12"/>
  <c r="G5411" i="12"/>
  <c r="G5416" i="12"/>
  <c r="G5421" i="12"/>
  <c r="G5427" i="12"/>
  <c r="G5432" i="12"/>
  <c r="G5437" i="12"/>
  <c r="G5443" i="12"/>
  <c r="G5448" i="12"/>
  <c r="G5453" i="12"/>
  <c r="G5459" i="12"/>
  <c r="G5464" i="12"/>
  <c r="G5469" i="12"/>
  <c r="G5475" i="12"/>
  <c r="G5480" i="12"/>
  <c r="G5485" i="12"/>
  <c r="G5491" i="12"/>
  <c r="G5496" i="12"/>
  <c r="G5501" i="12"/>
  <c r="G5507" i="12"/>
  <c r="G5512" i="12"/>
  <c r="G5517" i="12"/>
  <c r="G5523" i="12"/>
  <c r="G5528" i="12"/>
  <c r="G5533" i="12"/>
  <c r="G5539" i="12"/>
  <c r="G5544" i="12"/>
  <c r="G5549" i="12"/>
  <c r="G5555" i="12"/>
  <c r="G5560" i="12"/>
  <c r="G5565" i="12"/>
  <c r="G5571" i="12"/>
  <c r="G5576" i="12"/>
  <c r="G5581" i="12"/>
  <c r="G5587" i="12"/>
  <c r="G5592" i="12"/>
  <c r="G5597" i="12"/>
  <c r="G5603" i="12"/>
  <c r="G5608" i="12"/>
  <c r="G5613" i="12"/>
  <c r="G5619" i="12"/>
  <c r="G5624" i="12"/>
  <c r="G5628" i="12"/>
  <c r="G5634" i="12"/>
  <c r="G5639" i="12"/>
  <c r="G5644" i="12"/>
  <c r="G5650" i="12"/>
  <c r="G5655" i="12"/>
  <c r="G5660" i="12"/>
  <c r="G5666" i="12"/>
  <c r="G5671" i="12"/>
  <c r="G5676" i="12"/>
  <c r="G5682" i="12"/>
  <c r="G5687" i="12"/>
  <c r="G5692" i="12"/>
  <c r="G5698" i="12"/>
  <c r="G5703" i="12"/>
  <c r="G5708" i="12"/>
  <c r="G5714" i="12"/>
  <c r="G5719" i="12"/>
  <c r="G5724" i="12"/>
  <c r="G5730" i="12"/>
  <c r="G5735" i="12"/>
  <c r="G5740" i="12"/>
  <c r="G5746" i="12"/>
  <c r="G5751" i="12"/>
  <c r="G5756" i="12"/>
  <c r="G5762" i="12"/>
  <c r="G5767" i="12"/>
  <c r="G5772" i="12"/>
  <c r="G5778" i="12"/>
  <c r="G5783" i="12"/>
  <c r="G5788" i="12"/>
  <c r="G5794" i="12"/>
  <c r="G5799" i="12"/>
  <c r="G5804" i="12"/>
  <c r="G5810" i="12"/>
  <c r="G5815" i="12"/>
  <c r="G5820" i="12"/>
  <c r="G5826" i="12"/>
  <c r="G5831" i="12"/>
  <c r="G5836" i="12"/>
  <c r="G5842" i="12"/>
  <c r="G5847" i="12"/>
  <c r="G5852" i="12"/>
  <c r="G5858" i="12"/>
  <c r="G5863" i="12"/>
  <c r="G5868" i="12"/>
  <c r="G5874" i="12"/>
  <c r="G5879" i="12"/>
  <c r="G5884" i="12"/>
  <c r="G5890" i="12"/>
  <c r="G5895" i="12"/>
  <c r="G5900" i="12"/>
  <c r="G5906" i="12"/>
  <c r="G5911" i="12"/>
  <c r="G5916" i="12"/>
  <c r="G5922" i="12"/>
  <c r="G5927" i="12"/>
  <c r="G5932" i="12"/>
  <c r="G5938" i="12"/>
  <c r="G5943" i="12"/>
  <c r="G5948" i="12"/>
  <c r="G5954" i="12"/>
  <c r="G5959" i="12"/>
  <c r="G5964" i="12"/>
  <c r="G5970" i="12"/>
  <c r="G5975" i="12"/>
  <c r="G5980" i="12"/>
  <c r="G5986" i="12"/>
  <c r="G5991" i="12"/>
  <c r="G5996" i="12"/>
  <c r="G6002" i="12"/>
  <c r="G6007" i="12"/>
  <c r="G6012" i="12"/>
  <c r="G6018" i="12"/>
  <c r="G6023" i="12"/>
  <c r="G6028" i="12"/>
  <c r="G6034" i="12"/>
  <c r="G6039" i="12"/>
  <c r="G6044" i="12"/>
  <c r="G6050" i="12"/>
  <c r="G6055" i="12"/>
  <c r="G6060" i="12"/>
  <c r="G6066" i="12"/>
  <c r="G6071" i="12"/>
  <c r="G6076" i="12"/>
  <c r="G6082" i="12"/>
  <c r="G6087" i="12"/>
  <c r="G6092" i="12"/>
  <c r="G6098" i="12"/>
  <c r="G6103" i="12"/>
  <c r="G6108" i="12"/>
  <c r="G6114" i="12"/>
  <c r="G6119" i="12"/>
  <c r="G6124" i="12"/>
  <c r="G6130" i="12"/>
  <c r="G6135" i="12"/>
  <c r="G6140" i="12"/>
  <c r="G6146" i="12"/>
  <c r="G6151" i="12"/>
  <c r="G6156" i="12"/>
  <c r="G6162" i="12"/>
  <c r="G6167" i="12"/>
  <c r="G6172" i="12"/>
  <c r="G6178" i="12"/>
  <c r="G6183" i="12"/>
  <c r="G6188" i="12"/>
  <c r="G6194" i="12"/>
  <c r="G6199" i="12"/>
  <c r="G6204" i="12"/>
  <c r="G6210" i="12"/>
  <c r="G6215" i="12"/>
  <c r="G6220" i="12"/>
  <c r="G6226" i="12"/>
  <c r="G6231" i="12"/>
  <c r="G6236" i="12"/>
  <c r="G6242" i="12"/>
  <c r="G6247" i="12"/>
  <c r="G6252" i="12"/>
  <c r="G6258" i="12"/>
  <c r="G6263" i="12"/>
  <c r="G6268" i="12"/>
  <c r="G6274" i="12"/>
  <c r="G6279" i="12"/>
  <c r="G6284" i="12"/>
  <c r="G6290" i="12"/>
  <c r="G6295" i="12"/>
  <c r="G6300" i="12"/>
  <c r="G6306" i="12"/>
  <c r="G6311" i="12"/>
  <c r="G6316" i="12"/>
  <c r="G6322" i="12"/>
  <c r="G6327" i="12"/>
  <c r="G6332" i="12"/>
  <c r="G6338" i="12"/>
  <c r="G6343" i="12"/>
  <c r="G6348" i="12"/>
  <c r="G6354" i="12"/>
  <c r="G6359" i="12"/>
  <c r="G6364" i="12"/>
  <c r="G6370" i="12"/>
  <c r="G6375" i="12"/>
  <c r="G6380" i="12"/>
  <c r="G6386" i="12"/>
  <c r="G6391" i="12"/>
  <c r="G6396" i="12"/>
  <c r="G6402" i="12"/>
  <c r="G6407" i="12"/>
  <c r="G6412" i="12"/>
  <c r="G6418" i="12"/>
  <c r="G6423" i="12"/>
  <c r="G6428" i="12"/>
  <c r="G6434" i="12"/>
  <c r="G6439" i="12"/>
  <c r="G6444" i="12"/>
  <c r="G6450" i="12"/>
  <c r="G6455" i="12"/>
  <c r="G6460" i="12"/>
  <c r="G6466" i="12"/>
  <c r="G6471" i="12"/>
  <c r="G6476" i="12"/>
  <c r="G6482" i="12"/>
  <c r="G6487" i="12"/>
  <c r="G6492" i="12"/>
  <c r="G6498" i="12"/>
  <c r="G6503" i="12"/>
  <c r="G6508" i="12"/>
  <c r="G6514" i="12"/>
  <c r="G6519" i="12"/>
  <c r="G6524" i="12"/>
  <c r="G6530" i="12"/>
  <c r="G6535" i="12"/>
  <c r="G6540" i="12"/>
  <c r="G6546" i="12"/>
  <c r="G6551" i="12"/>
  <c r="G6556" i="12"/>
  <c r="G6562" i="12"/>
  <c r="G6567" i="12"/>
  <c r="G6572" i="12"/>
  <c r="G6578" i="12"/>
  <c r="G6583" i="12"/>
  <c r="G6588" i="12"/>
  <c r="G6594" i="12"/>
  <c r="G6599" i="12"/>
  <c r="G6604" i="12"/>
  <c r="G6610" i="12"/>
  <c r="G6615" i="12"/>
  <c r="G6620" i="12"/>
  <c r="G6626" i="12"/>
  <c r="G6631" i="12"/>
  <c r="G6636" i="12"/>
  <c r="G6642" i="12"/>
  <c r="G6647" i="12"/>
  <c r="G6652" i="12"/>
  <c r="G6658" i="12"/>
  <c r="G6663" i="12"/>
  <c r="G6668" i="12"/>
  <c r="G6674" i="12"/>
  <c r="G6679" i="12"/>
  <c r="G6684" i="12"/>
  <c r="G6690" i="12"/>
  <c r="G6695" i="12"/>
  <c r="G6700" i="12"/>
  <c r="G6706" i="12"/>
  <c r="G6711" i="12"/>
  <c r="G6716" i="12"/>
  <c r="G6722" i="12"/>
  <c r="G6727" i="12"/>
  <c r="G6732" i="12"/>
  <c r="G6738" i="12"/>
  <c r="G6742" i="12"/>
  <c r="G6746" i="12"/>
  <c r="G6750" i="12"/>
  <c r="G6754" i="12"/>
  <c r="G6758" i="12"/>
  <c r="G6762" i="12"/>
  <c r="G6766" i="12"/>
  <c r="G6770" i="12"/>
  <c r="G6774" i="12"/>
  <c r="G6778" i="12"/>
  <c r="G6782" i="12"/>
  <c r="G6786" i="12"/>
  <c r="G6790" i="12"/>
  <c r="G6794" i="12"/>
  <c r="G6798" i="12"/>
  <c r="G6802" i="12"/>
  <c r="G6806" i="12"/>
  <c r="G6810" i="12"/>
  <c r="G6814" i="12"/>
  <c r="G6818" i="12"/>
  <c r="G6822" i="12"/>
  <c r="G6826" i="12"/>
  <c r="G6830" i="12"/>
  <c r="G6834" i="12"/>
  <c r="G6838" i="12"/>
  <c r="G6842" i="12"/>
  <c r="G6846" i="12"/>
  <c r="G6850" i="12"/>
  <c r="G6854" i="12"/>
  <c r="G6858" i="12"/>
  <c r="G6862" i="12"/>
  <c r="G6866" i="12"/>
  <c r="G6870" i="12"/>
  <c r="G6874" i="12"/>
  <c r="G6878" i="12"/>
  <c r="G6882" i="12"/>
  <c r="G6886" i="12"/>
  <c r="G6890" i="12"/>
  <c r="G6894" i="12"/>
  <c r="G6898" i="12"/>
  <c r="G6902" i="12"/>
  <c r="G6906" i="12"/>
  <c r="G6910" i="12"/>
  <c r="G6914" i="12"/>
  <c r="G6918" i="12"/>
  <c r="G6922" i="12"/>
  <c r="G6926" i="12"/>
  <c r="G6930" i="12"/>
  <c r="G6934" i="12"/>
  <c r="G6938" i="12"/>
  <c r="G6942" i="12"/>
  <c r="G6946" i="12"/>
  <c r="G6950" i="12"/>
  <c r="G6954" i="12"/>
  <c r="G6958" i="12"/>
  <c r="G6962" i="12"/>
  <c r="G6966" i="12"/>
  <c r="G6970" i="12"/>
  <c r="G6974" i="12"/>
  <c r="G6978" i="12"/>
  <c r="G6982" i="12"/>
  <c r="G6986" i="12"/>
  <c r="G6990" i="12"/>
  <c r="G6994" i="12"/>
  <c r="G6998" i="12"/>
  <c r="G7002" i="12"/>
  <c r="G7006" i="12"/>
  <c r="G7010" i="12"/>
  <c r="G7014" i="12"/>
  <c r="G7018" i="12"/>
  <c r="G7022" i="12"/>
  <c r="G7026" i="12"/>
  <c r="G7030" i="12"/>
  <c r="G7034" i="12"/>
  <c r="G7038" i="12"/>
  <c r="G7042" i="12"/>
  <c r="G7046" i="12"/>
  <c r="G7050" i="12"/>
  <c r="G7054" i="12"/>
  <c r="G7058" i="12"/>
  <c r="G7062" i="12"/>
  <c r="G7066" i="12"/>
  <c r="G7070" i="12"/>
  <c r="G7074" i="12"/>
  <c r="G7078" i="12"/>
  <c r="G7082" i="12"/>
  <c r="G7086" i="12"/>
  <c r="G7090" i="12"/>
  <c r="G7094" i="12"/>
  <c r="G7098" i="12"/>
  <c r="G7102" i="12"/>
  <c r="G7106" i="12"/>
  <c r="G7110" i="12"/>
  <c r="G7114" i="12"/>
  <c r="G7118" i="12"/>
  <c r="G7122" i="12"/>
  <c r="G7126" i="12"/>
  <c r="G7130" i="12"/>
  <c r="G7134" i="12"/>
  <c r="G7138" i="12"/>
  <c r="G7142" i="12"/>
  <c r="G7146" i="12"/>
  <c r="G7150" i="12"/>
  <c r="G7154" i="12"/>
  <c r="G7158" i="12"/>
  <c r="G7162" i="12"/>
  <c r="G7166" i="12"/>
  <c r="G7170" i="12"/>
  <c r="G7174" i="12"/>
  <c r="G7178" i="12"/>
  <c r="G7182" i="12"/>
  <c r="G7186" i="12"/>
  <c r="G7190" i="12"/>
  <c r="G7194" i="12"/>
  <c r="G7198" i="12"/>
  <c r="G7202" i="12"/>
  <c r="G7206" i="12"/>
  <c r="G7210" i="12"/>
  <c r="G7214" i="12"/>
  <c r="G7218" i="12"/>
  <c r="G7222" i="12"/>
  <c r="G7226" i="12"/>
  <c r="G7230" i="12"/>
  <c r="G7234" i="12"/>
  <c r="G7238" i="12"/>
  <c r="G7242" i="12"/>
  <c r="G7246" i="12"/>
  <c r="G7250" i="12"/>
  <c r="G7254" i="12"/>
  <c r="G7258" i="12"/>
  <c r="G7262" i="12"/>
  <c r="G7266" i="12"/>
  <c r="G7270" i="12"/>
  <c r="G7274" i="12"/>
  <c r="G7278" i="12"/>
  <c r="G7282" i="12"/>
  <c r="G7286" i="12"/>
  <c r="G7290" i="12"/>
  <c r="G7294" i="12"/>
  <c r="G7298" i="12"/>
  <c r="G7302" i="12"/>
  <c r="G7306" i="12"/>
  <c r="G7310" i="12"/>
  <c r="G7314" i="12"/>
  <c r="G7318" i="12"/>
  <c r="G7322" i="12"/>
  <c r="G7326" i="12"/>
  <c r="G7330" i="12"/>
  <c r="G7334" i="12"/>
  <c r="G7338" i="12"/>
  <c r="G7342" i="12"/>
  <c r="G7346" i="12"/>
  <c r="G7350" i="12"/>
  <c r="G7354" i="12"/>
  <c r="G7358" i="12"/>
  <c r="G7362" i="12"/>
  <c r="G7366" i="12"/>
  <c r="G7370" i="12"/>
  <c r="G7374" i="12"/>
  <c r="G7378" i="12"/>
  <c r="G7382" i="12"/>
  <c r="G7386" i="12"/>
  <c r="G7390" i="12"/>
  <c r="G7394" i="12"/>
  <c r="G7398" i="12"/>
  <c r="G7402" i="12"/>
  <c r="G7406" i="12"/>
  <c r="G7410" i="12"/>
  <c r="G7414" i="12"/>
  <c r="G7418" i="12"/>
  <c r="G7422" i="12"/>
  <c r="G7426" i="12"/>
  <c r="G7430" i="12"/>
  <c r="G7434" i="12"/>
  <c r="G7438" i="12"/>
  <c r="G7442" i="12"/>
  <c r="G7446" i="12"/>
  <c r="G7450" i="12"/>
  <c r="G7454" i="12"/>
  <c r="G7458" i="12"/>
  <c r="G7462" i="12"/>
  <c r="G7466" i="12"/>
  <c r="G7470" i="12"/>
  <c r="G7474" i="12"/>
  <c r="G7478" i="12"/>
  <c r="G7482" i="12"/>
  <c r="G7486" i="12"/>
  <c r="G7490" i="12"/>
  <c r="G7494" i="12"/>
  <c r="G7498" i="12"/>
  <c r="G7502" i="12"/>
  <c r="G7506" i="12"/>
  <c r="G7510" i="12"/>
  <c r="G7514" i="12"/>
  <c r="G7518" i="12"/>
  <c r="G7522" i="12"/>
  <c r="G7526" i="12"/>
  <c r="G7530" i="12"/>
  <c r="G7534" i="12"/>
  <c r="G7538" i="12"/>
  <c r="G7542" i="12"/>
  <c r="G7546" i="12"/>
  <c r="G7550" i="12"/>
  <c r="G7554" i="12"/>
  <c r="G7558" i="12"/>
  <c r="G7562" i="12"/>
  <c r="G7566" i="12"/>
  <c r="G7570" i="12"/>
  <c r="G7574" i="12"/>
  <c r="G7578" i="12"/>
  <c r="G7582" i="12"/>
  <c r="G7586" i="12"/>
  <c r="G7590" i="12"/>
  <c r="G7594" i="12"/>
  <c r="G7598" i="12"/>
  <c r="G7602" i="12"/>
  <c r="G7606" i="12"/>
  <c r="G7610" i="12"/>
  <c r="G7614" i="12"/>
  <c r="G7618" i="12"/>
  <c r="G7622" i="12"/>
  <c r="G7626" i="12"/>
  <c r="G7630" i="12"/>
  <c r="G7634" i="12"/>
  <c r="G7638" i="12"/>
  <c r="G7642" i="12"/>
  <c r="G7646" i="12"/>
  <c r="G7650" i="12"/>
  <c r="G7654" i="12"/>
  <c r="G7658" i="12"/>
  <c r="G7662" i="12"/>
  <c r="G7666" i="12"/>
  <c r="G7670" i="12"/>
  <c r="G7674" i="12"/>
  <c r="G7678" i="12"/>
  <c r="G7682" i="12"/>
  <c r="G7686" i="12"/>
  <c r="G7690" i="12"/>
  <c r="G7694" i="12"/>
  <c r="G7698" i="12"/>
  <c r="G7702" i="12"/>
  <c r="G7706" i="12"/>
  <c r="G7710" i="12"/>
  <c r="G7714" i="12"/>
  <c r="G7718" i="12"/>
  <c r="G7722" i="12"/>
  <c r="G7726" i="12"/>
  <c r="G7730" i="12"/>
  <c r="G7734" i="12"/>
  <c r="G7738" i="12"/>
  <c r="G7742" i="12"/>
  <c r="G7746" i="12"/>
  <c r="G7750" i="12"/>
  <c r="G7754" i="12"/>
  <c r="G7758" i="12"/>
  <c r="G7762" i="12"/>
  <c r="G7766" i="12"/>
  <c r="G7770" i="12"/>
  <c r="G7774" i="12"/>
  <c r="G7778" i="12"/>
  <c r="G7782" i="12"/>
  <c r="G7786" i="12"/>
  <c r="G7790" i="12"/>
  <c r="G7794" i="12"/>
  <c r="G7798" i="12"/>
  <c r="G7802" i="12"/>
  <c r="G7806" i="12"/>
  <c r="G7810" i="12"/>
  <c r="G7814" i="12"/>
  <c r="G7818" i="12"/>
  <c r="G7822" i="12"/>
  <c r="G7826" i="12"/>
  <c r="G7830" i="12"/>
  <c r="G7834" i="12"/>
  <c r="G7838" i="12"/>
  <c r="G7842" i="12"/>
  <c r="G7846" i="12"/>
  <c r="G7850" i="12"/>
  <c r="G7854" i="12"/>
  <c r="G7858" i="12"/>
  <c r="G7862" i="12"/>
  <c r="G7866" i="12"/>
  <c r="G7870" i="12"/>
  <c r="G7874" i="12"/>
  <c r="G7878" i="12"/>
  <c r="G7882" i="12"/>
  <c r="G7886" i="12"/>
  <c r="G7890" i="12"/>
  <c r="G7894" i="12"/>
  <c r="G7898" i="12"/>
  <c r="G7902" i="12"/>
  <c r="G7906" i="12"/>
  <c r="G7910" i="12"/>
  <c r="G7914" i="12"/>
  <c r="G7918" i="12"/>
  <c r="G7922" i="12"/>
  <c r="G7926" i="12"/>
  <c r="G7930" i="12"/>
  <c r="G7934" i="12"/>
  <c r="G7938" i="12"/>
  <c r="G7942" i="12"/>
  <c r="G7946" i="12"/>
  <c r="G7950" i="12"/>
  <c r="G7954" i="12"/>
  <c r="G7958" i="12"/>
  <c r="G7962" i="12"/>
  <c r="G7966" i="12"/>
  <c r="G7970" i="12"/>
  <c r="G7974" i="12"/>
  <c r="G7978" i="12"/>
  <c r="G7982" i="12"/>
  <c r="G7986" i="12"/>
  <c r="G7990" i="12"/>
  <c r="G7994" i="12"/>
  <c r="G7998" i="12"/>
  <c r="G8002" i="12"/>
  <c r="G8006" i="12"/>
  <c r="G8010" i="12"/>
  <c r="G8014" i="12"/>
  <c r="G8018" i="12"/>
  <c r="G8022" i="12"/>
  <c r="G8026" i="12"/>
  <c r="G8030" i="12"/>
  <c r="G8034" i="12"/>
  <c r="G8038" i="12"/>
  <c r="G8042" i="12"/>
  <c r="G8046" i="12"/>
  <c r="G8050" i="12"/>
  <c r="G8054" i="12"/>
  <c r="G8058" i="12"/>
  <c r="G8062" i="12"/>
  <c r="G8066" i="12"/>
  <c r="G8070" i="12"/>
  <c r="G8074" i="12"/>
  <c r="G8078" i="12"/>
  <c r="G8082" i="12"/>
  <c r="G8086" i="12"/>
  <c r="G8090" i="12"/>
  <c r="G8094" i="12"/>
  <c r="G8098" i="12"/>
  <c r="G8102" i="12"/>
  <c r="G8106" i="12"/>
  <c r="G8110" i="12"/>
  <c r="G8114" i="12"/>
  <c r="G8118" i="12"/>
  <c r="G8122" i="12"/>
  <c r="G8126" i="12"/>
  <c r="G8130" i="12"/>
  <c r="G8134" i="12"/>
  <c r="G8138" i="12"/>
  <c r="G8142" i="12"/>
  <c r="G8146" i="12"/>
  <c r="G8150" i="12"/>
  <c r="G8154" i="12"/>
  <c r="G8158" i="12"/>
  <c r="G8162" i="12"/>
  <c r="G8166" i="12"/>
  <c r="G8170" i="12"/>
  <c r="G8174" i="12"/>
  <c r="G8178" i="12"/>
  <c r="G8182" i="12"/>
  <c r="G8186" i="12"/>
  <c r="G8190" i="12"/>
  <c r="G8194" i="12"/>
  <c r="G8198" i="12"/>
  <c r="G8202" i="12"/>
  <c r="G8206" i="12"/>
  <c r="G8210" i="12"/>
  <c r="G8214" i="12"/>
  <c r="G8218" i="12"/>
  <c r="G8222" i="12"/>
  <c r="G8226" i="12"/>
  <c r="G8230" i="12"/>
  <c r="G8234" i="12"/>
  <c r="G8238" i="12"/>
  <c r="G8242" i="12"/>
  <c r="G8246" i="12"/>
  <c r="G8250" i="12"/>
  <c r="G8254" i="12"/>
  <c r="G8258" i="12"/>
  <c r="G8262" i="12"/>
  <c r="G8266" i="12"/>
  <c r="G8270" i="12"/>
  <c r="G8274" i="12"/>
  <c r="G8278" i="12"/>
  <c r="G8282" i="12"/>
  <c r="G8286" i="12"/>
  <c r="G8290" i="12"/>
  <c r="G8294" i="12"/>
  <c r="G8298" i="12"/>
  <c r="G8302" i="12"/>
  <c r="G8306" i="12"/>
  <c r="G8310" i="12"/>
  <c r="G8314" i="12"/>
  <c r="G8318" i="12"/>
  <c r="G8322" i="12"/>
  <c r="G8326" i="12"/>
  <c r="G8330" i="12"/>
  <c r="G8334" i="12"/>
  <c r="G8338" i="12"/>
  <c r="G8342" i="12"/>
  <c r="G8346" i="12"/>
  <c r="G8350" i="12"/>
  <c r="G8354" i="12"/>
  <c r="G8358" i="12"/>
  <c r="G8362" i="12"/>
  <c r="G8366" i="12"/>
  <c r="G8370" i="12"/>
  <c r="G8374" i="12"/>
  <c r="G8378" i="12"/>
  <c r="G8382" i="12"/>
  <c r="G8386" i="12"/>
  <c r="G8390" i="12"/>
  <c r="G8394" i="12"/>
  <c r="G8398" i="12"/>
  <c r="G21" i="12"/>
  <c r="G37" i="12"/>
  <c r="G57" i="12"/>
  <c r="G73" i="12"/>
  <c r="G88" i="12"/>
  <c r="G106" i="12"/>
  <c r="G122" i="12"/>
  <c r="G138" i="12"/>
  <c r="G158" i="12"/>
  <c r="G173" i="12"/>
  <c r="G189" i="12"/>
  <c r="G208" i="12"/>
  <c r="G224" i="12"/>
  <c r="G238" i="12"/>
  <c r="G258" i="12"/>
  <c r="G274" i="12"/>
  <c r="G292" i="12"/>
  <c r="G308" i="12"/>
  <c r="G323" i="12"/>
  <c r="G340" i="12"/>
  <c r="G356" i="12"/>
  <c r="G369" i="12"/>
  <c r="G380" i="12"/>
  <c r="G393" i="12"/>
  <c r="G406" i="12"/>
  <c r="G418" i="12"/>
  <c r="G433" i="12"/>
  <c r="G444" i="12"/>
  <c r="G456" i="12"/>
  <c r="G470" i="12"/>
  <c r="G482" i="12"/>
  <c r="G493" i="12"/>
  <c r="G508" i="12"/>
  <c r="G520" i="12"/>
  <c r="G532" i="12"/>
  <c r="G546" i="12"/>
  <c r="G557" i="12"/>
  <c r="G569" i="12"/>
  <c r="G584" i="12"/>
  <c r="G595" i="12"/>
  <c r="G605" i="12"/>
  <c r="G620" i="12"/>
  <c r="G632" i="12"/>
  <c r="G645" i="12"/>
  <c r="G659" i="12"/>
  <c r="G669" i="12"/>
  <c r="G683" i="12"/>
  <c r="G696" i="12"/>
  <c r="G709" i="12"/>
  <c r="G720" i="12"/>
  <c r="G733" i="12"/>
  <c r="G747" i="12"/>
  <c r="G759" i="12"/>
  <c r="G773" i="12"/>
  <c r="G781" i="12"/>
  <c r="G790" i="12"/>
  <c r="G801" i="12"/>
  <c r="G810" i="12"/>
  <c r="G818" i="12"/>
  <c r="G829" i="12"/>
  <c r="G838" i="12"/>
  <c r="G847" i="12"/>
  <c r="G858" i="12"/>
  <c r="G866" i="12"/>
  <c r="G875" i="12"/>
  <c r="G886" i="12"/>
  <c r="G894" i="12"/>
  <c r="G902" i="12"/>
  <c r="G913" i="12"/>
  <c r="G922" i="12"/>
  <c r="G932" i="12"/>
  <c r="G942" i="12"/>
  <c r="G950" i="12"/>
  <c r="G960" i="12"/>
  <c r="G970" i="12"/>
  <c r="G980" i="12"/>
  <c r="G988" i="12"/>
  <c r="G998" i="12"/>
  <c r="G1008" i="12"/>
  <c r="G1017" i="12"/>
  <c r="G1028" i="12"/>
  <c r="G1036" i="12"/>
  <c r="G1045" i="12"/>
  <c r="G1056" i="12"/>
  <c r="G1065" i="12"/>
  <c r="G1073" i="12"/>
  <c r="G1084" i="12"/>
  <c r="G1093" i="12"/>
  <c r="G1102" i="12"/>
  <c r="G1113" i="12"/>
  <c r="G1121" i="12"/>
  <c r="G1130" i="12"/>
  <c r="G1141" i="12"/>
  <c r="G1150" i="12"/>
  <c r="G1158" i="12"/>
  <c r="G1169" i="12"/>
  <c r="G1178" i="12"/>
  <c r="G1188" i="12"/>
  <c r="G1198" i="12"/>
  <c r="G1206" i="12"/>
  <c r="G1216" i="12"/>
  <c r="G1226" i="12"/>
  <c r="G1236" i="12"/>
  <c r="G1244" i="12"/>
  <c r="G1254" i="12"/>
  <c r="G1264" i="12"/>
  <c r="G1273" i="12"/>
  <c r="G1284" i="12"/>
  <c r="G1292" i="12"/>
  <c r="G1301" i="12"/>
  <c r="G1312" i="12"/>
  <c r="G1321" i="12"/>
  <c r="G1329" i="12"/>
  <c r="G1340" i="12"/>
  <c r="G1349" i="12"/>
  <c r="G1358" i="12"/>
  <c r="G1369" i="12"/>
  <c r="G1377" i="12"/>
  <c r="G1386" i="12"/>
  <c r="G1397" i="12"/>
  <c r="G1406" i="12"/>
  <c r="G1414" i="12"/>
  <c r="G1425" i="12"/>
  <c r="G1434" i="12"/>
  <c r="G1444" i="12"/>
  <c r="G1454" i="12"/>
  <c r="G1462" i="12"/>
  <c r="G1472" i="12"/>
  <c r="G1482" i="12"/>
  <c r="G1492" i="12"/>
  <c r="G1500" i="12"/>
  <c r="G1510" i="12"/>
  <c r="G1520" i="12"/>
  <c r="G1529" i="12"/>
  <c r="G1540" i="12"/>
  <c r="G1548" i="12"/>
  <c r="G1557" i="12"/>
  <c r="G1568" i="12"/>
  <c r="G1577" i="12"/>
  <c r="G1585" i="12"/>
  <c r="G1596" i="12"/>
  <c r="G1605" i="12"/>
  <c r="G1614" i="12"/>
  <c r="G1625" i="12"/>
  <c r="G1631" i="12"/>
  <c r="G1638" i="12"/>
  <c r="G1646" i="12"/>
  <c r="G1653" i="12"/>
  <c r="G1659" i="12"/>
  <c r="G1667" i="12"/>
  <c r="G1674" i="12"/>
  <c r="G1681" i="12"/>
  <c r="G1689" i="12"/>
  <c r="G1695" i="12"/>
  <c r="G1702" i="12"/>
  <c r="G1710" i="12"/>
  <c r="G1717" i="12"/>
  <c r="G1723" i="12"/>
  <c r="G1731" i="12"/>
  <c r="G1738" i="12"/>
  <c r="G1745" i="12"/>
  <c r="G1753" i="12"/>
  <c r="G1759" i="12"/>
  <c r="G1766" i="12"/>
  <c r="G1774" i="12"/>
  <c r="G1781" i="12"/>
  <c r="G1787" i="12"/>
  <c r="G1795" i="12"/>
  <c r="G1802" i="12"/>
  <c r="G1809" i="12"/>
  <c r="G1816" i="12"/>
  <c r="G1822" i="12"/>
  <c r="G1829" i="12"/>
  <c r="G1837" i="12"/>
  <c r="G1844" i="12"/>
  <c r="G1850" i="12"/>
  <c r="G1858" i="12"/>
  <c r="G1865" i="12"/>
  <c r="G1872" i="12"/>
  <c r="G1880" i="12"/>
  <c r="G1886" i="12"/>
  <c r="G1893" i="12"/>
  <c r="G1901" i="12"/>
  <c r="G1908" i="12"/>
  <c r="G1914" i="12"/>
  <c r="G1922" i="12"/>
  <c r="G1929" i="12"/>
  <c r="G1936" i="12"/>
  <c r="G1944" i="12"/>
  <c r="G1950" i="12"/>
  <c r="G1957" i="12"/>
  <c r="G1965" i="12"/>
  <c r="G1972" i="12"/>
  <c r="G1978" i="12"/>
  <c r="G1986" i="12"/>
  <c r="G1993" i="12"/>
  <c r="G2000" i="12"/>
  <c r="G2008" i="12"/>
  <c r="G2014" i="12"/>
  <c r="G2021" i="12"/>
  <c r="G2029" i="12"/>
  <c r="G2036" i="12"/>
  <c r="G2042" i="12"/>
  <c r="G2050" i="12"/>
  <c r="G2057" i="12"/>
  <c r="G2064" i="12"/>
  <c r="G2072" i="12"/>
  <c r="G2078" i="12"/>
  <c r="G2085" i="12"/>
  <c r="G2093" i="12"/>
  <c r="G2100" i="12"/>
  <c r="G2106" i="12"/>
  <c r="G2114" i="12"/>
  <c r="G2121" i="12"/>
  <c r="G2128" i="12"/>
  <c r="G2136" i="12"/>
  <c r="G2142" i="12"/>
  <c r="G2149" i="12"/>
  <c r="G2157" i="12"/>
  <c r="G2164" i="12"/>
  <c r="G2170" i="12"/>
  <c r="G2178" i="12"/>
  <c r="G2185" i="12"/>
  <c r="G2192" i="12"/>
  <c r="G2200" i="12"/>
  <c r="G2206" i="12"/>
  <c r="G2213" i="12"/>
  <c r="G2221" i="12"/>
  <c r="G2228" i="12"/>
  <c r="G2234" i="12"/>
  <c r="G2242" i="12"/>
  <c r="G2249" i="12"/>
  <c r="G2256" i="12"/>
  <c r="G2264" i="12"/>
  <c r="G2270" i="12"/>
  <c r="G2277" i="12"/>
  <c r="G2285" i="12"/>
  <c r="G2292" i="12"/>
  <c r="G2298" i="12"/>
  <c r="G2306" i="12"/>
  <c r="G2313" i="12"/>
  <c r="G2320" i="12"/>
  <c r="G2328" i="12"/>
  <c r="G2334" i="12"/>
  <c r="G2341" i="12"/>
  <c r="G2349" i="12"/>
  <c r="G2356" i="12"/>
  <c r="G2362" i="12"/>
  <c r="G2370" i="12"/>
  <c r="G2377" i="12"/>
  <c r="G2384" i="12"/>
  <c r="G2392" i="12"/>
  <c r="G2398" i="12"/>
  <c r="G2405" i="12"/>
  <c r="G2413" i="12"/>
  <c r="G2420" i="12"/>
  <c r="G2426" i="12"/>
  <c r="G2434" i="12"/>
  <c r="G2441" i="12"/>
  <c r="G2448" i="12"/>
  <c r="G2456" i="12"/>
  <c r="G2462" i="12"/>
  <c r="G2469" i="12"/>
  <c r="G2477" i="12"/>
  <c r="G2484" i="12"/>
  <c r="G2490" i="12"/>
  <c r="G2498" i="12"/>
  <c r="G2505" i="12"/>
  <c r="G2512" i="12"/>
  <c r="G2520" i="12"/>
  <c r="G2526" i="12"/>
  <c r="G2533" i="12"/>
  <c r="G2541" i="12"/>
  <c r="G2548" i="12"/>
  <c r="G2554" i="12"/>
  <c r="G2562" i="12"/>
  <c r="G2569" i="12"/>
  <c r="G2576" i="12"/>
  <c r="G2584" i="12"/>
  <c r="G2590" i="12"/>
  <c r="G2597" i="12"/>
  <c r="G2605" i="12"/>
  <c r="G2612" i="12"/>
  <c r="G2618" i="12"/>
  <c r="G2626" i="12"/>
  <c r="G2633" i="12"/>
  <c r="G2640" i="12"/>
  <c r="G2648" i="12"/>
  <c r="G2654" i="12"/>
  <c r="G2661" i="12"/>
  <c r="G2669" i="12"/>
  <c r="G2676" i="12"/>
  <c r="G2682" i="12"/>
  <c r="G2690" i="12"/>
  <c r="G2697" i="12"/>
  <c r="G2704" i="12"/>
  <c r="G2712" i="12"/>
  <c r="G2718" i="12"/>
  <c r="G2725" i="12"/>
  <c r="G2733" i="12"/>
  <c r="G2740" i="12"/>
  <c r="G2746" i="12"/>
  <c r="G2754" i="12"/>
  <c r="G2761" i="12"/>
  <c r="G2768" i="12"/>
  <c r="G2776" i="12"/>
  <c r="G2782" i="12"/>
  <c r="G2789" i="12"/>
  <c r="G2797" i="12"/>
  <c r="G2804" i="12"/>
  <c r="G2810" i="12"/>
  <c r="G2818" i="12"/>
  <c r="G2825" i="12"/>
  <c r="G2832" i="12"/>
  <c r="G2840" i="12"/>
  <c r="G2846" i="12"/>
  <c r="G2853" i="12"/>
  <c r="G2861" i="12"/>
  <c r="G2868" i="12"/>
  <c r="G2874" i="12"/>
  <c r="G2882" i="12"/>
  <c r="G2889" i="12"/>
  <c r="G2896" i="12"/>
  <c r="G2904" i="12"/>
  <c r="G2910" i="12"/>
  <c r="G2917" i="12"/>
  <c r="G2925" i="12"/>
  <c r="G2932" i="12"/>
  <c r="G2938" i="12"/>
  <c r="G2946" i="12"/>
  <c r="G2953" i="12"/>
  <c r="G2960" i="12"/>
  <c r="G2968" i="12"/>
  <c r="G2974" i="12"/>
  <c r="G2981" i="12"/>
  <c r="G2989" i="12"/>
  <c r="G2996" i="12"/>
  <c r="G3002" i="12"/>
  <c r="G3010" i="12"/>
  <c r="G3017" i="12"/>
  <c r="G3024" i="12"/>
  <c r="G3032" i="12"/>
  <c r="G3038" i="12"/>
  <c r="G3045" i="12"/>
  <c r="G3053" i="12"/>
  <c r="G3060" i="12"/>
  <c r="G3066" i="12"/>
  <c r="G3074" i="12"/>
  <c r="G3081" i="12"/>
  <c r="G3088" i="12"/>
  <c r="G3096" i="12"/>
  <c r="G3102" i="12"/>
  <c r="G3109" i="12"/>
  <c r="G3117" i="12"/>
  <c r="G3124" i="12"/>
  <c r="G3130" i="12"/>
  <c r="G3138" i="12"/>
  <c r="G3145" i="12"/>
  <c r="G3152" i="12"/>
  <c r="G3160" i="12"/>
  <c r="G3166" i="12"/>
  <c r="G3173" i="12"/>
  <c r="G3181" i="12"/>
  <c r="G3188" i="12"/>
  <c r="G3194" i="12"/>
  <c r="G3202" i="12"/>
  <c r="G3209" i="12"/>
  <c r="G3216" i="12"/>
  <c r="G3224" i="12"/>
  <c r="G3230" i="12"/>
  <c r="G3237" i="12"/>
  <c r="G3245" i="12"/>
  <c r="G3252" i="12"/>
  <c r="G3258" i="12"/>
  <c r="G3266" i="12"/>
  <c r="G3273" i="12"/>
  <c r="G3280" i="12"/>
  <c r="G3288" i="12"/>
  <c r="G3294" i="12"/>
  <c r="G3301" i="12"/>
  <c r="G3309" i="12"/>
  <c r="G3316" i="12"/>
  <c r="G3322" i="12"/>
  <c r="G3330" i="12"/>
  <c r="G3335" i="12"/>
  <c r="G3340" i="12"/>
  <c r="G3346" i="12"/>
  <c r="G3351" i="12"/>
  <c r="G3356" i="12"/>
  <c r="G3362" i="12"/>
  <c r="G3367" i="12"/>
  <c r="G3372" i="12"/>
  <c r="G3378" i="12"/>
  <c r="G3383" i="12"/>
  <c r="G3388" i="12"/>
  <c r="G3394" i="12"/>
  <c r="G3399" i="12"/>
  <c r="G3404" i="12"/>
  <c r="G3410" i="12"/>
  <c r="G3415" i="12"/>
  <c r="G3420" i="12"/>
  <c r="G3426" i="12"/>
  <c r="G3431" i="12"/>
  <c r="G3436" i="12"/>
  <c r="G3442" i="12"/>
  <c r="G3447" i="12"/>
  <c r="G3452" i="12"/>
  <c r="G3458" i="12"/>
  <c r="G3463" i="12"/>
  <c r="G3468" i="12"/>
  <c r="G3474" i="12"/>
  <c r="G3479" i="12"/>
  <c r="G3484" i="12"/>
  <c r="G3490" i="12"/>
  <c r="G3495" i="12"/>
  <c r="G3500" i="12"/>
  <c r="G3506" i="12"/>
  <c r="G3511" i="12"/>
  <c r="G3516" i="12"/>
  <c r="G3522" i="12"/>
  <c r="G3527" i="12"/>
  <c r="G3532" i="12"/>
  <c r="G3538" i="12"/>
  <c r="G3543" i="12"/>
  <c r="G3548" i="12"/>
  <c r="G3554" i="12"/>
  <c r="G3559" i="12"/>
  <c r="G3564" i="12"/>
  <c r="G3570" i="12"/>
  <c r="G3575" i="12"/>
  <c r="G3580" i="12"/>
  <c r="G3586" i="12"/>
  <c r="G3591" i="12"/>
  <c r="G3596" i="12"/>
  <c r="G3602" i="12"/>
  <c r="G3607" i="12"/>
  <c r="G3612" i="12"/>
  <c r="G3618" i="12"/>
  <c r="G3623" i="12"/>
  <c r="G3628" i="12"/>
  <c r="G3634" i="12"/>
  <c r="G3639" i="12"/>
  <c r="G3644" i="12"/>
  <c r="G3650" i="12"/>
  <c r="G3655" i="12"/>
  <c r="G3660" i="12"/>
  <c r="G3666" i="12"/>
  <c r="G3671" i="12"/>
  <c r="G3676" i="12"/>
  <c r="G3682" i="12"/>
  <c r="G3687" i="12"/>
  <c r="G3692" i="12"/>
  <c r="G3698" i="12"/>
  <c r="G3703" i="12"/>
  <c r="G3708" i="12"/>
  <c r="G3714" i="12"/>
  <c r="G3719" i="12"/>
  <c r="G3724" i="12"/>
  <c r="G3730" i="12"/>
  <c r="G3735" i="12"/>
  <c r="G3739" i="12"/>
  <c r="G3745" i="12"/>
  <c r="G3750" i="12"/>
  <c r="G3755" i="12"/>
  <c r="G3761" i="12"/>
  <c r="G3766" i="12"/>
  <c r="G3771" i="12"/>
  <c r="G3777" i="12"/>
  <c r="G3782" i="12"/>
  <c r="G3787" i="12"/>
  <c r="G3793" i="12"/>
  <c r="G3798" i="12"/>
  <c r="G3803" i="12"/>
  <c r="G3809" i="12"/>
  <c r="G3814" i="12"/>
  <c r="G3819" i="12"/>
  <c r="G3825" i="12"/>
  <c r="G3830" i="12"/>
  <c r="G3835" i="12"/>
  <c r="G3841" i="12"/>
  <c r="G3846" i="12"/>
  <c r="G3851" i="12"/>
  <c r="G3857" i="12"/>
  <c r="G3862" i="12"/>
  <c r="G3867" i="12"/>
  <c r="G3873" i="12"/>
  <c r="G3878" i="12"/>
  <c r="G3883" i="12"/>
  <c r="G3889" i="12"/>
  <c r="G3894" i="12"/>
  <c r="G3899" i="12"/>
  <c r="G3905" i="12"/>
  <c r="G3910" i="12"/>
  <c r="G3915" i="12"/>
  <c r="G3921" i="12"/>
  <c r="G3926" i="12"/>
  <c r="G3931" i="12"/>
  <c r="G3937" i="12"/>
  <c r="G3942" i="12"/>
  <c r="G3947" i="12"/>
  <c r="G3953" i="12"/>
  <c r="G3958" i="12"/>
  <c r="G3963" i="12"/>
  <c r="G3969" i="12"/>
  <c r="G3974" i="12"/>
  <c r="G3979" i="12"/>
  <c r="G3985" i="12"/>
  <c r="G3990" i="12"/>
  <c r="G3995" i="12"/>
  <c r="G4001" i="12"/>
  <c r="G4006" i="12"/>
  <c r="G4011" i="12"/>
  <c r="G4017" i="12"/>
  <c r="G4022" i="12"/>
  <c r="G4027" i="12"/>
  <c r="G4033" i="12"/>
  <c r="G4038" i="12"/>
  <c r="G4043" i="12"/>
  <c r="G4049" i="12"/>
  <c r="G4054" i="12"/>
  <c r="G4059" i="12"/>
  <c r="G4065" i="12"/>
  <c r="G4070" i="12"/>
  <c r="G4075" i="12"/>
  <c r="G4081" i="12"/>
  <c r="G4086" i="12"/>
  <c r="G4091" i="12"/>
  <c r="G4097" i="12"/>
  <c r="G4102" i="12"/>
  <c r="G4107" i="12"/>
  <c r="G4113" i="12"/>
  <c r="G4118" i="12"/>
  <c r="G4123" i="12"/>
  <c r="G4129" i="12"/>
  <c r="G4134" i="12"/>
  <c r="G4139" i="12"/>
  <c r="G4145" i="12"/>
  <c r="G4150" i="12"/>
  <c r="G4155" i="12"/>
  <c r="G4161" i="12"/>
  <c r="G4170" i="12"/>
  <c r="G4176" i="12"/>
  <c r="G4181" i="12"/>
  <c r="G4186" i="12"/>
  <c r="G4192" i="12"/>
  <c r="G4197" i="12"/>
  <c r="G4202" i="12"/>
  <c r="G4208" i="12"/>
  <c r="G4213" i="12"/>
  <c r="G4218" i="12"/>
  <c r="G4224" i="12"/>
  <c r="G4229" i="12"/>
  <c r="G4234" i="12"/>
  <c r="G4240" i="12"/>
  <c r="G4245" i="12"/>
  <c r="G4250" i="12"/>
  <c r="G4256" i="12"/>
  <c r="G4261" i="12"/>
  <c r="G4266" i="12"/>
  <c r="G4272" i="12"/>
  <c r="G4277" i="12"/>
  <c r="G4282" i="12"/>
  <c r="G4288" i="12"/>
  <c r="G4293" i="12"/>
  <c r="G4298" i="12"/>
  <c r="G4304" i="12"/>
  <c r="G4309" i="12"/>
  <c r="G4314" i="12"/>
  <c r="G4320" i="12"/>
  <c r="G4325" i="12"/>
  <c r="G4330" i="12"/>
  <c r="G4336" i="12"/>
  <c r="G4341" i="12"/>
  <c r="G4346" i="12"/>
  <c r="G4352" i="12"/>
  <c r="G4357" i="12"/>
  <c r="G4362" i="12"/>
  <c r="G4368" i="12"/>
  <c r="G4373" i="12"/>
  <c r="G4378" i="12"/>
  <c r="G4384" i="12"/>
  <c r="G4389" i="12"/>
  <c r="G4394" i="12"/>
  <c r="G4400" i="12"/>
  <c r="G4405" i="12"/>
  <c r="G4410" i="12"/>
  <c r="G4416" i="12"/>
  <c r="G4421" i="12"/>
  <c r="G4426" i="12"/>
  <c r="G4432" i="12"/>
  <c r="G4437" i="12"/>
  <c r="G4442" i="12"/>
  <c r="G4448" i="12"/>
  <c r="G4453" i="12"/>
  <c r="G4458" i="12"/>
  <c r="G4464" i="12"/>
  <c r="G4469" i="12"/>
  <c r="G4474" i="12"/>
  <c r="G4480" i="12"/>
  <c r="G4485" i="12"/>
  <c r="G4490" i="12"/>
  <c r="G4496" i="12"/>
  <c r="G4501" i="12"/>
  <c r="G4506" i="12"/>
  <c r="G4512" i="12"/>
  <c r="G4517" i="12"/>
  <c r="G4522" i="12"/>
  <c r="G4528" i="12"/>
  <c r="G4533" i="12"/>
  <c r="G4538" i="12"/>
  <c r="G4544" i="12"/>
  <c r="G4549" i="12"/>
  <c r="G4554" i="12"/>
  <c r="G4560" i="12"/>
  <c r="G4565" i="12"/>
  <c r="G4570" i="12"/>
  <c r="G4576" i="12"/>
  <c r="G4581" i="12"/>
  <c r="G4586" i="12"/>
  <c r="G4592" i="12"/>
  <c r="G4597" i="12"/>
  <c r="G4602" i="12"/>
  <c r="G4608" i="12"/>
  <c r="G4613" i="12"/>
  <c r="G4618" i="12"/>
  <c r="G4624" i="12"/>
  <c r="G4629" i="12"/>
  <c r="G4634" i="12"/>
  <c r="G4640" i="12"/>
  <c r="G4645" i="12"/>
  <c r="G4650" i="12"/>
  <c r="G4656" i="12"/>
  <c r="G4661" i="12"/>
  <c r="G4666" i="12"/>
  <c r="G4672" i="12"/>
  <c r="G4677" i="12"/>
  <c r="G4682" i="12"/>
  <c r="G4688" i="12"/>
  <c r="G4693" i="12"/>
  <c r="G4698" i="12"/>
  <c r="G4704" i="12"/>
  <c r="G4709" i="12"/>
  <c r="G4714" i="12"/>
  <c r="G4720" i="12"/>
  <c r="G4725" i="12"/>
  <c r="G4730" i="12"/>
  <c r="G4736" i="12"/>
  <c r="G4741" i="12"/>
  <c r="G4746" i="12"/>
  <c r="G4752" i="12"/>
  <c r="G4757" i="12"/>
  <c r="G4762" i="12"/>
  <c r="G4768" i="12"/>
  <c r="G4773" i="12"/>
  <c r="G4778" i="12"/>
  <c r="G4784" i="12"/>
  <c r="G4789" i="12"/>
  <c r="G4794" i="12"/>
  <c r="G4800" i="12"/>
  <c r="G4805" i="12"/>
  <c r="G4810" i="12"/>
  <c r="G4816" i="12"/>
  <c r="G4821" i="12"/>
  <c r="G4826" i="12"/>
  <c r="G4832" i="12"/>
  <c r="G4837" i="12"/>
  <c r="G4842" i="12"/>
  <c r="G4848" i="12"/>
  <c r="G4853" i="12"/>
  <c r="G4858" i="12"/>
  <c r="G4864" i="12"/>
  <c r="G4869" i="12"/>
  <c r="G4874" i="12"/>
  <c r="G4880" i="12"/>
  <c r="G4885" i="12"/>
  <c r="G4889" i="12"/>
  <c r="G4895" i="12"/>
  <c r="G4900" i="12"/>
  <c r="G4905" i="12"/>
  <c r="G4911" i="12"/>
  <c r="G4916" i="12"/>
  <c r="G4921" i="12"/>
  <c r="G4927" i="12"/>
  <c r="G4932" i="12"/>
  <c r="G4937" i="12"/>
  <c r="G4943" i="12"/>
  <c r="G4948" i="12"/>
  <c r="G4953" i="12"/>
  <c r="G4959" i="12"/>
  <c r="G4964" i="12"/>
  <c r="G4969" i="12"/>
  <c r="G4975" i="12"/>
  <c r="G4980" i="12"/>
  <c r="G4985" i="12"/>
  <c r="G4991" i="12"/>
  <c r="G4996" i="12"/>
  <c r="G5001" i="12"/>
  <c r="G5007" i="12"/>
  <c r="G5012" i="12"/>
  <c r="G5017" i="12"/>
  <c r="G5023" i="12"/>
  <c r="G5028" i="12"/>
  <c r="G5033" i="12"/>
  <c r="G5039" i="12"/>
  <c r="G5044" i="12"/>
  <c r="G5049" i="12"/>
  <c r="G5055" i="12"/>
  <c r="G5060" i="12"/>
  <c r="G5065" i="12"/>
  <c r="G5071" i="12"/>
  <c r="G5076" i="12"/>
  <c r="G5081" i="12"/>
  <c r="G5087" i="12"/>
  <c r="G5092" i="12"/>
  <c r="G5097" i="12"/>
  <c r="G5103" i="12"/>
  <c r="G5108" i="12"/>
  <c r="G5113" i="12"/>
  <c r="G5119" i="12"/>
  <c r="G5124" i="12"/>
  <c r="G5129" i="12"/>
  <c r="G5135" i="12"/>
  <c r="G5140" i="12"/>
  <c r="G5145" i="12"/>
  <c r="G5151" i="12"/>
  <c r="G5156" i="12"/>
  <c r="G5161" i="12"/>
  <c r="G5167" i="12"/>
  <c r="G5172" i="12"/>
  <c r="G5177" i="12"/>
  <c r="G5183" i="12"/>
  <c r="G5188" i="12"/>
  <c r="G5193" i="12"/>
  <c r="G5199" i="12"/>
  <c r="G5204" i="12"/>
  <c r="G5209" i="12"/>
  <c r="G5215" i="12"/>
  <c r="G5220" i="12"/>
  <c r="G5225" i="12"/>
  <c r="G5231" i="12"/>
  <c r="G5236" i="12"/>
  <c r="G5241" i="12"/>
  <c r="G5247" i="12"/>
  <c r="G5252" i="12"/>
  <c r="G5257" i="12"/>
  <c r="G5263" i="12"/>
  <c r="G5268" i="12"/>
  <c r="G5273" i="12"/>
  <c r="G5279" i="12"/>
  <c r="G5284" i="12"/>
  <c r="G5289" i="12"/>
  <c r="G5295" i="12"/>
  <c r="G5300" i="12"/>
  <c r="G5305" i="12"/>
  <c r="G5311" i="12"/>
  <c r="G5316" i="12"/>
  <c r="G5321" i="12"/>
  <c r="G5327" i="12"/>
  <c r="G5332" i="12"/>
  <c r="G5337" i="12"/>
  <c r="G5343" i="12"/>
  <c r="G5348" i="12"/>
  <c r="G5353" i="12"/>
  <c r="G5359" i="12"/>
  <c r="G5364" i="12"/>
  <c r="G5369" i="12"/>
  <c r="G5375" i="12"/>
  <c r="G5380" i="12"/>
  <c r="G5385" i="12"/>
  <c r="G5391" i="12"/>
  <c r="G5396" i="12"/>
  <c r="G5401" i="12"/>
  <c r="G5407" i="12"/>
  <c r="G5412" i="12"/>
  <c r="G5417" i="12"/>
  <c r="G5423" i="12"/>
  <c r="G5428" i="12"/>
  <c r="G5433" i="12"/>
  <c r="G5439" i="12"/>
  <c r="G5444" i="12"/>
  <c r="G5449" i="12"/>
  <c r="G5455" i="12"/>
  <c r="G5460" i="12"/>
  <c r="G5465" i="12"/>
  <c r="G5471" i="12"/>
  <c r="G5476" i="12"/>
  <c r="G5481" i="12"/>
  <c r="G5487" i="12"/>
  <c r="G5492" i="12"/>
  <c r="G5497" i="12"/>
  <c r="G5503" i="12"/>
  <c r="G5508" i="12"/>
  <c r="G5513" i="12"/>
  <c r="G5519" i="12"/>
  <c r="G5524" i="12"/>
  <c r="G5529" i="12"/>
  <c r="G5535" i="12"/>
  <c r="G5540" i="12"/>
  <c r="G5545" i="12"/>
  <c r="G5551" i="12"/>
  <c r="G5556" i="12"/>
  <c r="G5561" i="12"/>
  <c r="G5567" i="12"/>
  <c r="G5572" i="12"/>
  <c r="G5577" i="12"/>
  <c r="G5583" i="12"/>
  <c r="G5588" i="12"/>
  <c r="G5593" i="12"/>
  <c r="G5599" i="12"/>
  <c r="G5604" i="12"/>
  <c r="G5609" i="12"/>
  <c r="G5615" i="12"/>
  <c r="G5620" i="12"/>
  <c r="G5630" i="12"/>
  <c r="G5635" i="12"/>
  <c r="G5640" i="12"/>
  <c r="G10" i="12"/>
  <c r="G82" i="12"/>
  <c r="G149" i="12"/>
  <c r="G216" i="12"/>
  <c r="G285" i="12"/>
  <c r="G349" i="12"/>
  <c r="G398" i="12"/>
  <c r="G450" i="12"/>
  <c r="G500" i="12"/>
  <c r="G550" i="12"/>
  <c r="G603" i="12"/>
  <c r="G652" i="12"/>
  <c r="G701" i="12"/>
  <c r="G753" i="12"/>
  <c r="G795" i="12"/>
  <c r="G833" i="12"/>
  <c r="G871" i="12"/>
  <c r="G908" i="12"/>
  <c r="G945" i="12"/>
  <c r="G985" i="12"/>
  <c r="G1022" i="12"/>
  <c r="G1060" i="12"/>
  <c r="G1078" i="12"/>
  <c r="G1098" i="12"/>
  <c r="G1116" i="12"/>
  <c r="G1136" i="12"/>
  <c r="G1156" i="12"/>
  <c r="G1173" i="12"/>
  <c r="G1193" i="12"/>
  <c r="G1212" i="12"/>
  <c r="G1230" i="12"/>
  <c r="G1249" i="12"/>
  <c r="G1269" i="12"/>
  <c r="G1286" i="12"/>
  <c r="G1306" i="12"/>
  <c r="G1326" i="12"/>
  <c r="G1344" i="12"/>
  <c r="G1364" i="12"/>
  <c r="G1382" i="12"/>
  <c r="G1401" i="12"/>
  <c r="G1420" i="12"/>
  <c r="G1440" i="12"/>
  <c r="G1457" i="12"/>
  <c r="G1477" i="12"/>
  <c r="G1497" i="12"/>
  <c r="G1514" i="12"/>
  <c r="G1534" i="12"/>
  <c r="G1553" i="12"/>
  <c r="G1572" i="12"/>
  <c r="G1590" i="12"/>
  <c r="G1610" i="12"/>
  <c r="G1627" i="12"/>
  <c r="G1642" i="12"/>
  <c r="G1657" i="12"/>
  <c r="G1670" i="12"/>
  <c r="G1685" i="12"/>
  <c r="G1699" i="12"/>
  <c r="G1713" i="12"/>
  <c r="G1727" i="12"/>
  <c r="G1742" i="12"/>
  <c r="G1755" i="12"/>
  <c r="G1770" i="12"/>
  <c r="G1785" i="12"/>
  <c r="G1798" i="12"/>
  <c r="G1812" i="12"/>
  <c r="G1826" i="12"/>
  <c r="G1840" i="12"/>
  <c r="G1854" i="12"/>
  <c r="G1869" i="12"/>
  <c r="G1882" i="12"/>
  <c r="G1897" i="12"/>
  <c r="G1912" i="12"/>
  <c r="G1925" i="12"/>
  <c r="G1940" i="12"/>
  <c r="G1954" i="12"/>
  <c r="G1968" i="12"/>
  <c r="G1982" i="12"/>
  <c r="G1997" i="12"/>
  <c r="G2010" i="12"/>
  <c r="G2025" i="12"/>
  <c r="G2040" i="12"/>
  <c r="G2053" i="12"/>
  <c r="G2068" i="12"/>
  <c r="G2082" i="12"/>
  <c r="G2096" i="12"/>
  <c r="G2110" i="12"/>
  <c r="G2125" i="12"/>
  <c r="G2138" i="12"/>
  <c r="G2153" i="12"/>
  <c r="G2168" i="12"/>
  <c r="G2181" i="12"/>
  <c r="G2196" i="12"/>
  <c r="G2210" i="12"/>
  <c r="G2224" i="12"/>
  <c r="G2238" i="12"/>
  <c r="G2253" i="12"/>
  <c r="G2266" i="12"/>
  <c r="G2281" i="12"/>
  <c r="G2296" i="12"/>
  <c r="G2309" i="12"/>
  <c r="G2324" i="12"/>
  <c r="G2338" i="12"/>
  <c r="G2352" i="12"/>
  <c r="G2366" i="12"/>
  <c r="G2381" i="12"/>
  <c r="G2394" i="12"/>
  <c r="G2409" i="12"/>
  <c r="G2424" i="12"/>
  <c r="G2437" i="12"/>
  <c r="G2452" i="12"/>
  <c r="G2466" i="12"/>
  <c r="G2480" i="12"/>
  <c r="G2494" i="12"/>
  <c r="G2509" i="12"/>
  <c r="G2522" i="12"/>
  <c r="G2537" i="12"/>
  <c r="G2552" i="12"/>
  <c r="G2565" i="12"/>
  <c r="G2580" i="12"/>
  <c r="G2594" i="12"/>
  <c r="G2608" i="12"/>
  <c r="G2622" i="12"/>
  <c r="G2637" i="12"/>
  <c r="G2650" i="12"/>
  <c r="G2665" i="12"/>
  <c r="G2680" i="12"/>
  <c r="G2693" i="12"/>
  <c r="G2708" i="12"/>
  <c r="G2722" i="12"/>
  <c r="G2736" i="12"/>
  <c r="G2750" i="12"/>
  <c r="G2765" i="12"/>
  <c r="G2778" i="12"/>
  <c r="G2793" i="12"/>
  <c r="G2808" i="12"/>
  <c r="G2821" i="12"/>
  <c r="G2836" i="12"/>
  <c r="G2850" i="12"/>
  <c r="G2864" i="12"/>
  <c r="G2878" i="12"/>
  <c r="G2893" i="12"/>
  <c r="G2906" i="12"/>
  <c r="G2921" i="12"/>
  <c r="G2936" i="12"/>
  <c r="G2949" i="12"/>
  <c r="G2964" i="12"/>
  <c r="G2978" i="12"/>
  <c r="G2992" i="12"/>
  <c r="G3006" i="12"/>
  <c r="G3021" i="12"/>
  <c r="G3034" i="12"/>
  <c r="G3049" i="12"/>
  <c r="G3064" i="12"/>
  <c r="G3077" i="12"/>
  <c r="G3092" i="12"/>
  <c r="G3106" i="12"/>
  <c r="G3120" i="12"/>
  <c r="G3134" i="12"/>
  <c r="G3149" i="12"/>
  <c r="G3162" i="12"/>
  <c r="G3177" i="12"/>
  <c r="G3192" i="12"/>
  <c r="G3205" i="12"/>
  <c r="G3220" i="12"/>
  <c r="G3234" i="12"/>
  <c r="G3248" i="12"/>
  <c r="G3262" i="12"/>
  <c r="G3277" i="12"/>
  <c r="G3290" i="12"/>
  <c r="G3305" i="12"/>
  <c r="G46" i="12"/>
  <c r="G114" i="12"/>
  <c r="G181" i="12"/>
  <c r="G249" i="12"/>
  <c r="G313" i="12"/>
  <c r="G376" i="12"/>
  <c r="G425" i="12"/>
  <c r="G476" i="12"/>
  <c r="G526" i="12"/>
  <c r="G577" i="12"/>
  <c r="G625" i="12"/>
  <c r="G677" i="12"/>
  <c r="G727" i="12"/>
  <c r="G775" i="12"/>
  <c r="G815" i="12"/>
  <c r="G853" i="12"/>
  <c r="G889" i="12"/>
  <c r="G928" i="12"/>
  <c r="G965" i="12"/>
  <c r="G1002" i="12"/>
  <c r="G1041" i="12"/>
  <c r="G1070" i="12"/>
  <c r="G1088" i="12"/>
  <c r="G1108" i="12"/>
  <c r="G1126" i="12"/>
  <c r="G1145" i="12"/>
  <c r="G1164" i="12"/>
  <c r="G1184" i="12"/>
  <c r="G1201" i="12"/>
  <c r="G1221" i="12"/>
  <c r="G1241" i="12"/>
  <c r="G1258" i="12"/>
  <c r="G1278" i="12"/>
  <c r="G1297" i="12"/>
  <c r="G1316" i="12"/>
  <c r="G1334" i="12"/>
  <c r="G1354" i="12"/>
  <c r="G1372" i="12"/>
  <c r="G1392" i="12"/>
  <c r="G1412" i="12"/>
  <c r="G1429" i="12"/>
  <c r="G1449" i="12"/>
  <c r="G1468" i="12"/>
  <c r="G1486" i="12"/>
  <c r="G1505" i="12"/>
  <c r="G1525" i="12"/>
  <c r="G1542" i="12"/>
  <c r="G1562" i="12"/>
  <c r="G1582" i="12"/>
  <c r="G1600" i="12"/>
  <c r="G1620" i="12"/>
  <c r="G1635" i="12"/>
  <c r="G1649" i="12"/>
  <c r="G1663" i="12"/>
  <c r="G1678" i="12"/>
  <c r="G1691" i="12"/>
  <c r="G1706" i="12"/>
  <c r="G1721" i="12"/>
  <c r="G1734" i="12"/>
  <c r="G1749" i="12"/>
  <c r="G1763" i="12"/>
  <c r="G1777" i="12"/>
  <c r="G1791" i="12"/>
  <c r="G1806" i="12"/>
  <c r="G1818" i="12"/>
  <c r="G1833" i="12"/>
  <c r="G1848" i="12"/>
  <c r="G1861" i="12"/>
  <c r="G1876" i="12"/>
  <c r="G1890" i="12"/>
  <c r="G1904" i="12"/>
  <c r="G1918" i="12"/>
  <c r="G1933" i="12"/>
  <c r="G1946" i="12"/>
  <c r="G1961" i="12"/>
  <c r="G1976" i="12"/>
  <c r="G1989" i="12"/>
  <c r="G2004" i="12"/>
  <c r="G2018" i="12"/>
  <c r="G2032" i="12"/>
  <c r="G2046" i="12"/>
  <c r="G2061" i="12"/>
  <c r="G2074" i="12"/>
  <c r="G2089" i="12"/>
  <c r="G2104" i="12"/>
  <c r="G2117" i="12"/>
  <c r="G2132" i="12"/>
  <c r="G2146" i="12"/>
  <c r="G2160" i="12"/>
  <c r="G2174" i="12"/>
  <c r="G2189" i="12"/>
  <c r="G2202" i="12"/>
  <c r="G2217" i="12"/>
  <c r="G2232" i="12"/>
  <c r="G2245" i="12"/>
  <c r="G2260" i="12"/>
  <c r="G2274" i="12"/>
  <c r="G2288" i="12"/>
  <c r="G2302" i="12"/>
  <c r="G2317" i="12"/>
  <c r="G2330" i="12"/>
  <c r="G2345" i="12"/>
  <c r="G2360" i="12"/>
  <c r="G2373" i="12"/>
  <c r="G2388" i="12"/>
  <c r="G2402" i="12"/>
  <c r="G2416" i="12"/>
  <c r="G2430" i="12"/>
  <c r="G2445" i="12"/>
  <c r="G2458" i="12"/>
  <c r="G2473" i="12"/>
  <c r="G2488" i="12"/>
  <c r="G2501" i="12"/>
  <c r="G2516" i="12"/>
  <c r="G2530" i="12"/>
  <c r="G2544" i="12"/>
  <c r="G2558" i="12"/>
  <c r="G2573" i="12"/>
  <c r="G2586" i="12"/>
  <c r="G2601" i="12"/>
  <c r="G2616" i="12"/>
  <c r="G2629" i="12"/>
  <c r="G2644" i="12"/>
  <c r="G2658" i="12"/>
  <c r="G2672" i="12"/>
  <c r="G2686" i="12"/>
  <c r="G2701" i="12"/>
  <c r="G2714" i="12"/>
  <c r="G2729" i="12"/>
  <c r="G2744" i="12"/>
  <c r="G2757" i="12"/>
  <c r="G2772" i="12"/>
  <c r="G2786" i="12"/>
  <c r="G2800" i="12"/>
  <c r="G2814" i="12"/>
  <c r="G2829" i="12"/>
  <c r="G2842" i="12"/>
  <c r="G2857" i="12"/>
  <c r="G2872" i="12"/>
  <c r="G2885" i="12"/>
  <c r="G2900" i="12"/>
  <c r="G2914" i="12"/>
  <c r="G2928" i="12"/>
  <c r="G2942" i="12"/>
  <c r="G2957" i="12"/>
  <c r="G2970" i="12"/>
  <c r="G2985" i="12"/>
  <c r="G3000" i="12"/>
  <c r="G3013" i="12"/>
  <c r="G3028" i="12"/>
  <c r="G3042" i="12"/>
  <c r="G3056" i="12"/>
  <c r="G3070" i="12"/>
  <c r="G3085" i="12"/>
  <c r="G3098" i="12"/>
  <c r="G3113" i="12"/>
  <c r="G3128" i="12"/>
  <c r="G3141" i="12"/>
  <c r="G3156" i="12"/>
  <c r="G3170" i="12"/>
  <c r="G3184" i="12"/>
  <c r="G3198" i="12"/>
  <c r="G3213" i="12"/>
  <c r="G3226" i="12"/>
  <c r="G3241" i="12"/>
  <c r="G3256" i="12"/>
  <c r="G3269" i="12"/>
  <c r="G3284" i="12"/>
  <c r="G3298" i="12"/>
  <c r="G3312" i="12"/>
  <c r="G3326" i="12"/>
  <c r="G3338" i="12"/>
  <c r="G3348" i="12"/>
  <c r="G3359" i="12"/>
  <c r="G3370" i="12"/>
  <c r="G3380" i="12"/>
  <c r="G3391" i="12"/>
  <c r="G3402" i="12"/>
  <c r="G3412" i="12"/>
  <c r="G3423" i="12"/>
  <c r="G3434" i="12"/>
  <c r="G3444" i="12"/>
  <c r="G3455" i="12"/>
  <c r="G3466" i="12"/>
  <c r="G3476" i="12"/>
  <c r="G3487" i="12"/>
  <c r="G3498" i="12"/>
  <c r="G3508" i="12"/>
  <c r="G3519" i="12"/>
  <c r="G3530" i="12"/>
  <c r="G3540" i="12"/>
  <c r="G3551" i="12"/>
  <c r="G3562" i="12"/>
  <c r="G3572" i="12"/>
  <c r="G3583" i="12"/>
  <c r="G3594" i="12"/>
  <c r="G3604" i="12"/>
  <c r="G3615" i="12"/>
  <c r="G3626" i="12"/>
  <c r="G3636" i="12"/>
  <c r="G3647" i="12"/>
  <c r="G3658" i="12"/>
  <c r="G3668" i="12"/>
  <c r="G3679" i="12"/>
  <c r="G3690" i="12"/>
  <c r="G3700" i="12"/>
  <c r="G3711" i="12"/>
  <c r="G3722" i="12"/>
  <c r="G3732" i="12"/>
  <c r="G3742" i="12"/>
  <c r="G3753" i="12"/>
  <c r="G3763" i="12"/>
  <c r="G3774" i="12"/>
  <c r="G3785" i="12"/>
  <c r="G3795" i="12"/>
  <c r="G3806" i="12"/>
  <c r="G3817" i="12"/>
  <c r="G3827" i="12"/>
  <c r="G3838" i="12"/>
  <c r="G3849" i="12"/>
  <c r="G3859" i="12"/>
  <c r="G3870" i="12"/>
  <c r="G3881" i="12"/>
  <c r="G3891" i="12"/>
  <c r="G3902" i="12"/>
  <c r="G3913" i="12"/>
  <c r="G3923" i="12"/>
  <c r="G3934" i="12"/>
  <c r="G3945" i="12"/>
  <c r="G3955" i="12"/>
  <c r="G3966" i="12"/>
  <c r="G3977" i="12"/>
  <c r="G3987" i="12"/>
  <c r="G3998" i="12"/>
  <c r="G4009" i="12"/>
  <c r="G4019" i="12"/>
  <c r="G4030" i="12"/>
  <c r="G4041" i="12"/>
  <c r="G4051" i="12"/>
  <c r="G4062" i="12"/>
  <c r="G4073" i="12"/>
  <c r="G4083" i="12"/>
  <c r="G4094" i="12"/>
  <c r="G4105" i="12"/>
  <c r="G4115" i="12"/>
  <c r="G4126" i="12"/>
  <c r="G4137" i="12"/>
  <c r="G4147" i="12"/>
  <c r="G4158" i="12"/>
  <c r="G4168" i="12"/>
  <c r="G4178" i="12"/>
  <c r="G4189" i="12"/>
  <c r="G4200" i="12"/>
  <c r="G4210" i="12"/>
  <c r="G4221" i="12"/>
  <c r="G4232" i="12"/>
  <c r="G4242" i="12"/>
  <c r="G4253" i="12"/>
  <c r="G4264" i="12"/>
  <c r="G4274" i="12"/>
  <c r="G4285" i="12"/>
  <c r="G4296" i="12"/>
  <c r="G4306" i="12"/>
  <c r="G4317" i="12"/>
  <c r="G4328" i="12"/>
  <c r="G4338" i="12"/>
  <c r="G4349" i="12"/>
  <c r="G4360" i="12"/>
  <c r="G4370" i="12"/>
  <c r="G4381" i="12"/>
  <c r="G4392" i="12"/>
  <c r="G4402" i="12"/>
  <c r="G4413" i="12"/>
  <c r="G4424" i="12"/>
  <c r="G4434" i="12"/>
  <c r="G4445" i="12"/>
  <c r="G4456" i="12"/>
  <c r="G4466" i="12"/>
  <c r="G4477" i="12"/>
  <c r="G4488" i="12"/>
  <c r="G4498" i="12"/>
  <c r="G4509" i="12"/>
  <c r="G4520" i="12"/>
  <c r="G4530" i="12"/>
  <c r="G4541" i="12"/>
  <c r="G4552" i="12"/>
  <c r="G4562" i="12"/>
  <c r="G4573" i="12"/>
  <c r="G4584" i="12"/>
  <c r="G4594" i="12"/>
  <c r="G4605" i="12"/>
  <c r="G4616" i="12"/>
  <c r="G4626" i="12"/>
  <c r="G4637" i="12"/>
  <c r="G4648" i="12"/>
  <c r="G4658" i="12"/>
  <c r="G4669" i="12"/>
  <c r="G4680" i="12"/>
  <c r="G30" i="12"/>
  <c r="G164" i="12"/>
  <c r="G301" i="12"/>
  <c r="G413" i="12"/>
  <c r="G513" i="12"/>
  <c r="G613" i="12"/>
  <c r="G716" i="12"/>
  <c r="G805" i="12"/>
  <c r="G881" i="12"/>
  <c r="G956" i="12"/>
  <c r="G1030" i="12"/>
  <c r="G1086" i="12"/>
  <c r="G1124" i="12"/>
  <c r="G1162" i="12"/>
  <c r="G1200" i="12"/>
  <c r="G1237" i="12"/>
  <c r="G1276" i="12"/>
  <c r="G1313" i="12"/>
  <c r="G1350" i="12"/>
  <c r="G1390" i="12"/>
  <c r="G1428" i="12"/>
  <c r="G1465" i="12"/>
  <c r="G1504" i="12"/>
  <c r="G1541" i="12"/>
  <c r="G1578" i="12"/>
  <c r="G1617" i="12"/>
  <c r="G1647" i="12"/>
  <c r="G1675" i="12"/>
  <c r="G1705" i="12"/>
  <c r="G1733" i="12"/>
  <c r="G1761" i="12"/>
  <c r="G1790" i="12"/>
  <c r="G1817" i="12"/>
  <c r="G1845" i="12"/>
  <c r="G1874" i="12"/>
  <c r="G1902" i="12"/>
  <c r="G1930" i="12"/>
  <c r="G1960" i="12"/>
  <c r="G1988" i="12"/>
  <c r="G2016" i="12"/>
  <c r="G2045" i="12"/>
  <c r="G2073" i="12"/>
  <c r="G2101" i="12"/>
  <c r="G2130" i="12"/>
  <c r="G2158" i="12"/>
  <c r="G2186" i="12"/>
  <c r="G2216" i="12"/>
  <c r="G2244" i="12"/>
  <c r="G2272" i="12"/>
  <c r="G2301" i="12"/>
  <c r="G2329" i="12"/>
  <c r="G2357" i="12"/>
  <c r="G2386" i="12"/>
  <c r="G2414" i="12"/>
  <c r="G2442" i="12"/>
  <c r="G2472" i="12"/>
  <c r="G2500" i="12"/>
  <c r="G2528" i="12"/>
  <c r="G2557" i="12"/>
  <c r="G2585" i="12"/>
  <c r="G2613" i="12"/>
  <c r="G2642" i="12"/>
  <c r="G2670" i="12"/>
  <c r="G2698" i="12"/>
  <c r="G2728" i="12"/>
  <c r="G2756" i="12"/>
  <c r="G2784" i="12"/>
  <c r="G2813" i="12"/>
  <c r="G2841" i="12"/>
  <c r="G2869" i="12"/>
  <c r="G2898" i="12"/>
  <c r="G2926" i="12"/>
  <c r="G2954" i="12"/>
  <c r="G2984" i="12"/>
  <c r="G3012" i="12"/>
  <c r="G3040" i="12"/>
  <c r="G3069" i="12"/>
  <c r="G3097" i="12"/>
  <c r="G3125" i="12"/>
  <c r="G3154" i="12"/>
  <c r="G3182" i="12"/>
  <c r="G3210" i="12"/>
  <c r="G3240" i="12"/>
  <c r="G3268" i="12"/>
  <c r="G3296" i="12"/>
  <c r="G3320" i="12"/>
  <c r="G3336" i="12"/>
  <c r="G3352" i="12"/>
  <c r="G3364" i="12"/>
  <c r="G3379" i="12"/>
  <c r="G3395" i="12"/>
  <c r="G3407" i="12"/>
  <c r="G3422" i="12"/>
  <c r="G3438" i="12"/>
  <c r="G3450" i="12"/>
  <c r="G3464" i="12"/>
  <c r="G3480" i="12"/>
  <c r="G3492" i="12"/>
  <c r="G3507" i="12"/>
  <c r="G3523" i="12"/>
  <c r="G3535" i="12"/>
  <c r="G3550" i="12"/>
  <c r="G3566" i="12"/>
  <c r="G3578" i="12"/>
  <c r="G3592" i="12"/>
  <c r="G3608" i="12"/>
  <c r="G3620" i="12"/>
  <c r="G3635" i="12"/>
  <c r="G3651" i="12"/>
  <c r="G3663" i="12"/>
  <c r="G3678" i="12"/>
  <c r="G3694" i="12"/>
  <c r="G3706" i="12"/>
  <c r="G3720" i="12"/>
  <c r="G3736" i="12"/>
  <c r="G3747" i="12"/>
  <c r="G3762" i="12"/>
  <c r="G3778" i="12"/>
  <c r="G3790" i="12"/>
  <c r="G3805" i="12"/>
  <c r="G3821" i="12"/>
  <c r="G3833" i="12"/>
  <c r="G3847" i="12"/>
  <c r="G3863" i="12"/>
  <c r="G3875" i="12"/>
  <c r="G3890" i="12"/>
  <c r="G3906" i="12"/>
  <c r="G3918" i="12"/>
  <c r="G3933" i="12"/>
  <c r="G3949" i="12"/>
  <c r="G3961" i="12"/>
  <c r="G3975" i="12"/>
  <c r="G3991" i="12"/>
  <c r="G4003" i="12"/>
  <c r="G4018" i="12"/>
  <c r="G4034" i="12"/>
  <c r="G4046" i="12"/>
  <c r="G4061" i="12"/>
  <c r="G4077" i="12"/>
  <c r="G4089" i="12"/>
  <c r="G4103" i="12"/>
  <c r="G4119" i="12"/>
  <c r="G4131" i="12"/>
  <c r="G4146" i="12"/>
  <c r="G4162" i="12"/>
  <c r="G4173" i="12"/>
  <c r="G4188" i="12"/>
  <c r="G4204" i="12"/>
  <c r="G4216" i="12"/>
  <c r="G4230" i="12"/>
  <c r="G4246" i="12"/>
  <c r="G4258" i="12"/>
  <c r="G4273" i="12"/>
  <c r="G4289" i="12"/>
  <c r="G4301" i="12"/>
  <c r="G4316" i="12"/>
  <c r="G4332" i="12"/>
  <c r="G4344" i="12"/>
  <c r="G4358" i="12"/>
  <c r="G4374" i="12"/>
  <c r="G4386" i="12"/>
  <c r="G4401" i="12"/>
  <c r="G4417" i="12"/>
  <c r="G4429" i="12"/>
  <c r="G4444" i="12"/>
  <c r="G4460" i="12"/>
  <c r="G4472" i="12"/>
  <c r="G4486" i="12"/>
  <c r="G4502" i="12"/>
  <c r="G4514" i="12"/>
  <c r="G4529" i="12"/>
  <c r="G4545" i="12"/>
  <c r="G4557" i="12"/>
  <c r="G4572" i="12"/>
  <c r="G4588" i="12"/>
  <c r="G4600" i="12"/>
  <c r="G4614" i="12"/>
  <c r="G4630" i="12"/>
  <c r="G4642" i="12"/>
  <c r="G4657" i="12"/>
  <c r="G4673" i="12"/>
  <c r="G4685" i="12"/>
  <c r="G4696" i="12"/>
  <c r="G4706" i="12"/>
  <c r="G4717" i="12"/>
  <c r="G4728" i="12"/>
  <c r="G4738" i="12"/>
  <c r="G4749" i="12"/>
  <c r="G4760" i="12"/>
  <c r="G4770" i="12"/>
  <c r="G4781" i="12"/>
  <c r="G4792" i="12"/>
  <c r="G4802" i="12"/>
  <c r="G4813" i="12"/>
  <c r="G4824" i="12"/>
  <c r="G4834" i="12"/>
  <c r="G4845" i="12"/>
  <c r="G4856" i="12"/>
  <c r="G4866" i="12"/>
  <c r="G4877" i="12"/>
  <c r="G4887" i="12"/>
  <c r="G4897" i="12"/>
  <c r="G4908" i="12"/>
  <c r="G4919" i="12"/>
  <c r="G4929" i="12"/>
  <c r="G4940" i="12"/>
  <c r="G4951" i="12"/>
  <c r="G4961" i="12"/>
  <c r="G4972" i="12"/>
  <c r="G4983" i="12"/>
  <c r="G4993" i="12"/>
  <c r="G5004" i="12"/>
  <c r="G5015" i="12"/>
  <c r="G5025" i="12"/>
  <c r="G5036" i="12"/>
  <c r="G5047" i="12"/>
  <c r="G5057" i="12"/>
  <c r="G5068" i="12"/>
  <c r="G5079" i="12"/>
  <c r="G5089" i="12"/>
  <c r="G5100" i="12"/>
  <c r="G5111" i="12"/>
  <c r="G5121" i="12"/>
  <c r="G5132" i="12"/>
  <c r="G5143" i="12"/>
  <c r="G5153" i="12"/>
  <c r="G5164" i="12"/>
  <c r="G5175" i="12"/>
  <c r="G5185" i="12"/>
  <c r="G5196" i="12"/>
  <c r="G5207" i="12"/>
  <c r="G5217" i="12"/>
  <c r="G5228" i="12"/>
  <c r="G5239" i="12"/>
  <c r="G5249" i="12"/>
  <c r="G5260" i="12"/>
  <c r="G5271" i="12"/>
  <c r="G5281" i="12"/>
  <c r="G5292" i="12"/>
  <c r="G5303" i="12"/>
  <c r="G5313" i="12"/>
  <c r="G5324" i="12"/>
  <c r="G5335" i="12"/>
  <c r="G5345" i="12"/>
  <c r="G5356" i="12"/>
  <c r="G5367" i="12"/>
  <c r="G5377" i="12"/>
  <c r="G5388" i="12"/>
  <c r="G5399" i="12"/>
  <c r="G5409" i="12"/>
  <c r="G5420" i="12"/>
  <c r="G5431" i="12"/>
  <c r="G5441" i="12"/>
  <c r="G5452" i="12"/>
  <c r="G5463" i="12"/>
  <c r="G5473" i="12"/>
  <c r="G5484" i="12"/>
  <c r="G5495" i="12"/>
  <c r="G5505" i="12"/>
  <c r="G5516" i="12"/>
  <c r="G5527" i="12"/>
  <c r="G5537" i="12"/>
  <c r="G5548" i="12"/>
  <c r="G5559" i="12"/>
  <c r="G5569" i="12"/>
  <c r="G5580" i="12"/>
  <c r="G5591" i="12"/>
  <c r="G5601" i="12"/>
  <c r="G5612" i="12"/>
  <c r="G5623" i="12"/>
  <c r="G5632" i="12"/>
  <c r="G5643" i="12"/>
  <c r="G5651" i="12"/>
  <c r="G5658" i="12"/>
  <c r="G5664" i="12"/>
  <c r="G5672" i="12"/>
  <c r="G5679" i="12"/>
  <c r="G5686" i="12"/>
  <c r="G5694" i="12"/>
  <c r="G5700" i="12"/>
  <c r="G5707" i="12"/>
  <c r="G5715" i="12"/>
  <c r="G5722" i="12"/>
  <c r="G5728" i="12"/>
  <c r="G5736" i="12"/>
  <c r="G5743" i="12"/>
  <c r="G5750" i="12"/>
  <c r="G5758" i="12"/>
  <c r="G5764" i="12"/>
  <c r="G5771" i="12"/>
  <c r="G5779" i="12"/>
  <c r="G5786" i="12"/>
  <c r="G5792" i="12"/>
  <c r="G5800" i="12"/>
  <c r="G5807" i="12"/>
  <c r="G5814" i="12"/>
  <c r="G5822" i="12"/>
  <c r="G5828" i="12"/>
  <c r="G5835" i="12"/>
  <c r="G5843" i="12"/>
  <c r="G5850" i="12"/>
  <c r="G5856" i="12"/>
  <c r="G5864" i="12"/>
  <c r="G5871" i="12"/>
  <c r="G5878" i="12"/>
  <c r="G5886" i="12"/>
  <c r="G5892" i="12"/>
  <c r="G5899" i="12"/>
  <c r="G5907" i="12"/>
  <c r="G5914" i="12"/>
  <c r="G5920" i="12"/>
  <c r="G5928" i="12"/>
  <c r="G5935" i="12"/>
  <c r="G5942" i="12"/>
  <c r="G5950" i="12"/>
  <c r="G5956" i="12"/>
  <c r="G5963" i="12"/>
  <c r="G5971" i="12"/>
  <c r="G5978" i="12"/>
  <c r="G5984" i="12"/>
  <c r="G5992" i="12"/>
  <c r="G5999" i="12"/>
  <c r="G6006" i="12"/>
  <c r="G6014" i="12"/>
  <c r="G6020" i="12"/>
  <c r="G6027" i="12"/>
  <c r="G6035" i="12"/>
  <c r="G6042" i="12"/>
  <c r="G6048" i="12"/>
  <c r="G6056" i="12"/>
  <c r="G6063" i="12"/>
  <c r="G6070" i="12"/>
  <c r="G6078" i="12"/>
  <c r="G6084" i="12"/>
  <c r="G6091" i="12"/>
  <c r="G6099" i="12"/>
  <c r="G6106" i="12"/>
  <c r="G6112" i="12"/>
  <c r="G6120" i="12"/>
  <c r="G6127" i="12"/>
  <c r="G6134" i="12"/>
  <c r="G96" i="12"/>
  <c r="G234" i="12"/>
  <c r="G361" i="12"/>
  <c r="G462" i="12"/>
  <c r="G564" i="12"/>
  <c r="G663" i="12"/>
  <c r="G765" i="12"/>
  <c r="G843" i="12"/>
  <c r="G917" i="12"/>
  <c r="G993" i="12"/>
  <c r="G1066" i="12"/>
  <c r="G1105" i="12"/>
  <c r="G1142" i="12"/>
  <c r="G1180" i="12"/>
  <c r="G1220" i="12"/>
  <c r="G1257" i="12"/>
  <c r="G1294" i="12"/>
  <c r="G1333" i="12"/>
  <c r="G1370" i="12"/>
  <c r="G1408" i="12"/>
  <c r="G1446" i="12"/>
  <c r="G1484" i="12"/>
  <c r="G1521" i="12"/>
  <c r="G1561" i="12"/>
  <c r="G1598" i="12"/>
  <c r="G1633" i="12"/>
  <c r="G1662" i="12"/>
  <c r="G1690" i="12"/>
  <c r="G1718" i="12"/>
  <c r="G1747" i="12"/>
  <c r="G1775" i="12"/>
  <c r="G1803" i="12"/>
  <c r="G1832" i="12"/>
  <c r="G1860" i="12"/>
  <c r="G1888" i="12"/>
  <c r="G1917" i="12"/>
  <c r="G1945" i="12"/>
  <c r="G1973" i="12"/>
  <c r="G2002" i="12"/>
  <c r="G2030" i="12"/>
  <c r="G2058" i="12"/>
  <c r="G2088" i="12"/>
  <c r="G2116" i="12"/>
  <c r="G2144" i="12"/>
  <c r="G2173" i="12"/>
  <c r="G2201" i="12"/>
  <c r="G2229" i="12"/>
  <c r="G2258" i="12"/>
  <c r="G2286" i="12"/>
  <c r="G2314" i="12"/>
  <c r="G2344" i="12"/>
  <c r="G2372" i="12"/>
  <c r="G2400" i="12"/>
  <c r="G2429" i="12"/>
  <c r="G2457" i="12"/>
  <c r="G2485" i="12"/>
  <c r="G2514" i="12"/>
  <c r="G2542" i="12"/>
  <c r="G2570" i="12"/>
  <c r="G2600" i="12"/>
  <c r="G2628" i="12"/>
  <c r="G2656" i="12"/>
  <c r="G2685" i="12"/>
  <c r="G2713" i="12"/>
  <c r="G2741" i="12"/>
  <c r="G2770" i="12"/>
  <c r="G2798" i="12"/>
  <c r="G2826" i="12"/>
  <c r="G2856" i="12"/>
  <c r="G2884" i="12"/>
  <c r="G2912" i="12"/>
  <c r="G2941" i="12"/>
  <c r="G2969" i="12"/>
  <c r="G2997" i="12"/>
  <c r="G3026" i="12"/>
  <c r="G3054" i="12"/>
  <c r="G3082" i="12"/>
  <c r="G3112" i="12"/>
  <c r="G3140" i="12"/>
  <c r="G3168" i="12"/>
  <c r="G3197" i="12"/>
  <c r="G3225" i="12"/>
  <c r="G3253" i="12"/>
  <c r="G3282" i="12"/>
  <c r="G3310" i="12"/>
  <c r="G3331" i="12"/>
  <c r="G3343" i="12"/>
  <c r="G3358" i="12"/>
  <c r="G3374" i="12"/>
  <c r="G3386" i="12"/>
  <c r="G3400" i="12"/>
  <c r="G3416" i="12"/>
  <c r="G3428" i="12"/>
  <c r="G3443" i="12"/>
  <c r="G3459" i="12"/>
  <c r="G3471" i="12"/>
  <c r="G3486" i="12"/>
  <c r="G3502" i="12"/>
  <c r="G3514" i="12"/>
  <c r="G3528" i="12"/>
  <c r="G3544" i="12"/>
  <c r="G3556" i="12"/>
  <c r="G3571" i="12"/>
  <c r="G3587" i="12"/>
  <c r="G3599" i="12"/>
  <c r="G3614" i="12"/>
  <c r="G3630" i="12"/>
  <c r="G3642" i="12"/>
  <c r="G3656" i="12"/>
  <c r="G3672" i="12"/>
  <c r="G3684" i="12"/>
  <c r="G3699" i="12"/>
  <c r="G3715" i="12"/>
  <c r="G3727" i="12"/>
  <c r="G3741" i="12"/>
  <c r="G3757" i="12"/>
  <c r="G3769" i="12"/>
  <c r="G3783" i="12"/>
  <c r="G3799" i="12"/>
  <c r="G3811" i="12"/>
  <c r="G3826" i="12"/>
  <c r="G3842" i="12"/>
  <c r="G3854" i="12"/>
  <c r="G3869" i="12"/>
  <c r="G3885" i="12"/>
  <c r="G3897" i="12"/>
  <c r="G3911" i="12"/>
  <c r="G3927" i="12"/>
  <c r="G3939" i="12"/>
  <c r="G3954" i="12"/>
  <c r="G3970" i="12"/>
  <c r="G3982" i="12"/>
  <c r="G3997" i="12"/>
  <c r="G4013" i="12"/>
  <c r="G4025" i="12"/>
  <c r="G4039" i="12"/>
  <c r="G4055" i="12"/>
  <c r="G4067" i="12"/>
  <c r="G4082" i="12"/>
  <c r="G4098" i="12"/>
  <c r="G4110" i="12"/>
  <c r="G4125" i="12"/>
  <c r="G4141" i="12"/>
  <c r="G4153" i="12"/>
  <c r="G4166" i="12"/>
  <c r="G4182" i="12"/>
  <c r="G4194" i="12"/>
  <c r="G4209" i="12"/>
  <c r="G4225" i="12"/>
  <c r="G4237" i="12"/>
  <c r="G4252" i="12"/>
  <c r="G4268" i="12"/>
  <c r="G4280" i="12"/>
  <c r="G4294" i="12"/>
  <c r="G4310" i="12"/>
  <c r="G4322" i="12"/>
  <c r="G4337" i="12"/>
  <c r="G4353" i="12"/>
  <c r="G4365" i="12"/>
  <c r="G4380" i="12"/>
  <c r="G4396" i="12"/>
  <c r="G4408" i="12"/>
  <c r="G4422" i="12"/>
  <c r="G4438" i="12"/>
  <c r="G4450" i="12"/>
  <c r="G4465" i="12"/>
  <c r="G4481" i="12"/>
  <c r="G4493" i="12"/>
  <c r="G4508" i="12"/>
  <c r="G4524" i="12"/>
  <c r="G4536" i="12"/>
  <c r="G4550" i="12"/>
  <c r="G4566" i="12"/>
  <c r="G4578" i="12"/>
  <c r="G4593" i="12"/>
  <c r="G4609" i="12"/>
  <c r="G4621" i="12"/>
  <c r="G4636" i="12"/>
  <c r="G4652" i="12"/>
  <c r="G4664" i="12"/>
  <c r="G4678" i="12"/>
  <c r="G4690" i="12"/>
  <c r="G4701" i="12"/>
  <c r="G4712" i="12"/>
  <c r="G4722" i="12"/>
  <c r="G4733" i="12"/>
  <c r="G4744" i="12"/>
  <c r="G4754" i="12"/>
  <c r="G4765" i="12"/>
  <c r="G4776" i="12"/>
  <c r="G4786" i="12"/>
  <c r="G4797" i="12"/>
  <c r="G4808" i="12"/>
  <c r="G4818" i="12"/>
  <c r="G4829" i="12"/>
  <c r="G4840" i="12"/>
  <c r="G4850" i="12"/>
  <c r="G4861" i="12"/>
  <c r="G4872" i="12"/>
  <c r="G4882" i="12"/>
  <c r="G4892" i="12"/>
  <c r="G4903" i="12"/>
  <c r="G4913" i="12"/>
  <c r="G4924" i="12"/>
  <c r="G4935" i="12"/>
  <c r="G4945" i="12"/>
  <c r="G4956" i="12"/>
  <c r="G4967" i="12"/>
  <c r="G4977" i="12"/>
  <c r="G4988" i="12"/>
  <c r="G4999" i="12"/>
  <c r="G5009" i="12"/>
  <c r="G5020" i="12"/>
  <c r="G5031" i="12"/>
  <c r="G5041" i="12"/>
  <c r="G5052" i="12"/>
  <c r="G5063" i="12"/>
  <c r="G5073" i="12"/>
  <c r="G5084" i="12"/>
  <c r="G5095" i="12"/>
  <c r="G5105" i="12"/>
  <c r="G5116" i="12"/>
  <c r="G5127" i="12"/>
  <c r="G5137" i="12"/>
  <c r="G5148" i="12"/>
  <c r="G5159" i="12"/>
  <c r="G5169" i="12"/>
  <c r="G5180" i="12"/>
  <c r="G5191" i="12"/>
  <c r="G5201" i="12"/>
  <c r="G5212" i="12"/>
  <c r="G5223" i="12"/>
  <c r="G5233" i="12"/>
  <c r="G5244" i="12"/>
  <c r="G5255" i="12"/>
  <c r="G5265" i="12"/>
  <c r="G5276" i="12"/>
  <c r="G5287" i="12"/>
  <c r="G5297" i="12"/>
  <c r="G5308" i="12"/>
  <c r="G5319" i="12"/>
  <c r="G5329" i="12"/>
  <c r="G5340" i="12"/>
  <c r="G5351" i="12"/>
  <c r="G5361" i="12"/>
  <c r="G5372" i="12"/>
  <c r="G5383" i="12"/>
  <c r="G5393" i="12"/>
  <c r="G5404" i="12"/>
  <c r="G5415" i="12"/>
  <c r="G5425" i="12"/>
  <c r="G5436" i="12"/>
  <c r="G5447" i="12"/>
  <c r="G5457" i="12"/>
  <c r="G5468" i="12"/>
  <c r="G5479" i="12"/>
  <c r="G5489" i="12"/>
  <c r="G5500" i="12"/>
  <c r="G5511" i="12"/>
  <c r="G5521" i="12"/>
  <c r="G5532" i="12"/>
  <c r="G5543" i="12"/>
  <c r="G5553" i="12"/>
  <c r="G5564" i="12"/>
  <c r="G5575" i="12"/>
  <c r="G5585" i="12"/>
  <c r="G5596" i="12"/>
  <c r="G5607" i="12"/>
  <c r="G5617" i="12"/>
  <c r="G5627" i="12"/>
  <c r="G5638" i="12"/>
  <c r="G5647" i="12"/>
  <c r="G5654" i="12"/>
  <c r="G5662" i="12"/>
  <c r="G5668" i="12"/>
  <c r="G5675" i="12"/>
  <c r="G5683" i="12"/>
  <c r="G5690" i="12"/>
  <c r="G5696" i="12"/>
  <c r="G5704" i="12"/>
  <c r="G5711" i="12"/>
  <c r="G5718" i="12"/>
  <c r="G5726" i="12"/>
  <c r="G5732" i="12"/>
  <c r="G5739" i="12"/>
  <c r="G5747" i="12"/>
  <c r="G5754" i="12"/>
  <c r="G5760" i="12"/>
  <c r="G5768" i="12"/>
  <c r="G5775" i="12"/>
  <c r="G5782" i="12"/>
  <c r="G5790" i="12"/>
  <c r="G5796" i="12"/>
  <c r="G5803" i="12"/>
  <c r="G5811" i="12"/>
  <c r="G5818" i="12"/>
  <c r="G5824" i="12"/>
  <c r="G5832" i="12"/>
  <c r="G5839" i="12"/>
  <c r="G5846" i="12"/>
  <c r="G5854" i="12"/>
  <c r="G5860" i="12"/>
  <c r="G5867" i="12"/>
  <c r="G5875" i="12"/>
  <c r="G5882" i="12"/>
  <c r="G5888" i="12"/>
  <c r="G5896" i="12"/>
  <c r="G5903" i="12"/>
  <c r="G5910" i="12"/>
  <c r="G5918" i="12"/>
  <c r="G5924" i="12"/>
  <c r="G5931" i="12"/>
  <c r="G5939" i="12"/>
  <c r="G5946" i="12"/>
  <c r="G5952" i="12"/>
  <c r="G5960" i="12"/>
  <c r="G5967" i="12"/>
  <c r="G5974" i="12"/>
  <c r="G5982" i="12"/>
  <c r="G5988" i="12"/>
  <c r="G5995" i="12"/>
  <c r="G6003" i="12"/>
  <c r="G6010" i="12"/>
  <c r="G6016" i="12"/>
  <c r="G6024" i="12"/>
  <c r="G6031" i="12"/>
  <c r="G6038" i="12"/>
  <c r="G6046" i="12"/>
  <c r="G6052" i="12"/>
  <c r="G6059" i="12"/>
  <c r="G6067" i="12"/>
  <c r="G6074" i="12"/>
  <c r="G6080" i="12"/>
  <c r="G6088" i="12"/>
  <c r="G6095" i="12"/>
  <c r="G6102" i="12"/>
  <c r="G6110" i="12"/>
  <c r="G6116" i="12"/>
  <c r="G6123" i="12"/>
  <c r="G6131" i="12"/>
  <c r="G6138" i="12"/>
  <c r="G6144" i="12"/>
  <c r="G6152" i="12"/>
  <c r="G6159" i="12"/>
  <c r="G6166" i="12"/>
  <c r="G6174" i="12"/>
  <c r="G6180" i="12"/>
  <c r="G6187" i="12"/>
  <c r="G6195" i="12"/>
  <c r="G6202" i="12"/>
  <c r="G6208" i="12"/>
  <c r="G6216" i="12"/>
  <c r="G6223" i="12"/>
  <c r="G6230" i="12"/>
  <c r="G6238" i="12"/>
  <c r="G6244" i="12"/>
  <c r="G6251" i="12"/>
  <c r="G6259" i="12"/>
  <c r="G6266" i="12"/>
  <c r="G6272" i="12"/>
  <c r="G6280" i="12"/>
  <c r="G6287" i="12"/>
  <c r="G6294" i="12"/>
  <c r="G6302" i="12"/>
  <c r="G6308" i="12"/>
  <c r="G6315" i="12"/>
  <c r="G6323" i="12"/>
  <c r="G6330" i="12"/>
  <c r="G6336" i="12"/>
  <c r="G6344" i="12"/>
  <c r="G6351" i="12"/>
  <c r="G6358" i="12"/>
  <c r="G6366" i="12"/>
  <c r="G6372" i="12"/>
  <c r="G6379" i="12"/>
  <c r="G6387" i="12"/>
  <c r="G6394" i="12"/>
  <c r="G6400" i="12"/>
  <c r="G6408" i="12"/>
  <c r="G6415" i="12"/>
  <c r="G6422" i="12"/>
  <c r="G6430" i="12"/>
  <c r="G6436" i="12"/>
  <c r="G6443" i="12"/>
  <c r="G6451" i="12"/>
  <c r="G6458" i="12"/>
  <c r="G6464" i="12"/>
  <c r="G6472" i="12"/>
  <c r="G6479" i="12"/>
  <c r="G6486" i="12"/>
  <c r="G6494" i="12"/>
  <c r="G6500" i="12"/>
  <c r="G6507" i="12"/>
  <c r="G6515" i="12"/>
  <c r="G6522" i="12"/>
  <c r="G6528" i="12"/>
  <c r="G6536" i="12"/>
  <c r="G6543" i="12"/>
  <c r="G6550" i="12"/>
  <c r="G6558" i="12"/>
  <c r="G6564" i="12"/>
  <c r="G6571" i="12"/>
  <c r="G6579" i="12"/>
  <c r="G6586" i="12"/>
  <c r="G6592" i="12"/>
  <c r="G6600" i="12"/>
  <c r="G6607" i="12"/>
  <c r="G6614" i="12"/>
  <c r="G6622" i="12"/>
  <c r="G6628" i="12"/>
  <c r="G6635" i="12"/>
  <c r="G6643" i="12"/>
  <c r="G6650" i="12"/>
  <c r="G6656" i="12"/>
  <c r="G6664" i="12"/>
  <c r="G6671" i="12"/>
  <c r="G6678" i="12"/>
  <c r="G6686" i="12"/>
  <c r="G6692" i="12"/>
  <c r="G6699" i="12"/>
  <c r="G6707" i="12"/>
  <c r="G6714" i="12"/>
  <c r="G6720" i="12"/>
  <c r="G6728" i="12"/>
  <c r="G6735" i="12"/>
  <c r="G6741" i="12"/>
  <c r="G6747" i="12"/>
  <c r="G6752" i="12"/>
  <c r="G6757" i="12"/>
  <c r="G6763" i="12"/>
  <c r="G6768" i="12"/>
  <c r="G6773" i="12"/>
  <c r="G6779" i="12"/>
  <c r="G6784" i="12"/>
  <c r="G6789" i="12"/>
  <c r="G6795" i="12"/>
  <c r="G6800" i="12"/>
  <c r="G6805" i="12"/>
  <c r="G6811" i="12"/>
  <c r="G6816" i="12"/>
  <c r="G6821" i="12"/>
  <c r="G6827" i="12"/>
  <c r="G6832" i="12"/>
  <c r="G6837" i="12"/>
  <c r="G6843" i="12"/>
  <c r="G6848" i="12"/>
  <c r="G6853" i="12"/>
  <c r="G6859" i="12"/>
  <c r="G6864" i="12"/>
  <c r="G6869" i="12"/>
  <c r="G6875" i="12"/>
  <c r="G6880" i="12"/>
  <c r="G6885" i="12"/>
  <c r="G6891" i="12"/>
  <c r="G6896" i="12"/>
  <c r="G6901" i="12"/>
  <c r="G6907" i="12"/>
  <c r="G6912" i="12"/>
  <c r="G6917" i="12"/>
  <c r="G6923" i="12"/>
  <c r="G6928" i="12"/>
  <c r="G6933" i="12"/>
  <c r="G6939" i="12"/>
  <c r="G6944" i="12"/>
  <c r="G6949" i="12"/>
  <c r="G6955" i="12"/>
  <c r="G6960" i="12"/>
  <c r="G6965" i="12"/>
  <c r="G6971" i="12"/>
  <c r="G6976" i="12"/>
  <c r="G6981" i="12"/>
  <c r="G6987" i="12"/>
  <c r="G6992" i="12"/>
  <c r="G6997" i="12"/>
  <c r="G7003" i="12"/>
  <c r="G7008" i="12"/>
  <c r="G7013" i="12"/>
  <c r="G7019" i="12"/>
  <c r="G7024" i="12"/>
  <c r="G7029" i="12"/>
  <c r="G7035" i="12"/>
  <c r="G7040" i="12"/>
  <c r="G7045" i="12"/>
  <c r="G7051" i="12"/>
  <c r="G7056" i="12"/>
  <c r="G7061" i="12"/>
  <c r="G7067" i="12"/>
  <c r="G7072" i="12"/>
  <c r="G7077" i="12"/>
  <c r="G7083" i="12"/>
  <c r="G7088" i="12"/>
  <c r="G7093" i="12"/>
  <c r="G7099" i="12"/>
  <c r="G7104" i="12"/>
  <c r="G7109" i="12"/>
  <c r="G7115" i="12"/>
  <c r="G7120" i="12"/>
  <c r="G7125" i="12"/>
  <c r="G7131" i="12"/>
  <c r="G7136" i="12"/>
  <c r="G7141" i="12"/>
  <c r="G7147" i="12"/>
  <c r="G7152" i="12"/>
  <c r="G7157" i="12"/>
  <c r="G7163" i="12"/>
  <c r="G7168" i="12"/>
  <c r="G7173" i="12"/>
  <c r="G7179" i="12"/>
  <c r="G7184" i="12"/>
  <c r="G7189" i="12"/>
  <c r="G7195" i="12"/>
  <c r="G7200" i="12"/>
  <c r="G7205" i="12"/>
  <c r="G7211" i="12"/>
  <c r="G7216" i="12"/>
  <c r="G7221" i="12"/>
  <c r="G7227" i="12"/>
  <c r="G7232" i="12"/>
  <c r="G7237" i="12"/>
  <c r="G7243" i="12"/>
  <c r="G7248" i="12"/>
  <c r="G7253" i="12"/>
  <c r="G7259" i="12"/>
  <c r="G7264" i="12"/>
  <c r="G7269" i="12"/>
  <c r="G7275" i="12"/>
  <c r="G7280" i="12"/>
  <c r="G7285" i="12"/>
  <c r="G7291" i="12"/>
  <c r="G7296" i="12"/>
  <c r="G7301" i="12"/>
  <c r="G7307" i="12"/>
  <c r="G7312" i="12"/>
  <c r="G7317" i="12"/>
  <c r="G7323" i="12"/>
  <c r="G7328" i="12"/>
  <c r="G7333" i="12"/>
  <c r="G7339" i="12"/>
  <c r="G7344" i="12"/>
  <c r="G7349" i="12"/>
  <c r="G7355" i="12"/>
  <c r="G7360" i="12"/>
  <c r="G7365" i="12"/>
  <c r="G7371" i="12"/>
  <c r="G7376" i="12"/>
  <c r="G7381" i="12"/>
  <c r="G7387" i="12"/>
  <c r="G7392" i="12"/>
  <c r="G7397" i="12"/>
  <c r="G7403" i="12"/>
  <c r="G7408" i="12"/>
  <c r="G7413" i="12"/>
  <c r="G7419" i="12"/>
  <c r="G7424" i="12"/>
  <c r="G7429" i="12"/>
  <c r="G7435" i="12"/>
  <c r="G7440" i="12"/>
  <c r="G7445" i="12"/>
  <c r="G7451" i="12"/>
  <c r="G7456" i="12"/>
  <c r="G7461" i="12"/>
  <c r="G7467" i="12"/>
  <c r="G7472" i="12"/>
  <c r="G7477" i="12"/>
  <c r="G7483" i="12"/>
  <c r="G7488" i="12"/>
  <c r="G7493" i="12"/>
  <c r="G7499" i="12"/>
  <c r="G7504" i="12"/>
  <c r="G7509" i="12"/>
  <c r="G7515" i="12"/>
  <c r="G7520" i="12"/>
  <c r="G7525" i="12"/>
  <c r="G7531" i="12"/>
  <c r="G7536" i="12"/>
  <c r="G7541" i="12"/>
  <c r="G7547" i="12"/>
  <c r="G7552" i="12"/>
  <c r="G7557" i="12"/>
  <c r="G7563" i="12"/>
  <c r="G7568" i="12"/>
  <c r="G7573" i="12"/>
  <c r="G7579" i="12"/>
  <c r="G64" i="12"/>
  <c r="G333" i="12"/>
  <c r="G540" i="12"/>
  <c r="G739" i="12"/>
  <c r="G900" i="12"/>
  <c r="G1050" i="12"/>
  <c r="G1134" i="12"/>
  <c r="G1209" i="12"/>
  <c r="G1285" i="12"/>
  <c r="G1361" i="12"/>
  <c r="G1436" i="12"/>
  <c r="G1513" i="12"/>
  <c r="G1589" i="12"/>
  <c r="G1654" i="12"/>
  <c r="G1711" i="12"/>
  <c r="G1769" i="12"/>
  <c r="G1824" i="12"/>
  <c r="G1881" i="12"/>
  <c r="G1938" i="12"/>
  <c r="G1994" i="12"/>
  <c r="G2052" i="12"/>
  <c r="G2109" i="12"/>
  <c r="G2165" i="12"/>
  <c r="G2222" i="12"/>
  <c r="G2280" i="12"/>
  <c r="G2336" i="12"/>
  <c r="G2393" i="12"/>
  <c r="G2450" i="12"/>
  <c r="G2506" i="12"/>
  <c r="G2564" i="12"/>
  <c r="G2621" i="12"/>
  <c r="G2677" i="12"/>
  <c r="G2734" i="12"/>
  <c r="G2792" i="12"/>
  <c r="G2848" i="12"/>
  <c r="G2905" i="12"/>
  <c r="G2962" i="12"/>
  <c r="G3018" i="12"/>
  <c r="G3076" i="12"/>
  <c r="G3133" i="12"/>
  <c r="G3189" i="12"/>
  <c r="G3246" i="12"/>
  <c r="G3304" i="12"/>
  <c r="G3342" i="12"/>
  <c r="G3368" i="12"/>
  <c r="G3396" i="12"/>
  <c r="G3427" i="12"/>
  <c r="G3454" i="12"/>
  <c r="G3482" i="12"/>
  <c r="G3512" i="12"/>
  <c r="G3539" i="12"/>
  <c r="G3567" i="12"/>
  <c r="G3598" i="12"/>
  <c r="G3624" i="12"/>
  <c r="G3652" i="12"/>
  <c r="G3683" i="12"/>
  <c r="G3710" i="12"/>
  <c r="G3737" i="12"/>
  <c r="G3767" i="12"/>
  <c r="G3794" i="12"/>
  <c r="G3822" i="12"/>
  <c r="G3853" i="12"/>
  <c r="G3879" i="12"/>
  <c r="G3907" i="12"/>
  <c r="G3938" i="12"/>
  <c r="G3965" i="12"/>
  <c r="G3993" i="12"/>
  <c r="G4023" i="12"/>
  <c r="G4050" i="12"/>
  <c r="G4078" i="12"/>
  <c r="G4109" i="12"/>
  <c r="G4135" i="12"/>
  <c r="G4163" i="12"/>
  <c r="G4193" i="12"/>
  <c r="G4220" i="12"/>
  <c r="G4248" i="12"/>
  <c r="G4278" i="12"/>
  <c r="G4305" i="12"/>
  <c r="G4333" i="12"/>
  <c r="G4364" i="12"/>
  <c r="G4390" i="12"/>
  <c r="G4418" i="12"/>
  <c r="G4449" i="12"/>
  <c r="G4476" i="12"/>
  <c r="G4504" i="12"/>
  <c r="G4534" i="12"/>
  <c r="G4561" i="12"/>
  <c r="G4589" i="12"/>
  <c r="G4620" i="12"/>
  <c r="G4646" i="12"/>
  <c r="G4674" i="12"/>
  <c r="G4700" i="12"/>
  <c r="G4721" i="12"/>
  <c r="G4742" i="12"/>
  <c r="G4764" i="12"/>
  <c r="G4785" i="12"/>
  <c r="G4806" i="12"/>
  <c r="G4828" i="12"/>
  <c r="G4849" i="12"/>
  <c r="G4870" i="12"/>
  <c r="G4891" i="12"/>
  <c r="G4912" i="12"/>
  <c r="G4933" i="12"/>
  <c r="G4955" i="12"/>
  <c r="G4976" i="12"/>
  <c r="G4997" i="12"/>
  <c r="G5019" i="12"/>
  <c r="G5040" i="12"/>
  <c r="G5061" i="12"/>
  <c r="G5083" i="12"/>
  <c r="G5104" i="12"/>
  <c r="G5125" i="12"/>
  <c r="G5147" i="12"/>
  <c r="G5168" i="12"/>
  <c r="G5189" i="12"/>
  <c r="G5211" i="12"/>
  <c r="G5232" i="12"/>
  <c r="G5253" i="12"/>
  <c r="G5275" i="12"/>
  <c r="G5296" i="12"/>
  <c r="G5317" i="12"/>
  <c r="G5339" i="12"/>
  <c r="G5360" i="12"/>
  <c r="G5381" i="12"/>
  <c r="G5403" i="12"/>
  <c r="G5424" i="12"/>
  <c r="G5445" i="12"/>
  <c r="G5467" i="12"/>
  <c r="G5488" i="12"/>
  <c r="G5509" i="12"/>
  <c r="G5531" i="12"/>
  <c r="G5552" i="12"/>
  <c r="G5573" i="12"/>
  <c r="G5595" i="12"/>
  <c r="G5616" i="12"/>
  <c r="G5636" i="12"/>
  <c r="G5652" i="12"/>
  <c r="G5667" i="12"/>
  <c r="G5680" i="12"/>
  <c r="G5695" i="12"/>
  <c r="G5710" i="12"/>
  <c r="G5723" i="12"/>
  <c r="G5738" i="12"/>
  <c r="G5752" i="12"/>
  <c r="G5766" i="12"/>
  <c r="G5780" i="12"/>
  <c r="G5795" i="12"/>
  <c r="G5808" i="12"/>
  <c r="G5823" i="12"/>
  <c r="G5838" i="12"/>
  <c r="G5851" i="12"/>
  <c r="G5866" i="12"/>
  <c r="G5880" i="12"/>
  <c r="G5894" i="12"/>
  <c r="G5908" i="12"/>
  <c r="G5923" i="12"/>
  <c r="G5936" i="12"/>
  <c r="G5951" i="12"/>
  <c r="G5966" i="12"/>
  <c r="G5979" i="12"/>
  <c r="G5994" i="12"/>
  <c r="G6008" i="12"/>
  <c r="G6022" i="12"/>
  <c r="G6036" i="12"/>
  <c r="G6051" i="12"/>
  <c r="G6064" i="12"/>
  <c r="G6079" i="12"/>
  <c r="G6094" i="12"/>
  <c r="G6107" i="12"/>
  <c r="G6122" i="12"/>
  <c r="G6136" i="12"/>
  <c r="G6147" i="12"/>
  <c r="G6155" i="12"/>
  <c r="G6164" i="12"/>
  <c r="G6175" i="12"/>
  <c r="G6184" i="12"/>
  <c r="G6192" i="12"/>
  <c r="G6203" i="12"/>
  <c r="G6212" i="12"/>
  <c r="G6222" i="12"/>
  <c r="G6232" i="12"/>
  <c r="G6240" i="12"/>
  <c r="G6250" i="12"/>
  <c r="G6260" i="12"/>
  <c r="G6270" i="12"/>
  <c r="G6278" i="12"/>
  <c r="G6288" i="12"/>
  <c r="G6298" i="12"/>
  <c r="G6307" i="12"/>
  <c r="G6318" i="12"/>
  <c r="G6326" i="12"/>
  <c r="G6335" i="12"/>
  <c r="G6346" i="12"/>
  <c r="G6355" i="12"/>
  <c r="G6363" i="12"/>
  <c r="G6374" i="12"/>
  <c r="G6383" i="12"/>
  <c r="G6392" i="12"/>
  <c r="G6403" i="12"/>
  <c r="G6411" i="12"/>
  <c r="G6420" i="12"/>
  <c r="G6431" i="12"/>
  <c r="G6440" i="12"/>
  <c r="G6448" i="12"/>
  <c r="G6459" i="12"/>
  <c r="G6468" i="12"/>
  <c r="G6478" i="12"/>
  <c r="G6488" i="12"/>
  <c r="G6496" i="12"/>
  <c r="G6506" i="12"/>
  <c r="G6516" i="12"/>
  <c r="G6526" i="12"/>
  <c r="G6534" i="12"/>
  <c r="G6544" i="12"/>
  <c r="G6554" i="12"/>
  <c r="G6563" i="12"/>
  <c r="G6574" i="12"/>
  <c r="G6582" i="12"/>
  <c r="G6591" i="12"/>
  <c r="G6602" i="12"/>
  <c r="G6611" i="12"/>
  <c r="G6619" i="12"/>
  <c r="G6630" i="12"/>
  <c r="G6639" i="12"/>
  <c r="G6648" i="12"/>
  <c r="G6659" i="12"/>
  <c r="G6667" i="12"/>
  <c r="G6676" i="12"/>
  <c r="G6687" i="12"/>
  <c r="G6696" i="12"/>
  <c r="G6704" i="12"/>
  <c r="G6715" i="12"/>
  <c r="G6724" i="12"/>
  <c r="G6734" i="12"/>
  <c r="G6743" i="12"/>
  <c r="G6749" i="12"/>
  <c r="G6756" i="12"/>
  <c r="G6764" i="12"/>
  <c r="G6771" i="12"/>
  <c r="G6777" i="12"/>
  <c r="G6785" i="12"/>
  <c r="G6792" i="12"/>
  <c r="G6799" i="12"/>
  <c r="G6807" i="12"/>
  <c r="G6813" i="12"/>
  <c r="G6820" i="12"/>
  <c r="G6828" i="12"/>
  <c r="G6835" i="12"/>
  <c r="G6841" i="12"/>
  <c r="G6849" i="12"/>
  <c r="G6856" i="12"/>
  <c r="G6863" i="12"/>
  <c r="G6871" i="12"/>
  <c r="G6877" i="12"/>
  <c r="G6884" i="12"/>
  <c r="G6892" i="12"/>
  <c r="G6899" i="12"/>
  <c r="G6905" i="12"/>
  <c r="G6913" i="12"/>
  <c r="G6920" i="12"/>
  <c r="G6927" i="12"/>
  <c r="G6935" i="12"/>
  <c r="G6941" i="12"/>
  <c r="G6948" i="12"/>
  <c r="G6956" i="12"/>
  <c r="G6963" i="12"/>
  <c r="G6969" i="12"/>
  <c r="G6977" i="12"/>
  <c r="G6984" i="12"/>
  <c r="G6991" i="12"/>
  <c r="G6999" i="12"/>
  <c r="G7005" i="12"/>
  <c r="G7012" i="12"/>
  <c r="G7020" i="12"/>
  <c r="G7027" i="12"/>
  <c r="G7033" i="12"/>
  <c r="G7041" i="12"/>
  <c r="G7048" i="12"/>
  <c r="G7055" i="12"/>
  <c r="G7063" i="12"/>
  <c r="G7069" i="12"/>
  <c r="G7076" i="12"/>
  <c r="G7084" i="12"/>
  <c r="G7091" i="12"/>
  <c r="G7097" i="12"/>
  <c r="G7105" i="12"/>
  <c r="G7112" i="12"/>
  <c r="G7119" i="12"/>
  <c r="G7127" i="12"/>
  <c r="G7133" i="12"/>
  <c r="G7140" i="12"/>
  <c r="G7148" i="12"/>
  <c r="G7155" i="12"/>
  <c r="G7161" i="12"/>
  <c r="G7169" i="12"/>
  <c r="G7176" i="12"/>
  <c r="G7183" i="12"/>
  <c r="G7191" i="12"/>
  <c r="G7197" i="12"/>
  <c r="G7204" i="12"/>
  <c r="G7212" i="12"/>
  <c r="G7219" i="12"/>
  <c r="G7225" i="12"/>
  <c r="G7233" i="12"/>
  <c r="G7240" i="12"/>
  <c r="G7247" i="12"/>
  <c r="G7255" i="12"/>
  <c r="G7261" i="12"/>
  <c r="G7268" i="12"/>
  <c r="G7276" i="12"/>
  <c r="G7283" i="12"/>
  <c r="G7289" i="12"/>
  <c r="G7297" i="12"/>
  <c r="G7304" i="12"/>
  <c r="G7311" i="12"/>
  <c r="G7319" i="12"/>
  <c r="G7325" i="12"/>
  <c r="G7332" i="12"/>
  <c r="G7340" i="12"/>
  <c r="G7347" i="12"/>
  <c r="G7353" i="12"/>
  <c r="G7361" i="12"/>
  <c r="G7368" i="12"/>
  <c r="G7375" i="12"/>
  <c r="G7383" i="12"/>
  <c r="G7389" i="12"/>
  <c r="G7396" i="12"/>
  <c r="G7404" i="12"/>
  <c r="G7411" i="12"/>
  <c r="G7417" i="12"/>
  <c r="G7425" i="12"/>
  <c r="G7432" i="12"/>
  <c r="G7439" i="12"/>
  <c r="G7447" i="12"/>
  <c r="G7453" i="12"/>
  <c r="G7460" i="12"/>
  <c r="G7468" i="12"/>
  <c r="G7475" i="12"/>
  <c r="G7481" i="12"/>
  <c r="G7489" i="12"/>
  <c r="G7496" i="12"/>
  <c r="G7503" i="12"/>
  <c r="G7511" i="12"/>
  <c r="G7517" i="12"/>
  <c r="G7524" i="12"/>
  <c r="G7532" i="12"/>
  <c r="G7539" i="12"/>
  <c r="G7545" i="12"/>
  <c r="G7553" i="12"/>
  <c r="G7560" i="12"/>
  <c r="G7567" i="12"/>
  <c r="G7575" i="12"/>
  <c r="G7581" i="12"/>
  <c r="G7587" i="12"/>
  <c r="G7592" i="12"/>
  <c r="G7597" i="12"/>
  <c r="G7603" i="12"/>
  <c r="G7608" i="12"/>
  <c r="G7613" i="12"/>
  <c r="G7619" i="12"/>
  <c r="G7624" i="12"/>
  <c r="G7629" i="12"/>
  <c r="G7635" i="12"/>
  <c r="G7640" i="12"/>
  <c r="G7645" i="12"/>
  <c r="G7651" i="12"/>
  <c r="G7656" i="12"/>
  <c r="G7661" i="12"/>
  <c r="G7667" i="12"/>
  <c r="G7672" i="12"/>
  <c r="G7677" i="12"/>
  <c r="G7683" i="12"/>
  <c r="G7688" i="12"/>
  <c r="G7693" i="12"/>
  <c r="G7699" i="12"/>
  <c r="G7704" i="12"/>
  <c r="G7709" i="12"/>
  <c r="G7715" i="12"/>
  <c r="G7720" i="12"/>
  <c r="G7725" i="12"/>
  <c r="G7731" i="12"/>
  <c r="G7736" i="12"/>
  <c r="G7741" i="12"/>
  <c r="G7747" i="12"/>
  <c r="G7752" i="12"/>
  <c r="G7757" i="12"/>
  <c r="G7763" i="12"/>
  <c r="G7768" i="12"/>
  <c r="G7773" i="12"/>
  <c r="G7779" i="12"/>
  <c r="G7784" i="12"/>
  <c r="G7789" i="12"/>
  <c r="G7795" i="12"/>
  <c r="G7800" i="12"/>
  <c r="G7805" i="12"/>
  <c r="G7811" i="12"/>
  <c r="G7816" i="12"/>
  <c r="G7821" i="12"/>
  <c r="G7827" i="12"/>
  <c r="G7832" i="12"/>
  <c r="G7837" i="12"/>
  <c r="G7843" i="12"/>
  <c r="G7848" i="12"/>
  <c r="G7853" i="12"/>
  <c r="G7859" i="12"/>
  <c r="G7864" i="12"/>
  <c r="G7869" i="12"/>
  <c r="G7875" i="12"/>
  <c r="G7880" i="12"/>
  <c r="G7885" i="12"/>
  <c r="G7891" i="12"/>
  <c r="G7896" i="12"/>
  <c r="G7901" i="12"/>
  <c r="G7907" i="12"/>
  <c r="G7912" i="12"/>
  <c r="G7917" i="12"/>
  <c r="G7923" i="12"/>
  <c r="G7928" i="12"/>
  <c r="G7933" i="12"/>
  <c r="G7939" i="12"/>
  <c r="G7944" i="12"/>
  <c r="G7949" i="12"/>
  <c r="G7955" i="12"/>
  <c r="G7960" i="12"/>
  <c r="G7965" i="12"/>
  <c r="G7971" i="12"/>
  <c r="G7976" i="12"/>
  <c r="G7981" i="12"/>
  <c r="G7987" i="12"/>
  <c r="G7992" i="12"/>
  <c r="G7997" i="12"/>
  <c r="G8003" i="12"/>
  <c r="G8008" i="12"/>
  <c r="G8013" i="12"/>
  <c r="G8019" i="12"/>
  <c r="G8024" i="12"/>
  <c r="G8029" i="12"/>
  <c r="G8035" i="12"/>
  <c r="G8040" i="12"/>
  <c r="G8045" i="12"/>
  <c r="G8051" i="12"/>
  <c r="G8056" i="12"/>
  <c r="G8061" i="12"/>
  <c r="G8067" i="12"/>
  <c r="G8072" i="12"/>
  <c r="G8077" i="12"/>
  <c r="G8083" i="12"/>
  <c r="G8088" i="12"/>
  <c r="G8093" i="12"/>
  <c r="G8099" i="12"/>
  <c r="G8104" i="12"/>
  <c r="G8109" i="12"/>
  <c r="G8115" i="12"/>
  <c r="G8120" i="12"/>
  <c r="G8125" i="12"/>
  <c r="G8131" i="12"/>
  <c r="G8136" i="12"/>
  <c r="G8141" i="12"/>
  <c r="G8147" i="12"/>
  <c r="G8152" i="12"/>
  <c r="G8157" i="12"/>
  <c r="G8163" i="12"/>
  <c r="G8168" i="12"/>
  <c r="G8173" i="12"/>
  <c r="G8179" i="12"/>
  <c r="G8184" i="12"/>
  <c r="G8189" i="12"/>
  <c r="G8195" i="12"/>
  <c r="G8200" i="12"/>
  <c r="G8205" i="12"/>
  <c r="G8211" i="12"/>
  <c r="G8216" i="12"/>
  <c r="G8221" i="12"/>
  <c r="G8227" i="12"/>
  <c r="G8232" i="12"/>
  <c r="G8237" i="12"/>
  <c r="G8243" i="12"/>
  <c r="G8248" i="12"/>
  <c r="G8253" i="12"/>
  <c r="G8259" i="12"/>
  <c r="G8264" i="12"/>
  <c r="G8269" i="12"/>
  <c r="G8275" i="12"/>
  <c r="G8280" i="12"/>
  <c r="G8285" i="12"/>
  <c r="G8291" i="12"/>
  <c r="G8296" i="12"/>
  <c r="G8301" i="12"/>
  <c r="G8307" i="12"/>
  <c r="G8312" i="12"/>
  <c r="G8317" i="12"/>
  <c r="G8323" i="12"/>
  <c r="G8328" i="12"/>
  <c r="G8333" i="12"/>
  <c r="G8339" i="12"/>
  <c r="G8344" i="12"/>
  <c r="G8349" i="12"/>
  <c r="G8355" i="12"/>
  <c r="G8360" i="12"/>
  <c r="G8365" i="12"/>
  <c r="G8371" i="12"/>
  <c r="G8376" i="12"/>
  <c r="G8381" i="12"/>
  <c r="G8387" i="12"/>
  <c r="G8392" i="12"/>
  <c r="G8397" i="12"/>
  <c r="G132" i="12"/>
  <c r="G386" i="12"/>
  <c r="G589" i="12"/>
  <c r="G786" i="12"/>
  <c r="G937" i="12"/>
  <c r="G1077" i="12"/>
  <c r="G1152" i="12"/>
  <c r="G1228" i="12"/>
  <c r="G1305" i="12"/>
  <c r="G1380" i="12"/>
  <c r="G1456" i="12"/>
  <c r="G1532" i="12"/>
  <c r="G1606" i="12"/>
  <c r="G1669" i="12"/>
  <c r="G1726" i="12"/>
  <c r="G1782" i="12"/>
  <c r="G1838" i="12"/>
  <c r="G1896" i="12"/>
  <c r="G1952" i="12"/>
  <c r="G2009" i="12"/>
  <c r="G2066" i="12"/>
  <c r="G2122" i="12"/>
  <c r="G2180" i="12"/>
  <c r="G2237" i="12"/>
  <c r="G2293" i="12"/>
  <c r="G2350" i="12"/>
  <c r="G2408" i="12"/>
  <c r="G2464" i="12"/>
  <c r="G2521" i="12"/>
  <c r="G2578" i="12"/>
  <c r="G2634" i="12"/>
  <c r="G2692" i="12"/>
  <c r="G2749" i="12"/>
  <c r="G2805" i="12"/>
  <c r="G2862" i="12"/>
  <c r="G2920" i="12"/>
  <c r="G2976" i="12"/>
  <c r="G3033" i="12"/>
  <c r="G3090" i="12"/>
  <c r="G3146" i="12"/>
  <c r="G3204" i="12"/>
  <c r="G3261" i="12"/>
  <c r="G3317" i="12"/>
  <c r="G3347" i="12"/>
  <c r="G3375" i="12"/>
  <c r="G3406" i="12"/>
  <c r="G3432" i="12"/>
  <c r="G3460" i="12"/>
  <c r="G3491" i="12"/>
  <c r="G3518" i="12"/>
  <c r="G3546" i="12"/>
  <c r="G3576" i="12"/>
  <c r="G3603" i="12"/>
  <c r="G3631" i="12"/>
  <c r="G3662" i="12"/>
  <c r="G3688" i="12"/>
  <c r="G3716" i="12"/>
  <c r="G3746" i="12"/>
  <c r="G3773" i="12"/>
  <c r="G3801" i="12"/>
  <c r="G3831" i="12"/>
  <c r="G3858" i="12"/>
  <c r="G3886" i="12"/>
  <c r="G3917" i="12"/>
  <c r="G3943" i="12"/>
  <c r="G3971" i="12"/>
  <c r="G4002" i="12"/>
  <c r="G4029" i="12"/>
  <c r="G4057" i="12"/>
  <c r="G4087" i="12"/>
  <c r="G4114" i="12"/>
  <c r="G4142" i="12"/>
  <c r="G4172" i="12"/>
  <c r="G4198" i="12"/>
  <c r="G4226" i="12"/>
  <c r="G4257" i="12"/>
  <c r="G4284" i="12"/>
  <c r="G4312" i="12"/>
  <c r="G4342" i="12"/>
  <c r="G4369" i="12"/>
  <c r="G4397" i="12"/>
  <c r="G4428" i="12"/>
  <c r="G4454" i="12"/>
  <c r="G4482" i="12"/>
  <c r="G4513" i="12"/>
  <c r="G4540" i="12"/>
  <c r="G4568" i="12"/>
  <c r="G4598" i="12"/>
  <c r="G4625" i="12"/>
  <c r="G4653" i="12"/>
  <c r="G4684" i="12"/>
  <c r="G4705" i="12"/>
  <c r="G4726" i="12"/>
  <c r="G4748" i="12"/>
  <c r="G4769" i="12"/>
  <c r="G4790" i="12"/>
  <c r="G4812" i="12"/>
  <c r="G4833" i="12"/>
  <c r="G4854" i="12"/>
  <c r="G4876" i="12"/>
  <c r="G4896" i="12"/>
  <c r="G4917" i="12"/>
  <c r="G4939" i="12"/>
  <c r="G4960" i="12"/>
  <c r="G4981" i="12"/>
  <c r="G5003" i="12"/>
  <c r="G5024" i="12"/>
  <c r="G5045" i="12"/>
  <c r="G5067" i="12"/>
  <c r="G5088" i="12"/>
  <c r="G5109" i="12"/>
  <c r="G5131" i="12"/>
  <c r="G5152" i="12"/>
  <c r="G5173" i="12"/>
  <c r="G5195" i="12"/>
  <c r="G5216" i="12"/>
  <c r="G5237" i="12"/>
  <c r="G5259" i="12"/>
  <c r="G5280" i="12"/>
  <c r="G5301" i="12"/>
  <c r="G5323" i="12"/>
  <c r="G5344" i="12"/>
  <c r="G5365" i="12"/>
  <c r="G5387" i="12"/>
  <c r="G5408" i="12"/>
  <c r="G5429" i="12"/>
  <c r="G5451" i="12"/>
  <c r="G5472" i="12"/>
  <c r="G5493" i="12"/>
  <c r="G5515" i="12"/>
  <c r="G5536" i="12"/>
  <c r="G5557" i="12"/>
  <c r="G5579" i="12"/>
  <c r="G5600" i="12"/>
  <c r="G5621" i="12"/>
  <c r="G5642" i="12"/>
  <c r="G5656" i="12"/>
  <c r="G5670" i="12"/>
  <c r="G5684" i="12"/>
  <c r="G5699" i="12"/>
  <c r="G5712" i="12"/>
  <c r="G5727" i="12"/>
  <c r="G5742" i="12"/>
  <c r="G5755" i="12"/>
  <c r="G5770" i="12"/>
  <c r="G5784" i="12"/>
  <c r="G5798" i="12"/>
  <c r="G5812" i="12"/>
  <c r="G5827" i="12"/>
  <c r="G5840" i="12"/>
  <c r="G5855" i="12"/>
  <c r="G5870" i="12"/>
  <c r="G5883" i="12"/>
  <c r="G5898" i="12"/>
  <c r="G5912" i="12"/>
  <c r="G5926" i="12"/>
  <c r="G5940" i="12"/>
  <c r="G5955" i="12"/>
  <c r="G5968" i="12"/>
  <c r="G5983" i="12"/>
  <c r="G5998" i="12"/>
  <c r="G6011" i="12"/>
  <c r="G6026" i="12"/>
  <c r="G6040" i="12"/>
  <c r="G6054" i="12"/>
  <c r="G6068" i="12"/>
  <c r="G6083" i="12"/>
  <c r="G6096" i="12"/>
  <c r="G6111" i="12"/>
  <c r="G6126" i="12"/>
  <c r="G6139" i="12"/>
  <c r="G6148" i="12"/>
  <c r="G6158" i="12"/>
  <c r="G6168" i="12"/>
  <c r="G6176" i="12"/>
  <c r="G6186" i="12"/>
  <c r="G200" i="12"/>
  <c r="G436" i="12"/>
  <c r="G640" i="12"/>
  <c r="G823" i="12"/>
  <c r="G974" i="12"/>
  <c r="G1094" i="12"/>
  <c r="G1172" i="12"/>
  <c r="G1248" i="12"/>
  <c r="G1322" i="12"/>
  <c r="G1398" i="12"/>
  <c r="G1476" i="12"/>
  <c r="G1550" i="12"/>
  <c r="G1626" i="12"/>
  <c r="G1683" i="12"/>
  <c r="G1739" i="12"/>
  <c r="G1797" i="12"/>
  <c r="G1853" i="12"/>
  <c r="G1909" i="12"/>
  <c r="G1966" i="12"/>
  <c r="G2024" i="12"/>
  <c r="G2080" i="12"/>
  <c r="G2137" i="12"/>
  <c r="G2194" i="12"/>
  <c r="G2250" i="12"/>
  <c r="G2308" i="12"/>
  <c r="G2365" i="12"/>
  <c r="G2421" i="12"/>
  <c r="G2478" i="12"/>
  <c r="G2536" i="12"/>
  <c r="G2592" i="12"/>
  <c r="G2649" i="12"/>
  <c r="G2706" i="12"/>
  <c r="G2762" i="12"/>
  <c r="G2820" i="12"/>
  <c r="G2877" i="12"/>
  <c r="G2933" i="12"/>
  <c r="G2990" i="12"/>
  <c r="G3048" i="12"/>
  <c r="G3104" i="12"/>
  <c r="G3161" i="12"/>
  <c r="G3218" i="12"/>
  <c r="G3274" i="12"/>
  <c r="G3325" i="12"/>
  <c r="G3354" i="12"/>
  <c r="G3384" i="12"/>
  <c r="G3411" i="12"/>
  <c r="G3439" i="12"/>
  <c r="G3470" i="12"/>
  <c r="G3496" i="12"/>
  <c r="G3524" i="12"/>
  <c r="G3555" i="12"/>
  <c r="G3582" i="12"/>
  <c r="G3610" i="12"/>
  <c r="G3640" i="12"/>
  <c r="G3667" i="12"/>
  <c r="G3695" i="12"/>
  <c r="G3726" i="12"/>
  <c r="G3751" i="12"/>
  <c r="G3779" i="12"/>
  <c r="G3810" i="12"/>
  <c r="G3837" i="12"/>
  <c r="G3865" i="12"/>
  <c r="G3895" i="12"/>
  <c r="G3922" i="12"/>
  <c r="G3950" i="12"/>
  <c r="G3981" i="12"/>
  <c r="G4007" i="12"/>
  <c r="G4035" i="12"/>
  <c r="G4066" i="12"/>
  <c r="G4093" i="12"/>
  <c r="G4121" i="12"/>
  <c r="G4151" i="12"/>
  <c r="G4177" i="12"/>
  <c r="G4205" i="12"/>
  <c r="G4236" i="12"/>
  <c r="G4262" i="12"/>
  <c r="G4290" i="12"/>
  <c r="G4321" i="12"/>
  <c r="G4348" i="12"/>
  <c r="G4376" i="12"/>
  <c r="G4406" i="12"/>
  <c r="G4433" i="12"/>
  <c r="G4461" i="12"/>
  <c r="G4492" i="12"/>
  <c r="G4518" i="12"/>
  <c r="G4546" i="12"/>
  <c r="G4577" i="12"/>
  <c r="G4604" i="12"/>
  <c r="G4632" i="12"/>
  <c r="G4662" i="12"/>
  <c r="G4689" i="12"/>
  <c r="G4710" i="12"/>
  <c r="G4732" i="12"/>
  <c r="G4753" i="12"/>
  <c r="G4774" i="12"/>
  <c r="G4796" i="12"/>
  <c r="G4817" i="12"/>
  <c r="G4838" i="12"/>
  <c r="G4860" i="12"/>
  <c r="G4881" i="12"/>
  <c r="G4901" i="12"/>
  <c r="G4923" i="12"/>
  <c r="G4944" i="12"/>
  <c r="G4965" i="12"/>
  <c r="G4987" i="12"/>
  <c r="G5008" i="12"/>
  <c r="G5029" i="12"/>
  <c r="G5051" i="12"/>
  <c r="G5072" i="12"/>
  <c r="G5093" i="12"/>
  <c r="G5115" i="12"/>
  <c r="G5136" i="12"/>
  <c r="G5157" i="12"/>
  <c r="G5179" i="12"/>
  <c r="G5200" i="12"/>
  <c r="G5221" i="12"/>
  <c r="G5243" i="12"/>
  <c r="G5264" i="12"/>
  <c r="G5285" i="12"/>
  <c r="G5307" i="12"/>
  <c r="G5328" i="12"/>
  <c r="G5349" i="12"/>
  <c r="G5371" i="12"/>
  <c r="G5392" i="12"/>
  <c r="G5413" i="12"/>
  <c r="G5435" i="12"/>
  <c r="G5456" i="12"/>
  <c r="G5477" i="12"/>
  <c r="G5499" i="12"/>
  <c r="G5520" i="12"/>
  <c r="G5541" i="12"/>
  <c r="G5563" i="12"/>
  <c r="G5584" i="12"/>
  <c r="G5605" i="12"/>
  <c r="G5626" i="12"/>
  <c r="G5646" i="12"/>
  <c r="G5659" i="12"/>
  <c r="G5674" i="12"/>
  <c r="G5688" i="12"/>
  <c r="G5702" i="12"/>
  <c r="G5716" i="12"/>
  <c r="G5731" i="12"/>
  <c r="G5744" i="12"/>
  <c r="G5759" i="12"/>
  <c r="G5774" i="12"/>
  <c r="G5787" i="12"/>
  <c r="G5802" i="12"/>
  <c r="G5816" i="12"/>
  <c r="G5830" i="12"/>
  <c r="G5844" i="12"/>
  <c r="G5859" i="12"/>
  <c r="G5872" i="12"/>
  <c r="G5887" i="12"/>
  <c r="G5902" i="12"/>
  <c r="G5915" i="12"/>
  <c r="G5930" i="12"/>
  <c r="G5944" i="12"/>
  <c r="G5958" i="12"/>
  <c r="G5972" i="12"/>
  <c r="G5987" i="12"/>
  <c r="G6000" i="12"/>
  <c r="G6015" i="12"/>
  <c r="G6030" i="12"/>
  <c r="G6043" i="12"/>
  <c r="G6058" i="12"/>
  <c r="G6072" i="12"/>
  <c r="G6086" i="12"/>
  <c r="G6100" i="12"/>
  <c r="G6115" i="12"/>
  <c r="G6128" i="12"/>
  <c r="G6142" i="12"/>
  <c r="G6150" i="12"/>
  <c r="G6160" i="12"/>
  <c r="G6170" i="12"/>
  <c r="G6179" i="12"/>
  <c r="G6190" i="12"/>
  <c r="G6198" i="12"/>
  <c r="G6207" i="12"/>
  <c r="G6218" i="12"/>
  <c r="G6227" i="12"/>
  <c r="G6235" i="12"/>
  <c r="G6246" i="12"/>
  <c r="G6255" i="12"/>
  <c r="G6264" i="12"/>
  <c r="G6275" i="12"/>
  <c r="G6283" i="12"/>
  <c r="G6292" i="12"/>
  <c r="G6303" i="12"/>
  <c r="G6312" i="12"/>
  <c r="G6320" i="12"/>
  <c r="G6331" i="12"/>
  <c r="G6340" i="12"/>
  <c r="G6350" i="12"/>
  <c r="G6360" i="12"/>
  <c r="G6368" i="12"/>
  <c r="G6378" i="12"/>
  <c r="G6388" i="12"/>
  <c r="G6398" i="12"/>
  <c r="G6406" i="12"/>
  <c r="G6416" i="12"/>
  <c r="G6426" i="12"/>
  <c r="G6435" i="12"/>
  <c r="G6446" i="12"/>
  <c r="G6454" i="12"/>
  <c r="G6463" i="12"/>
  <c r="G6474" i="12"/>
  <c r="G6483" i="12"/>
  <c r="G6491" i="12"/>
  <c r="G6502" i="12"/>
  <c r="G6511" i="12"/>
  <c r="G6520" i="12"/>
  <c r="G6531" i="12"/>
  <c r="G6539" i="12"/>
  <c r="G6548" i="12"/>
  <c r="G6559" i="12"/>
  <c r="G6568" i="12"/>
  <c r="G6576" i="12"/>
  <c r="G6587" i="12"/>
  <c r="G6596" i="12"/>
  <c r="G6606" i="12"/>
  <c r="G6616" i="12"/>
  <c r="G6624" i="12"/>
  <c r="G6634" i="12"/>
  <c r="G6644" i="12"/>
  <c r="G6654" i="12"/>
  <c r="G6662" i="12"/>
  <c r="G6672" i="12"/>
  <c r="G6682" i="12"/>
  <c r="G6691" i="12"/>
  <c r="G6702" i="12"/>
  <c r="G6710" i="12"/>
  <c r="G6719" i="12"/>
  <c r="G6730" i="12"/>
  <c r="G6739" i="12"/>
  <c r="G6745" i="12"/>
  <c r="G6753" i="12"/>
  <c r="G6760" i="12"/>
  <c r="G6767" i="12"/>
  <c r="G6775" i="12"/>
  <c r="G6781" i="12"/>
  <c r="G6788" i="12"/>
  <c r="G6796" i="12"/>
  <c r="G6803" i="12"/>
  <c r="G6809" i="12"/>
  <c r="G6817" i="12"/>
  <c r="G6824" i="12"/>
  <c r="G6831" i="12"/>
  <c r="G6839" i="12"/>
  <c r="G6845" i="12"/>
  <c r="G6852" i="12"/>
  <c r="G6860" i="12"/>
  <c r="G6867" i="12"/>
  <c r="G6873" i="12"/>
  <c r="G6881" i="12"/>
  <c r="G6888" i="12"/>
  <c r="G6895" i="12"/>
  <c r="G6903" i="12"/>
  <c r="G6909" i="12"/>
  <c r="G6916" i="12"/>
  <c r="G6924" i="12"/>
  <c r="G6931" i="12"/>
  <c r="G6937" i="12"/>
  <c r="G6945" i="12"/>
  <c r="G6952" i="12"/>
  <c r="G6959" i="12"/>
  <c r="G6967" i="12"/>
  <c r="G6973" i="12"/>
  <c r="G6980" i="12"/>
  <c r="G6988" i="12"/>
  <c r="G6995" i="12"/>
  <c r="G7001" i="12"/>
  <c r="G7009" i="12"/>
  <c r="G7016" i="12"/>
  <c r="G7023" i="12"/>
  <c r="G7031" i="12"/>
  <c r="G7037" i="12"/>
  <c r="G7044" i="12"/>
  <c r="G7052" i="12"/>
  <c r="G7059" i="12"/>
  <c r="G7065" i="12"/>
  <c r="G7073" i="12"/>
  <c r="G7080" i="12"/>
  <c r="G7087" i="12"/>
  <c r="G7095" i="12"/>
  <c r="G7101" i="12"/>
  <c r="G7108" i="12"/>
  <c r="G7116" i="12"/>
  <c r="G7123" i="12"/>
  <c r="G7129" i="12"/>
  <c r="G7137" i="12"/>
  <c r="G7144" i="12"/>
  <c r="G7151" i="12"/>
  <c r="G7159" i="12"/>
  <c r="G7165" i="12"/>
  <c r="G7172" i="12"/>
  <c r="G7180" i="12"/>
  <c r="G7187" i="12"/>
  <c r="G7193" i="12"/>
  <c r="G7201" i="12"/>
  <c r="G7208" i="12"/>
  <c r="G7215" i="12"/>
  <c r="G7223" i="12"/>
  <c r="G7229" i="12"/>
  <c r="G7236" i="12"/>
  <c r="G7244" i="12"/>
  <c r="G7251" i="12"/>
  <c r="G7257" i="12"/>
  <c r="G7265" i="12"/>
  <c r="G7272" i="12"/>
  <c r="G7279" i="12"/>
  <c r="G7287" i="12"/>
  <c r="G7293" i="12"/>
  <c r="G7300" i="12"/>
  <c r="G7308" i="12"/>
  <c r="G7315" i="12"/>
  <c r="G7321" i="12"/>
  <c r="G7329" i="12"/>
  <c r="G7336" i="12"/>
  <c r="G7343" i="12"/>
  <c r="G7351" i="12"/>
  <c r="G7357" i="12"/>
  <c r="G7364" i="12"/>
  <c r="G7372" i="12"/>
  <c r="G7379" i="12"/>
  <c r="G7385" i="12"/>
  <c r="G7393" i="12"/>
  <c r="G7400" i="12"/>
  <c r="G7407" i="12"/>
  <c r="G7415" i="12"/>
  <c r="G7421" i="12"/>
  <c r="G7428" i="12"/>
  <c r="G7436" i="12"/>
  <c r="G7443" i="12"/>
  <c r="G7449" i="12"/>
  <c r="G7457" i="12"/>
  <c r="G7464" i="12"/>
  <c r="G7471" i="12"/>
  <c r="G7479" i="12"/>
  <c r="G7485" i="12"/>
  <c r="G7492" i="12"/>
  <c r="G7500" i="12"/>
  <c r="G7507" i="12"/>
  <c r="G7513" i="12"/>
  <c r="G7521" i="12"/>
  <c r="G7528" i="12"/>
  <c r="G7535" i="12"/>
  <c r="G7543" i="12"/>
  <c r="G7549" i="12"/>
  <c r="G7556" i="12"/>
  <c r="G7564" i="12"/>
  <c r="G7571" i="12"/>
  <c r="G7577" i="12"/>
  <c r="G7584" i="12"/>
  <c r="G7589" i="12"/>
  <c r="G7595" i="12"/>
  <c r="G7600" i="12"/>
  <c r="G7605" i="12"/>
  <c r="G7611" i="12"/>
  <c r="G7616" i="12"/>
  <c r="G7621" i="12"/>
  <c r="G7627" i="12"/>
  <c r="G7632" i="12"/>
  <c r="G7637" i="12"/>
  <c r="G7643" i="12"/>
  <c r="G7648" i="12"/>
  <c r="G7653" i="12"/>
  <c r="G7659" i="12"/>
  <c r="G7664" i="12"/>
  <c r="G7669" i="12"/>
  <c r="G7675" i="12"/>
  <c r="G7680" i="12"/>
  <c r="G7685" i="12"/>
  <c r="G7691" i="12"/>
  <c r="G7696" i="12"/>
  <c r="G7701" i="12"/>
  <c r="G7707" i="12"/>
  <c r="G7712" i="12"/>
  <c r="G7717" i="12"/>
  <c r="G7723" i="12"/>
  <c r="G7728" i="12"/>
  <c r="G7733" i="12"/>
  <c r="G7739" i="12"/>
  <c r="G7744" i="12"/>
  <c r="G7749" i="12"/>
  <c r="G7755" i="12"/>
  <c r="G7760" i="12"/>
  <c r="G7765" i="12"/>
  <c r="G7771" i="12"/>
  <c r="G7776" i="12"/>
  <c r="G7781" i="12"/>
  <c r="G7787" i="12"/>
  <c r="G7792" i="12"/>
  <c r="G7797" i="12"/>
  <c r="G7803" i="12"/>
  <c r="G7808" i="12"/>
  <c r="G7813" i="12"/>
  <c r="G7819" i="12"/>
  <c r="G7824" i="12"/>
  <c r="G7829" i="12"/>
  <c r="G7835" i="12"/>
  <c r="G7840" i="12"/>
  <c r="G7845" i="12"/>
  <c r="G7851" i="12"/>
  <c r="G7856" i="12"/>
  <c r="G7861" i="12"/>
  <c r="G7867" i="12"/>
  <c r="G7872" i="12"/>
  <c r="G7877" i="12"/>
  <c r="G7883" i="12"/>
  <c r="G7888" i="12"/>
  <c r="G7893" i="12"/>
  <c r="G7899" i="12"/>
  <c r="G7904" i="12"/>
  <c r="G7909" i="12"/>
  <c r="G7915" i="12"/>
  <c r="G7920" i="12"/>
  <c r="G7925" i="12"/>
  <c r="G7931" i="12"/>
  <c r="G7936" i="12"/>
  <c r="G7941" i="12"/>
  <c r="G7947" i="12"/>
  <c r="G7952" i="12"/>
  <c r="G7957" i="12"/>
  <c r="G7963" i="12"/>
  <c r="G7968" i="12"/>
  <c r="G7973" i="12"/>
  <c r="G7979" i="12"/>
  <c r="G7984" i="12"/>
  <c r="G7989" i="12"/>
  <c r="G7995" i="12"/>
  <c r="G8000" i="12"/>
  <c r="G8005" i="12"/>
  <c r="G8011" i="12"/>
  <c r="G8016" i="12"/>
  <c r="G8021" i="12"/>
  <c r="G8027" i="12"/>
  <c r="G8032" i="12"/>
  <c r="G8037" i="12"/>
  <c r="G8043" i="12"/>
  <c r="G8048" i="12"/>
  <c r="G8053" i="12"/>
  <c r="G8059" i="12"/>
  <c r="G8064" i="12"/>
  <c r="G8069" i="12"/>
  <c r="G8075" i="12"/>
  <c r="G8080" i="12"/>
  <c r="G8085" i="12"/>
  <c r="G8091" i="12"/>
  <c r="G8096" i="12"/>
  <c r="G8101" i="12"/>
  <c r="G8107" i="12"/>
  <c r="G8112" i="12"/>
  <c r="G8117" i="12"/>
  <c r="G8123" i="12"/>
  <c r="G8128" i="12"/>
  <c r="G8133" i="12"/>
  <c r="G8139" i="12"/>
  <c r="G8144" i="12"/>
  <c r="G8149" i="12"/>
  <c r="G8155" i="12"/>
  <c r="G8160" i="12"/>
  <c r="G8165" i="12"/>
  <c r="G8171" i="12"/>
  <c r="G8176" i="12"/>
  <c r="G8181" i="12"/>
  <c r="G8187" i="12"/>
  <c r="G8192" i="12"/>
  <c r="G8197" i="12"/>
  <c r="G8203" i="12"/>
  <c r="G8208" i="12"/>
  <c r="G8213" i="12"/>
  <c r="G8219" i="12"/>
  <c r="G8224" i="12"/>
  <c r="G8229" i="12"/>
  <c r="G8235" i="12"/>
  <c r="G8240" i="12"/>
  <c r="G8245" i="12"/>
  <c r="G8251" i="12"/>
  <c r="G8256" i="12"/>
  <c r="G8261" i="12"/>
  <c r="G8267" i="12"/>
  <c r="G8272" i="12"/>
  <c r="G8277" i="12"/>
  <c r="G8283" i="12"/>
  <c r="G8288" i="12"/>
  <c r="G8293" i="12"/>
  <c r="G8299" i="12"/>
  <c r="G8304" i="12"/>
  <c r="G8309" i="12"/>
  <c r="G8315" i="12"/>
  <c r="G8320" i="12"/>
  <c r="G8325" i="12"/>
  <c r="G8331" i="12"/>
  <c r="G8336" i="12"/>
  <c r="G8341" i="12"/>
  <c r="G8347" i="12"/>
  <c r="G8352" i="12"/>
  <c r="G8357" i="12"/>
  <c r="G8363" i="12"/>
  <c r="G8368" i="12"/>
  <c r="G8373" i="12"/>
  <c r="G8379" i="12"/>
  <c r="G8384" i="12"/>
  <c r="G8389" i="12"/>
  <c r="G8395" i="12"/>
  <c r="G8" i="12"/>
  <c r="G265" i="12"/>
  <c r="G489" i="12"/>
  <c r="G689" i="12"/>
  <c r="G861" i="12"/>
  <c r="G1013" i="12"/>
  <c r="G1114" i="12"/>
  <c r="G1190" i="12"/>
  <c r="G1265" i="12"/>
  <c r="G1342" i="12"/>
  <c r="G1418" i="12"/>
  <c r="G1493" i="12"/>
  <c r="G1569" i="12"/>
  <c r="G1641" i="12"/>
  <c r="G1697" i="12"/>
  <c r="G1754" i="12"/>
  <c r="G1866" i="12"/>
  <c r="G1924" i="12"/>
  <c r="G1981" i="12"/>
  <c r="G2037" i="12"/>
  <c r="G2094" i="12"/>
  <c r="G2152" i="12"/>
  <c r="G2208" i="12"/>
  <c r="G2265" i="12"/>
  <c r="G2322" i="12"/>
  <c r="G2378" i="12"/>
  <c r="G2436" i="12"/>
  <c r="G2493" i="12"/>
  <c r="G2549" i="12"/>
  <c r="G2606" i="12"/>
  <c r="G2664" i="12"/>
  <c r="G2720" i="12"/>
  <c r="G2777" i="12"/>
  <c r="G2834" i="12"/>
  <c r="G2890" i="12"/>
  <c r="G2948" i="12"/>
  <c r="G3005" i="12"/>
  <c r="G3061" i="12"/>
  <c r="G3118" i="12"/>
  <c r="G3176" i="12"/>
  <c r="G3232" i="12"/>
  <c r="G3289" i="12"/>
  <c r="G3332" i="12"/>
  <c r="G3363" i="12"/>
  <c r="G3390" i="12"/>
  <c r="G3418" i="12"/>
  <c r="G3448" i="12"/>
  <c r="G3475" i="12"/>
  <c r="G3503" i="12"/>
  <c r="G3534" i="12"/>
  <c r="G3560" i="12"/>
  <c r="G3588" i="12"/>
  <c r="G3619" i="12"/>
  <c r="G3646" i="12"/>
  <c r="G3674" i="12"/>
  <c r="G3704" i="12"/>
  <c r="G3731" i="12"/>
  <c r="G3758" i="12"/>
  <c r="G3789" i="12"/>
  <c r="G3815" i="12"/>
  <c r="G3843" i="12"/>
  <c r="G3874" i="12"/>
  <c r="G3901" i="12"/>
  <c r="G3929" i="12"/>
  <c r="G3959" i="12"/>
  <c r="G3986" i="12"/>
  <c r="G4014" i="12"/>
  <c r="G4045" i="12"/>
  <c r="G4071" i="12"/>
  <c r="G4099" i="12"/>
  <c r="G4130" i="12"/>
  <c r="G4157" i="12"/>
  <c r="G4184" i="12"/>
  <c r="G4214" i="12"/>
  <c r="G4241" i="12"/>
  <c r="G4269" i="12"/>
  <c r="G4300" i="12"/>
  <c r="G4326" i="12"/>
  <c r="G4354" i="12"/>
  <c r="G4385" i="12"/>
  <c r="G4412" i="12"/>
  <c r="G4440" i="12"/>
  <c r="G4470" i="12"/>
  <c r="G4497" i="12"/>
  <c r="G4525" i="12"/>
  <c r="G4556" i="12"/>
  <c r="G4582" i="12"/>
  <c r="G4610" i="12"/>
  <c r="G4641" i="12"/>
  <c r="G4668" i="12"/>
  <c r="G4694" i="12"/>
  <c r="G4716" i="12"/>
  <c r="G4737" i="12"/>
  <c r="G4758" i="12"/>
  <c r="G4780" i="12"/>
  <c r="G4801" i="12"/>
  <c r="G4822" i="12"/>
  <c r="G4844" i="12"/>
  <c r="G4865" i="12"/>
  <c r="G4886" i="12"/>
  <c r="G4907" i="12"/>
  <c r="G4928" i="12"/>
  <c r="G4949" i="12"/>
  <c r="G4971" i="12"/>
  <c r="G4992" i="12"/>
  <c r="G5013" i="12"/>
  <c r="G5035" i="12"/>
  <c r="G5056" i="12"/>
  <c r="G5077" i="12"/>
  <c r="G5099" i="12"/>
  <c r="G5120" i="12"/>
  <c r="G5141" i="12"/>
  <c r="G5163" i="12"/>
  <c r="G5184" i="12"/>
  <c r="G5205" i="12"/>
  <c r="G5227" i="12"/>
  <c r="G5248" i="12"/>
  <c r="G5269" i="12"/>
  <c r="G5291" i="12"/>
  <c r="G5312" i="12"/>
  <c r="G5333" i="12"/>
  <c r="G5355" i="12"/>
  <c r="G5376" i="12"/>
  <c r="G5397" i="12"/>
  <c r="G5419" i="12"/>
  <c r="G5440" i="12"/>
  <c r="G5461" i="12"/>
  <c r="G5483" i="12"/>
  <c r="G5504" i="12"/>
  <c r="G5525" i="12"/>
  <c r="G5547" i="12"/>
  <c r="G5568" i="12"/>
  <c r="G5589" i="12"/>
  <c r="G5611" i="12"/>
  <c r="G5631" i="12"/>
  <c r="G5648" i="12"/>
  <c r="G5663" i="12"/>
  <c r="G5678" i="12"/>
  <c r="G5691" i="12"/>
  <c r="G5706" i="12"/>
  <c r="G5720" i="12"/>
  <c r="G5734" i="12"/>
  <c r="G5748" i="12"/>
  <c r="G5763" i="12"/>
  <c r="G5776" i="12"/>
  <c r="G5791" i="12"/>
  <c r="G5806" i="12"/>
  <c r="G5819" i="12"/>
  <c r="G5834" i="12"/>
  <c r="G5848" i="12"/>
  <c r="G5862" i="12"/>
  <c r="G5876" i="12"/>
  <c r="G5891" i="12"/>
  <c r="G5904" i="12"/>
  <c r="G5919" i="12"/>
  <c r="G5934" i="12"/>
  <c r="G5947" i="12"/>
  <c r="G5962" i="12"/>
  <c r="G5976" i="12"/>
  <c r="G5990" i="12"/>
  <c r="G6004" i="12"/>
  <c r="G6019" i="12"/>
  <c r="G6032" i="12"/>
  <c r="G6047" i="12"/>
  <c r="G6062" i="12"/>
  <c r="G6075" i="12"/>
  <c r="G6090" i="12"/>
  <c r="G6104" i="12"/>
  <c r="G6118" i="12"/>
  <c r="G6132" i="12"/>
  <c r="G6143" i="12"/>
  <c r="G6154" i="12"/>
  <c r="G6163" i="12"/>
  <c r="G6171" i="12"/>
  <c r="G6182" i="12"/>
  <c r="G6191" i="12"/>
  <c r="G6200" i="12"/>
  <c r="G6211" i="12"/>
  <c r="G6219" i="12"/>
  <c r="G6228" i="12"/>
  <c r="G6239" i="12"/>
  <c r="G6248" i="12"/>
  <c r="G6256" i="12"/>
  <c r="G6267" i="12"/>
  <c r="G6276" i="12"/>
  <c r="G6286" i="12"/>
  <c r="G6296" i="12"/>
  <c r="G6304" i="12"/>
  <c r="G6314" i="12"/>
  <c r="G6324" i="12"/>
  <c r="G6334" i="12"/>
  <c r="G6342" i="12"/>
  <c r="G6352" i="12"/>
  <c r="G6362" i="12"/>
  <c r="G6371" i="12"/>
  <c r="G6382" i="12"/>
  <c r="G6390" i="12"/>
  <c r="G6399" i="12"/>
  <c r="G6410" i="12"/>
  <c r="G6419" i="12"/>
  <c r="G6427" i="12"/>
  <c r="G6438" i="12"/>
  <c r="G6447" i="12"/>
  <c r="G6456" i="12"/>
  <c r="G6467" i="12"/>
  <c r="G6475" i="12"/>
  <c r="G6484" i="12"/>
  <c r="G6495" i="12"/>
  <c r="G6504" i="12"/>
  <c r="G6512" i="12"/>
  <c r="G6523" i="12"/>
  <c r="G6532" i="12"/>
  <c r="G6542" i="12"/>
  <c r="G6552" i="12"/>
  <c r="G6560" i="12"/>
  <c r="G6570" i="12"/>
  <c r="G6580" i="12"/>
  <c r="G6590" i="12"/>
  <c r="G6598" i="12"/>
  <c r="G6608" i="12"/>
  <c r="G6618" i="12"/>
  <c r="G6627" i="12"/>
  <c r="G6638" i="12"/>
  <c r="G6646" i="12"/>
  <c r="G6655" i="12"/>
  <c r="G6666" i="12"/>
  <c r="G6675" i="12"/>
  <c r="G6683" i="12"/>
  <c r="G6694" i="12"/>
  <c r="G6703" i="12"/>
  <c r="G6712" i="12"/>
  <c r="G6723" i="12"/>
  <c r="G6731" i="12"/>
  <c r="G6740" i="12"/>
  <c r="G6748" i="12"/>
  <c r="G6755" i="12"/>
  <c r="G6761" i="12"/>
  <c r="G6769" i="12"/>
  <c r="G6776" i="12"/>
  <c r="G6783" i="12"/>
  <c r="G6791" i="12"/>
  <c r="G6797" i="12"/>
  <c r="G6804" i="12"/>
  <c r="G6812" i="12"/>
  <c r="G6819" i="12"/>
  <c r="G6825" i="12"/>
  <c r="G6833" i="12"/>
  <c r="G6840" i="12"/>
  <c r="G6847" i="12"/>
  <c r="G6855" i="12"/>
  <c r="G6861" i="12"/>
  <c r="G6868" i="12"/>
  <c r="G6876" i="12"/>
  <c r="G6883" i="12"/>
  <c r="G6889" i="12"/>
  <c r="G6897" i="12"/>
  <c r="G6904" i="12"/>
  <c r="G6911" i="12"/>
  <c r="G6919" i="12"/>
  <c r="G6925" i="12"/>
  <c r="G6932" i="12"/>
  <c r="G6940" i="12"/>
  <c r="G6947" i="12"/>
  <c r="G6953" i="12"/>
  <c r="G6961" i="12"/>
  <c r="G6968" i="12"/>
  <c r="G6975" i="12"/>
  <c r="G6983" i="12"/>
  <c r="G6989" i="12"/>
  <c r="G6996" i="12"/>
  <c r="G7004" i="12"/>
  <c r="G7011" i="12"/>
  <c r="G7017" i="12"/>
  <c r="G7025" i="12"/>
  <c r="G7032" i="12"/>
  <c r="G7039" i="12"/>
  <c r="G7047" i="12"/>
  <c r="G7053" i="12"/>
  <c r="G7060" i="12"/>
  <c r="G7068" i="12"/>
  <c r="G7075" i="12"/>
  <c r="G7081" i="12"/>
  <c r="G7089" i="12"/>
  <c r="G7096" i="12"/>
  <c r="G7103" i="12"/>
  <c r="G7111" i="12"/>
  <c r="G7117" i="12"/>
  <c r="G7124" i="12"/>
  <c r="G7132" i="12"/>
  <c r="G7139" i="12"/>
  <c r="G7145" i="12"/>
  <c r="G7153" i="12"/>
  <c r="G7160" i="12"/>
  <c r="G7167" i="12"/>
  <c r="G7175" i="12"/>
  <c r="G7181" i="12"/>
  <c r="G7188" i="12"/>
  <c r="G7196" i="12"/>
  <c r="G7203" i="12"/>
  <c r="G7209" i="12"/>
  <c r="G7217" i="12"/>
  <c r="G7224" i="12"/>
  <c r="G7231" i="12"/>
  <c r="G7239" i="12"/>
  <c r="G7245" i="12"/>
  <c r="G7252" i="12"/>
  <c r="G7260" i="12"/>
  <c r="G7267" i="12"/>
  <c r="G7273" i="12"/>
  <c r="G7281" i="12"/>
  <c r="G7288" i="12"/>
  <c r="G7295" i="12"/>
  <c r="G7303" i="12"/>
  <c r="G7309" i="12"/>
  <c r="G7316" i="12"/>
  <c r="G7324" i="12"/>
  <c r="G7331" i="12"/>
  <c r="G7337" i="12"/>
  <c r="G7345" i="12"/>
  <c r="G7352" i="12"/>
  <c r="G7359" i="12"/>
  <c r="G7367" i="12"/>
  <c r="G7373" i="12"/>
  <c r="G7380" i="12"/>
  <c r="G7388" i="12"/>
  <c r="G7395" i="12"/>
  <c r="G7401" i="12"/>
  <c r="G7409" i="12"/>
  <c r="G7416" i="12"/>
  <c r="G7423" i="12"/>
  <c r="G7431" i="12"/>
  <c r="G7437" i="12"/>
  <c r="G7444" i="12"/>
  <c r="G7452" i="12"/>
  <c r="G7459" i="12"/>
  <c r="G7465" i="12"/>
  <c r="G7473" i="12"/>
  <c r="G7480" i="12"/>
  <c r="G7487" i="12"/>
  <c r="G7495" i="12"/>
  <c r="G7501" i="12"/>
  <c r="G7508" i="12"/>
  <c r="G7516" i="12"/>
  <c r="G7523" i="12"/>
  <c r="G7529" i="12"/>
  <c r="G7537" i="12"/>
  <c r="G7544" i="12"/>
  <c r="G7551" i="12"/>
  <c r="G7559" i="12"/>
  <c r="G7565" i="12"/>
  <c r="G7572" i="12"/>
  <c r="G7580" i="12"/>
  <c r="G7585" i="12"/>
  <c r="G7591" i="12"/>
  <c r="G7596" i="12"/>
  <c r="G7601" i="12"/>
  <c r="G7607" i="12"/>
  <c r="G7612" i="12"/>
  <c r="G7617" i="12"/>
  <c r="G7623" i="12"/>
  <c r="G7628" i="12"/>
  <c r="G7633" i="12"/>
  <c r="G7639" i="12"/>
  <c r="G7644" i="12"/>
  <c r="G7649" i="12"/>
  <c r="G7655" i="12"/>
  <c r="G7660" i="12"/>
  <c r="G7665" i="12"/>
  <c r="G7671" i="12"/>
  <c r="G7676" i="12"/>
  <c r="G7681" i="12"/>
  <c r="G7687" i="12"/>
  <c r="G7692" i="12"/>
  <c r="G7697" i="12"/>
  <c r="G7703" i="12"/>
  <c r="G7708" i="12"/>
  <c r="G7713" i="12"/>
  <c r="G7719" i="12"/>
  <c r="G7724" i="12"/>
  <c r="G7729" i="12"/>
  <c r="G7735" i="12"/>
  <c r="G7740" i="12"/>
  <c r="G7745" i="12"/>
  <c r="G7751" i="12"/>
  <c r="G7756" i="12"/>
  <c r="G7761" i="12"/>
  <c r="G7767" i="12"/>
  <c r="G7772" i="12"/>
  <c r="G7777" i="12"/>
  <c r="G7783" i="12"/>
  <c r="G7788" i="12"/>
  <c r="G7793" i="12"/>
  <c r="G7799" i="12"/>
  <c r="G7804" i="12"/>
  <c r="G7809" i="12"/>
  <c r="G7815" i="12"/>
  <c r="G7820" i="12"/>
  <c r="G7825" i="12"/>
  <c r="G7831" i="12"/>
  <c r="G7836" i="12"/>
  <c r="G7841" i="12"/>
  <c r="G7847" i="12"/>
  <c r="G7852" i="12"/>
  <c r="G7857" i="12"/>
  <c r="G7863" i="12"/>
  <c r="G7868" i="12"/>
  <c r="G7873" i="12"/>
  <c r="G7879" i="12"/>
  <c r="G7884" i="12"/>
  <c r="G7889" i="12"/>
  <c r="G7895" i="12"/>
  <c r="G7900" i="12"/>
  <c r="G7905" i="12"/>
  <c r="G7911" i="12"/>
  <c r="G7916" i="12"/>
  <c r="G7921" i="12"/>
  <c r="G7927" i="12"/>
  <c r="G7932" i="12"/>
  <c r="G7937" i="12"/>
  <c r="G7943" i="12"/>
  <c r="G7948" i="12"/>
  <c r="G7953" i="12"/>
  <c r="G7959" i="12"/>
  <c r="G7964" i="12"/>
  <c r="G7969" i="12"/>
  <c r="G7975" i="12"/>
  <c r="G7980" i="12"/>
  <c r="G7985" i="12"/>
  <c r="G7991" i="12"/>
  <c r="G7996" i="12"/>
  <c r="G8001" i="12"/>
  <c r="G8007" i="12"/>
  <c r="G8012" i="12"/>
  <c r="G8017" i="12"/>
  <c r="G8023" i="12"/>
  <c r="G8028" i="12"/>
  <c r="G8033" i="12"/>
  <c r="G8039" i="12"/>
  <c r="G8044" i="12"/>
  <c r="G8049" i="12"/>
  <c r="G8055" i="12"/>
  <c r="G8060" i="12"/>
  <c r="G8065" i="12"/>
  <c r="G8071" i="12"/>
  <c r="G8076" i="12"/>
  <c r="G8081" i="12"/>
  <c r="G8087" i="12"/>
  <c r="G8092" i="12"/>
  <c r="G8097" i="12"/>
  <c r="G8103" i="12"/>
  <c r="G8108" i="12"/>
  <c r="G8113" i="12"/>
  <c r="G8119" i="12"/>
  <c r="G8124" i="12"/>
  <c r="G8129" i="12"/>
  <c r="G8135" i="12"/>
  <c r="G8140" i="12"/>
  <c r="G8145" i="12"/>
  <c r="G8151" i="12"/>
  <c r="G8156" i="12"/>
  <c r="G8161" i="12"/>
  <c r="G8167" i="12"/>
  <c r="G8172" i="12"/>
  <c r="G8177" i="12"/>
  <c r="G8183" i="12"/>
  <c r="G8188" i="12"/>
  <c r="G8193" i="12"/>
  <c r="G8199" i="12"/>
  <c r="G8204" i="12"/>
  <c r="G8209" i="12"/>
  <c r="G8215" i="12"/>
  <c r="G8220" i="12"/>
  <c r="G8225" i="12"/>
  <c r="G8231" i="12"/>
  <c r="G8236" i="12"/>
  <c r="G8241" i="12"/>
  <c r="G8247" i="12"/>
  <c r="G8252" i="12"/>
  <c r="G8257" i="12"/>
  <c r="G8263" i="12"/>
  <c r="G8268" i="12"/>
  <c r="G8273" i="12"/>
  <c r="G8279" i="12"/>
  <c r="G8284" i="12"/>
  <c r="G6196" i="12"/>
  <c r="G6234" i="12"/>
  <c r="G6271" i="12"/>
  <c r="G6310" i="12"/>
  <c r="G6347" i="12"/>
  <c r="G6384" i="12"/>
  <c r="G6424" i="12"/>
  <c r="G6462" i="12"/>
  <c r="G6499" i="12"/>
  <c r="G6538" i="12"/>
  <c r="G6575" i="12"/>
  <c r="G6612" i="12"/>
  <c r="G6651" i="12"/>
  <c r="G6688" i="12"/>
  <c r="G6726" i="12"/>
  <c r="G6759" i="12"/>
  <c r="G6787" i="12"/>
  <c r="G6815" i="12"/>
  <c r="G6844" i="12"/>
  <c r="G6872" i="12"/>
  <c r="G6900" i="12"/>
  <c r="G6929" i="12"/>
  <c r="G6957" i="12"/>
  <c r="G6985" i="12"/>
  <c r="G7015" i="12"/>
  <c r="G7043" i="12"/>
  <c r="G7071" i="12"/>
  <c r="G7100" i="12"/>
  <c r="G7128" i="12"/>
  <c r="G7156" i="12"/>
  <c r="G7185" i="12"/>
  <c r="G7213" i="12"/>
  <c r="G7241" i="12"/>
  <c r="G7271" i="12"/>
  <c r="G7299" i="12"/>
  <c r="G7327" i="12"/>
  <c r="G7356" i="12"/>
  <c r="G7384" i="12"/>
  <c r="G7412" i="12"/>
  <c r="G7441" i="12"/>
  <c r="G7469" i="12"/>
  <c r="G7497" i="12"/>
  <c r="G7527" i="12"/>
  <c r="G7555" i="12"/>
  <c r="G7583" i="12"/>
  <c r="G7604" i="12"/>
  <c r="G7625" i="12"/>
  <c r="G7647" i="12"/>
  <c r="G7668" i="12"/>
  <c r="G7689" i="12"/>
  <c r="G7711" i="12"/>
  <c r="G7732" i="12"/>
  <c r="G7753" i="12"/>
  <c r="G7775" i="12"/>
  <c r="G7796" i="12"/>
  <c r="G7817" i="12"/>
  <c r="G7839" i="12"/>
  <c r="G7860" i="12"/>
  <c r="G7881" i="12"/>
  <c r="G7903" i="12"/>
  <c r="G7924" i="12"/>
  <c r="G7945" i="12"/>
  <c r="G7967" i="12"/>
  <c r="G7988" i="12"/>
  <c r="G8009" i="12"/>
  <c r="G8031" i="12"/>
  <c r="G8052" i="12"/>
  <c r="G8073" i="12"/>
  <c r="G8095" i="12"/>
  <c r="G8116" i="12"/>
  <c r="G8137" i="12"/>
  <c r="G8159" i="12"/>
  <c r="G8180" i="12"/>
  <c r="G8201" i="12"/>
  <c r="G8223" i="12"/>
  <c r="G6206" i="12"/>
  <c r="G6243" i="12"/>
  <c r="G6282" i="12"/>
  <c r="G6319" i="12"/>
  <c r="G6356" i="12"/>
  <c r="G6395" i="12"/>
  <c r="G6432" i="12"/>
  <c r="G6470" i="12"/>
  <c r="G6510" i="12"/>
  <c r="G6547" i="12"/>
  <c r="G6584" i="12"/>
  <c r="G6623" i="12"/>
  <c r="G6660" i="12"/>
  <c r="G6698" i="12"/>
  <c r="G6736" i="12"/>
  <c r="G6765" i="12"/>
  <c r="G6793" i="12"/>
  <c r="G6823" i="12"/>
  <c r="G6851" i="12"/>
  <c r="G6879" i="12"/>
  <c r="G6908" i="12"/>
  <c r="G6936" i="12"/>
  <c r="G6964" i="12"/>
  <c r="G6993" i="12"/>
  <c r="G7021" i="12"/>
  <c r="G7049" i="12"/>
  <c r="G7079" i="12"/>
  <c r="G7107" i="12"/>
  <c r="G7135" i="12"/>
  <c r="G7164" i="12"/>
  <c r="G7192" i="12"/>
  <c r="G7220" i="12"/>
  <c r="G7249" i="12"/>
  <c r="G7277" i="12"/>
  <c r="G7305" i="12"/>
  <c r="G7335" i="12"/>
  <c r="G7363" i="12"/>
  <c r="G7391" i="12"/>
  <c r="G7420" i="12"/>
  <c r="G7448" i="12"/>
  <c r="G7476" i="12"/>
  <c r="G7505" i="12"/>
  <c r="G7533" i="12"/>
  <c r="G7561" i="12"/>
  <c r="G7588" i="12"/>
  <c r="G7609" i="12"/>
  <c r="G7631" i="12"/>
  <c r="G7652" i="12"/>
  <c r="G7673" i="12"/>
  <c r="G7695" i="12"/>
  <c r="G7716" i="12"/>
  <c r="G7737" i="12"/>
  <c r="G7759" i="12"/>
  <c r="G7780" i="12"/>
  <c r="G7801" i="12"/>
  <c r="G7823" i="12"/>
  <c r="G7844" i="12"/>
  <c r="G7865" i="12"/>
  <c r="G7887" i="12"/>
  <c r="G7908" i="12"/>
  <c r="G7929" i="12"/>
  <c r="G7951" i="12"/>
  <c r="G7972" i="12"/>
  <c r="G7993" i="12"/>
  <c r="G8015" i="12"/>
  <c r="G8036" i="12"/>
  <c r="G8057" i="12"/>
  <c r="G8079" i="12"/>
  <c r="G8100" i="12"/>
  <c r="G8121" i="12"/>
  <c r="G8143" i="12"/>
  <c r="G8164" i="12"/>
  <c r="G8185" i="12"/>
  <c r="G8207" i="12"/>
  <c r="G8228" i="12"/>
  <c r="G8249" i="12"/>
  <c r="G8271" i="12"/>
  <c r="G8289" i="12"/>
  <c r="G8300" i="12"/>
  <c r="G8311" i="12"/>
  <c r="G8321" i="12"/>
  <c r="G8332" i="12"/>
  <c r="G8343" i="12"/>
  <c r="G8353" i="12"/>
  <c r="G8364" i="12"/>
  <c r="G6214" i="12"/>
  <c r="G6291" i="12"/>
  <c r="G6367" i="12"/>
  <c r="G6442" i="12"/>
  <c r="G6518" i="12"/>
  <c r="G6595" i="12"/>
  <c r="G6670" i="12"/>
  <c r="G6744" i="12"/>
  <c r="G6801" i="12"/>
  <c r="G6857" i="12"/>
  <c r="G6915" i="12"/>
  <c r="G6972" i="12"/>
  <c r="G7028" i="12"/>
  <c r="G7085" i="12"/>
  <c r="G7143" i="12"/>
  <c r="G7199" i="12"/>
  <c r="G7256" i="12"/>
  <c r="G7313" i="12"/>
  <c r="G7369" i="12"/>
  <c r="G7427" i="12"/>
  <c r="G7484" i="12"/>
  <c r="G7540" i="12"/>
  <c r="G7593" i="12"/>
  <c r="G7636" i="12"/>
  <c r="G7679" i="12"/>
  <c r="G7721" i="12"/>
  <c r="G7764" i="12"/>
  <c r="G7807" i="12"/>
  <c r="G7849" i="12"/>
  <c r="G7892" i="12"/>
  <c r="G7935" i="12"/>
  <c r="G7977" i="12"/>
  <c r="G8020" i="12"/>
  <c r="G8063" i="12"/>
  <c r="G8105" i="12"/>
  <c r="G8148" i="12"/>
  <c r="G8191" i="12"/>
  <c r="G8233" i="12"/>
  <c r="G8260" i="12"/>
  <c r="G8287" i="12"/>
  <c r="G8303" i="12"/>
  <c r="G8316" i="12"/>
  <c r="G8329" i="12"/>
  <c r="G8345" i="12"/>
  <c r="G8359" i="12"/>
  <c r="G8372" i="12"/>
  <c r="G8383" i="12"/>
  <c r="G8393" i="12"/>
  <c r="G6224" i="12"/>
  <c r="G6299" i="12"/>
  <c r="G6376" i="12"/>
  <c r="G6452" i="12"/>
  <c r="G6527" i="12"/>
  <c r="G6603" i="12"/>
  <c r="G6680" i="12"/>
  <c r="G6751" i="12"/>
  <c r="G6808" i="12"/>
  <c r="G6865" i="12"/>
  <c r="G6921" i="12"/>
  <c r="G6979" i="12"/>
  <c r="G7036" i="12"/>
  <c r="G7092" i="12"/>
  <c r="G7149" i="12"/>
  <c r="G7207" i="12"/>
  <c r="G7263" i="12"/>
  <c r="G7320" i="12"/>
  <c r="G7377" i="12"/>
  <c r="G7433" i="12"/>
  <c r="G7491" i="12"/>
  <c r="G7548" i="12"/>
  <c r="G7599" i="12"/>
  <c r="G7641" i="12"/>
  <c r="G7684" i="12"/>
  <c r="G7727" i="12"/>
  <c r="G7769" i="12"/>
  <c r="G7812" i="12"/>
  <c r="G7855" i="12"/>
  <c r="G7897" i="12"/>
  <c r="G7940" i="12"/>
  <c r="G7983" i="12"/>
  <c r="G8025" i="12"/>
  <c r="G8068" i="12"/>
  <c r="G8111" i="12"/>
  <c r="G8153" i="12"/>
  <c r="G8196" i="12"/>
  <c r="G8239" i="12"/>
  <c r="G8265" i="12"/>
  <c r="G8292" i="12"/>
  <c r="G8305" i="12"/>
  <c r="G8319" i="12"/>
  <c r="G8335" i="12"/>
  <c r="G8348" i="12"/>
  <c r="G8361" i="12"/>
  <c r="G8375" i="12"/>
  <c r="G8385" i="12"/>
  <c r="G8396" i="12"/>
  <c r="G6262" i="12"/>
  <c r="G6339" i="12"/>
  <c r="G6414" i="12"/>
  <c r="G6490" i="12"/>
  <c r="G6566" i="12"/>
  <c r="G6640" i="12"/>
  <c r="G6718" i="12"/>
  <c r="G6780" i="12"/>
  <c r="G6836" i="12"/>
  <c r="G6893" i="12"/>
  <c r="G6951" i="12"/>
  <c r="G7007" i="12"/>
  <c r="G7064" i="12"/>
  <c r="G7121" i="12"/>
  <c r="G7177" i="12"/>
  <c r="G7235" i="12"/>
  <c r="G7292" i="12"/>
  <c r="G7348" i="12"/>
  <c r="G7405" i="12"/>
  <c r="G7463" i="12"/>
  <c r="G7519" i="12"/>
  <c r="G7576" i="12"/>
  <c r="G7620" i="12"/>
  <c r="G7663" i="12"/>
  <c r="G7705" i="12"/>
  <c r="G7748" i="12"/>
  <c r="G7791" i="12"/>
  <c r="G7833" i="12"/>
  <c r="G7876" i="12"/>
  <c r="G7919" i="12"/>
  <c r="G7961" i="12"/>
  <c r="G8004" i="12"/>
  <c r="G8047" i="12"/>
  <c r="G8089" i="12"/>
  <c r="G8132" i="12"/>
  <c r="G8175" i="12"/>
  <c r="G8217" i="12"/>
  <c r="G8255" i="12"/>
  <c r="G8281" i="12"/>
  <c r="G8297" i="12"/>
  <c r="G8313" i="12"/>
  <c r="G8327" i="12"/>
  <c r="G8340" i="12"/>
  <c r="G8356" i="12"/>
  <c r="G8369" i="12"/>
  <c r="G8380" i="12"/>
  <c r="G8391" i="12"/>
  <c r="G6254" i="12"/>
  <c r="G6328" i="12"/>
  <c r="G6404" i="12"/>
  <c r="G6480" i="12"/>
  <c r="G6555" i="12"/>
  <c r="G6632" i="12"/>
  <c r="G6708" i="12"/>
  <c r="G6772" i="12"/>
  <c r="G6829" i="12"/>
  <c r="G6887" i="12"/>
  <c r="G6943" i="12"/>
  <c r="G7000" i="12"/>
  <c r="G7057" i="12"/>
  <c r="G7113" i="12"/>
  <c r="G7171" i="12"/>
  <c r="G7228" i="12"/>
  <c r="G7284" i="12"/>
  <c r="G7341" i="12"/>
  <c r="G7399" i="12"/>
  <c r="G7455" i="12"/>
  <c r="G7512" i="12"/>
  <c r="G7569" i="12"/>
  <c r="G7615" i="12"/>
  <c r="G7657" i="12"/>
  <c r="G7700" i="12"/>
  <c r="G7743" i="12"/>
  <c r="G7785" i="12"/>
  <c r="G7828" i="12"/>
  <c r="G7871" i="12"/>
  <c r="G7913" i="12"/>
  <c r="G7956" i="12"/>
  <c r="G7999" i="12"/>
  <c r="G8041" i="12"/>
  <c r="G8084" i="12"/>
  <c r="G8127" i="12"/>
  <c r="G8169" i="12"/>
  <c r="G8212" i="12"/>
  <c r="G8244" i="12"/>
  <c r="G8276" i="12"/>
  <c r="G8295" i="12"/>
  <c r="G8308" i="12"/>
  <c r="G8324" i="12"/>
  <c r="G8337" i="12"/>
  <c r="G8351" i="12"/>
  <c r="G8367" i="12"/>
  <c r="G8377" i="12"/>
  <c r="G8388" i="12"/>
  <c r="Q8" i="11"/>
</calcChain>
</file>

<file path=xl/sharedStrings.xml><?xml version="1.0" encoding="utf-8"?>
<sst xmlns="http://schemas.openxmlformats.org/spreadsheetml/2006/main" count="33713" uniqueCount="101">
  <si>
    <t>a</t>
  </si>
  <si>
    <t>b</t>
  </si>
  <si>
    <t>c</t>
  </si>
  <si>
    <t>seed1</t>
  </si>
  <si>
    <t>seed2</t>
  </si>
  <si>
    <t>seed3</t>
  </si>
  <si>
    <t>seed4</t>
  </si>
  <si>
    <t>seed5</t>
  </si>
  <si>
    <t>seed6</t>
  </si>
  <si>
    <t>seed7</t>
  </si>
  <si>
    <t>seed8</t>
  </si>
  <si>
    <t>seed9</t>
  </si>
  <si>
    <t>seed10</t>
  </si>
  <si>
    <t>ID:</t>
  </si>
  <si>
    <t>Question 1</t>
  </si>
  <si>
    <t>Original Data</t>
  </si>
  <si>
    <t>Medium</t>
  </si>
  <si>
    <t>High</t>
  </si>
  <si>
    <t>NAME - SURNAME</t>
  </si>
  <si>
    <t>Order Quantity</t>
  </si>
  <si>
    <t>Row ID</t>
  </si>
  <si>
    <t>Order ID</t>
  </si>
  <si>
    <t>Order Date</t>
  </si>
  <si>
    <t>Order Priority</t>
  </si>
  <si>
    <t>Product Category</t>
  </si>
  <si>
    <t>Low</t>
  </si>
  <si>
    <t>Office Supplies</t>
  </si>
  <si>
    <t>Technology</t>
  </si>
  <si>
    <t>Not Specified</t>
  </si>
  <si>
    <t>Furniture</t>
  </si>
  <si>
    <t>Critical</t>
  </si>
  <si>
    <t>outlier indicator</t>
  </si>
  <si>
    <t>mean</t>
  </si>
  <si>
    <t>mode</t>
  </si>
  <si>
    <t>median</t>
  </si>
  <si>
    <t>stdev</t>
  </si>
  <si>
    <t>Q1</t>
  </si>
  <si>
    <t>z-score</t>
  </si>
  <si>
    <t>data +=</t>
  </si>
  <si>
    <t>avg</t>
  </si>
  <si>
    <t>Q3</t>
  </si>
  <si>
    <t>IQR</t>
  </si>
  <si>
    <t>z&lt;-3</t>
  </si>
  <si>
    <t>z&gt;3</t>
  </si>
  <si>
    <t>LL</t>
  </si>
  <si>
    <t>UL</t>
  </si>
  <si>
    <t>outlier 1</t>
  </si>
  <si>
    <t>outlier 2</t>
  </si>
  <si>
    <t>Data 1</t>
  </si>
  <si>
    <t>Data 2</t>
  </si>
  <si>
    <t>z&gt;4</t>
  </si>
  <si>
    <t>z&lt;-4</t>
  </si>
  <si>
    <t>Calculate the range, interquartile range, variance and the standard deviation</t>
  </si>
  <si>
    <t>Calculate the mean, median, mode and the quartiles for the data set</t>
  </si>
  <si>
    <t>Please write how many data points you removed and why.</t>
  </si>
  <si>
    <t xml:space="preserve">Check the data set for outliers. You can remove data points if you think they should be removed.   </t>
  </si>
  <si>
    <t>Indicate the METHOD you used to remove the data point.</t>
  </si>
  <si>
    <t>d</t>
  </si>
  <si>
    <t>e</t>
  </si>
  <si>
    <t>Draw a histogram to summarize the data</t>
  </si>
  <si>
    <t>Restaurant</t>
  </si>
  <si>
    <t>Sales</t>
  </si>
  <si>
    <t>Calculate the mean, median and the mode. Which measure of central tendecy best reflects typical sales?Please, explain.</t>
  </si>
  <si>
    <t>Olive Garden</t>
  </si>
  <si>
    <t>Carrabba's Italian Grill</t>
  </si>
  <si>
    <t>Romano's Macaroni Grill</t>
  </si>
  <si>
    <t>Maggiano's</t>
  </si>
  <si>
    <t>Carino's Italian Grill</t>
  </si>
  <si>
    <t>Buca di Beppo</t>
  </si>
  <si>
    <t>Bertucci's</t>
  </si>
  <si>
    <t xml:space="preserve">The following table lists the sales (in millions of $) of the top Italian restaurant chains in 2014. </t>
  </si>
  <si>
    <t>Construct a frequency distribution using 5-7 classes. Please use a simple value to observe class width.</t>
  </si>
  <si>
    <t>Türkan</t>
  </si>
  <si>
    <t>SEVGİLİ</t>
  </si>
  <si>
    <t>Answers</t>
  </si>
  <si>
    <t>Mean</t>
  </si>
  <si>
    <t>Median</t>
  </si>
  <si>
    <t>Mode</t>
  </si>
  <si>
    <t>Quartile1</t>
  </si>
  <si>
    <t>Quartile2</t>
  </si>
  <si>
    <t>Quartile3</t>
  </si>
  <si>
    <t>Range</t>
  </si>
  <si>
    <t>Interquartile range</t>
  </si>
  <si>
    <t>Variance</t>
  </si>
  <si>
    <t>Standard deviation</t>
  </si>
  <si>
    <t>z-Score</t>
  </si>
  <si>
    <t>*Also =Median</t>
  </si>
  <si>
    <t>Bin</t>
  </si>
  <si>
    <t>More</t>
  </si>
  <si>
    <t>Frequency</t>
  </si>
  <si>
    <t>3500-4000</t>
  </si>
  <si>
    <t>3000-3500</t>
  </si>
  <si>
    <t>4000-4500</t>
  </si>
  <si>
    <t>4500-5000</t>
  </si>
  <si>
    <t>5000-5500</t>
  </si>
  <si>
    <t>5500-6000</t>
  </si>
  <si>
    <t xml:space="preserve">more than 6000 </t>
  </si>
  <si>
    <r>
      <rPr>
        <b/>
        <i/>
        <sz val="10"/>
        <rFont val="Arial"/>
        <family val="2"/>
        <charset val="162"/>
      </rPr>
      <t xml:space="preserve">8 data points </t>
    </r>
    <r>
      <rPr>
        <i/>
        <sz val="10"/>
        <rFont val="Arial"/>
        <family val="2"/>
        <charset val="162"/>
      </rPr>
      <t>(Order ID; 32229-25154-53825-11044-39173-46497-3622-18374 ) removed because of  z-score more than 3 or less then -3 and  identified as outlier.</t>
    </r>
  </si>
  <si>
    <r>
      <rPr>
        <b/>
        <sz val="10"/>
        <rFont val="Arial"/>
        <family val="2"/>
        <charset val="162"/>
      </rPr>
      <t>Outliers</t>
    </r>
    <r>
      <rPr>
        <sz val="10"/>
        <rFont val="Arial"/>
        <family val="2"/>
        <charset val="162"/>
      </rPr>
      <t>(Method: z-score)</t>
    </r>
  </si>
  <si>
    <t>Median is a better measure than mean because it's a more robust statistic. Only one restaurant (Olive Garden) with huge sales drag the mean upwards which isn't necessarily representative of most users.</t>
  </si>
  <si>
    <t>I'd say that restaurants' sales are scattered, so median best reflects the typical sales.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</si>
</sst>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 * #,##0.00_)\ _T_R_Y_ ;_ * \(#,##0.00\)\ _T_R_Y_ ;_ * &quot;-&quot;??_)\ _T_R_Y_ ;_ @_ "/>
    <numFmt numFmtId="165" formatCode="_(* #,##0_);_(* \(#,##0\);_(* &quot;-&quot;??_);_(@_)"/>
    <numFmt numFmtId="166" formatCode="0.0"/>
  </numFmts>
  <fonts count="22" x14ac:knownFonts="1">
    <font>
      <sz val="10"/>
      <name val="Arial"/>
    </font>
    <font>
      <sz val="10"/>
      <name val="Arial"/>
      <family val="2"/>
    </font>
    <font>
      <b/>
      <sz val="11"/>
      <name val="Calibri"/>
      <family val="2"/>
      <scheme val="minor"/>
    </font>
    <font>
      <u/>
      <sz val="10"/>
      <color theme="10"/>
      <name val="Arial"/>
      <family val="2"/>
      <charset val="162"/>
    </font>
    <font>
      <u/>
      <sz val="10"/>
      <color theme="11"/>
      <name val="Arial"/>
      <family val="2"/>
      <charset val="162"/>
    </font>
    <font>
      <b/>
      <sz val="18"/>
      <name val="Calibri"/>
      <family val="2"/>
      <charset val="162"/>
      <scheme val="minor"/>
    </font>
    <font>
      <b/>
      <sz val="20"/>
      <name val="Calibri"/>
      <family val="2"/>
      <charset val="162"/>
      <scheme val="minor"/>
    </font>
    <font>
      <b/>
      <sz val="10"/>
      <name val="MS Sans Serif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charset val="162"/>
      <scheme val="minor"/>
    </font>
    <font>
      <sz val="10"/>
      <name val="Arial"/>
      <family val="2"/>
      <charset val="162"/>
    </font>
    <font>
      <i/>
      <sz val="10"/>
      <name val="Arial"/>
      <family val="2"/>
      <charset val="162"/>
    </font>
    <font>
      <sz val="10"/>
      <color rgb="FFFF0000"/>
      <name val="Arial"/>
      <family val="2"/>
      <charset val="162"/>
    </font>
    <font>
      <b/>
      <sz val="10"/>
      <color rgb="FFFF0000"/>
      <name val="MS Sans Serif"/>
      <family val="2"/>
    </font>
    <font>
      <b/>
      <sz val="11"/>
      <color rgb="FFFF0000"/>
      <name val="Calibri"/>
      <family val="2"/>
      <scheme val="minor"/>
    </font>
    <font>
      <b/>
      <sz val="10"/>
      <name val="MS Sans Serif"/>
    </font>
    <font>
      <b/>
      <sz val="10"/>
      <name val="Arial"/>
      <family val="2"/>
      <charset val="162"/>
    </font>
    <font>
      <sz val="11"/>
      <color rgb="FFFF0000"/>
      <name val="Calibri"/>
      <family val="2"/>
    </font>
    <font>
      <i/>
      <sz val="8"/>
      <color rgb="FFFF0000"/>
      <name val="Arial"/>
      <family val="2"/>
      <charset val="162"/>
    </font>
    <font>
      <b/>
      <i/>
      <sz val="10"/>
      <name val="Arial"/>
      <family val="2"/>
      <charset val="162"/>
    </font>
    <font>
      <i/>
      <sz val="8"/>
      <color theme="3" tint="0.39997558519241921"/>
      <name val="Arial"/>
      <family val="2"/>
      <charset val="16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00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28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67">
    <xf numFmtId="0" fontId="0" fillId="0" borderId="0" xfId="0"/>
    <xf numFmtId="0" fontId="2" fillId="2" borderId="0" xfId="0" applyFont="1" applyFill="1" applyAlignment="1"/>
    <xf numFmtId="0" fontId="2" fillId="0" borderId="0" xfId="0" applyFont="1" applyFill="1" applyAlignment="1"/>
    <xf numFmtId="0" fontId="2" fillId="0" borderId="0" xfId="0" applyFont="1" applyFill="1" applyAlignment="1">
      <alignment horizontal="center"/>
    </xf>
    <xf numFmtId="0" fontId="5" fillId="2" borderId="0" xfId="0" applyFont="1" applyFill="1" applyAlignment="1"/>
    <xf numFmtId="0" fontId="2" fillId="0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6" fillId="0" borderId="0" xfId="0" applyFont="1" applyFill="1" applyAlignment="1">
      <alignment horizontal="center" vertical="center"/>
    </xf>
    <xf numFmtId="0" fontId="7" fillId="3" borderId="1" xfId="0" quotePrefix="1" applyNumberFormat="1" applyFont="1" applyFill="1" applyBorder="1" applyAlignment="1">
      <alignment horizontal="center" vertical="center"/>
    </xf>
    <xf numFmtId="0" fontId="0" fillId="0" borderId="0" xfId="0" quotePrefix="1" applyNumberFormat="1" applyFill="1" applyAlignment="1">
      <alignment horizontal="center"/>
    </xf>
    <xf numFmtId="0" fontId="0" fillId="0" borderId="0" xfId="0" applyFill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7" fillId="3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14" fontId="0" fillId="0" borderId="0" xfId="113" quotePrefix="1" applyNumberFormat="1" applyFon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8" fillId="0" borderId="0" xfId="0" applyFont="1"/>
    <xf numFmtId="165" fontId="0" fillId="0" borderId="0" xfId="113" applyNumberFormat="1" applyFont="1" applyFill="1" applyAlignment="1">
      <alignment horizontal="center"/>
    </xf>
    <xf numFmtId="0" fontId="7" fillId="4" borderId="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0" fontId="9" fillId="0" borderId="0" xfId="0" applyFont="1"/>
    <xf numFmtId="49" fontId="7" fillId="5" borderId="1" xfId="0" applyNumberFormat="1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5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0" fontId="0" fillId="0" borderId="0" xfId="0" applyFill="1"/>
    <xf numFmtId="0" fontId="0" fillId="2" borderId="0" xfId="0" applyFill="1"/>
    <xf numFmtId="0" fontId="0" fillId="2" borderId="0" xfId="0" applyFill="1" applyAlignment="1">
      <alignment horizontal="center"/>
    </xf>
    <xf numFmtId="0" fontId="10" fillId="2" borderId="0" xfId="0" applyFont="1" applyFill="1" applyAlignment="1">
      <alignment horizontal="center"/>
    </xf>
    <xf numFmtId="0" fontId="2" fillId="0" borderId="0" xfId="0" applyFont="1" applyFill="1" applyAlignment="1">
      <alignment horizontal="center" wrapText="1"/>
    </xf>
    <xf numFmtId="1" fontId="0" fillId="6" borderId="0" xfId="0" applyNumberFormat="1" applyFill="1" applyAlignment="1">
      <alignment horizontal="center"/>
    </xf>
    <xf numFmtId="0" fontId="11" fillId="0" borderId="0" xfId="0" applyFon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10" fontId="0" fillId="0" borderId="0" xfId="0" applyNumberFormat="1" applyFill="1" applyBorder="1" applyAlignment="1"/>
    <xf numFmtId="1" fontId="9" fillId="0" borderId="0" xfId="0" applyNumberFormat="1" applyFont="1"/>
    <xf numFmtId="0" fontId="13" fillId="0" borderId="0" xfId="0" applyFont="1"/>
    <xf numFmtId="0" fontId="11" fillId="0" borderId="0" xfId="0" applyFont="1" applyFill="1"/>
    <xf numFmtId="0" fontId="13" fillId="0" borderId="0" xfId="0" applyFont="1" applyFill="1"/>
    <xf numFmtId="1" fontId="9" fillId="0" borderId="0" xfId="0" applyNumberFormat="1" applyFont="1" applyBorder="1"/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right"/>
    </xf>
    <xf numFmtId="0" fontId="7" fillId="0" borderId="0" xfId="0" applyFont="1" applyFill="1" applyBorder="1" applyAlignment="1">
      <alignment horizontal="center" vertical="center"/>
    </xf>
    <xf numFmtId="0" fontId="14" fillId="5" borderId="0" xfId="0" applyFont="1" applyFill="1" applyBorder="1" applyAlignment="1">
      <alignment horizontal="center" vertical="center"/>
    </xf>
    <xf numFmtId="166" fontId="0" fillId="0" borderId="0" xfId="0" applyNumberFormat="1" applyFill="1"/>
    <xf numFmtId="0" fontId="11" fillId="0" borderId="0" xfId="0" applyFont="1" applyFill="1" applyAlignment="1">
      <alignment horizontal="right"/>
    </xf>
    <xf numFmtId="0" fontId="15" fillId="0" borderId="0" xfId="0" applyFont="1" applyFill="1" applyAlignment="1">
      <alignment horizontal="center"/>
    </xf>
    <xf numFmtId="0" fontId="16" fillId="5" borderId="0" xfId="0" applyFont="1" applyFill="1" applyBorder="1" applyAlignment="1">
      <alignment horizontal="left" vertical="center"/>
    </xf>
    <xf numFmtId="0" fontId="17" fillId="0" borderId="0" xfId="0" applyFont="1"/>
    <xf numFmtId="0" fontId="17" fillId="0" borderId="0" xfId="0" applyFont="1" applyFill="1"/>
    <xf numFmtId="1" fontId="11" fillId="6" borderId="0" xfId="0" applyNumberFormat="1" applyFont="1" applyFill="1" applyAlignment="1">
      <alignment horizontal="left"/>
    </xf>
    <xf numFmtId="2" fontId="18" fillId="0" borderId="0" xfId="0" applyNumberFormat="1" applyFont="1"/>
    <xf numFmtId="0" fontId="0" fillId="0" borderId="0" xfId="0" applyFill="1" applyBorder="1"/>
    <xf numFmtId="0" fontId="19" fillId="0" borderId="0" xfId="0" applyFont="1" applyFill="1"/>
    <xf numFmtId="0" fontId="12" fillId="0" borderId="0" xfId="0" applyFont="1" applyFill="1" applyAlignment="1">
      <alignment horizontal="left"/>
    </xf>
    <xf numFmtId="0" fontId="0" fillId="0" borderId="2" xfId="0" applyFill="1" applyBorder="1" applyAlignment="1"/>
    <xf numFmtId="0" fontId="12" fillId="0" borderId="3" xfId="0" applyFont="1" applyFill="1" applyBorder="1" applyAlignment="1">
      <alignment horizontal="center"/>
    </xf>
    <xf numFmtId="0" fontId="11" fillId="0" borderId="0" xfId="0" applyFont="1" applyBorder="1"/>
    <xf numFmtId="0" fontId="0" fillId="0" borderId="0" xfId="0" applyNumberFormat="1"/>
    <xf numFmtId="0" fontId="11" fillId="0" borderId="0" xfId="0" applyFont="1" applyBorder="1" applyAlignment="1">
      <alignment horizontal="left"/>
    </xf>
    <xf numFmtId="0" fontId="11" fillId="0" borderId="0" xfId="0" applyNumberFormat="1" applyFont="1" applyBorder="1" applyAlignment="1">
      <alignment horizontal="left"/>
    </xf>
    <xf numFmtId="0" fontId="0" fillId="0" borderId="0" xfId="0" applyNumberFormat="1" applyFill="1" applyBorder="1" applyAlignment="1">
      <alignment horizontal="left"/>
    </xf>
    <xf numFmtId="0" fontId="11" fillId="0" borderId="2" xfId="0" applyFont="1" applyBorder="1" applyAlignment="1">
      <alignment horizontal="left"/>
    </xf>
    <xf numFmtId="0" fontId="21" fillId="0" borderId="0" xfId="0" applyFont="1" applyFill="1"/>
    <xf numFmtId="0" fontId="2" fillId="0" borderId="0" xfId="0" applyFont="1" applyFill="1" applyAlignment="1">
      <alignment horizontal="center" wrapText="1"/>
    </xf>
  </cellXfs>
  <cellStyles count="128">
    <cellStyle name="Comma" xfId="113" builtinId="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Normal" xfId="0" builtinId="0"/>
  </cellStyles>
  <dxfs count="5"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tr-TR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BDA501_DS_question3!$N$48:$N$53</c:f>
              <c:numCache>
                <c:formatCode>General</c:formatCode>
                <c:ptCount val="6"/>
              </c:numCache>
            </c:numRef>
          </c:cat>
          <c:val>
            <c:numRef>
              <c:f>BDA501_DS_question3!$O$48:$O$53</c:f>
              <c:numCache>
                <c:formatCode>General</c:formatCode>
                <c:ptCount val="6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28176"/>
        <c:axId val="687528736"/>
      </c:barChart>
      <c:catAx>
        <c:axId val="687528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tr-TR"/>
                  <a:t>3500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528736"/>
        <c:crosses val="autoZero"/>
        <c:auto val="1"/>
        <c:lblAlgn val="ctr"/>
        <c:lblOffset val="100"/>
        <c:noMultiLvlLbl val="0"/>
      </c:catAx>
      <c:valAx>
        <c:axId val="6875287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tr-TR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528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tr-TR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BDA501_DS_question3!$L$48:$L$53</c:f>
              <c:strCache>
                <c:ptCount val="6"/>
                <c:pt idx="0">
                  <c:v>3500</c:v>
                </c:pt>
                <c:pt idx="1">
                  <c:v>4000</c:v>
                </c:pt>
                <c:pt idx="2">
                  <c:v>4500</c:v>
                </c:pt>
                <c:pt idx="3">
                  <c:v>5000</c:v>
                </c:pt>
                <c:pt idx="4">
                  <c:v>5500</c:v>
                </c:pt>
                <c:pt idx="5">
                  <c:v>More</c:v>
                </c:pt>
              </c:strCache>
            </c:strRef>
          </c:cat>
          <c:val>
            <c:numRef>
              <c:f>BDA501_DS_question3!$M$48:$M$53</c:f>
              <c:numCache>
                <c:formatCode>General</c:formatCode>
                <c:ptCount val="6"/>
                <c:pt idx="0">
                  <c:v>317</c:v>
                </c:pt>
                <c:pt idx="1">
                  <c:v>1711</c:v>
                </c:pt>
                <c:pt idx="2">
                  <c:v>1589</c:v>
                </c:pt>
                <c:pt idx="3">
                  <c:v>1749</c:v>
                </c:pt>
                <c:pt idx="4">
                  <c:v>1671</c:v>
                </c:pt>
                <c:pt idx="5">
                  <c:v>1353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82080"/>
        <c:axId val="687782640"/>
      </c:barChart>
      <c:catAx>
        <c:axId val="687782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87782640"/>
        <c:crosses val="autoZero"/>
        <c:auto val="1"/>
        <c:lblAlgn val="ctr"/>
        <c:lblOffset val="100"/>
        <c:noMultiLvlLbl val="0"/>
      </c:catAx>
      <c:valAx>
        <c:axId val="6877826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tr-TR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877820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301752</xdr:colOff>
      <xdr:row>30</xdr:row>
      <xdr:rowOff>118872</xdr:rowOff>
    </xdr:from>
    <xdr:to>
      <xdr:col>22</xdr:col>
      <xdr:colOff>301752</xdr:colOff>
      <xdr:row>40</xdr:row>
      <xdr:rowOff>109728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15505</xdr:colOff>
      <xdr:row>54</xdr:row>
      <xdr:rowOff>134775</xdr:rowOff>
    </xdr:from>
    <xdr:to>
      <xdr:col>14</xdr:col>
      <xdr:colOff>492583</xdr:colOff>
      <xdr:row>64</xdr:row>
      <xdr:rowOff>134775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L15"/>
  <sheetViews>
    <sheetView tabSelected="1" zoomScaleNormal="100" workbookViewId="0"/>
  </sheetViews>
  <sheetFormatPr defaultColWidth="11.375" defaultRowHeight="13" x14ac:dyDescent="0.2"/>
  <cols>
    <col min="1" max="1" width="20" customWidth="1"/>
  </cols>
  <sheetData>
    <row r="5" spans="1:12" x14ac:dyDescent="0.2">
      <c r="A5" s="26" t="s">
        <v>70</v>
      </c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</row>
    <row r="6" spans="1:12" x14ac:dyDescent="0.2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</row>
    <row r="7" spans="1:12" ht="14.4" x14ac:dyDescent="0.25">
      <c r="A7" s="27" t="s">
        <v>60</v>
      </c>
      <c r="B7" s="27" t="s">
        <v>61</v>
      </c>
      <c r="C7" s="28"/>
      <c r="D7" s="26" t="s">
        <v>62</v>
      </c>
      <c r="E7" s="26"/>
      <c r="F7" s="26"/>
      <c r="G7" s="26"/>
      <c r="H7" s="26"/>
      <c r="I7" s="26"/>
      <c r="J7" s="26"/>
      <c r="K7" s="26"/>
      <c r="L7" s="26"/>
    </row>
    <row r="8" spans="1:12" x14ac:dyDescent="0.2">
      <c r="A8" s="10" t="s">
        <v>63</v>
      </c>
      <c r="B8" s="10">
        <v>3300</v>
      </c>
      <c r="C8" s="25"/>
      <c r="D8" s="25"/>
    </row>
    <row r="9" spans="1:12" x14ac:dyDescent="0.2">
      <c r="A9" s="10" t="s">
        <v>64</v>
      </c>
      <c r="B9" s="10">
        <v>629</v>
      </c>
      <c r="C9" s="25"/>
      <c r="D9" s="25" t="s">
        <v>32</v>
      </c>
      <c r="E9" s="30">
        <f>AVERAGE(B8:B14)</f>
        <v>809.14285714285711</v>
      </c>
    </row>
    <row r="10" spans="1:12" x14ac:dyDescent="0.2">
      <c r="A10" s="10" t="s">
        <v>65</v>
      </c>
      <c r="B10" s="10">
        <v>583</v>
      </c>
      <c r="C10" s="25"/>
      <c r="D10" s="25" t="s">
        <v>34</v>
      </c>
      <c r="E10" s="30">
        <f>MEDIAN(B8:B14)</f>
        <v>366</v>
      </c>
      <c r="G10" s="31"/>
    </row>
    <row r="11" spans="1:12" x14ac:dyDescent="0.2">
      <c r="A11" s="10" t="s">
        <v>66</v>
      </c>
      <c r="B11" s="10">
        <v>366</v>
      </c>
      <c r="C11" s="25"/>
      <c r="D11" s="25" t="s">
        <v>33</v>
      </c>
      <c r="E11" s="30" t="e">
        <f>MODE(B8:B14)</f>
        <v>#N/A</v>
      </c>
      <c r="G11" s="31"/>
    </row>
    <row r="12" spans="1:12" x14ac:dyDescent="0.2">
      <c r="A12" s="10" t="s">
        <v>67</v>
      </c>
      <c r="B12" s="10">
        <v>356</v>
      </c>
      <c r="C12" s="25"/>
      <c r="D12" s="25"/>
    </row>
    <row r="13" spans="1:12" x14ac:dyDescent="0.2">
      <c r="A13" s="10" t="s">
        <v>68</v>
      </c>
      <c r="B13" s="10">
        <v>220</v>
      </c>
      <c r="C13" s="25"/>
      <c r="D13" s="25"/>
    </row>
    <row r="14" spans="1:12" x14ac:dyDescent="0.2">
      <c r="A14" s="10" t="s">
        <v>69</v>
      </c>
      <c r="B14" s="10">
        <v>210</v>
      </c>
      <c r="C14" s="25"/>
      <c r="D14" s="25"/>
      <c r="E14" s="52" t="s">
        <v>99</v>
      </c>
      <c r="G14" s="31"/>
    </row>
    <row r="15" spans="1:12" x14ac:dyDescent="0.2">
      <c r="B15" s="10"/>
      <c r="E15" s="52" t="s">
        <v>100</v>
      </c>
      <c r="G15" s="31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438"/>
  <sheetViews>
    <sheetView zoomScale="115" zoomScaleNormal="115" workbookViewId="0">
      <selection activeCell="O1" sqref="O1"/>
    </sheetView>
  </sheetViews>
  <sheetFormatPr defaultColWidth="11.375" defaultRowHeight="13" x14ac:dyDescent="0.2"/>
  <cols>
    <col min="1" max="4" width="11.25" customWidth="1"/>
    <col min="5" max="5" width="18.25" customWidth="1"/>
    <col min="6" max="6" width="15.375" bestFit="1" customWidth="1"/>
    <col min="7" max="7" width="8" bestFit="1" customWidth="1"/>
    <col min="8" max="8" width="15.375" customWidth="1"/>
    <col min="10" max="10" width="9.5" bestFit="1" customWidth="1"/>
    <col min="11" max="11" width="20.25" customWidth="1"/>
    <col min="12" max="12" width="12.625" customWidth="1"/>
    <col min="13" max="13" width="18.375" customWidth="1"/>
    <col min="14" max="15" width="11.75" customWidth="1"/>
    <col min="16" max="16" width="16.375" bestFit="1" customWidth="1"/>
    <col min="18" max="18" width="11.375" customWidth="1"/>
  </cols>
  <sheetData>
    <row r="1" spans="1:19" s="2" customFormat="1" ht="54.9" customHeight="1" x14ac:dyDescent="0.4">
      <c r="A1" s="7" t="s">
        <v>13</v>
      </c>
      <c r="B1" s="2">
        <v>1</v>
      </c>
      <c r="C1" s="4" t="str">
        <f>IF((ISBLANK($B$1)),"You need to write your ID to get your data set","Here is your data set")</f>
        <v>Here is your data set</v>
      </c>
      <c r="D1" s="1"/>
      <c r="E1" s="1"/>
      <c r="F1" s="4"/>
      <c r="G1" s="4"/>
      <c r="H1" s="4"/>
      <c r="I1" s="4"/>
      <c r="J1" s="4"/>
      <c r="K1" s="4"/>
      <c r="L1" s="4"/>
      <c r="M1" s="4"/>
      <c r="N1" s="4"/>
    </row>
    <row r="2" spans="1:19" s="2" customFormat="1" ht="14.95" customHeight="1" x14ac:dyDescent="0.25">
      <c r="A2" s="66" t="s">
        <v>18</v>
      </c>
      <c r="B2" s="48" t="s">
        <v>72</v>
      </c>
      <c r="C2" s="3"/>
      <c r="D2" s="3"/>
      <c r="I2" s="5"/>
      <c r="J2" s="3"/>
      <c r="K2" s="3"/>
      <c r="L2" s="3"/>
      <c r="M2" s="3"/>
      <c r="N2" s="3"/>
      <c r="O2" s="3"/>
      <c r="P2" s="3"/>
      <c r="Q2" s="3"/>
    </row>
    <row r="3" spans="1:19" s="2" customFormat="1" ht="14.95" customHeight="1" x14ac:dyDescent="0.25">
      <c r="A3" s="66"/>
      <c r="B3" s="48" t="s">
        <v>73</v>
      </c>
      <c r="C3" s="3"/>
      <c r="D3" s="3"/>
      <c r="E3" s="5"/>
      <c r="F3" s="5"/>
      <c r="G3" s="5"/>
      <c r="H3" s="29"/>
      <c r="I3" s="5"/>
      <c r="J3" s="3"/>
      <c r="K3" s="3"/>
      <c r="L3" s="3"/>
      <c r="M3" s="3"/>
      <c r="N3" s="3"/>
      <c r="O3" s="3"/>
      <c r="P3" s="3"/>
      <c r="Q3" s="3"/>
    </row>
    <row r="4" spans="1:19" x14ac:dyDescent="0.2">
      <c r="J4" t="s">
        <v>14</v>
      </c>
    </row>
    <row r="5" spans="1:19" x14ac:dyDescent="0.2">
      <c r="J5" t="s">
        <v>0</v>
      </c>
      <c r="K5" t="s">
        <v>55</v>
      </c>
    </row>
    <row r="6" spans="1:19" x14ac:dyDescent="0.2">
      <c r="K6" t="s">
        <v>54</v>
      </c>
    </row>
    <row r="7" spans="1:19" x14ac:dyDescent="0.2">
      <c r="A7" s="21" t="s">
        <v>20</v>
      </c>
      <c r="B7" s="21" t="s">
        <v>21</v>
      </c>
      <c r="C7" s="22" t="s">
        <v>22</v>
      </c>
      <c r="D7" s="22" t="s">
        <v>23</v>
      </c>
      <c r="E7" s="22" t="s">
        <v>19</v>
      </c>
      <c r="F7" s="22" t="s">
        <v>24</v>
      </c>
      <c r="G7" s="45" t="s">
        <v>85</v>
      </c>
      <c r="H7" s="23"/>
      <c r="K7" t="s">
        <v>56</v>
      </c>
    </row>
    <row r="8" spans="1:19" ht="14.4" x14ac:dyDescent="0.25">
      <c r="A8" s="6">
        <v>1</v>
      </c>
      <c r="B8" s="6">
        <v>3</v>
      </c>
      <c r="C8" s="19">
        <v>40464</v>
      </c>
      <c r="D8" s="6" t="s">
        <v>25</v>
      </c>
      <c r="E8" s="6">
        <f>IF((ISBLANK($B$1)),"",Sheet1!Q12)</f>
        <v>3700</v>
      </c>
      <c r="F8" s="20" t="s">
        <v>26</v>
      </c>
      <c r="G8" s="53">
        <f t="shared" ref="G8:G71" si="0">STANDARDIZE(E8,$L$26,$L$35)</f>
        <v>-1.351643349581243</v>
      </c>
      <c r="H8" s="35"/>
      <c r="J8" t="s">
        <v>1</v>
      </c>
      <c r="K8" s="31" t="s">
        <v>53</v>
      </c>
    </row>
    <row r="9" spans="1:19" ht="14.4" x14ac:dyDescent="0.25">
      <c r="A9" s="6">
        <v>49</v>
      </c>
      <c r="B9" s="6">
        <v>293</v>
      </c>
      <c r="C9" s="19">
        <v>41183</v>
      </c>
      <c r="D9" s="6" t="s">
        <v>17</v>
      </c>
      <c r="E9" s="6">
        <f>IF((ISBLANK($B$1)),"",Sheet1!Q13)</f>
        <v>5850</v>
      </c>
      <c r="F9" s="20" t="s">
        <v>26</v>
      </c>
      <c r="G9" s="53">
        <f t="shared" si="0"/>
        <v>1.6174083367442753</v>
      </c>
      <c r="H9" s="35"/>
      <c r="J9" s="24" t="s">
        <v>2</v>
      </c>
      <c r="K9" s="31" t="s">
        <v>52</v>
      </c>
    </row>
    <row r="10" spans="1:19" ht="14.4" x14ac:dyDescent="0.25">
      <c r="A10" s="6">
        <v>50</v>
      </c>
      <c r="B10" s="6">
        <v>293</v>
      </c>
      <c r="C10" s="19">
        <v>41183</v>
      </c>
      <c r="D10" s="6" t="s">
        <v>17</v>
      </c>
      <c r="E10" s="6">
        <f>IF((ISBLANK($B$1)),"",Sheet1!Q14)</f>
        <v>4750</v>
      </c>
      <c r="F10" s="20" t="s">
        <v>26</v>
      </c>
      <c r="G10" s="53">
        <f t="shared" si="0"/>
        <v>9.8358636763777513E-2</v>
      </c>
      <c r="H10" s="35"/>
      <c r="J10" t="s">
        <v>57</v>
      </c>
      <c r="K10" s="25" t="s">
        <v>71</v>
      </c>
    </row>
    <row r="11" spans="1:19" ht="14.4" x14ac:dyDescent="0.25">
      <c r="A11" s="6">
        <v>80</v>
      </c>
      <c r="B11" s="6">
        <v>483</v>
      </c>
      <c r="C11" s="19">
        <v>40734</v>
      </c>
      <c r="D11" s="6" t="s">
        <v>17</v>
      </c>
      <c r="E11" s="6">
        <f>IF((ISBLANK($B$1)),"",Sheet1!Q15)</f>
        <v>4900</v>
      </c>
      <c r="F11" s="20" t="s">
        <v>27</v>
      </c>
      <c r="G11" s="53">
        <f t="shared" si="0"/>
        <v>0.30550177767020903</v>
      </c>
      <c r="H11" s="35"/>
      <c r="J11" t="s">
        <v>58</v>
      </c>
      <c r="K11" s="25" t="s">
        <v>59</v>
      </c>
    </row>
    <row r="12" spans="1:19" ht="14.4" x14ac:dyDescent="0.25">
      <c r="A12" s="6">
        <v>85</v>
      </c>
      <c r="B12" s="6">
        <v>515</v>
      </c>
      <c r="C12" s="19">
        <v>40418</v>
      </c>
      <c r="D12" s="6" t="s">
        <v>28</v>
      </c>
      <c r="E12" s="6">
        <f>IF((ISBLANK($B$1)),"",Sheet1!Q16)</f>
        <v>4350</v>
      </c>
      <c r="F12" s="20" t="s">
        <v>26</v>
      </c>
      <c r="G12" s="53">
        <f t="shared" si="0"/>
        <v>-0.45402307232003986</v>
      </c>
      <c r="H12" s="35"/>
    </row>
    <row r="13" spans="1:19" ht="14.4" x14ac:dyDescent="0.25">
      <c r="A13" s="6">
        <v>86</v>
      </c>
      <c r="B13" s="6">
        <v>515</v>
      </c>
      <c r="C13" s="19">
        <v>40418</v>
      </c>
      <c r="D13" s="6" t="s">
        <v>28</v>
      </c>
      <c r="E13" s="6">
        <f>IF((ISBLANK($B$1)),"",Sheet1!Q17)</f>
        <v>4450</v>
      </c>
      <c r="F13" s="20" t="s">
        <v>29</v>
      </c>
      <c r="G13" s="53">
        <f t="shared" si="0"/>
        <v>-0.31592764504908549</v>
      </c>
      <c r="H13" s="35"/>
      <c r="I13" s="25"/>
      <c r="J13" s="25"/>
      <c r="K13" s="25"/>
      <c r="L13" s="25"/>
      <c r="M13" s="25"/>
      <c r="N13" s="25"/>
      <c r="O13" s="25"/>
      <c r="P13" s="25"/>
      <c r="Q13" s="37"/>
      <c r="R13" s="25"/>
    </row>
    <row r="14" spans="1:19" ht="14.4" x14ac:dyDescent="0.25">
      <c r="A14" s="6">
        <v>97</v>
      </c>
      <c r="B14" s="6">
        <v>613</v>
      </c>
      <c r="C14" s="19">
        <v>40711</v>
      </c>
      <c r="D14" s="6" t="s">
        <v>17</v>
      </c>
      <c r="E14" s="6">
        <f>IF((ISBLANK($B$1)),"",Sheet1!Q18)</f>
        <v>4000</v>
      </c>
      <c r="F14" s="20" t="s">
        <v>26</v>
      </c>
      <c r="G14" s="53">
        <f t="shared" si="0"/>
        <v>-0.93735706776838001</v>
      </c>
      <c r="H14" s="35"/>
      <c r="I14" s="25"/>
      <c r="J14" s="45" t="s">
        <v>74</v>
      </c>
      <c r="K14" s="25"/>
      <c r="L14" s="25"/>
      <c r="M14" s="25"/>
      <c r="N14" s="25"/>
      <c r="O14" s="25"/>
      <c r="P14" s="25"/>
      <c r="Q14" s="25"/>
      <c r="R14" s="25"/>
    </row>
    <row r="15" spans="1:19" ht="14.4" x14ac:dyDescent="0.25">
      <c r="A15" s="6">
        <v>98</v>
      </c>
      <c r="B15" s="6">
        <v>613</v>
      </c>
      <c r="C15" s="19">
        <v>40711</v>
      </c>
      <c r="D15" s="6" t="s">
        <v>17</v>
      </c>
      <c r="E15" s="6">
        <f>IF((ISBLANK($B$1)),"",Sheet1!Q19)</f>
        <v>4500</v>
      </c>
      <c r="F15" s="20" t="s">
        <v>26</v>
      </c>
      <c r="G15" s="53">
        <f t="shared" si="0"/>
        <v>-0.24687993141360834</v>
      </c>
      <c r="H15" s="35"/>
      <c r="I15" s="25"/>
      <c r="J15" s="49" t="s">
        <v>0</v>
      </c>
      <c r="K15" s="47" t="s">
        <v>98</v>
      </c>
      <c r="L15" s="56" t="s">
        <v>97</v>
      </c>
      <c r="M15" s="25"/>
      <c r="N15" s="25"/>
      <c r="O15" s="25"/>
      <c r="P15" s="25"/>
      <c r="Q15" s="38"/>
      <c r="R15" s="38"/>
      <c r="S15" s="36"/>
    </row>
    <row r="16" spans="1:19" ht="14.4" x14ac:dyDescent="0.25">
      <c r="A16" s="6">
        <v>103</v>
      </c>
      <c r="B16" s="6">
        <v>643</v>
      </c>
      <c r="C16" s="19">
        <v>40626</v>
      </c>
      <c r="D16" s="6" t="s">
        <v>17</v>
      </c>
      <c r="E16" s="6">
        <f>IF((ISBLANK($B$1)),"",Sheet1!Q20)</f>
        <v>4450</v>
      </c>
      <c r="F16" s="20" t="s">
        <v>26</v>
      </c>
      <c r="G16" s="53">
        <f t="shared" si="0"/>
        <v>-0.31592764504908549</v>
      </c>
      <c r="H16" s="35"/>
      <c r="I16" s="25"/>
      <c r="K16" s="21" t="s">
        <v>20</v>
      </c>
      <c r="L16" s="21" t="s">
        <v>21</v>
      </c>
      <c r="M16" s="22" t="s">
        <v>22</v>
      </c>
      <c r="N16" s="22" t="s">
        <v>23</v>
      </c>
      <c r="O16" s="22" t="s">
        <v>19</v>
      </c>
      <c r="P16" s="22" t="s">
        <v>24</v>
      </c>
      <c r="Q16" s="45" t="s">
        <v>85</v>
      </c>
      <c r="R16" s="38"/>
      <c r="S16" s="36"/>
    </row>
    <row r="17" spans="1:19" ht="14.4" x14ac:dyDescent="0.25">
      <c r="A17" s="6">
        <v>107</v>
      </c>
      <c r="B17" s="6">
        <v>678</v>
      </c>
      <c r="C17" s="19">
        <v>40235</v>
      </c>
      <c r="D17" s="6" t="s">
        <v>25</v>
      </c>
      <c r="E17" s="6">
        <f>IF((ISBLANK($B$1)),"",Sheet1!Q21)</f>
        <v>5600</v>
      </c>
      <c r="F17" s="20" t="s">
        <v>26</v>
      </c>
      <c r="G17" s="53">
        <f t="shared" si="0"/>
        <v>1.2721697685668893</v>
      </c>
      <c r="H17" s="35"/>
      <c r="I17" s="25"/>
      <c r="K17" s="6">
        <v>4533</v>
      </c>
      <c r="L17" s="6">
        <v>32229</v>
      </c>
      <c r="M17" s="19">
        <v>40420</v>
      </c>
      <c r="N17" s="6" t="s">
        <v>17</v>
      </c>
      <c r="O17" s="6">
        <v>850</v>
      </c>
      <c r="P17" s="20" t="s">
        <v>26</v>
      </c>
      <c r="Q17" s="53">
        <v>-5.1363423285051661</v>
      </c>
      <c r="R17" s="38"/>
      <c r="S17" s="36"/>
    </row>
    <row r="18" spans="1:19" ht="14.4" x14ac:dyDescent="0.25">
      <c r="A18" s="6">
        <v>127</v>
      </c>
      <c r="B18" s="6">
        <v>807</v>
      </c>
      <c r="C18" s="19">
        <v>40505</v>
      </c>
      <c r="D18" s="6" t="s">
        <v>16</v>
      </c>
      <c r="E18" s="6">
        <f>IF((ISBLANK($B$1)),"",Sheet1!Q22)</f>
        <v>5650</v>
      </c>
      <c r="F18" s="20" t="s">
        <v>26</v>
      </c>
      <c r="G18" s="53">
        <f t="shared" si="0"/>
        <v>1.3412174822023666</v>
      </c>
      <c r="H18" s="35"/>
      <c r="I18" s="25"/>
      <c r="K18" s="6">
        <v>3533</v>
      </c>
      <c r="L18" s="6">
        <v>25154</v>
      </c>
      <c r="M18" s="19">
        <v>40410</v>
      </c>
      <c r="N18" s="6" t="s">
        <v>17</v>
      </c>
      <c r="O18" s="6">
        <v>900</v>
      </c>
      <c r="P18" s="20" t="s">
        <v>26</v>
      </c>
      <c r="Q18" s="53">
        <v>-5.0692766385156833</v>
      </c>
      <c r="R18" s="38"/>
      <c r="S18" s="36"/>
    </row>
    <row r="19" spans="1:19" ht="14.4" x14ac:dyDescent="0.25">
      <c r="A19" s="6">
        <v>128</v>
      </c>
      <c r="B19" s="6">
        <v>807</v>
      </c>
      <c r="C19" s="19">
        <v>40505</v>
      </c>
      <c r="D19" s="6" t="s">
        <v>16</v>
      </c>
      <c r="E19" s="6">
        <f>IF((ISBLANK($B$1)),"",Sheet1!Q23)</f>
        <v>5000</v>
      </c>
      <c r="F19" s="20" t="s">
        <v>26</v>
      </c>
      <c r="G19" s="53">
        <f t="shared" si="0"/>
        <v>0.44359720494116334</v>
      </c>
      <c r="H19" s="35"/>
      <c r="I19" s="25"/>
      <c r="K19" s="6">
        <v>7533</v>
      </c>
      <c r="L19" s="6">
        <v>53825</v>
      </c>
      <c r="M19" s="19">
        <v>40642</v>
      </c>
      <c r="N19" s="6" t="s">
        <v>25</v>
      </c>
      <c r="O19" s="6">
        <v>12800</v>
      </c>
      <c r="P19" s="20" t="s">
        <v>26</v>
      </c>
      <c r="Q19" s="53">
        <v>10.892357578981262</v>
      </c>
      <c r="R19" s="38"/>
      <c r="S19" s="36"/>
    </row>
    <row r="20" spans="1:19" ht="14.4" x14ac:dyDescent="0.25">
      <c r="A20" s="6">
        <v>134</v>
      </c>
      <c r="B20" s="6">
        <v>868</v>
      </c>
      <c r="C20" s="19">
        <v>41068</v>
      </c>
      <c r="D20" s="6" t="s">
        <v>28</v>
      </c>
      <c r="E20" s="6">
        <f>IF((ISBLANK($B$1)),"",Sheet1!Q24)</f>
        <v>5000</v>
      </c>
      <c r="F20" s="20" t="s">
        <v>26</v>
      </c>
      <c r="G20" s="53">
        <f t="shared" si="0"/>
        <v>0.44359720494116334</v>
      </c>
      <c r="H20" s="35"/>
      <c r="I20" s="25"/>
      <c r="K20" s="6">
        <v>1533</v>
      </c>
      <c r="L20" s="6">
        <v>11044</v>
      </c>
      <c r="M20" s="19">
        <v>41084</v>
      </c>
      <c r="N20" s="6" t="s">
        <v>16</v>
      </c>
      <c r="O20" s="6">
        <v>250</v>
      </c>
      <c r="P20" s="20" t="s">
        <v>26</v>
      </c>
      <c r="Q20" s="53">
        <v>-5.9411306083789617</v>
      </c>
      <c r="R20" s="38"/>
      <c r="S20" s="36"/>
    </row>
    <row r="21" spans="1:19" ht="14.4" x14ac:dyDescent="0.25">
      <c r="A21" s="6">
        <v>135</v>
      </c>
      <c r="B21" s="6">
        <v>868</v>
      </c>
      <c r="C21" s="19">
        <v>41068</v>
      </c>
      <c r="D21" s="6" t="s">
        <v>28</v>
      </c>
      <c r="E21" s="6">
        <f>IF((ISBLANK($B$1)),"",Sheet1!Q25)</f>
        <v>4950</v>
      </c>
      <c r="F21" s="20" t="s">
        <v>27</v>
      </c>
      <c r="G21" s="53">
        <f t="shared" si="0"/>
        <v>0.37454949130568621</v>
      </c>
      <c r="H21" s="35"/>
      <c r="I21" s="25"/>
      <c r="K21" s="6">
        <v>5533</v>
      </c>
      <c r="L21" s="6">
        <v>39173</v>
      </c>
      <c r="M21" s="19">
        <v>39829</v>
      </c>
      <c r="N21" s="6" t="s">
        <v>30</v>
      </c>
      <c r="O21" s="6">
        <v>12800</v>
      </c>
      <c r="P21" s="20" t="s">
        <v>26</v>
      </c>
      <c r="Q21" s="53">
        <v>10.892357578981262</v>
      </c>
      <c r="R21" s="38"/>
      <c r="S21" s="36"/>
    </row>
    <row r="22" spans="1:19" ht="14.4" x14ac:dyDescent="0.25">
      <c r="A22" s="6">
        <v>149</v>
      </c>
      <c r="B22" s="6">
        <v>933</v>
      </c>
      <c r="C22" s="19">
        <v>41125</v>
      </c>
      <c r="D22" s="6" t="s">
        <v>28</v>
      </c>
      <c r="E22" s="6">
        <f>IF((ISBLANK($B$1)),"",Sheet1!Q26)</f>
        <v>4150</v>
      </c>
      <c r="F22" s="20" t="s">
        <v>26</v>
      </c>
      <c r="G22" s="53">
        <f t="shared" si="0"/>
        <v>-0.73021392686194853</v>
      </c>
      <c r="H22" s="35"/>
      <c r="I22" s="25"/>
      <c r="K22" s="6">
        <v>6533</v>
      </c>
      <c r="L22" s="6">
        <v>46497</v>
      </c>
      <c r="M22" s="19">
        <v>41079</v>
      </c>
      <c r="N22" s="6" t="s">
        <v>17</v>
      </c>
      <c r="O22" s="6">
        <v>12500</v>
      </c>
      <c r="P22" s="20" t="s">
        <v>26</v>
      </c>
      <c r="Q22" s="53">
        <v>10.489963439044363</v>
      </c>
      <c r="R22" s="38"/>
      <c r="S22" s="36"/>
    </row>
    <row r="23" spans="1:19" ht="14.4" x14ac:dyDescent="0.25">
      <c r="A23" s="6">
        <v>160</v>
      </c>
      <c r="B23" s="6">
        <v>995</v>
      </c>
      <c r="C23" s="19">
        <v>40693</v>
      </c>
      <c r="D23" s="6" t="s">
        <v>16</v>
      </c>
      <c r="E23" s="6">
        <f>IF((ISBLANK($B$1)),"",Sheet1!Q27)</f>
        <v>5700</v>
      </c>
      <c r="F23" s="20" t="s">
        <v>29</v>
      </c>
      <c r="G23" s="53">
        <f t="shared" si="0"/>
        <v>1.4102651958378438</v>
      </c>
      <c r="H23" s="35"/>
      <c r="I23" s="25"/>
      <c r="K23" s="6">
        <v>533</v>
      </c>
      <c r="L23" s="6">
        <v>3622</v>
      </c>
      <c r="M23" s="19">
        <v>40873</v>
      </c>
      <c r="N23" s="6" t="s">
        <v>25</v>
      </c>
      <c r="O23" s="6">
        <v>900</v>
      </c>
      <c r="P23" s="20" t="s">
        <v>26</v>
      </c>
      <c r="Q23" s="53">
        <v>-5.0692766385156833</v>
      </c>
      <c r="R23" s="25"/>
    </row>
    <row r="24" spans="1:19" ht="14.4" x14ac:dyDescent="0.25">
      <c r="A24" s="6">
        <v>161</v>
      </c>
      <c r="B24" s="6">
        <v>998</v>
      </c>
      <c r="C24" s="19">
        <v>40142</v>
      </c>
      <c r="D24" s="6" t="s">
        <v>28</v>
      </c>
      <c r="E24" s="6">
        <f>IF((ISBLANK($B$1)),"",Sheet1!Q28)</f>
        <v>4200</v>
      </c>
      <c r="F24" s="20" t="s">
        <v>26</v>
      </c>
      <c r="G24" s="53">
        <f t="shared" si="0"/>
        <v>-0.6611662132264714</v>
      </c>
      <c r="H24" s="35"/>
      <c r="I24" s="25"/>
      <c r="K24" s="6">
        <v>2533</v>
      </c>
      <c r="L24" s="6">
        <v>18374</v>
      </c>
      <c r="M24" s="19">
        <v>41182</v>
      </c>
      <c r="N24" s="6" t="s">
        <v>25</v>
      </c>
      <c r="O24" s="6">
        <v>1150</v>
      </c>
      <c r="P24" s="20" t="s">
        <v>26</v>
      </c>
      <c r="Q24" s="53">
        <v>-4.7339481885682684</v>
      </c>
      <c r="R24" s="25"/>
    </row>
    <row r="25" spans="1:19" ht="14.4" x14ac:dyDescent="0.25">
      <c r="A25" s="6">
        <v>175</v>
      </c>
      <c r="B25" s="6">
        <v>1154</v>
      </c>
      <c r="C25" s="19">
        <v>40953</v>
      </c>
      <c r="D25" s="6" t="s">
        <v>30</v>
      </c>
      <c r="E25" s="6">
        <f>IF((ISBLANK($B$1)),"",Sheet1!Q29)</f>
        <v>5600</v>
      </c>
      <c r="F25" s="20" t="s">
        <v>29</v>
      </c>
      <c r="G25" s="53">
        <f t="shared" si="0"/>
        <v>1.2721697685668893</v>
      </c>
      <c r="H25" s="35"/>
      <c r="I25" s="25"/>
      <c r="O25" s="25"/>
      <c r="P25" s="25"/>
      <c r="Q25" s="25"/>
      <c r="R25" s="25"/>
    </row>
    <row r="26" spans="1:19" ht="14.4" x14ac:dyDescent="0.25">
      <c r="A26" s="6">
        <v>176</v>
      </c>
      <c r="B26" s="6">
        <v>1154</v>
      </c>
      <c r="C26" s="19">
        <v>40953</v>
      </c>
      <c r="D26" s="6" t="s">
        <v>30</v>
      </c>
      <c r="E26" s="6">
        <f>IF((ISBLANK($B$1)),"",Sheet1!Q30)</f>
        <v>3950</v>
      </c>
      <c r="F26" s="20" t="s">
        <v>29</v>
      </c>
      <c r="G26" s="53">
        <f t="shared" si="0"/>
        <v>-1.0064047814038573</v>
      </c>
      <c r="H26" s="35"/>
      <c r="I26" s="25"/>
      <c r="J26" s="49" t="s">
        <v>1</v>
      </c>
      <c r="K26" s="47" t="s">
        <v>75</v>
      </c>
      <c r="L26" s="46">
        <f>AVERAGE(E8:E8398)</f>
        <v>4678.7748778453106</v>
      </c>
      <c r="M26" s="65" t="str">
        <f ca="1">_xlfn.FORMULATEXT(L26)</f>
        <v>=AVERAGE(E8:E8398)</v>
      </c>
      <c r="N26" s="37"/>
      <c r="O26" s="25"/>
      <c r="P26" s="25"/>
      <c r="Q26" s="25"/>
      <c r="R26" s="25"/>
    </row>
    <row r="27" spans="1:19" ht="14.4" x14ac:dyDescent="0.25">
      <c r="A27" s="6">
        <v>203</v>
      </c>
      <c r="B27" s="6">
        <v>1344</v>
      </c>
      <c r="C27" s="19">
        <v>41014</v>
      </c>
      <c r="D27" s="6" t="s">
        <v>25</v>
      </c>
      <c r="E27" s="6">
        <f>IF((ISBLANK($B$1)),"",Sheet1!Q31)</f>
        <v>4150</v>
      </c>
      <c r="F27" s="20" t="s">
        <v>27</v>
      </c>
      <c r="G27" s="53">
        <f t="shared" si="0"/>
        <v>-0.73021392686194853</v>
      </c>
      <c r="H27" s="35"/>
      <c r="I27" s="25"/>
      <c r="J27" s="50"/>
      <c r="K27" s="47" t="s">
        <v>76</v>
      </c>
      <c r="L27" s="25">
        <f>MEDIAN(E8:E8398)</f>
        <v>4700</v>
      </c>
      <c r="M27" s="65" t="str">
        <f t="shared" ref="M27:M35" ca="1" si="1">_xlfn.FORMULATEXT(L27)</f>
        <v>=MEDIAN(E8:E8398)</v>
      </c>
      <c r="N27" s="37"/>
      <c r="O27" s="25"/>
      <c r="P27" s="25"/>
      <c r="Q27" s="25"/>
      <c r="R27" s="25"/>
    </row>
    <row r="28" spans="1:19" ht="14.4" x14ac:dyDescent="0.25">
      <c r="A28" s="6">
        <v>204</v>
      </c>
      <c r="B28" s="6">
        <v>1344</v>
      </c>
      <c r="C28" s="19">
        <v>41014</v>
      </c>
      <c r="D28" s="6" t="s">
        <v>25</v>
      </c>
      <c r="E28" s="6">
        <f>IF((ISBLANK($B$1)),"",Sheet1!Q32)</f>
        <v>4300</v>
      </c>
      <c r="F28" s="20" t="s">
        <v>27</v>
      </c>
      <c r="G28" s="53">
        <f t="shared" si="0"/>
        <v>-0.52307078595551704</v>
      </c>
      <c r="H28" s="35"/>
      <c r="I28" s="25"/>
      <c r="J28" s="50"/>
      <c r="K28" s="47" t="s">
        <v>77</v>
      </c>
      <c r="L28" s="25">
        <f>MODE(E8:E8398)</f>
        <v>4950</v>
      </c>
      <c r="M28" s="65" t="str">
        <f t="shared" ca="1" si="1"/>
        <v>=MODE(E8:E8398)</v>
      </c>
      <c r="N28" s="25"/>
      <c r="R28" s="25"/>
    </row>
    <row r="29" spans="1:19" ht="14.4" x14ac:dyDescent="0.25">
      <c r="A29" s="6">
        <v>213</v>
      </c>
      <c r="B29" s="6">
        <v>1412</v>
      </c>
      <c r="C29" s="19">
        <v>40249</v>
      </c>
      <c r="D29" s="6" t="s">
        <v>28</v>
      </c>
      <c r="E29" s="6">
        <f>IF((ISBLANK($B$1)),"",Sheet1!Q33)</f>
        <v>4050</v>
      </c>
      <c r="F29" s="20" t="s">
        <v>26</v>
      </c>
      <c r="G29" s="53">
        <f t="shared" si="0"/>
        <v>-0.86830935413290289</v>
      </c>
      <c r="H29" s="35"/>
      <c r="I29" s="25"/>
      <c r="J29" s="50"/>
      <c r="K29" s="47" t="s">
        <v>78</v>
      </c>
      <c r="L29" s="25">
        <f>QUARTILE(E8:E8398,1)</f>
        <v>4050</v>
      </c>
      <c r="M29" s="65" t="str">
        <f t="shared" ca="1" si="1"/>
        <v>=QUARTILE(E8:E8398,1)</v>
      </c>
      <c r="N29" s="25"/>
      <c r="O29" s="40"/>
      <c r="P29" s="40"/>
      <c r="Q29" s="40"/>
      <c r="R29" s="25"/>
    </row>
    <row r="30" spans="1:19" ht="14.4" x14ac:dyDescent="0.25">
      <c r="A30" s="6">
        <v>214</v>
      </c>
      <c r="B30" s="6">
        <v>1412</v>
      </c>
      <c r="C30" s="19">
        <v>40249</v>
      </c>
      <c r="D30" s="6" t="s">
        <v>28</v>
      </c>
      <c r="E30" s="6">
        <f>IF((ISBLANK($B$1)),"",Sheet1!Q34)</f>
        <v>4450</v>
      </c>
      <c r="F30" s="20" t="s">
        <v>26</v>
      </c>
      <c r="G30" s="53">
        <f t="shared" si="0"/>
        <v>-0.31592764504908549</v>
      </c>
      <c r="H30" s="35"/>
      <c r="J30" s="50"/>
      <c r="K30" s="47" t="s">
        <v>79</v>
      </c>
      <c r="L30" s="25">
        <f>QUARTILE(E9:E8399,2)</f>
        <v>4700</v>
      </c>
      <c r="M30" s="65" t="str">
        <f t="shared" ca="1" si="1"/>
        <v>=QUARTILE(E9:E8399,2)</v>
      </c>
      <c r="N30" s="55" t="s">
        <v>86</v>
      </c>
      <c r="O30" s="40"/>
      <c r="P30" s="40"/>
      <c r="Q30" s="40"/>
    </row>
    <row r="31" spans="1:19" ht="14.4" x14ac:dyDescent="0.25">
      <c r="A31" s="6">
        <v>229</v>
      </c>
      <c r="B31" s="6">
        <v>1539</v>
      </c>
      <c r="C31" s="19">
        <v>40611</v>
      </c>
      <c r="D31" s="6" t="s">
        <v>25</v>
      </c>
      <c r="E31" s="6">
        <f>IF((ISBLANK($B$1)),"",Sheet1!Q35)</f>
        <v>5050</v>
      </c>
      <c r="F31" s="20" t="s">
        <v>26</v>
      </c>
      <c r="G31" s="53">
        <f t="shared" si="0"/>
        <v>0.51264491857664052</v>
      </c>
      <c r="H31" s="39"/>
      <c r="I31" s="40"/>
      <c r="J31" s="50"/>
      <c r="K31" s="47" t="s">
        <v>80</v>
      </c>
      <c r="L31" s="25">
        <f>QUARTILE(E10:E8400,3)</f>
        <v>5300</v>
      </c>
      <c r="M31" s="65" t="str">
        <f t="shared" ca="1" si="1"/>
        <v>=QUARTILE(E10:E8400,3)</v>
      </c>
      <c r="N31" s="25"/>
      <c r="O31" s="40"/>
      <c r="P31" s="40"/>
      <c r="Q31" s="40"/>
    </row>
    <row r="32" spans="1:19" ht="14.4" x14ac:dyDescent="0.25">
      <c r="A32" s="6">
        <v>230</v>
      </c>
      <c r="B32" s="6">
        <v>1539</v>
      </c>
      <c r="C32" s="19">
        <v>40611</v>
      </c>
      <c r="D32" s="6" t="s">
        <v>25</v>
      </c>
      <c r="E32" s="6">
        <f>IF((ISBLANK($B$1)),"",Sheet1!Q36)</f>
        <v>5300</v>
      </c>
      <c r="F32" s="20" t="s">
        <v>27</v>
      </c>
      <c r="G32" s="53">
        <f t="shared" si="0"/>
        <v>0.85788348675402637</v>
      </c>
      <c r="H32" s="39"/>
      <c r="I32" s="40"/>
      <c r="J32" s="49" t="s">
        <v>2</v>
      </c>
      <c r="K32" s="47" t="s">
        <v>81</v>
      </c>
      <c r="L32" s="25">
        <f>MAX(E8:E8398)-MIN(E8:E8398)</f>
        <v>2450</v>
      </c>
      <c r="M32" s="65" t="str">
        <f t="shared" ca="1" si="1"/>
        <v>=MAX(E8:E8398)-MIN(E8:E8398)</v>
      </c>
      <c r="N32" s="25"/>
      <c r="O32" s="40"/>
      <c r="P32" s="40"/>
      <c r="Q32" s="40"/>
    </row>
    <row r="33" spans="1:17" ht="14.4" x14ac:dyDescent="0.25">
      <c r="A33" s="6">
        <v>231</v>
      </c>
      <c r="B33" s="6">
        <v>1540</v>
      </c>
      <c r="C33" s="19">
        <v>41125</v>
      </c>
      <c r="D33" s="6" t="s">
        <v>17</v>
      </c>
      <c r="E33" s="6">
        <f>IF((ISBLANK($B$1)),"",Sheet1!Q37)</f>
        <v>4900</v>
      </c>
      <c r="F33" s="20" t="s">
        <v>26</v>
      </c>
      <c r="G33" s="53">
        <f t="shared" si="0"/>
        <v>0.30550177767020903</v>
      </c>
      <c r="H33" s="39"/>
      <c r="I33" s="40"/>
      <c r="J33" s="50"/>
      <c r="K33" s="47" t="s">
        <v>82</v>
      </c>
      <c r="L33" s="25">
        <f>L31-L29</f>
        <v>1250</v>
      </c>
      <c r="M33" s="65" t="str">
        <f t="shared" ca="1" si="1"/>
        <v>=L31-L29</v>
      </c>
      <c r="N33" s="25"/>
      <c r="O33" s="40"/>
      <c r="P33" s="40"/>
      <c r="Q33" s="40"/>
    </row>
    <row r="34" spans="1:17" ht="14.4" x14ac:dyDescent="0.25">
      <c r="A34" s="6">
        <v>249</v>
      </c>
      <c r="B34" s="6">
        <v>1702</v>
      </c>
      <c r="C34" s="19">
        <v>40669</v>
      </c>
      <c r="D34" s="6" t="s">
        <v>17</v>
      </c>
      <c r="E34" s="6">
        <f>IF((ISBLANK($B$1)),"",Sheet1!Q38)</f>
        <v>4550</v>
      </c>
      <c r="F34" s="20" t="s">
        <v>26</v>
      </c>
      <c r="G34" s="53">
        <f t="shared" si="0"/>
        <v>-0.17783221777813119</v>
      </c>
      <c r="H34" s="39"/>
      <c r="I34" s="40"/>
      <c r="J34" s="50"/>
      <c r="K34" s="47" t="s">
        <v>83</v>
      </c>
      <c r="L34" s="37">
        <f>POWER(L35,2)</f>
        <v>524374.30648841022</v>
      </c>
      <c r="M34" s="65" t="str">
        <f t="shared" ca="1" si="1"/>
        <v>=POWER(L35,2)</v>
      </c>
      <c r="N34" s="37"/>
      <c r="O34" s="40"/>
      <c r="P34" s="40"/>
      <c r="Q34" s="40"/>
    </row>
    <row r="35" spans="1:17" ht="14.4" x14ac:dyDescent="0.25">
      <c r="A35" s="6">
        <v>250</v>
      </c>
      <c r="B35" s="6">
        <v>1761</v>
      </c>
      <c r="C35" s="19">
        <v>40535</v>
      </c>
      <c r="D35" s="6" t="s">
        <v>17</v>
      </c>
      <c r="E35" s="6">
        <f>IF((ISBLANK($B$1)),"",Sheet1!Q39)</f>
        <v>4650</v>
      </c>
      <c r="F35" s="20" t="s">
        <v>27</v>
      </c>
      <c r="G35" s="53">
        <f t="shared" si="0"/>
        <v>-3.9736790507176829E-2</v>
      </c>
      <c r="H35" s="39"/>
      <c r="I35" s="40"/>
      <c r="J35" s="51"/>
      <c r="K35" s="47" t="s">
        <v>84</v>
      </c>
      <c r="L35" s="25">
        <f>_xlfn.STDEV.P(E8:E8398)</f>
        <v>724.13693904427373</v>
      </c>
      <c r="M35" s="65" t="str">
        <f t="shared" ca="1" si="1"/>
        <v>=STDEV.P(E8:E8398)</v>
      </c>
      <c r="N35" s="25"/>
      <c r="O35" s="40"/>
      <c r="P35" s="40"/>
      <c r="Q35" s="40"/>
    </row>
    <row r="36" spans="1:17" ht="15.15" thickBot="1" x14ac:dyDescent="0.3">
      <c r="A36" s="6">
        <v>256</v>
      </c>
      <c r="B36" s="6">
        <v>1792</v>
      </c>
      <c r="C36" s="19">
        <v>40490</v>
      </c>
      <c r="D36" s="6" t="s">
        <v>25</v>
      </c>
      <c r="E36" s="6">
        <f>IF((ISBLANK($B$1)),"",Sheet1!Q40)</f>
        <v>4800</v>
      </c>
      <c r="F36" s="20" t="s">
        <v>26</v>
      </c>
      <c r="G36" s="53">
        <f t="shared" si="0"/>
        <v>0.16740635039925467</v>
      </c>
      <c r="H36" s="39"/>
      <c r="I36" s="40"/>
      <c r="J36" s="49" t="s">
        <v>57</v>
      </c>
      <c r="K36" s="25"/>
      <c r="L36" s="25"/>
      <c r="M36" s="25"/>
      <c r="N36" s="25"/>
      <c r="O36" s="40"/>
      <c r="P36" s="40"/>
      <c r="Q36" s="40"/>
    </row>
    <row r="37" spans="1:17" ht="14.4" x14ac:dyDescent="0.25">
      <c r="A37" s="6">
        <v>330</v>
      </c>
      <c r="B37" s="6">
        <v>2275</v>
      </c>
      <c r="C37" s="19">
        <v>41203</v>
      </c>
      <c r="D37" s="6" t="s">
        <v>28</v>
      </c>
      <c r="E37" s="6">
        <f>IF((ISBLANK($B$1)),"",Sheet1!Q41)</f>
        <v>5850</v>
      </c>
      <c r="F37" s="20" t="s">
        <v>26</v>
      </c>
      <c r="G37" s="53">
        <f t="shared" si="0"/>
        <v>1.6174083367442753</v>
      </c>
      <c r="H37" s="39"/>
      <c r="I37" s="40"/>
      <c r="K37" s="37" t="s">
        <v>87</v>
      </c>
      <c r="L37" s="58"/>
      <c r="M37" s="58" t="s">
        <v>89</v>
      </c>
      <c r="N37" s="25"/>
      <c r="O37" s="40"/>
      <c r="P37" s="40"/>
      <c r="Q37" s="40"/>
    </row>
    <row r="38" spans="1:17" ht="14.4" x14ac:dyDescent="0.25">
      <c r="A38" s="6">
        <v>331</v>
      </c>
      <c r="B38" s="6">
        <v>2277</v>
      </c>
      <c r="C38" s="19">
        <v>40544</v>
      </c>
      <c r="D38" s="6" t="s">
        <v>28</v>
      </c>
      <c r="E38" s="6">
        <f>IF((ISBLANK($B$1)),"",Sheet1!Q42)</f>
        <v>3900</v>
      </c>
      <c r="F38" s="20" t="s">
        <v>27</v>
      </c>
      <c r="G38" s="53">
        <f t="shared" si="0"/>
        <v>-1.0754524950393345</v>
      </c>
      <c r="H38" s="39"/>
      <c r="I38" s="40"/>
      <c r="J38" s="40"/>
      <c r="K38" s="63">
        <v>3000</v>
      </c>
      <c r="L38" s="61" t="s">
        <v>91</v>
      </c>
      <c r="M38" s="33">
        <v>317</v>
      </c>
      <c r="N38" s="40"/>
      <c r="O38" s="40"/>
      <c r="P38" s="40"/>
      <c r="Q38" s="40"/>
    </row>
    <row r="39" spans="1:17" ht="14.4" x14ac:dyDescent="0.25">
      <c r="A39" s="6">
        <v>332</v>
      </c>
      <c r="B39" s="6">
        <v>2277</v>
      </c>
      <c r="C39" s="19">
        <v>40544</v>
      </c>
      <c r="D39" s="6" t="s">
        <v>28</v>
      </c>
      <c r="E39" s="6">
        <f>IF((ISBLANK($B$1)),"",Sheet1!Q43)</f>
        <v>4450</v>
      </c>
      <c r="F39" s="20" t="s">
        <v>26</v>
      </c>
      <c r="G39" s="53">
        <f t="shared" si="0"/>
        <v>-0.31592764504908549</v>
      </c>
      <c r="H39" s="39"/>
      <c r="I39" s="40"/>
      <c r="J39" s="41"/>
      <c r="K39" s="63">
        <v>3500</v>
      </c>
      <c r="L39" s="62" t="s">
        <v>90</v>
      </c>
      <c r="M39" s="33">
        <v>1711</v>
      </c>
      <c r="N39" s="40"/>
      <c r="O39" s="40"/>
      <c r="P39" s="40"/>
      <c r="Q39" s="40"/>
    </row>
    <row r="40" spans="1:17" ht="14.4" x14ac:dyDescent="0.25">
      <c r="A40" s="6">
        <v>362</v>
      </c>
      <c r="B40" s="6">
        <v>2532</v>
      </c>
      <c r="C40" s="19">
        <v>40826</v>
      </c>
      <c r="D40" s="6" t="s">
        <v>17</v>
      </c>
      <c r="E40" s="6">
        <f>IF((ISBLANK($B$1)),"",Sheet1!Q44)</f>
        <v>5350</v>
      </c>
      <c r="F40" s="20" t="s">
        <v>26</v>
      </c>
      <c r="G40" s="53">
        <f t="shared" si="0"/>
        <v>0.92693120038950361</v>
      </c>
      <c r="H40" s="39"/>
      <c r="I40" s="40"/>
      <c r="J40" s="41"/>
      <c r="K40" s="63">
        <v>4000</v>
      </c>
      <c r="L40" s="61" t="s">
        <v>92</v>
      </c>
      <c r="M40" s="33">
        <v>1589</v>
      </c>
      <c r="N40" s="40"/>
      <c r="O40" s="40"/>
      <c r="P40" s="40"/>
      <c r="Q40" s="40"/>
    </row>
    <row r="41" spans="1:17" ht="14.4" x14ac:dyDescent="0.25">
      <c r="A41" s="6">
        <v>363</v>
      </c>
      <c r="B41" s="6">
        <v>2532</v>
      </c>
      <c r="C41" s="19">
        <v>40826</v>
      </c>
      <c r="D41" s="6" t="s">
        <v>17</v>
      </c>
      <c r="E41" s="6">
        <f>IF((ISBLANK($B$1)),"",Sheet1!Q45)</f>
        <v>4600</v>
      </c>
      <c r="F41" s="20" t="s">
        <v>27</v>
      </c>
      <c r="G41" s="53">
        <f t="shared" si="0"/>
        <v>-0.108784504142654</v>
      </c>
      <c r="H41" s="39"/>
      <c r="I41" s="40"/>
      <c r="J41" s="41"/>
      <c r="K41" s="63">
        <v>4500</v>
      </c>
      <c r="L41" s="62" t="s">
        <v>93</v>
      </c>
      <c r="M41" s="33">
        <v>1749</v>
      </c>
      <c r="N41" s="40"/>
      <c r="O41" s="40"/>
      <c r="P41" s="40"/>
      <c r="Q41" s="40"/>
    </row>
    <row r="42" spans="1:17" ht="14.4" x14ac:dyDescent="0.25">
      <c r="A42" s="6">
        <v>381</v>
      </c>
      <c r="B42" s="6">
        <v>2631</v>
      </c>
      <c r="C42" s="19">
        <v>40444</v>
      </c>
      <c r="D42" s="6" t="s">
        <v>25</v>
      </c>
      <c r="E42" s="6">
        <f>IF((ISBLANK($B$1)),"",Sheet1!Q46)</f>
        <v>4750</v>
      </c>
      <c r="F42" s="20" t="s">
        <v>27</v>
      </c>
      <c r="G42" s="53">
        <f t="shared" si="0"/>
        <v>9.8358636763777513E-2</v>
      </c>
      <c r="H42" s="39"/>
      <c r="I42" s="40"/>
      <c r="J42" s="41"/>
      <c r="K42" s="63">
        <v>5000</v>
      </c>
      <c r="L42" s="61" t="s">
        <v>94</v>
      </c>
      <c r="M42" s="33">
        <v>1671</v>
      </c>
      <c r="N42" s="40"/>
      <c r="P42" s="40"/>
      <c r="Q42" s="40"/>
    </row>
    <row r="43" spans="1:17" ht="14.4" x14ac:dyDescent="0.25">
      <c r="A43" s="6">
        <v>406</v>
      </c>
      <c r="B43" s="6">
        <v>2757</v>
      </c>
      <c r="C43" s="19">
        <v>40743</v>
      </c>
      <c r="D43" s="6" t="s">
        <v>30</v>
      </c>
      <c r="E43" s="6">
        <f>IF((ISBLANK($B$1)),"",Sheet1!Q47)</f>
        <v>5350</v>
      </c>
      <c r="F43" s="20" t="s">
        <v>29</v>
      </c>
      <c r="G43" s="53">
        <f t="shared" si="0"/>
        <v>0.92693120038950361</v>
      </c>
      <c r="H43" s="39"/>
      <c r="I43" s="40"/>
      <c r="J43" s="41"/>
      <c r="K43" s="63">
        <v>5500</v>
      </c>
      <c r="L43" s="62" t="s">
        <v>95</v>
      </c>
      <c r="M43" s="33">
        <v>1353</v>
      </c>
      <c r="N43" s="40"/>
      <c r="P43" s="40"/>
      <c r="Q43" s="40"/>
    </row>
    <row r="44" spans="1:17" ht="15.15" thickBot="1" x14ac:dyDescent="0.3">
      <c r="A44" s="6">
        <v>413</v>
      </c>
      <c r="B44" s="6">
        <v>2791</v>
      </c>
      <c r="C44" s="19">
        <v>40095</v>
      </c>
      <c r="D44" s="6" t="s">
        <v>17</v>
      </c>
      <c r="E44" s="6">
        <f>IF((ISBLANK($B$1)),"",Sheet1!Q48)</f>
        <v>5750</v>
      </c>
      <c r="F44" s="20" t="s">
        <v>26</v>
      </c>
      <c r="G44" s="53">
        <f t="shared" si="0"/>
        <v>1.4793129094733208</v>
      </c>
      <c r="H44" s="39"/>
      <c r="I44" s="59"/>
      <c r="J44" s="41"/>
      <c r="K44" s="63">
        <v>6000</v>
      </c>
      <c r="L44" s="64" t="s">
        <v>96</v>
      </c>
      <c r="M44" s="57">
        <v>0</v>
      </c>
      <c r="N44" s="40"/>
      <c r="P44" s="40"/>
      <c r="Q44" s="40"/>
    </row>
    <row r="45" spans="1:17" ht="14.4" x14ac:dyDescent="0.25">
      <c r="A45" s="6">
        <v>414</v>
      </c>
      <c r="B45" s="6">
        <v>2791</v>
      </c>
      <c r="C45" s="19">
        <v>40095</v>
      </c>
      <c r="D45" s="6" t="s">
        <v>17</v>
      </c>
      <c r="E45" s="6">
        <f>IF((ISBLANK($B$1)),"",Sheet1!Q49)</f>
        <v>5850</v>
      </c>
      <c r="F45" s="20" t="s">
        <v>29</v>
      </c>
      <c r="G45" s="53">
        <f t="shared" si="0"/>
        <v>1.6174083367442753</v>
      </c>
      <c r="H45" s="39"/>
      <c r="I45" s="40"/>
      <c r="J45" s="40"/>
      <c r="K45" s="40"/>
      <c r="L45" s="32"/>
      <c r="M45" s="33"/>
      <c r="N45" s="40"/>
      <c r="P45" s="40"/>
      <c r="Q45" s="40"/>
    </row>
    <row r="46" spans="1:17" ht="15.15" thickBot="1" x14ac:dyDescent="0.3">
      <c r="A46" s="6">
        <v>415</v>
      </c>
      <c r="B46" s="6">
        <v>2791</v>
      </c>
      <c r="C46" s="19">
        <v>40095</v>
      </c>
      <c r="D46" s="6" t="s">
        <v>17</v>
      </c>
      <c r="E46" s="6">
        <f>IF((ISBLANK($B$1)),"",Sheet1!Q50)</f>
        <v>4300</v>
      </c>
      <c r="F46" s="20" t="s">
        <v>26</v>
      </c>
      <c r="G46" s="53">
        <f t="shared" si="0"/>
        <v>-0.52307078595551704</v>
      </c>
      <c r="H46" s="39"/>
      <c r="I46" s="40"/>
      <c r="J46" s="40"/>
      <c r="K46" s="40"/>
      <c r="L46" s="32"/>
      <c r="M46" s="33"/>
      <c r="N46" s="40"/>
      <c r="P46" s="40"/>
      <c r="Q46" s="40"/>
    </row>
    <row r="47" spans="1:17" ht="14.4" x14ac:dyDescent="0.25">
      <c r="A47" s="6">
        <v>440</v>
      </c>
      <c r="B47" s="6">
        <v>2976</v>
      </c>
      <c r="C47" s="19">
        <v>40521</v>
      </c>
      <c r="D47" s="6" t="s">
        <v>28</v>
      </c>
      <c r="E47" s="6">
        <f>IF((ISBLANK($B$1)),"",Sheet1!Q51)</f>
        <v>4900</v>
      </c>
      <c r="F47" s="20" t="s">
        <v>29</v>
      </c>
      <c r="G47" s="53">
        <f t="shared" si="0"/>
        <v>0.30550177767020903</v>
      </c>
      <c r="H47" s="39"/>
      <c r="I47" s="40"/>
      <c r="J47" s="49" t="s">
        <v>58</v>
      </c>
      <c r="K47" s="40"/>
      <c r="L47" s="58"/>
      <c r="M47" s="58" t="s">
        <v>89</v>
      </c>
      <c r="P47" s="44"/>
      <c r="Q47" s="40"/>
    </row>
    <row r="48" spans="1:17" ht="14.4" x14ac:dyDescent="0.25">
      <c r="A48" s="6">
        <v>471</v>
      </c>
      <c r="B48" s="6">
        <v>3232</v>
      </c>
      <c r="C48" s="19">
        <v>41190</v>
      </c>
      <c r="D48" s="6" t="s">
        <v>30</v>
      </c>
      <c r="E48" s="6">
        <f>IF((ISBLANK($B$1)),"",Sheet1!Q52)</f>
        <v>3650</v>
      </c>
      <c r="F48" s="20" t="s">
        <v>26</v>
      </c>
      <c r="G48" s="53">
        <f t="shared" si="0"/>
        <v>-1.4206910632167202</v>
      </c>
      <c r="H48" s="39"/>
      <c r="I48" s="40"/>
      <c r="J48" s="40"/>
      <c r="K48" s="40"/>
      <c r="L48" s="32">
        <v>3500</v>
      </c>
      <c r="M48" s="33">
        <v>317</v>
      </c>
      <c r="N48" s="60"/>
      <c r="P48" s="42"/>
      <c r="Q48" s="40"/>
    </row>
    <row r="49" spans="1:18" ht="14.4" x14ac:dyDescent="0.25">
      <c r="A49" s="6">
        <v>513</v>
      </c>
      <c r="B49" s="6">
        <v>3524</v>
      </c>
      <c r="C49" s="19">
        <v>41031</v>
      </c>
      <c r="D49" s="6" t="s">
        <v>17</v>
      </c>
      <c r="E49" s="6">
        <f>IF((ISBLANK($B$1)),"",Sheet1!Q53)</f>
        <v>4450</v>
      </c>
      <c r="F49" s="20" t="s">
        <v>26</v>
      </c>
      <c r="G49" s="53">
        <f t="shared" si="0"/>
        <v>-0.31592764504908549</v>
      </c>
      <c r="H49" s="39"/>
      <c r="I49" s="40"/>
      <c r="J49" s="40"/>
      <c r="K49" s="40"/>
      <c r="L49" s="32">
        <v>4000</v>
      </c>
      <c r="M49" s="33">
        <v>1711</v>
      </c>
      <c r="N49" s="60"/>
      <c r="P49" s="42"/>
      <c r="Q49" s="40"/>
      <c r="R49" s="31"/>
    </row>
    <row r="50" spans="1:18" ht="14.4" x14ac:dyDescent="0.25">
      <c r="A50" s="6">
        <v>577</v>
      </c>
      <c r="B50" s="6">
        <v>3908</v>
      </c>
      <c r="C50" s="19">
        <v>40245</v>
      </c>
      <c r="D50" s="6" t="s">
        <v>16</v>
      </c>
      <c r="E50" s="6">
        <f>IF((ISBLANK($B$1)),"",Sheet1!Q54)</f>
        <v>3800</v>
      </c>
      <c r="F50" s="20" t="s">
        <v>27</v>
      </c>
      <c r="G50" s="53">
        <f t="shared" si="0"/>
        <v>-1.2135479223102887</v>
      </c>
      <c r="H50" s="39"/>
      <c r="I50" s="40"/>
      <c r="J50" s="40"/>
      <c r="K50" s="40"/>
      <c r="L50" s="32">
        <v>4500</v>
      </c>
      <c r="M50" s="33">
        <v>1589</v>
      </c>
      <c r="N50" s="60"/>
      <c r="P50" s="42"/>
      <c r="Q50" s="40"/>
    </row>
    <row r="51" spans="1:18" ht="14.4" x14ac:dyDescent="0.25">
      <c r="A51" s="6">
        <v>606</v>
      </c>
      <c r="B51" s="6">
        <v>4132</v>
      </c>
      <c r="C51" s="19">
        <v>40691</v>
      </c>
      <c r="D51" s="6" t="s">
        <v>28</v>
      </c>
      <c r="E51" s="6">
        <f>IF((ISBLANK($B$1)),"",Sheet1!Q55)</f>
        <v>3650</v>
      </c>
      <c r="F51" s="20" t="s">
        <v>26</v>
      </c>
      <c r="G51" s="53">
        <f t="shared" si="0"/>
        <v>-1.4206910632167202</v>
      </c>
      <c r="H51" s="39"/>
      <c r="I51" s="40"/>
      <c r="J51" s="40"/>
      <c r="K51" s="40"/>
      <c r="L51" s="32">
        <v>5000</v>
      </c>
      <c r="M51" s="33">
        <v>1749</v>
      </c>
      <c r="N51" s="60"/>
      <c r="P51" s="42"/>
      <c r="Q51" s="40"/>
    </row>
    <row r="52" spans="1:18" ht="14.4" x14ac:dyDescent="0.25">
      <c r="A52" s="6">
        <v>656</v>
      </c>
      <c r="B52" s="6">
        <v>4612</v>
      </c>
      <c r="C52" s="19">
        <v>40440</v>
      </c>
      <c r="D52" s="6" t="s">
        <v>16</v>
      </c>
      <c r="E52" s="6">
        <f>IF((ISBLANK($B$1)),"",Sheet1!Q56)</f>
        <v>3850</v>
      </c>
      <c r="F52" s="20" t="s">
        <v>26</v>
      </c>
      <c r="G52" s="53">
        <f t="shared" si="0"/>
        <v>-1.1445002086748115</v>
      </c>
      <c r="H52" s="39"/>
      <c r="I52" s="40"/>
      <c r="J52" s="40"/>
      <c r="K52" s="40"/>
      <c r="L52" s="32">
        <v>5500</v>
      </c>
      <c r="M52" s="33">
        <v>1671</v>
      </c>
      <c r="N52" s="60"/>
      <c r="P52" s="42"/>
      <c r="Q52" s="40"/>
    </row>
    <row r="53" spans="1:18" ht="15.15" thickBot="1" x14ac:dyDescent="0.3">
      <c r="A53" s="6">
        <v>669</v>
      </c>
      <c r="B53" s="6">
        <v>4676</v>
      </c>
      <c r="C53" s="19">
        <v>40786</v>
      </c>
      <c r="D53" s="6" t="s">
        <v>17</v>
      </c>
      <c r="E53" s="6">
        <f>IF((ISBLANK($B$1)),"",Sheet1!Q57)</f>
        <v>3950</v>
      </c>
      <c r="F53" s="20" t="s">
        <v>27</v>
      </c>
      <c r="G53" s="53">
        <f t="shared" si="0"/>
        <v>-1.0064047814038573</v>
      </c>
      <c r="H53" s="39"/>
      <c r="I53" s="40"/>
      <c r="J53" s="40"/>
      <c r="K53" s="40"/>
      <c r="L53" s="57" t="s">
        <v>88</v>
      </c>
      <c r="M53" s="57">
        <v>1353</v>
      </c>
      <c r="N53" s="60"/>
      <c r="P53" s="42"/>
      <c r="Q53" s="40"/>
    </row>
    <row r="54" spans="1:18" ht="14.4" x14ac:dyDescent="0.25">
      <c r="A54" s="6">
        <v>670</v>
      </c>
      <c r="B54" s="6">
        <v>4676</v>
      </c>
      <c r="C54" s="19">
        <v>40786</v>
      </c>
      <c r="D54" s="6" t="s">
        <v>17</v>
      </c>
      <c r="E54" s="6">
        <f>IF((ISBLANK($B$1)),"",Sheet1!Q58)</f>
        <v>5900</v>
      </c>
      <c r="F54" s="20" t="s">
        <v>26</v>
      </c>
      <c r="G54" s="53">
        <f t="shared" si="0"/>
        <v>1.6864560503797523</v>
      </c>
      <c r="H54" s="39"/>
      <c r="I54" s="43"/>
      <c r="J54" s="40"/>
      <c r="K54" s="40"/>
      <c r="L54" s="33"/>
      <c r="M54" s="33"/>
      <c r="N54" s="34"/>
      <c r="O54" s="40"/>
      <c r="P54" s="42"/>
      <c r="Q54" s="40"/>
    </row>
    <row r="55" spans="1:18" ht="14.4" x14ac:dyDescent="0.25">
      <c r="A55" s="6">
        <v>671</v>
      </c>
      <c r="B55" s="6">
        <v>4676</v>
      </c>
      <c r="C55" s="19">
        <v>40786</v>
      </c>
      <c r="D55" s="6" t="s">
        <v>17</v>
      </c>
      <c r="E55" s="6">
        <f>IF((ISBLANK($B$1)),"",Sheet1!Q59)</f>
        <v>3550</v>
      </c>
      <c r="F55" s="20" t="s">
        <v>26</v>
      </c>
      <c r="G55" s="53">
        <f t="shared" si="0"/>
        <v>-1.5587864904876745</v>
      </c>
      <c r="H55" s="39"/>
      <c r="I55" s="40"/>
      <c r="J55" s="40"/>
      <c r="K55" s="40"/>
      <c r="L55" s="33"/>
      <c r="M55" s="33"/>
      <c r="N55" s="34"/>
      <c r="O55" s="40"/>
      <c r="P55" s="42"/>
      <c r="Q55" s="40"/>
    </row>
    <row r="56" spans="1:18" ht="14.4" x14ac:dyDescent="0.25">
      <c r="A56" s="6">
        <v>672</v>
      </c>
      <c r="B56" s="6">
        <v>4676</v>
      </c>
      <c r="C56" s="19">
        <v>40786</v>
      </c>
      <c r="D56" s="6" t="s">
        <v>17</v>
      </c>
      <c r="E56" s="6">
        <f>IF((ISBLANK($B$1)),"",Sheet1!Q60)</f>
        <v>4900</v>
      </c>
      <c r="F56" s="20" t="s">
        <v>27</v>
      </c>
      <c r="G56" s="53">
        <f t="shared" si="0"/>
        <v>0.30550177767020903</v>
      </c>
      <c r="H56" s="39"/>
      <c r="I56" s="40"/>
      <c r="J56" s="40"/>
      <c r="K56" s="40"/>
      <c r="L56" s="33"/>
      <c r="M56" s="33"/>
      <c r="N56" s="34"/>
      <c r="O56" s="40"/>
      <c r="P56" s="42"/>
      <c r="Q56" s="40"/>
    </row>
    <row r="57" spans="1:18" ht="14.4" x14ac:dyDescent="0.25">
      <c r="A57" s="6">
        <v>734</v>
      </c>
      <c r="B57" s="6">
        <v>5284</v>
      </c>
      <c r="C57" s="19">
        <v>40732</v>
      </c>
      <c r="D57" s="6" t="s">
        <v>28</v>
      </c>
      <c r="E57" s="6">
        <f>IF((ISBLANK($B$1)),"",Sheet1!Q61)</f>
        <v>3750</v>
      </c>
      <c r="F57" s="20" t="s">
        <v>26</v>
      </c>
      <c r="G57" s="53">
        <f t="shared" si="0"/>
        <v>-1.282595635945766</v>
      </c>
      <c r="H57" s="39"/>
      <c r="I57" s="40"/>
      <c r="L57" s="33"/>
      <c r="M57" s="33"/>
      <c r="N57" s="40"/>
      <c r="O57" s="40"/>
      <c r="P57" s="42"/>
      <c r="Q57" s="40"/>
    </row>
    <row r="58" spans="1:18" ht="14.4" x14ac:dyDescent="0.25">
      <c r="A58" s="6">
        <v>735</v>
      </c>
      <c r="B58" s="6">
        <v>5316</v>
      </c>
      <c r="C58" s="19">
        <v>39843</v>
      </c>
      <c r="D58" s="6" t="s">
        <v>30</v>
      </c>
      <c r="E58" s="6">
        <f>IF((ISBLANK($B$1)),"",Sheet1!Q62)</f>
        <v>5500</v>
      </c>
      <c r="F58" s="20" t="s">
        <v>27</v>
      </c>
      <c r="G58" s="53">
        <f t="shared" si="0"/>
        <v>1.1340743412959351</v>
      </c>
      <c r="H58" s="39"/>
      <c r="I58" s="40"/>
      <c r="L58" s="33"/>
      <c r="M58" s="33"/>
      <c r="N58" s="40"/>
      <c r="O58" s="40"/>
      <c r="P58" s="42"/>
      <c r="Q58" s="40"/>
    </row>
    <row r="59" spans="1:18" ht="14.4" x14ac:dyDescent="0.25">
      <c r="A59" s="6">
        <v>755</v>
      </c>
      <c r="B59" s="6">
        <v>5409</v>
      </c>
      <c r="C59" s="19">
        <v>40916</v>
      </c>
      <c r="D59" s="6" t="s">
        <v>25</v>
      </c>
      <c r="E59" s="6">
        <f>IF((ISBLANK($B$1)),"",Sheet1!Q63)</f>
        <v>3950</v>
      </c>
      <c r="F59" s="20" t="s">
        <v>26</v>
      </c>
      <c r="G59" s="53">
        <f t="shared" si="0"/>
        <v>-1.0064047814038573</v>
      </c>
      <c r="H59" s="39"/>
      <c r="I59" s="40"/>
      <c r="L59" s="33"/>
      <c r="M59" s="33"/>
      <c r="N59" s="40"/>
      <c r="O59" s="40"/>
      <c r="P59" s="42"/>
      <c r="Q59" s="40"/>
    </row>
    <row r="60" spans="1:18" ht="14.4" x14ac:dyDescent="0.25">
      <c r="A60" s="6">
        <v>769</v>
      </c>
      <c r="B60" s="6">
        <v>5506</v>
      </c>
      <c r="C60" s="19">
        <v>40489</v>
      </c>
      <c r="D60" s="6" t="s">
        <v>30</v>
      </c>
      <c r="E60" s="6">
        <f>IF((ISBLANK($B$1)),"",Sheet1!Q64)</f>
        <v>4500</v>
      </c>
      <c r="F60" s="20" t="s">
        <v>26</v>
      </c>
      <c r="G60" s="53">
        <f t="shared" si="0"/>
        <v>-0.24687993141360834</v>
      </c>
      <c r="H60" s="39"/>
      <c r="I60" s="40"/>
      <c r="L60" s="33"/>
      <c r="M60" s="33"/>
      <c r="P60" s="6"/>
    </row>
    <row r="61" spans="1:18" ht="14.4" x14ac:dyDescent="0.25">
      <c r="A61" s="6">
        <v>782</v>
      </c>
      <c r="B61" s="6">
        <v>5569</v>
      </c>
      <c r="C61" s="19">
        <v>40297</v>
      </c>
      <c r="D61" s="6" t="s">
        <v>28</v>
      </c>
      <c r="E61" s="6">
        <f>IF((ISBLANK($B$1)),"",Sheet1!Q65)</f>
        <v>4000</v>
      </c>
      <c r="F61" s="20" t="s">
        <v>29</v>
      </c>
      <c r="G61" s="53">
        <f t="shared" si="0"/>
        <v>-0.93735706776838001</v>
      </c>
      <c r="H61" s="39"/>
      <c r="I61" s="40"/>
      <c r="L61" s="33"/>
      <c r="M61" s="33"/>
      <c r="P61" s="6"/>
    </row>
    <row r="62" spans="1:18" ht="14.4" x14ac:dyDescent="0.25">
      <c r="A62" s="6">
        <v>786</v>
      </c>
      <c r="B62" s="6">
        <v>5607</v>
      </c>
      <c r="C62" s="19">
        <v>40908</v>
      </c>
      <c r="D62" s="6" t="s">
        <v>28</v>
      </c>
      <c r="E62" s="6">
        <f>IF((ISBLANK($B$1)),"",Sheet1!Q66)</f>
        <v>3800</v>
      </c>
      <c r="F62" s="20" t="s">
        <v>27</v>
      </c>
      <c r="G62" s="53">
        <f t="shared" si="0"/>
        <v>-1.2135479223102887</v>
      </c>
      <c r="H62" s="35"/>
      <c r="L62" s="33"/>
      <c r="M62" s="33"/>
      <c r="P62" s="6"/>
    </row>
    <row r="63" spans="1:18" ht="14.4" x14ac:dyDescent="0.25">
      <c r="A63" s="6">
        <v>817</v>
      </c>
      <c r="B63" s="6">
        <v>5894</v>
      </c>
      <c r="C63" s="19">
        <v>40037</v>
      </c>
      <c r="D63" s="6" t="s">
        <v>17</v>
      </c>
      <c r="E63" s="6">
        <f>IF((ISBLANK($B$1)),"",Sheet1!Q67)</f>
        <v>3750</v>
      </c>
      <c r="F63" s="20" t="s">
        <v>26</v>
      </c>
      <c r="G63" s="53">
        <f t="shared" si="0"/>
        <v>-1.282595635945766</v>
      </c>
      <c r="H63" s="35"/>
      <c r="L63" s="33"/>
      <c r="M63" s="33"/>
      <c r="P63" s="6"/>
    </row>
    <row r="64" spans="1:18" ht="14.4" x14ac:dyDescent="0.25">
      <c r="A64" s="6">
        <v>818</v>
      </c>
      <c r="B64" s="6">
        <v>5894</v>
      </c>
      <c r="C64" s="19">
        <v>40037</v>
      </c>
      <c r="D64" s="6" t="s">
        <v>17</v>
      </c>
      <c r="E64" s="6">
        <f>IF((ISBLANK($B$1)),"",Sheet1!Q68)</f>
        <v>3550</v>
      </c>
      <c r="F64" s="20" t="s">
        <v>26</v>
      </c>
      <c r="G64" s="53">
        <f t="shared" si="0"/>
        <v>-1.5587864904876745</v>
      </c>
      <c r="H64" s="35"/>
      <c r="J64" s="31"/>
      <c r="L64" s="33"/>
      <c r="M64" s="33"/>
      <c r="P64" s="6"/>
    </row>
    <row r="65" spans="1:16" ht="14.4" x14ac:dyDescent="0.25">
      <c r="A65" s="6">
        <v>821</v>
      </c>
      <c r="B65" s="6">
        <v>5925</v>
      </c>
      <c r="C65" s="19">
        <v>40859</v>
      </c>
      <c r="D65" s="6" t="s">
        <v>25</v>
      </c>
      <c r="E65" s="6">
        <f>IF((ISBLANK($B$1)),"",Sheet1!Q69)</f>
        <v>5600</v>
      </c>
      <c r="F65" s="20" t="s">
        <v>29</v>
      </c>
      <c r="G65" s="53">
        <f t="shared" si="0"/>
        <v>1.2721697685668893</v>
      </c>
      <c r="H65" s="35"/>
      <c r="L65" s="33"/>
      <c r="M65" s="33"/>
      <c r="P65" s="6"/>
    </row>
    <row r="66" spans="1:16" ht="14.4" x14ac:dyDescent="0.25">
      <c r="A66" s="6">
        <v>822</v>
      </c>
      <c r="B66" s="6">
        <v>5925</v>
      </c>
      <c r="C66" s="19">
        <v>40859</v>
      </c>
      <c r="D66" s="6" t="s">
        <v>25</v>
      </c>
      <c r="E66" s="6">
        <f>IF((ISBLANK($B$1)),"",Sheet1!Q70)</f>
        <v>4650</v>
      </c>
      <c r="F66" s="20" t="s">
        <v>27</v>
      </c>
      <c r="G66" s="53">
        <f t="shared" si="0"/>
        <v>-3.9736790507176829E-2</v>
      </c>
      <c r="H66" s="35"/>
      <c r="L66" s="33"/>
      <c r="M66" s="33"/>
      <c r="P66" s="6"/>
    </row>
    <row r="67" spans="1:16" ht="14.4" x14ac:dyDescent="0.25">
      <c r="A67" s="6">
        <v>839</v>
      </c>
      <c r="B67" s="6">
        <v>6016</v>
      </c>
      <c r="C67" s="19">
        <v>40928</v>
      </c>
      <c r="D67" s="6" t="s">
        <v>17</v>
      </c>
      <c r="E67" s="6">
        <f>IF((ISBLANK($B$1)),"",Sheet1!Q71)</f>
        <v>4350</v>
      </c>
      <c r="F67" s="20" t="s">
        <v>26</v>
      </c>
      <c r="G67" s="53">
        <f t="shared" si="0"/>
        <v>-0.45402307232003986</v>
      </c>
      <c r="H67" s="35"/>
      <c r="L67" s="33"/>
      <c r="M67" s="33"/>
      <c r="P67" s="6"/>
    </row>
    <row r="68" spans="1:16" ht="14.4" x14ac:dyDescent="0.25">
      <c r="A68" s="6">
        <v>853</v>
      </c>
      <c r="B68" s="6">
        <v>6116</v>
      </c>
      <c r="C68" s="19">
        <v>39892</v>
      </c>
      <c r="D68" s="6" t="s">
        <v>16</v>
      </c>
      <c r="E68" s="6">
        <f>IF((ISBLANK($B$1)),"",Sheet1!Q72)</f>
        <v>3700</v>
      </c>
      <c r="F68" s="20" t="s">
        <v>26</v>
      </c>
      <c r="G68" s="53">
        <f t="shared" si="0"/>
        <v>-1.351643349581243</v>
      </c>
      <c r="H68" s="35"/>
      <c r="L68" s="33"/>
      <c r="M68" s="33"/>
      <c r="P68" s="6"/>
    </row>
    <row r="69" spans="1:16" ht="14.4" x14ac:dyDescent="0.25">
      <c r="A69" s="6">
        <v>863</v>
      </c>
      <c r="B69" s="6">
        <v>6182</v>
      </c>
      <c r="C69" s="19">
        <v>41111</v>
      </c>
      <c r="D69" s="6" t="s">
        <v>25</v>
      </c>
      <c r="E69" s="6">
        <f>IF((ISBLANK($B$1)),"",Sheet1!Q73)</f>
        <v>5400</v>
      </c>
      <c r="F69" s="20" t="s">
        <v>26</v>
      </c>
      <c r="G69" s="53">
        <f t="shared" si="0"/>
        <v>0.99597891402498073</v>
      </c>
      <c r="H69" s="35"/>
      <c r="L69" s="33"/>
      <c r="M69" s="33"/>
      <c r="P69" s="6"/>
    </row>
    <row r="70" spans="1:16" ht="14.4" x14ac:dyDescent="0.25">
      <c r="A70" s="6">
        <v>864</v>
      </c>
      <c r="B70" s="6">
        <v>6182</v>
      </c>
      <c r="C70" s="19">
        <v>41111</v>
      </c>
      <c r="D70" s="6" t="s">
        <v>25</v>
      </c>
      <c r="E70" s="6">
        <f>IF((ISBLANK($B$1)),"",Sheet1!Q74)</f>
        <v>4300</v>
      </c>
      <c r="F70" s="20" t="s">
        <v>26</v>
      </c>
      <c r="G70" s="53">
        <f t="shared" si="0"/>
        <v>-0.52307078595551704</v>
      </c>
      <c r="H70" s="35"/>
      <c r="L70" s="33"/>
      <c r="M70" s="33"/>
      <c r="P70" s="6"/>
    </row>
    <row r="71" spans="1:16" ht="14.4" x14ac:dyDescent="0.25">
      <c r="A71" s="6">
        <v>911</v>
      </c>
      <c r="B71" s="6">
        <v>6535</v>
      </c>
      <c r="C71" s="19">
        <v>41072</v>
      </c>
      <c r="D71" s="6" t="s">
        <v>30</v>
      </c>
      <c r="E71" s="6">
        <f>IF((ISBLANK($B$1)),"",Sheet1!Q75)</f>
        <v>3950</v>
      </c>
      <c r="F71" s="20" t="s">
        <v>26</v>
      </c>
      <c r="G71" s="53">
        <f t="shared" si="0"/>
        <v>-1.0064047814038573</v>
      </c>
      <c r="H71" s="35"/>
      <c r="L71" s="33"/>
      <c r="M71" s="33"/>
      <c r="P71" s="6"/>
    </row>
    <row r="72" spans="1:16" ht="14.4" x14ac:dyDescent="0.25">
      <c r="A72" s="6">
        <v>950</v>
      </c>
      <c r="B72" s="6">
        <v>6884</v>
      </c>
      <c r="C72" s="19">
        <v>39828</v>
      </c>
      <c r="D72" s="6" t="s">
        <v>25</v>
      </c>
      <c r="E72" s="6">
        <f>IF((ISBLANK($B$1)),"",Sheet1!Q76)</f>
        <v>5450</v>
      </c>
      <c r="F72" s="20" t="s">
        <v>26</v>
      </c>
      <c r="G72" s="53">
        <f t="shared" ref="G72:G135" si="2">STANDARDIZE(E72,$L$26,$L$35)</f>
        <v>1.0650266276604579</v>
      </c>
      <c r="H72" s="35"/>
      <c r="L72" s="33"/>
      <c r="M72" s="33"/>
      <c r="P72" s="6"/>
    </row>
    <row r="73" spans="1:16" ht="14.4" x14ac:dyDescent="0.25">
      <c r="A73" s="6">
        <v>951</v>
      </c>
      <c r="B73" s="6">
        <v>6884</v>
      </c>
      <c r="C73" s="19">
        <v>39828</v>
      </c>
      <c r="D73" s="6" t="s">
        <v>25</v>
      </c>
      <c r="E73" s="6">
        <f>IF((ISBLANK($B$1)),"",Sheet1!Q77)</f>
        <v>5750</v>
      </c>
      <c r="F73" s="20" t="s">
        <v>26</v>
      </c>
      <c r="G73" s="53">
        <f t="shared" si="2"/>
        <v>1.4793129094733208</v>
      </c>
      <c r="H73" s="35"/>
      <c r="L73" s="33"/>
      <c r="M73" s="33"/>
      <c r="P73" s="6"/>
    </row>
    <row r="74" spans="1:16" ht="14.4" x14ac:dyDescent="0.25">
      <c r="A74" s="6">
        <v>956</v>
      </c>
      <c r="B74" s="6">
        <v>6916</v>
      </c>
      <c r="C74" s="19">
        <v>40333</v>
      </c>
      <c r="D74" s="6" t="s">
        <v>25</v>
      </c>
      <c r="E74" s="6">
        <f>IF((ISBLANK($B$1)),"",Sheet1!Q78)</f>
        <v>5400</v>
      </c>
      <c r="F74" s="20" t="s">
        <v>26</v>
      </c>
      <c r="G74" s="53">
        <f t="shared" si="2"/>
        <v>0.99597891402498073</v>
      </c>
      <c r="H74" s="35"/>
      <c r="L74" s="33"/>
      <c r="M74" s="33"/>
      <c r="P74" s="6"/>
    </row>
    <row r="75" spans="1:16" ht="14.4" x14ac:dyDescent="0.25">
      <c r="A75" s="6">
        <v>963</v>
      </c>
      <c r="B75" s="6">
        <v>6980</v>
      </c>
      <c r="C75" s="19">
        <v>40227</v>
      </c>
      <c r="D75" s="6" t="s">
        <v>28</v>
      </c>
      <c r="E75" s="6">
        <f>IF((ISBLANK($B$1)),"",Sheet1!Q79)</f>
        <v>4300</v>
      </c>
      <c r="F75" s="20" t="s">
        <v>26</v>
      </c>
      <c r="G75" s="53">
        <f t="shared" si="2"/>
        <v>-0.52307078595551704</v>
      </c>
      <c r="H75" s="35"/>
      <c r="L75" s="33"/>
      <c r="M75" s="33"/>
      <c r="N75" s="54"/>
      <c r="P75" s="6"/>
    </row>
    <row r="76" spans="1:16" ht="14.4" x14ac:dyDescent="0.25">
      <c r="A76" s="6">
        <v>964</v>
      </c>
      <c r="B76" s="6">
        <v>6982</v>
      </c>
      <c r="C76" s="19">
        <v>40863</v>
      </c>
      <c r="D76" s="6" t="s">
        <v>28</v>
      </c>
      <c r="E76" s="6">
        <f>IF((ISBLANK($B$1)),"",Sheet1!Q80)</f>
        <v>5000</v>
      </c>
      <c r="F76" s="20" t="s">
        <v>27</v>
      </c>
      <c r="G76" s="53">
        <f t="shared" si="2"/>
        <v>0.44359720494116334</v>
      </c>
      <c r="H76" s="35"/>
      <c r="L76" s="33"/>
      <c r="M76" s="33"/>
      <c r="N76" s="54"/>
      <c r="P76" s="6"/>
    </row>
    <row r="77" spans="1:16" ht="14.4" x14ac:dyDescent="0.25">
      <c r="A77" s="6">
        <v>965</v>
      </c>
      <c r="B77" s="6">
        <v>6982</v>
      </c>
      <c r="C77" s="19">
        <v>40863</v>
      </c>
      <c r="D77" s="6" t="s">
        <v>28</v>
      </c>
      <c r="E77" s="6">
        <f>IF((ISBLANK($B$1)),"",Sheet1!Q81)</f>
        <v>3650</v>
      </c>
      <c r="F77" s="20" t="s">
        <v>29</v>
      </c>
      <c r="G77" s="53">
        <f t="shared" si="2"/>
        <v>-1.4206910632167202</v>
      </c>
      <c r="H77" s="35"/>
      <c r="L77" s="33"/>
      <c r="M77" s="33"/>
      <c r="N77" s="54"/>
      <c r="P77" s="6"/>
    </row>
    <row r="78" spans="1:16" ht="14.4" x14ac:dyDescent="0.25">
      <c r="A78" s="6">
        <v>966</v>
      </c>
      <c r="B78" s="6">
        <v>6982</v>
      </c>
      <c r="C78" s="19">
        <v>40863</v>
      </c>
      <c r="D78" s="6" t="s">
        <v>28</v>
      </c>
      <c r="E78" s="6">
        <f>IF((ISBLANK($B$1)),"",Sheet1!Q82)</f>
        <v>5450</v>
      </c>
      <c r="F78" s="20" t="s">
        <v>29</v>
      </c>
      <c r="G78" s="53">
        <f t="shared" si="2"/>
        <v>1.0650266276604579</v>
      </c>
      <c r="H78" s="35"/>
      <c r="L78" s="33"/>
      <c r="M78" s="33"/>
      <c r="N78" s="54"/>
      <c r="P78" s="6"/>
    </row>
    <row r="79" spans="1:16" ht="14.4" x14ac:dyDescent="0.25">
      <c r="A79" s="6">
        <v>988</v>
      </c>
      <c r="B79" s="6">
        <v>7110</v>
      </c>
      <c r="C79" s="19">
        <v>40762</v>
      </c>
      <c r="D79" s="6" t="s">
        <v>25</v>
      </c>
      <c r="E79" s="6">
        <f>IF((ISBLANK($B$1)),"",Sheet1!Q83)</f>
        <v>4500</v>
      </c>
      <c r="F79" s="20" t="s">
        <v>29</v>
      </c>
      <c r="G79" s="53">
        <f t="shared" si="2"/>
        <v>-0.24687993141360834</v>
      </c>
      <c r="H79" s="35"/>
      <c r="L79" s="33"/>
      <c r="M79" s="33"/>
      <c r="N79" s="54"/>
      <c r="P79" s="6"/>
    </row>
    <row r="80" spans="1:16" ht="14.4" x14ac:dyDescent="0.25">
      <c r="A80" s="6">
        <v>1017</v>
      </c>
      <c r="B80" s="6">
        <v>7430</v>
      </c>
      <c r="C80" s="19">
        <v>40337</v>
      </c>
      <c r="D80" s="6" t="s">
        <v>16</v>
      </c>
      <c r="E80" s="6">
        <f>IF((ISBLANK($B$1)),"",Sheet1!Q84)</f>
        <v>5900</v>
      </c>
      <c r="F80" s="20" t="s">
        <v>26</v>
      </c>
      <c r="G80" s="53">
        <f t="shared" si="2"/>
        <v>1.6864560503797523</v>
      </c>
      <c r="H80" s="35"/>
      <c r="L80" s="33"/>
      <c r="M80" s="33"/>
      <c r="P80" s="6"/>
    </row>
    <row r="81" spans="1:16" ht="14.4" x14ac:dyDescent="0.25">
      <c r="A81" s="6">
        <v>1073</v>
      </c>
      <c r="B81" s="6">
        <v>7906</v>
      </c>
      <c r="C81" s="19">
        <v>40103</v>
      </c>
      <c r="D81" s="6" t="s">
        <v>16</v>
      </c>
      <c r="E81" s="6">
        <f>IF((ISBLANK($B$1)),"",Sheet1!Q85)</f>
        <v>5250</v>
      </c>
      <c r="F81" s="20" t="s">
        <v>26</v>
      </c>
      <c r="G81" s="53">
        <f t="shared" si="2"/>
        <v>0.78883577311854924</v>
      </c>
      <c r="H81" s="35"/>
      <c r="L81" s="33"/>
      <c r="M81" s="33"/>
      <c r="P81" s="6"/>
    </row>
    <row r="82" spans="1:16" ht="14.4" x14ac:dyDescent="0.25">
      <c r="A82" s="6">
        <v>1154</v>
      </c>
      <c r="B82" s="6">
        <v>8391</v>
      </c>
      <c r="C82" s="19">
        <v>40783</v>
      </c>
      <c r="D82" s="6" t="s">
        <v>17</v>
      </c>
      <c r="E82" s="6">
        <f>IF((ISBLANK($B$1)),"",Sheet1!Q86)</f>
        <v>3600</v>
      </c>
      <c r="F82" s="20" t="s">
        <v>29</v>
      </c>
      <c r="G82" s="53">
        <f t="shared" si="2"/>
        <v>-1.4897387768521975</v>
      </c>
      <c r="H82" s="35"/>
      <c r="L82" s="33"/>
      <c r="M82" s="33"/>
      <c r="P82" s="6"/>
    </row>
    <row r="83" spans="1:16" ht="14.4" x14ac:dyDescent="0.25">
      <c r="A83" s="6">
        <v>1156</v>
      </c>
      <c r="B83" s="6">
        <v>8419</v>
      </c>
      <c r="C83" s="19">
        <v>40815</v>
      </c>
      <c r="D83" s="6" t="s">
        <v>30</v>
      </c>
      <c r="E83" s="6">
        <f>IF((ISBLANK($B$1)),"",Sheet1!Q87)</f>
        <v>4350</v>
      </c>
      <c r="F83" s="20" t="s">
        <v>26</v>
      </c>
      <c r="G83" s="53">
        <f t="shared" si="2"/>
        <v>-0.45402307232003986</v>
      </c>
      <c r="H83" s="35"/>
      <c r="L83" s="33"/>
      <c r="M83" s="33"/>
      <c r="P83" s="6"/>
    </row>
    <row r="84" spans="1:16" ht="14.4" x14ac:dyDescent="0.25">
      <c r="A84" s="6">
        <v>1157</v>
      </c>
      <c r="B84" s="6">
        <v>8419</v>
      </c>
      <c r="C84" s="19">
        <v>40815</v>
      </c>
      <c r="D84" s="6" t="s">
        <v>30</v>
      </c>
      <c r="E84" s="6">
        <f>IF((ISBLANK($B$1)),"",Sheet1!Q88)</f>
        <v>4600</v>
      </c>
      <c r="F84" s="20" t="s">
        <v>26</v>
      </c>
      <c r="G84" s="53">
        <f t="shared" si="2"/>
        <v>-0.108784504142654</v>
      </c>
      <c r="H84" s="35"/>
      <c r="L84" s="33"/>
      <c r="M84" s="33"/>
      <c r="P84" s="6"/>
    </row>
    <row r="85" spans="1:16" ht="14.4" x14ac:dyDescent="0.25">
      <c r="A85" s="6">
        <v>1205</v>
      </c>
      <c r="B85" s="6">
        <v>8833</v>
      </c>
      <c r="C85" s="19">
        <v>41033</v>
      </c>
      <c r="D85" s="6" t="s">
        <v>25</v>
      </c>
      <c r="E85" s="6">
        <f>IF((ISBLANK($B$1)),"",Sheet1!Q89)</f>
        <v>5400</v>
      </c>
      <c r="F85" s="20" t="s">
        <v>26</v>
      </c>
      <c r="G85" s="53">
        <f t="shared" si="2"/>
        <v>0.99597891402498073</v>
      </c>
      <c r="H85" s="35"/>
      <c r="L85" s="33"/>
      <c r="M85" s="33"/>
      <c r="P85" s="6"/>
    </row>
    <row r="86" spans="1:16" ht="14.4" x14ac:dyDescent="0.25">
      <c r="A86" s="6">
        <v>1226</v>
      </c>
      <c r="B86" s="6">
        <v>8995</v>
      </c>
      <c r="C86" s="19">
        <v>40680</v>
      </c>
      <c r="D86" s="6" t="s">
        <v>17</v>
      </c>
      <c r="E86" s="6">
        <f>IF((ISBLANK($B$1)),"",Sheet1!Q90)</f>
        <v>3650</v>
      </c>
      <c r="F86" s="20" t="s">
        <v>26</v>
      </c>
      <c r="G86" s="53">
        <f t="shared" si="2"/>
        <v>-1.4206910632167202</v>
      </c>
      <c r="H86" s="35"/>
      <c r="L86" s="33"/>
      <c r="M86" s="33"/>
      <c r="P86" s="6"/>
    </row>
    <row r="87" spans="1:16" ht="14.4" x14ac:dyDescent="0.25">
      <c r="A87" s="6">
        <v>1227</v>
      </c>
      <c r="B87" s="6">
        <v>8995</v>
      </c>
      <c r="C87" s="19">
        <v>40680</v>
      </c>
      <c r="D87" s="6" t="s">
        <v>17</v>
      </c>
      <c r="E87" s="6">
        <f>IF((ISBLANK($B$1)),"",Sheet1!Q91)</f>
        <v>5450</v>
      </c>
      <c r="F87" s="20" t="s">
        <v>26</v>
      </c>
      <c r="G87" s="53">
        <f t="shared" si="2"/>
        <v>1.0650266276604579</v>
      </c>
      <c r="H87" s="35"/>
      <c r="L87" s="33"/>
      <c r="M87" s="33"/>
      <c r="P87" s="6"/>
    </row>
    <row r="88" spans="1:16" ht="14.4" x14ac:dyDescent="0.25">
      <c r="A88" s="6">
        <v>1228</v>
      </c>
      <c r="B88" s="6">
        <v>8995</v>
      </c>
      <c r="C88" s="19">
        <v>40680</v>
      </c>
      <c r="D88" s="6" t="s">
        <v>17</v>
      </c>
      <c r="E88" s="6">
        <f>IF((ISBLANK($B$1)),"",Sheet1!Q92)</f>
        <v>5150</v>
      </c>
      <c r="F88" s="20" t="s">
        <v>29</v>
      </c>
      <c r="G88" s="53">
        <f t="shared" si="2"/>
        <v>0.65074034584759488</v>
      </c>
      <c r="H88" s="35"/>
      <c r="L88" s="33"/>
      <c r="M88" s="33"/>
      <c r="P88" s="6"/>
    </row>
    <row r="89" spans="1:16" ht="14.4" x14ac:dyDescent="0.25">
      <c r="A89" s="6">
        <v>1229</v>
      </c>
      <c r="B89" s="6">
        <v>8995</v>
      </c>
      <c r="C89" s="19">
        <v>40680</v>
      </c>
      <c r="D89" s="6" t="s">
        <v>17</v>
      </c>
      <c r="E89" s="6">
        <f>IF((ISBLANK($B$1)),"",Sheet1!Q93)</f>
        <v>5500</v>
      </c>
      <c r="F89" s="20" t="s">
        <v>26</v>
      </c>
      <c r="G89" s="53">
        <f t="shared" si="2"/>
        <v>1.1340743412959351</v>
      </c>
      <c r="H89" s="35"/>
      <c r="L89" s="33"/>
      <c r="M89" s="33"/>
      <c r="P89" s="6"/>
    </row>
    <row r="90" spans="1:16" ht="14.4" x14ac:dyDescent="0.25">
      <c r="A90" s="6">
        <v>1230</v>
      </c>
      <c r="B90" s="6">
        <v>8995</v>
      </c>
      <c r="C90" s="19">
        <v>40680</v>
      </c>
      <c r="D90" s="6" t="s">
        <v>17</v>
      </c>
      <c r="E90" s="6">
        <f>IF((ISBLANK($B$1)),"",Sheet1!Q94)</f>
        <v>5700</v>
      </c>
      <c r="F90" s="20" t="s">
        <v>26</v>
      </c>
      <c r="G90" s="53">
        <f t="shared" si="2"/>
        <v>1.4102651958378438</v>
      </c>
      <c r="H90" s="35"/>
      <c r="L90" s="33"/>
      <c r="M90" s="33"/>
      <c r="P90" s="6"/>
    </row>
    <row r="91" spans="1:16" ht="14.4" x14ac:dyDescent="0.25">
      <c r="A91" s="6">
        <v>1258</v>
      </c>
      <c r="B91" s="6">
        <v>9126</v>
      </c>
      <c r="C91" s="19">
        <v>40134</v>
      </c>
      <c r="D91" s="6" t="s">
        <v>16</v>
      </c>
      <c r="E91" s="6">
        <f>IF((ISBLANK($B$1)),"",Sheet1!Q95)</f>
        <v>5750</v>
      </c>
      <c r="F91" s="20" t="s">
        <v>26</v>
      </c>
      <c r="G91" s="53">
        <f t="shared" si="2"/>
        <v>1.4793129094733208</v>
      </c>
      <c r="H91" s="35"/>
      <c r="L91" s="33"/>
      <c r="M91" s="33"/>
      <c r="P91" s="6"/>
    </row>
    <row r="92" spans="1:16" ht="14.4" x14ac:dyDescent="0.25">
      <c r="A92" s="6">
        <v>1259</v>
      </c>
      <c r="B92" s="6">
        <v>9127</v>
      </c>
      <c r="C92" s="19">
        <v>40826</v>
      </c>
      <c r="D92" s="6" t="s">
        <v>28</v>
      </c>
      <c r="E92" s="6">
        <f>IF((ISBLANK($B$1)),"",Sheet1!Q96)</f>
        <v>3750</v>
      </c>
      <c r="F92" s="20" t="s">
        <v>26</v>
      </c>
      <c r="G92" s="53">
        <f t="shared" si="2"/>
        <v>-1.282595635945766</v>
      </c>
      <c r="H92" s="35"/>
      <c r="L92" s="33"/>
      <c r="M92" s="33"/>
      <c r="P92" s="6"/>
    </row>
    <row r="93" spans="1:16" ht="14.4" x14ac:dyDescent="0.25">
      <c r="A93" s="6">
        <v>1299</v>
      </c>
      <c r="B93" s="6">
        <v>9509</v>
      </c>
      <c r="C93" s="19">
        <v>41189</v>
      </c>
      <c r="D93" s="6" t="s">
        <v>28</v>
      </c>
      <c r="E93" s="6">
        <f>IF((ISBLANK($B$1)),"",Sheet1!Q97)</f>
        <v>5200</v>
      </c>
      <c r="F93" s="20" t="s">
        <v>29</v>
      </c>
      <c r="G93" s="53">
        <f t="shared" si="2"/>
        <v>0.71978805948307201</v>
      </c>
      <c r="H93" s="35"/>
      <c r="L93" s="33"/>
      <c r="M93" s="33"/>
      <c r="P93" s="6"/>
    </row>
    <row r="94" spans="1:16" ht="14.4" x14ac:dyDescent="0.25">
      <c r="A94" s="6">
        <v>1300</v>
      </c>
      <c r="B94" s="6">
        <v>9509</v>
      </c>
      <c r="C94" s="19">
        <v>41189</v>
      </c>
      <c r="D94" s="6" t="s">
        <v>28</v>
      </c>
      <c r="E94" s="6">
        <f>IF((ISBLANK($B$1)),"",Sheet1!Q98)</f>
        <v>3650</v>
      </c>
      <c r="F94" s="20" t="s">
        <v>26</v>
      </c>
      <c r="G94" s="53">
        <f t="shared" si="2"/>
        <v>-1.4206910632167202</v>
      </c>
      <c r="H94" s="35"/>
      <c r="L94" s="33"/>
      <c r="M94" s="33"/>
      <c r="P94" s="6"/>
    </row>
    <row r="95" spans="1:16" ht="14.4" x14ac:dyDescent="0.25">
      <c r="A95" s="6">
        <v>1301</v>
      </c>
      <c r="B95" s="6">
        <v>9509</v>
      </c>
      <c r="C95" s="19">
        <v>41189</v>
      </c>
      <c r="D95" s="6" t="s">
        <v>28</v>
      </c>
      <c r="E95" s="6">
        <f>IF((ISBLANK($B$1)),"",Sheet1!Q99)</f>
        <v>5000</v>
      </c>
      <c r="F95" s="20" t="s">
        <v>26</v>
      </c>
      <c r="G95" s="53">
        <f t="shared" si="2"/>
        <v>0.44359720494116334</v>
      </c>
      <c r="H95" s="35"/>
      <c r="L95" s="33"/>
      <c r="M95" s="33"/>
      <c r="P95" s="6"/>
    </row>
    <row r="96" spans="1:16" ht="14.4" x14ac:dyDescent="0.25">
      <c r="A96" s="6">
        <v>1337</v>
      </c>
      <c r="B96" s="6">
        <v>9763</v>
      </c>
      <c r="C96" s="19">
        <v>40768</v>
      </c>
      <c r="D96" s="6" t="s">
        <v>16</v>
      </c>
      <c r="E96" s="6">
        <f>IF((ISBLANK($B$1)),"",Sheet1!Q100)</f>
        <v>5600</v>
      </c>
      <c r="F96" s="20" t="s">
        <v>26</v>
      </c>
      <c r="G96" s="53">
        <f t="shared" si="2"/>
        <v>1.2721697685668893</v>
      </c>
      <c r="H96" s="35"/>
      <c r="L96" s="33"/>
      <c r="M96" s="33"/>
      <c r="P96" s="6"/>
    </row>
    <row r="97" spans="1:16" ht="14.4" x14ac:dyDescent="0.25">
      <c r="A97" s="6">
        <v>1370</v>
      </c>
      <c r="B97" s="6">
        <v>9927</v>
      </c>
      <c r="C97" s="19">
        <v>40771</v>
      </c>
      <c r="D97" s="6" t="s">
        <v>17</v>
      </c>
      <c r="E97" s="6">
        <f>IF((ISBLANK($B$1)),"",Sheet1!Q101)</f>
        <v>5000</v>
      </c>
      <c r="F97" s="20" t="s">
        <v>29</v>
      </c>
      <c r="G97" s="53">
        <f t="shared" si="2"/>
        <v>0.44359720494116334</v>
      </c>
      <c r="H97" s="35"/>
      <c r="L97" s="33"/>
      <c r="M97" s="33"/>
      <c r="P97" s="6"/>
    </row>
    <row r="98" spans="1:16" ht="14.4" x14ac:dyDescent="0.25">
      <c r="A98" s="6">
        <v>1371</v>
      </c>
      <c r="B98" s="6">
        <v>9927</v>
      </c>
      <c r="C98" s="19">
        <v>40771</v>
      </c>
      <c r="D98" s="6" t="s">
        <v>17</v>
      </c>
      <c r="E98" s="6">
        <f>IF((ISBLANK($B$1)),"",Sheet1!Q102)</f>
        <v>5600</v>
      </c>
      <c r="F98" s="20" t="s">
        <v>29</v>
      </c>
      <c r="G98" s="53">
        <f t="shared" si="2"/>
        <v>1.2721697685668893</v>
      </c>
      <c r="H98" s="35"/>
      <c r="L98" s="33"/>
      <c r="M98" s="33"/>
      <c r="P98" s="6"/>
    </row>
    <row r="99" spans="1:16" ht="14.4" x14ac:dyDescent="0.25">
      <c r="A99" s="6">
        <v>1372</v>
      </c>
      <c r="B99" s="6">
        <v>9927</v>
      </c>
      <c r="C99" s="19">
        <v>40771</v>
      </c>
      <c r="D99" s="6" t="s">
        <v>17</v>
      </c>
      <c r="E99" s="6">
        <f>IF((ISBLANK($B$1)),"",Sheet1!Q103)</f>
        <v>5100</v>
      </c>
      <c r="F99" s="20" t="s">
        <v>27</v>
      </c>
      <c r="G99" s="53">
        <f t="shared" si="2"/>
        <v>0.58169263221211776</v>
      </c>
      <c r="H99" s="35"/>
      <c r="L99" s="33"/>
      <c r="M99" s="33"/>
      <c r="P99" s="6"/>
    </row>
    <row r="100" spans="1:16" ht="14.4" x14ac:dyDescent="0.25">
      <c r="A100" s="6">
        <v>1380</v>
      </c>
      <c r="B100" s="6">
        <v>10022</v>
      </c>
      <c r="C100" s="19">
        <v>39876</v>
      </c>
      <c r="D100" s="6" t="s">
        <v>25</v>
      </c>
      <c r="E100" s="6">
        <f>IF((ISBLANK($B$1)),"",Sheet1!Q104)</f>
        <v>3450</v>
      </c>
      <c r="F100" s="20" t="s">
        <v>26</v>
      </c>
      <c r="G100" s="53">
        <f t="shared" si="2"/>
        <v>-1.696881917758629</v>
      </c>
      <c r="H100" s="35"/>
      <c r="L100" s="33"/>
      <c r="M100" s="33"/>
      <c r="P100" s="6"/>
    </row>
    <row r="101" spans="1:16" ht="14.4" x14ac:dyDescent="0.25">
      <c r="A101" s="6">
        <v>1445</v>
      </c>
      <c r="B101" s="6">
        <v>10437</v>
      </c>
      <c r="C101" s="19">
        <v>40043</v>
      </c>
      <c r="D101" s="6" t="s">
        <v>30</v>
      </c>
      <c r="E101" s="6">
        <f>IF((ISBLANK($B$1)),"",Sheet1!Q105)</f>
        <v>5900</v>
      </c>
      <c r="F101" s="20" t="s">
        <v>26</v>
      </c>
      <c r="G101" s="53">
        <f t="shared" si="2"/>
        <v>1.6864560503797523</v>
      </c>
      <c r="H101" s="35"/>
      <c r="L101" s="33"/>
      <c r="M101" s="33"/>
      <c r="P101" s="6"/>
    </row>
    <row r="102" spans="1:16" ht="14.4" x14ac:dyDescent="0.25">
      <c r="A102" s="6">
        <v>1457</v>
      </c>
      <c r="B102" s="6">
        <v>10499</v>
      </c>
      <c r="C102" s="19">
        <v>40498</v>
      </c>
      <c r="D102" s="6" t="s">
        <v>28</v>
      </c>
      <c r="E102" s="6">
        <f>IF((ISBLANK($B$1)),"",Sheet1!Q106)</f>
        <v>4850</v>
      </c>
      <c r="F102" s="20" t="s">
        <v>29</v>
      </c>
      <c r="G102" s="53">
        <f t="shared" si="2"/>
        <v>0.23645406403473185</v>
      </c>
      <c r="H102" s="35"/>
      <c r="L102" s="33"/>
      <c r="M102" s="33"/>
      <c r="P102" s="6"/>
    </row>
    <row r="103" spans="1:16" ht="14.4" x14ac:dyDescent="0.25">
      <c r="A103" s="6">
        <v>1462</v>
      </c>
      <c r="B103" s="6">
        <v>10535</v>
      </c>
      <c r="C103" s="19">
        <v>40690</v>
      </c>
      <c r="D103" s="6" t="s">
        <v>25</v>
      </c>
      <c r="E103" s="6">
        <f>IF((ISBLANK($B$1)),"",Sheet1!Q107)</f>
        <v>4650</v>
      </c>
      <c r="F103" s="20" t="s">
        <v>29</v>
      </c>
      <c r="G103" s="53">
        <f t="shared" si="2"/>
        <v>-3.9736790507176829E-2</v>
      </c>
      <c r="H103" s="35"/>
      <c r="L103" s="33"/>
      <c r="M103" s="33"/>
      <c r="P103" s="6"/>
    </row>
    <row r="104" spans="1:16" ht="14.4" x14ac:dyDescent="0.25">
      <c r="A104" s="6">
        <v>1463</v>
      </c>
      <c r="B104" s="6">
        <v>10535</v>
      </c>
      <c r="C104" s="19">
        <v>40690</v>
      </c>
      <c r="D104" s="6" t="s">
        <v>25</v>
      </c>
      <c r="E104" s="6">
        <f>IF((ISBLANK($B$1)),"",Sheet1!Q108)</f>
        <v>5700</v>
      </c>
      <c r="F104" s="20" t="s">
        <v>26</v>
      </c>
      <c r="G104" s="53">
        <f t="shared" si="2"/>
        <v>1.4102651958378438</v>
      </c>
      <c r="H104" s="35"/>
      <c r="L104" s="33"/>
      <c r="M104" s="33"/>
      <c r="P104" s="6"/>
    </row>
    <row r="105" spans="1:16" ht="14.4" x14ac:dyDescent="0.25">
      <c r="A105" s="6">
        <v>1495</v>
      </c>
      <c r="B105" s="6">
        <v>10789</v>
      </c>
      <c r="C105" s="19">
        <v>40413</v>
      </c>
      <c r="D105" s="6" t="s">
        <v>28</v>
      </c>
      <c r="E105" s="6">
        <f>IF((ISBLANK($B$1)),"",Sheet1!Q109)</f>
        <v>4150</v>
      </c>
      <c r="F105" s="20" t="s">
        <v>26</v>
      </c>
      <c r="G105" s="53">
        <f t="shared" si="2"/>
        <v>-0.73021392686194853</v>
      </c>
      <c r="H105" s="35"/>
      <c r="L105" s="33"/>
      <c r="M105" s="33"/>
      <c r="P105" s="6"/>
    </row>
    <row r="106" spans="1:16" ht="14.4" x14ac:dyDescent="0.25">
      <c r="A106" s="6">
        <v>1496</v>
      </c>
      <c r="B106" s="6">
        <v>10791</v>
      </c>
      <c r="C106" s="19">
        <v>40774</v>
      </c>
      <c r="D106" s="6" t="s">
        <v>28</v>
      </c>
      <c r="E106" s="6">
        <f>IF((ISBLANK($B$1)),"",Sheet1!Q110)</f>
        <v>4400</v>
      </c>
      <c r="F106" s="20" t="s">
        <v>26</v>
      </c>
      <c r="G106" s="53">
        <f t="shared" si="2"/>
        <v>-0.38497535868456267</v>
      </c>
      <c r="H106" s="35"/>
      <c r="L106" s="33"/>
      <c r="M106" s="33"/>
      <c r="P106" s="6"/>
    </row>
    <row r="107" spans="1:16" ht="14.4" x14ac:dyDescent="0.25">
      <c r="A107" s="6">
        <v>1513</v>
      </c>
      <c r="B107" s="6">
        <v>10945</v>
      </c>
      <c r="C107" s="19">
        <v>40911</v>
      </c>
      <c r="D107" s="6" t="s">
        <v>16</v>
      </c>
      <c r="E107" s="6">
        <f>IF((ISBLANK($B$1)),"",Sheet1!Q111)</f>
        <v>4100</v>
      </c>
      <c r="F107" s="20" t="s">
        <v>27</v>
      </c>
      <c r="G107" s="53">
        <f t="shared" si="2"/>
        <v>-0.79926164049742576</v>
      </c>
      <c r="H107" s="35"/>
      <c r="L107" s="33"/>
      <c r="M107" s="33"/>
      <c r="P107" s="6"/>
    </row>
    <row r="108" spans="1:16" ht="14.4" x14ac:dyDescent="0.25">
      <c r="A108" s="6">
        <v>1544</v>
      </c>
      <c r="B108" s="6">
        <v>11137</v>
      </c>
      <c r="C108" s="19">
        <v>41242</v>
      </c>
      <c r="D108" s="6" t="s">
        <v>17</v>
      </c>
      <c r="E108" s="6">
        <f>IF((ISBLANK($B$1)),"",Sheet1!Q112)</f>
        <v>5800</v>
      </c>
      <c r="F108" s="20" t="s">
        <v>26</v>
      </c>
      <c r="G108" s="53">
        <f t="shared" si="2"/>
        <v>1.5483606231087981</v>
      </c>
      <c r="H108" s="35"/>
      <c r="L108" s="33"/>
      <c r="M108" s="33"/>
      <c r="P108" s="6"/>
    </row>
    <row r="109" spans="1:16" ht="14.4" x14ac:dyDescent="0.25">
      <c r="A109" s="6">
        <v>1551</v>
      </c>
      <c r="B109" s="6">
        <v>11202</v>
      </c>
      <c r="C109" s="19">
        <v>40985</v>
      </c>
      <c r="D109" s="6" t="s">
        <v>16</v>
      </c>
      <c r="E109" s="6">
        <f>IF((ISBLANK($B$1)),"",Sheet1!Q113)</f>
        <v>3800</v>
      </c>
      <c r="F109" s="20" t="s">
        <v>26</v>
      </c>
      <c r="G109" s="53">
        <f t="shared" si="2"/>
        <v>-1.2135479223102887</v>
      </c>
      <c r="H109" s="35"/>
      <c r="L109" s="33"/>
      <c r="M109" s="33"/>
      <c r="P109" s="6"/>
    </row>
    <row r="110" spans="1:16" ht="14.4" x14ac:dyDescent="0.25">
      <c r="A110" s="6">
        <v>1589</v>
      </c>
      <c r="B110" s="6">
        <v>11456</v>
      </c>
      <c r="C110" s="19">
        <v>40280</v>
      </c>
      <c r="D110" s="6" t="s">
        <v>25</v>
      </c>
      <c r="E110" s="6">
        <f>IF((ISBLANK($B$1)),"",Sheet1!Q114)</f>
        <v>4150</v>
      </c>
      <c r="F110" s="20" t="s">
        <v>29</v>
      </c>
      <c r="G110" s="53">
        <f t="shared" si="2"/>
        <v>-0.73021392686194853</v>
      </c>
      <c r="H110" s="35"/>
      <c r="L110" s="33"/>
      <c r="M110" s="33"/>
      <c r="P110" s="6"/>
    </row>
    <row r="111" spans="1:16" ht="14.4" x14ac:dyDescent="0.25">
      <c r="A111" s="6">
        <v>1590</v>
      </c>
      <c r="B111" s="6">
        <v>11460</v>
      </c>
      <c r="C111" s="19">
        <v>40414</v>
      </c>
      <c r="D111" s="6" t="s">
        <v>17</v>
      </c>
      <c r="E111" s="6">
        <f>IF((ISBLANK($B$1)),"",Sheet1!Q115)</f>
        <v>4900</v>
      </c>
      <c r="F111" s="20" t="s">
        <v>26</v>
      </c>
      <c r="G111" s="53">
        <f t="shared" si="2"/>
        <v>0.30550177767020903</v>
      </c>
      <c r="H111" s="35"/>
      <c r="L111" s="33"/>
      <c r="M111" s="33"/>
      <c r="P111" s="6"/>
    </row>
    <row r="112" spans="1:16" ht="14.4" x14ac:dyDescent="0.25">
      <c r="A112" s="6">
        <v>1594</v>
      </c>
      <c r="B112" s="6">
        <v>11495</v>
      </c>
      <c r="C112" s="19">
        <v>40728</v>
      </c>
      <c r="D112" s="6" t="s">
        <v>17</v>
      </c>
      <c r="E112" s="6">
        <f>IF((ISBLANK($B$1)),"",Sheet1!Q116)</f>
        <v>3700</v>
      </c>
      <c r="F112" s="20" t="s">
        <v>29</v>
      </c>
      <c r="G112" s="53">
        <f t="shared" si="2"/>
        <v>-1.351643349581243</v>
      </c>
      <c r="H112" s="35"/>
      <c r="L112" s="33"/>
      <c r="M112" s="33"/>
      <c r="P112" s="6"/>
    </row>
    <row r="113" spans="1:16" ht="14.4" x14ac:dyDescent="0.25">
      <c r="A113" s="6">
        <v>1654</v>
      </c>
      <c r="B113" s="6">
        <v>11911</v>
      </c>
      <c r="C113" s="19">
        <v>40492</v>
      </c>
      <c r="D113" s="6" t="s">
        <v>30</v>
      </c>
      <c r="E113" s="6">
        <f>IF((ISBLANK($B$1)),"",Sheet1!Q117)</f>
        <v>4650</v>
      </c>
      <c r="F113" s="20" t="s">
        <v>26</v>
      </c>
      <c r="G113" s="53">
        <f t="shared" si="2"/>
        <v>-3.9736790507176829E-2</v>
      </c>
      <c r="H113" s="35"/>
      <c r="L113" s="33"/>
      <c r="M113" s="33"/>
      <c r="P113" s="6"/>
    </row>
    <row r="114" spans="1:16" ht="14.4" x14ac:dyDescent="0.25">
      <c r="A114" s="6">
        <v>1655</v>
      </c>
      <c r="B114" s="6">
        <v>11941</v>
      </c>
      <c r="C114" s="19">
        <v>40353</v>
      </c>
      <c r="D114" s="6" t="s">
        <v>30</v>
      </c>
      <c r="E114" s="6">
        <f>IF((ISBLANK($B$1)),"",Sheet1!Q118)</f>
        <v>3600</v>
      </c>
      <c r="F114" s="20" t="s">
        <v>26</v>
      </c>
      <c r="G114" s="53">
        <f t="shared" si="2"/>
        <v>-1.4897387768521975</v>
      </c>
      <c r="H114" s="35"/>
      <c r="L114" s="33"/>
      <c r="M114" s="33"/>
      <c r="P114" s="6"/>
    </row>
    <row r="115" spans="1:16" ht="14.4" x14ac:dyDescent="0.25">
      <c r="A115" s="6">
        <v>1656</v>
      </c>
      <c r="B115" s="6">
        <v>11941</v>
      </c>
      <c r="C115" s="19">
        <v>40353</v>
      </c>
      <c r="D115" s="6" t="s">
        <v>30</v>
      </c>
      <c r="E115" s="6">
        <f>IF((ISBLANK($B$1)),"",Sheet1!Q119)</f>
        <v>4700</v>
      </c>
      <c r="F115" s="20" t="s">
        <v>29</v>
      </c>
      <c r="G115" s="53">
        <f t="shared" si="2"/>
        <v>2.9310923128300338E-2</v>
      </c>
      <c r="H115" s="35"/>
      <c r="L115" s="33"/>
      <c r="M115" s="33"/>
      <c r="P115" s="6"/>
    </row>
    <row r="116" spans="1:16" ht="14.4" x14ac:dyDescent="0.25">
      <c r="A116" s="6">
        <v>1675</v>
      </c>
      <c r="B116" s="6">
        <v>12096</v>
      </c>
      <c r="C116" s="19">
        <v>41171</v>
      </c>
      <c r="D116" s="6" t="s">
        <v>16</v>
      </c>
      <c r="E116" s="6">
        <f>IF((ISBLANK($B$1)),"",Sheet1!Q120)</f>
        <v>5700</v>
      </c>
      <c r="F116" s="20" t="s">
        <v>27</v>
      </c>
      <c r="G116" s="53">
        <f t="shared" si="2"/>
        <v>1.4102651958378438</v>
      </c>
      <c r="H116" s="35"/>
      <c r="L116" s="33"/>
      <c r="M116" s="33"/>
      <c r="P116" s="6"/>
    </row>
    <row r="117" spans="1:16" ht="14.4" x14ac:dyDescent="0.25">
      <c r="A117" s="6">
        <v>1676</v>
      </c>
      <c r="B117" s="6">
        <v>12096</v>
      </c>
      <c r="C117" s="19">
        <v>41171</v>
      </c>
      <c r="D117" s="6" t="s">
        <v>16</v>
      </c>
      <c r="E117" s="6">
        <f>IF((ISBLANK($B$1)),"",Sheet1!Q121)</f>
        <v>4550</v>
      </c>
      <c r="F117" s="20" t="s">
        <v>29</v>
      </c>
      <c r="G117" s="53">
        <f t="shared" si="2"/>
        <v>-0.17783221777813119</v>
      </c>
      <c r="H117" s="35"/>
      <c r="L117" s="33"/>
      <c r="M117" s="33"/>
      <c r="P117" s="6"/>
    </row>
    <row r="118" spans="1:16" ht="14.4" x14ac:dyDescent="0.25">
      <c r="A118" s="6">
        <v>1710</v>
      </c>
      <c r="B118" s="6">
        <v>12289</v>
      </c>
      <c r="C118" s="19">
        <v>40901</v>
      </c>
      <c r="D118" s="6" t="s">
        <v>25</v>
      </c>
      <c r="E118" s="6">
        <f>IF((ISBLANK($B$1)),"",Sheet1!Q122)</f>
        <v>4650</v>
      </c>
      <c r="F118" s="20" t="s">
        <v>27</v>
      </c>
      <c r="G118" s="53">
        <f t="shared" si="2"/>
        <v>-3.9736790507176829E-2</v>
      </c>
      <c r="H118" s="35"/>
      <c r="L118" s="33"/>
      <c r="M118" s="33"/>
      <c r="P118" s="6"/>
    </row>
    <row r="119" spans="1:16" ht="14.4" x14ac:dyDescent="0.25">
      <c r="A119" s="6">
        <v>1718</v>
      </c>
      <c r="B119" s="6">
        <v>12352</v>
      </c>
      <c r="C119" s="19">
        <v>40991</v>
      </c>
      <c r="D119" s="6" t="s">
        <v>16</v>
      </c>
      <c r="E119" s="6">
        <f>IF((ISBLANK($B$1)),"",Sheet1!Q123)</f>
        <v>3650</v>
      </c>
      <c r="F119" s="20" t="s">
        <v>26</v>
      </c>
      <c r="G119" s="53">
        <f t="shared" si="2"/>
        <v>-1.4206910632167202</v>
      </c>
      <c r="H119" s="35"/>
      <c r="L119" s="33"/>
      <c r="M119" s="33"/>
      <c r="P119" s="6"/>
    </row>
    <row r="120" spans="1:16" ht="14.4" x14ac:dyDescent="0.25">
      <c r="A120" s="6">
        <v>1727</v>
      </c>
      <c r="B120" s="6">
        <v>12419</v>
      </c>
      <c r="C120" s="19">
        <v>40831</v>
      </c>
      <c r="D120" s="6" t="s">
        <v>30</v>
      </c>
      <c r="E120" s="6">
        <f>IF((ISBLANK($B$1)),"",Sheet1!Q124)</f>
        <v>4000</v>
      </c>
      <c r="F120" s="20" t="s">
        <v>27</v>
      </c>
      <c r="G120" s="53">
        <f t="shared" si="2"/>
        <v>-0.93735706776838001</v>
      </c>
      <c r="H120" s="35"/>
      <c r="L120" s="33"/>
      <c r="M120" s="33"/>
      <c r="P120" s="6"/>
    </row>
    <row r="121" spans="1:16" ht="14.4" x14ac:dyDescent="0.25">
      <c r="A121" s="6">
        <v>1745</v>
      </c>
      <c r="B121" s="6">
        <v>12485</v>
      </c>
      <c r="C121" s="19">
        <v>40397</v>
      </c>
      <c r="D121" s="6" t="s">
        <v>30</v>
      </c>
      <c r="E121" s="6">
        <f>IF((ISBLANK($B$1)),"",Sheet1!Q125)</f>
        <v>4600</v>
      </c>
      <c r="F121" s="20" t="s">
        <v>29</v>
      </c>
      <c r="G121" s="53">
        <f t="shared" si="2"/>
        <v>-0.108784504142654</v>
      </c>
      <c r="H121" s="35"/>
      <c r="L121" s="33"/>
      <c r="M121" s="33"/>
      <c r="P121" s="6"/>
    </row>
    <row r="122" spans="1:16" ht="14.4" x14ac:dyDescent="0.25">
      <c r="A122" s="6">
        <v>1751</v>
      </c>
      <c r="B122" s="6">
        <v>12544</v>
      </c>
      <c r="C122" s="19">
        <v>39875</v>
      </c>
      <c r="D122" s="6" t="s">
        <v>25</v>
      </c>
      <c r="E122" s="6">
        <f>IF((ISBLANK($B$1)),"",Sheet1!Q126)</f>
        <v>5100</v>
      </c>
      <c r="F122" s="20" t="s">
        <v>29</v>
      </c>
      <c r="G122" s="53">
        <f t="shared" si="2"/>
        <v>0.58169263221211776</v>
      </c>
      <c r="H122" s="35"/>
      <c r="L122" s="33"/>
      <c r="M122" s="33"/>
      <c r="P122" s="6"/>
    </row>
    <row r="123" spans="1:16" ht="14.4" x14ac:dyDescent="0.25">
      <c r="A123" s="6">
        <v>1770</v>
      </c>
      <c r="B123" s="6">
        <v>12704</v>
      </c>
      <c r="C123" s="19">
        <v>40218</v>
      </c>
      <c r="D123" s="6" t="s">
        <v>25</v>
      </c>
      <c r="E123" s="6">
        <f>IF((ISBLANK($B$1)),"",Sheet1!Q127)</f>
        <v>5600</v>
      </c>
      <c r="F123" s="20" t="s">
        <v>27</v>
      </c>
      <c r="G123" s="53">
        <f t="shared" si="2"/>
        <v>1.2721697685668893</v>
      </c>
      <c r="H123" s="35"/>
      <c r="L123" s="33"/>
      <c r="M123" s="33"/>
      <c r="P123" s="6"/>
    </row>
    <row r="124" spans="1:16" ht="14.4" x14ac:dyDescent="0.25">
      <c r="A124" s="6">
        <v>1771</v>
      </c>
      <c r="B124" s="6">
        <v>12704</v>
      </c>
      <c r="C124" s="19">
        <v>40218</v>
      </c>
      <c r="D124" s="6" t="s">
        <v>25</v>
      </c>
      <c r="E124" s="6">
        <f>IF((ISBLANK($B$1)),"",Sheet1!Q128)</f>
        <v>4800</v>
      </c>
      <c r="F124" s="20" t="s">
        <v>26</v>
      </c>
      <c r="G124" s="53">
        <f t="shared" si="2"/>
        <v>0.16740635039925467</v>
      </c>
      <c r="H124" s="35"/>
      <c r="L124" s="33"/>
      <c r="M124" s="33"/>
      <c r="P124" s="6"/>
    </row>
    <row r="125" spans="1:16" ht="14.4" x14ac:dyDescent="0.25">
      <c r="A125" s="6">
        <v>1781</v>
      </c>
      <c r="B125" s="6">
        <v>12771</v>
      </c>
      <c r="C125" s="19">
        <v>39830</v>
      </c>
      <c r="D125" s="6" t="s">
        <v>30</v>
      </c>
      <c r="E125" s="6">
        <f>IF((ISBLANK($B$1)),"",Sheet1!Q129)</f>
        <v>5400</v>
      </c>
      <c r="F125" s="20" t="s">
        <v>26</v>
      </c>
      <c r="G125" s="53">
        <f t="shared" si="2"/>
        <v>0.99597891402498073</v>
      </c>
      <c r="H125" s="35"/>
      <c r="L125" s="33"/>
      <c r="M125" s="33"/>
      <c r="P125" s="6"/>
    </row>
    <row r="126" spans="1:16" ht="15.15" thickBot="1" x14ac:dyDescent="0.3">
      <c r="A126" s="6">
        <v>1782</v>
      </c>
      <c r="B126" s="6">
        <v>12771</v>
      </c>
      <c r="C126" s="19">
        <v>39830</v>
      </c>
      <c r="D126" s="6" t="s">
        <v>30</v>
      </c>
      <c r="E126" s="6">
        <f>IF((ISBLANK($B$1)),"",Sheet1!Q130)</f>
        <v>5700</v>
      </c>
      <c r="F126" s="20" t="s">
        <v>26</v>
      </c>
      <c r="G126" s="53">
        <f t="shared" si="2"/>
        <v>1.4102651958378438</v>
      </c>
      <c r="H126" s="35"/>
      <c r="L126" s="57"/>
      <c r="M126" s="57"/>
      <c r="P126" s="6"/>
    </row>
    <row r="127" spans="1:16" ht="14.4" x14ac:dyDescent="0.25">
      <c r="A127" s="6">
        <v>1806</v>
      </c>
      <c r="B127" s="6">
        <v>12929</v>
      </c>
      <c r="C127" s="19">
        <v>40420</v>
      </c>
      <c r="D127" s="6" t="s">
        <v>30</v>
      </c>
      <c r="E127" s="6">
        <f>IF((ISBLANK($B$1)),"",Sheet1!Q131)</f>
        <v>4350</v>
      </c>
      <c r="F127" s="20" t="s">
        <v>29</v>
      </c>
      <c r="G127" s="53">
        <f t="shared" si="2"/>
        <v>-0.45402307232003986</v>
      </c>
      <c r="H127" s="35"/>
      <c r="P127" s="6"/>
    </row>
    <row r="128" spans="1:16" ht="14.4" x14ac:dyDescent="0.25">
      <c r="A128" s="6">
        <v>1807</v>
      </c>
      <c r="B128" s="6">
        <v>12929</v>
      </c>
      <c r="C128" s="19">
        <v>40420</v>
      </c>
      <c r="D128" s="6" t="s">
        <v>30</v>
      </c>
      <c r="E128" s="6">
        <f>IF((ISBLANK($B$1)),"",Sheet1!Q132)</f>
        <v>4400</v>
      </c>
      <c r="F128" s="20" t="s">
        <v>26</v>
      </c>
      <c r="G128" s="53">
        <f t="shared" si="2"/>
        <v>-0.38497535868456267</v>
      </c>
      <c r="H128" s="35"/>
      <c r="P128" s="6"/>
    </row>
    <row r="129" spans="1:16" ht="14.4" x14ac:dyDescent="0.25">
      <c r="A129" s="6">
        <v>1842</v>
      </c>
      <c r="B129" s="6">
        <v>13280</v>
      </c>
      <c r="C129" s="19">
        <v>40067</v>
      </c>
      <c r="D129" s="6" t="s">
        <v>17</v>
      </c>
      <c r="E129" s="6">
        <f>IF((ISBLANK($B$1)),"",Sheet1!Q133)</f>
        <v>5400</v>
      </c>
      <c r="F129" s="20" t="s">
        <v>26</v>
      </c>
      <c r="G129" s="53">
        <f t="shared" si="2"/>
        <v>0.99597891402498073</v>
      </c>
      <c r="H129" s="35"/>
      <c r="P129" s="6"/>
    </row>
    <row r="130" spans="1:16" ht="14.4" x14ac:dyDescent="0.25">
      <c r="A130" s="6">
        <v>1843</v>
      </c>
      <c r="B130" s="6">
        <v>13280</v>
      </c>
      <c r="C130" s="19">
        <v>40067</v>
      </c>
      <c r="D130" s="6" t="s">
        <v>17</v>
      </c>
      <c r="E130" s="6">
        <f>IF((ISBLANK($B$1)),"",Sheet1!Q134)</f>
        <v>5850</v>
      </c>
      <c r="F130" s="20" t="s">
        <v>27</v>
      </c>
      <c r="G130" s="53">
        <f t="shared" si="2"/>
        <v>1.6174083367442753</v>
      </c>
      <c r="H130" s="35"/>
      <c r="P130" s="6"/>
    </row>
    <row r="131" spans="1:16" ht="14.4" x14ac:dyDescent="0.25">
      <c r="A131" s="6">
        <v>1848</v>
      </c>
      <c r="B131" s="6">
        <v>13313</v>
      </c>
      <c r="C131" s="19">
        <v>40010</v>
      </c>
      <c r="D131" s="6" t="s">
        <v>28</v>
      </c>
      <c r="E131" s="6">
        <f>IF((ISBLANK($B$1)),"",Sheet1!Q135)</f>
        <v>5750</v>
      </c>
      <c r="F131" s="20" t="s">
        <v>26</v>
      </c>
      <c r="G131" s="53">
        <f t="shared" si="2"/>
        <v>1.4793129094733208</v>
      </c>
      <c r="H131" s="35"/>
      <c r="P131" s="6"/>
    </row>
    <row r="132" spans="1:16" ht="14.4" x14ac:dyDescent="0.25">
      <c r="A132" s="6">
        <v>1855</v>
      </c>
      <c r="B132" s="6">
        <v>13346</v>
      </c>
      <c r="C132" s="19">
        <v>41228</v>
      </c>
      <c r="D132" s="6" t="s">
        <v>25</v>
      </c>
      <c r="E132" s="6">
        <f>IF((ISBLANK($B$1)),"",Sheet1!Q136)</f>
        <v>5600</v>
      </c>
      <c r="F132" s="20" t="s">
        <v>26</v>
      </c>
      <c r="G132" s="53">
        <f t="shared" si="2"/>
        <v>1.2721697685668893</v>
      </c>
      <c r="H132" s="35"/>
      <c r="P132" s="6"/>
    </row>
    <row r="133" spans="1:16" ht="14.4" x14ac:dyDescent="0.25">
      <c r="A133" s="6">
        <v>1913</v>
      </c>
      <c r="B133" s="6">
        <v>13702</v>
      </c>
      <c r="C133" s="19">
        <v>40796</v>
      </c>
      <c r="D133" s="6" t="s">
        <v>25</v>
      </c>
      <c r="E133" s="6">
        <f>IF((ISBLANK($B$1)),"",Sheet1!Q137)</f>
        <v>3700</v>
      </c>
      <c r="F133" s="20" t="s">
        <v>26</v>
      </c>
      <c r="G133" s="53">
        <f t="shared" si="2"/>
        <v>-1.351643349581243</v>
      </c>
      <c r="H133" s="35"/>
      <c r="P133" s="6"/>
    </row>
    <row r="134" spans="1:16" ht="14.4" x14ac:dyDescent="0.25">
      <c r="A134" s="6">
        <v>1928</v>
      </c>
      <c r="B134" s="6">
        <v>13795</v>
      </c>
      <c r="C134" s="19">
        <v>40643</v>
      </c>
      <c r="D134" s="6" t="s">
        <v>28</v>
      </c>
      <c r="E134" s="6">
        <f>IF((ISBLANK($B$1)),"",Sheet1!Q138)</f>
        <v>4900</v>
      </c>
      <c r="F134" s="20" t="s">
        <v>26</v>
      </c>
      <c r="G134" s="53">
        <f t="shared" si="2"/>
        <v>0.30550177767020903</v>
      </c>
      <c r="H134" s="35"/>
      <c r="P134" s="6"/>
    </row>
    <row r="135" spans="1:16" ht="14.4" x14ac:dyDescent="0.25">
      <c r="A135" s="6">
        <v>1929</v>
      </c>
      <c r="B135" s="6">
        <v>13795</v>
      </c>
      <c r="C135" s="19">
        <v>40643</v>
      </c>
      <c r="D135" s="6" t="s">
        <v>28</v>
      </c>
      <c r="E135" s="6">
        <f>IF((ISBLANK($B$1)),"",Sheet1!Q139)</f>
        <v>4550</v>
      </c>
      <c r="F135" s="20" t="s">
        <v>26</v>
      </c>
      <c r="G135" s="53">
        <f t="shared" si="2"/>
        <v>-0.17783221777813119</v>
      </c>
      <c r="H135" s="35"/>
      <c r="P135" s="6"/>
    </row>
    <row r="136" spans="1:16" ht="14.4" x14ac:dyDescent="0.25">
      <c r="A136" s="6">
        <v>1930</v>
      </c>
      <c r="B136" s="6">
        <v>13795</v>
      </c>
      <c r="C136" s="19">
        <v>40643</v>
      </c>
      <c r="D136" s="6" t="s">
        <v>28</v>
      </c>
      <c r="E136" s="6">
        <f>IF((ISBLANK($B$1)),"",Sheet1!Q140)</f>
        <v>5250</v>
      </c>
      <c r="F136" s="20" t="s">
        <v>26</v>
      </c>
      <c r="G136" s="53">
        <f t="shared" ref="G136:G199" si="3">STANDARDIZE(E136,$L$26,$L$35)</f>
        <v>0.78883577311854924</v>
      </c>
      <c r="H136" s="35"/>
      <c r="P136" s="6"/>
    </row>
    <row r="137" spans="1:16" ht="14.4" x14ac:dyDescent="0.25">
      <c r="A137" s="6">
        <v>1978</v>
      </c>
      <c r="B137" s="6">
        <v>14116</v>
      </c>
      <c r="C137" s="19">
        <v>40825</v>
      </c>
      <c r="D137" s="6" t="s">
        <v>17</v>
      </c>
      <c r="E137" s="6">
        <f>IF((ISBLANK($B$1)),"",Sheet1!Q141)</f>
        <v>3450</v>
      </c>
      <c r="F137" s="20" t="s">
        <v>26</v>
      </c>
      <c r="G137" s="53">
        <f t="shared" si="3"/>
        <v>-1.696881917758629</v>
      </c>
      <c r="H137" s="35"/>
      <c r="P137" s="6"/>
    </row>
    <row r="138" spans="1:16" ht="14.4" x14ac:dyDescent="0.25">
      <c r="A138" s="6">
        <v>1979</v>
      </c>
      <c r="B138" s="6">
        <v>14116</v>
      </c>
      <c r="C138" s="19">
        <v>40825</v>
      </c>
      <c r="D138" s="6" t="s">
        <v>17</v>
      </c>
      <c r="E138" s="6">
        <f>IF((ISBLANK($B$1)),"",Sheet1!Q142)</f>
        <v>5500</v>
      </c>
      <c r="F138" s="20" t="s">
        <v>26</v>
      </c>
      <c r="G138" s="53">
        <f t="shared" si="3"/>
        <v>1.1340743412959351</v>
      </c>
      <c r="H138" s="35"/>
      <c r="P138" s="6"/>
    </row>
    <row r="139" spans="1:16" ht="14.4" x14ac:dyDescent="0.25">
      <c r="A139" s="6">
        <v>2013</v>
      </c>
      <c r="B139" s="6">
        <v>14372</v>
      </c>
      <c r="C139" s="19">
        <v>41205</v>
      </c>
      <c r="D139" s="6" t="s">
        <v>30</v>
      </c>
      <c r="E139" s="6">
        <f>IF((ISBLANK($B$1)),"",Sheet1!Q143)</f>
        <v>5100</v>
      </c>
      <c r="F139" s="20" t="s">
        <v>29</v>
      </c>
      <c r="G139" s="53">
        <f t="shared" si="3"/>
        <v>0.58169263221211776</v>
      </c>
      <c r="H139" s="35"/>
      <c r="P139" s="6"/>
    </row>
    <row r="140" spans="1:16" ht="14.4" x14ac:dyDescent="0.25">
      <c r="A140" s="6">
        <v>2058</v>
      </c>
      <c r="B140" s="6">
        <v>14726</v>
      </c>
      <c r="C140" s="19">
        <v>40916</v>
      </c>
      <c r="D140" s="6" t="s">
        <v>25</v>
      </c>
      <c r="E140" s="6">
        <f>IF((ISBLANK($B$1)),"",Sheet1!Q144)</f>
        <v>4150</v>
      </c>
      <c r="F140" s="20" t="s">
        <v>27</v>
      </c>
      <c r="G140" s="53">
        <f t="shared" si="3"/>
        <v>-0.73021392686194853</v>
      </c>
      <c r="H140" s="35"/>
      <c r="P140" s="6"/>
    </row>
    <row r="141" spans="1:16" ht="14.4" x14ac:dyDescent="0.25">
      <c r="A141" s="6">
        <v>2070</v>
      </c>
      <c r="B141" s="6">
        <v>14819</v>
      </c>
      <c r="C141" s="19">
        <v>40203</v>
      </c>
      <c r="D141" s="6" t="s">
        <v>28</v>
      </c>
      <c r="E141" s="6">
        <f>IF((ISBLANK($B$1)),"",Sheet1!Q145)</f>
        <v>5800</v>
      </c>
      <c r="F141" s="20" t="s">
        <v>26</v>
      </c>
      <c r="G141" s="53">
        <f t="shared" si="3"/>
        <v>1.5483606231087981</v>
      </c>
      <c r="H141" s="35"/>
      <c r="P141" s="6"/>
    </row>
    <row r="142" spans="1:16" ht="14.4" x14ac:dyDescent="0.25">
      <c r="A142" s="6">
        <v>2071</v>
      </c>
      <c r="B142" s="6">
        <v>14819</v>
      </c>
      <c r="C142" s="19">
        <v>40203</v>
      </c>
      <c r="D142" s="6" t="s">
        <v>28</v>
      </c>
      <c r="E142" s="6">
        <f>IF((ISBLANK($B$1)),"",Sheet1!Q146)</f>
        <v>4750</v>
      </c>
      <c r="F142" s="20" t="s">
        <v>29</v>
      </c>
      <c r="G142" s="53">
        <f t="shared" si="3"/>
        <v>9.8358636763777513E-2</v>
      </c>
      <c r="H142" s="35"/>
      <c r="P142" s="6"/>
    </row>
    <row r="143" spans="1:16" ht="14.4" x14ac:dyDescent="0.25">
      <c r="A143" s="6">
        <v>2114</v>
      </c>
      <c r="B143" s="6">
        <v>15106</v>
      </c>
      <c r="C143" s="19">
        <v>40570</v>
      </c>
      <c r="D143" s="6" t="s">
        <v>28</v>
      </c>
      <c r="E143" s="6">
        <f>IF((ISBLANK($B$1)),"",Sheet1!Q147)</f>
        <v>5500</v>
      </c>
      <c r="F143" s="20" t="s">
        <v>29</v>
      </c>
      <c r="G143" s="53">
        <f t="shared" si="3"/>
        <v>1.1340743412959351</v>
      </c>
      <c r="H143" s="35"/>
      <c r="P143" s="6"/>
    </row>
    <row r="144" spans="1:16" ht="14.4" x14ac:dyDescent="0.25">
      <c r="A144" s="6">
        <v>2115</v>
      </c>
      <c r="B144" s="6">
        <v>15106</v>
      </c>
      <c r="C144" s="19">
        <v>40570</v>
      </c>
      <c r="D144" s="6" t="s">
        <v>28</v>
      </c>
      <c r="E144" s="6">
        <f>IF((ISBLANK($B$1)),"",Sheet1!Q148)</f>
        <v>5350</v>
      </c>
      <c r="F144" s="20" t="s">
        <v>27</v>
      </c>
      <c r="G144" s="53">
        <f t="shared" si="3"/>
        <v>0.92693120038950361</v>
      </c>
      <c r="H144" s="35"/>
      <c r="P144" s="6"/>
    </row>
    <row r="145" spans="1:16" ht="14.4" x14ac:dyDescent="0.25">
      <c r="A145" s="6">
        <v>2116</v>
      </c>
      <c r="B145" s="6">
        <v>15106</v>
      </c>
      <c r="C145" s="19">
        <v>40570</v>
      </c>
      <c r="D145" s="6" t="s">
        <v>28</v>
      </c>
      <c r="E145" s="6">
        <f>IF((ISBLANK($B$1)),"",Sheet1!Q149)</f>
        <v>5150</v>
      </c>
      <c r="F145" s="20" t="s">
        <v>26</v>
      </c>
      <c r="G145" s="53">
        <f t="shared" si="3"/>
        <v>0.65074034584759488</v>
      </c>
      <c r="H145" s="35"/>
      <c r="P145" s="6"/>
    </row>
    <row r="146" spans="1:16" ht="14.4" x14ac:dyDescent="0.25">
      <c r="A146" s="6">
        <v>2117</v>
      </c>
      <c r="B146" s="6">
        <v>15108</v>
      </c>
      <c r="C146" s="19">
        <v>40052</v>
      </c>
      <c r="D146" s="6" t="s">
        <v>17</v>
      </c>
      <c r="E146" s="6">
        <f>IF((ISBLANK($B$1)),"",Sheet1!Q150)</f>
        <v>5900</v>
      </c>
      <c r="F146" s="20" t="s">
        <v>26</v>
      </c>
      <c r="G146" s="53">
        <f t="shared" si="3"/>
        <v>1.6864560503797523</v>
      </c>
      <c r="H146" s="35"/>
      <c r="P146" s="6"/>
    </row>
    <row r="147" spans="1:16" ht="14.4" x14ac:dyDescent="0.25">
      <c r="A147" s="6">
        <v>2129</v>
      </c>
      <c r="B147" s="6">
        <v>15205</v>
      </c>
      <c r="C147" s="19">
        <v>40619</v>
      </c>
      <c r="D147" s="6" t="s">
        <v>30</v>
      </c>
      <c r="E147" s="6">
        <f>IF((ISBLANK($B$1)),"",Sheet1!Q151)</f>
        <v>4300</v>
      </c>
      <c r="F147" s="20" t="s">
        <v>29</v>
      </c>
      <c r="G147" s="53">
        <f t="shared" si="3"/>
        <v>-0.52307078595551704</v>
      </c>
      <c r="H147" s="35"/>
      <c r="P147" s="6"/>
    </row>
    <row r="148" spans="1:16" ht="14.4" x14ac:dyDescent="0.25">
      <c r="A148" s="6">
        <v>2130</v>
      </c>
      <c r="B148" s="6">
        <v>15205</v>
      </c>
      <c r="C148" s="19">
        <v>40619</v>
      </c>
      <c r="D148" s="6" t="s">
        <v>30</v>
      </c>
      <c r="E148" s="6">
        <f>IF((ISBLANK($B$1)),"",Sheet1!Q152)</f>
        <v>5500</v>
      </c>
      <c r="F148" s="20" t="s">
        <v>29</v>
      </c>
      <c r="G148" s="53">
        <f t="shared" si="3"/>
        <v>1.1340743412959351</v>
      </c>
      <c r="H148" s="35"/>
      <c r="P148" s="6"/>
    </row>
    <row r="149" spans="1:16" ht="14.4" x14ac:dyDescent="0.25">
      <c r="A149" s="6">
        <v>2161</v>
      </c>
      <c r="B149" s="6">
        <v>15591</v>
      </c>
      <c r="C149" s="19">
        <v>41066</v>
      </c>
      <c r="D149" s="6" t="s">
        <v>30</v>
      </c>
      <c r="E149" s="6">
        <f>IF((ISBLANK($B$1)),"",Sheet1!Q153)</f>
        <v>4950</v>
      </c>
      <c r="F149" s="20" t="s">
        <v>29</v>
      </c>
      <c r="G149" s="53">
        <f t="shared" si="3"/>
        <v>0.37454949130568621</v>
      </c>
      <c r="H149" s="35"/>
      <c r="P149" s="6"/>
    </row>
    <row r="150" spans="1:16" ht="14.4" x14ac:dyDescent="0.25">
      <c r="A150" s="6">
        <v>2206</v>
      </c>
      <c r="B150" s="6">
        <v>15907</v>
      </c>
      <c r="C150" s="19">
        <v>40644</v>
      </c>
      <c r="D150" s="6" t="s">
        <v>17</v>
      </c>
      <c r="E150" s="6">
        <f>IF((ISBLANK($B$1)),"",Sheet1!Q154)</f>
        <v>5200</v>
      </c>
      <c r="F150" s="20" t="s">
        <v>29</v>
      </c>
      <c r="G150" s="53">
        <f t="shared" si="3"/>
        <v>0.71978805948307201</v>
      </c>
      <c r="H150" s="35"/>
      <c r="P150" s="6"/>
    </row>
    <row r="151" spans="1:16" ht="14.4" x14ac:dyDescent="0.25">
      <c r="A151" s="6">
        <v>2207</v>
      </c>
      <c r="B151" s="6">
        <v>15907</v>
      </c>
      <c r="C151" s="19">
        <v>40644</v>
      </c>
      <c r="D151" s="6" t="s">
        <v>17</v>
      </c>
      <c r="E151" s="6">
        <f>IF((ISBLANK($B$1)),"",Sheet1!Q155)</f>
        <v>5200</v>
      </c>
      <c r="F151" s="20" t="s">
        <v>29</v>
      </c>
      <c r="G151" s="53">
        <f t="shared" si="3"/>
        <v>0.71978805948307201</v>
      </c>
      <c r="H151" s="35"/>
      <c r="P151" s="6"/>
    </row>
    <row r="152" spans="1:16" ht="14.4" x14ac:dyDescent="0.25">
      <c r="A152" s="6">
        <v>2208</v>
      </c>
      <c r="B152" s="6">
        <v>15907</v>
      </c>
      <c r="C152" s="19">
        <v>40644</v>
      </c>
      <c r="D152" s="6" t="s">
        <v>17</v>
      </c>
      <c r="E152" s="6">
        <f>IF((ISBLANK($B$1)),"",Sheet1!Q156)</f>
        <v>3600</v>
      </c>
      <c r="F152" s="20" t="s">
        <v>26</v>
      </c>
      <c r="G152" s="53">
        <f t="shared" si="3"/>
        <v>-1.4897387768521975</v>
      </c>
      <c r="H152" s="35"/>
      <c r="P152" s="6"/>
    </row>
    <row r="153" spans="1:16" ht="14.4" x14ac:dyDescent="0.25">
      <c r="A153" s="6">
        <v>2209</v>
      </c>
      <c r="B153" s="6">
        <v>15937</v>
      </c>
      <c r="C153" s="19">
        <v>41219</v>
      </c>
      <c r="D153" s="6" t="s">
        <v>25</v>
      </c>
      <c r="E153" s="6">
        <f>IF((ISBLANK($B$1)),"",Sheet1!Q157)</f>
        <v>5000</v>
      </c>
      <c r="F153" s="20" t="s">
        <v>27</v>
      </c>
      <c r="G153" s="53">
        <f t="shared" si="3"/>
        <v>0.44359720494116334</v>
      </c>
      <c r="H153" s="35"/>
      <c r="P153" s="6"/>
    </row>
    <row r="154" spans="1:16" ht="14.4" x14ac:dyDescent="0.25">
      <c r="A154" s="6">
        <v>2210</v>
      </c>
      <c r="B154" s="6">
        <v>15937</v>
      </c>
      <c r="C154" s="19">
        <v>41219</v>
      </c>
      <c r="D154" s="6" t="s">
        <v>25</v>
      </c>
      <c r="E154" s="6">
        <f>IF((ISBLANK($B$1)),"",Sheet1!Q158)</f>
        <v>4250</v>
      </c>
      <c r="F154" s="20" t="s">
        <v>29</v>
      </c>
      <c r="G154" s="53">
        <f t="shared" si="3"/>
        <v>-0.59211849959099416</v>
      </c>
      <c r="H154" s="35"/>
      <c r="P154" s="6"/>
    </row>
    <row r="155" spans="1:16" ht="14.4" x14ac:dyDescent="0.25">
      <c r="A155" s="6">
        <v>2221</v>
      </c>
      <c r="B155" s="6">
        <v>16039</v>
      </c>
      <c r="C155" s="19">
        <v>41045</v>
      </c>
      <c r="D155" s="6" t="s">
        <v>17</v>
      </c>
      <c r="E155" s="6">
        <f>IF((ISBLANK($B$1)),"",Sheet1!Q159)</f>
        <v>3550</v>
      </c>
      <c r="F155" s="20" t="s">
        <v>27</v>
      </c>
      <c r="G155" s="53">
        <f t="shared" si="3"/>
        <v>-1.5587864904876745</v>
      </c>
      <c r="H155" s="35"/>
      <c r="P155" s="6"/>
    </row>
    <row r="156" spans="1:16" ht="14.4" x14ac:dyDescent="0.25">
      <c r="A156" s="6">
        <v>2246</v>
      </c>
      <c r="B156" s="6">
        <v>16193</v>
      </c>
      <c r="C156" s="19">
        <v>41008</v>
      </c>
      <c r="D156" s="6" t="s">
        <v>28</v>
      </c>
      <c r="E156" s="6">
        <f>IF((ISBLANK($B$1)),"",Sheet1!Q160)</f>
        <v>3800</v>
      </c>
      <c r="F156" s="20" t="s">
        <v>26</v>
      </c>
      <c r="G156" s="53">
        <f t="shared" si="3"/>
        <v>-1.2135479223102887</v>
      </c>
      <c r="H156" s="35"/>
      <c r="P156" s="6"/>
    </row>
    <row r="157" spans="1:16" ht="14.4" x14ac:dyDescent="0.25">
      <c r="A157" s="6">
        <v>2247</v>
      </c>
      <c r="B157" s="6">
        <v>16193</v>
      </c>
      <c r="C157" s="19">
        <v>41008</v>
      </c>
      <c r="D157" s="6" t="s">
        <v>28</v>
      </c>
      <c r="E157" s="6">
        <f>IF((ISBLANK($B$1)),"",Sheet1!Q161)</f>
        <v>4850</v>
      </c>
      <c r="F157" s="20" t="s">
        <v>27</v>
      </c>
      <c r="G157" s="53">
        <f t="shared" si="3"/>
        <v>0.23645406403473185</v>
      </c>
      <c r="H157" s="35"/>
      <c r="P157" s="6"/>
    </row>
    <row r="158" spans="1:16" ht="14.4" x14ac:dyDescent="0.25">
      <c r="A158" s="6">
        <v>2281</v>
      </c>
      <c r="B158" s="6">
        <v>16423</v>
      </c>
      <c r="C158" s="19">
        <v>41126</v>
      </c>
      <c r="D158" s="6" t="s">
        <v>16</v>
      </c>
      <c r="E158" s="6">
        <f>IF((ISBLANK($B$1)),"",Sheet1!Q162)</f>
        <v>4350</v>
      </c>
      <c r="F158" s="20" t="s">
        <v>26</v>
      </c>
      <c r="G158" s="53">
        <f t="shared" si="3"/>
        <v>-0.45402307232003986</v>
      </c>
      <c r="H158" s="35"/>
      <c r="P158" s="6"/>
    </row>
    <row r="159" spans="1:16" ht="14.4" x14ac:dyDescent="0.25">
      <c r="A159" s="6">
        <v>2283</v>
      </c>
      <c r="B159" s="6">
        <v>16451</v>
      </c>
      <c r="C159" s="19">
        <v>40016</v>
      </c>
      <c r="D159" s="6" t="s">
        <v>28</v>
      </c>
      <c r="E159" s="6">
        <f>IF((ISBLANK($B$1)),"",Sheet1!Q163)</f>
        <v>3850</v>
      </c>
      <c r="F159" s="20" t="s">
        <v>26</v>
      </c>
      <c r="G159" s="53">
        <f t="shared" si="3"/>
        <v>-1.1445002086748115</v>
      </c>
      <c r="H159" s="35"/>
      <c r="P159" s="6"/>
    </row>
    <row r="160" spans="1:16" ht="14.4" x14ac:dyDescent="0.25">
      <c r="A160" s="6">
        <v>2294</v>
      </c>
      <c r="B160" s="6">
        <v>16545</v>
      </c>
      <c r="C160" s="19">
        <v>40307</v>
      </c>
      <c r="D160" s="6" t="s">
        <v>28</v>
      </c>
      <c r="E160" s="6">
        <f>IF((ISBLANK($B$1)),"",Sheet1!Q164)</f>
        <v>3900</v>
      </c>
      <c r="F160" s="20" t="s">
        <v>26</v>
      </c>
      <c r="G160" s="53">
        <f t="shared" si="3"/>
        <v>-1.0754524950393345</v>
      </c>
      <c r="H160" s="35"/>
      <c r="P160" s="6"/>
    </row>
    <row r="161" spans="1:16" ht="14.4" x14ac:dyDescent="0.25">
      <c r="A161" s="6">
        <v>2295</v>
      </c>
      <c r="B161" s="6">
        <v>16545</v>
      </c>
      <c r="C161" s="19">
        <v>40307</v>
      </c>
      <c r="D161" s="6" t="s">
        <v>28</v>
      </c>
      <c r="E161" s="6">
        <f>IF((ISBLANK($B$1)),"",Sheet1!Q165)</f>
        <v>3450</v>
      </c>
      <c r="F161" s="20" t="s">
        <v>26</v>
      </c>
      <c r="G161" s="53">
        <f t="shared" si="3"/>
        <v>-1.696881917758629</v>
      </c>
      <c r="H161" s="35"/>
      <c r="P161" s="6"/>
    </row>
    <row r="162" spans="1:16" ht="14.4" x14ac:dyDescent="0.25">
      <c r="A162" s="6">
        <v>2296</v>
      </c>
      <c r="B162" s="6">
        <v>16547</v>
      </c>
      <c r="C162" s="19">
        <v>39862</v>
      </c>
      <c r="D162" s="6" t="s">
        <v>28</v>
      </c>
      <c r="E162" s="6">
        <f>IF((ISBLANK($B$1)),"",Sheet1!Q166)</f>
        <v>4900</v>
      </c>
      <c r="F162" s="20" t="s">
        <v>29</v>
      </c>
      <c r="G162" s="53">
        <f t="shared" si="3"/>
        <v>0.30550177767020903</v>
      </c>
      <c r="H162" s="35"/>
      <c r="P162" s="6"/>
    </row>
    <row r="163" spans="1:16" ht="14.4" x14ac:dyDescent="0.25">
      <c r="A163" s="6">
        <v>2297</v>
      </c>
      <c r="B163" s="6">
        <v>16547</v>
      </c>
      <c r="C163" s="19">
        <v>39862</v>
      </c>
      <c r="D163" s="6" t="s">
        <v>28</v>
      </c>
      <c r="E163" s="6">
        <f>IF((ISBLANK($B$1)),"",Sheet1!Q167)</f>
        <v>3800</v>
      </c>
      <c r="F163" s="20" t="s">
        <v>29</v>
      </c>
      <c r="G163" s="53">
        <f t="shared" si="3"/>
        <v>-1.2135479223102887</v>
      </c>
      <c r="H163" s="35"/>
      <c r="P163" s="6"/>
    </row>
    <row r="164" spans="1:16" ht="14.4" x14ac:dyDescent="0.25">
      <c r="A164" s="6">
        <v>2316</v>
      </c>
      <c r="B164" s="6">
        <v>16706</v>
      </c>
      <c r="C164" s="19">
        <v>41087</v>
      </c>
      <c r="D164" s="6" t="s">
        <v>17</v>
      </c>
      <c r="E164" s="6">
        <f>IF((ISBLANK($B$1)),"",Sheet1!Q168)</f>
        <v>5750</v>
      </c>
      <c r="F164" s="20" t="s">
        <v>29</v>
      </c>
      <c r="G164" s="53">
        <f t="shared" si="3"/>
        <v>1.4793129094733208</v>
      </c>
      <c r="H164" s="35"/>
      <c r="P164" s="6"/>
    </row>
    <row r="165" spans="1:16" ht="14.4" x14ac:dyDescent="0.25">
      <c r="A165" s="6">
        <v>2317</v>
      </c>
      <c r="B165" s="6">
        <v>16706</v>
      </c>
      <c r="C165" s="19">
        <v>41087</v>
      </c>
      <c r="D165" s="6" t="s">
        <v>17</v>
      </c>
      <c r="E165" s="6">
        <f>IF((ISBLANK($B$1)),"",Sheet1!Q169)</f>
        <v>3700</v>
      </c>
      <c r="F165" s="20" t="s">
        <v>26</v>
      </c>
      <c r="G165" s="53">
        <f t="shared" si="3"/>
        <v>-1.351643349581243</v>
      </c>
      <c r="H165" s="35"/>
      <c r="P165" s="6"/>
    </row>
    <row r="166" spans="1:16" ht="14.4" x14ac:dyDescent="0.25">
      <c r="A166" s="6">
        <v>2318</v>
      </c>
      <c r="B166" s="6">
        <v>16706</v>
      </c>
      <c r="C166" s="19">
        <v>41087</v>
      </c>
      <c r="D166" s="6" t="s">
        <v>17</v>
      </c>
      <c r="E166" s="6">
        <f>IF((ISBLANK($B$1)),"",Sheet1!Q170)</f>
        <v>5850</v>
      </c>
      <c r="F166" s="20" t="s">
        <v>27</v>
      </c>
      <c r="G166" s="53">
        <f t="shared" si="3"/>
        <v>1.6174083367442753</v>
      </c>
      <c r="H166" s="35"/>
      <c r="P166" s="6"/>
    </row>
    <row r="167" spans="1:16" ht="14.4" x14ac:dyDescent="0.25">
      <c r="A167" s="6">
        <v>2323</v>
      </c>
      <c r="B167" s="6">
        <v>16741</v>
      </c>
      <c r="C167" s="19">
        <v>40451</v>
      </c>
      <c r="D167" s="6" t="s">
        <v>16</v>
      </c>
      <c r="E167" s="6">
        <f>IF((ISBLANK($B$1)),"",Sheet1!Q171)</f>
        <v>3700</v>
      </c>
      <c r="F167" s="20" t="s">
        <v>26</v>
      </c>
      <c r="G167" s="53">
        <f t="shared" si="3"/>
        <v>-1.351643349581243</v>
      </c>
      <c r="H167" s="35"/>
      <c r="P167" s="6"/>
    </row>
    <row r="168" spans="1:16" ht="14.4" x14ac:dyDescent="0.25">
      <c r="A168" s="6">
        <v>2346</v>
      </c>
      <c r="B168" s="6">
        <v>16932</v>
      </c>
      <c r="C168" s="19">
        <v>40283</v>
      </c>
      <c r="D168" s="6" t="s">
        <v>30</v>
      </c>
      <c r="E168" s="6">
        <f>IF((ISBLANK($B$1)),"",Sheet1!Q172)</f>
        <v>4650</v>
      </c>
      <c r="F168" s="20" t="s">
        <v>26</v>
      </c>
      <c r="G168" s="53">
        <f t="shared" si="3"/>
        <v>-3.9736790507176829E-2</v>
      </c>
      <c r="H168" s="35"/>
      <c r="P168" s="6"/>
    </row>
    <row r="169" spans="1:16" ht="14.4" x14ac:dyDescent="0.25">
      <c r="A169" s="6">
        <v>2347</v>
      </c>
      <c r="B169" s="6">
        <v>16932</v>
      </c>
      <c r="C169" s="19">
        <v>40283</v>
      </c>
      <c r="D169" s="6" t="s">
        <v>30</v>
      </c>
      <c r="E169" s="6">
        <f>IF((ISBLANK($B$1)),"",Sheet1!Q173)</f>
        <v>4400</v>
      </c>
      <c r="F169" s="20" t="s">
        <v>26</v>
      </c>
      <c r="G169" s="53">
        <f t="shared" si="3"/>
        <v>-0.38497535868456267</v>
      </c>
      <c r="H169" s="35"/>
      <c r="P169" s="6"/>
    </row>
    <row r="170" spans="1:16" ht="14.4" x14ac:dyDescent="0.25">
      <c r="A170" s="6">
        <v>2383</v>
      </c>
      <c r="B170" s="6">
        <v>17283</v>
      </c>
      <c r="C170" s="19">
        <v>40800</v>
      </c>
      <c r="D170" s="6" t="s">
        <v>28</v>
      </c>
      <c r="E170" s="6">
        <f>IF((ISBLANK($B$1)),"",Sheet1!Q174)</f>
        <v>3600</v>
      </c>
      <c r="F170" s="20" t="s">
        <v>27</v>
      </c>
      <c r="G170" s="53">
        <f t="shared" si="3"/>
        <v>-1.4897387768521975</v>
      </c>
      <c r="H170" s="35"/>
      <c r="P170" s="6"/>
    </row>
    <row r="171" spans="1:16" ht="14.4" x14ac:dyDescent="0.25">
      <c r="A171" s="6">
        <v>2384</v>
      </c>
      <c r="B171" s="6">
        <v>17286</v>
      </c>
      <c r="C171" s="19">
        <v>40442</v>
      </c>
      <c r="D171" s="6" t="s">
        <v>17</v>
      </c>
      <c r="E171" s="6">
        <f>IF((ISBLANK($B$1)),"",Sheet1!Q175)</f>
        <v>3750</v>
      </c>
      <c r="F171" s="20" t="s">
        <v>29</v>
      </c>
      <c r="G171" s="53">
        <f t="shared" si="3"/>
        <v>-1.282595635945766</v>
      </c>
      <c r="H171" s="35"/>
      <c r="P171" s="6"/>
    </row>
    <row r="172" spans="1:16" ht="14.4" x14ac:dyDescent="0.25">
      <c r="A172" s="6">
        <v>2402</v>
      </c>
      <c r="B172" s="6">
        <v>17409</v>
      </c>
      <c r="C172" s="19">
        <v>40407</v>
      </c>
      <c r="D172" s="6" t="s">
        <v>28</v>
      </c>
      <c r="E172" s="6">
        <f>IF((ISBLANK($B$1)),"",Sheet1!Q176)</f>
        <v>4950</v>
      </c>
      <c r="F172" s="20" t="s">
        <v>27</v>
      </c>
      <c r="G172" s="53">
        <f t="shared" si="3"/>
        <v>0.37454949130568621</v>
      </c>
      <c r="H172" s="35"/>
      <c r="P172" s="6"/>
    </row>
    <row r="173" spans="1:16" ht="14.4" x14ac:dyDescent="0.25">
      <c r="A173" s="6">
        <v>2445</v>
      </c>
      <c r="B173" s="6">
        <v>17764</v>
      </c>
      <c r="C173" s="19">
        <v>40072</v>
      </c>
      <c r="D173" s="6" t="s">
        <v>25</v>
      </c>
      <c r="E173" s="6">
        <f>IF((ISBLANK($B$1)),"",Sheet1!Q177)</f>
        <v>4750</v>
      </c>
      <c r="F173" s="20" t="s">
        <v>26</v>
      </c>
      <c r="G173" s="53">
        <f t="shared" si="3"/>
        <v>9.8358636763777513E-2</v>
      </c>
      <c r="H173" s="35"/>
      <c r="P173" s="6"/>
    </row>
    <row r="174" spans="1:16" ht="14.4" x14ac:dyDescent="0.25">
      <c r="A174" s="6">
        <v>2483</v>
      </c>
      <c r="B174" s="6">
        <v>18080</v>
      </c>
      <c r="C174" s="19">
        <v>39986</v>
      </c>
      <c r="D174" s="6" t="s">
        <v>17</v>
      </c>
      <c r="E174" s="6">
        <f>IF((ISBLANK($B$1)),"",Sheet1!Q178)</f>
        <v>3750</v>
      </c>
      <c r="F174" s="20" t="s">
        <v>29</v>
      </c>
      <c r="G174" s="53">
        <f t="shared" si="3"/>
        <v>-1.282595635945766</v>
      </c>
      <c r="H174" s="35"/>
      <c r="P174" s="6"/>
    </row>
    <row r="175" spans="1:16" ht="14.4" x14ac:dyDescent="0.25">
      <c r="A175" s="6">
        <v>2487</v>
      </c>
      <c r="B175" s="6">
        <v>18113</v>
      </c>
      <c r="C175" s="19">
        <v>41149</v>
      </c>
      <c r="D175" s="6" t="s">
        <v>28</v>
      </c>
      <c r="E175" s="6">
        <f>IF((ISBLANK($B$1)),"",Sheet1!Q179)</f>
        <v>4750</v>
      </c>
      <c r="F175" s="20" t="s">
        <v>29</v>
      </c>
      <c r="G175" s="53">
        <f t="shared" si="3"/>
        <v>9.8358636763777513E-2</v>
      </c>
      <c r="H175" s="35"/>
      <c r="P175" s="6"/>
    </row>
    <row r="176" spans="1:16" ht="14.4" x14ac:dyDescent="0.25">
      <c r="A176" s="6">
        <v>2489</v>
      </c>
      <c r="B176" s="6">
        <v>18144</v>
      </c>
      <c r="C176" s="19">
        <v>40701</v>
      </c>
      <c r="D176" s="6" t="s">
        <v>30</v>
      </c>
      <c r="E176" s="6">
        <f>IF((ISBLANK($B$1)),"",Sheet1!Q180)</f>
        <v>5800</v>
      </c>
      <c r="F176" s="20" t="s">
        <v>26</v>
      </c>
      <c r="G176" s="53">
        <f t="shared" si="3"/>
        <v>1.5483606231087981</v>
      </c>
      <c r="H176" s="35"/>
      <c r="P176" s="6"/>
    </row>
    <row r="177" spans="1:16" ht="14.4" x14ac:dyDescent="0.25">
      <c r="A177" s="6">
        <v>2490</v>
      </c>
      <c r="B177" s="6">
        <v>18144</v>
      </c>
      <c r="C177" s="19">
        <v>40701</v>
      </c>
      <c r="D177" s="6" t="s">
        <v>30</v>
      </c>
      <c r="E177" s="6">
        <f>IF((ISBLANK($B$1)),"",Sheet1!Q181)</f>
        <v>3800</v>
      </c>
      <c r="F177" s="20" t="s">
        <v>26</v>
      </c>
      <c r="G177" s="53">
        <f t="shared" si="3"/>
        <v>-1.2135479223102887</v>
      </c>
      <c r="H177" s="35"/>
      <c r="P177" s="6"/>
    </row>
    <row r="178" spans="1:16" ht="14.4" x14ac:dyDescent="0.25">
      <c r="A178" s="6">
        <v>2491</v>
      </c>
      <c r="B178" s="6">
        <v>18144</v>
      </c>
      <c r="C178" s="19">
        <v>40701</v>
      </c>
      <c r="D178" s="6" t="s">
        <v>30</v>
      </c>
      <c r="E178" s="6">
        <f>IF((ISBLANK($B$1)),"",Sheet1!Q182)</f>
        <v>5450</v>
      </c>
      <c r="F178" s="20" t="s">
        <v>27</v>
      </c>
      <c r="G178" s="53">
        <f t="shared" si="3"/>
        <v>1.0650266276604579</v>
      </c>
      <c r="H178" s="35"/>
      <c r="P178" s="6"/>
    </row>
    <row r="179" spans="1:16" ht="14.4" x14ac:dyDescent="0.25">
      <c r="A179" s="6">
        <v>2520</v>
      </c>
      <c r="B179" s="6">
        <v>18308</v>
      </c>
      <c r="C179" s="19">
        <v>40095</v>
      </c>
      <c r="D179" s="6" t="s">
        <v>28</v>
      </c>
      <c r="E179" s="6">
        <f>IF((ISBLANK($B$1)),"",Sheet1!Q183)</f>
        <v>4900</v>
      </c>
      <c r="F179" s="20" t="s">
        <v>26</v>
      </c>
      <c r="G179" s="53">
        <f t="shared" si="3"/>
        <v>0.30550177767020903</v>
      </c>
      <c r="H179" s="35"/>
      <c r="P179" s="6"/>
    </row>
    <row r="180" spans="1:16" ht="14.4" x14ac:dyDescent="0.25">
      <c r="A180" s="6">
        <v>2521</v>
      </c>
      <c r="B180" s="6">
        <v>18308</v>
      </c>
      <c r="C180" s="19">
        <v>40095</v>
      </c>
      <c r="D180" s="6" t="s">
        <v>28</v>
      </c>
      <c r="E180" s="6">
        <f>IF((ISBLANK($B$1)),"",Sheet1!Q184)</f>
        <v>4150</v>
      </c>
      <c r="F180" s="20" t="s">
        <v>27</v>
      </c>
      <c r="G180" s="53">
        <f t="shared" si="3"/>
        <v>-0.73021392686194853</v>
      </c>
      <c r="H180" s="35"/>
      <c r="P180" s="6"/>
    </row>
    <row r="181" spans="1:16" ht="14.4" x14ac:dyDescent="0.25">
      <c r="A181" s="6">
        <v>2522</v>
      </c>
      <c r="B181" s="6">
        <v>18308</v>
      </c>
      <c r="C181" s="19">
        <v>40095</v>
      </c>
      <c r="D181" s="6" t="s">
        <v>28</v>
      </c>
      <c r="E181" s="6">
        <f>IF((ISBLANK($B$1)),"",Sheet1!Q185)</f>
        <v>5850</v>
      </c>
      <c r="F181" s="20" t="s">
        <v>27</v>
      </c>
      <c r="G181" s="53">
        <f t="shared" si="3"/>
        <v>1.6174083367442753</v>
      </c>
      <c r="H181" s="35"/>
      <c r="P181" s="6"/>
    </row>
    <row r="182" spans="1:16" ht="14.4" x14ac:dyDescent="0.25">
      <c r="A182" s="6">
        <v>2615</v>
      </c>
      <c r="B182" s="6">
        <v>18887</v>
      </c>
      <c r="C182" s="19">
        <v>40517</v>
      </c>
      <c r="D182" s="6" t="s">
        <v>28</v>
      </c>
      <c r="E182" s="6">
        <f>IF((ISBLANK($B$1)),"",Sheet1!Q186)</f>
        <v>3850</v>
      </c>
      <c r="F182" s="20" t="s">
        <v>27</v>
      </c>
      <c r="G182" s="53">
        <f t="shared" si="3"/>
        <v>-1.1445002086748115</v>
      </c>
      <c r="H182" s="35"/>
      <c r="P182" s="6"/>
    </row>
    <row r="183" spans="1:16" ht="14.4" x14ac:dyDescent="0.25">
      <c r="A183" s="6">
        <v>2624</v>
      </c>
      <c r="B183" s="6">
        <v>19010</v>
      </c>
      <c r="C183" s="19">
        <v>39971</v>
      </c>
      <c r="D183" s="6" t="s">
        <v>25</v>
      </c>
      <c r="E183" s="6">
        <f>IF((ISBLANK($B$1)),"",Sheet1!Q187)</f>
        <v>4300</v>
      </c>
      <c r="F183" s="20" t="s">
        <v>26</v>
      </c>
      <c r="G183" s="53">
        <f t="shared" si="3"/>
        <v>-0.52307078595551704</v>
      </c>
      <c r="H183" s="35"/>
      <c r="P183" s="6"/>
    </row>
    <row r="184" spans="1:16" ht="14.4" x14ac:dyDescent="0.25">
      <c r="A184" s="6">
        <v>2637</v>
      </c>
      <c r="B184" s="6">
        <v>19078</v>
      </c>
      <c r="C184" s="19">
        <v>40021</v>
      </c>
      <c r="D184" s="6" t="s">
        <v>30</v>
      </c>
      <c r="E184" s="6">
        <f>IF((ISBLANK($B$1)),"",Sheet1!Q188)</f>
        <v>4450</v>
      </c>
      <c r="F184" s="20" t="s">
        <v>26</v>
      </c>
      <c r="G184" s="53">
        <f t="shared" si="3"/>
        <v>-0.31592764504908549</v>
      </c>
      <c r="H184" s="35"/>
      <c r="P184" s="6"/>
    </row>
    <row r="185" spans="1:16" ht="14.4" x14ac:dyDescent="0.25">
      <c r="A185" s="6">
        <v>2643</v>
      </c>
      <c r="B185" s="6">
        <v>19138</v>
      </c>
      <c r="C185" s="19">
        <v>40791</v>
      </c>
      <c r="D185" s="6" t="s">
        <v>25</v>
      </c>
      <c r="E185" s="6">
        <f>IF((ISBLANK($B$1)),"",Sheet1!Q189)</f>
        <v>4900</v>
      </c>
      <c r="F185" s="20" t="s">
        <v>26</v>
      </c>
      <c r="G185" s="53">
        <f t="shared" si="3"/>
        <v>0.30550177767020903</v>
      </c>
      <c r="H185" s="35"/>
      <c r="P185" s="6"/>
    </row>
    <row r="186" spans="1:16" ht="14.4" x14ac:dyDescent="0.25">
      <c r="A186" s="6">
        <v>2726</v>
      </c>
      <c r="B186" s="6">
        <v>19655</v>
      </c>
      <c r="C186" s="19">
        <v>39824</v>
      </c>
      <c r="D186" s="6" t="s">
        <v>17</v>
      </c>
      <c r="E186" s="6">
        <f>IF((ISBLANK($B$1)),"",Sheet1!Q190)</f>
        <v>4950</v>
      </c>
      <c r="F186" s="20" t="s">
        <v>27</v>
      </c>
      <c r="G186" s="53">
        <f t="shared" si="3"/>
        <v>0.37454949130568621</v>
      </c>
      <c r="H186" s="35"/>
      <c r="P186" s="6"/>
    </row>
    <row r="187" spans="1:16" ht="14.4" x14ac:dyDescent="0.25">
      <c r="A187" s="6">
        <v>2727</v>
      </c>
      <c r="B187" s="6">
        <v>19686</v>
      </c>
      <c r="C187" s="19">
        <v>40405</v>
      </c>
      <c r="D187" s="6" t="s">
        <v>16</v>
      </c>
      <c r="E187" s="6">
        <f>IF((ISBLANK($B$1)),"",Sheet1!Q191)</f>
        <v>3500</v>
      </c>
      <c r="F187" s="20" t="s">
        <v>27</v>
      </c>
      <c r="G187" s="53">
        <f t="shared" si="3"/>
        <v>-1.6278342041231517</v>
      </c>
      <c r="H187" s="35"/>
      <c r="P187" s="6"/>
    </row>
    <row r="188" spans="1:16" ht="14.4" x14ac:dyDescent="0.25">
      <c r="A188" s="6">
        <v>2728</v>
      </c>
      <c r="B188" s="6">
        <v>19686</v>
      </c>
      <c r="C188" s="19">
        <v>40405</v>
      </c>
      <c r="D188" s="6" t="s">
        <v>16</v>
      </c>
      <c r="E188" s="6">
        <f>IF((ISBLANK($B$1)),"",Sheet1!Q192)</f>
        <v>3950</v>
      </c>
      <c r="F188" s="20" t="s">
        <v>26</v>
      </c>
      <c r="G188" s="53">
        <f t="shared" si="3"/>
        <v>-1.0064047814038573</v>
      </c>
      <c r="H188" s="35"/>
      <c r="P188" s="6"/>
    </row>
    <row r="189" spans="1:16" ht="14.4" x14ac:dyDescent="0.25">
      <c r="A189" s="6">
        <v>2768</v>
      </c>
      <c r="B189" s="6">
        <v>20007</v>
      </c>
      <c r="C189" s="19">
        <v>40030</v>
      </c>
      <c r="D189" s="6" t="s">
        <v>28</v>
      </c>
      <c r="E189" s="6">
        <f>IF((ISBLANK($B$1)),"",Sheet1!Q193)</f>
        <v>5850</v>
      </c>
      <c r="F189" s="20" t="s">
        <v>26</v>
      </c>
      <c r="G189" s="53">
        <f t="shared" si="3"/>
        <v>1.6174083367442753</v>
      </c>
      <c r="H189" s="35"/>
      <c r="P189" s="6"/>
    </row>
    <row r="190" spans="1:16" ht="14.4" x14ac:dyDescent="0.25">
      <c r="A190" s="6">
        <v>2782</v>
      </c>
      <c r="B190" s="6">
        <v>20071</v>
      </c>
      <c r="C190" s="19">
        <v>40803</v>
      </c>
      <c r="D190" s="6" t="s">
        <v>16</v>
      </c>
      <c r="E190" s="6">
        <f>IF((ISBLANK($B$1)),"",Sheet1!Q194)</f>
        <v>4950</v>
      </c>
      <c r="F190" s="20" t="s">
        <v>29</v>
      </c>
      <c r="G190" s="53">
        <f t="shared" si="3"/>
        <v>0.37454949130568621</v>
      </c>
      <c r="H190" s="35"/>
      <c r="P190" s="6"/>
    </row>
    <row r="191" spans="1:16" ht="14.4" x14ac:dyDescent="0.25">
      <c r="A191" s="6">
        <v>2796</v>
      </c>
      <c r="B191" s="6">
        <v>20160</v>
      </c>
      <c r="C191" s="19">
        <v>40838</v>
      </c>
      <c r="D191" s="6" t="s">
        <v>25</v>
      </c>
      <c r="E191" s="6">
        <f>IF((ISBLANK($B$1)),"",Sheet1!Q195)</f>
        <v>5500</v>
      </c>
      <c r="F191" s="20" t="s">
        <v>26</v>
      </c>
      <c r="G191" s="53">
        <f t="shared" si="3"/>
        <v>1.1340743412959351</v>
      </c>
      <c r="H191" s="35"/>
      <c r="P191" s="6"/>
    </row>
    <row r="192" spans="1:16" ht="14.4" x14ac:dyDescent="0.25">
      <c r="A192" s="6">
        <v>2811</v>
      </c>
      <c r="B192" s="6">
        <v>20263</v>
      </c>
      <c r="C192" s="19">
        <v>40131</v>
      </c>
      <c r="D192" s="6" t="s">
        <v>16</v>
      </c>
      <c r="E192" s="6">
        <f>IF((ISBLANK($B$1)),"",Sheet1!Q196)</f>
        <v>3800</v>
      </c>
      <c r="F192" s="20" t="s">
        <v>26</v>
      </c>
      <c r="G192" s="53">
        <f t="shared" si="3"/>
        <v>-1.2135479223102887</v>
      </c>
      <c r="H192" s="35"/>
      <c r="P192" s="6"/>
    </row>
    <row r="193" spans="1:16" ht="14.4" x14ac:dyDescent="0.25">
      <c r="A193" s="6">
        <v>2812</v>
      </c>
      <c r="B193" s="6">
        <v>20263</v>
      </c>
      <c r="C193" s="19">
        <v>40131</v>
      </c>
      <c r="D193" s="6" t="s">
        <v>16</v>
      </c>
      <c r="E193" s="6">
        <f>IF((ISBLANK($B$1)),"",Sheet1!Q197)</f>
        <v>5050</v>
      </c>
      <c r="F193" s="20" t="s">
        <v>27</v>
      </c>
      <c r="G193" s="53">
        <f t="shared" si="3"/>
        <v>0.51264491857664052</v>
      </c>
      <c r="H193" s="35"/>
      <c r="P193" s="6"/>
    </row>
    <row r="194" spans="1:16" ht="14.4" x14ac:dyDescent="0.25">
      <c r="A194" s="6">
        <v>2935</v>
      </c>
      <c r="B194" s="6">
        <v>21285</v>
      </c>
      <c r="C194" s="19">
        <v>40362</v>
      </c>
      <c r="D194" s="6" t="s">
        <v>16</v>
      </c>
      <c r="E194" s="6">
        <f>IF((ISBLANK($B$1)),"",Sheet1!Q198)</f>
        <v>5000</v>
      </c>
      <c r="F194" s="20" t="s">
        <v>26</v>
      </c>
      <c r="G194" s="53">
        <f t="shared" si="3"/>
        <v>0.44359720494116334</v>
      </c>
      <c r="H194" s="35"/>
      <c r="P194" s="6"/>
    </row>
    <row r="195" spans="1:16" ht="14.4" x14ac:dyDescent="0.25">
      <c r="A195" s="6">
        <v>2936</v>
      </c>
      <c r="B195" s="6">
        <v>21285</v>
      </c>
      <c r="C195" s="19">
        <v>40362</v>
      </c>
      <c r="D195" s="6" t="s">
        <v>16</v>
      </c>
      <c r="E195" s="6">
        <f>IF((ISBLANK($B$1)),"",Sheet1!Q199)</f>
        <v>5750</v>
      </c>
      <c r="F195" s="20" t="s">
        <v>26</v>
      </c>
      <c r="G195" s="53">
        <f t="shared" si="3"/>
        <v>1.4793129094733208</v>
      </c>
      <c r="H195" s="35"/>
      <c r="P195" s="6"/>
    </row>
    <row r="196" spans="1:16" ht="14.4" x14ac:dyDescent="0.25">
      <c r="A196" s="6">
        <v>2956</v>
      </c>
      <c r="B196" s="6">
        <v>21383</v>
      </c>
      <c r="C196" s="19">
        <v>39843</v>
      </c>
      <c r="D196" s="6" t="s">
        <v>25</v>
      </c>
      <c r="E196" s="6">
        <f>IF((ISBLANK($B$1)),"",Sheet1!Q200)</f>
        <v>4950</v>
      </c>
      <c r="F196" s="20" t="s">
        <v>27</v>
      </c>
      <c r="G196" s="53">
        <f t="shared" si="3"/>
        <v>0.37454949130568621</v>
      </c>
      <c r="H196" s="35"/>
      <c r="P196" s="6"/>
    </row>
    <row r="197" spans="1:16" ht="14.4" x14ac:dyDescent="0.25">
      <c r="A197" s="6">
        <v>2999</v>
      </c>
      <c r="B197" s="6">
        <v>21607</v>
      </c>
      <c r="C197" s="19">
        <v>40983</v>
      </c>
      <c r="D197" s="6" t="s">
        <v>28</v>
      </c>
      <c r="E197" s="6">
        <f>IF((ISBLANK($B$1)),"",Sheet1!Q201)</f>
        <v>4250</v>
      </c>
      <c r="F197" s="20" t="s">
        <v>26</v>
      </c>
      <c r="G197" s="53">
        <f t="shared" si="3"/>
        <v>-0.59211849959099416</v>
      </c>
      <c r="H197" s="35"/>
      <c r="P197" s="6"/>
    </row>
    <row r="198" spans="1:16" ht="14.4" x14ac:dyDescent="0.25">
      <c r="A198" s="6">
        <v>3006</v>
      </c>
      <c r="B198" s="6">
        <v>21636</v>
      </c>
      <c r="C198" s="19">
        <v>40035</v>
      </c>
      <c r="D198" s="6" t="s">
        <v>25</v>
      </c>
      <c r="E198" s="6">
        <f>IF((ISBLANK($B$1)),"",Sheet1!Q202)</f>
        <v>5150</v>
      </c>
      <c r="F198" s="20" t="s">
        <v>27</v>
      </c>
      <c r="G198" s="53">
        <f t="shared" si="3"/>
        <v>0.65074034584759488</v>
      </c>
      <c r="H198" s="35"/>
      <c r="P198" s="6"/>
    </row>
    <row r="199" spans="1:16" ht="14.4" x14ac:dyDescent="0.25">
      <c r="A199" s="6">
        <v>3052</v>
      </c>
      <c r="B199" s="6">
        <v>21889</v>
      </c>
      <c r="C199" s="19">
        <v>40269</v>
      </c>
      <c r="D199" s="6" t="s">
        <v>25</v>
      </c>
      <c r="E199" s="6">
        <f>IF((ISBLANK($B$1)),"",Sheet1!Q203)</f>
        <v>4450</v>
      </c>
      <c r="F199" s="20" t="s">
        <v>29</v>
      </c>
      <c r="G199" s="53">
        <f t="shared" si="3"/>
        <v>-0.31592764504908549</v>
      </c>
      <c r="H199" s="35"/>
      <c r="P199" s="6"/>
    </row>
    <row r="200" spans="1:16" ht="14.4" x14ac:dyDescent="0.25">
      <c r="A200" s="6">
        <v>3053</v>
      </c>
      <c r="B200" s="6">
        <v>21889</v>
      </c>
      <c r="C200" s="19">
        <v>40269</v>
      </c>
      <c r="D200" s="6" t="s">
        <v>25</v>
      </c>
      <c r="E200" s="6">
        <f>IF((ISBLANK($B$1)),"",Sheet1!Q204)</f>
        <v>4200</v>
      </c>
      <c r="F200" s="20" t="s">
        <v>26</v>
      </c>
      <c r="G200" s="53">
        <f t="shared" ref="G200:G263" si="4">STANDARDIZE(E200,$L$26,$L$35)</f>
        <v>-0.6611662132264714</v>
      </c>
      <c r="H200" s="35"/>
      <c r="P200" s="6"/>
    </row>
    <row r="201" spans="1:16" ht="14.4" x14ac:dyDescent="0.25">
      <c r="A201" s="6">
        <v>3089</v>
      </c>
      <c r="B201" s="6">
        <v>22151</v>
      </c>
      <c r="C201" s="19">
        <v>40390</v>
      </c>
      <c r="D201" s="6" t="s">
        <v>17</v>
      </c>
      <c r="E201" s="6">
        <f>IF((ISBLANK($B$1)),"",Sheet1!Q205)</f>
        <v>5850</v>
      </c>
      <c r="F201" s="20" t="s">
        <v>29</v>
      </c>
      <c r="G201" s="53">
        <f t="shared" si="4"/>
        <v>1.6174083367442753</v>
      </c>
      <c r="H201" s="35"/>
      <c r="P201" s="6"/>
    </row>
    <row r="202" spans="1:16" ht="14.4" x14ac:dyDescent="0.25">
      <c r="A202" s="6">
        <v>3110</v>
      </c>
      <c r="B202" s="6">
        <v>22342</v>
      </c>
      <c r="C202" s="19">
        <v>39962</v>
      </c>
      <c r="D202" s="6" t="s">
        <v>25</v>
      </c>
      <c r="E202" s="6">
        <f>IF((ISBLANK($B$1)),"",Sheet1!Q206)</f>
        <v>4050</v>
      </c>
      <c r="F202" s="20" t="s">
        <v>27</v>
      </c>
      <c r="G202" s="53">
        <f t="shared" si="4"/>
        <v>-0.86830935413290289</v>
      </c>
      <c r="H202" s="35"/>
      <c r="P202" s="6"/>
    </row>
    <row r="203" spans="1:16" ht="14.4" x14ac:dyDescent="0.25">
      <c r="A203" s="6">
        <v>3135</v>
      </c>
      <c r="B203" s="6">
        <v>22469</v>
      </c>
      <c r="C203" s="19">
        <v>40462</v>
      </c>
      <c r="D203" s="6" t="s">
        <v>17</v>
      </c>
      <c r="E203" s="6">
        <f>IF((ISBLANK($B$1)),"",Sheet1!Q207)</f>
        <v>5600</v>
      </c>
      <c r="F203" s="20" t="s">
        <v>27</v>
      </c>
      <c r="G203" s="53">
        <f t="shared" si="4"/>
        <v>1.2721697685668893</v>
      </c>
      <c r="H203" s="35"/>
      <c r="P203" s="6"/>
    </row>
    <row r="204" spans="1:16" ht="14.4" x14ac:dyDescent="0.25">
      <c r="A204" s="6">
        <v>3138</v>
      </c>
      <c r="B204" s="6">
        <v>22501</v>
      </c>
      <c r="C204" s="19">
        <v>40316</v>
      </c>
      <c r="D204" s="6" t="s">
        <v>17</v>
      </c>
      <c r="E204" s="6">
        <f>IF((ISBLANK($B$1)),"",Sheet1!Q208)</f>
        <v>3500</v>
      </c>
      <c r="F204" s="20" t="s">
        <v>26</v>
      </c>
      <c r="G204" s="53">
        <f t="shared" si="4"/>
        <v>-1.6278342041231517</v>
      </c>
      <c r="H204" s="35"/>
      <c r="P204" s="6"/>
    </row>
    <row r="205" spans="1:16" ht="14.4" x14ac:dyDescent="0.25">
      <c r="A205" s="6">
        <v>3140</v>
      </c>
      <c r="B205" s="6">
        <v>22532</v>
      </c>
      <c r="C205" s="19">
        <v>40582</v>
      </c>
      <c r="D205" s="6" t="s">
        <v>30</v>
      </c>
      <c r="E205" s="6">
        <f>IF((ISBLANK($B$1)),"",Sheet1!Q209)</f>
        <v>4050</v>
      </c>
      <c r="F205" s="20" t="s">
        <v>26</v>
      </c>
      <c r="G205" s="53">
        <f t="shared" si="4"/>
        <v>-0.86830935413290289</v>
      </c>
      <c r="H205" s="35"/>
      <c r="P205" s="6"/>
    </row>
    <row r="206" spans="1:16" ht="14.4" x14ac:dyDescent="0.25">
      <c r="A206" s="6">
        <v>3244</v>
      </c>
      <c r="B206" s="6">
        <v>23264</v>
      </c>
      <c r="C206" s="19">
        <v>40519</v>
      </c>
      <c r="D206" s="6" t="s">
        <v>30</v>
      </c>
      <c r="E206" s="6">
        <f>IF((ISBLANK($B$1)),"",Sheet1!Q210)</f>
        <v>4200</v>
      </c>
      <c r="F206" s="20" t="s">
        <v>26</v>
      </c>
      <c r="G206" s="53">
        <f t="shared" si="4"/>
        <v>-0.6611662132264714</v>
      </c>
      <c r="H206" s="35"/>
      <c r="P206" s="6"/>
    </row>
    <row r="207" spans="1:16" ht="14.4" x14ac:dyDescent="0.25">
      <c r="A207" s="6">
        <v>3245</v>
      </c>
      <c r="B207" s="6">
        <v>23264</v>
      </c>
      <c r="C207" s="19">
        <v>40519</v>
      </c>
      <c r="D207" s="6" t="s">
        <v>30</v>
      </c>
      <c r="E207" s="6">
        <f>IF((ISBLANK($B$1)),"",Sheet1!Q211)</f>
        <v>4750</v>
      </c>
      <c r="F207" s="20" t="s">
        <v>26</v>
      </c>
      <c r="G207" s="53">
        <f t="shared" si="4"/>
        <v>9.8358636763777513E-2</v>
      </c>
      <c r="H207" s="35"/>
      <c r="P207" s="6"/>
    </row>
    <row r="208" spans="1:16" ht="14.4" x14ac:dyDescent="0.25">
      <c r="A208" s="6">
        <v>3284</v>
      </c>
      <c r="B208" s="6">
        <v>23488</v>
      </c>
      <c r="C208" s="19">
        <v>39819</v>
      </c>
      <c r="D208" s="6" t="s">
        <v>30</v>
      </c>
      <c r="E208" s="6">
        <f>IF((ISBLANK($B$1)),"",Sheet1!Q212)</f>
        <v>4900</v>
      </c>
      <c r="F208" s="20" t="s">
        <v>29</v>
      </c>
      <c r="G208" s="53">
        <f t="shared" si="4"/>
        <v>0.30550177767020903</v>
      </c>
      <c r="H208" s="35"/>
      <c r="P208" s="6"/>
    </row>
    <row r="209" spans="1:16" ht="14.4" x14ac:dyDescent="0.25">
      <c r="A209" s="6">
        <v>3300</v>
      </c>
      <c r="B209" s="6">
        <v>23584</v>
      </c>
      <c r="C209" s="19">
        <v>40980</v>
      </c>
      <c r="D209" s="6" t="s">
        <v>30</v>
      </c>
      <c r="E209" s="6">
        <f>IF((ISBLANK($B$1)),"",Sheet1!Q213)</f>
        <v>4100</v>
      </c>
      <c r="F209" s="20" t="s">
        <v>27</v>
      </c>
      <c r="G209" s="53">
        <f t="shared" si="4"/>
        <v>-0.79926164049742576</v>
      </c>
      <c r="H209" s="35"/>
      <c r="P209" s="6"/>
    </row>
    <row r="210" spans="1:16" ht="14.4" x14ac:dyDescent="0.25">
      <c r="A210" s="6">
        <v>3355</v>
      </c>
      <c r="B210" s="6">
        <v>24007</v>
      </c>
      <c r="C210" s="19">
        <v>40416</v>
      </c>
      <c r="D210" s="6" t="s">
        <v>25</v>
      </c>
      <c r="E210" s="6">
        <f>IF((ISBLANK($B$1)),"",Sheet1!Q214)</f>
        <v>4700</v>
      </c>
      <c r="F210" s="20" t="s">
        <v>27</v>
      </c>
      <c r="G210" s="53">
        <f t="shared" si="4"/>
        <v>2.9310923128300338E-2</v>
      </c>
      <c r="H210" s="35"/>
      <c r="P210" s="6"/>
    </row>
    <row r="211" spans="1:16" ht="14.4" x14ac:dyDescent="0.25">
      <c r="A211" s="6">
        <v>3356</v>
      </c>
      <c r="B211" s="6">
        <v>24007</v>
      </c>
      <c r="C211" s="19">
        <v>40416</v>
      </c>
      <c r="D211" s="6" t="s">
        <v>25</v>
      </c>
      <c r="E211" s="6">
        <f>IF((ISBLANK($B$1)),"",Sheet1!Q215)</f>
        <v>4800</v>
      </c>
      <c r="F211" s="20" t="s">
        <v>26</v>
      </c>
      <c r="G211" s="53">
        <f t="shared" si="4"/>
        <v>0.16740635039925467</v>
      </c>
      <c r="H211" s="35"/>
      <c r="P211" s="6"/>
    </row>
    <row r="212" spans="1:16" ht="14.4" x14ac:dyDescent="0.25">
      <c r="A212" s="6">
        <v>3357</v>
      </c>
      <c r="B212" s="6">
        <v>24007</v>
      </c>
      <c r="C212" s="19">
        <v>40416</v>
      </c>
      <c r="D212" s="6" t="s">
        <v>25</v>
      </c>
      <c r="E212" s="6">
        <f>IF((ISBLANK($B$1)),"",Sheet1!Q216)</f>
        <v>5500</v>
      </c>
      <c r="F212" s="20" t="s">
        <v>26</v>
      </c>
      <c r="G212" s="53">
        <f t="shared" si="4"/>
        <v>1.1340743412959351</v>
      </c>
      <c r="H212" s="35"/>
      <c r="P212" s="6"/>
    </row>
    <row r="213" spans="1:16" ht="14.4" x14ac:dyDescent="0.25">
      <c r="A213" s="6">
        <v>3359</v>
      </c>
      <c r="B213" s="6">
        <v>24038</v>
      </c>
      <c r="C213" s="19">
        <v>40714</v>
      </c>
      <c r="D213" s="6" t="s">
        <v>17</v>
      </c>
      <c r="E213" s="6">
        <f>IF((ISBLANK($B$1)),"",Sheet1!Q217)</f>
        <v>5300</v>
      </c>
      <c r="F213" s="20" t="s">
        <v>26</v>
      </c>
      <c r="G213" s="53">
        <f t="shared" si="4"/>
        <v>0.85788348675402637</v>
      </c>
      <c r="H213" s="35"/>
      <c r="P213" s="6"/>
    </row>
    <row r="214" spans="1:16" ht="14.4" x14ac:dyDescent="0.25">
      <c r="A214" s="6">
        <v>3371</v>
      </c>
      <c r="B214" s="6">
        <v>24097</v>
      </c>
      <c r="C214" s="19">
        <v>40394</v>
      </c>
      <c r="D214" s="6" t="s">
        <v>17</v>
      </c>
      <c r="E214" s="6">
        <f>IF((ISBLANK($B$1)),"",Sheet1!Q218)</f>
        <v>3450</v>
      </c>
      <c r="F214" s="20" t="s">
        <v>27</v>
      </c>
      <c r="G214" s="53">
        <f t="shared" si="4"/>
        <v>-1.696881917758629</v>
      </c>
      <c r="H214" s="35"/>
      <c r="P214" s="6"/>
    </row>
    <row r="215" spans="1:16" ht="14.4" x14ac:dyDescent="0.25">
      <c r="A215" s="6">
        <v>3372</v>
      </c>
      <c r="B215" s="6">
        <v>24097</v>
      </c>
      <c r="C215" s="19">
        <v>40394</v>
      </c>
      <c r="D215" s="6" t="s">
        <v>17</v>
      </c>
      <c r="E215" s="6">
        <f>IF((ISBLANK($B$1)),"",Sheet1!Q219)</f>
        <v>4750</v>
      </c>
      <c r="F215" s="20" t="s">
        <v>27</v>
      </c>
      <c r="G215" s="53">
        <f t="shared" si="4"/>
        <v>9.8358636763777513E-2</v>
      </c>
      <c r="H215" s="35"/>
      <c r="P215" s="6"/>
    </row>
    <row r="216" spans="1:16" ht="14.4" x14ac:dyDescent="0.25">
      <c r="A216" s="6">
        <v>3373</v>
      </c>
      <c r="B216" s="6">
        <v>24097</v>
      </c>
      <c r="C216" s="19">
        <v>40394</v>
      </c>
      <c r="D216" s="6" t="s">
        <v>17</v>
      </c>
      <c r="E216" s="6">
        <f>IF((ISBLANK($B$1)),"",Sheet1!Q220)</f>
        <v>3500</v>
      </c>
      <c r="F216" s="20" t="s">
        <v>26</v>
      </c>
      <c r="G216" s="53">
        <f t="shared" si="4"/>
        <v>-1.6278342041231517</v>
      </c>
      <c r="H216" s="35"/>
      <c r="P216" s="6"/>
    </row>
    <row r="217" spans="1:16" ht="14.4" x14ac:dyDescent="0.25">
      <c r="A217" s="6">
        <v>3380</v>
      </c>
      <c r="B217" s="6">
        <v>24128</v>
      </c>
      <c r="C217" s="19">
        <v>40505</v>
      </c>
      <c r="D217" s="6" t="s">
        <v>17</v>
      </c>
      <c r="E217" s="6">
        <f>IF((ISBLANK($B$1)),"",Sheet1!Q221)</f>
        <v>4050</v>
      </c>
      <c r="F217" s="20" t="s">
        <v>26</v>
      </c>
      <c r="G217" s="53">
        <f t="shared" si="4"/>
        <v>-0.86830935413290289</v>
      </c>
      <c r="H217" s="35"/>
      <c r="P217" s="6"/>
    </row>
    <row r="218" spans="1:16" ht="14.4" x14ac:dyDescent="0.25">
      <c r="A218" s="6">
        <v>3381</v>
      </c>
      <c r="B218" s="6">
        <v>24128</v>
      </c>
      <c r="C218" s="19">
        <v>40505</v>
      </c>
      <c r="D218" s="6" t="s">
        <v>17</v>
      </c>
      <c r="E218" s="6">
        <f>IF((ISBLANK($B$1)),"",Sheet1!Q222)</f>
        <v>5550</v>
      </c>
      <c r="F218" s="20" t="s">
        <v>27</v>
      </c>
      <c r="G218" s="53">
        <f t="shared" si="4"/>
        <v>1.2031220549314123</v>
      </c>
      <c r="H218" s="35"/>
      <c r="P218" s="6"/>
    </row>
    <row r="219" spans="1:16" ht="14.4" x14ac:dyDescent="0.25">
      <c r="A219" s="6">
        <v>3406</v>
      </c>
      <c r="B219" s="6">
        <v>24294</v>
      </c>
      <c r="C219" s="19">
        <v>40027</v>
      </c>
      <c r="D219" s="6" t="s">
        <v>28</v>
      </c>
      <c r="E219" s="6">
        <f>IF((ISBLANK($B$1)),"",Sheet1!Q223)</f>
        <v>4600</v>
      </c>
      <c r="F219" s="20" t="s">
        <v>27</v>
      </c>
      <c r="G219" s="53">
        <f t="shared" si="4"/>
        <v>-0.108784504142654</v>
      </c>
      <c r="H219" s="35"/>
      <c r="P219" s="6"/>
    </row>
    <row r="220" spans="1:16" ht="14.4" x14ac:dyDescent="0.25">
      <c r="A220" s="6">
        <v>3418</v>
      </c>
      <c r="B220" s="6">
        <v>24387</v>
      </c>
      <c r="C220" s="19">
        <v>40765</v>
      </c>
      <c r="D220" s="6" t="s">
        <v>30</v>
      </c>
      <c r="E220" s="6">
        <f>IF((ISBLANK($B$1)),"",Sheet1!Q224)</f>
        <v>4550</v>
      </c>
      <c r="F220" s="20" t="s">
        <v>29</v>
      </c>
      <c r="G220" s="53">
        <f t="shared" si="4"/>
        <v>-0.17783221777813119</v>
      </c>
      <c r="H220" s="35"/>
      <c r="P220" s="6"/>
    </row>
    <row r="221" spans="1:16" ht="14.4" x14ac:dyDescent="0.25">
      <c r="A221" s="6">
        <v>3419</v>
      </c>
      <c r="B221" s="6">
        <v>24387</v>
      </c>
      <c r="C221" s="19">
        <v>40765</v>
      </c>
      <c r="D221" s="6" t="s">
        <v>30</v>
      </c>
      <c r="E221" s="6">
        <f>IF((ISBLANK($B$1)),"",Sheet1!Q225)</f>
        <v>4250</v>
      </c>
      <c r="F221" s="20" t="s">
        <v>29</v>
      </c>
      <c r="G221" s="53">
        <f t="shared" si="4"/>
        <v>-0.59211849959099416</v>
      </c>
      <c r="H221" s="35"/>
      <c r="P221" s="6"/>
    </row>
    <row r="222" spans="1:16" ht="14.4" x14ac:dyDescent="0.25">
      <c r="A222" s="6">
        <v>3434</v>
      </c>
      <c r="B222" s="6">
        <v>24515</v>
      </c>
      <c r="C222" s="19">
        <v>40304</v>
      </c>
      <c r="D222" s="6" t="s">
        <v>30</v>
      </c>
      <c r="E222" s="6">
        <f>IF((ISBLANK($B$1)),"",Sheet1!Q226)</f>
        <v>5450</v>
      </c>
      <c r="F222" s="20" t="s">
        <v>27</v>
      </c>
      <c r="G222" s="53">
        <f t="shared" si="4"/>
        <v>1.0650266276604579</v>
      </c>
      <c r="H222" s="35"/>
      <c r="P222" s="6"/>
    </row>
    <row r="223" spans="1:16" ht="14.4" x14ac:dyDescent="0.25">
      <c r="A223" s="6">
        <v>3478</v>
      </c>
      <c r="B223" s="6">
        <v>24743</v>
      </c>
      <c r="C223" s="19">
        <v>41088</v>
      </c>
      <c r="D223" s="6" t="s">
        <v>25</v>
      </c>
      <c r="E223" s="6">
        <f>IF((ISBLANK($B$1)),"",Sheet1!Q227)</f>
        <v>5750</v>
      </c>
      <c r="F223" s="20" t="s">
        <v>29</v>
      </c>
      <c r="G223" s="53">
        <f t="shared" si="4"/>
        <v>1.4793129094733208</v>
      </c>
      <c r="H223" s="35"/>
      <c r="P223" s="6"/>
    </row>
    <row r="224" spans="1:16" ht="14.4" x14ac:dyDescent="0.25">
      <c r="A224" s="6">
        <v>3479</v>
      </c>
      <c r="B224" s="6">
        <v>24743</v>
      </c>
      <c r="C224" s="19">
        <v>41088</v>
      </c>
      <c r="D224" s="6" t="s">
        <v>25</v>
      </c>
      <c r="E224" s="6">
        <f>IF((ISBLANK($B$1)),"",Sheet1!Q228)</f>
        <v>4700</v>
      </c>
      <c r="F224" s="20" t="s">
        <v>29</v>
      </c>
      <c r="G224" s="53">
        <f t="shared" si="4"/>
        <v>2.9310923128300338E-2</v>
      </c>
      <c r="H224" s="35"/>
      <c r="P224" s="6"/>
    </row>
    <row r="225" spans="1:16" ht="14.4" x14ac:dyDescent="0.25">
      <c r="A225" s="6">
        <v>3493</v>
      </c>
      <c r="B225" s="6">
        <v>24871</v>
      </c>
      <c r="C225" s="19">
        <v>40625</v>
      </c>
      <c r="D225" s="6" t="s">
        <v>16</v>
      </c>
      <c r="E225" s="6">
        <f>IF((ISBLANK($B$1)),"",Sheet1!Q229)</f>
        <v>3700</v>
      </c>
      <c r="F225" s="20" t="s">
        <v>29</v>
      </c>
      <c r="G225" s="53">
        <f t="shared" si="4"/>
        <v>-1.351643349581243</v>
      </c>
      <c r="H225" s="35"/>
      <c r="P225" s="6"/>
    </row>
    <row r="226" spans="1:16" ht="14.4" x14ac:dyDescent="0.25">
      <c r="A226" s="6">
        <v>3552</v>
      </c>
      <c r="B226" s="6">
        <v>25318</v>
      </c>
      <c r="C226" s="19">
        <v>40866</v>
      </c>
      <c r="D226" s="6" t="s">
        <v>30</v>
      </c>
      <c r="E226" s="6">
        <f>IF((ISBLANK($B$1)),"",Sheet1!Q230)</f>
        <v>4500</v>
      </c>
      <c r="F226" s="20" t="s">
        <v>29</v>
      </c>
      <c r="G226" s="53">
        <f t="shared" si="4"/>
        <v>-0.24687993141360834</v>
      </c>
      <c r="H226" s="35"/>
      <c r="P226" s="6"/>
    </row>
    <row r="227" spans="1:16" ht="14.4" x14ac:dyDescent="0.25">
      <c r="A227" s="6">
        <v>3560</v>
      </c>
      <c r="B227" s="6">
        <v>25377</v>
      </c>
      <c r="C227" s="19">
        <v>41239</v>
      </c>
      <c r="D227" s="6" t="s">
        <v>25</v>
      </c>
      <c r="E227" s="6">
        <f>IF((ISBLANK($B$1)),"",Sheet1!Q231)</f>
        <v>3550</v>
      </c>
      <c r="F227" s="20" t="s">
        <v>27</v>
      </c>
      <c r="G227" s="53">
        <f t="shared" si="4"/>
        <v>-1.5587864904876745</v>
      </c>
      <c r="H227" s="35"/>
      <c r="P227" s="6"/>
    </row>
    <row r="228" spans="1:16" ht="14.4" x14ac:dyDescent="0.25">
      <c r="A228" s="6">
        <v>3591</v>
      </c>
      <c r="B228" s="6">
        <v>25634</v>
      </c>
      <c r="C228" s="19">
        <v>40388</v>
      </c>
      <c r="D228" s="6" t="s">
        <v>28</v>
      </c>
      <c r="E228" s="6">
        <f>IF((ISBLANK($B$1)),"",Sheet1!Q232)</f>
        <v>4850</v>
      </c>
      <c r="F228" s="20" t="s">
        <v>27</v>
      </c>
      <c r="G228" s="53">
        <f t="shared" si="4"/>
        <v>0.23645406403473185</v>
      </c>
      <c r="H228" s="35"/>
      <c r="P228" s="6"/>
    </row>
    <row r="229" spans="1:16" ht="14.4" x14ac:dyDescent="0.25">
      <c r="A229" s="6">
        <v>3592</v>
      </c>
      <c r="B229" s="6">
        <v>25634</v>
      </c>
      <c r="C229" s="19">
        <v>40388</v>
      </c>
      <c r="D229" s="6" t="s">
        <v>28</v>
      </c>
      <c r="E229" s="6">
        <f>IF((ISBLANK($B$1)),"",Sheet1!Q233)</f>
        <v>4700</v>
      </c>
      <c r="F229" s="20" t="s">
        <v>26</v>
      </c>
      <c r="G229" s="53">
        <f t="shared" si="4"/>
        <v>2.9310923128300338E-2</v>
      </c>
      <c r="H229" s="35"/>
      <c r="P229" s="6"/>
    </row>
    <row r="230" spans="1:16" ht="14.4" x14ac:dyDescent="0.25">
      <c r="A230" s="6">
        <v>3602</v>
      </c>
      <c r="B230" s="6">
        <v>25733</v>
      </c>
      <c r="C230" s="19">
        <v>41041</v>
      </c>
      <c r="D230" s="6" t="s">
        <v>25</v>
      </c>
      <c r="E230" s="6">
        <f>IF((ISBLANK($B$1)),"",Sheet1!Q234)</f>
        <v>4600</v>
      </c>
      <c r="F230" s="20" t="s">
        <v>26</v>
      </c>
      <c r="G230" s="53">
        <f t="shared" si="4"/>
        <v>-0.108784504142654</v>
      </c>
      <c r="H230" s="35"/>
      <c r="P230" s="6"/>
    </row>
    <row r="231" spans="1:16" ht="14.4" x14ac:dyDescent="0.25">
      <c r="A231" s="6">
        <v>3604</v>
      </c>
      <c r="B231" s="6">
        <v>25767</v>
      </c>
      <c r="C231" s="19">
        <v>40971</v>
      </c>
      <c r="D231" s="6" t="s">
        <v>17</v>
      </c>
      <c r="E231" s="6">
        <f>IF((ISBLANK($B$1)),"",Sheet1!Q235)</f>
        <v>3750</v>
      </c>
      <c r="F231" s="20" t="s">
        <v>27</v>
      </c>
      <c r="G231" s="53">
        <f t="shared" si="4"/>
        <v>-1.282595635945766</v>
      </c>
      <c r="H231" s="35"/>
      <c r="P231" s="6"/>
    </row>
    <row r="232" spans="1:16" ht="14.4" x14ac:dyDescent="0.25">
      <c r="A232" s="6">
        <v>3605</v>
      </c>
      <c r="B232" s="6">
        <v>25767</v>
      </c>
      <c r="C232" s="19">
        <v>40971</v>
      </c>
      <c r="D232" s="6" t="s">
        <v>17</v>
      </c>
      <c r="E232" s="6">
        <f>IF((ISBLANK($B$1)),"",Sheet1!Q236)</f>
        <v>4150</v>
      </c>
      <c r="F232" s="20" t="s">
        <v>26</v>
      </c>
      <c r="G232" s="53">
        <f t="shared" si="4"/>
        <v>-0.73021392686194853</v>
      </c>
      <c r="H232" s="35"/>
      <c r="P232" s="6"/>
    </row>
    <row r="233" spans="1:16" ht="14.4" x14ac:dyDescent="0.25">
      <c r="A233" s="6">
        <v>3641</v>
      </c>
      <c r="B233" s="6">
        <v>26023</v>
      </c>
      <c r="C233" s="19">
        <v>40410</v>
      </c>
      <c r="D233" s="6" t="s">
        <v>17</v>
      </c>
      <c r="E233" s="6">
        <f>IF((ISBLANK($B$1)),"",Sheet1!Q237)</f>
        <v>5850</v>
      </c>
      <c r="F233" s="20" t="s">
        <v>26</v>
      </c>
      <c r="G233" s="53">
        <f t="shared" si="4"/>
        <v>1.6174083367442753</v>
      </c>
      <c r="H233" s="35"/>
      <c r="P233" s="6"/>
    </row>
    <row r="234" spans="1:16" ht="14.4" x14ac:dyDescent="0.25">
      <c r="A234" s="6">
        <v>3643</v>
      </c>
      <c r="B234" s="6">
        <v>26051</v>
      </c>
      <c r="C234" s="19">
        <v>40356</v>
      </c>
      <c r="D234" s="6" t="s">
        <v>28</v>
      </c>
      <c r="E234" s="6">
        <f>IF((ISBLANK($B$1)),"",Sheet1!Q238)</f>
        <v>4500</v>
      </c>
      <c r="F234" s="20" t="s">
        <v>29</v>
      </c>
      <c r="G234" s="53">
        <f t="shared" si="4"/>
        <v>-0.24687993141360834</v>
      </c>
      <c r="H234" s="35"/>
      <c r="P234" s="6"/>
    </row>
    <row r="235" spans="1:16" ht="14.4" x14ac:dyDescent="0.25">
      <c r="A235" s="6">
        <v>3644</v>
      </c>
      <c r="B235" s="6">
        <v>26051</v>
      </c>
      <c r="C235" s="19">
        <v>40356</v>
      </c>
      <c r="D235" s="6" t="s">
        <v>28</v>
      </c>
      <c r="E235" s="6">
        <f>IF((ISBLANK($B$1)),"",Sheet1!Q239)</f>
        <v>4950</v>
      </c>
      <c r="F235" s="20" t="s">
        <v>27</v>
      </c>
      <c r="G235" s="53">
        <f t="shared" si="4"/>
        <v>0.37454949130568621</v>
      </c>
      <c r="H235" s="35"/>
      <c r="P235" s="6"/>
    </row>
    <row r="236" spans="1:16" ht="14.4" x14ac:dyDescent="0.25">
      <c r="A236" s="6">
        <v>3649</v>
      </c>
      <c r="B236" s="6">
        <v>26116</v>
      </c>
      <c r="C236" s="19">
        <v>41211</v>
      </c>
      <c r="D236" s="6" t="s">
        <v>30</v>
      </c>
      <c r="E236" s="6">
        <f>IF((ISBLANK($B$1)),"",Sheet1!Q240)</f>
        <v>5200</v>
      </c>
      <c r="F236" s="20" t="s">
        <v>26</v>
      </c>
      <c r="G236" s="53">
        <f t="shared" si="4"/>
        <v>0.71978805948307201</v>
      </c>
      <c r="H236" s="35"/>
      <c r="P236" s="6"/>
    </row>
    <row r="237" spans="1:16" ht="14.4" x14ac:dyDescent="0.25">
      <c r="A237" s="6">
        <v>3658</v>
      </c>
      <c r="B237" s="6">
        <v>26182</v>
      </c>
      <c r="C237" s="19">
        <v>40194</v>
      </c>
      <c r="D237" s="6" t="s">
        <v>28</v>
      </c>
      <c r="E237" s="6">
        <f>IF((ISBLANK($B$1)),"",Sheet1!Q241)</f>
        <v>4900</v>
      </c>
      <c r="F237" s="20" t="s">
        <v>29</v>
      </c>
      <c r="G237" s="53">
        <f t="shared" si="4"/>
        <v>0.30550177767020903</v>
      </c>
      <c r="H237" s="35"/>
      <c r="P237" s="6"/>
    </row>
    <row r="238" spans="1:16" ht="14.4" x14ac:dyDescent="0.25">
      <c r="A238" s="6">
        <v>3666</v>
      </c>
      <c r="B238" s="6">
        <v>26272</v>
      </c>
      <c r="C238" s="19">
        <v>41089</v>
      </c>
      <c r="D238" s="6" t="s">
        <v>25</v>
      </c>
      <c r="E238" s="6">
        <f>IF((ISBLANK($B$1)),"",Sheet1!Q242)</f>
        <v>3700</v>
      </c>
      <c r="F238" s="20" t="s">
        <v>29</v>
      </c>
      <c r="G238" s="53">
        <f t="shared" si="4"/>
        <v>-1.351643349581243</v>
      </c>
      <c r="H238" s="35"/>
      <c r="P238" s="6"/>
    </row>
    <row r="239" spans="1:16" ht="14.4" x14ac:dyDescent="0.25">
      <c r="A239" s="6">
        <v>3688</v>
      </c>
      <c r="B239" s="6">
        <v>26370</v>
      </c>
      <c r="C239" s="19">
        <v>40763</v>
      </c>
      <c r="D239" s="6" t="s">
        <v>28</v>
      </c>
      <c r="E239" s="6">
        <f>IF((ISBLANK($B$1)),"",Sheet1!Q243)</f>
        <v>4000</v>
      </c>
      <c r="F239" s="20" t="s">
        <v>26</v>
      </c>
      <c r="G239" s="53">
        <f t="shared" si="4"/>
        <v>-0.93735706776838001</v>
      </c>
      <c r="H239" s="35"/>
      <c r="P239" s="6"/>
    </row>
    <row r="240" spans="1:16" ht="14.4" x14ac:dyDescent="0.25">
      <c r="A240" s="6">
        <v>3689</v>
      </c>
      <c r="B240" s="6">
        <v>26370</v>
      </c>
      <c r="C240" s="19">
        <v>40763</v>
      </c>
      <c r="D240" s="6" t="s">
        <v>28</v>
      </c>
      <c r="E240" s="6">
        <f>IF((ISBLANK($B$1)),"",Sheet1!Q244)</f>
        <v>4400</v>
      </c>
      <c r="F240" s="20" t="s">
        <v>26</v>
      </c>
      <c r="G240" s="53">
        <f t="shared" si="4"/>
        <v>-0.38497535868456267</v>
      </c>
      <c r="H240" s="35"/>
      <c r="P240" s="6"/>
    </row>
    <row r="241" spans="1:16" ht="14.4" x14ac:dyDescent="0.25">
      <c r="A241" s="6">
        <v>3711</v>
      </c>
      <c r="B241" s="6">
        <v>26499</v>
      </c>
      <c r="C241" s="19">
        <v>40230</v>
      </c>
      <c r="D241" s="6" t="s">
        <v>16</v>
      </c>
      <c r="E241" s="6">
        <f>IF((ISBLANK($B$1)),"",Sheet1!Q245)</f>
        <v>3950</v>
      </c>
      <c r="F241" s="20" t="s">
        <v>26</v>
      </c>
      <c r="G241" s="53">
        <f t="shared" si="4"/>
        <v>-1.0064047814038573</v>
      </c>
      <c r="H241" s="35"/>
      <c r="P241" s="6"/>
    </row>
    <row r="242" spans="1:16" ht="14.4" x14ac:dyDescent="0.25">
      <c r="A242" s="6">
        <v>3716</v>
      </c>
      <c r="B242" s="6">
        <v>26531</v>
      </c>
      <c r="C242" s="19">
        <v>40714</v>
      </c>
      <c r="D242" s="6" t="s">
        <v>16</v>
      </c>
      <c r="E242" s="6">
        <f>IF((ISBLANK($B$1)),"",Sheet1!Q246)</f>
        <v>4700</v>
      </c>
      <c r="F242" s="20" t="s">
        <v>27</v>
      </c>
      <c r="G242" s="53">
        <f t="shared" si="4"/>
        <v>2.9310923128300338E-2</v>
      </c>
      <c r="H242" s="35"/>
      <c r="P242" s="6"/>
    </row>
    <row r="243" spans="1:16" ht="14.4" x14ac:dyDescent="0.25">
      <c r="A243" s="6">
        <v>3719</v>
      </c>
      <c r="B243" s="6">
        <v>26567</v>
      </c>
      <c r="C243" s="19">
        <v>40060</v>
      </c>
      <c r="D243" s="6" t="s">
        <v>30</v>
      </c>
      <c r="E243" s="6">
        <f>IF((ISBLANK($B$1)),"",Sheet1!Q247)</f>
        <v>3800</v>
      </c>
      <c r="F243" s="20" t="s">
        <v>26</v>
      </c>
      <c r="G243" s="53">
        <f t="shared" si="4"/>
        <v>-1.2135479223102887</v>
      </c>
      <c r="H243" s="35"/>
      <c r="P243" s="6"/>
    </row>
    <row r="244" spans="1:16" ht="14.4" x14ac:dyDescent="0.25">
      <c r="A244" s="6">
        <v>3720</v>
      </c>
      <c r="B244" s="6">
        <v>26567</v>
      </c>
      <c r="C244" s="19">
        <v>40060</v>
      </c>
      <c r="D244" s="6" t="s">
        <v>30</v>
      </c>
      <c r="E244" s="6">
        <f>IF((ISBLANK($B$1)),"",Sheet1!Q248)</f>
        <v>3900</v>
      </c>
      <c r="F244" s="20" t="s">
        <v>27</v>
      </c>
      <c r="G244" s="53">
        <f t="shared" si="4"/>
        <v>-1.0754524950393345</v>
      </c>
      <c r="H244" s="35"/>
      <c r="P244" s="6"/>
    </row>
    <row r="245" spans="1:16" ht="14.4" x14ac:dyDescent="0.25">
      <c r="A245" s="6">
        <v>3721</v>
      </c>
      <c r="B245" s="6">
        <v>26567</v>
      </c>
      <c r="C245" s="19">
        <v>40060</v>
      </c>
      <c r="D245" s="6" t="s">
        <v>30</v>
      </c>
      <c r="E245" s="6">
        <f>IF((ISBLANK($B$1)),"",Sheet1!Q249)</f>
        <v>4500</v>
      </c>
      <c r="F245" s="20" t="s">
        <v>29</v>
      </c>
      <c r="G245" s="53">
        <f t="shared" si="4"/>
        <v>-0.24687993141360834</v>
      </c>
      <c r="H245" s="35"/>
      <c r="P245" s="6"/>
    </row>
    <row r="246" spans="1:16" ht="14.4" x14ac:dyDescent="0.25">
      <c r="A246" s="6">
        <v>3722</v>
      </c>
      <c r="B246" s="6">
        <v>26567</v>
      </c>
      <c r="C246" s="19">
        <v>40060</v>
      </c>
      <c r="D246" s="6" t="s">
        <v>30</v>
      </c>
      <c r="E246" s="6">
        <f>IF((ISBLANK($B$1)),"",Sheet1!Q250)</f>
        <v>5800</v>
      </c>
      <c r="F246" s="20" t="s">
        <v>27</v>
      </c>
      <c r="G246" s="53">
        <f t="shared" si="4"/>
        <v>1.5483606231087981</v>
      </c>
      <c r="H246" s="35"/>
      <c r="P246" s="6"/>
    </row>
    <row r="247" spans="1:16" ht="14.4" x14ac:dyDescent="0.25">
      <c r="A247" s="6">
        <v>3760</v>
      </c>
      <c r="B247" s="6">
        <v>26854</v>
      </c>
      <c r="C247" s="19">
        <v>39985</v>
      </c>
      <c r="D247" s="6" t="s">
        <v>28</v>
      </c>
      <c r="E247" s="6">
        <f>IF((ISBLANK($B$1)),"",Sheet1!Q251)</f>
        <v>3450</v>
      </c>
      <c r="F247" s="20" t="s">
        <v>29</v>
      </c>
      <c r="G247" s="53">
        <f t="shared" si="4"/>
        <v>-1.696881917758629</v>
      </c>
      <c r="H247" s="35"/>
      <c r="P247" s="6"/>
    </row>
    <row r="248" spans="1:16" ht="14.4" x14ac:dyDescent="0.25">
      <c r="A248" s="6">
        <v>3805</v>
      </c>
      <c r="B248" s="6">
        <v>27109</v>
      </c>
      <c r="C248" s="19">
        <v>40947</v>
      </c>
      <c r="D248" s="6" t="s">
        <v>30</v>
      </c>
      <c r="E248" s="6">
        <f>IF((ISBLANK($B$1)),"",Sheet1!Q252)</f>
        <v>5800</v>
      </c>
      <c r="F248" s="20" t="s">
        <v>27</v>
      </c>
      <c r="G248" s="53">
        <f t="shared" si="4"/>
        <v>1.5483606231087981</v>
      </c>
      <c r="H248" s="35"/>
      <c r="P248" s="6"/>
    </row>
    <row r="249" spans="1:16" ht="14.4" x14ac:dyDescent="0.25">
      <c r="A249" s="6">
        <v>3806</v>
      </c>
      <c r="B249" s="6">
        <v>27111</v>
      </c>
      <c r="C249" s="19">
        <v>39883</v>
      </c>
      <c r="D249" s="6" t="s">
        <v>17</v>
      </c>
      <c r="E249" s="6">
        <f>IF((ISBLANK($B$1)),"",Sheet1!Q253)</f>
        <v>3950</v>
      </c>
      <c r="F249" s="20" t="s">
        <v>27</v>
      </c>
      <c r="G249" s="53">
        <f t="shared" si="4"/>
        <v>-1.0064047814038573</v>
      </c>
      <c r="H249" s="35"/>
      <c r="P249" s="6"/>
    </row>
    <row r="250" spans="1:16" ht="14.4" x14ac:dyDescent="0.25">
      <c r="A250" s="6">
        <v>3807</v>
      </c>
      <c r="B250" s="6">
        <v>27111</v>
      </c>
      <c r="C250" s="19">
        <v>39883</v>
      </c>
      <c r="D250" s="6" t="s">
        <v>17</v>
      </c>
      <c r="E250" s="6">
        <f>IF((ISBLANK($B$1)),"",Sheet1!Q254)</f>
        <v>4300</v>
      </c>
      <c r="F250" s="20" t="s">
        <v>26</v>
      </c>
      <c r="G250" s="53">
        <f t="shared" si="4"/>
        <v>-0.52307078595551704</v>
      </c>
      <c r="H250" s="35"/>
      <c r="P250" s="6"/>
    </row>
    <row r="251" spans="1:16" ht="14.4" x14ac:dyDescent="0.25">
      <c r="A251" s="6">
        <v>3808</v>
      </c>
      <c r="B251" s="6">
        <v>27111</v>
      </c>
      <c r="C251" s="19">
        <v>39883</v>
      </c>
      <c r="D251" s="6" t="s">
        <v>17</v>
      </c>
      <c r="E251" s="6">
        <f>IF((ISBLANK($B$1)),"",Sheet1!Q255)</f>
        <v>5600</v>
      </c>
      <c r="F251" s="20" t="s">
        <v>27</v>
      </c>
      <c r="G251" s="53">
        <f t="shared" si="4"/>
        <v>1.2721697685668893</v>
      </c>
      <c r="H251" s="35"/>
      <c r="P251" s="6"/>
    </row>
    <row r="252" spans="1:16" ht="14.4" x14ac:dyDescent="0.25">
      <c r="A252" s="6">
        <v>3821</v>
      </c>
      <c r="B252" s="6">
        <v>27264</v>
      </c>
      <c r="C252" s="19">
        <v>40698</v>
      </c>
      <c r="D252" s="6" t="s">
        <v>25</v>
      </c>
      <c r="E252" s="6">
        <f>IF((ISBLANK($B$1)),"",Sheet1!Q256)</f>
        <v>3550</v>
      </c>
      <c r="F252" s="20" t="s">
        <v>29</v>
      </c>
      <c r="G252" s="53">
        <f t="shared" si="4"/>
        <v>-1.5587864904876745</v>
      </c>
      <c r="H252" s="35"/>
      <c r="P252" s="6"/>
    </row>
    <row r="253" spans="1:16" ht="14.4" x14ac:dyDescent="0.25">
      <c r="A253" s="6">
        <v>3841</v>
      </c>
      <c r="B253" s="6">
        <v>27392</v>
      </c>
      <c r="C253" s="19">
        <v>40970</v>
      </c>
      <c r="D253" s="6" t="s">
        <v>25</v>
      </c>
      <c r="E253" s="6">
        <f>IF((ISBLANK($B$1)),"",Sheet1!Q257)</f>
        <v>5250</v>
      </c>
      <c r="F253" s="20" t="s">
        <v>27</v>
      </c>
      <c r="G253" s="53">
        <f t="shared" si="4"/>
        <v>0.78883577311854924</v>
      </c>
      <c r="H253" s="35"/>
      <c r="P253" s="6"/>
    </row>
    <row r="254" spans="1:16" ht="14.4" x14ac:dyDescent="0.25">
      <c r="A254" s="6">
        <v>3860</v>
      </c>
      <c r="B254" s="6">
        <v>27553</v>
      </c>
      <c r="C254" s="19">
        <v>40767</v>
      </c>
      <c r="D254" s="6" t="s">
        <v>16</v>
      </c>
      <c r="E254" s="6">
        <f>IF((ISBLANK($B$1)),"",Sheet1!Q258)</f>
        <v>5800</v>
      </c>
      <c r="F254" s="20" t="s">
        <v>26</v>
      </c>
      <c r="G254" s="53">
        <f t="shared" si="4"/>
        <v>1.5483606231087981</v>
      </c>
      <c r="H254" s="35"/>
      <c r="P254" s="6"/>
    </row>
    <row r="255" spans="1:16" ht="14.4" x14ac:dyDescent="0.25">
      <c r="A255" s="6">
        <v>3861</v>
      </c>
      <c r="B255" s="6">
        <v>27553</v>
      </c>
      <c r="C255" s="19">
        <v>40767</v>
      </c>
      <c r="D255" s="6" t="s">
        <v>16</v>
      </c>
      <c r="E255" s="6">
        <f>IF((ISBLANK($B$1)),"",Sheet1!Q259)</f>
        <v>4200</v>
      </c>
      <c r="F255" s="20" t="s">
        <v>27</v>
      </c>
      <c r="G255" s="53">
        <f t="shared" si="4"/>
        <v>-0.6611662132264714</v>
      </c>
      <c r="H255" s="35"/>
      <c r="P255" s="6"/>
    </row>
    <row r="256" spans="1:16" ht="14.4" x14ac:dyDescent="0.25">
      <c r="A256" s="6">
        <v>3863</v>
      </c>
      <c r="B256" s="6">
        <v>27555</v>
      </c>
      <c r="C256" s="19">
        <v>40057</v>
      </c>
      <c r="D256" s="6" t="s">
        <v>30</v>
      </c>
      <c r="E256" s="6">
        <f>IF((ISBLANK($B$1)),"",Sheet1!Q260)</f>
        <v>5000</v>
      </c>
      <c r="F256" s="20" t="s">
        <v>26</v>
      </c>
      <c r="G256" s="53">
        <f t="shared" si="4"/>
        <v>0.44359720494116334</v>
      </c>
      <c r="H256" s="35"/>
      <c r="P256" s="6"/>
    </row>
    <row r="257" spans="1:16" ht="14.4" x14ac:dyDescent="0.25">
      <c r="A257" s="6">
        <v>3873</v>
      </c>
      <c r="B257" s="6">
        <v>27680</v>
      </c>
      <c r="C257" s="19">
        <v>40204</v>
      </c>
      <c r="D257" s="6" t="s">
        <v>30</v>
      </c>
      <c r="E257" s="6">
        <f>IF((ISBLANK($B$1)),"",Sheet1!Q261)</f>
        <v>5000</v>
      </c>
      <c r="F257" s="20" t="s">
        <v>26</v>
      </c>
      <c r="G257" s="53">
        <f t="shared" si="4"/>
        <v>0.44359720494116334</v>
      </c>
      <c r="H257" s="35"/>
      <c r="P257" s="6"/>
    </row>
    <row r="258" spans="1:16" ht="14.4" x14ac:dyDescent="0.25">
      <c r="A258" s="6">
        <v>3874</v>
      </c>
      <c r="B258" s="6">
        <v>27680</v>
      </c>
      <c r="C258" s="19">
        <v>40204</v>
      </c>
      <c r="D258" s="6" t="s">
        <v>30</v>
      </c>
      <c r="E258" s="6">
        <f>IF((ISBLANK($B$1)),"",Sheet1!Q262)</f>
        <v>4350</v>
      </c>
      <c r="F258" s="20" t="s">
        <v>26</v>
      </c>
      <c r="G258" s="53">
        <f t="shared" si="4"/>
        <v>-0.45402307232003986</v>
      </c>
      <c r="H258" s="35"/>
      <c r="P258" s="6"/>
    </row>
    <row r="259" spans="1:16" ht="14.4" x14ac:dyDescent="0.25">
      <c r="A259" s="6">
        <v>3891</v>
      </c>
      <c r="B259" s="6">
        <v>27778</v>
      </c>
      <c r="C259" s="19">
        <v>40788</v>
      </c>
      <c r="D259" s="6" t="s">
        <v>30</v>
      </c>
      <c r="E259" s="6">
        <f>IF((ISBLANK($B$1)),"",Sheet1!Q263)</f>
        <v>3450</v>
      </c>
      <c r="F259" s="20" t="s">
        <v>26</v>
      </c>
      <c r="G259" s="53">
        <f t="shared" si="4"/>
        <v>-1.696881917758629</v>
      </c>
      <c r="H259" s="35"/>
      <c r="P259" s="6"/>
    </row>
    <row r="260" spans="1:16" ht="14.4" x14ac:dyDescent="0.25">
      <c r="A260" s="6">
        <v>3892</v>
      </c>
      <c r="B260" s="6">
        <v>27778</v>
      </c>
      <c r="C260" s="19">
        <v>40788</v>
      </c>
      <c r="D260" s="6" t="s">
        <v>30</v>
      </c>
      <c r="E260" s="6">
        <f>IF((ISBLANK($B$1)),"",Sheet1!Q264)</f>
        <v>5100</v>
      </c>
      <c r="F260" s="20" t="s">
        <v>29</v>
      </c>
      <c r="G260" s="53">
        <f t="shared" si="4"/>
        <v>0.58169263221211776</v>
      </c>
      <c r="H260" s="35"/>
      <c r="P260" s="6"/>
    </row>
    <row r="261" spans="1:16" ht="14.4" x14ac:dyDescent="0.25">
      <c r="A261" s="6">
        <v>3914</v>
      </c>
      <c r="B261" s="6">
        <v>27909</v>
      </c>
      <c r="C261" s="19">
        <v>40946</v>
      </c>
      <c r="D261" s="6" t="s">
        <v>30</v>
      </c>
      <c r="E261" s="6">
        <f>IF((ISBLANK($B$1)),"",Sheet1!Q265)</f>
        <v>3450</v>
      </c>
      <c r="F261" s="20" t="s">
        <v>26</v>
      </c>
      <c r="G261" s="53">
        <f t="shared" si="4"/>
        <v>-1.696881917758629</v>
      </c>
      <c r="H261" s="35"/>
      <c r="P261" s="6"/>
    </row>
    <row r="262" spans="1:16" ht="14.4" x14ac:dyDescent="0.25">
      <c r="A262" s="6">
        <v>3915</v>
      </c>
      <c r="B262" s="6">
        <v>27909</v>
      </c>
      <c r="C262" s="19">
        <v>40946</v>
      </c>
      <c r="D262" s="6" t="s">
        <v>30</v>
      </c>
      <c r="E262" s="6">
        <f>IF((ISBLANK($B$1)),"",Sheet1!Q266)</f>
        <v>5750</v>
      </c>
      <c r="F262" s="20" t="s">
        <v>26</v>
      </c>
      <c r="G262" s="53">
        <f t="shared" si="4"/>
        <v>1.4793129094733208</v>
      </c>
      <c r="H262" s="35"/>
      <c r="P262" s="6"/>
    </row>
    <row r="263" spans="1:16" ht="14.4" x14ac:dyDescent="0.25">
      <c r="A263" s="6">
        <v>3929</v>
      </c>
      <c r="B263" s="6">
        <v>28003</v>
      </c>
      <c r="C263" s="19">
        <v>40621</v>
      </c>
      <c r="D263" s="6" t="s">
        <v>30</v>
      </c>
      <c r="E263" s="6">
        <f>IF((ISBLANK($B$1)),"",Sheet1!Q267)</f>
        <v>4950</v>
      </c>
      <c r="F263" s="20" t="s">
        <v>26</v>
      </c>
      <c r="G263" s="53">
        <f t="shared" si="4"/>
        <v>0.37454949130568621</v>
      </c>
      <c r="H263" s="35"/>
      <c r="P263" s="6"/>
    </row>
    <row r="264" spans="1:16" ht="14.4" x14ac:dyDescent="0.25">
      <c r="A264" s="6">
        <v>3936</v>
      </c>
      <c r="B264" s="6">
        <v>28035</v>
      </c>
      <c r="C264" s="19">
        <v>40671</v>
      </c>
      <c r="D264" s="6" t="s">
        <v>28</v>
      </c>
      <c r="E264" s="6">
        <f>IF((ISBLANK($B$1)),"",Sheet1!Q268)</f>
        <v>4350</v>
      </c>
      <c r="F264" s="20" t="s">
        <v>26</v>
      </c>
      <c r="G264" s="53">
        <f t="shared" ref="G264:G327" si="5">STANDARDIZE(E264,$L$26,$L$35)</f>
        <v>-0.45402307232003986</v>
      </c>
      <c r="H264" s="35"/>
      <c r="P264" s="6"/>
    </row>
    <row r="265" spans="1:16" ht="14.4" x14ac:dyDescent="0.25">
      <c r="A265" s="6">
        <v>3947</v>
      </c>
      <c r="B265" s="6">
        <v>28135</v>
      </c>
      <c r="C265" s="19">
        <v>40081</v>
      </c>
      <c r="D265" s="6" t="s">
        <v>30</v>
      </c>
      <c r="E265" s="6">
        <f>IF((ISBLANK($B$1)),"",Sheet1!Q269)</f>
        <v>5250</v>
      </c>
      <c r="F265" s="20" t="s">
        <v>26</v>
      </c>
      <c r="G265" s="53">
        <f t="shared" si="5"/>
        <v>0.78883577311854924</v>
      </c>
      <c r="H265" s="35"/>
      <c r="P265" s="6"/>
    </row>
    <row r="266" spans="1:16" ht="14.4" x14ac:dyDescent="0.25">
      <c r="A266" s="6">
        <v>3948</v>
      </c>
      <c r="B266" s="6">
        <v>28135</v>
      </c>
      <c r="C266" s="19">
        <v>40081</v>
      </c>
      <c r="D266" s="6" t="s">
        <v>30</v>
      </c>
      <c r="E266" s="6">
        <f>IF((ISBLANK($B$1)),"",Sheet1!Q270)</f>
        <v>5400</v>
      </c>
      <c r="F266" s="20" t="s">
        <v>26</v>
      </c>
      <c r="G266" s="53">
        <f t="shared" si="5"/>
        <v>0.99597891402498073</v>
      </c>
      <c r="H266" s="35"/>
      <c r="P266" s="6"/>
    </row>
    <row r="267" spans="1:16" ht="14.4" x14ac:dyDescent="0.25">
      <c r="A267" s="6">
        <v>3952</v>
      </c>
      <c r="B267" s="6">
        <v>28165</v>
      </c>
      <c r="C267" s="19">
        <v>41099</v>
      </c>
      <c r="D267" s="6" t="s">
        <v>28</v>
      </c>
      <c r="E267" s="6">
        <f>IF((ISBLANK($B$1)),"",Sheet1!Q271)</f>
        <v>3500</v>
      </c>
      <c r="F267" s="20" t="s">
        <v>26</v>
      </c>
      <c r="G267" s="53">
        <f t="shared" si="5"/>
        <v>-1.6278342041231517</v>
      </c>
      <c r="H267" s="35"/>
      <c r="P267" s="6"/>
    </row>
    <row r="268" spans="1:16" ht="14.4" x14ac:dyDescent="0.25">
      <c r="A268" s="6">
        <v>3963</v>
      </c>
      <c r="B268" s="6">
        <v>28289</v>
      </c>
      <c r="C268" s="19">
        <v>40192</v>
      </c>
      <c r="D268" s="6" t="s">
        <v>17</v>
      </c>
      <c r="E268" s="6">
        <f>IF((ISBLANK($B$1)),"",Sheet1!Q272)</f>
        <v>4950</v>
      </c>
      <c r="F268" s="20" t="s">
        <v>26</v>
      </c>
      <c r="G268" s="53">
        <f t="shared" si="5"/>
        <v>0.37454949130568621</v>
      </c>
      <c r="H268" s="35"/>
      <c r="P268" s="6"/>
    </row>
    <row r="269" spans="1:16" ht="14.4" x14ac:dyDescent="0.25">
      <c r="A269" s="6">
        <v>3992</v>
      </c>
      <c r="B269" s="6">
        <v>28486</v>
      </c>
      <c r="C269" s="19">
        <v>40051</v>
      </c>
      <c r="D269" s="6" t="s">
        <v>17</v>
      </c>
      <c r="E269" s="6">
        <f>IF((ISBLANK($B$1)),"",Sheet1!Q273)</f>
        <v>3500</v>
      </c>
      <c r="F269" s="20" t="s">
        <v>26</v>
      </c>
      <c r="G269" s="53">
        <f t="shared" si="5"/>
        <v>-1.6278342041231517</v>
      </c>
      <c r="H269" s="35"/>
      <c r="P269" s="6"/>
    </row>
    <row r="270" spans="1:16" ht="14.4" x14ac:dyDescent="0.25">
      <c r="A270" s="6">
        <v>4017</v>
      </c>
      <c r="B270" s="6">
        <v>28675</v>
      </c>
      <c r="C270" s="19">
        <v>40094</v>
      </c>
      <c r="D270" s="6" t="s">
        <v>30</v>
      </c>
      <c r="E270" s="6">
        <f>IF((ISBLANK($B$1)),"",Sheet1!Q274)</f>
        <v>4150</v>
      </c>
      <c r="F270" s="20" t="s">
        <v>27</v>
      </c>
      <c r="G270" s="53">
        <f t="shared" si="5"/>
        <v>-0.73021392686194853</v>
      </c>
      <c r="H270" s="35"/>
      <c r="P270" s="6"/>
    </row>
    <row r="271" spans="1:16" ht="14.4" x14ac:dyDescent="0.25">
      <c r="A271" s="6">
        <v>4050</v>
      </c>
      <c r="B271" s="6">
        <v>28870</v>
      </c>
      <c r="C271" s="19">
        <v>40857</v>
      </c>
      <c r="D271" s="6" t="s">
        <v>17</v>
      </c>
      <c r="E271" s="6">
        <f>IF((ISBLANK($B$1)),"",Sheet1!Q275)</f>
        <v>5150</v>
      </c>
      <c r="F271" s="20" t="s">
        <v>27</v>
      </c>
      <c r="G271" s="53">
        <f t="shared" si="5"/>
        <v>0.65074034584759488</v>
      </c>
      <c r="H271" s="35"/>
      <c r="P271" s="6"/>
    </row>
    <row r="272" spans="1:16" ht="14.4" x14ac:dyDescent="0.25">
      <c r="A272" s="6">
        <v>4051</v>
      </c>
      <c r="B272" s="6">
        <v>28871</v>
      </c>
      <c r="C272" s="19">
        <v>41014</v>
      </c>
      <c r="D272" s="6" t="s">
        <v>17</v>
      </c>
      <c r="E272" s="6">
        <f>IF((ISBLANK($B$1)),"",Sheet1!Q276)</f>
        <v>3900</v>
      </c>
      <c r="F272" s="20" t="s">
        <v>27</v>
      </c>
      <c r="G272" s="53">
        <f t="shared" si="5"/>
        <v>-1.0754524950393345</v>
      </c>
      <c r="H272" s="35"/>
      <c r="P272" s="6"/>
    </row>
    <row r="273" spans="1:16" ht="14.4" x14ac:dyDescent="0.25">
      <c r="A273" s="6">
        <v>4075</v>
      </c>
      <c r="B273" s="6">
        <v>29030</v>
      </c>
      <c r="C273" s="19">
        <v>40910</v>
      </c>
      <c r="D273" s="6" t="s">
        <v>16</v>
      </c>
      <c r="E273" s="6">
        <f>IF((ISBLANK($B$1)),"",Sheet1!Q277)</f>
        <v>3900</v>
      </c>
      <c r="F273" s="20" t="s">
        <v>26</v>
      </c>
      <c r="G273" s="53">
        <f t="shared" si="5"/>
        <v>-1.0754524950393345</v>
      </c>
      <c r="H273" s="35"/>
      <c r="P273" s="6"/>
    </row>
    <row r="274" spans="1:16" ht="14.4" x14ac:dyDescent="0.25">
      <c r="A274" s="6">
        <v>4082</v>
      </c>
      <c r="B274" s="6">
        <v>29095</v>
      </c>
      <c r="C274" s="19">
        <v>40610</v>
      </c>
      <c r="D274" s="6" t="s">
        <v>28</v>
      </c>
      <c r="E274" s="6">
        <f>IF((ISBLANK($B$1)),"",Sheet1!Q278)</f>
        <v>5400</v>
      </c>
      <c r="F274" s="20" t="s">
        <v>26</v>
      </c>
      <c r="G274" s="53">
        <f t="shared" si="5"/>
        <v>0.99597891402498073</v>
      </c>
      <c r="H274" s="35"/>
      <c r="P274" s="6"/>
    </row>
    <row r="275" spans="1:16" ht="14.4" x14ac:dyDescent="0.25">
      <c r="A275" s="6">
        <v>4118</v>
      </c>
      <c r="B275" s="6">
        <v>29287</v>
      </c>
      <c r="C275" s="19">
        <v>39996</v>
      </c>
      <c r="D275" s="6" t="s">
        <v>17</v>
      </c>
      <c r="E275" s="6">
        <f>IF((ISBLANK($B$1)),"",Sheet1!Q279)</f>
        <v>5900</v>
      </c>
      <c r="F275" s="20" t="s">
        <v>26</v>
      </c>
      <c r="G275" s="53">
        <f t="shared" si="5"/>
        <v>1.6864560503797523</v>
      </c>
      <c r="H275" s="35"/>
      <c r="P275" s="6"/>
    </row>
    <row r="276" spans="1:16" ht="14.4" x14ac:dyDescent="0.25">
      <c r="A276" s="6">
        <v>4119</v>
      </c>
      <c r="B276" s="6">
        <v>29287</v>
      </c>
      <c r="C276" s="19">
        <v>39996</v>
      </c>
      <c r="D276" s="6" t="s">
        <v>17</v>
      </c>
      <c r="E276" s="6">
        <f>IF((ISBLANK($B$1)),"",Sheet1!Q280)</f>
        <v>5850</v>
      </c>
      <c r="F276" s="20" t="s">
        <v>27</v>
      </c>
      <c r="G276" s="53">
        <f t="shared" si="5"/>
        <v>1.6174083367442753</v>
      </c>
      <c r="H276" s="35"/>
      <c r="P276" s="6"/>
    </row>
    <row r="277" spans="1:16" ht="14.4" x14ac:dyDescent="0.25">
      <c r="A277" s="6">
        <v>4164</v>
      </c>
      <c r="B277" s="6">
        <v>29510</v>
      </c>
      <c r="C277" s="19">
        <v>40648</v>
      </c>
      <c r="D277" s="6" t="s">
        <v>30</v>
      </c>
      <c r="E277" s="6">
        <f>IF((ISBLANK($B$1)),"",Sheet1!Q281)</f>
        <v>4500</v>
      </c>
      <c r="F277" s="20" t="s">
        <v>29</v>
      </c>
      <c r="G277" s="53">
        <f t="shared" si="5"/>
        <v>-0.24687993141360834</v>
      </c>
      <c r="H277" s="35"/>
      <c r="P277" s="6"/>
    </row>
    <row r="278" spans="1:16" ht="14.4" x14ac:dyDescent="0.25">
      <c r="A278" s="6">
        <v>4193</v>
      </c>
      <c r="B278" s="6">
        <v>29795</v>
      </c>
      <c r="C278" s="19">
        <v>40872</v>
      </c>
      <c r="D278" s="6" t="s">
        <v>17</v>
      </c>
      <c r="E278" s="6">
        <f>IF((ISBLANK($B$1)),"",Sheet1!Q282)</f>
        <v>5850</v>
      </c>
      <c r="F278" s="20" t="s">
        <v>26</v>
      </c>
      <c r="G278" s="53">
        <f t="shared" si="5"/>
        <v>1.6174083367442753</v>
      </c>
      <c r="H278" s="35"/>
      <c r="P278" s="6"/>
    </row>
    <row r="279" spans="1:16" ht="14.4" x14ac:dyDescent="0.25">
      <c r="A279" s="6">
        <v>4194</v>
      </c>
      <c r="B279" s="6">
        <v>29795</v>
      </c>
      <c r="C279" s="19">
        <v>40872</v>
      </c>
      <c r="D279" s="6" t="s">
        <v>17</v>
      </c>
      <c r="E279" s="6">
        <f>IF((ISBLANK($B$1)),"",Sheet1!Q283)</f>
        <v>5800</v>
      </c>
      <c r="F279" s="20" t="s">
        <v>29</v>
      </c>
      <c r="G279" s="53">
        <f t="shared" si="5"/>
        <v>1.5483606231087981</v>
      </c>
      <c r="H279" s="35"/>
      <c r="P279" s="6"/>
    </row>
    <row r="280" spans="1:16" ht="14.4" x14ac:dyDescent="0.25">
      <c r="A280" s="6">
        <v>4202</v>
      </c>
      <c r="B280" s="6">
        <v>29861</v>
      </c>
      <c r="C280" s="19">
        <v>41024</v>
      </c>
      <c r="D280" s="6" t="s">
        <v>30</v>
      </c>
      <c r="E280" s="6">
        <f>IF((ISBLANK($B$1)),"",Sheet1!Q284)</f>
        <v>3950</v>
      </c>
      <c r="F280" s="20" t="s">
        <v>26</v>
      </c>
      <c r="G280" s="53">
        <f t="shared" si="5"/>
        <v>-1.0064047814038573</v>
      </c>
      <c r="H280" s="35"/>
      <c r="P280" s="6"/>
    </row>
    <row r="281" spans="1:16" ht="14.4" x14ac:dyDescent="0.25">
      <c r="A281" s="6">
        <v>4305</v>
      </c>
      <c r="B281" s="6">
        <v>30658</v>
      </c>
      <c r="C281" s="19">
        <v>40628</v>
      </c>
      <c r="D281" s="6" t="s">
        <v>16</v>
      </c>
      <c r="E281" s="6">
        <f>IF((ISBLANK($B$1)),"",Sheet1!Q285)</f>
        <v>5150</v>
      </c>
      <c r="F281" s="20" t="s">
        <v>27</v>
      </c>
      <c r="G281" s="53">
        <f t="shared" si="5"/>
        <v>0.65074034584759488</v>
      </c>
      <c r="H281" s="35"/>
      <c r="P281" s="6"/>
    </row>
    <row r="282" spans="1:16" ht="14.4" x14ac:dyDescent="0.25">
      <c r="A282" s="6">
        <v>4306</v>
      </c>
      <c r="B282" s="6">
        <v>30658</v>
      </c>
      <c r="C282" s="19">
        <v>40628</v>
      </c>
      <c r="D282" s="6" t="s">
        <v>16</v>
      </c>
      <c r="E282" s="6">
        <f>IF((ISBLANK($B$1)),"",Sheet1!Q286)</f>
        <v>5600</v>
      </c>
      <c r="F282" s="20" t="s">
        <v>26</v>
      </c>
      <c r="G282" s="53">
        <f t="shared" si="5"/>
        <v>1.2721697685668893</v>
      </c>
      <c r="H282" s="35"/>
      <c r="P282" s="6"/>
    </row>
    <row r="283" spans="1:16" ht="14.4" x14ac:dyDescent="0.25">
      <c r="A283" s="6">
        <v>4346</v>
      </c>
      <c r="B283" s="6">
        <v>30947</v>
      </c>
      <c r="C283" s="19">
        <v>40373</v>
      </c>
      <c r="D283" s="6" t="s">
        <v>25</v>
      </c>
      <c r="E283" s="6">
        <f>IF((ISBLANK($B$1)),"",Sheet1!Q287)</f>
        <v>4250</v>
      </c>
      <c r="F283" s="20" t="s">
        <v>26</v>
      </c>
      <c r="G283" s="53">
        <f t="shared" si="5"/>
        <v>-0.59211849959099416</v>
      </c>
      <c r="H283" s="35"/>
      <c r="P283" s="6"/>
    </row>
    <row r="284" spans="1:16" ht="14.4" x14ac:dyDescent="0.25">
      <c r="A284" s="6">
        <v>4347</v>
      </c>
      <c r="B284" s="6">
        <v>30947</v>
      </c>
      <c r="C284" s="19">
        <v>40373</v>
      </c>
      <c r="D284" s="6" t="s">
        <v>25</v>
      </c>
      <c r="E284" s="6">
        <f>IF((ISBLANK($B$1)),"",Sheet1!Q288)</f>
        <v>5650</v>
      </c>
      <c r="F284" s="20" t="s">
        <v>26</v>
      </c>
      <c r="G284" s="53">
        <f t="shared" si="5"/>
        <v>1.3412174822023666</v>
      </c>
      <c r="H284" s="35"/>
      <c r="P284" s="6"/>
    </row>
    <row r="285" spans="1:16" ht="14.4" x14ac:dyDescent="0.25">
      <c r="A285" s="6">
        <v>4362</v>
      </c>
      <c r="B285" s="6">
        <v>31077</v>
      </c>
      <c r="C285" s="19">
        <v>40474</v>
      </c>
      <c r="D285" s="6" t="s">
        <v>28</v>
      </c>
      <c r="E285" s="6">
        <f>IF((ISBLANK($B$1)),"",Sheet1!Q289)</f>
        <v>5200</v>
      </c>
      <c r="F285" s="20" t="s">
        <v>27</v>
      </c>
      <c r="G285" s="53">
        <f t="shared" si="5"/>
        <v>0.71978805948307201</v>
      </c>
      <c r="H285" s="35"/>
      <c r="P285" s="6"/>
    </row>
    <row r="286" spans="1:16" ht="14.4" x14ac:dyDescent="0.25">
      <c r="A286" s="6">
        <v>4369</v>
      </c>
      <c r="B286" s="6">
        <v>31111</v>
      </c>
      <c r="C286" s="19">
        <v>40049</v>
      </c>
      <c r="D286" s="6" t="s">
        <v>28</v>
      </c>
      <c r="E286" s="6">
        <f>IF((ISBLANK($B$1)),"",Sheet1!Q290)</f>
        <v>4750</v>
      </c>
      <c r="F286" s="20" t="s">
        <v>26</v>
      </c>
      <c r="G286" s="53">
        <f t="shared" si="5"/>
        <v>9.8358636763777513E-2</v>
      </c>
      <c r="H286" s="35"/>
      <c r="P286" s="6"/>
    </row>
    <row r="287" spans="1:16" ht="14.4" x14ac:dyDescent="0.25">
      <c r="A287" s="6">
        <v>4372</v>
      </c>
      <c r="B287" s="6">
        <v>31169</v>
      </c>
      <c r="C287" s="19">
        <v>40703</v>
      </c>
      <c r="D287" s="6" t="s">
        <v>25</v>
      </c>
      <c r="E287" s="6">
        <f>IF((ISBLANK($B$1)),"",Sheet1!Q291)</f>
        <v>3700</v>
      </c>
      <c r="F287" s="20" t="s">
        <v>29</v>
      </c>
      <c r="G287" s="53">
        <f t="shared" si="5"/>
        <v>-1.351643349581243</v>
      </c>
      <c r="H287" s="35"/>
      <c r="P287" s="6"/>
    </row>
    <row r="288" spans="1:16" ht="14.4" x14ac:dyDescent="0.25">
      <c r="A288" s="6">
        <v>4390</v>
      </c>
      <c r="B288" s="6">
        <v>31270</v>
      </c>
      <c r="C288" s="19">
        <v>41236</v>
      </c>
      <c r="D288" s="6" t="s">
        <v>16</v>
      </c>
      <c r="E288" s="6">
        <f>IF((ISBLANK($B$1)),"",Sheet1!Q292)</f>
        <v>4450</v>
      </c>
      <c r="F288" s="20" t="s">
        <v>29</v>
      </c>
      <c r="G288" s="53">
        <f t="shared" si="5"/>
        <v>-0.31592764504908549</v>
      </c>
      <c r="H288" s="35"/>
      <c r="P288" s="6"/>
    </row>
    <row r="289" spans="1:16" ht="14.4" x14ac:dyDescent="0.25">
      <c r="A289" s="6">
        <v>4391</v>
      </c>
      <c r="B289" s="6">
        <v>31270</v>
      </c>
      <c r="C289" s="19">
        <v>41236</v>
      </c>
      <c r="D289" s="6" t="s">
        <v>16</v>
      </c>
      <c r="E289" s="6">
        <f>IF((ISBLANK($B$1)),"",Sheet1!Q293)</f>
        <v>3550</v>
      </c>
      <c r="F289" s="20" t="s">
        <v>29</v>
      </c>
      <c r="G289" s="53">
        <f t="shared" si="5"/>
        <v>-1.5587864904876745</v>
      </c>
      <c r="H289" s="35"/>
      <c r="P289" s="6"/>
    </row>
    <row r="290" spans="1:16" ht="14.4" x14ac:dyDescent="0.25">
      <c r="A290" s="6">
        <v>4392</v>
      </c>
      <c r="B290" s="6">
        <v>31270</v>
      </c>
      <c r="C290" s="19">
        <v>41236</v>
      </c>
      <c r="D290" s="6" t="s">
        <v>16</v>
      </c>
      <c r="E290" s="6">
        <f>IF((ISBLANK($B$1)),"",Sheet1!Q294)</f>
        <v>3650</v>
      </c>
      <c r="F290" s="20" t="s">
        <v>27</v>
      </c>
      <c r="G290" s="53">
        <f t="shared" si="5"/>
        <v>-1.4206910632167202</v>
      </c>
      <c r="H290" s="35"/>
      <c r="P290" s="6"/>
    </row>
    <row r="291" spans="1:16" ht="14.4" x14ac:dyDescent="0.25">
      <c r="A291" s="6">
        <v>4401</v>
      </c>
      <c r="B291" s="6">
        <v>31364</v>
      </c>
      <c r="C291" s="19">
        <v>39934</v>
      </c>
      <c r="D291" s="6" t="s">
        <v>28</v>
      </c>
      <c r="E291" s="6">
        <f>IF((ISBLANK($B$1)),"",Sheet1!Q295)</f>
        <v>3500</v>
      </c>
      <c r="F291" s="20" t="s">
        <v>26</v>
      </c>
      <c r="G291" s="53">
        <f t="shared" si="5"/>
        <v>-1.6278342041231517</v>
      </c>
      <c r="H291" s="35"/>
      <c r="P291" s="6"/>
    </row>
    <row r="292" spans="1:16" ht="14.4" x14ac:dyDescent="0.25">
      <c r="A292" s="6">
        <v>4404</v>
      </c>
      <c r="B292" s="6">
        <v>31393</v>
      </c>
      <c r="C292" s="19">
        <v>41040</v>
      </c>
      <c r="D292" s="6" t="s">
        <v>30</v>
      </c>
      <c r="E292" s="6">
        <f>IF((ISBLANK($B$1)),"",Sheet1!Q296)</f>
        <v>3600</v>
      </c>
      <c r="F292" s="20" t="s">
        <v>29</v>
      </c>
      <c r="G292" s="53">
        <f t="shared" si="5"/>
        <v>-1.4897387768521975</v>
      </c>
      <c r="H292" s="35"/>
      <c r="P292" s="6"/>
    </row>
    <row r="293" spans="1:16" ht="14.4" x14ac:dyDescent="0.25">
      <c r="A293" s="6">
        <v>4405</v>
      </c>
      <c r="B293" s="6">
        <v>31393</v>
      </c>
      <c r="C293" s="19">
        <v>41040</v>
      </c>
      <c r="D293" s="6" t="s">
        <v>30</v>
      </c>
      <c r="E293" s="6">
        <f>IF((ISBLANK($B$1)),"",Sheet1!Q297)</f>
        <v>4950</v>
      </c>
      <c r="F293" s="20" t="s">
        <v>26</v>
      </c>
      <c r="G293" s="53">
        <f t="shared" si="5"/>
        <v>0.37454949130568621</v>
      </c>
      <c r="H293" s="35"/>
      <c r="P293" s="6"/>
    </row>
    <row r="294" spans="1:16" ht="14.4" x14ac:dyDescent="0.25">
      <c r="A294" s="6">
        <v>4411</v>
      </c>
      <c r="B294" s="6">
        <v>31492</v>
      </c>
      <c r="C294" s="19">
        <v>40466</v>
      </c>
      <c r="D294" s="6" t="s">
        <v>30</v>
      </c>
      <c r="E294" s="6">
        <f>IF((ISBLANK($B$1)),"",Sheet1!Q298)</f>
        <v>4700</v>
      </c>
      <c r="F294" s="20" t="s">
        <v>26</v>
      </c>
      <c r="G294" s="53">
        <f t="shared" si="5"/>
        <v>2.9310923128300338E-2</v>
      </c>
      <c r="H294" s="35"/>
      <c r="P294" s="6"/>
    </row>
    <row r="295" spans="1:16" ht="14.4" x14ac:dyDescent="0.25">
      <c r="A295" s="6">
        <v>4412</v>
      </c>
      <c r="B295" s="6">
        <v>31492</v>
      </c>
      <c r="C295" s="19">
        <v>40466</v>
      </c>
      <c r="D295" s="6" t="s">
        <v>30</v>
      </c>
      <c r="E295" s="6">
        <f>IF((ISBLANK($B$1)),"",Sheet1!Q299)</f>
        <v>5100</v>
      </c>
      <c r="F295" s="20" t="s">
        <v>26</v>
      </c>
      <c r="G295" s="53">
        <f t="shared" si="5"/>
        <v>0.58169263221211776</v>
      </c>
      <c r="H295" s="35"/>
      <c r="P295" s="6"/>
    </row>
    <row r="296" spans="1:16" ht="14.4" x14ac:dyDescent="0.25">
      <c r="A296" s="6">
        <v>4413</v>
      </c>
      <c r="B296" s="6">
        <v>31492</v>
      </c>
      <c r="C296" s="19">
        <v>40466</v>
      </c>
      <c r="D296" s="6" t="s">
        <v>30</v>
      </c>
      <c r="E296" s="6">
        <f>IF((ISBLANK($B$1)),"",Sheet1!Q300)</f>
        <v>4550</v>
      </c>
      <c r="F296" s="20" t="s">
        <v>26</v>
      </c>
      <c r="G296" s="53">
        <f t="shared" si="5"/>
        <v>-0.17783221777813119</v>
      </c>
      <c r="H296" s="35"/>
      <c r="P296" s="6"/>
    </row>
    <row r="297" spans="1:16" ht="14.4" x14ac:dyDescent="0.25">
      <c r="A297" s="6">
        <v>4429</v>
      </c>
      <c r="B297" s="6">
        <v>31558</v>
      </c>
      <c r="C297" s="19">
        <v>40747</v>
      </c>
      <c r="D297" s="6" t="s">
        <v>25</v>
      </c>
      <c r="E297" s="6">
        <f>IF((ISBLANK($B$1)),"",Sheet1!Q301)</f>
        <v>4000</v>
      </c>
      <c r="F297" s="20" t="s">
        <v>26</v>
      </c>
      <c r="G297" s="53">
        <f t="shared" si="5"/>
        <v>-0.93735706776838001</v>
      </c>
      <c r="H297" s="35"/>
      <c r="P297" s="6"/>
    </row>
    <row r="298" spans="1:16" ht="14.4" x14ac:dyDescent="0.25">
      <c r="A298" s="6">
        <v>4430</v>
      </c>
      <c r="B298" s="6">
        <v>31558</v>
      </c>
      <c r="C298" s="19">
        <v>40747</v>
      </c>
      <c r="D298" s="6" t="s">
        <v>25</v>
      </c>
      <c r="E298" s="6">
        <f>IF((ISBLANK($B$1)),"",Sheet1!Q302)</f>
        <v>5500</v>
      </c>
      <c r="F298" s="20" t="s">
        <v>27</v>
      </c>
      <c r="G298" s="53">
        <f t="shared" si="5"/>
        <v>1.1340743412959351</v>
      </c>
      <c r="H298" s="35"/>
      <c r="P298" s="6"/>
    </row>
    <row r="299" spans="1:16" ht="14.4" x14ac:dyDescent="0.25">
      <c r="A299" s="6">
        <v>4437</v>
      </c>
      <c r="B299" s="6">
        <v>31618</v>
      </c>
      <c r="C299" s="19">
        <v>40735</v>
      </c>
      <c r="D299" s="6" t="s">
        <v>30</v>
      </c>
      <c r="E299" s="6">
        <f>IF((ISBLANK($B$1)),"",Sheet1!Q303)</f>
        <v>4100</v>
      </c>
      <c r="F299" s="20" t="s">
        <v>26</v>
      </c>
      <c r="G299" s="53">
        <f t="shared" si="5"/>
        <v>-0.79926164049742576</v>
      </c>
      <c r="H299" s="35"/>
      <c r="P299" s="6"/>
    </row>
    <row r="300" spans="1:16" ht="14.4" x14ac:dyDescent="0.25">
      <c r="A300" s="6">
        <v>4446</v>
      </c>
      <c r="B300" s="6">
        <v>31684</v>
      </c>
      <c r="C300" s="19">
        <v>41168</v>
      </c>
      <c r="D300" s="6" t="s">
        <v>30</v>
      </c>
      <c r="E300" s="6">
        <f>IF((ISBLANK($B$1)),"",Sheet1!Q304)</f>
        <v>4150</v>
      </c>
      <c r="F300" s="20" t="s">
        <v>26</v>
      </c>
      <c r="G300" s="53">
        <f t="shared" si="5"/>
        <v>-0.73021392686194853</v>
      </c>
      <c r="H300" s="35"/>
      <c r="P300" s="6"/>
    </row>
    <row r="301" spans="1:16" ht="14.4" x14ac:dyDescent="0.25">
      <c r="A301" s="6">
        <v>4447</v>
      </c>
      <c r="B301" s="6">
        <v>31684</v>
      </c>
      <c r="C301" s="19">
        <v>41168</v>
      </c>
      <c r="D301" s="6" t="s">
        <v>30</v>
      </c>
      <c r="E301" s="6">
        <f>IF((ISBLANK($B$1)),"",Sheet1!Q305)</f>
        <v>4800</v>
      </c>
      <c r="F301" s="20" t="s">
        <v>26</v>
      </c>
      <c r="G301" s="53">
        <f t="shared" si="5"/>
        <v>0.16740635039925467</v>
      </c>
      <c r="H301" s="35"/>
      <c r="P301" s="6"/>
    </row>
    <row r="302" spans="1:16" ht="14.4" x14ac:dyDescent="0.25">
      <c r="A302" s="6">
        <v>4459</v>
      </c>
      <c r="B302" s="6">
        <v>31781</v>
      </c>
      <c r="C302" s="19">
        <v>39829</v>
      </c>
      <c r="D302" s="6" t="s">
        <v>16</v>
      </c>
      <c r="E302" s="6">
        <f>IF((ISBLANK($B$1)),"",Sheet1!Q306)</f>
        <v>5700</v>
      </c>
      <c r="F302" s="20" t="s">
        <v>26</v>
      </c>
      <c r="G302" s="53">
        <f t="shared" si="5"/>
        <v>1.4102651958378438</v>
      </c>
      <c r="H302" s="35"/>
      <c r="P302" s="6"/>
    </row>
    <row r="303" spans="1:16" ht="14.4" x14ac:dyDescent="0.25">
      <c r="A303" s="6">
        <v>4460</v>
      </c>
      <c r="B303" s="6">
        <v>31781</v>
      </c>
      <c r="C303" s="19">
        <v>39829</v>
      </c>
      <c r="D303" s="6" t="s">
        <v>16</v>
      </c>
      <c r="E303" s="6">
        <f>IF((ISBLANK($B$1)),"",Sheet1!Q307)</f>
        <v>5450</v>
      </c>
      <c r="F303" s="20" t="s">
        <v>26</v>
      </c>
      <c r="G303" s="53">
        <f t="shared" si="5"/>
        <v>1.0650266276604579</v>
      </c>
      <c r="H303" s="35"/>
      <c r="P303" s="6"/>
    </row>
    <row r="304" spans="1:16" ht="14.4" x14ac:dyDescent="0.25">
      <c r="A304" s="6">
        <v>4524</v>
      </c>
      <c r="B304" s="6">
        <v>32193</v>
      </c>
      <c r="C304" s="19">
        <v>40471</v>
      </c>
      <c r="D304" s="6" t="s">
        <v>25</v>
      </c>
      <c r="E304" s="6">
        <f>IF((ISBLANK($B$1)),"",Sheet1!Q308)</f>
        <v>3600</v>
      </c>
      <c r="F304" s="20" t="s">
        <v>26</v>
      </c>
      <c r="G304" s="53">
        <f t="shared" si="5"/>
        <v>-1.4897387768521975</v>
      </c>
      <c r="H304" s="35"/>
      <c r="P304" s="6"/>
    </row>
    <row r="305" spans="1:16" ht="14.4" x14ac:dyDescent="0.25">
      <c r="A305" s="6">
        <v>4525</v>
      </c>
      <c r="B305" s="6">
        <v>32193</v>
      </c>
      <c r="C305" s="19">
        <v>40471</v>
      </c>
      <c r="D305" s="6" t="s">
        <v>25</v>
      </c>
      <c r="E305" s="6">
        <f>IF((ISBLANK($B$1)),"",Sheet1!Q309)</f>
        <v>4750</v>
      </c>
      <c r="F305" s="20" t="s">
        <v>26</v>
      </c>
      <c r="G305" s="53">
        <f t="shared" si="5"/>
        <v>9.8358636763777513E-2</v>
      </c>
      <c r="H305" s="35"/>
      <c r="P305" s="6"/>
    </row>
    <row r="306" spans="1:16" ht="14.4" x14ac:dyDescent="0.25">
      <c r="A306" s="6">
        <v>4532</v>
      </c>
      <c r="B306" s="6">
        <v>32229</v>
      </c>
      <c r="C306" s="19">
        <v>40420</v>
      </c>
      <c r="D306" s="6" t="s">
        <v>17</v>
      </c>
      <c r="E306" s="6">
        <f>IF((ISBLANK($B$1)),"",Sheet1!Q310)</f>
        <v>3800</v>
      </c>
      <c r="F306" s="20" t="s">
        <v>27</v>
      </c>
      <c r="G306" s="53">
        <f t="shared" si="5"/>
        <v>-1.2135479223102887</v>
      </c>
      <c r="H306" s="35"/>
      <c r="P306" s="6"/>
    </row>
    <row r="307" spans="1:16" ht="14.4" x14ac:dyDescent="0.25">
      <c r="A307" s="6">
        <v>4599</v>
      </c>
      <c r="B307" s="6">
        <v>32743</v>
      </c>
      <c r="C307" s="19">
        <v>40305</v>
      </c>
      <c r="D307" s="6" t="s">
        <v>30</v>
      </c>
      <c r="E307" s="6">
        <f>IF((ISBLANK($B$1)),"",Sheet1!Q312)</f>
        <v>4350</v>
      </c>
      <c r="F307" s="20" t="s">
        <v>26</v>
      </c>
      <c r="G307" s="53">
        <f t="shared" si="5"/>
        <v>-0.45402307232003986</v>
      </c>
      <c r="H307" s="35"/>
      <c r="P307" s="6"/>
    </row>
    <row r="308" spans="1:16" ht="14.4" x14ac:dyDescent="0.25">
      <c r="A308" s="6">
        <v>4607</v>
      </c>
      <c r="B308" s="6">
        <v>32806</v>
      </c>
      <c r="C308" s="19">
        <v>40715</v>
      </c>
      <c r="D308" s="6" t="s">
        <v>30</v>
      </c>
      <c r="E308" s="6">
        <f>IF((ISBLANK($B$1)),"",Sheet1!Q313)</f>
        <v>3800</v>
      </c>
      <c r="F308" s="20" t="s">
        <v>29</v>
      </c>
      <c r="G308" s="53">
        <f t="shared" si="5"/>
        <v>-1.2135479223102887</v>
      </c>
      <c r="H308" s="35"/>
      <c r="P308" s="6"/>
    </row>
    <row r="309" spans="1:16" ht="14.4" x14ac:dyDescent="0.25">
      <c r="A309" s="6">
        <v>4651</v>
      </c>
      <c r="B309" s="6">
        <v>33123</v>
      </c>
      <c r="C309" s="19">
        <v>40506</v>
      </c>
      <c r="D309" s="6" t="s">
        <v>16</v>
      </c>
      <c r="E309" s="6">
        <f>IF((ISBLANK($B$1)),"",Sheet1!Q314)</f>
        <v>5450</v>
      </c>
      <c r="F309" s="20" t="s">
        <v>29</v>
      </c>
      <c r="G309" s="53">
        <f t="shared" si="5"/>
        <v>1.0650266276604579</v>
      </c>
      <c r="H309" s="35"/>
      <c r="P309" s="6"/>
    </row>
    <row r="310" spans="1:16" ht="14.4" x14ac:dyDescent="0.25">
      <c r="A310" s="6">
        <v>4656</v>
      </c>
      <c r="B310" s="6">
        <v>33159</v>
      </c>
      <c r="C310" s="19">
        <v>41026</v>
      </c>
      <c r="D310" s="6" t="s">
        <v>16</v>
      </c>
      <c r="E310" s="6">
        <f>IF((ISBLANK($B$1)),"",Sheet1!Q315)</f>
        <v>3550</v>
      </c>
      <c r="F310" s="20" t="s">
        <v>27</v>
      </c>
      <c r="G310" s="53">
        <f t="shared" si="5"/>
        <v>-1.5587864904876745</v>
      </c>
      <c r="H310" s="35"/>
      <c r="P310" s="6"/>
    </row>
    <row r="311" spans="1:16" ht="14.4" x14ac:dyDescent="0.25">
      <c r="A311" s="6">
        <v>4659</v>
      </c>
      <c r="B311" s="6">
        <v>33186</v>
      </c>
      <c r="C311" s="19">
        <v>41149</v>
      </c>
      <c r="D311" s="6" t="s">
        <v>25</v>
      </c>
      <c r="E311" s="6">
        <f>IF((ISBLANK($B$1)),"",Sheet1!Q316)</f>
        <v>4600</v>
      </c>
      <c r="F311" s="20" t="s">
        <v>27</v>
      </c>
      <c r="G311" s="53">
        <f t="shared" si="5"/>
        <v>-0.108784504142654</v>
      </c>
      <c r="H311" s="35"/>
      <c r="P311" s="6"/>
    </row>
    <row r="312" spans="1:16" ht="14.4" x14ac:dyDescent="0.25">
      <c r="A312" s="6">
        <v>4687</v>
      </c>
      <c r="B312" s="6">
        <v>33377</v>
      </c>
      <c r="C312" s="19">
        <v>40755</v>
      </c>
      <c r="D312" s="6" t="s">
        <v>17</v>
      </c>
      <c r="E312" s="6">
        <f>IF((ISBLANK($B$1)),"",Sheet1!Q317)</f>
        <v>4400</v>
      </c>
      <c r="F312" s="20" t="s">
        <v>26</v>
      </c>
      <c r="G312" s="53">
        <f t="shared" si="5"/>
        <v>-0.38497535868456267</v>
      </c>
      <c r="H312" s="35"/>
      <c r="P312" s="6"/>
    </row>
    <row r="313" spans="1:16" ht="14.4" x14ac:dyDescent="0.25">
      <c r="A313" s="6">
        <v>4688</v>
      </c>
      <c r="B313" s="6">
        <v>33377</v>
      </c>
      <c r="C313" s="19">
        <v>40755</v>
      </c>
      <c r="D313" s="6" t="s">
        <v>17</v>
      </c>
      <c r="E313" s="6">
        <f>IF((ISBLANK($B$1)),"",Sheet1!Q318)</f>
        <v>4350</v>
      </c>
      <c r="F313" s="20" t="s">
        <v>26</v>
      </c>
      <c r="G313" s="53">
        <f t="shared" si="5"/>
        <v>-0.45402307232003986</v>
      </c>
      <c r="H313" s="35"/>
      <c r="P313" s="6"/>
    </row>
    <row r="314" spans="1:16" ht="14.4" x14ac:dyDescent="0.25">
      <c r="A314" s="6">
        <v>4691</v>
      </c>
      <c r="B314" s="6">
        <v>33444</v>
      </c>
      <c r="C314" s="19">
        <v>41188</v>
      </c>
      <c r="D314" s="6" t="s">
        <v>16</v>
      </c>
      <c r="E314" s="6">
        <f>IF((ISBLANK($B$1)),"",Sheet1!Q319)</f>
        <v>3950</v>
      </c>
      <c r="F314" s="20" t="s">
        <v>26</v>
      </c>
      <c r="G314" s="53">
        <f t="shared" si="5"/>
        <v>-1.0064047814038573</v>
      </c>
      <c r="H314" s="35"/>
      <c r="P314" s="6"/>
    </row>
    <row r="315" spans="1:16" ht="14.4" x14ac:dyDescent="0.25">
      <c r="A315" s="6">
        <v>4692</v>
      </c>
      <c r="B315" s="6">
        <v>33444</v>
      </c>
      <c r="C315" s="19">
        <v>41188</v>
      </c>
      <c r="D315" s="6" t="s">
        <v>16</v>
      </c>
      <c r="E315" s="6">
        <f>IF((ISBLANK($B$1)),"",Sheet1!Q320)</f>
        <v>3800</v>
      </c>
      <c r="F315" s="20" t="s">
        <v>26</v>
      </c>
      <c r="G315" s="53">
        <f t="shared" si="5"/>
        <v>-1.2135479223102887</v>
      </c>
      <c r="H315" s="35"/>
      <c r="P315" s="6"/>
    </row>
    <row r="316" spans="1:16" ht="14.4" x14ac:dyDescent="0.25">
      <c r="A316" s="6">
        <v>4738</v>
      </c>
      <c r="B316" s="6">
        <v>33703</v>
      </c>
      <c r="C316" s="19">
        <v>40215</v>
      </c>
      <c r="D316" s="6" t="s">
        <v>28</v>
      </c>
      <c r="E316" s="6">
        <f>IF((ISBLANK($B$1)),"",Sheet1!Q321)</f>
        <v>3600</v>
      </c>
      <c r="F316" s="20" t="s">
        <v>27</v>
      </c>
      <c r="G316" s="53">
        <f t="shared" si="5"/>
        <v>-1.4897387768521975</v>
      </c>
      <c r="H316" s="35"/>
      <c r="P316" s="6"/>
    </row>
    <row r="317" spans="1:16" ht="14.4" x14ac:dyDescent="0.25">
      <c r="A317" s="6">
        <v>4739</v>
      </c>
      <c r="B317" s="6">
        <v>33703</v>
      </c>
      <c r="C317" s="19">
        <v>40215</v>
      </c>
      <c r="D317" s="6" t="s">
        <v>28</v>
      </c>
      <c r="E317" s="6">
        <f>IF((ISBLANK($B$1)),"",Sheet1!Q322)</f>
        <v>4650</v>
      </c>
      <c r="F317" s="20" t="s">
        <v>26</v>
      </c>
      <c r="G317" s="53">
        <f t="shared" si="5"/>
        <v>-3.9736790507176829E-2</v>
      </c>
      <c r="H317" s="35"/>
      <c r="P317" s="6"/>
    </row>
    <row r="318" spans="1:16" ht="14.4" x14ac:dyDescent="0.25">
      <c r="A318" s="6">
        <v>4740</v>
      </c>
      <c r="B318" s="6">
        <v>33703</v>
      </c>
      <c r="C318" s="19">
        <v>40215</v>
      </c>
      <c r="D318" s="6" t="s">
        <v>28</v>
      </c>
      <c r="E318" s="6">
        <f>IF((ISBLANK($B$1)),"",Sheet1!Q323)</f>
        <v>3600</v>
      </c>
      <c r="F318" s="20" t="s">
        <v>26</v>
      </c>
      <c r="G318" s="53">
        <f t="shared" si="5"/>
        <v>-1.4897387768521975</v>
      </c>
      <c r="H318" s="35"/>
      <c r="P318" s="6"/>
    </row>
    <row r="319" spans="1:16" ht="14.4" x14ac:dyDescent="0.25">
      <c r="A319" s="6">
        <v>4746</v>
      </c>
      <c r="B319" s="6">
        <v>33734</v>
      </c>
      <c r="C319" s="19">
        <v>40833</v>
      </c>
      <c r="D319" s="6" t="s">
        <v>28</v>
      </c>
      <c r="E319" s="6">
        <f>IF((ISBLANK($B$1)),"",Sheet1!Q324)</f>
        <v>4050</v>
      </c>
      <c r="F319" s="20" t="s">
        <v>26</v>
      </c>
      <c r="G319" s="53">
        <f t="shared" si="5"/>
        <v>-0.86830935413290289</v>
      </c>
      <c r="H319" s="35"/>
      <c r="P319" s="6"/>
    </row>
    <row r="320" spans="1:16" ht="14.4" x14ac:dyDescent="0.25">
      <c r="A320" s="6">
        <v>4763</v>
      </c>
      <c r="B320" s="6">
        <v>33888</v>
      </c>
      <c r="C320" s="19">
        <v>40045</v>
      </c>
      <c r="D320" s="6" t="s">
        <v>28</v>
      </c>
      <c r="E320" s="6">
        <f>IF((ISBLANK($B$1)),"",Sheet1!Q325)</f>
        <v>4950</v>
      </c>
      <c r="F320" s="20" t="s">
        <v>26</v>
      </c>
      <c r="G320" s="53">
        <f t="shared" si="5"/>
        <v>0.37454949130568621</v>
      </c>
      <c r="H320" s="35"/>
      <c r="P320" s="6"/>
    </row>
    <row r="321" spans="1:16" ht="14.4" x14ac:dyDescent="0.25">
      <c r="A321" s="6">
        <v>4764</v>
      </c>
      <c r="B321" s="6">
        <v>33888</v>
      </c>
      <c r="C321" s="19">
        <v>40045</v>
      </c>
      <c r="D321" s="6" t="s">
        <v>28</v>
      </c>
      <c r="E321" s="6">
        <f>IF((ISBLANK($B$1)),"",Sheet1!Q326)</f>
        <v>3550</v>
      </c>
      <c r="F321" s="20" t="s">
        <v>26</v>
      </c>
      <c r="G321" s="53">
        <f t="shared" si="5"/>
        <v>-1.5587864904876745</v>
      </c>
      <c r="H321" s="35"/>
      <c r="P321" s="6"/>
    </row>
    <row r="322" spans="1:16" ht="14.4" x14ac:dyDescent="0.25">
      <c r="A322" s="6">
        <v>4765</v>
      </c>
      <c r="B322" s="6">
        <v>33888</v>
      </c>
      <c r="C322" s="19">
        <v>40045</v>
      </c>
      <c r="D322" s="6" t="s">
        <v>28</v>
      </c>
      <c r="E322" s="6">
        <f>IF((ISBLANK($B$1)),"",Sheet1!Q327)</f>
        <v>5750</v>
      </c>
      <c r="F322" s="20" t="s">
        <v>26</v>
      </c>
      <c r="G322" s="53">
        <f t="shared" si="5"/>
        <v>1.4793129094733208</v>
      </c>
      <c r="H322" s="35"/>
      <c r="P322" s="6"/>
    </row>
    <row r="323" spans="1:16" ht="14.4" x14ac:dyDescent="0.25">
      <c r="A323" s="6">
        <v>4772</v>
      </c>
      <c r="B323" s="6">
        <v>33894</v>
      </c>
      <c r="C323" s="19">
        <v>40343</v>
      </c>
      <c r="D323" s="6" t="s">
        <v>30</v>
      </c>
      <c r="E323" s="6">
        <f>IF((ISBLANK($B$1)),"",Sheet1!Q328)</f>
        <v>4100</v>
      </c>
      <c r="F323" s="20" t="s">
        <v>26</v>
      </c>
      <c r="G323" s="53">
        <f t="shared" si="5"/>
        <v>-0.79926164049742576</v>
      </c>
      <c r="H323" s="35"/>
      <c r="P323" s="6"/>
    </row>
    <row r="324" spans="1:16" ht="14.4" x14ac:dyDescent="0.25">
      <c r="A324" s="6">
        <v>4773</v>
      </c>
      <c r="B324" s="6">
        <v>33894</v>
      </c>
      <c r="C324" s="19">
        <v>40343</v>
      </c>
      <c r="D324" s="6" t="s">
        <v>30</v>
      </c>
      <c r="E324" s="6">
        <f>IF((ISBLANK($B$1)),"",Sheet1!Q329)</f>
        <v>3650</v>
      </c>
      <c r="F324" s="20" t="s">
        <v>26</v>
      </c>
      <c r="G324" s="53">
        <f t="shared" si="5"/>
        <v>-1.4206910632167202</v>
      </c>
      <c r="H324" s="35"/>
      <c r="P324" s="6"/>
    </row>
    <row r="325" spans="1:16" ht="14.4" x14ac:dyDescent="0.25">
      <c r="A325" s="6">
        <v>4774</v>
      </c>
      <c r="B325" s="6">
        <v>33894</v>
      </c>
      <c r="C325" s="19">
        <v>40343</v>
      </c>
      <c r="D325" s="6" t="s">
        <v>30</v>
      </c>
      <c r="E325" s="6">
        <f>IF((ISBLANK($B$1)),"",Sheet1!Q330)</f>
        <v>5800</v>
      </c>
      <c r="F325" s="20" t="s">
        <v>27</v>
      </c>
      <c r="G325" s="53">
        <f t="shared" si="5"/>
        <v>1.5483606231087981</v>
      </c>
      <c r="H325" s="35"/>
      <c r="P325" s="6"/>
    </row>
    <row r="326" spans="1:16" ht="14.4" x14ac:dyDescent="0.25">
      <c r="A326" s="6">
        <v>4775</v>
      </c>
      <c r="B326" s="6">
        <v>33894</v>
      </c>
      <c r="C326" s="19">
        <v>40343</v>
      </c>
      <c r="D326" s="6" t="s">
        <v>30</v>
      </c>
      <c r="E326" s="6">
        <f>IF((ISBLANK($B$1)),"",Sheet1!Q331)</f>
        <v>4050</v>
      </c>
      <c r="F326" s="20" t="s">
        <v>27</v>
      </c>
      <c r="G326" s="53">
        <f t="shared" si="5"/>
        <v>-0.86830935413290289</v>
      </c>
      <c r="H326" s="35"/>
      <c r="P326" s="6"/>
    </row>
    <row r="327" spans="1:16" ht="14.4" x14ac:dyDescent="0.25">
      <c r="A327" s="6">
        <v>4777</v>
      </c>
      <c r="B327" s="6">
        <v>33922</v>
      </c>
      <c r="C327" s="19">
        <v>40236</v>
      </c>
      <c r="D327" s="6" t="s">
        <v>28</v>
      </c>
      <c r="E327" s="6">
        <f>IF((ISBLANK($B$1)),"",Sheet1!Q332)</f>
        <v>4950</v>
      </c>
      <c r="F327" s="20" t="s">
        <v>27</v>
      </c>
      <c r="G327" s="53">
        <f t="shared" si="5"/>
        <v>0.37454949130568621</v>
      </c>
      <c r="H327" s="35"/>
      <c r="P327" s="6"/>
    </row>
    <row r="328" spans="1:16" ht="14.4" x14ac:dyDescent="0.25">
      <c r="A328" s="6">
        <v>4803</v>
      </c>
      <c r="B328" s="6">
        <v>34177</v>
      </c>
      <c r="C328" s="19">
        <v>40040</v>
      </c>
      <c r="D328" s="6" t="s">
        <v>17</v>
      </c>
      <c r="E328" s="6">
        <f>IF((ISBLANK($B$1)),"",Sheet1!Q333)</f>
        <v>4050</v>
      </c>
      <c r="F328" s="20" t="s">
        <v>26</v>
      </c>
      <c r="G328" s="53">
        <f t="shared" ref="G328:G391" si="6">STANDARDIZE(E328,$L$26,$L$35)</f>
        <v>-0.86830935413290289</v>
      </c>
      <c r="H328" s="35"/>
      <c r="P328" s="6"/>
    </row>
    <row r="329" spans="1:16" ht="14.4" x14ac:dyDescent="0.25">
      <c r="A329" s="6">
        <v>4804</v>
      </c>
      <c r="B329" s="6">
        <v>34177</v>
      </c>
      <c r="C329" s="19">
        <v>40040</v>
      </c>
      <c r="D329" s="6" t="s">
        <v>17</v>
      </c>
      <c r="E329" s="6">
        <f>IF((ISBLANK($B$1)),"",Sheet1!Q334)</f>
        <v>4700</v>
      </c>
      <c r="F329" s="20" t="s">
        <v>26</v>
      </c>
      <c r="G329" s="53">
        <f t="shared" si="6"/>
        <v>2.9310923128300338E-2</v>
      </c>
      <c r="H329" s="35"/>
      <c r="P329" s="6"/>
    </row>
    <row r="330" spans="1:16" ht="14.4" x14ac:dyDescent="0.25">
      <c r="A330" s="6">
        <v>4805</v>
      </c>
      <c r="B330" s="6">
        <v>34177</v>
      </c>
      <c r="C330" s="19">
        <v>40040</v>
      </c>
      <c r="D330" s="6" t="s">
        <v>17</v>
      </c>
      <c r="E330" s="6">
        <f>IF((ISBLANK($B$1)),"",Sheet1!Q335)</f>
        <v>5900</v>
      </c>
      <c r="F330" s="20" t="s">
        <v>27</v>
      </c>
      <c r="G330" s="53">
        <f t="shared" si="6"/>
        <v>1.6864560503797523</v>
      </c>
      <c r="H330" s="35"/>
      <c r="P330" s="6"/>
    </row>
    <row r="331" spans="1:16" ht="14.4" x14ac:dyDescent="0.25">
      <c r="A331" s="6">
        <v>4812</v>
      </c>
      <c r="B331" s="6">
        <v>34215</v>
      </c>
      <c r="C331" s="19">
        <v>40677</v>
      </c>
      <c r="D331" s="6" t="s">
        <v>17</v>
      </c>
      <c r="E331" s="6">
        <f>IF((ISBLANK($B$1)),"",Sheet1!Q336)</f>
        <v>3700</v>
      </c>
      <c r="F331" s="20" t="s">
        <v>26</v>
      </c>
      <c r="G331" s="53">
        <f t="shared" si="6"/>
        <v>-1.351643349581243</v>
      </c>
      <c r="H331" s="35"/>
      <c r="P331" s="6"/>
    </row>
    <row r="332" spans="1:16" ht="14.4" x14ac:dyDescent="0.25">
      <c r="A332" s="6">
        <v>4820</v>
      </c>
      <c r="B332" s="6">
        <v>34246</v>
      </c>
      <c r="C332" s="19">
        <v>40458</v>
      </c>
      <c r="D332" s="6" t="s">
        <v>30</v>
      </c>
      <c r="E332" s="6">
        <f>IF((ISBLANK($B$1)),"",Sheet1!Q337)</f>
        <v>5850</v>
      </c>
      <c r="F332" s="20" t="s">
        <v>26</v>
      </c>
      <c r="G332" s="53">
        <f t="shared" si="6"/>
        <v>1.6174083367442753</v>
      </c>
      <c r="H332" s="35"/>
      <c r="P332" s="6"/>
    </row>
    <row r="333" spans="1:16" ht="14.4" x14ac:dyDescent="0.25">
      <c r="A333" s="6">
        <v>4821</v>
      </c>
      <c r="B333" s="6">
        <v>34246</v>
      </c>
      <c r="C333" s="19">
        <v>40458</v>
      </c>
      <c r="D333" s="6" t="s">
        <v>30</v>
      </c>
      <c r="E333" s="6">
        <f>IF((ISBLANK($B$1)),"",Sheet1!Q338)</f>
        <v>4300</v>
      </c>
      <c r="F333" s="20" t="s">
        <v>27</v>
      </c>
      <c r="G333" s="53">
        <f t="shared" si="6"/>
        <v>-0.52307078595551704</v>
      </c>
      <c r="H333" s="35"/>
      <c r="P333" s="6"/>
    </row>
    <row r="334" spans="1:16" ht="14.4" x14ac:dyDescent="0.25">
      <c r="A334" s="6">
        <v>4822</v>
      </c>
      <c r="B334" s="6">
        <v>34246</v>
      </c>
      <c r="C334" s="19">
        <v>40458</v>
      </c>
      <c r="D334" s="6" t="s">
        <v>30</v>
      </c>
      <c r="E334" s="6">
        <f>IF((ISBLANK($B$1)),"",Sheet1!Q339)</f>
        <v>4750</v>
      </c>
      <c r="F334" s="20" t="s">
        <v>26</v>
      </c>
      <c r="G334" s="53">
        <f t="shared" si="6"/>
        <v>9.8358636763777513E-2</v>
      </c>
      <c r="H334" s="35"/>
      <c r="P334" s="6"/>
    </row>
    <row r="335" spans="1:16" ht="14.4" x14ac:dyDescent="0.25">
      <c r="A335" s="6">
        <v>4864</v>
      </c>
      <c r="B335" s="6">
        <v>34631</v>
      </c>
      <c r="C335" s="19">
        <v>40109</v>
      </c>
      <c r="D335" s="6" t="s">
        <v>28</v>
      </c>
      <c r="E335" s="6">
        <f>IF((ISBLANK($B$1)),"",Sheet1!Q340)</f>
        <v>3650</v>
      </c>
      <c r="F335" s="20" t="s">
        <v>26</v>
      </c>
      <c r="G335" s="53">
        <f t="shared" si="6"/>
        <v>-1.4206910632167202</v>
      </c>
      <c r="H335" s="35"/>
      <c r="P335" s="6"/>
    </row>
    <row r="336" spans="1:16" ht="14.4" x14ac:dyDescent="0.25">
      <c r="A336" s="6">
        <v>4865</v>
      </c>
      <c r="B336" s="6">
        <v>34631</v>
      </c>
      <c r="C336" s="19">
        <v>40109</v>
      </c>
      <c r="D336" s="6" t="s">
        <v>28</v>
      </c>
      <c r="E336" s="6">
        <f>IF((ISBLANK($B$1)),"",Sheet1!Q341)</f>
        <v>4350</v>
      </c>
      <c r="F336" s="20" t="s">
        <v>27</v>
      </c>
      <c r="G336" s="53">
        <f t="shared" si="6"/>
        <v>-0.45402307232003986</v>
      </c>
      <c r="H336" s="35"/>
      <c r="P336" s="6"/>
    </row>
    <row r="337" spans="1:16" ht="14.4" x14ac:dyDescent="0.25">
      <c r="A337" s="6">
        <v>4929</v>
      </c>
      <c r="B337" s="6">
        <v>35047</v>
      </c>
      <c r="C337" s="19">
        <v>40338</v>
      </c>
      <c r="D337" s="6" t="s">
        <v>16</v>
      </c>
      <c r="E337" s="6">
        <f>IF((ISBLANK($B$1)),"",Sheet1!Q342)</f>
        <v>4950</v>
      </c>
      <c r="F337" s="20" t="s">
        <v>26</v>
      </c>
      <c r="G337" s="53">
        <f t="shared" si="6"/>
        <v>0.37454949130568621</v>
      </c>
      <c r="H337" s="35"/>
      <c r="P337" s="6"/>
    </row>
    <row r="338" spans="1:16" ht="14.4" x14ac:dyDescent="0.25">
      <c r="A338" s="6">
        <v>4957</v>
      </c>
      <c r="B338" s="6">
        <v>35266</v>
      </c>
      <c r="C338" s="19">
        <v>40553</v>
      </c>
      <c r="D338" s="6" t="s">
        <v>28</v>
      </c>
      <c r="E338" s="6">
        <f>IF((ISBLANK($B$1)),"",Sheet1!Q343)</f>
        <v>5350</v>
      </c>
      <c r="F338" s="20" t="s">
        <v>26</v>
      </c>
      <c r="G338" s="53">
        <f t="shared" si="6"/>
        <v>0.92693120038950361</v>
      </c>
      <c r="H338" s="35"/>
      <c r="P338" s="6"/>
    </row>
    <row r="339" spans="1:16" ht="14.4" x14ac:dyDescent="0.25">
      <c r="A339" s="6">
        <v>4958</v>
      </c>
      <c r="B339" s="6">
        <v>35266</v>
      </c>
      <c r="C339" s="19">
        <v>40553</v>
      </c>
      <c r="D339" s="6" t="s">
        <v>28</v>
      </c>
      <c r="E339" s="6">
        <f>IF((ISBLANK($B$1)),"",Sheet1!Q344)</f>
        <v>4800</v>
      </c>
      <c r="F339" s="20" t="s">
        <v>29</v>
      </c>
      <c r="G339" s="53">
        <f t="shared" si="6"/>
        <v>0.16740635039925467</v>
      </c>
      <c r="H339" s="35"/>
      <c r="P339" s="6"/>
    </row>
    <row r="340" spans="1:16" ht="14.4" x14ac:dyDescent="0.25">
      <c r="A340" s="6">
        <v>5031</v>
      </c>
      <c r="B340" s="6">
        <v>35847</v>
      </c>
      <c r="C340" s="19">
        <v>39843</v>
      </c>
      <c r="D340" s="6" t="s">
        <v>30</v>
      </c>
      <c r="E340" s="6">
        <f>IF((ISBLANK($B$1)),"",Sheet1!Q345)</f>
        <v>4550</v>
      </c>
      <c r="F340" s="20" t="s">
        <v>27</v>
      </c>
      <c r="G340" s="53">
        <f t="shared" si="6"/>
        <v>-0.17783221777813119</v>
      </c>
      <c r="H340" s="35"/>
      <c r="P340" s="6"/>
    </row>
    <row r="341" spans="1:16" ht="14.4" x14ac:dyDescent="0.25">
      <c r="A341" s="6">
        <v>5048</v>
      </c>
      <c r="B341" s="6">
        <v>36001</v>
      </c>
      <c r="C341" s="19">
        <v>40630</v>
      </c>
      <c r="D341" s="6" t="s">
        <v>25</v>
      </c>
      <c r="E341" s="6">
        <f>IF((ISBLANK($B$1)),"",Sheet1!Q346)</f>
        <v>5650</v>
      </c>
      <c r="F341" s="20" t="s">
        <v>26</v>
      </c>
      <c r="G341" s="53">
        <f t="shared" si="6"/>
        <v>1.3412174822023666</v>
      </c>
      <c r="H341" s="35"/>
      <c r="P341" s="6"/>
    </row>
    <row r="342" spans="1:16" ht="14.4" x14ac:dyDescent="0.25">
      <c r="A342" s="6">
        <v>5049</v>
      </c>
      <c r="B342" s="6">
        <v>36001</v>
      </c>
      <c r="C342" s="19">
        <v>40630</v>
      </c>
      <c r="D342" s="6" t="s">
        <v>25</v>
      </c>
      <c r="E342" s="6">
        <f>IF((ISBLANK($B$1)),"",Sheet1!Q347)</f>
        <v>5750</v>
      </c>
      <c r="F342" s="20" t="s">
        <v>26</v>
      </c>
      <c r="G342" s="53">
        <f t="shared" si="6"/>
        <v>1.4793129094733208</v>
      </c>
      <c r="H342" s="35"/>
      <c r="P342" s="6"/>
    </row>
    <row r="343" spans="1:16" ht="14.4" x14ac:dyDescent="0.25">
      <c r="A343" s="6">
        <v>5074</v>
      </c>
      <c r="B343" s="6">
        <v>36134</v>
      </c>
      <c r="C343" s="19">
        <v>40504</v>
      </c>
      <c r="D343" s="6" t="s">
        <v>25</v>
      </c>
      <c r="E343" s="6">
        <f>IF((ISBLANK($B$1)),"",Sheet1!Q348)</f>
        <v>3700</v>
      </c>
      <c r="F343" s="20" t="s">
        <v>27</v>
      </c>
      <c r="G343" s="53">
        <f t="shared" si="6"/>
        <v>-1.351643349581243</v>
      </c>
      <c r="H343" s="35"/>
      <c r="P343" s="6"/>
    </row>
    <row r="344" spans="1:16" ht="14.4" x14ac:dyDescent="0.25">
      <c r="A344" s="6">
        <v>5075</v>
      </c>
      <c r="B344" s="6">
        <v>36135</v>
      </c>
      <c r="C344" s="19">
        <v>40693</v>
      </c>
      <c r="D344" s="6" t="s">
        <v>28</v>
      </c>
      <c r="E344" s="6">
        <f>IF((ISBLANK($B$1)),"",Sheet1!Q349)</f>
        <v>5050</v>
      </c>
      <c r="F344" s="20" t="s">
        <v>27</v>
      </c>
      <c r="G344" s="53">
        <f t="shared" si="6"/>
        <v>0.51264491857664052</v>
      </c>
      <c r="H344" s="35"/>
      <c r="P344" s="6"/>
    </row>
    <row r="345" spans="1:16" ht="14.4" x14ac:dyDescent="0.25">
      <c r="A345" s="6">
        <v>5138</v>
      </c>
      <c r="B345" s="6">
        <v>36644</v>
      </c>
      <c r="C345" s="19">
        <v>41042</v>
      </c>
      <c r="D345" s="6" t="s">
        <v>17</v>
      </c>
      <c r="E345" s="6">
        <f>IF((ISBLANK($B$1)),"",Sheet1!Q350)</f>
        <v>4600</v>
      </c>
      <c r="F345" s="20" t="s">
        <v>27</v>
      </c>
      <c r="G345" s="53">
        <f t="shared" si="6"/>
        <v>-0.108784504142654</v>
      </c>
      <c r="H345" s="35"/>
      <c r="P345" s="6"/>
    </row>
    <row r="346" spans="1:16" ht="14.4" x14ac:dyDescent="0.25">
      <c r="A346" s="6">
        <v>5139</v>
      </c>
      <c r="B346" s="6">
        <v>36646</v>
      </c>
      <c r="C346" s="19">
        <v>40337</v>
      </c>
      <c r="D346" s="6" t="s">
        <v>16</v>
      </c>
      <c r="E346" s="6">
        <f>IF((ISBLANK($B$1)),"",Sheet1!Q351)</f>
        <v>4600</v>
      </c>
      <c r="F346" s="20" t="s">
        <v>26</v>
      </c>
      <c r="G346" s="53">
        <f t="shared" si="6"/>
        <v>-0.108784504142654</v>
      </c>
      <c r="H346" s="35"/>
      <c r="P346" s="6"/>
    </row>
    <row r="347" spans="1:16" ht="14.4" x14ac:dyDescent="0.25">
      <c r="A347" s="6">
        <v>5154</v>
      </c>
      <c r="B347" s="6">
        <v>36707</v>
      </c>
      <c r="C347" s="19">
        <v>40146</v>
      </c>
      <c r="D347" s="6" t="s">
        <v>16</v>
      </c>
      <c r="E347" s="6">
        <f>IF((ISBLANK($B$1)),"",Sheet1!Q352)</f>
        <v>5750</v>
      </c>
      <c r="F347" s="20" t="s">
        <v>26</v>
      </c>
      <c r="G347" s="53">
        <f t="shared" si="6"/>
        <v>1.4793129094733208</v>
      </c>
      <c r="H347" s="35"/>
      <c r="P347" s="6"/>
    </row>
    <row r="348" spans="1:16" ht="14.4" x14ac:dyDescent="0.25">
      <c r="A348" s="6">
        <v>5236</v>
      </c>
      <c r="B348" s="6">
        <v>37253</v>
      </c>
      <c r="C348" s="19">
        <v>41153</v>
      </c>
      <c r="D348" s="6" t="s">
        <v>17</v>
      </c>
      <c r="E348" s="6">
        <f>IF((ISBLANK($B$1)),"",Sheet1!Q353)</f>
        <v>5700</v>
      </c>
      <c r="F348" s="20" t="s">
        <v>27</v>
      </c>
      <c r="G348" s="53">
        <f t="shared" si="6"/>
        <v>1.4102651958378438</v>
      </c>
      <c r="H348" s="35"/>
      <c r="P348" s="6"/>
    </row>
    <row r="349" spans="1:16" ht="14.4" x14ac:dyDescent="0.25">
      <c r="A349" s="6">
        <v>5275</v>
      </c>
      <c r="B349" s="6">
        <v>37541</v>
      </c>
      <c r="C349" s="19">
        <v>40235</v>
      </c>
      <c r="D349" s="6" t="s">
        <v>16</v>
      </c>
      <c r="E349" s="6">
        <f>IF((ISBLANK($B$1)),"",Sheet1!Q354)</f>
        <v>3550</v>
      </c>
      <c r="F349" s="20" t="s">
        <v>27</v>
      </c>
      <c r="G349" s="53">
        <f t="shared" si="6"/>
        <v>-1.5587864904876745</v>
      </c>
      <c r="H349" s="35"/>
      <c r="P349" s="6"/>
    </row>
    <row r="350" spans="1:16" ht="14.4" x14ac:dyDescent="0.25">
      <c r="A350" s="6">
        <v>5276</v>
      </c>
      <c r="B350" s="6">
        <v>37541</v>
      </c>
      <c r="C350" s="19">
        <v>40235</v>
      </c>
      <c r="D350" s="6" t="s">
        <v>16</v>
      </c>
      <c r="E350" s="6">
        <f>IF((ISBLANK($B$1)),"",Sheet1!Q355)</f>
        <v>3900</v>
      </c>
      <c r="F350" s="20" t="s">
        <v>26</v>
      </c>
      <c r="G350" s="53">
        <f t="shared" si="6"/>
        <v>-1.0754524950393345</v>
      </c>
      <c r="H350" s="35"/>
      <c r="P350" s="6"/>
    </row>
    <row r="351" spans="1:16" ht="14.4" x14ac:dyDescent="0.25">
      <c r="A351" s="6">
        <v>5277</v>
      </c>
      <c r="B351" s="6">
        <v>37541</v>
      </c>
      <c r="C351" s="19">
        <v>40235</v>
      </c>
      <c r="D351" s="6" t="s">
        <v>16</v>
      </c>
      <c r="E351" s="6">
        <f>IF((ISBLANK($B$1)),"",Sheet1!Q356)</f>
        <v>4300</v>
      </c>
      <c r="F351" s="20" t="s">
        <v>26</v>
      </c>
      <c r="G351" s="53">
        <f t="shared" si="6"/>
        <v>-0.52307078595551704</v>
      </c>
      <c r="H351" s="35"/>
      <c r="P351" s="6"/>
    </row>
    <row r="352" spans="1:16" ht="14.4" x14ac:dyDescent="0.25">
      <c r="A352" s="6">
        <v>5286</v>
      </c>
      <c r="B352" s="6">
        <v>37634</v>
      </c>
      <c r="C352" s="19">
        <v>41050</v>
      </c>
      <c r="D352" s="6" t="s">
        <v>16</v>
      </c>
      <c r="E352" s="6">
        <f>IF((ISBLANK($B$1)),"",Sheet1!Q357)</f>
        <v>5000</v>
      </c>
      <c r="F352" s="20" t="s">
        <v>26</v>
      </c>
      <c r="G352" s="53">
        <f t="shared" si="6"/>
        <v>0.44359720494116334</v>
      </c>
      <c r="H352" s="35"/>
      <c r="P352" s="6"/>
    </row>
    <row r="353" spans="1:16" ht="14.4" x14ac:dyDescent="0.25">
      <c r="A353" s="6">
        <v>5312</v>
      </c>
      <c r="B353" s="6">
        <v>37793</v>
      </c>
      <c r="C353" s="19">
        <v>40125</v>
      </c>
      <c r="D353" s="6" t="s">
        <v>28</v>
      </c>
      <c r="E353" s="6">
        <f>IF((ISBLANK($B$1)),"",Sheet1!Q358)</f>
        <v>4200</v>
      </c>
      <c r="F353" s="20" t="s">
        <v>26</v>
      </c>
      <c r="G353" s="53">
        <f t="shared" si="6"/>
        <v>-0.6611662132264714</v>
      </c>
      <c r="H353" s="35"/>
      <c r="P353" s="6"/>
    </row>
    <row r="354" spans="1:16" ht="14.4" x14ac:dyDescent="0.25">
      <c r="A354" s="6">
        <v>5325</v>
      </c>
      <c r="B354" s="6">
        <v>37860</v>
      </c>
      <c r="C354" s="19">
        <v>40417</v>
      </c>
      <c r="D354" s="6" t="s">
        <v>16</v>
      </c>
      <c r="E354" s="6">
        <f>IF((ISBLANK($B$1)),"",Sheet1!Q359)</f>
        <v>3450</v>
      </c>
      <c r="F354" s="20" t="s">
        <v>29</v>
      </c>
      <c r="G354" s="53">
        <f t="shared" si="6"/>
        <v>-1.696881917758629</v>
      </c>
      <c r="H354" s="35"/>
      <c r="P354" s="6"/>
    </row>
    <row r="355" spans="1:16" ht="14.4" x14ac:dyDescent="0.25">
      <c r="A355" s="6">
        <v>5472</v>
      </c>
      <c r="B355" s="6">
        <v>38884</v>
      </c>
      <c r="C355" s="19">
        <v>41138</v>
      </c>
      <c r="D355" s="6" t="s">
        <v>17</v>
      </c>
      <c r="E355" s="6">
        <f>IF((ISBLANK($B$1)),"",Sheet1!Q360)</f>
        <v>5750</v>
      </c>
      <c r="F355" s="20" t="s">
        <v>26</v>
      </c>
      <c r="G355" s="53">
        <f t="shared" si="6"/>
        <v>1.4793129094733208</v>
      </c>
      <c r="H355" s="35"/>
      <c r="P355" s="6"/>
    </row>
    <row r="356" spans="1:16" ht="14.4" x14ac:dyDescent="0.25">
      <c r="A356" s="6">
        <v>5473</v>
      </c>
      <c r="B356" s="6">
        <v>38884</v>
      </c>
      <c r="C356" s="19">
        <v>41138</v>
      </c>
      <c r="D356" s="6" t="s">
        <v>17</v>
      </c>
      <c r="E356" s="6">
        <f>IF((ISBLANK($B$1)),"",Sheet1!Q361)</f>
        <v>4400</v>
      </c>
      <c r="F356" s="20" t="s">
        <v>29</v>
      </c>
      <c r="G356" s="53">
        <f t="shared" si="6"/>
        <v>-0.38497535868456267</v>
      </c>
      <c r="H356" s="35"/>
      <c r="P356" s="6"/>
    </row>
    <row r="357" spans="1:16" ht="14.4" x14ac:dyDescent="0.25">
      <c r="A357" s="6">
        <v>5559</v>
      </c>
      <c r="B357" s="6">
        <v>39364</v>
      </c>
      <c r="C357" s="19">
        <v>41222</v>
      </c>
      <c r="D357" s="6" t="s">
        <v>17</v>
      </c>
      <c r="E357" s="6">
        <f>IF((ISBLANK($B$1)),"",Sheet1!Q362)</f>
        <v>4850</v>
      </c>
      <c r="F357" s="20" t="s">
        <v>29</v>
      </c>
      <c r="G357" s="53">
        <f t="shared" si="6"/>
        <v>0.23645406403473185</v>
      </c>
      <c r="H357" s="35"/>
      <c r="P357" s="6"/>
    </row>
    <row r="358" spans="1:16" ht="14.4" x14ac:dyDescent="0.25">
      <c r="A358" s="6">
        <v>5560</v>
      </c>
      <c r="B358" s="6">
        <v>39364</v>
      </c>
      <c r="C358" s="19">
        <v>41222</v>
      </c>
      <c r="D358" s="6" t="s">
        <v>17</v>
      </c>
      <c r="E358" s="6">
        <f>IF((ISBLANK($B$1)),"",Sheet1!Q363)</f>
        <v>4150</v>
      </c>
      <c r="F358" s="20" t="s">
        <v>26</v>
      </c>
      <c r="G358" s="53">
        <f t="shared" si="6"/>
        <v>-0.73021392686194853</v>
      </c>
      <c r="H358" s="35"/>
      <c r="P358" s="6"/>
    </row>
    <row r="359" spans="1:16" ht="14.4" x14ac:dyDescent="0.25">
      <c r="A359" s="6">
        <v>5569</v>
      </c>
      <c r="B359" s="6">
        <v>39457</v>
      </c>
      <c r="C359" s="19">
        <v>40696</v>
      </c>
      <c r="D359" s="6" t="s">
        <v>30</v>
      </c>
      <c r="E359" s="6">
        <f>IF((ISBLANK($B$1)),"",Sheet1!Q364)</f>
        <v>5400</v>
      </c>
      <c r="F359" s="20" t="s">
        <v>29</v>
      </c>
      <c r="G359" s="53">
        <f t="shared" si="6"/>
        <v>0.99597891402498073</v>
      </c>
      <c r="H359" s="35"/>
      <c r="P359" s="6"/>
    </row>
    <row r="360" spans="1:16" ht="14.4" x14ac:dyDescent="0.25">
      <c r="A360" s="6">
        <v>5598</v>
      </c>
      <c r="B360" s="6">
        <v>39683</v>
      </c>
      <c r="C360" s="19">
        <v>40765</v>
      </c>
      <c r="D360" s="6" t="s">
        <v>17</v>
      </c>
      <c r="E360" s="6">
        <f>IF((ISBLANK($B$1)),"",Sheet1!Q365)</f>
        <v>4950</v>
      </c>
      <c r="F360" s="20" t="s">
        <v>26</v>
      </c>
      <c r="G360" s="53">
        <f t="shared" si="6"/>
        <v>0.37454949130568621</v>
      </c>
      <c r="H360" s="35"/>
      <c r="P360" s="6"/>
    </row>
    <row r="361" spans="1:16" ht="14.4" x14ac:dyDescent="0.25">
      <c r="A361" s="6">
        <v>5599</v>
      </c>
      <c r="B361" s="6">
        <v>39683</v>
      </c>
      <c r="C361" s="19">
        <v>40765</v>
      </c>
      <c r="D361" s="6" t="s">
        <v>17</v>
      </c>
      <c r="E361" s="6">
        <f>IF((ISBLANK($B$1)),"",Sheet1!Q366)</f>
        <v>5450</v>
      </c>
      <c r="F361" s="20" t="s">
        <v>29</v>
      </c>
      <c r="G361" s="53">
        <f t="shared" si="6"/>
        <v>1.0650266276604579</v>
      </c>
      <c r="H361" s="35"/>
      <c r="P361" s="6"/>
    </row>
    <row r="362" spans="1:16" ht="14.4" x14ac:dyDescent="0.25">
      <c r="A362" s="6">
        <v>5600</v>
      </c>
      <c r="B362" s="6">
        <v>39683</v>
      </c>
      <c r="C362" s="19">
        <v>40765</v>
      </c>
      <c r="D362" s="6" t="s">
        <v>17</v>
      </c>
      <c r="E362" s="6">
        <f>IF((ISBLANK($B$1)),"",Sheet1!Q367)</f>
        <v>3700</v>
      </c>
      <c r="F362" s="20" t="s">
        <v>29</v>
      </c>
      <c r="G362" s="53">
        <f t="shared" si="6"/>
        <v>-1.351643349581243</v>
      </c>
      <c r="H362" s="35"/>
      <c r="P362" s="6"/>
    </row>
    <row r="363" spans="1:16" ht="14.4" x14ac:dyDescent="0.25">
      <c r="A363" s="6">
        <v>5601</v>
      </c>
      <c r="B363" s="6">
        <v>39683</v>
      </c>
      <c r="C363" s="19">
        <v>40765</v>
      </c>
      <c r="D363" s="6" t="s">
        <v>17</v>
      </c>
      <c r="E363" s="6">
        <f>IF((ISBLANK($B$1)),"",Sheet1!Q368)</f>
        <v>4900</v>
      </c>
      <c r="F363" s="20" t="s">
        <v>26</v>
      </c>
      <c r="G363" s="53">
        <f t="shared" si="6"/>
        <v>0.30550177767020903</v>
      </c>
      <c r="H363" s="35"/>
      <c r="P363" s="6"/>
    </row>
    <row r="364" spans="1:16" ht="14.4" x14ac:dyDescent="0.25">
      <c r="A364" s="6">
        <v>5628</v>
      </c>
      <c r="B364" s="6">
        <v>39846</v>
      </c>
      <c r="C364" s="19">
        <v>39871</v>
      </c>
      <c r="D364" s="6" t="s">
        <v>25</v>
      </c>
      <c r="E364" s="6">
        <f>IF((ISBLANK($B$1)),"",Sheet1!Q369)</f>
        <v>4100</v>
      </c>
      <c r="F364" s="20" t="s">
        <v>27</v>
      </c>
      <c r="G364" s="53">
        <f t="shared" si="6"/>
        <v>-0.79926164049742576</v>
      </c>
      <c r="H364" s="35"/>
      <c r="P364" s="6"/>
    </row>
    <row r="365" spans="1:16" ht="14.4" x14ac:dyDescent="0.25">
      <c r="A365" s="6">
        <v>5659</v>
      </c>
      <c r="B365" s="6">
        <v>40036</v>
      </c>
      <c r="C365" s="19">
        <v>40336</v>
      </c>
      <c r="D365" s="6" t="s">
        <v>28</v>
      </c>
      <c r="E365" s="6">
        <f>IF((ISBLANK($B$1)),"",Sheet1!Q370)</f>
        <v>3900</v>
      </c>
      <c r="F365" s="20" t="s">
        <v>27</v>
      </c>
      <c r="G365" s="53">
        <f t="shared" si="6"/>
        <v>-1.0754524950393345</v>
      </c>
      <c r="H365" s="35"/>
      <c r="P365" s="6"/>
    </row>
    <row r="366" spans="1:16" ht="14.4" x14ac:dyDescent="0.25">
      <c r="A366" s="6">
        <v>5662</v>
      </c>
      <c r="B366" s="6">
        <v>40067</v>
      </c>
      <c r="C366" s="19">
        <v>40956</v>
      </c>
      <c r="D366" s="6" t="s">
        <v>25</v>
      </c>
      <c r="E366" s="6">
        <f>IF((ISBLANK($B$1)),"",Sheet1!Q371)</f>
        <v>5300</v>
      </c>
      <c r="F366" s="20" t="s">
        <v>27</v>
      </c>
      <c r="G366" s="53">
        <f t="shared" si="6"/>
        <v>0.85788348675402637</v>
      </c>
      <c r="H366" s="35"/>
      <c r="P366" s="6"/>
    </row>
    <row r="367" spans="1:16" ht="14.4" x14ac:dyDescent="0.25">
      <c r="A367" s="6">
        <v>5675</v>
      </c>
      <c r="B367" s="6">
        <v>40132</v>
      </c>
      <c r="C367" s="19">
        <v>40962</v>
      </c>
      <c r="D367" s="6" t="s">
        <v>25</v>
      </c>
      <c r="E367" s="6">
        <f>IF((ISBLANK($B$1)),"",Sheet1!Q372)</f>
        <v>4700</v>
      </c>
      <c r="F367" s="20" t="s">
        <v>29</v>
      </c>
      <c r="G367" s="53">
        <f t="shared" si="6"/>
        <v>2.9310923128300338E-2</v>
      </c>
      <c r="H367" s="35"/>
      <c r="P367" s="6"/>
    </row>
    <row r="368" spans="1:16" ht="14.4" x14ac:dyDescent="0.25">
      <c r="A368" s="6">
        <v>5676</v>
      </c>
      <c r="B368" s="6">
        <v>40132</v>
      </c>
      <c r="C368" s="19">
        <v>40962</v>
      </c>
      <c r="D368" s="6" t="s">
        <v>25</v>
      </c>
      <c r="E368" s="6">
        <f>IF((ISBLANK($B$1)),"",Sheet1!Q373)</f>
        <v>5200</v>
      </c>
      <c r="F368" s="20" t="s">
        <v>29</v>
      </c>
      <c r="G368" s="53">
        <f t="shared" si="6"/>
        <v>0.71978805948307201</v>
      </c>
      <c r="H368" s="35"/>
      <c r="P368" s="6"/>
    </row>
    <row r="369" spans="1:16" ht="14.4" x14ac:dyDescent="0.25">
      <c r="A369" s="6">
        <v>5677</v>
      </c>
      <c r="B369" s="6">
        <v>40132</v>
      </c>
      <c r="C369" s="19">
        <v>40962</v>
      </c>
      <c r="D369" s="6" t="s">
        <v>25</v>
      </c>
      <c r="E369" s="6">
        <f>IF((ISBLANK($B$1)),"",Sheet1!Q374)</f>
        <v>4200</v>
      </c>
      <c r="F369" s="20" t="s">
        <v>26</v>
      </c>
      <c r="G369" s="53">
        <f t="shared" si="6"/>
        <v>-0.6611662132264714</v>
      </c>
      <c r="H369" s="35"/>
      <c r="P369" s="6"/>
    </row>
    <row r="370" spans="1:16" ht="14.4" x14ac:dyDescent="0.25">
      <c r="A370" s="6">
        <v>5681</v>
      </c>
      <c r="B370" s="6">
        <v>40160</v>
      </c>
      <c r="C370" s="19">
        <v>40101</v>
      </c>
      <c r="D370" s="6" t="s">
        <v>30</v>
      </c>
      <c r="E370" s="6">
        <f>IF((ISBLANK($B$1)),"",Sheet1!Q375)</f>
        <v>4550</v>
      </c>
      <c r="F370" s="20" t="s">
        <v>29</v>
      </c>
      <c r="G370" s="53">
        <f t="shared" si="6"/>
        <v>-0.17783221777813119</v>
      </c>
      <c r="H370" s="35"/>
      <c r="P370" s="6"/>
    </row>
    <row r="371" spans="1:16" ht="14.4" x14ac:dyDescent="0.25">
      <c r="A371" s="6">
        <v>5719</v>
      </c>
      <c r="B371" s="6">
        <v>40518</v>
      </c>
      <c r="C371" s="19">
        <v>39885</v>
      </c>
      <c r="D371" s="6" t="s">
        <v>30</v>
      </c>
      <c r="E371" s="6">
        <f>IF((ISBLANK($B$1)),"",Sheet1!Q376)</f>
        <v>3550</v>
      </c>
      <c r="F371" s="20" t="s">
        <v>26</v>
      </c>
      <c r="G371" s="53">
        <f t="shared" si="6"/>
        <v>-1.5587864904876745</v>
      </c>
      <c r="H371" s="35"/>
      <c r="P371" s="6"/>
    </row>
    <row r="372" spans="1:16" ht="14.4" x14ac:dyDescent="0.25">
      <c r="A372" s="6">
        <v>5746</v>
      </c>
      <c r="B372" s="6">
        <v>40804</v>
      </c>
      <c r="C372" s="19">
        <v>40249</v>
      </c>
      <c r="D372" s="6" t="s">
        <v>16</v>
      </c>
      <c r="E372" s="6">
        <f>IF((ISBLANK($B$1)),"",Sheet1!Q377)</f>
        <v>5200</v>
      </c>
      <c r="F372" s="20" t="s">
        <v>29</v>
      </c>
      <c r="G372" s="53">
        <f t="shared" si="6"/>
        <v>0.71978805948307201</v>
      </c>
      <c r="H372" s="35"/>
      <c r="P372" s="6"/>
    </row>
    <row r="373" spans="1:16" ht="14.4" x14ac:dyDescent="0.25">
      <c r="A373" s="6">
        <v>5764</v>
      </c>
      <c r="B373" s="6">
        <v>40902</v>
      </c>
      <c r="C373" s="19">
        <v>40001</v>
      </c>
      <c r="D373" s="6" t="s">
        <v>25</v>
      </c>
      <c r="E373" s="6">
        <f>IF((ISBLANK($B$1)),"",Sheet1!Q378)</f>
        <v>4650</v>
      </c>
      <c r="F373" s="20" t="s">
        <v>26</v>
      </c>
      <c r="G373" s="53">
        <f t="shared" si="6"/>
        <v>-3.9736790507176829E-2</v>
      </c>
      <c r="H373" s="35"/>
      <c r="P373" s="6"/>
    </row>
    <row r="374" spans="1:16" ht="14.4" x14ac:dyDescent="0.25">
      <c r="A374" s="6">
        <v>5790</v>
      </c>
      <c r="B374" s="6">
        <v>41063</v>
      </c>
      <c r="C374" s="19">
        <v>41234</v>
      </c>
      <c r="D374" s="6" t="s">
        <v>25</v>
      </c>
      <c r="E374" s="6">
        <f>IF((ISBLANK($B$1)),"",Sheet1!Q379)</f>
        <v>4500</v>
      </c>
      <c r="F374" s="20" t="s">
        <v>26</v>
      </c>
      <c r="G374" s="53">
        <f t="shared" si="6"/>
        <v>-0.24687993141360834</v>
      </c>
      <c r="H374" s="35"/>
      <c r="P374" s="6"/>
    </row>
    <row r="375" spans="1:16" ht="14.4" x14ac:dyDescent="0.25">
      <c r="A375" s="6">
        <v>5791</v>
      </c>
      <c r="B375" s="6">
        <v>41063</v>
      </c>
      <c r="C375" s="19">
        <v>41234</v>
      </c>
      <c r="D375" s="6" t="s">
        <v>25</v>
      </c>
      <c r="E375" s="6">
        <f>IF((ISBLANK($B$1)),"",Sheet1!Q380)</f>
        <v>3900</v>
      </c>
      <c r="F375" s="20" t="s">
        <v>27</v>
      </c>
      <c r="G375" s="53">
        <f t="shared" si="6"/>
        <v>-1.0754524950393345</v>
      </c>
      <c r="H375" s="35"/>
      <c r="P375" s="6"/>
    </row>
    <row r="376" spans="1:16" ht="14.4" x14ac:dyDescent="0.25">
      <c r="A376" s="6">
        <v>5792</v>
      </c>
      <c r="B376" s="6">
        <v>41063</v>
      </c>
      <c r="C376" s="19">
        <v>41234</v>
      </c>
      <c r="D376" s="6" t="s">
        <v>25</v>
      </c>
      <c r="E376" s="6">
        <f>IF((ISBLANK($B$1)),"",Sheet1!Q381)</f>
        <v>4700</v>
      </c>
      <c r="F376" s="20" t="s">
        <v>27</v>
      </c>
      <c r="G376" s="53">
        <f t="shared" si="6"/>
        <v>2.9310923128300338E-2</v>
      </c>
      <c r="H376" s="35"/>
      <c r="P376" s="6"/>
    </row>
    <row r="377" spans="1:16" ht="14.4" x14ac:dyDescent="0.25">
      <c r="A377" s="6">
        <v>5802</v>
      </c>
      <c r="B377" s="6">
        <v>41153</v>
      </c>
      <c r="C377" s="19">
        <v>39874</v>
      </c>
      <c r="D377" s="6" t="s">
        <v>16</v>
      </c>
      <c r="E377" s="6">
        <f>IF((ISBLANK($B$1)),"",Sheet1!Q382)</f>
        <v>4850</v>
      </c>
      <c r="F377" s="20" t="s">
        <v>27</v>
      </c>
      <c r="G377" s="53">
        <f t="shared" si="6"/>
        <v>0.23645406403473185</v>
      </c>
      <c r="H377" s="35"/>
      <c r="P377" s="6"/>
    </row>
    <row r="378" spans="1:16" ht="14.4" x14ac:dyDescent="0.25">
      <c r="A378" s="6">
        <v>5805</v>
      </c>
      <c r="B378" s="6">
        <v>41184</v>
      </c>
      <c r="C378" s="19">
        <v>40808</v>
      </c>
      <c r="D378" s="6" t="s">
        <v>17</v>
      </c>
      <c r="E378" s="6">
        <f>IF((ISBLANK($B$1)),"",Sheet1!Q383)</f>
        <v>3750</v>
      </c>
      <c r="F378" s="20" t="s">
        <v>26</v>
      </c>
      <c r="G378" s="53">
        <f t="shared" si="6"/>
        <v>-1.282595635945766</v>
      </c>
      <c r="H378" s="35"/>
      <c r="P378" s="6"/>
    </row>
    <row r="379" spans="1:16" ht="14.4" x14ac:dyDescent="0.25">
      <c r="A379" s="6">
        <v>5835</v>
      </c>
      <c r="B379" s="6">
        <v>41409</v>
      </c>
      <c r="C379" s="19">
        <v>40745</v>
      </c>
      <c r="D379" s="6" t="s">
        <v>28</v>
      </c>
      <c r="E379" s="6">
        <f>IF((ISBLANK($B$1)),"",Sheet1!Q384)</f>
        <v>3450</v>
      </c>
      <c r="F379" s="20" t="s">
        <v>26</v>
      </c>
      <c r="G379" s="53">
        <f t="shared" si="6"/>
        <v>-1.696881917758629</v>
      </c>
      <c r="H379" s="35"/>
      <c r="P379" s="6"/>
    </row>
    <row r="380" spans="1:16" ht="14.4" x14ac:dyDescent="0.25">
      <c r="A380" s="6">
        <v>5877</v>
      </c>
      <c r="B380" s="6">
        <v>41696</v>
      </c>
      <c r="C380" s="19">
        <v>40007</v>
      </c>
      <c r="D380" s="6" t="s">
        <v>28</v>
      </c>
      <c r="E380" s="6">
        <f>IF((ISBLANK($B$1)),"",Sheet1!Q385)</f>
        <v>5650</v>
      </c>
      <c r="F380" s="20" t="s">
        <v>26</v>
      </c>
      <c r="G380" s="53">
        <f t="shared" si="6"/>
        <v>1.3412174822023666</v>
      </c>
      <c r="H380" s="35"/>
      <c r="P380" s="6"/>
    </row>
    <row r="381" spans="1:16" ht="14.4" x14ac:dyDescent="0.25">
      <c r="A381" s="6">
        <v>5944</v>
      </c>
      <c r="B381" s="6">
        <v>42209</v>
      </c>
      <c r="C381" s="19">
        <v>40266</v>
      </c>
      <c r="D381" s="6" t="s">
        <v>17</v>
      </c>
      <c r="E381" s="6">
        <f>IF((ISBLANK($B$1)),"",Sheet1!Q386)</f>
        <v>3650</v>
      </c>
      <c r="F381" s="20" t="s">
        <v>26</v>
      </c>
      <c r="G381" s="53">
        <f t="shared" si="6"/>
        <v>-1.4206910632167202</v>
      </c>
      <c r="H381" s="35"/>
      <c r="P381" s="6"/>
    </row>
    <row r="382" spans="1:16" ht="14.4" x14ac:dyDescent="0.25">
      <c r="A382" s="6">
        <v>5945</v>
      </c>
      <c r="B382" s="6">
        <v>42209</v>
      </c>
      <c r="C382" s="19">
        <v>40266</v>
      </c>
      <c r="D382" s="6" t="s">
        <v>17</v>
      </c>
      <c r="E382" s="6">
        <f>IF((ISBLANK($B$1)),"",Sheet1!Q387)</f>
        <v>4950</v>
      </c>
      <c r="F382" s="20" t="s">
        <v>29</v>
      </c>
      <c r="G382" s="53">
        <f t="shared" si="6"/>
        <v>0.37454949130568621</v>
      </c>
      <c r="H382" s="35"/>
      <c r="P382" s="6"/>
    </row>
    <row r="383" spans="1:16" ht="14.4" x14ac:dyDescent="0.25">
      <c r="A383" s="6">
        <v>6007</v>
      </c>
      <c r="B383" s="6">
        <v>42561</v>
      </c>
      <c r="C383" s="19">
        <v>40215</v>
      </c>
      <c r="D383" s="6" t="s">
        <v>25</v>
      </c>
      <c r="E383" s="6">
        <f>IF((ISBLANK($B$1)),"",Sheet1!Q388)</f>
        <v>4150</v>
      </c>
      <c r="F383" s="20" t="s">
        <v>27</v>
      </c>
      <c r="G383" s="53">
        <f t="shared" si="6"/>
        <v>-0.73021392686194853</v>
      </c>
      <c r="H383" s="35"/>
      <c r="P383" s="6"/>
    </row>
    <row r="384" spans="1:16" ht="14.4" x14ac:dyDescent="0.25">
      <c r="A384" s="6">
        <v>6009</v>
      </c>
      <c r="B384" s="6">
        <v>42564</v>
      </c>
      <c r="C384" s="19">
        <v>41164</v>
      </c>
      <c r="D384" s="6" t="s">
        <v>25</v>
      </c>
      <c r="E384" s="6">
        <f>IF((ISBLANK($B$1)),"",Sheet1!Q389)</f>
        <v>5150</v>
      </c>
      <c r="F384" s="20" t="s">
        <v>29</v>
      </c>
      <c r="G384" s="53">
        <f t="shared" si="6"/>
        <v>0.65074034584759488</v>
      </c>
      <c r="H384" s="35"/>
      <c r="P384" s="6"/>
    </row>
    <row r="385" spans="1:16" ht="14.4" x14ac:dyDescent="0.25">
      <c r="A385" s="6">
        <v>6029</v>
      </c>
      <c r="B385" s="6">
        <v>42695</v>
      </c>
      <c r="C385" s="19">
        <v>40534</v>
      </c>
      <c r="D385" s="6" t="s">
        <v>28</v>
      </c>
      <c r="E385" s="6">
        <f>IF((ISBLANK($B$1)),"",Sheet1!Q390)</f>
        <v>4000</v>
      </c>
      <c r="F385" s="20" t="s">
        <v>27</v>
      </c>
      <c r="G385" s="53">
        <f t="shared" si="6"/>
        <v>-0.93735706776838001</v>
      </c>
      <c r="H385" s="35"/>
      <c r="P385" s="6"/>
    </row>
    <row r="386" spans="1:16" ht="14.4" x14ac:dyDescent="0.25">
      <c r="A386" s="6">
        <v>6067</v>
      </c>
      <c r="B386" s="6">
        <v>42981</v>
      </c>
      <c r="C386" s="19">
        <v>39963</v>
      </c>
      <c r="D386" s="6" t="s">
        <v>30</v>
      </c>
      <c r="E386" s="6">
        <f>IF((ISBLANK($B$1)),"",Sheet1!Q391)</f>
        <v>3600</v>
      </c>
      <c r="F386" s="20" t="s">
        <v>26</v>
      </c>
      <c r="G386" s="53">
        <f t="shared" si="6"/>
        <v>-1.4897387768521975</v>
      </c>
      <c r="H386" s="35"/>
      <c r="P386" s="6"/>
    </row>
    <row r="387" spans="1:16" ht="14.4" x14ac:dyDescent="0.25">
      <c r="A387" s="6">
        <v>6082</v>
      </c>
      <c r="B387" s="6">
        <v>43109</v>
      </c>
      <c r="C387" s="19">
        <v>41264</v>
      </c>
      <c r="D387" s="6" t="s">
        <v>30</v>
      </c>
      <c r="E387" s="6">
        <f>IF((ISBLANK($B$1)),"",Sheet1!Q392)</f>
        <v>4350</v>
      </c>
      <c r="F387" s="20" t="s">
        <v>26</v>
      </c>
      <c r="G387" s="53">
        <f t="shared" si="6"/>
        <v>-0.45402307232003986</v>
      </c>
      <c r="H387" s="35"/>
      <c r="P387" s="6"/>
    </row>
    <row r="388" spans="1:16" ht="14.4" x14ac:dyDescent="0.25">
      <c r="A388" s="6">
        <v>6083</v>
      </c>
      <c r="B388" s="6">
        <v>43109</v>
      </c>
      <c r="C388" s="19">
        <v>41264</v>
      </c>
      <c r="D388" s="6" t="s">
        <v>30</v>
      </c>
      <c r="E388" s="6">
        <f>IF((ISBLANK($B$1)),"",Sheet1!Q393)</f>
        <v>4650</v>
      </c>
      <c r="F388" s="20" t="s">
        <v>27</v>
      </c>
      <c r="G388" s="53">
        <f t="shared" si="6"/>
        <v>-3.9736790507176829E-2</v>
      </c>
      <c r="H388" s="35"/>
      <c r="P388" s="6"/>
    </row>
    <row r="389" spans="1:16" ht="14.4" x14ac:dyDescent="0.25">
      <c r="A389" s="6">
        <v>6084</v>
      </c>
      <c r="B389" s="6">
        <v>43109</v>
      </c>
      <c r="C389" s="19">
        <v>41264</v>
      </c>
      <c r="D389" s="6" t="s">
        <v>30</v>
      </c>
      <c r="E389" s="6">
        <f>IF((ISBLANK($B$1)),"",Sheet1!Q394)</f>
        <v>3900</v>
      </c>
      <c r="F389" s="20" t="s">
        <v>27</v>
      </c>
      <c r="G389" s="53">
        <f t="shared" si="6"/>
        <v>-1.0754524950393345</v>
      </c>
      <c r="H389" s="35"/>
      <c r="P389" s="6"/>
    </row>
    <row r="390" spans="1:16" ht="14.4" x14ac:dyDescent="0.25">
      <c r="A390" s="6">
        <v>6097</v>
      </c>
      <c r="B390" s="6">
        <v>43203</v>
      </c>
      <c r="C390" s="19">
        <v>40953</v>
      </c>
      <c r="D390" s="6" t="s">
        <v>28</v>
      </c>
      <c r="E390" s="6">
        <f>IF((ISBLANK($B$1)),"",Sheet1!Q395)</f>
        <v>5000</v>
      </c>
      <c r="F390" s="20" t="s">
        <v>26</v>
      </c>
      <c r="G390" s="53">
        <f t="shared" si="6"/>
        <v>0.44359720494116334</v>
      </c>
      <c r="H390" s="35"/>
      <c r="P390" s="6"/>
    </row>
    <row r="391" spans="1:16" ht="14.4" x14ac:dyDescent="0.25">
      <c r="A391" s="6">
        <v>6103</v>
      </c>
      <c r="B391" s="6">
        <v>43236</v>
      </c>
      <c r="C391" s="19">
        <v>40362</v>
      </c>
      <c r="D391" s="6" t="s">
        <v>28</v>
      </c>
      <c r="E391" s="6">
        <f>IF((ISBLANK($B$1)),"",Sheet1!Q396)</f>
        <v>4400</v>
      </c>
      <c r="F391" s="20" t="s">
        <v>29</v>
      </c>
      <c r="G391" s="53">
        <f t="shared" si="6"/>
        <v>-0.38497535868456267</v>
      </c>
      <c r="H391" s="35"/>
      <c r="P391" s="6"/>
    </row>
    <row r="392" spans="1:16" ht="14.4" x14ac:dyDescent="0.25">
      <c r="A392" s="6">
        <v>6105</v>
      </c>
      <c r="B392" s="6">
        <v>43267</v>
      </c>
      <c r="C392" s="19">
        <v>40679</v>
      </c>
      <c r="D392" s="6" t="s">
        <v>30</v>
      </c>
      <c r="E392" s="6">
        <f>IF((ISBLANK($B$1)),"",Sheet1!Q397)</f>
        <v>4250</v>
      </c>
      <c r="F392" s="20" t="s">
        <v>26</v>
      </c>
      <c r="G392" s="53">
        <f t="shared" ref="G392:G455" si="7">STANDARDIZE(E392,$L$26,$L$35)</f>
        <v>-0.59211849959099416</v>
      </c>
      <c r="H392" s="35"/>
      <c r="P392" s="6"/>
    </row>
    <row r="393" spans="1:16" ht="14.4" x14ac:dyDescent="0.25">
      <c r="A393" s="6">
        <v>6118</v>
      </c>
      <c r="B393" s="6">
        <v>43329</v>
      </c>
      <c r="C393" s="19">
        <v>40244</v>
      </c>
      <c r="D393" s="6" t="s">
        <v>16</v>
      </c>
      <c r="E393" s="6">
        <f>IF((ISBLANK($B$1)),"",Sheet1!Q398)</f>
        <v>5500</v>
      </c>
      <c r="F393" s="20" t="s">
        <v>26</v>
      </c>
      <c r="G393" s="53">
        <f t="shared" si="7"/>
        <v>1.1340743412959351</v>
      </c>
      <c r="H393" s="35"/>
      <c r="P393" s="6"/>
    </row>
    <row r="394" spans="1:16" ht="14.4" x14ac:dyDescent="0.25">
      <c r="A394" s="6">
        <v>6119</v>
      </c>
      <c r="B394" s="6">
        <v>43330</v>
      </c>
      <c r="C394" s="19">
        <v>39930</v>
      </c>
      <c r="D394" s="6" t="s">
        <v>28</v>
      </c>
      <c r="E394" s="6">
        <f>IF((ISBLANK($B$1)),"",Sheet1!Q399)</f>
        <v>5400</v>
      </c>
      <c r="F394" s="20" t="s">
        <v>27</v>
      </c>
      <c r="G394" s="53">
        <f t="shared" si="7"/>
        <v>0.99597891402498073</v>
      </c>
      <c r="H394" s="35"/>
      <c r="P394" s="6"/>
    </row>
    <row r="395" spans="1:16" ht="14.4" x14ac:dyDescent="0.25">
      <c r="A395" s="6">
        <v>6125</v>
      </c>
      <c r="B395" s="6">
        <v>43364</v>
      </c>
      <c r="C395" s="19">
        <v>41006</v>
      </c>
      <c r="D395" s="6" t="s">
        <v>17</v>
      </c>
      <c r="E395" s="6">
        <f>IF((ISBLANK($B$1)),"",Sheet1!Q400)</f>
        <v>4450</v>
      </c>
      <c r="F395" s="20" t="s">
        <v>26</v>
      </c>
      <c r="G395" s="53">
        <f t="shared" si="7"/>
        <v>-0.31592764504908549</v>
      </c>
      <c r="H395" s="35"/>
      <c r="P395" s="6"/>
    </row>
    <row r="396" spans="1:16" ht="14.4" x14ac:dyDescent="0.25">
      <c r="A396" s="6">
        <v>6129</v>
      </c>
      <c r="B396" s="6">
        <v>43392</v>
      </c>
      <c r="C396" s="19">
        <v>40543</v>
      </c>
      <c r="D396" s="6" t="s">
        <v>16</v>
      </c>
      <c r="E396" s="6">
        <f>IF((ISBLANK($B$1)),"",Sheet1!Q401)</f>
        <v>5350</v>
      </c>
      <c r="F396" s="20" t="s">
        <v>26</v>
      </c>
      <c r="G396" s="53">
        <f t="shared" si="7"/>
        <v>0.92693120038950361</v>
      </c>
      <c r="H396" s="35"/>
      <c r="P396" s="6"/>
    </row>
    <row r="397" spans="1:16" ht="14.4" x14ac:dyDescent="0.25">
      <c r="A397" s="6">
        <v>6176</v>
      </c>
      <c r="B397" s="6">
        <v>43781</v>
      </c>
      <c r="C397" s="19">
        <v>40211</v>
      </c>
      <c r="D397" s="6" t="s">
        <v>28</v>
      </c>
      <c r="E397" s="6">
        <f>IF((ISBLANK($B$1)),"",Sheet1!Q402)</f>
        <v>5650</v>
      </c>
      <c r="F397" s="20" t="s">
        <v>26</v>
      </c>
      <c r="G397" s="53">
        <f t="shared" si="7"/>
        <v>1.3412174822023666</v>
      </c>
      <c r="H397" s="35"/>
      <c r="P397" s="6"/>
    </row>
    <row r="398" spans="1:16" ht="14.4" x14ac:dyDescent="0.25">
      <c r="A398" s="6">
        <v>6177</v>
      </c>
      <c r="B398" s="6">
        <v>43781</v>
      </c>
      <c r="C398" s="19">
        <v>40211</v>
      </c>
      <c r="D398" s="6" t="s">
        <v>28</v>
      </c>
      <c r="E398" s="6">
        <f>IF((ISBLANK($B$1)),"",Sheet1!Q403)</f>
        <v>4450</v>
      </c>
      <c r="F398" s="20" t="s">
        <v>26</v>
      </c>
      <c r="G398" s="53">
        <f t="shared" si="7"/>
        <v>-0.31592764504908549</v>
      </c>
      <c r="H398" s="35"/>
      <c r="P398" s="6"/>
    </row>
    <row r="399" spans="1:16" ht="14.4" x14ac:dyDescent="0.25">
      <c r="A399" s="6">
        <v>6226</v>
      </c>
      <c r="B399" s="6">
        <v>44071</v>
      </c>
      <c r="C399" s="19">
        <v>41014</v>
      </c>
      <c r="D399" s="6" t="s">
        <v>28</v>
      </c>
      <c r="E399" s="6">
        <f>IF((ISBLANK($B$1)),"",Sheet1!Q404)</f>
        <v>4350</v>
      </c>
      <c r="F399" s="20" t="s">
        <v>26</v>
      </c>
      <c r="G399" s="53">
        <f t="shared" si="7"/>
        <v>-0.45402307232003986</v>
      </c>
      <c r="H399" s="35"/>
      <c r="P399" s="6"/>
    </row>
    <row r="400" spans="1:16" ht="14.4" x14ac:dyDescent="0.25">
      <c r="A400" s="6">
        <v>6227</v>
      </c>
      <c r="B400" s="6">
        <v>44071</v>
      </c>
      <c r="C400" s="19">
        <v>41014</v>
      </c>
      <c r="D400" s="6" t="s">
        <v>28</v>
      </c>
      <c r="E400" s="6">
        <f>IF((ISBLANK($B$1)),"",Sheet1!Q405)</f>
        <v>4400</v>
      </c>
      <c r="F400" s="20" t="s">
        <v>27</v>
      </c>
      <c r="G400" s="53">
        <f t="shared" si="7"/>
        <v>-0.38497535868456267</v>
      </c>
      <c r="H400" s="35"/>
      <c r="P400" s="6"/>
    </row>
    <row r="401" spans="1:16" ht="14.4" x14ac:dyDescent="0.25">
      <c r="A401" s="6">
        <v>6290</v>
      </c>
      <c r="B401" s="6">
        <v>44519</v>
      </c>
      <c r="C401" s="19">
        <v>40317</v>
      </c>
      <c r="D401" s="6" t="s">
        <v>17</v>
      </c>
      <c r="E401" s="6">
        <f>IF((ISBLANK($B$1)),"",Sheet1!Q406)</f>
        <v>5800</v>
      </c>
      <c r="F401" s="20" t="s">
        <v>26</v>
      </c>
      <c r="G401" s="53">
        <f t="shared" si="7"/>
        <v>1.5483606231087981</v>
      </c>
      <c r="H401" s="35"/>
      <c r="P401" s="6"/>
    </row>
    <row r="402" spans="1:16" ht="14.4" x14ac:dyDescent="0.25">
      <c r="A402" s="6">
        <v>6291</v>
      </c>
      <c r="B402" s="6">
        <v>44519</v>
      </c>
      <c r="C402" s="19">
        <v>40317</v>
      </c>
      <c r="D402" s="6" t="s">
        <v>17</v>
      </c>
      <c r="E402" s="6">
        <f>IF((ISBLANK($B$1)),"",Sheet1!Q407)</f>
        <v>5100</v>
      </c>
      <c r="F402" s="20" t="s">
        <v>26</v>
      </c>
      <c r="G402" s="53">
        <f t="shared" si="7"/>
        <v>0.58169263221211776</v>
      </c>
      <c r="H402" s="35"/>
      <c r="P402" s="6"/>
    </row>
    <row r="403" spans="1:16" ht="14.4" x14ac:dyDescent="0.25">
      <c r="A403" s="6">
        <v>6292</v>
      </c>
      <c r="B403" s="6">
        <v>44519</v>
      </c>
      <c r="C403" s="19">
        <v>40317</v>
      </c>
      <c r="D403" s="6" t="s">
        <v>17</v>
      </c>
      <c r="E403" s="6">
        <f>IF((ISBLANK($B$1)),"",Sheet1!Q408)</f>
        <v>5100</v>
      </c>
      <c r="F403" s="20" t="s">
        <v>27</v>
      </c>
      <c r="G403" s="53">
        <f t="shared" si="7"/>
        <v>0.58169263221211776</v>
      </c>
      <c r="H403" s="35"/>
      <c r="P403" s="6"/>
    </row>
    <row r="404" spans="1:16" ht="14.4" x14ac:dyDescent="0.25">
      <c r="A404" s="6">
        <v>6319</v>
      </c>
      <c r="B404" s="6">
        <v>44708</v>
      </c>
      <c r="C404" s="19">
        <v>40021</v>
      </c>
      <c r="D404" s="6" t="s">
        <v>28</v>
      </c>
      <c r="E404" s="6">
        <f>IF((ISBLANK($B$1)),"",Sheet1!Q409)</f>
        <v>4150</v>
      </c>
      <c r="F404" s="20" t="s">
        <v>29</v>
      </c>
      <c r="G404" s="53">
        <f t="shared" si="7"/>
        <v>-0.73021392686194853</v>
      </c>
      <c r="H404" s="35"/>
      <c r="P404" s="6"/>
    </row>
    <row r="405" spans="1:16" ht="14.4" x14ac:dyDescent="0.25">
      <c r="A405" s="6">
        <v>6324</v>
      </c>
      <c r="B405" s="6">
        <v>44772</v>
      </c>
      <c r="C405" s="19">
        <v>39903</v>
      </c>
      <c r="D405" s="6" t="s">
        <v>28</v>
      </c>
      <c r="E405" s="6">
        <f>IF((ISBLANK($B$1)),"",Sheet1!Q410)</f>
        <v>3450</v>
      </c>
      <c r="F405" s="20" t="s">
        <v>27</v>
      </c>
      <c r="G405" s="53">
        <f t="shared" si="7"/>
        <v>-1.696881917758629</v>
      </c>
      <c r="H405" s="35"/>
      <c r="P405" s="6"/>
    </row>
    <row r="406" spans="1:16" ht="14.4" x14ac:dyDescent="0.25">
      <c r="A406" s="6">
        <v>6330</v>
      </c>
      <c r="B406" s="6">
        <v>44839</v>
      </c>
      <c r="C406" s="19">
        <v>41071</v>
      </c>
      <c r="D406" s="6" t="s">
        <v>30</v>
      </c>
      <c r="E406" s="6">
        <f>IF((ISBLANK($B$1)),"",Sheet1!Q411)</f>
        <v>4750</v>
      </c>
      <c r="F406" s="20" t="s">
        <v>29</v>
      </c>
      <c r="G406" s="53">
        <f t="shared" si="7"/>
        <v>9.8358636763777513E-2</v>
      </c>
      <c r="H406" s="35"/>
      <c r="P406" s="6"/>
    </row>
    <row r="407" spans="1:16" ht="14.4" x14ac:dyDescent="0.25">
      <c r="A407" s="6">
        <v>6372</v>
      </c>
      <c r="B407" s="6">
        <v>45217</v>
      </c>
      <c r="C407" s="19">
        <v>40422</v>
      </c>
      <c r="D407" s="6" t="s">
        <v>28</v>
      </c>
      <c r="E407" s="6">
        <f>IF((ISBLANK($B$1)),"",Sheet1!Q412)</f>
        <v>5400</v>
      </c>
      <c r="F407" s="20" t="s">
        <v>27</v>
      </c>
      <c r="G407" s="53">
        <f t="shared" si="7"/>
        <v>0.99597891402498073</v>
      </c>
      <c r="H407" s="35"/>
      <c r="P407" s="6"/>
    </row>
    <row r="408" spans="1:16" ht="14.4" x14ac:dyDescent="0.25">
      <c r="A408" s="6">
        <v>6402</v>
      </c>
      <c r="B408" s="6">
        <v>45440</v>
      </c>
      <c r="C408" s="19">
        <v>41130</v>
      </c>
      <c r="D408" s="6" t="s">
        <v>30</v>
      </c>
      <c r="E408" s="6">
        <f>IF((ISBLANK($B$1)),"",Sheet1!Q413)</f>
        <v>3650</v>
      </c>
      <c r="F408" s="20" t="s">
        <v>29</v>
      </c>
      <c r="G408" s="53">
        <f t="shared" si="7"/>
        <v>-1.4206910632167202</v>
      </c>
      <c r="H408" s="35"/>
      <c r="P408" s="6"/>
    </row>
    <row r="409" spans="1:16" ht="14.4" x14ac:dyDescent="0.25">
      <c r="A409" s="6">
        <v>6439</v>
      </c>
      <c r="B409" s="6">
        <v>45766</v>
      </c>
      <c r="C409" s="19">
        <v>40305</v>
      </c>
      <c r="D409" s="6" t="s">
        <v>17</v>
      </c>
      <c r="E409" s="6">
        <f>IF((ISBLANK($B$1)),"",Sheet1!Q414)</f>
        <v>5250</v>
      </c>
      <c r="F409" s="20" t="s">
        <v>29</v>
      </c>
      <c r="G409" s="53">
        <f t="shared" si="7"/>
        <v>0.78883577311854924</v>
      </c>
      <c r="H409" s="35"/>
      <c r="P409" s="6"/>
    </row>
    <row r="410" spans="1:16" ht="14.4" x14ac:dyDescent="0.25">
      <c r="A410" s="6">
        <v>6440</v>
      </c>
      <c r="B410" s="6">
        <v>45766</v>
      </c>
      <c r="C410" s="19">
        <v>40305</v>
      </c>
      <c r="D410" s="6" t="s">
        <v>17</v>
      </c>
      <c r="E410" s="6">
        <f>IF((ISBLANK($B$1)),"",Sheet1!Q415)</f>
        <v>4800</v>
      </c>
      <c r="F410" s="20" t="s">
        <v>27</v>
      </c>
      <c r="G410" s="53">
        <f t="shared" si="7"/>
        <v>0.16740635039925467</v>
      </c>
      <c r="H410" s="35"/>
      <c r="P410" s="6"/>
    </row>
    <row r="411" spans="1:16" ht="14.4" x14ac:dyDescent="0.25">
      <c r="A411" s="6">
        <v>6446</v>
      </c>
      <c r="B411" s="6">
        <v>45861</v>
      </c>
      <c r="C411" s="19">
        <v>40780</v>
      </c>
      <c r="D411" s="6" t="s">
        <v>16</v>
      </c>
      <c r="E411" s="6">
        <f>IF((ISBLANK($B$1)),"",Sheet1!Q416)</f>
        <v>5350</v>
      </c>
      <c r="F411" s="20" t="s">
        <v>27</v>
      </c>
      <c r="G411" s="53">
        <f t="shared" si="7"/>
        <v>0.92693120038950361</v>
      </c>
      <c r="H411" s="35"/>
      <c r="P411" s="6"/>
    </row>
    <row r="412" spans="1:16" ht="14.4" x14ac:dyDescent="0.25">
      <c r="A412" s="6">
        <v>6450</v>
      </c>
      <c r="B412" s="6">
        <v>45957</v>
      </c>
      <c r="C412" s="19">
        <v>40442</v>
      </c>
      <c r="D412" s="6" t="s">
        <v>30</v>
      </c>
      <c r="E412" s="6">
        <f>IF((ISBLANK($B$1)),"",Sheet1!Q417)</f>
        <v>4400</v>
      </c>
      <c r="F412" s="20" t="s">
        <v>27</v>
      </c>
      <c r="G412" s="53">
        <f t="shared" si="7"/>
        <v>-0.38497535868456267</v>
      </c>
      <c r="H412" s="35"/>
      <c r="P412" s="6"/>
    </row>
    <row r="413" spans="1:16" ht="14.4" x14ac:dyDescent="0.25">
      <c r="A413" s="6">
        <v>6451</v>
      </c>
      <c r="B413" s="6">
        <v>45957</v>
      </c>
      <c r="C413" s="19">
        <v>40442</v>
      </c>
      <c r="D413" s="6" t="s">
        <v>30</v>
      </c>
      <c r="E413" s="6">
        <f>IF((ISBLANK($B$1)),"",Sheet1!Q418)</f>
        <v>4350</v>
      </c>
      <c r="F413" s="20" t="s">
        <v>26</v>
      </c>
      <c r="G413" s="53">
        <f t="shared" si="7"/>
        <v>-0.45402307232003986</v>
      </c>
      <c r="H413" s="35"/>
      <c r="P413" s="6"/>
    </row>
    <row r="414" spans="1:16" ht="14.4" x14ac:dyDescent="0.25">
      <c r="A414" s="6">
        <v>6591</v>
      </c>
      <c r="B414" s="6">
        <v>46912</v>
      </c>
      <c r="C414" s="19">
        <v>41090</v>
      </c>
      <c r="D414" s="6" t="s">
        <v>25</v>
      </c>
      <c r="E414" s="6">
        <f>IF((ISBLANK($B$1)),"",Sheet1!Q419)</f>
        <v>3650</v>
      </c>
      <c r="F414" s="20" t="s">
        <v>29</v>
      </c>
      <c r="G414" s="53">
        <f t="shared" si="7"/>
        <v>-1.4206910632167202</v>
      </c>
      <c r="H414" s="35"/>
      <c r="P414" s="6"/>
    </row>
    <row r="415" spans="1:16" ht="14.4" x14ac:dyDescent="0.25">
      <c r="A415" s="6">
        <v>6603</v>
      </c>
      <c r="B415" s="6">
        <v>46980</v>
      </c>
      <c r="C415" s="19">
        <v>40560</v>
      </c>
      <c r="D415" s="6" t="s">
        <v>30</v>
      </c>
      <c r="E415" s="6">
        <f>IF((ISBLANK($B$1)),"",Sheet1!Q420)</f>
        <v>5100</v>
      </c>
      <c r="F415" s="20" t="s">
        <v>26</v>
      </c>
      <c r="G415" s="53">
        <f t="shared" si="7"/>
        <v>0.58169263221211776</v>
      </c>
      <c r="H415" s="35"/>
      <c r="P415" s="6"/>
    </row>
    <row r="416" spans="1:16" ht="14.4" x14ac:dyDescent="0.25">
      <c r="A416" s="6">
        <v>6665</v>
      </c>
      <c r="B416" s="6">
        <v>47460</v>
      </c>
      <c r="C416" s="19">
        <v>40461</v>
      </c>
      <c r="D416" s="6" t="s">
        <v>30</v>
      </c>
      <c r="E416" s="6">
        <f>IF((ISBLANK($B$1)),"",Sheet1!Q421)</f>
        <v>4000</v>
      </c>
      <c r="F416" s="20" t="s">
        <v>26</v>
      </c>
      <c r="G416" s="53">
        <f t="shared" si="7"/>
        <v>-0.93735706776838001</v>
      </c>
      <c r="H416" s="35"/>
      <c r="P416" s="6"/>
    </row>
    <row r="417" spans="1:16" ht="14.4" x14ac:dyDescent="0.25">
      <c r="A417" s="6">
        <v>6669</v>
      </c>
      <c r="B417" s="6">
        <v>47462</v>
      </c>
      <c r="C417" s="19">
        <v>40703</v>
      </c>
      <c r="D417" s="6" t="s">
        <v>17</v>
      </c>
      <c r="E417" s="6">
        <f>IF((ISBLANK($B$1)),"",Sheet1!Q422)</f>
        <v>5550</v>
      </c>
      <c r="F417" s="20" t="s">
        <v>26</v>
      </c>
      <c r="G417" s="53">
        <f t="shared" si="7"/>
        <v>1.2031220549314123</v>
      </c>
      <c r="H417" s="35"/>
      <c r="P417" s="6"/>
    </row>
    <row r="418" spans="1:16" ht="14.4" x14ac:dyDescent="0.25">
      <c r="A418" s="6">
        <v>6670</v>
      </c>
      <c r="B418" s="6">
        <v>47462</v>
      </c>
      <c r="C418" s="19">
        <v>40703</v>
      </c>
      <c r="D418" s="6" t="s">
        <v>17</v>
      </c>
      <c r="E418" s="6">
        <f>IF((ISBLANK($B$1)),"",Sheet1!Q423)</f>
        <v>4300</v>
      </c>
      <c r="F418" s="20" t="s">
        <v>26</v>
      </c>
      <c r="G418" s="53">
        <f t="shared" si="7"/>
        <v>-0.52307078595551704</v>
      </c>
      <c r="H418" s="35"/>
      <c r="P418" s="6"/>
    </row>
    <row r="419" spans="1:16" ht="14.4" x14ac:dyDescent="0.25">
      <c r="A419" s="6">
        <v>6671</v>
      </c>
      <c r="B419" s="6">
        <v>47462</v>
      </c>
      <c r="C419" s="19">
        <v>40703</v>
      </c>
      <c r="D419" s="6" t="s">
        <v>17</v>
      </c>
      <c r="E419" s="6">
        <f>IF((ISBLANK($B$1)),"",Sheet1!Q424)</f>
        <v>5450</v>
      </c>
      <c r="F419" s="20" t="s">
        <v>26</v>
      </c>
      <c r="G419" s="53">
        <f t="shared" si="7"/>
        <v>1.0650266276604579</v>
      </c>
      <c r="H419" s="35"/>
      <c r="P419" s="6"/>
    </row>
    <row r="420" spans="1:16" ht="14.4" x14ac:dyDescent="0.25">
      <c r="A420" s="6">
        <v>6692</v>
      </c>
      <c r="B420" s="6">
        <v>47620</v>
      </c>
      <c r="C420" s="19">
        <v>41086</v>
      </c>
      <c r="D420" s="6" t="s">
        <v>25</v>
      </c>
      <c r="E420" s="6">
        <f>IF((ISBLANK($B$1)),"",Sheet1!Q425)</f>
        <v>4750</v>
      </c>
      <c r="F420" s="20" t="s">
        <v>26</v>
      </c>
      <c r="G420" s="53">
        <f t="shared" si="7"/>
        <v>9.8358636763777513E-2</v>
      </c>
      <c r="H420" s="35"/>
      <c r="P420" s="6"/>
    </row>
    <row r="421" spans="1:16" ht="14.4" x14ac:dyDescent="0.25">
      <c r="A421" s="6">
        <v>6704</v>
      </c>
      <c r="B421" s="6">
        <v>47749</v>
      </c>
      <c r="C421" s="19">
        <v>40253</v>
      </c>
      <c r="D421" s="6" t="s">
        <v>16</v>
      </c>
      <c r="E421" s="6">
        <f>IF((ISBLANK($B$1)),"",Sheet1!Q426)</f>
        <v>5700</v>
      </c>
      <c r="F421" s="20" t="s">
        <v>26</v>
      </c>
      <c r="G421" s="53">
        <f t="shared" si="7"/>
        <v>1.4102651958378438</v>
      </c>
      <c r="H421" s="35"/>
      <c r="P421" s="6"/>
    </row>
    <row r="422" spans="1:16" ht="14.4" x14ac:dyDescent="0.25">
      <c r="A422" s="6">
        <v>6721</v>
      </c>
      <c r="B422" s="6">
        <v>47873</v>
      </c>
      <c r="C422" s="19">
        <v>40495</v>
      </c>
      <c r="D422" s="6" t="s">
        <v>30</v>
      </c>
      <c r="E422" s="6">
        <f>IF((ISBLANK($B$1)),"",Sheet1!Q427)</f>
        <v>3800</v>
      </c>
      <c r="F422" s="20" t="s">
        <v>29</v>
      </c>
      <c r="G422" s="53">
        <f t="shared" si="7"/>
        <v>-1.2135479223102887</v>
      </c>
      <c r="H422" s="35"/>
      <c r="P422" s="6"/>
    </row>
    <row r="423" spans="1:16" ht="14.4" x14ac:dyDescent="0.25">
      <c r="A423" s="6">
        <v>6736</v>
      </c>
      <c r="B423" s="6">
        <v>47943</v>
      </c>
      <c r="C423" s="19">
        <v>40131</v>
      </c>
      <c r="D423" s="6" t="s">
        <v>16</v>
      </c>
      <c r="E423" s="6">
        <f>IF((ISBLANK($B$1)),"",Sheet1!Q428)</f>
        <v>4000</v>
      </c>
      <c r="F423" s="20" t="s">
        <v>26</v>
      </c>
      <c r="G423" s="53">
        <f t="shared" si="7"/>
        <v>-0.93735706776838001</v>
      </c>
      <c r="H423" s="35"/>
      <c r="P423" s="6"/>
    </row>
    <row r="424" spans="1:16" ht="14.4" x14ac:dyDescent="0.25">
      <c r="A424" s="6">
        <v>6737</v>
      </c>
      <c r="B424" s="6">
        <v>47943</v>
      </c>
      <c r="C424" s="19">
        <v>40131</v>
      </c>
      <c r="D424" s="6" t="s">
        <v>16</v>
      </c>
      <c r="E424" s="6">
        <f>IF((ISBLANK($B$1)),"",Sheet1!Q429)</f>
        <v>5800</v>
      </c>
      <c r="F424" s="20" t="s">
        <v>26</v>
      </c>
      <c r="G424" s="53">
        <f t="shared" si="7"/>
        <v>1.5483606231087981</v>
      </c>
      <c r="H424" s="35"/>
      <c r="P424" s="6"/>
    </row>
    <row r="425" spans="1:16" ht="14.4" x14ac:dyDescent="0.25">
      <c r="A425" s="6">
        <v>6754</v>
      </c>
      <c r="B425" s="6">
        <v>48101</v>
      </c>
      <c r="C425" s="19">
        <v>40798</v>
      </c>
      <c r="D425" s="6" t="s">
        <v>17</v>
      </c>
      <c r="E425" s="6">
        <f>IF((ISBLANK($B$1)),"",Sheet1!Q430)</f>
        <v>3600</v>
      </c>
      <c r="F425" s="20" t="s">
        <v>26</v>
      </c>
      <c r="G425" s="53">
        <f t="shared" si="7"/>
        <v>-1.4897387768521975</v>
      </c>
      <c r="H425" s="35"/>
      <c r="P425" s="6"/>
    </row>
    <row r="426" spans="1:16" ht="14.4" x14ac:dyDescent="0.25">
      <c r="A426" s="6">
        <v>6783</v>
      </c>
      <c r="B426" s="6">
        <v>48295</v>
      </c>
      <c r="C426" s="19">
        <v>40140</v>
      </c>
      <c r="D426" s="6" t="s">
        <v>16</v>
      </c>
      <c r="E426" s="6">
        <f>IF((ISBLANK($B$1)),"",Sheet1!Q431)</f>
        <v>5800</v>
      </c>
      <c r="F426" s="20" t="s">
        <v>27</v>
      </c>
      <c r="G426" s="53">
        <f t="shared" si="7"/>
        <v>1.5483606231087981</v>
      </c>
      <c r="H426" s="35"/>
      <c r="P426" s="6"/>
    </row>
    <row r="427" spans="1:16" ht="14.4" x14ac:dyDescent="0.25">
      <c r="A427" s="6">
        <v>6858</v>
      </c>
      <c r="B427" s="6">
        <v>48839</v>
      </c>
      <c r="C427" s="19">
        <v>40369</v>
      </c>
      <c r="D427" s="6" t="s">
        <v>30</v>
      </c>
      <c r="E427" s="6">
        <f>IF((ISBLANK($B$1)),"",Sheet1!Q432)</f>
        <v>3450</v>
      </c>
      <c r="F427" s="20" t="s">
        <v>26</v>
      </c>
      <c r="G427" s="53">
        <f t="shared" si="7"/>
        <v>-1.696881917758629</v>
      </c>
      <c r="H427" s="35"/>
      <c r="P427" s="6"/>
    </row>
    <row r="428" spans="1:16" ht="14.4" x14ac:dyDescent="0.25">
      <c r="A428" s="6">
        <v>6894</v>
      </c>
      <c r="B428" s="6">
        <v>49154</v>
      </c>
      <c r="C428" s="19">
        <v>39878</v>
      </c>
      <c r="D428" s="6" t="s">
        <v>16</v>
      </c>
      <c r="E428" s="6">
        <f>IF((ISBLANK($B$1)),"",Sheet1!Q433)</f>
        <v>4700</v>
      </c>
      <c r="F428" s="20" t="s">
        <v>26</v>
      </c>
      <c r="G428" s="53">
        <f t="shared" si="7"/>
        <v>2.9310923128300338E-2</v>
      </c>
      <c r="H428" s="35"/>
      <c r="P428" s="6"/>
    </row>
    <row r="429" spans="1:16" ht="14.4" x14ac:dyDescent="0.25">
      <c r="A429" s="6">
        <v>6983</v>
      </c>
      <c r="B429" s="6">
        <v>49921</v>
      </c>
      <c r="C429" s="19">
        <v>40591</v>
      </c>
      <c r="D429" s="6" t="s">
        <v>25</v>
      </c>
      <c r="E429" s="6">
        <f>IF((ISBLANK($B$1)),"",Sheet1!Q434)</f>
        <v>3650</v>
      </c>
      <c r="F429" s="20" t="s">
        <v>27</v>
      </c>
      <c r="G429" s="53">
        <f t="shared" si="7"/>
        <v>-1.4206910632167202</v>
      </c>
      <c r="H429" s="35"/>
      <c r="P429" s="6"/>
    </row>
    <row r="430" spans="1:16" ht="14.4" x14ac:dyDescent="0.25">
      <c r="A430" s="6">
        <v>6984</v>
      </c>
      <c r="B430" s="6">
        <v>49921</v>
      </c>
      <c r="C430" s="19">
        <v>40591</v>
      </c>
      <c r="D430" s="6" t="s">
        <v>25</v>
      </c>
      <c r="E430" s="6">
        <f>IF((ISBLANK($B$1)),"",Sheet1!Q435)</f>
        <v>3450</v>
      </c>
      <c r="F430" s="20" t="s">
        <v>26</v>
      </c>
      <c r="G430" s="53">
        <f t="shared" si="7"/>
        <v>-1.696881917758629</v>
      </c>
      <c r="H430" s="35"/>
      <c r="P430" s="6"/>
    </row>
    <row r="431" spans="1:16" ht="14.4" x14ac:dyDescent="0.25">
      <c r="A431" s="6">
        <v>6991</v>
      </c>
      <c r="B431" s="6">
        <v>49952</v>
      </c>
      <c r="C431" s="19">
        <v>40866</v>
      </c>
      <c r="D431" s="6" t="s">
        <v>17</v>
      </c>
      <c r="E431" s="6">
        <f>IF((ISBLANK($B$1)),"",Sheet1!Q436)</f>
        <v>4000</v>
      </c>
      <c r="F431" s="20" t="s">
        <v>29</v>
      </c>
      <c r="G431" s="53">
        <f t="shared" si="7"/>
        <v>-0.93735706776838001</v>
      </c>
      <c r="H431" s="35"/>
      <c r="P431" s="6"/>
    </row>
    <row r="432" spans="1:16" ht="14.4" x14ac:dyDescent="0.25">
      <c r="A432" s="6">
        <v>7021</v>
      </c>
      <c r="B432" s="6">
        <v>50117</v>
      </c>
      <c r="C432" s="19">
        <v>40697</v>
      </c>
      <c r="D432" s="6" t="s">
        <v>30</v>
      </c>
      <c r="E432" s="6">
        <f>IF((ISBLANK($B$1)),"",Sheet1!Q437)</f>
        <v>4250</v>
      </c>
      <c r="F432" s="20" t="s">
        <v>26</v>
      </c>
      <c r="G432" s="53">
        <f t="shared" si="7"/>
        <v>-0.59211849959099416</v>
      </c>
      <c r="H432" s="35"/>
      <c r="P432" s="6"/>
    </row>
    <row r="433" spans="1:16" ht="14.4" x14ac:dyDescent="0.25">
      <c r="A433" s="6">
        <v>7042</v>
      </c>
      <c r="B433" s="6">
        <v>50278</v>
      </c>
      <c r="C433" s="19">
        <v>40323</v>
      </c>
      <c r="D433" s="6" t="s">
        <v>17</v>
      </c>
      <c r="E433" s="6">
        <f>IF((ISBLANK($B$1)),"",Sheet1!Q438)</f>
        <v>3500</v>
      </c>
      <c r="F433" s="20" t="s">
        <v>26</v>
      </c>
      <c r="G433" s="53">
        <f t="shared" si="7"/>
        <v>-1.6278342041231517</v>
      </c>
      <c r="H433" s="35"/>
      <c r="P433" s="6"/>
    </row>
    <row r="434" spans="1:16" ht="14.4" x14ac:dyDescent="0.25">
      <c r="A434" s="6">
        <v>7043</v>
      </c>
      <c r="B434" s="6">
        <v>50278</v>
      </c>
      <c r="C434" s="19">
        <v>40323</v>
      </c>
      <c r="D434" s="6" t="s">
        <v>17</v>
      </c>
      <c r="E434" s="6">
        <f>IF((ISBLANK($B$1)),"",Sheet1!Q439)</f>
        <v>4400</v>
      </c>
      <c r="F434" s="20" t="s">
        <v>29</v>
      </c>
      <c r="G434" s="53">
        <f t="shared" si="7"/>
        <v>-0.38497535868456267</v>
      </c>
      <c r="H434" s="35"/>
      <c r="P434" s="6"/>
    </row>
    <row r="435" spans="1:16" ht="14.4" x14ac:dyDescent="0.25">
      <c r="A435" s="6">
        <v>7060</v>
      </c>
      <c r="B435" s="6">
        <v>50374</v>
      </c>
      <c r="C435" s="19">
        <v>39963</v>
      </c>
      <c r="D435" s="6" t="s">
        <v>28</v>
      </c>
      <c r="E435" s="6">
        <f>IF((ISBLANK($B$1)),"",Sheet1!Q440)</f>
        <v>4900</v>
      </c>
      <c r="F435" s="20" t="s">
        <v>26</v>
      </c>
      <c r="G435" s="53">
        <f t="shared" si="7"/>
        <v>0.30550177767020903</v>
      </c>
      <c r="H435" s="35"/>
      <c r="P435" s="6"/>
    </row>
    <row r="436" spans="1:16" ht="14.4" x14ac:dyDescent="0.25">
      <c r="A436" s="6">
        <v>7087</v>
      </c>
      <c r="B436" s="6">
        <v>50565</v>
      </c>
      <c r="C436" s="19">
        <v>41151</v>
      </c>
      <c r="D436" s="6" t="s">
        <v>17</v>
      </c>
      <c r="E436" s="6">
        <f>IF((ISBLANK($B$1)),"",Sheet1!Q441)</f>
        <v>5550</v>
      </c>
      <c r="F436" s="20" t="s">
        <v>26</v>
      </c>
      <c r="G436" s="53">
        <f t="shared" si="7"/>
        <v>1.2031220549314123</v>
      </c>
      <c r="H436" s="35"/>
      <c r="P436" s="6"/>
    </row>
    <row r="437" spans="1:16" ht="14.4" x14ac:dyDescent="0.25">
      <c r="A437" s="6">
        <v>7103</v>
      </c>
      <c r="B437" s="6">
        <v>50688</v>
      </c>
      <c r="C437" s="19">
        <v>40893</v>
      </c>
      <c r="D437" s="6" t="s">
        <v>30</v>
      </c>
      <c r="E437" s="6">
        <f>IF((ISBLANK($B$1)),"",Sheet1!Q442)</f>
        <v>5900</v>
      </c>
      <c r="F437" s="20" t="s">
        <v>26</v>
      </c>
      <c r="G437" s="53">
        <f t="shared" si="7"/>
        <v>1.6864560503797523</v>
      </c>
      <c r="H437" s="35"/>
      <c r="P437" s="6"/>
    </row>
    <row r="438" spans="1:16" ht="14.4" x14ac:dyDescent="0.25">
      <c r="A438" s="6">
        <v>7111</v>
      </c>
      <c r="B438" s="6">
        <v>50754</v>
      </c>
      <c r="C438" s="19">
        <v>40156</v>
      </c>
      <c r="D438" s="6" t="s">
        <v>28</v>
      </c>
      <c r="E438" s="6">
        <f>IF((ISBLANK($B$1)),"",Sheet1!Q443)</f>
        <v>3850</v>
      </c>
      <c r="F438" s="20" t="s">
        <v>27</v>
      </c>
      <c r="G438" s="53">
        <f t="shared" si="7"/>
        <v>-1.1445002086748115</v>
      </c>
      <c r="H438" s="35"/>
      <c r="P438" s="6"/>
    </row>
    <row r="439" spans="1:16" ht="14.4" x14ac:dyDescent="0.25">
      <c r="A439" s="6">
        <v>7136</v>
      </c>
      <c r="B439" s="6">
        <v>50914</v>
      </c>
      <c r="C439" s="19">
        <v>41093</v>
      </c>
      <c r="D439" s="6" t="s">
        <v>30</v>
      </c>
      <c r="E439" s="6">
        <f>IF((ISBLANK($B$1)),"",Sheet1!Q444)</f>
        <v>5850</v>
      </c>
      <c r="F439" s="20" t="s">
        <v>27</v>
      </c>
      <c r="G439" s="53">
        <f t="shared" si="7"/>
        <v>1.6174083367442753</v>
      </c>
      <c r="H439" s="35"/>
      <c r="P439" s="6"/>
    </row>
    <row r="440" spans="1:16" ht="14.4" x14ac:dyDescent="0.25">
      <c r="A440" s="6">
        <v>7168</v>
      </c>
      <c r="B440" s="6">
        <v>51169</v>
      </c>
      <c r="C440" s="19">
        <v>40536</v>
      </c>
      <c r="D440" s="6" t="s">
        <v>17</v>
      </c>
      <c r="E440" s="6">
        <f>IF((ISBLANK($B$1)),"",Sheet1!Q445)</f>
        <v>3500</v>
      </c>
      <c r="F440" s="20" t="s">
        <v>29</v>
      </c>
      <c r="G440" s="53">
        <f t="shared" si="7"/>
        <v>-1.6278342041231517</v>
      </c>
      <c r="H440" s="35"/>
      <c r="P440" s="6"/>
    </row>
    <row r="441" spans="1:16" ht="14.4" x14ac:dyDescent="0.25">
      <c r="A441" s="6">
        <v>7277</v>
      </c>
      <c r="B441" s="6">
        <v>51938</v>
      </c>
      <c r="C441" s="19">
        <v>40680</v>
      </c>
      <c r="D441" s="6" t="s">
        <v>25</v>
      </c>
      <c r="E441" s="6">
        <f>IF((ISBLANK($B$1)),"",Sheet1!Q446)</f>
        <v>3650</v>
      </c>
      <c r="F441" s="20" t="s">
        <v>27</v>
      </c>
      <c r="G441" s="53">
        <f t="shared" si="7"/>
        <v>-1.4206910632167202</v>
      </c>
      <c r="H441" s="35"/>
      <c r="P441" s="6"/>
    </row>
    <row r="442" spans="1:16" ht="14.4" x14ac:dyDescent="0.25">
      <c r="A442" s="6">
        <v>7285</v>
      </c>
      <c r="B442" s="6">
        <v>51970</v>
      </c>
      <c r="C442" s="19">
        <v>40919</v>
      </c>
      <c r="D442" s="6" t="s">
        <v>28</v>
      </c>
      <c r="E442" s="6">
        <f>IF((ISBLANK($B$1)),"",Sheet1!Q447)</f>
        <v>3450</v>
      </c>
      <c r="F442" s="20" t="s">
        <v>27</v>
      </c>
      <c r="G442" s="53">
        <f t="shared" si="7"/>
        <v>-1.696881917758629</v>
      </c>
      <c r="H442" s="35"/>
      <c r="P442" s="6"/>
    </row>
    <row r="443" spans="1:16" ht="14.4" x14ac:dyDescent="0.25">
      <c r="A443" s="6">
        <v>7286</v>
      </c>
      <c r="B443" s="6">
        <v>51971</v>
      </c>
      <c r="C443" s="19">
        <v>40819</v>
      </c>
      <c r="D443" s="6" t="s">
        <v>28</v>
      </c>
      <c r="E443" s="6">
        <f>IF((ISBLANK($B$1)),"",Sheet1!Q448)</f>
        <v>5350</v>
      </c>
      <c r="F443" s="20" t="s">
        <v>26</v>
      </c>
      <c r="G443" s="53">
        <f t="shared" si="7"/>
        <v>0.92693120038950361</v>
      </c>
      <c r="H443" s="35"/>
      <c r="P443" s="6"/>
    </row>
    <row r="444" spans="1:16" ht="14.4" x14ac:dyDescent="0.25">
      <c r="A444" s="6">
        <v>7287</v>
      </c>
      <c r="B444" s="6">
        <v>51971</v>
      </c>
      <c r="C444" s="19">
        <v>40819</v>
      </c>
      <c r="D444" s="6" t="s">
        <v>28</v>
      </c>
      <c r="E444" s="6">
        <f>IF((ISBLANK($B$1)),"",Sheet1!Q449)</f>
        <v>4500</v>
      </c>
      <c r="F444" s="20" t="s">
        <v>29</v>
      </c>
      <c r="G444" s="53">
        <f t="shared" si="7"/>
        <v>-0.24687993141360834</v>
      </c>
      <c r="H444" s="35"/>
      <c r="P444" s="6"/>
    </row>
    <row r="445" spans="1:16" ht="14.4" x14ac:dyDescent="0.25">
      <c r="A445" s="6">
        <v>7318</v>
      </c>
      <c r="B445" s="6">
        <v>52193</v>
      </c>
      <c r="C445" s="19">
        <v>40242</v>
      </c>
      <c r="D445" s="6" t="s">
        <v>28</v>
      </c>
      <c r="E445" s="6">
        <f>IF((ISBLANK($B$1)),"",Sheet1!Q450)</f>
        <v>3450</v>
      </c>
      <c r="F445" s="20" t="s">
        <v>26</v>
      </c>
      <c r="G445" s="53">
        <f t="shared" si="7"/>
        <v>-1.696881917758629</v>
      </c>
      <c r="H445" s="35"/>
      <c r="P445" s="6"/>
    </row>
    <row r="446" spans="1:16" ht="14.4" x14ac:dyDescent="0.25">
      <c r="A446" s="6">
        <v>7319</v>
      </c>
      <c r="B446" s="6">
        <v>52193</v>
      </c>
      <c r="C446" s="19">
        <v>40242</v>
      </c>
      <c r="D446" s="6" t="s">
        <v>28</v>
      </c>
      <c r="E446" s="6">
        <f>IF((ISBLANK($B$1)),"",Sheet1!Q451)</f>
        <v>5750</v>
      </c>
      <c r="F446" s="20" t="s">
        <v>26</v>
      </c>
      <c r="G446" s="53">
        <f t="shared" si="7"/>
        <v>1.4793129094733208</v>
      </c>
      <c r="H446" s="35"/>
      <c r="P446" s="6"/>
    </row>
    <row r="447" spans="1:16" ht="14.4" x14ac:dyDescent="0.25">
      <c r="A447" s="6">
        <v>7343</v>
      </c>
      <c r="B447" s="6">
        <v>52321</v>
      </c>
      <c r="C447" s="19">
        <v>40852</v>
      </c>
      <c r="D447" s="6" t="s">
        <v>17</v>
      </c>
      <c r="E447" s="6">
        <f>IF((ISBLANK($B$1)),"",Sheet1!Q452)</f>
        <v>5800</v>
      </c>
      <c r="F447" s="20" t="s">
        <v>26</v>
      </c>
      <c r="G447" s="53">
        <f t="shared" si="7"/>
        <v>1.5483606231087981</v>
      </c>
      <c r="H447" s="35"/>
      <c r="P447" s="6"/>
    </row>
    <row r="448" spans="1:16" ht="14.4" x14ac:dyDescent="0.25">
      <c r="A448" s="6">
        <v>7344</v>
      </c>
      <c r="B448" s="6">
        <v>52321</v>
      </c>
      <c r="C448" s="19">
        <v>40852</v>
      </c>
      <c r="D448" s="6" t="s">
        <v>17</v>
      </c>
      <c r="E448" s="6">
        <f>IF((ISBLANK($B$1)),"",Sheet1!Q453)</f>
        <v>5650</v>
      </c>
      <c r="F448" s="20" t="s">
        <v>29</v>
      </c>
      <c r="G448" s="53">
        <f t="shared" si="7"/>
        <v>1.3412174822023666</v>
      </c>
      <c r="H448" s="35"/>
      <c r="P448" s="6"/>
    </row>
    <row r="449" spans="1:16" ht="14.4" x14ac:dyDescent="0.25">
      <c r="A449" s="6">
        <v>7352</v>
      </c>
      <c r="B449" s="6">
        <v>52386</v>
      </c>
      <c r="C449" s="19">
        <v>39818</v>
      </c>
      <c r="D449" s="6" t="s">
        <v>17</v>
      </c>
      <c r="E449" s="6">
        <f>IF((ISBLANK($B$1)),"",Sheet1!Q454)</f>
        <v>3700</v>
      </c>
      <c r="F449" s="20" t="s">
        <v>27</v>
      </c>
      <c r="G449" s="53">
        <f t="shared" si="7"/>
        <v>-1.351643349581243</v>
      </c>
      <c r="H449" s="35"/>
      <c r="P449" s="6"/>
    </row>
    <row r="450" spans="1:16" ht="14.4" x14ac:dyDescent="0.25">
      <c r="A450" s="6">
        <v>7404</v>
      </c>
      <c r="B450" s="6">
        <v>52807</v>
      </c>
      <c r="C450" s="19">
        <v>40507</v>
      </c>
      <c r="D450" s="6" t="s">
        <v>16</v>
      </c>
      <c r="E450" s="6">
        <f>IF((ISBLANK($B$1)),"",Sheet1!Q455)</f>
        <v>4800</v>
      </c>
      <c r="F450" s="20" t="s">
        <v>26</v>
      </c>
      <c r="G450" s="53">
        <f t="shared" si="7"/>
        <v>0.16740635039925467</v>
      </c>
      <c r="H450" s="35"/>
      <c r="P450" s="6"/>
    </row>
    <row r="451" spans="1:16" ht="14.4" x14ac:dyDescent="0.25">
      <c r="A451" s="6">
        <v>7419</v>
      </c>
      <c r="B451" s="6">
        <v>52929</v>
      </c>
      <c r="C451" s="19">
        <v>40641</v>
      </c>
      <c r="D451" s="6" t="s">
        <v>17</v>
      </c>
      <c r="E451" s="6">
        <f>IF((ISBLANK($B$1)),"",Sheet1!Q456)</f>
        <v>5550</v>
      </c>
      <c r="F451" s="20" t="s">
        <v>27</v>
      </c>
      <c r="G451" s="53">
        <f t="shared" si="7"/>
        <v>1.2031220549314123</v>
      </c>
      <c r="H451" s="35"/>
      <c r="P451" s="6"/>
    </row>
    <row r="452" spans="1:16" ht="14.4" x14ac:dyDescent="0.25">
      <c r="A452" s="6">
        <v>7420</v>
      </c>
      <c r="B452" s="6">
        <v>52929</v>
      </c>
      <c r="C452" s="19">
        <v>40641</v>
      </c>
      <c r="D452" s="6" t="s">
        <v>17</v>
      </c>
      <c r="E452" s="6">
        <f>IF((ISBLANK($B$1)),"",Sheet1!Q457)</f>
        <v>4350</v>
      </c>
      <c r="F452" s="20" t="s">
        <v>26</v>
      </c>
      <c r="G452" s="53">
        <f t="shared" si="7"/>
        <v>-0.45402307232003986</v>
      </c>
      <c r="H452" s="35"/>
      <c r="P452" s="6"/>
    </row>
    <row r="453" spans="1:16" ht="14.4" x14ac:dyDescent="0.25">
      <c r="A453" s="6">
        <v>7421</v>
      </c>
      <c r="B453" s="6">
        <v>52929</v>
      </c>
      <c r="C453" s="19">
        <v>40641</v>
      </c>
      <c r="D453" s="6" t="s">
        <v>17</v>
      </c>
      <c r="E453" s="6">
        <f>IF((ISBLANK($B$1)),"",Sheet1!Q458)</f>
        <v>3750</v>
      </c>
      <c r="F453" s="20" t="s">
        <v>26</v>
      </c>
      <c r="G453" s="53">
        <f t="shared" si="7"/>
        <v>-1.282595635945766</v>
      </c>
      <c r="H453" s="35"/>
      <c r="P453" s="6"/>
    </row>
    <row r="454" spans="1:16" ht="14.4" x14ac:dyDescent="0.25">
      <c r="A454" s="6">
        <v>7422</v>
      </c>
      <c r="B454" s="6">
        <v>52929</v>
      </c>
      <c r="C454" s="19">
        <v>40641</v>
      </c>
      <c r="D454" s="6" t="s">
        <v>17</v>
      </c>
      <c r="E454" s="6">
        <f>IF((ISBLANK($B$1)),"",Sheet1!Q459)</f>
        <v>4400</v>
      </c>
      <c r="F454" s="20" t="s">
        <v>26</v>
      </c>
      <c r="G454" s="53">
        <f t="shared" si="7"/>
        <v>-0.38497535868456267</v>
      </c>
      <c r="H454" s="35"/>
      <c r="P454" s="6"/>
    </row>
    <row r="455" spans="1:16" ht="14.4" x14ac:dyDescent="0.25">
      <c r="A455" s="6">
        <v>7430</v>
      </c>
      <c r="B455" s="6">
        <v>52964</v>
      </c>
      <c r="C455" s="19">
        <v>40268</v>
      </c>
      <c r="D455" s="6" t="s">
        <v>30</v>
      </c>
      <c r="E455" s="6">
        <f>IF((ISBLANK($B$1)),"",Sheet1!Q460)</f>
        <v>5600</v>
      </c>
      <c r="F455" s="20" t="s">
        <v>29</v>
      </c>
      <c r="G455" s="53">
        <f t="shared" si="7"/>
        <v>1.2721697685668893</v>
      </c>
      <c r="H455" s="35"/>
      <c r="P455" s="6"/>
    </row>
    <row r="456" spans="1:16" ht="14.4" x14ac:dyDescent="0.25">
      <c r="A456" s="6">
        <v>7453</v>
      </c>
      <c r="B456" s="6">
        <v>53156</v>
      </c>
      <c r="C456" s="19">
        <v>40978</v>
      </c>
      <c r="D456" s="6" t="s">
        <v>28</v>
      </c>
      <c r="E456" s="6">
        <f>IF((ISBLANK($B$1)),"",Sheet1!Q461)</f>
        <v>5750</v>
      </c>
      <c r="F456" s="20" t="s">
        <v>26</v>
      </c>
      <c r="G456" s="53">
        <f t="shared" ref="G456:G519" si="8">STANDARDIZE(E456,$L$26,$L$35)</f>
        <v>1.4793129094733208</v>
      </c>
      <c r="H456" s="35"/>
      <c r="P456" s="6"/>
    </row>
    <row r="457" spans="1:16" ht="14.4" x14ac:dyDescent="0.25">
      <c r="A457" s="6">
        <v>7500</v>
      </c>
      <c r="B457" s="6">
        <v>53511</v>
      </c>
      <c r="C457" s="19">
        <v>39864</v>
      </c>
      <c r="D457" s="6" t="s">
        <v>16</v>
      </c>
      <c r="E457" s="6">
        <f>IF((ISBLANK($B$1)),"",Sheet1!Q462)</f>
        <v>5450</v>
      </c>
      <c r="F457" s="20" t="s">
        <v>26</v>
      </c>
      <c r="G457" s="53">
        <f t="shared" si="8"/>
        <v>1.0650266276604579</v>
      </c>
      <c r="H457" s="35"/>
      <c r="P457" s="6"/>
    </row>
    <row r="458" spans="1:16" ht="14.4" x14ac:dyDescent="0.25">
      <c r="A458" s="6">
        <v>7501</v>
      </c>
      <c r="B458" s="6">
        <v>53511</v>
      </c>
      <c r="C458" s="19">
        <v>39864</v>
      </c>
      <c r="D458" s="6" t="s">
        <v>16</v>
      </c>
      <c r="E458" s="6">
        <f>IF((ISBLANK($B$1)),"",Sheet1!Q463)</f>
        <v>5850</v>
      </c>
      <c r="F458" s="20" t="s">
        <v>29</v>
      </c>
      <c r="G458" s="53">
        <f t="shared" si="8"/>
        <v>1.6174083367442753</v>
      </c>
      <c r="H458" s="35"/>
      <c r="P458" s="6"/>
    </row>
    <row r="459" spans="1:16" ht="14.4" x14ac:dyDescent="0.25">
      <c r="A459" s="6">
        <v>7530</v>
      </c>
      <c r="B459" s="6">
        <v>53797</v>
      </c>
      <c r="C459" s="19">
        <v>40087</v>
      </c>
      <c r="D459" s="6" t="s">
        <v>30</v>
      </c>
      <c r="E459" s="6">
        <f>IF((ISBLANK($B$1)),"",Sheet1!Q464)</f>
        <v>3900</v>
      </c>
      <c r="F459" s="20" t="s">
        <v>29</v>
      </c>
      <c r="G459" s="53">
        <f t="shared" si="8"/>
        <v>-1.0754524950393345</v>
      </c>
      <c r="H459" s="35"/>
      <c r="P459" s="6"/>
    </row>
    <row r="460" spans="1:16" ht="14.4" x14ac:dyDescent="0.25">
      <c r="A460" s="6">
        <v>7548</v>
      </c>
      <c r="B460" s="6">
        <v>53990</v>
      </c>
      <c r="C460" s="19">
        <v>41214</v>
      </c>
      <c r="D460" s="6" t="s">
        <v>28</v>
      </c>
      <c r="E460" s="6">
        <f>IF((ISBLANK($B$1)),"",Sheet1!Q465)</f>
        <v>5600</v>
      </c>
      <c r="F460" s="20" t="s">
        <v>27</v>
      </c>
      <c r="G460" s="53">
        <f t="shared" si="8"/>
        <v>1.2721697685668893</v>
      </c>
      <c r="H460" s="35"/>
      <c r="P460" s="6"/>
    </row>
    <row r="461" spans="1:16" ht="14.4" x14ac:dyDescent="0.25">
      <c r="A461" s="6">
        <v>7559</v>
      </c>
      <c r="B461" s="6">
        <v>54083</v>
      </c>
      <c r="C461" s="19">
        <v>40745</v>
      </c>
      <c r="D461" s="6" t="s">
        <v>17</v>
      </c>
      <c r="E461" s="6">
        <f>IF((ISBLANK($B$1)),"",Sheet1!Q466)</f>
        <v>3900</v>
      </c>
      <c r="F461" s="20" t="s">
        <v>26</v>
      </c>
      <c r="G461" s="53">
        <f t="shared" si="8"/>
        <v>-1.0754524950393345</v>
      </c>
      <c r="H461" s="35"/>
      <c r="P461" s="6"/>
    </row>
    <row r="462" spans="1:16" ht="14.4" x14ac:dyDescent="0.25">
      <c r="A462" s="6">
        <v>7584</v>
      </c>
      <c r="B462" s="6">
        <v>54274</v>
      </c>
      <c r="C462" s="19">
        <v>40505</v>
      </c>
      <c r="D462" s="6" t="s">
        <v>28</v>
      </c>
      <c r="E462" s="6">
        <f>IF((ISBLANK($B$1)),"",Sheet1!Q467)</f>
        <v>4400</v>
      </c>
      <c r="F462" s="20" t="s">
        <v>26</v>
      </c>
      <c r="G462" s="53">
        <f t="shared" si="8"/>
        <v>-0.38497535868456267</v>
      </c>
      <c r="H462" s="35"/>
      <c r="P462" s="6"/>
    </row>
    <row r="463" spans="1:16" ht="14.4" x14ac:dyDescent="0.25">
      <c r="A463" s="6">
        <v>7585</v>
      </c>
      <c r="B463" s="6">
        <v>54276</v>
      </c>
      <c r="C463" s="19">
        <v>40215</v>
      </c>
      <c r="D463" s="6" t="s">
        <v>28</v>
      </c>
      <c r="E463" s="6">
        <f>IF((ISBLANK($B$1)),"",Sheet1!Q468)</f>
        <v>4450</v>
      </c>
      <c r="F463" s="20" t="s">
        <v>26</v>
      </c>
      <c r="G463" s="53">
        <f t="shared" si="8"/>
        <v>-0.31592764504908549</v>
      </c>
      <c r="H463" s="35"/>
      <c r="P463" s="6"/>
    </row>
    <row r="464" spans="1:16" ht="14.4" x14ac:dyDescent="0.25">
      <c r="A464" s="6">
        <v>7620</v>
      </c>
      <c r="B464" s="6">
        <v>54528</v>
      </c>
      <c r="C464" s="19">
        <v>40547</v>
      </c>
      <c r="D464" s="6" t="s">
        <v>16</v>
      </c>
      <c r="E464" s="6">
        <f>IF((ISBLANK($B$1)),"",Sheet1!Q469)</f>
        <v>4250</v>
      </c>
      <c r="F464" s="20" t="s">
        <v>26</v>
      </c>
      <c r="G464" s="53">
        <f t="shared" si="8"/>
        <v>-0.59211849959099416</v>
      </c>
      <c r="H464" s="35"/>
      <c r="P464" s="6"/>
    </row>
    <row r="465" spans="1:16" ht="14.4" x14ac:dyDescent="0.25">
      <c r="A465" s="6">
        <v>7621</v>
      </c>
      <c r="B465" s="6">
        <v>54528</v>
      </c>
      <c r="C465" s="19">
        <v>40547</v>
      </c>
      <c r="D465" s="6" t="s">
        <v>16</v>
      </c>
      <c r="E465" s="6">
        <f>IF((ISBLANK($B$1)),"",Sheet1!Q470)</f>
        <v>3800</v>
      </c>
      <c r="F465" s="20" t="s">
        <v>26</v>
      </c>
      <c r="G465" s="53">
        <f t="shared" si="8"/>
        <v>-1.2135479223102887</v>
      </c>
      <c r="H465" s="35"/>
      <c r="P465" s="6"/>
    </row>
    <row r="466" spans="1:16" ht="14.4" x14ac:dyDescent="0.25">
      <c r="A466" s="6">
        <v>7628</v>
      </c>
      <c r="B466" s="6">
        <v>54567</v>
      </c>
      <c r="C466" s="19">
        <v>40027</v>
      </c>
      <c r="D466" s="6" t="s">
        <v>16</v>
      </c>
      <c r="E466" s="6">
        <f>IF((ISBLANK($B$1)),"",Sheet1!Q471)</f>
        <v>4950</v>
      </c>
      <c r="F466" s="20" t="s">
        <v>29</v>
      </c>
      <c r="G466" s="53">
        <f t="shared" si="8"/>
        <v>0.37454949130568621</v>
      </c>
      <c r="H466" s="35"/>
      <c r="P466" s="6"/>
    </row>
    <row r="467" spans="1:16" ht="14.4" x14ac:dyDescent="0.25">
      <c r="A467" s="6">
        <v>7633</v>
      </c>
      <c r="B467" s="6">
        <v>54628</v>
      </c>
      <c r="C467" s="19">
        <v>40334</v>
      </c>
      <c r="D467" s="6" t="s">
        <v>17</v>
      </c>
      <c r="E467" s="6">
        <f>IF((ISBLANK($B$1)),"",Sheet1!Q472)</f>
        <v>4450</v>
      </c>
      <c r="F467" s="20" t="s">
        <v>27</v>
      </c>
      <c r="G467" s="53">
        <f t="shared" si="8"/>
        <v>-0.31592764504908549</v>
      </c>
      <c r="H467" s="35"/>
      <c r="P467" s="6"/>
    </row>
    <row r="468" spans="1:16" ht="14.4" x14ac:dyDescent="0.25">
      <c r="A468" s="6">
        <v>7716</v>
      </c>
      <c r="B468" s="6">
        <v>55298</v>
      </c>
      <c r="C468" s="19">
        <v>40027</v>
      </c>
      <c r="D468" s="6" t="s">
        <v>30</v>
      </c>
      <c r="E468" s="6">
        <f>IF((ISBLANK($B$1)),"",Sheet1!Q473)</f>
        <v>3450</v>
      </c>
      <c r="F468" s="20" t="s">
        <v>29</v>
      </c>
      <c r="G468" s="53">
        <f t="shared" si="8"/>
        <v>-1.696881917758629</v>
      </c>
      <c r="H468" s="35"/>
      <c r="P468" s="6"/>
    </row>
    <row r="469" spans="1:16" ht="14.4" x14ac:dyDescent="0.25">
      <c r="A469" s="6">
        <v>7729</v>
      </c>
      <c r="B469" s="6">
        <v>55363</v>
      </c>
      <c r="C469" s="19">
        <v>40540</v>
      </c>
      <c r="D469" s="6" t="s">
        <v>17</v>
      </c>
      <c r="E469" s="6">
        <f>IF((ISBLANK($B$1)),"",Sheet1!Q474)</f>
        <v>4100</v>
      </c>
      <c r="F469" s="20" t="s">
        <v>26</v>
      </c>
      <c r="G469" s="53">
        <f t="shared" si="8"/>
        <v>-0.79926164049742576</v>
      </c>
      <c r="H469" s="35"/>
      <c r="P469" s="6"/>
    </row>
    <row r="470" spans="1:16" ht="14.4" x14ac:dyDescent="0.25">
      <c r="A470" s="6">
        <v>7730</v>
      </c>
      <c r="B470" s="6">
        <v>55366</v>
      </c>
      <c r="C470" s="19">
        <v>41192</v>
      </c>
      <c r="D470" s="6" t="s">
        <v>30</v>
      </c>
      <c r="E470" s="6">
        <f>IF((ISBLANK($B$1)),"",Sheet1!Q475)</f>
        <v>3750</v>
      </c>
      <c r="F470" s="20" t="s">
        <v>27</v>
      </c>
      <c r="G470" s="53">
        <f t="shared" si="8"/>
        <v>-1.282595635945766</v>
      </c>
      <c r="H470" s="35"/>
      <c r="P470" s="6"/>
    </row>
    <row r="471" spans="1:16" ht="14.4" x14ac:dyDescent="0.25">
      <c r="A471" s="6">
        <v>7787</v>
      </c>
      <c r="B471" s="6">
        <v>55715</v>
      </c>
      <c r="C471" s="19">
        <v>40635</v>
      </c>
      <c r="D471" s="6" t="s">
        <v>30</v>
      </c>
      <c r="E471" s="6">
        <f>IF((ISBLANK($B$1)),"",Sheet1!Q476)</f>
        <v>4800</v>
      </c>
      <c r="F471" s="20" t="s">
        <v>26</v>
      </c>
      <c r="G471" s="53">
        <f t="shared" si="8"/>
        <v>0.16740635039925467</v>
      </c>
      <c r="H471" s="35"/>
      <c r="P471" s="6"/>
    </row>
    <row r="472" spans="1:16" ht="14.4" x14ac:dyDescent="0.25">
      <c r="A472" s="6">
        <v>7813</v>
      </c>
      <c r="B472" s="6">
        <v>55875</v>
      </c>
      <c r="C472" s="19">
        <v>40142</v>
      </c>
      <c r="D472" s="6" t="s">
        <v>30</v>
      </c>
      <c r="E472" s="6">
        <f>IF((ISBLANK($B$1)),"",Sheet1!Q477)</f>
        <v>5900</v>
      </c>
      <c r="F472" s="20" t="s">
        <v>29</v>
      </c>
      <c r="G472" s="53">
        <f t="shared" si="8"/>
        <v>1.6864560503797523</v>
      </c>
      <c r="H472" s="35"/>
      <c r="P472" s="6"/>
    </row>
    <row r="473" spans="1:16" ht="14.4" x14ac:dyDescent="0.25">
      <c r="A473" s="6">
        <v>7814</v>
      </c>
      <c r="B473" s="6">
        <v>55875</v>
      </c>
      <c r="C473" s="19">
        <v>40142</v>
      </c>
      <c r="D473" s="6" t="s">
        <v>30</v>
      </c>
      <c r="E473" s="6">
        <f>IF((ISBLANK($B$1)),"",Sheet1!Q478)</f>
        <v>4950</v>
      </c>
      <c r="F473" s="20" t="s">
        <v>26</v>
      </c>
      <c r="G473" s="53">
        <f t="shared" si="8"/>
        <v>0.37454949130568621</v>
      </c>
      <c r="H473" s="35"/>
      <c r="P473" s="6"/>
    </row>
    <row r="474" spans="1:16" ht="14.4" x14ac:dyDescent="0.25">
      <c r="A474" s="6">
        <v>7894</v>
      </c>
      <c r="B474" s="6">
        <v>56453</v>
      </c>
      <c r="C474" s="19">
        <v>41010</v>
      </c>
      <c r="D474" s="6" t="s">
        <v>30</v>
      </c>
      <c r="E474" s="6">
        <f>IF((ISBLANK($B$1)),"",Sheet1!Q479)</f>
        <v>3450</v>
      </c>
      <c r="F474" s="20" t="s">
        <v>27</v>
      </c>
      <c r="G474" s="53">
        <f t="shared" si="8"/>
        <v>-1.696881917758629</v>
      </c>
      <c r="H474" s="35"/>
      <c r="P474" s="6"/>
    </row>
    <row r="475" spans="1:16" ht="14.4" x14ac:dyDescent="0.25">
      <c r="A475" s="6">
        <v>7993</v>
      </c>
      <c r="B475" s="6">
        <v>57127</v>
      </c>
      <c r="C475" s="19">
        <v>40225</v>
      </c>
      <c r="D475" s="6" t="s">
        <v>25</v>
      </c>
      <c r="E475" s="6">
        <f>IF((ISBLANK($B$1)),"",Sheet1!Q480)</f>
        <v>4050</v>
      </c>
      <c r="F475" s="20" t="s">
        <v>26</v>
      </c>
      <c r="G475" s="53">
        <f t="shared" si="8"/>
        <v>-0.86830935413290289</v>
      </c>
      <c r="H475" s="35"/>
      <c r="P475" s="6"/>
    </row>
    <row r="476" spans="1:16" ht="14.4" x14ac:dyDescent="0.25">
      <c r="A476" s="6">
        <v>8024</v>
      </c>
      <c r="B476" s="6">
        <v>57344</v>
      </c>
      <c r="C476" s="19">
        <v>40445</v>
      </c>
      <c r="D476" s="6" t="s">
        <v>17</v>
      </c>
      <c r="E476" s="6">
        <f>IF((ISBLANK($B$1)),"",Sheet1!Q481)</f>
        <v>5750</v>
      </c>
      <c r="F476" s="20" t="s">
        <v>27</v>
      </c>
      <c r="G476" s="53">
        <f t="shared" si="8"/>
        <v>1.4793129094733208</v>
      </c>
      <c r="H476" s="35"/>
      <c r="P476" s="6"/>
    </row>
    <row r="477" spans="1:16" ht="14.4" x14ac:dyDescent="0.25">
      <c r="A477" s="6">
        <v>8057</v>
      </c>
      <c r="B477" s="6">
        <v>57509</v>
      </c>
      <c r="C477" s="19">
        <v>39865</v>
      </c>
      <c r="D477" s="6" t="s">
        <v>25</v>
      </c>
      <c r="E477" s="6">
        <f>IF((ISBLANK($B$1)),"",Sheet1!Q482)</f>
        <v>5350</v>
      </c>
      <c r="F477" s="20" t="s">
        <v>26</v>
      </c>
      <c r="G477" s="53">
        <f t="shared" si="8"/>
        <v>0.92693120038950361</v>
      </c>
      <c r="H477" s="35"/>
      <c r="P477" s="6"/>
    </row>
    <row r="478" spans="1:16" ht="14.4" x14ac:dyDescent="0.25">
      <c r="A478" s="6">
        <v>8058</v>
      </c>
      <c r="B478" s="6">
        <v>57509</v>
      </c>
      <c r="C478" s="19">
        <v>39865</v>
      </c>
      <c r="D478" s="6" t="s">
        <v>25</v>
      </c>
      <c r="E478" s="6">
        <f>IF((ISBLANK($B$1)),"",Sheet1!Q483)</f>
        <v>3950</v>
      </c>
      <c r="F478" s="20" t="s">
        <v>29</v>
      </c>
      <c r="G478" s="53">
        <f t="shared" si="8"/>
        <v>-1.0064047814038573</v>
      </c>
      <c r="H478" s="35"/>
      <c r="P478" s="6"/>
    </row>
    <row r="479" spans="1:16" ht="14.4" x14ac:dyDescent="0.25">
      <c r="A479" s="6">
        <v>8073</v>
      </c>
      <c r="B479" s="6">
        <v>57600</v>
      </c>
      <c r="C479" s="19">
        <v>41224</v>
      </c>
      <c r="D479" s="6" t="s">
        <v>30</v>
      </c>
      <c r="E479" s="6">
        <f>IF((ISBLANK($B$1)),"",Sheet1!Q484)</f>
        <v>5000</v>
      </c>
      <c r="F479" s="20" t="s">
        <v>26</v>
      </c>
      <c r="G479" s="53">
        <f t="shared" si="8"/>
        <v>0.44359720494116334</v>
      </c>
      <c r="H479" s="35"/>
      <c r="P479" s="6"/>
    </row>
    <row r="480" spans="1:16" ht="14.4" x14ac:dyDescent="0.25">
      <c r="A480" s="6">
        <v>8074</v>
      </c>
      <c r="B480" s="6">
        <v>57600</v>
      </c>
      <c r="C480" s="19">
        <v>41224</v>
      </c>
      <c r="D480" s="6" t="s">
        <v>30</v>
      </c>
      <c r="E480" s="6">
        <f>IF((ISBLANK($B$1)),"",Sheet1!Q485)</f>
        <v>5600</v>
      </c>
      <c r="F480" s="20" t="s">
        <v>26</v>
      </c>
      <c r="G480" s="53">
        <f t="shared" si="8"/>
        <v>1.2721697685668893</v>
      </c>
      <c r="H480" s="35"/>
      <c r="P480" s="6"/>
    </row>
    <row r="481" spans="1:16" ht="14.4" x14ac:dyDescent="0.25">
      <c r="A481" s="6">
        <v>8075</v>
      </c>
      <c r="B481" s="6">
        <v>57600</v>
      </c>
      <c r="C481" s="19">
        <v>41224</v>
      </c>
      <c r="D481" s="6" t="s">
        <v>30</v>
      </c>
      <c r="E481" s="6">
        <f>IF((ISBLANK($B$1)),"",Sheet1!Q486)</f>
        <v>4000</v>
      </c>
      <c r="F481" s="20" t="s">
        <v>26</v>
      </c>
      <c r="G481" s="53">
        <f t="shared" si="8"/>
        <v>-0.93735706776838001</v>
      </c>
      <c r="H481" s="35"/>
      <c r="P481" s="6"/>
    </row>
    <row r="482" spans="1:16" ht="14.4" x14ac:dyDescent="0.25">
      <c r="A482" s="6">
        <v>8124</v>
      </c>
      <c r="B482" s="6">
        <v>58055</v>
      </c>
      <c r="C482" s="19">
        <v>40843</v>
      </c>
      <c r="D482" s="6" t="s">
        <v>30</v>
      </c>
      <c r="E482" s="6">
        <f>IF((ISBLANK($B$1)),"",Sheet1!Q487)</f>
        <v>4700</v>
      </c>
      <c r="F482" s="20" t="s">
        <v>29</v>
      </c>
      <c r="G482" s="53">
        <f t="shared" si="8"/>
        <v>2.9310923128300338E-2</v>
      </c>
      <c r="H482" s="35"/>
      <c r="P482" s="6"/>
    </row>
    <row r="483" spans="1:16" ht="14.4" x14ac:dyDescent="0.25">
      <c r="A483" s="6">
        <v>8133</v>
      </c>
      <c r="B483" s="6">
        <v>58144</v>
      </c>
      <c r="C483" s="19">
        <v>40163</v>
      </c>
      <c r="D483" s="6" t="s">
        <v>25</v>
      </c>
      <c r="E483" s="6">
        <f>IF((ISBLANK($B$1)),"",Sheet1!Q488)</f>
        <v>4850</v>
      </c>
      <c r="F483" s="20" t="s">
        <v>26</v>
      </c>
      <c r="G483" s="53">
        <f t="shared" si="8"/>
        <v>0.23645406403473185</v>
      </c>
      <c r="H483" s="35"/>
      <c r="P483" s="6"/>
    </row>
    <row r="484" spans="1:16" ht="14.4" x14ac:dyDescent="0.25">
      <c r="A484" s="6">
        <v>8136</v>
      </c>
      <c r="B484" s="6">
        <v>58150</v>
      </c>
      <c r="C484" s="19">
        <v>40305</v>
      </c>
      <c r="D484" s="6" t="s">
        <v>30</v>
      </c>
      <c r="E484" s="6">
        <f>IF((ISBLANK($B$1)),"",Sheet1!Q489)</f>
        <v>4600</v>
      </c>
      <c r="F484" s="20" t="s">
        <v>26</v>
      </c>
      <c r="G484" s="53">
        <f t="shared" si="8"/>
        <v>-0.108784504142654</v>
      </c>
      <c r="H484" s="35"/>
      <c r="P484" s="6"/>
    </row>
    <row r="485" spans="1:16" ht="14.4" x14ac:dyDescent="0.25">
      <c r="A485" s="6">
        <v>8159</v>
      </c>
      <c r="B485" s="6">
        <v>58340</v>
      </c>
      <c r="C485" s="19">
        <v>40551</v>
      </c>
      <c r="D485" s="6" t="s">
        <v>16</v>
      </c>
      <c r="E485" s="6">
        <f>IF((ISBLANK($B$1)),"",Sheet1!Q490)</f>
        <v>5200</v>
      </c>
      <c r="F485" s="20" t="s">
        <v>26</v>
      </c>
      <c r="G485" s="53">
        <f t="shared" si="8"/>
        <v>0.71978805948307201</v>
      </c>
      <c r="H485" s="35"/>
      <c r="P485" s="6"/>
    </row>
    <row r="486" spans="1:16" ht="14.4" x14ac:dyDescent="0.25">
      <c r="A486" s="6">
        <v>8162</v>
      </c>
      <c r="B486" s="6">
        <v>58368</v>
      </c>
      <c r="C486" s="19">
        <v>41099</v>
      </c>
      <c r="D486" s="6" t="s">
        <v>17</v>
      </c>
      <c r="E486" s="6">
        <f>IF((ISBLANK($B$1)),"",Sheet1!Q491)</f>
        <v>3600</v>
      </c>
      <c r="F486" s="20" t="s">
        <v>29</v>
      </c>
      <c r="G486" s="53">
        <f t="shared" si="8"/>
        <v>-1.4897387768521975</v>
      </c>
      <c r="H486" s="35"/>
      <c r="P486" s="6"/>
    </row>
    <row r="487" spans="1:16" ht="14.4" x14ac:dyDescent="0.25">
      <c r="A487" s="6">
        <v>8163</v>
      </c>
      <c r="B487" s="6">
        <v>58368</v>
      </c>
      <c r="C487" s="19">
        <v>41099</v>
      </c>
      <c r="D487" s="6" t="s">
        <v>17</v>
      </c>
      <c r="E487" s="6">
        <f>IF((ISBLANK($B$1)),"",Sheet1!Q492)</f>
        <v>5350</v>
      </c>
      <c r="F487" s="20" t="s">
        <v>26</v>
      </c>
      <c r="G487" s="53">
        <f t="shared" si="8"/>
        <v>0.92693120038950361</v>
      </c>
      <c r="H487" s="35"/>
      <c r="P487" s="6"/>
    </row>
    <row r="488" spans="1:16" ht="14.4" x14ac:dyDescent="0.25">
      <c r="A488" s="6">
        <v>8164</v>
      </c>
      <c r="B488" s="6">
        <v>58368</v>
      </c>
      <c r="C488" s="19">
        <v>41099</v>
      </c>
      <c r="D488" s="6" t="s">
        <v>17</v>
      </c>
      <c r="E488" s="6">
        <f>IF((ISBLANK($B$1)),"",Sheet1!Q493)</f>
        <v>3650</v>
      </c>
      <c r="F488" s="20" t="s">
        <v>26</v>
      </c>
      <c r="G488" s="53">
        <f t="shared" si="8"/>
        <v>-1.4206910632167202</v>
      </c>
      <c r="H488" s="35"/>
      <c r="P488" s="6"/>
    </row>
    <row r="489" spans="1:16" ht="14.4" x14ac:dyDescent="0.25">
      <c r="A489" s="6">
        <v>8176</v>
      </c>
      <c r="B489" s="6">
        <v>58434</v>
      </c>
      <c r="C489" s="19">
        <v>39881</v>
      </c>
      <c r="D489" s="6" t="s">
        <v>17</v>
      </c>
      <c r="E489" s="6">
        <f>IF((ISBLANK($B$1)),"",Sheet1!Q494)</f>
        <v>5500</v>
      </c>
      <c r="F489" s="20" t="s">
        <v>29</v>
      </c>
      <c r="G489" s="53">
        <f t="shared" si="8"/>
        <v>1.1340743412959351</v>
      </c>
      <c r="H489" s="35"/>
      <c r="P489" s="6"/>
    </row>
    <row r="490" spans="1:16" ht="14.4" x14ac:dyDescent="0.25">
      <c r="A490" s="6">
        <v>8197</v>
      </c>
      <c r="B490" s="6">
        <v>58626</v>
      </c>
      <c r="C490" s="19">
        <v>40907</v>
      </c>
      <c r="D490" s="6" t="s">
        <v>17</v>
      </c>
      <c r="E490" s="6">
        <f>IF((ISBLANK($B$1)),"",Sheet1!Q495)</f>
        <v>4550</v>
      </c>
      <c r="F490" s="20" t="s">
        <v>29</v>
      </c>
      <c r="G490" s="53">
        <f t="shared" si="8"/>
        <v>-0.17783221777813119</v>
      </c>
      <c r="H490" s="35"/>
      <c r="P490" s="6"/>
    </row>
    <row r="491" spans="1:16" ht="14.4" x14ac:dyDescent="0.25">
      <c r="A491" s="6">
        <v>8198</v>
      </c>
      <c r="B491" s="6">
        <v>58626</v>
      </c>
      <c r="C491" s="19">
        <v>40907</v>
      </c>
      <c r="D491" s="6" t="s">
        <v>17</v>
      </c>
      <c r="E491" s="6">
        <f>IF((ISBLANK($B$1)),"",Sheet1!Q496)</f>
        <v>4450</v>
      </c>
      <c r="F491" s="20" t="s">
        <v>29</v>
      </c>
      <c r="G491" s="53">
        <f t="shared" si="8"/>
        <v>-0.31592764504908549</v>
      </c>
      <c r="H491" s="35"/>
      <c r="P491" s="6"/>
    </row>
    <row r="492" spans="1:16" ht="14.4" x14ac:dyDescent="0.25">
      <c r="A492" s="6">
        <v>8199</v>
      </c>
      <c r="B492" s="6">
        <v>58626</v>
      </c>
      <c r="C492" s="19">
        <v>40907</v>
      </c>
      <c r="D492" s="6" t="s">
        <v>17</v>
      </c>
      <c r="E492" s="6">
        <f>IF((ISBLANK($B$1)),"",Sheet1!Q497)</f>
        <v>4300</v>
      </c>
      <c r="F492" s="20" t="s">
        <v>27</v>
      </c>
      <c r="G492" s="53">
        <f t="shared" si="8"/>
        <v>-0.52307078595551704</v>
      </c>
      <c r="H492" s="35"/>
      <c r="P492" s="6"/>
    </row>
    <row r="493" spans="1:16" ht="14.4" x14ac:dyDescent="0.25">
      <c r="A493" s="6">
        <v>8208</v>
      </c>
      <c r="B493" s="6">
        <v>58688</v>
      </c>
      <c r="C493" s="19">
        <v>39901</v>
      </c>
      <c r="D493" s="6" t="s">
        <v>28</v>
      </c>
      <c r="E493" s="6">
        <f>IF((ISBLANK($B$1)),"",Sheet1!Q498)</f>
        <v>4300</v>
      </c>
      <c r="F493" s="20" t="s">
        <v>26</v>
      </c>
      <c r="G493" s="53">
        <f t="shared" si="8"/>
        <v>-0.52307078595551704</v>
      </c>
      <c r="H493" s="35"/>
      <c r="P493" s="6"/>
    </row>
    <row r="494" spans="1:16" ht="14.4" x14ac:dyDescent="0.25">
      <c r="A494" s="6">
        <v>8256</v>
      </c>
      <c r="B494" s="6">
        <v>59045</v>
      </c>
      <c r="C494" s="19">
        <v>40587</v>
      </c>
      <c r="D494" s="6" t="s">
        <v>30</v>
      </c>
      <c r="E494" s="6">
        <f>IF((ISBLANK($B$1)),"",Sheet1!Q499)</f>
        <v>4900</v>
      </c>
      <c r="F494" s="20" t="s">
        <v>26</v>
      </c>
      <c r="G494" s="53">
        <f t="shared" si="8"/>
        <v>0.30550177767020903</v>
      </c>
      <c r="H494" s="35"/>
      <c r="P494" s="6"/>
    </row>
    <row r="495" spans="1:16" ht="14.4" x14ac:dyDescent="0.25">
      <c r="A495" s="6">
        <v>8257</v>
      </c>
      <c r="B495" s="6">
        <v>59047</v>
      </c>
      <c r="C495" s="19">
        <v>40571</v>
      </c>
      <c r="D495" s="6" t="s">
        <v>28</v>
      </c>
      <c r="E495" s="6">
        <f>IF((ISBLANK($B$1)),"",Sheet1!Q500)</f>
        <v>3900</v>
      </c>
      <c r="F495" s="20" t="s">
        <v>27</v>
      </c>
      <c r="G495" s="53">
        <f t="shared" si="8"/>
        <v>-1.0754524950393345</v>
      </c>
      <c r="H495" s="35"/>
      <c r="P495" s="6"/>
    </row>
    <row r="496" spans="1:16" ht="14.4" x14ac:dyDescent="0.25">
      <c r="A496" s="6">
        <v>8258</v>
      </c>
      <c r="B496" s="6">
        <v>59047</v>
      </c>
      <c r="C496" s="19">
        <v>40571</v>
      </c>
      <c r="D496" s="6" t="s">
        <v>28</v>
      </c>
      <c r="E496" s="6">
        <f>IF((ISBLANK($B$1)),"",Sheet1!Q501)</f>
        <v>4700</v>
      </c>
      <c r="F496" s="20" t="s">
        <v>29</v>
      </c>
      <c r="G496" s="53">
        <f t="shared" si="8"/>
        <v>2.9310923128300338E-2</v>
      </c>
      <c r="H496" s="35"/>
      <c r="P496" s="6"/>
    </row>
    <row r="497" spans="1:16" ht="14.4" x14ac:dyDescent="0.25">
      <c r="A497" s="6">
        <v>8282</v>
      </c>
      <c r="B497" s="6">
        <v>59202</v>
      </c>
      <c r="C497" s="19">
        <v>41160</v>
      </c>
      <c r="D497" s="6" t="s">
        <v>16</v>
      </c>
      <c r="E497" s="6">
        <f>IF((ISBLANK($B$1)),"",Sheet1!Q502)</f>
        <v>3750</v>
      </c>
      <c r="F497" s="20" t="s">
        <v>26</v>
      </c>
      <c r="G497" s="53">
        <f t="shared" si="8"/>
        <v>-1.282595635945766</v>
      </c>
      <c r="H497" s="35"/>
      <c r="P497" s="6"/>
    </row>
    <row r="498" spans="1:16" ht="14.4" x14ac:dyDescent="0.25">
      <c r="A498" s="6">
        <v>8283</v>
      </c>
      <c r="B498" s="6">
        <v>59202</v>
      </c>
      <c r="C498" s="19">
        <v>41160</v>
      </c>
      <c r="D498" s="6" t="s">
        <v>16</v>
      </c>
      <c r="E498" s="6">
        <f>IF((ISBLANK($B$1)),"",Sheet1!Q503)</f>
        <v>5200</v>
      </c>
      <c r="F498" s="20" t="s">
        <v>26</v>
      </c>
      <c r="G498" s="53">
        <f t="shared" si="8"/>
        <v>0.71978805948307201</v>
      </c>
      <c r="H498" s="35"/>
      <c r="P498" s="6"/>
    </row>
    <row r="499" spans="1:16" ht="14.4" x14ac:dyDescent="0.25">
      <c r="A499" s="6">
        <v>8290</v>
      </c>
      <c r="B499" s="6">
        <v>59207</v>
      </c>
      <c r="C499" s="19">
        <v>39951</v>
      </c>
      <c r="D499" s="6" t="s">
        <v>30</v>
      </c>
      <c r="E499" s="6">
        <f>IF((ISBLANK($B$1)),"",Sheet1!Q504)</f>
        <v>5500</v>
      </c>
      <c r="F499" s="20" t="s">
        <v>29</v>
      </c>
      <c r="G499" s="53">
        <f t="shared" si="8"/>
        <v>1.1340743412959351</v>
      </c>
      <c r="H499" s="35"/>
      <c r="P499" s="6"/>
    </row>
    <row r="500" spans="1:16" ht="14.4" x14ac:dyDescent="0.25">
      <c r="A500" s="6">
        <v>8294</v>
      </c>
      <c r="B500" s="6">
        <v>59234</v>
      </c>
      <c r="C500" s="19">
        <v>41119</v>
      </c>
      <c r="D500" s="6" t="s">
        <v>25</v>
      </c>
      <c r="E500" s="6">
        <f>IF((ISBLANK($B$1)),"",Sheet1!Q505)</f>
        <v>5000</v>
      </c>
      <c r="F500" s="20" t="s">
        <v>26</v>
      </c>
      <c r="G500" s="53">
        <f t="shared" si="8"/>
        <v>0.44359720494116334</v>
      </c>
      <c r="H500" s="35"/>
      <c r="P500" s="6"/>
    </row>
    <row r="501" spans="1:16" ht="14.4" x14ac:dyDescent="0.25">
      <c r="A501" s="6">
        <v>8295</v>
      </c>
      <c r="B501" s="6">
        <v>59234</v>
      </c>
      <c r="C501" s="19">
        <v>41119</v>
      </c>
      <c r="D501" s="6" t="s">
        <v>25</v>
      </c>
      <c r="E501" s="6">
        <f>IF((ISBLANK($B$1)),"",Sheet1!Q506)</f>
        <v>4200</v>
      </c>
      <c r="F501" s="20" t="s">
        <v>29</v>
      </c>
      <c r="G501" s="53">
        <f t="shared" si="8"/>
        <v>-0.6611662132264714</v>
      </c>
      <c r="H501" s="35"/>
      <c r="P501" s="6"/>
    </row>
    <row r="502" spans="1:16" ht="14.4" x14ac:dyDescent="0.25">
      <c r="A502" s="6">
        <v>8314</v>
      </c>
      <c r="B502" s="6">
        <v>59395</v>
      </c>
      <c r="C502" s="19">
        <v>41021</v>
      </c>
      <c r="D502" s="6" t="s">
        <v>30</v>
      </c>
      <c r="E502" s="6">
        <f>IF((ISBLANK($B$1)),"",Sheet1!Q507)</f>
        <v>4400</v>
      </c>
      <c r="F502" s="20" t="s">
        <v>26</v>
      </c>
      <c r="G502" s="53">
        <f t="shared" si="8"/>
        <v>-0.38497535868456267</v>
      </c>
      <c r="H502" s="35"/>
      <c r="P502" s="6"/>
    </row>
    <row r="503" spans="1:16" ht="14.4" x14ac:dyDescent="0.25">
      <c r="A503" s="6">
        <v>8333</v>
      </c>
      <c r="B503" s="6">
        <v>59558</v>
      </c>
      <c r="C503" s="19">
        <v>41106</v>
      </c>
      <c r="D503" s="6" t="s">
        <v>28</v>
      </c>
      <c r="E503" s="6">
        <f>IF((ISBLANK($B$1)),"",Sheet1!Q508)</f>
        <v>5100</v>
      </c>
      <c r="F503" s="20" t="s">
        <v>26</v>
      </c>
      <c r="G503" s="53">
        <f t="shared" si="8"/>
        <v>0.58169263221211776</v>
      </c>
      <c r="H503" s="35"/>
      <c r="P503" s="6"/>
    </row>
    <row r="504" spans="1:16" ht="14.4" x14ac:dyDescent="0.25">
      <c r="A504" s="6">
        <v>8337</v>
      </c>
      <c r="B504" s="6">
        <v>59585</v>
      </c>
      <c r="C504" s="19">
        <v>41174</v>
      </c>
      <c r="D504" s="6" t="s">
        <v>17</v>
      </c>
      <c r="E504" s="6">
        <f>IF((ISBLANK($B$1)),"",Sheet1!Q509)</f>
        <v>5650</v>
      </c>
      <c r="F504" s="20" t="s">
        <v>27</v>
      </c>
      <c r="G504" s="53">
        <f t="shared" si="8"/>
        <v>1.3412174822023666</v>
      </c>
      <c r="H504" s="35"/>
      <c r="P504" s="6"/>
    </row>
    <row r="505" spans="1:16" ht="14.4" x14ac:dyDescent="0.25">
      <c r="A505" s="6">
        <v>8344</v>
      </c>
      <c r="B505" s="6">
        <v>59651</v>
      </c>
      <c r="C505" s="19">
        <v>40318</v>
      </c>
      <c r="D505" s="6" t="s">
        <v>30</v>
      </c>
      <c r="E505" s="6">
        <f>IF((ISBLANK($B$1)),"",Sheet1!Q510)</f>
        <v>5200</v>
      </c>
      <c r="F505" s="20" t="s">
        <v>26</v>
      </c>
      <c r="G505" s="53">
        <f t="shared" si="8"/>
        <v>0.71978805948307201</v>
      </c>
      <c r="H505" s="35"/>
      <c r="P505" s="6"/>
    </row>
    <row r="506" spans="1:16" ht="14.4" x14ac:dyDescent="0.25">
      <c r="A506" s="6">
        <v>8345</v>
      </c>
      <c r="B506" s="6">
        <v>59651</v>
      </c>
      <c r="C506" s="19">
        <v>40318</v>
      </c>
      <c r="D506" s="6" t="s">
        <v>30</v>
      </c>
      <c r="E506" s="6">
        <f>IF((ISBLANK($B$1)),"",Sheet1!Q511)</f>
        <v>4300</v>
      </c>
      <c r="F506" s="20" t="s">
        <v>29</v>
      </c>
      <c r="G506" s="53">
        <f t="shared" si="8"/>
        <v>-0.52307078595551704</v>
      </c>
      <c r="H506" s="35"/>
      <c r="P506" s="6"/>
    </row>
    <row r="507" spans="1:16" ht="14.4" x14ac:dyDescent="0.25">
      <c r="A507" s="6">
        <v>105</v>
      </c>
      <c r="B507" s="6">
        <v>645</v>
      </c>
      <c r="C507" s="19">
        <v>40149</v>
      </c>
      <c r="D507" s="6" t="s">
        <v>17</v>
      </c>
      <c r="E507" s="6">
        <f>IF((ISBLANK($B$1)),"",Sheet1!Q512)</f>
        <v>5500</v>
      </c>
      <c r="F507" s="20" t="s">
        <v>26</v>
      </c>
      <c r="G507" s="53">
        <f t="shared" si="8"/>
        <v>1.1340743412959351</v>
      </c>
      <c r="H507" s="35"/>
      <c r="P507" s="6"/>
    </row>
    <row r="508" spans="1:16" ht="14.4" x14ac:dyDescent="0.25">
      <c r="A508" s="6">
        <v>115</v>
      </c>
      <c r="B508" s="6">
        <v>769</v>
      </c>
      <c r="C508" s="19">
        <v>40330</v>
      </c>
      <c r="D508" s="6" t="s">
        <v>16</v>
      </c>
      <c r="E508" s="6">
        <f>IF((ISBLANK($B$1)),"",Sheet1!Q513)</f>
        <v>5250</v>
      </c>
      <c r="F508" s="20" t="s">
        <v>27</v>
      </c>
      <c r="G508" s="53">
        <f t="shared" si="8"/>
        <v>0.78883577311854924</v>
      </c>
      <c r="H508" s="35"/>
      <c r="P508" s="6"/>
    </row>
    <row r="509" spans="1:16" ht="14.4" x14ac:dyDescent="0.25">
      <c r="A509" s="6">
        <v>119</v>
      </c>
      <c r="B509" s="6">
        <v>773</v>
      </c>
      <c r="C509" s="19">
        <v>40446</v>
      </c>
      <c r="D509" s="6" t="s">
        <v>16</v>
      </c>
      <c r="E509" s="6">
        <f>IF((ISBLANK($B$1)),"",Sheet1!Q514)</f>
        <v>5300</v>
      </c>
      <c r="F509" s="20" t="s">
        <v>27</v>
      </c>
      <c r="G509" s="53">
        <f t="shared" si="8"/>
        <v>0.85788348675402637</v>
      </c>
      <c r="H509" s="35"/>
      <c r="P509" s="6"/>
    </row>
    <row r="510" spans="1:16" ht="14.4" x14ac:dyDescent="0.25">
      <c r="A510" s="6">
        <v>180</v>
      </c>
      <c r="B510" s="6">
        <v>1187</v>
      </c>
      <c r="C510" s="19">
        <v>41232</v>
      </c>
      <c r="D510" s="6" t="s">
        <v>16</v>
      </c>
      <c r="E510" s="6">
        <f>IF((ISBLANK($B$1)),"",Sheet1!Q515)</f>
        <v>4100</v>
      </c>
      <c r="F510" s="20" t="s">
        <v>27</v>
      </c>
      <c r="G510" s="53">
        <f t="shared" si="8"/>
        <v>-0.79926164049742576</v>
      </c>
      <c r="H510" s="35"/>
      <c r="P510" s="6"/>
    </row>
    <row r="511" spans="1:16" ht="14.4" x14ac:dyDescent="0.25">
      <c r="A511" s="6">
        <v>342</v>
      </c>
      <c r="B511" s="6">
        <v>2339</v>
      </c>
      <c r="C511" s="19">
        <v>40526</v>
      </c>
      <c r="D511" s="6" t="s">
        <v>25</v>
      </c>
      <c r="E511" s="6">
        <f>IF((ISBLANK($B$1)),"",Sheet1!Q516)</f>
        <v>4000</v>
      </c>
      <c r="F511" s="20" t="s">
        <v>26</v>
      </c>
      <c r="G511" s="53">
        <f t="shared" si="8"/>
        <v>-0.93735706776838001</v>
      </c>
      <c r="H511" s="35"/>
      <c r="P511" s="6"/>
    </row>
    <row r="512" spans="1:16" ht="14.4" x14ac:dyDescent="0.25">
      <c r="A512" s="6">
        <v>510</v>
      </c>
      <c r="B512" s="6">
        <v>3521</v>
      </c>
      <c r="C512" s="19">
        <v>41207</v>
      </c>
      <c r="D512" s="6" t="s">
        <v>25</v>
      </c>
      <c r="E512" s="6">
        <f>IF((ISBLANK($B$1)),"",Sheet1!Q517)</f>
        <v>5900</v>
      </c>
      <c r="F512" s="20" t="s">
        <v>26</v>
      </c>
      <c r="G512" s="53">
        <f t="shared" si="8"/>
        <v>1.6864560503797523</v>
      </c>
      <c r="H512" s="35"/>
      <c r="P512" s="6"/>
    </row>
    <row r="513" spans="1:16" ht="14.4" x14ac:dyDescent="0.25">
      <c r="A513" s="6">
        <v>587</v>
      </c>
      <c r="B513" s="6">
        <v>4007</v>
      </c>
      <c r="C513" s="19">
        <v>40346</v>
      </c>
      <c r="D513" s="6" t="s">
        <v>17</v>
      </c>
      <c r="E513" s="6">
        <f>IF((ISBLANK($B$1)),"",Sheet1!Q518)</f>
        <v>4300</v>
      </c>
      <c r="F513" s="20" t="s">
        <v>26</v>
      </c>
      <c r="G513" s="53">
        <f t="shared" si="8"/>
        <v>-0.52307078595551704</v>
      </c>
      <c r="H513" s="35"/>
      <c r="P513" s="6"/>
    </row>
    <row r="514" spans="1:16" ht="14.4" x14ac:dyDescent="0.25">
      <c r="A514" s="6">
        <v>588</v>
      </c>
      <c r="B514" s="6">
        <v>4007</v>
      </c>
      <c r="C514" s="19">
        <v>40346</v>
      </c>
      <c r="D514" s="6" t="s">
        <v>17</v>
      </c>
      <c r="E514" s="6">
        <f>IF((ISBLANK($B$1)),"",Sheet1!Q519)</f>
        <v>3450</v>
      </c>
      <c r="F514" s="20" t="s">
        <v>26</v>
      </c>
      <c r="G514" s="53">
        <f t="shared" si="8"/>
        <v>-1.696881917758629</v>
      </c>
      <c r="H514" s="35"/>
      <c r="P514" s="6"/>
    </row>
    <row r="515" spans="1:16" ht="14.4" x14ac:dyDescent="0.25">
      <c r="A515" s="6">
        <v>632</v>
      </c>
      <c r="B515" s="6">
        <v>4416</v>
      </c>
      <c r="C515" s="19">
        <v>41089</v>
      </c>
      <c r="D515" s="6" t="s">
        <v>25</v>
      </c>
      <c r="E515" s="6">
        <f>IF((ISBLANK($B$1)),"",Sheet1!Q520)</f>
        <v>5700</v>
      </c>
      <c r="F515" s="20" t="s">
        <v>26</v>
      </c>
      <c r="G515" s="53">
        <f t="shared" si="8"/>
        <v>1.4102651958378438</v>
      </c>
      <c r="H515" s="35"/>
      <c r="P515" s="6"/>
    </row>
    <row r="516" spans="1:16" ht="14.4" x14ac:dyDescent="0.25">
      <c r="A516" s="6">
        <v>636</v>
      </c>
      <c r="B516" s="6">
        <v>4454</v>
      </c>
      <c r="C516" s="19">
        <v>39845</v>
      </c>
      <c r="D516" s="6" t="s">
        <v>25</v>
      </c>
      <c r="E516" s="6">
        <f>IF((ISBLANK($B$1)),"",Sheet1!Q521)</f>
        <v>4250</v>
      </c>
      <c r="F516" s="20" t="s">
        <v>26</v>
      </c>
      <c r="G516" s="53">
        <f t="shared" si="8"/>
        <v>-0.59211849959099416</v>
      </c>
      <c r="H516" s="35"/>
      <c r="P516" s="6"/>
    </row>
    <row r="517" spans="1:16" ht="14.4" x14ac:dyDescent="0.25">
      <c r="A517" s="6">
        <v>719</v>
      </c>
      <c r="B517" s="6">
        <v>5153</v>
      </c>
      <c r="C517" s="19">
        <v>40780</v>
      </c>
      <c r="D517" s="6" t="s">
        <v>30</v>
      </c>
      <c r="E517" s="6">
        <f>IF((ISBLANK($B$1)),"",Sheet1!Q522)</f>
        <v>5250</v>
      </c>
      <c r="F517" s="20" t="s">
        <v>29</v>
      </c>
      <c r="G517" s="53">
        <f t="shared" si="8"/>
        <v>0.78883577311854924</v>
      </c>
      <c r="H517" s="35"/>
      <c r="P517" s="6"/>
    </row>
    <row r="518" spans="1:16" ht="14.4" x14ac:dyDescent="0.25">
      <c r="A518" s="6">
        <v>762</v>
      </c>
      <c r="B518" s="6">
        <v>5446</v>
      </c>
      <c r="C518" s="19">
        <v>39984</v>
      </c>
      <c r="D518" s="6" t="s">
        <v>25</v>
      </c>
      <c r="E518" s="6">
        <f>IF((ISBLANK($B$1)),"",Sheet1!Q523)</f>
        <v>5500</v>
      </c>
      <c r="F518" s="20" t="s">
        <v>26</v>
      </c>
      <c r="G518" s="53">
        <f t="shared" si="8"/>
        <v>1.1340743412959351</v>
      </c>
      <c r="H518" s="35"/>
      <c r="P518" s="6"/>
    </row>
    <row r="519" spans="1:16" ht="14.4" x14ac:dyDescent="0.25">
      <c r="A519" s="6">
        <v>1106</v>
      </c>
      <c r="B519" s="6">
        <v>8131</v>
      </c>
      <c r="C519" s="19">
        <v>40301</v>
      </c>
      <c r="D519" s="6" t="s">
        <v>30</v>
      </c>
      <c r="E519" s="6">
        <f>IF((ISBLANK($B$1)),"",Sheet1!Q524)</f>
        <v>4600</v>
      </c>
      <c r="F519" s="20" t="s">
        <v>27</v>
      </c>
      <c r="G519" s="53">
        <f t="shared" si="8"/>
        <v>-0.108784504142654</v>
      </c>
      <c r="H519" s="35"/>
      <c r="P519" s="6"/>
    </row>
    <row r="520" spans="1:16" ht="14.4" x14ac:dyDescent="0.25">
      <c r="A520" s="6">
        <v>1225</v>
      </c>
      <c r="B520" s="6">
        <v>8994</v>
      </c>
      <c r="C520" s="19">
        <v>39910</v>
      </c>
      <c r="D520" s="6" t="s">
        <v>25</v>
      </c>
      <c r="E520" s="6">
        <f>IF((ISBLANK($B$1)),"",Sheet1!Q525)</f>
        <v>5200</v>
      </c>
      <c r="F520" s="20" t="s">
        <v>27</v>
      </c>
      <c r="G520" s="53">
        <f t="shared" ref="G520:G583" si="9">STANDARDIZE(E520,$L$26,$L$35)</f>
        <v>0.71978805948307201</v>
      </c>
      <c r="H520" s="35"/>
      <c r="P520" s="6"/>
    </row>
    <row r="521" spans="1:16" ht="14.4" x14ac:dyDescent="0.25">
      <c r="A521" s="6">
        <v>1241</v>
      </c>
      <c r="B521" s="6">
        <v>9027</v>
      </c>
      <c r="C521" s="19">
        <v>40788</v>
      </c>
      <c r="D521" s="6" t="s">
        <v>25</v>
      </c>
      <c r="E521" s="6">
        <f>IF((ISBLANK($B$1)),"",Sheet1!Q526)</f>
        <v>4900</v>
      </c>
      <c r="F521" s="20" t="s">
        <v>27</v>
      </c>
      <c r="G521" s="53">
        <f t="shared" si="9"/>
        <v>0.30550177767020903</v>
      </c>
      <c r="H521" s="35"/>
      <c r="P521" s="6"/>
    </row>
    <row r="522" spans="1:16" ht="14.4" x14ac:dyDescent="0.25">
      <c r="A522" s="6">
        <v>1264</v>
      </c>
      <c r="B522" s="6">
        <v>9216</v>
      </c>
      <c r="C522" s="19">
        <v>40647</v>
      </c>
      <c r="D522" s="6" t="s">
        <v>16</v>
      </c>
      <c r="E522" s="6">
        <f>IF((ISBLANK($B$1)),"",Sheet1!Q527)</f>
        <v>5200</v>
      </c>
      <c r="F522" s="20" t="s">
        <v>26</v>
      </c>
      <c r="G522" s="53">
        <f t="shared" si="9"/>
        <v>0.71978805948307201</v>
      </c>
      <c r="H522" s="35"/>
      <c r="P522" s="6"/>
    </row>
    <row r="523" spans="1:16" ht="14.4" x14ac:dyDescent="0.25">
      <c r="A523" s="6">
        <v>1302</v>
      </c>
      <c r="B523" s="6">
        <v>9537</v>
      </c>
      <c r="C523" s="19">
        <v>40587</v>
      </c>
      <c r="D523" s="6" t="s">
        <v>28</v>
      </c>
      <c r="E523" s="6">
        <f>IF((ISBLANK($B$1)),"",Sheet1!Q528)</f>
        <v>3700</v>
      </c>
      <c r="F523" s="20" t="s">
        <v>29</v>
      </c>
      <c r="G523" s="53">
        <f t="shared" si="9"/>
        <v>-1.351643349581243</v>
      </c>
      <c r="H523" s="35"/>
      <c r="P523" s="6"/>
    </row>
    <row r="524" spans="1:16" ht="14.4" x14ac:dyDescent="0.25">
      <c r="A524" s="6">
        <v>1303</v>
      </c>
      <c r="B524" s="6">
        <v>9537</v>
      </c>
      <c r="C524" s="19">
        <v>40587</v>
      </c>
      <c r="D524" s="6" t="s">
        <v>28</v>
      </c>
      <c r="E524" s="6">
        <f>IF((ISBLANK($B$1)),"",Sheet1!Q529)</f>
        <v>5550</v>
      </c>
      <c r="F524" s="20" t="s">
        <v>26</v>
      </c>
      <c r="G524" s="53">
        <f t="shared" si="9"/>
        <v>1.2031220549314123</v>
      </c>
      <c r="H524" s="35"/>
      <c r="P524" s="6"/>
    </row>
    <row r="525" spans="1:16" ht="14.4" x14ac:dyDescent="0.25">
      <c r="A525" s="6">
        <v>1307</v>
      </c>
      <c r="B525" s="6">
        <v>9574</v>
      </c>
      <c r="C525" s="19">
        <v>40754</v>
      </c>
      <c r="D525" s="6" t="s">
        <v>16</v>
      </c>
      <c r="E525" s="6">
        <f>IF((ISBLANK($B$1)),"",Sheet1!Q530)</f>
        <v>5400</v>
      </c>
      <c r="F525" s="20" t="s">
        <v>26</v>
      </c>
      <c r="G525" s="53">
        <f t="shared" si="9"/>
        <v>0.99597891402498073</v>
      </c>
      <c r="H525" s="35"/>
      <c r="P525" s="6"/>
    </row>
    <row r="526" spans="1:16" ht="14.4" x14ac:dyDescent="0.25">
      <c r="A526" s="6">
        <v>1442</v>
      </c>
      <c r="B526" s="6">
        <v>10435</v>
      </c>
      <c r="C526" s="19">
        <v>40400</v>
      </c>
      <c r="D526" s="6" t="s">
        <v>16</v>
      </c>
      <c r="E526" s="6">
        <f>IF((ISBLANK($B$1)),"",Sheet1!Q531)</f>
        <v>5300</v>
      </c>
      <c r="F526" s="20" t="s">
        <v>26</v>
      </c>
      <c r="G526" s="53">
        <f t="shared" si="9"/>
        <v>0.85788348675402637</v>
      </c>
      <c r="H526" s="35"/>
      <c r="P526" s="6"/>
    </row>
    <row r="527" spans="1:16" ht="14.4" x14ac:dyDescent="0.25">
      <c r="A527" s="6">
        <v>1443</v>
      </c>
      <c r="B527" s="6">
        <v>10435</v>
      </c>
      <c r="C527" s="19">
        <v>40400</v>
      </c>
      <c r="D527" s="6" t="s">
        <v>16</v>
      </c>
      <c r="E527" s="6">
        <f>IF((ISBLANK($B$1)),"",Sheet1!Q532)</f>
        <v>5700</v>
      </c>
      <c r="F527" s="20" t="s">
        <v>26</v>
      </c>
      <c r="G527" s="53">
        <f t="shared" si="9"/>
        <v>1.4102651958378438</v>
      </c>
      <c r="H527" s="35"/>
      <c r="P527" s="6"/>
    </row>
    <row r="528" spans="1:16" ht="14.4" x14ac:dyDescent="0.25">
      <c r="A528" s="6">
        <v>1501</v>
      </c>
      <c r="B528" s="6">
        <v>10851</v>
      </c>
      <c r="C528" s="19">
        <v>39909</v>
      </c>
      <c r="D528" s="6" t="s">
        <v>17</v>
      </c>
      <c r="E528" s="6">
        <f>IF((ISBLANK($B$1)),"",Sheet1!Q533)</f>
        <v>5900</v>
      </c>
      <c r="F528" s="20" t="s">
        <v>26</v>
      </c>
      <c r="G528" s="53">
        <f t="shared" si="9"/>
        <v>1.6864560503797523</v>
      </c>
      <c r="H528" s="35"/>
      <c r="P528" s="6"/>
    </row>
    <row r="529" spans="1:16" ht="14.4" x14ac:dyDescent="0.25">
      <c r="A529" s="6">
        <v>1503</v>
      </c>
      <c r="B529" s="6">
        <v>10852</v>
      </c>
      <c r="C529" s="19">
        <v>40477</v>
      </c>
      <c r="D529" s="6" t="s">
        <v>17</v>
      </c>
      <c r="E529" s="6">
        <f>IF((ISBLANK($B$1)),"",Sheet1!Q534)</f>
        <v>4250</v>
      </c>
      <c r="F529" s="20" t="s">
        <v>26</v>
      </c>
      <c r="G529" s="53">
        <f t="shared" si="9"/>
        <v>-0.59211849959099416</v>
      </c>
      <c r="H529" s="35"/>
      <c r="P529" s="6"/>
    </row>
    <row r="530" spans="1:16" ht="14.4" x14ac:dyDescent="0.25">
      <c r="A530" s="6">
        <v>1504</v>
      </c>
      <c r="B530" s="6">
        <v>10852</v>
      </c>
      <c r="C530" s="19">
        <v>40477</v>
      </c>
      <c r="D530" s="6" t="s">
        <v>17</v>
      </c>
      <c r="E530" s="6">
        <f>IF((ISBLANK($B$1)),"",Sheet1!Q535)</f>
        <v>5400</v>
      </c>
      <c r="F530" s="20" t="s">
        <v>29</v>
      </c>
      <c r="G530" s="53">
        <f t="shared" si="9"/>
        <v>0.99597891402498073</v>
      </c>
      <c r="H530" s="35"/>
      <c r="P530" s="6"/>
    </row>
    <row r="531" spans="1:16" ht="14.4" x14ac:dyDescent="0.25">
      <c r="A531" s="6">
        <v>1560</v>
      </c>
      <c r="B531" s="6">
        <v>11269</v>
      </c>
      <c r="C531" s="19">
        <v>41055</v>
      </c>
      <c r="D531" s="6" t="s">
        <v>25</v>
      </c>
      <c r="E531" s="6">
        <f>IF((ISBLANK($B$1)),"",Sheet1!Q536)</f>
        <v>5350</v>
      </c>
      <c r="F531" s="20" t="s">
        <v>27</v>
      </c>
      <c r="G531" s="53">
        <f t="shared" si="9"/>
        <v>0.92693120038950361</v>
      </c>
      <c r="H531" s="35"/>
      <c r="P531" s="6"/>
    </row>
    <row r="532" spans="1:16" ht="14.4" x14ac:dyDescent="0.25">
      <c r="A532" s="6">
        <v>1561</v>
      </c>
      <c r="B532" s="6">
        <v>11269</v>
      </c>
      <c r="C532" s="19">
        <v>41055</v>
      </c>
      <c r="D532" s="6" t="s">
        <v>25</v>
      </c>
      <c r="E532" s="6">
        <f>IF((ISBLANK($B$1)),"",Sheet1!Q537)</f>
        <v>5850</v>
      </c>
      <c r="F532" s="20" t="s">
        <v>26</v>
      </c>
      <c r="G532" s="53">
        <f t="shared" si="9"/>
        <v>1.6174083367442753</v>
      </c>
      <c r="H532" s="35"/>
      <c r="P532" s="6"/>
    </row>
    <row r="533" spans="1:16" ht="14.4" x14ac:dyDescent="0.25">
      <c r="A533" s="6">
        <v>1562</v>
      </c>
      <c r="B533" s="6">
        <v>11269</v>
      </c>
      <c r="C533" s="19">
        <v>41055</v>
      </c>
      <c r="D533" s="6" t="s">
        <v>25</v>
      </c>
      <c r="E533" s="6">
        <f>IF((ISBLANK($B$1)),"",Sheet1!Q538)</f>
        <v>3450</v>
      </c>
      <c r="F533" s="20" t="s">
        <v>26</v>
      </c>
      <c r="G533" s="53">
        <f t="shared" si="9"/>
        <v>-1.696881917758629</v>
      </c>
      <c r="H533" s="35"/>
      <c r="P533" s="6"/>
    </row>
    <row r="534" spans="1:16" ht="14.4" x14ac:dyDescent="0.25">
      <c r="A534" s="6">
        <v>1571</v>
      </c>
      <c r="B534" s="6">
        <v>11362</v>
      </c>
      <c r="C534" s="19">
        <v>41162</v>
      </c>
      <c r="D534" s="6" t="s">
        <v>25</v>
      </c>
      <c r="E534" s="6">
        <f>IF((ISBLANK($B$1)),"",Sheet1!Q539)</f>
        <v>5000</v>
      </c>
      <c r="F534" s="20" t="s">
        <v>29</v>
      </c>
      <c r="G534" s="53">
        <f t="shared" si="9"/>
        <v>0.44359720494116334</v>
      </c>
      <c r="H534" s="35"/>
      <c r="P534" s="6"/>
    </row>
    <row r="535" spans="1:16" ht="14.4" x14ac:dyDescent="0.25">
      <c r="A535" s="6">
        <v>1572</v>
      </c>
      <c r="B535" s="6">
        <v>11362</v>
      </c>
      <c r="C535" s="19">
        <v>41162</v>
      </c>
      <c r="D535" s="6" t="s">
        <v>25</v>
      </c>
      <c r="E535" s="6">
        <f>IF((ISBLANK($B$1)),"",Sheet1!Q540)</f>
        <v>4750</v>
      </c>
      <c r="F535" s="20" t="s">
        <v>26</v>
      </c>
      <c r="G535" s="53">
        <f t="shared" si="9"/>
        <v>9.8358636763777513E-2</v>
      </c>
      <c r="H535" s="35"/>
      <c r="P535" s="6"/>
    </row>
    <row r="536" spans="1:16" ht="14.4" x14ac:dyDescent="0.25">
      <c r="A536" s="6">
        <v>1573</v>
      </c>
      <c r="B536" s="6">
        <v>11362</v>
      </c>
      <c r="C536" s="19">
        <v>41162</v>
      </c>
      <c r="D536" s="6" t="s">
        <v>25</v>
      </c>
      <c r="E536" s="6">
        <f>IF((ISBLANK($B$1)),"",Sheet1!Q541)</f>
        <v>3850</v>
      </c>
      <c r="F536" s="20" t="s">
        <v>27</v>
      </c>
      <c r="G536" s="53">
        <f t="shared" si="9"/>
        <v>-1.1445002086748115</v>
      </c>
      <c r="H536" s="35"/>
      <c r="P536" s="6"/>
    </row>
    <row r="537" spans="1:16" ht="14.4" x14ac:dyDescent="0.25">
      <c r="A537" s="6">
        <v>1574</v>
      </c>
      <c r="B537" s="6">
        <v>11362</v>
      </c>
      <c r="C537" s="19">
        <v>41162</v>
      </c>
      <c r="D537" s="6" t="s">
        <v>25</v>
      </c>
      <c r="E537" s="6">
        <f>IF((ISBLANK($B$1)),"",Sheet1!Q542)</f>
        <v>4650</v>
      </c>
      <c r="F537" s="20" t="s">
        <v>27</v>
      </c>
      <c r="G537" s="53">
        <f t="shared" si="9"/>
        <v>-3.9736790507176829E-2</v>
      </c>
      <c r="H537" s="35"/>
      <c r="P537" s="6"/>
    </row>
    <row r="538" spans="1:16" ht="14.4" x14ac:dyDescent="0.25">
      <c r="A538" s="6">
        <v>1659</v>
      </c>
      <c r="B538" s="6">
        <v>11968</v>
      </c>
      <c r="C538" s="19">
        <v>40618</v>
      </c>
      <c r="D538" s="6" t="s">
        <v>25</v>
      </c>
      <c r="E538" s="6">
        <f>IF((ISBLANK($B$1)),"",Sheet1!Q543)</f>
        <v>4950</v>
      </c>
      <c r="F538" s="20" t="s">
        <v>26</v>
      </c>
      <c r="G538" s="53">
        <f t="shared" si="9"/>
        <v>0.37454949130568621</v>
      </c>
      <c r="H538" s="35"/>
      <c r="P538" s="6"/>
    </row>
    <row r="539" spans="1:16" ht="14.4" x14ac:dyDescent="0.25">
      <c r="A539" s="6">
        <v>1712</v>
      </c>
      <c r="B539" s="6">
        <v>12293</v>
      </c>
      <c r="C539" s="19">
        <v>40712</v>
      </c>
      <c r="D539" s="6" t="s">
        <v>17</v>
      </c>
      <c r="E539" s="6">
        <f>IF((ISBLANK($B$1)),"",Sheet1!Q544)</f>
        <v>4950</v>
      </c>
      <c r="F539" s="20" t="s">
        <v>26</v>
      </c>
      <c r="G539" s="53">
        <f t="shared" si="9"/>
        <v>0.37454949130568621</v>
      </c>
      <c r="H539" s="35"/>
      <c r="P539" s="6"/>
    </row>
    <row r="540" spans="1:16" ht="14.4" x14ac:dyDescent="0.25">
      <c r="A540" s="6">
        <v>1783</v>
      </c>
      <c r="B540" s="6">
        <v>12773</v>
      </c>
      <c r="C540" s="19">
        <v>40554</v>
      </c>
      <c r="D540" s="6" t="s">
        <v>25</v>
      </c>
      <c r="E540" s="6">
        <f>IF((ISBLANK($B$1)),"",Sheet1!Q545)</f>
        <v>3700</v>
      </c>
      <c r="F540" s="20" t="s">
        <v>26</v>
      </c>
      <c r="G540" s="53">
        <f t="shared" si="9"/>
        <v>-1.351643349581243</v>
      </c>
      <c r="H540" s="35"/>
      <c r="P540" s="6"/>
    </row>
    <row r="541" spans="1:16" ht="14.4" x14ac:dyDescent="0.25">
      <c r="A541" s="6">
        <v>1784</v>
      </c>
      <c r="B541" s="6">
        <v>12773</v>
      </c>
      <c r="C541" s="19">
        <v>40554</v>
      </c>
      <c r="D541" s="6" t="s">
        <v>25</v>
      </c>
      <c r="E541" s="6">
        <f>IF((ISBLANK($B$1)),"",Sheet1!Q546)</f>
        <v>4150</v>
      </c>
      <c r="F541" s="20" t="s">
        <v>29</v>
      </c>
      <c r="G541" s="53">
        <f t="shared" si="9"/>
        <v>-0.73021392686194853</v>
      </c>
      <c r="H541" s="35"/>
      <c r="P541" s="6"/>
    </row>
    <row r="542" spans="1:16" ht="14.4" x14ac:dyDescent="0.25">
      <c r="A542" s="6">
        <v>1785</v>
      </c>
      <c r="B542" s="6">
        <v>12773</v>
      </c>
      <c r="C542" s="19">
        <v>40554</v>
      </c>
      <c r="D542" s="6" t="s">
        <v>25</v>
      </c>
      <c r="E542" s="6">
        <f>IF((ISBLANK($B$1)),"",Sheet1!Q547)</f>
        <v>4350</v>
      </c>
      <c r="F542" s="20" t="s">
        <v>26</v>
      </c>
      <c r="G542" s="53">
        <f t="shared" si="9"/>
        <v>-0.45402307232003986</v>
      </c>
      <c r="H542" s="35"/>
      <c r="P542" s="6"/>
    </row>
    <row r="543" spans="1:16" ht="14.4" x14ac:dyDescent="0.25">
      <c r="A543" s="6">
        <v>1786</v>
      </c>
      <c r="B543" s="6">
        <v>12773</v>
      </c>
      <c r="C543" s="19">
        <v>40554</v>
      </c>
      <c r="D543" s="6" t="s">
        <v>25</v>
      </c>
      <c r="E543" s="6">
        <f>IF((ISBLANK($B$1)),"",Sheet1!Q548)</f>
        <v>4450</v>
      </c>
      <c r="F543" s="20" t="s">
        <v>26</v>
      </c>
      <c r="G543" s="53">
        <f t="shared" si="9"/>
        <v>-0.31592764504908549</v>
      </c>
      <c r="H543" s="35"/>
      <c r="P543" s="6"/>
    </row>
    <row r="544" spans="1:16" ht="14.4" x14ac:dyDescent="0.25">
      <c r="A544" s="6">
        <v>1810</v>
      </c>
      <c r="B544" s="6">
        <v>12934</v>
      </c>
      <c r="C544" s="19">
        <v>39877</v>
      </c>
      <c r="D544" s="6" t="s">
        <v>28</v>
      </c>
      <c r="E544" s="6">
        <f>IF((ISBLANK($B$1)),"",Sheet1!Q549)</f>
        <v>5650</v>
      </c>
      <c r="F544" s="20" t="s">
        <v>26</v>
      </c>
      <c r="G544" s="53">
        <f t="shared" si="9"/>
        <v>1.3412174822023666</v>
      </c>
      <c r="H544" s="35"/>
      <c r="P544" s="6"/>
    </row>
    <row r="545" spans="1:16" ht="14.4" x14ac:dyDescent="0.25">
      <c r="A545" s="6">
        <v>1811</v>
      </c>
      <c r="B545" s="6">
        <v>12934</v>
      </c>
      <c r="C545" s="19">
        <v>39877</v>
      </c>
      <c r="D545" s="6" t="s">
        <v>28</v>
      </c>
      <c r="E545" s="6">
        <f>IF((ISBLANK($B$1)),"",Sheet1!Q550)</f>
        <v>4750</v>
      </c>
      <c r="F545" s="20" t="s">
        <v>26</v>
      </c>
      <c r="G545" s="53">
        <f t="shared" si="9"/>
        <v>9.8358636763777513E-2</v>
      </c>
      <c r="H545" s="35"/>
      <c r="P545" s="6"/>
    </row>
    <row r="546" spans="1:16" ht="14.4" x14ac:dyDescent="0.25">
      <c r="A546" s="6">
        <v>1826</v>
      </c>
      <c r="B546" s="6">
        <v>13120</v>
      </c>
      <c r="C546" s="19">
        <v>40161</v>
      </c>
      <c r="D546" s="6" t="s">
        <v>25</v>
      </c>
      <c r="E546" s="6">
        <f>IF((ISBLANK($B$1)),"",Sheet1!Q551)</f>
        <v>5700</v>
      </c>
      <c r="F546" s="20" t="s">
        <v>26</v>
      </c>
      <c r="G546" s="53">
        <f t="shared" si="9"/>
        <v>1.4102651958378438</v>
      </c>
      <c r="H546" s="35"/>
      <c r="P546" s="6"/>
    </row>
    <row r="547" spans="1:16" ht="14.4" x14ac:dyDescent="0.25">
      <c r="A547" s="6">
        <v>1827</v>
      </c>
      <c r="B547" s="6">
        <v>13120</v>
      </c>
      <c r="C547" s="19">
        <v>40161</v>
      </c>
      <c r="D547" s="6" t="s">
        <v>25</v>
      </c>
      <c r="E547" s="6">
        <f>IF((ISBLANK($B$1)),"",Sheet1!Q552)</f>
        <v>3800</v>
      </c>
      <c r="F547" s="20" t="s">
        <v>26</v>
      </c>
      <c r="G547" s="53">
        <f t="shared" si="9"/>
        <v>-1.2135479223102887</v>
      </c>
      <c r="H547" s="35"/>
      <c r="P547" s="6"/>
    </row>
    <row r="548" spans="1:16" ht="14.4" x14ac:dyDescent="0.25">
      <c r="A548" s="6">
        <v>1896</v>
      </c>
      <c r="B548" s="6">
        <v>13604</v>
      </c>
      <c r="C548" s="19">
        <v>39846</v>
      </c>
      <c r="D548" s="6" t="s">
        <v>28</v>
      </c>
      <c r="E548" s="6">
        <f>IF((ISBLANK($B$1)),"",Sheet1!Q553)</f>
        <v>5300</v>
      </c>
      <c r="F548" s="20" t="s">
        <v>27</v>
      </c>
      <c r="G548" s="53">
        <f t="shared" si="9"/>
        <v>0.85788348675402637</v>
      </c>
      <c r="H548" s="35"/>
      <c r="P548" s="6"/>
    </row>
    <row r="549" spans="1:16" ht="14.4" x14ac:dyDescent="0.25">
      <c r="A549" s="6">
        <v>1897</v>
      </c>
      <c r="B549" s="6">
        <v>13604</v>
      </c>
      <c r="C549" s="19">
        <v>39846</v>
      </c>
      <c r="D549" s="6" t="s">
        <v>28</v>
      </c>
      <c r="E549" s="6">
        <f>IF((ISBLANK($B$1)),"",Sheet1!Q554)</f>
        <v>5500</v>
      </c>
      <c r="F549" s="20" t="s">
        <v>29</v>
      </c>
      <c r="G549" s="53">
        <f t="shared" si="9"/>
        <v>1.1340743412959351</v>
      </c>
      <c r="H549" s="35"/>
      <c r="P549" s="6"/>
    </row>
    <row r="550" spans="1:16" ht="14.4" x14ac:dyDescent="0.25">
      <c r="A550" s="6">
        <v>1947</v>
      </c>
      <c r="B550" s="6">
        <v>13927</v>
      </c>
      <c r="C550" s="19">
        <v>40051</v>
      </c>
      <c r="D550" s="6" t="s">
        <v>25</v>
      </c>
      <c r="E550" s="6">
        <f>IF((ISBLANK($B$1)),"",Sheet1!Q555)</f>
        <v>4700</v>
      </c>
      <c r="F550" s="20" t="s">
        <v>26</v>
      </c>
      <c r="G550" s="53">
        <f t="shared" si="9"/>
        <v>2.9310923128300338E-2</v>
      </c>
      <c r="H550" s="35"/>
      <c r="P550" s="6"/>
    </row>
    <row r="551" spans="1:16" ht="14.4" x14ac:dyDescent="0.25">
      <c r="A551" s="6">
        <v>2104</v>
      </c>
      <c r="B551" s="6">
        <v>15044</v>
      </c>
      <c r="C551" s="19">
        <v>40974</v>
      </c>
      <c r="D551" s="6" t="s">
        <v>25</v>
      </c>
      <c r="E551" s="6">
        <f>IF((ISBLANK($B$1)),"",Sheet1!Q556)</f>
        <v>5500</v>
      </c>
      <c r="F551" s="20" t="s">
        <v>27</v>
      </c>
      <c r="G551" s="53">
        <f t="shared" si="9"/>
        <v>1.1340743412959351</v>
      </c>
      <c r="H551" s="35"/>
      <c r="P551" s="6"/>
    </row>
    <row r="552" spans="1:16" ht="14.4" x14ac:dyDescent="0.25">
      <c r="A552" s="6">
        <v>2124</v>
      </c>
      <c r="B552" s="6">
        <v>15139</v>
      </c>
      <c r="C552" s="19">
        <v>40136</v>
      </c>
      <c r="D552" s="6" t="s">
        <v>17</v>
      </c>
      <c r="E552" s="6">
        <f>IF((ISBLANK($B$1)),"",Sheet1!Q557)</f>
        <v>4250</v>
      </c>
      <c r="F552" s="20" t="s">
        <v>29</v>
      </c>
      <c r="G552" s="53">
        <f t="shared" si="9"/>
        <v>-0.59211849959099416</v>
      </c>
      <c r="H552" s="35"/>
      <c r="P552" s="6"/>
    </row>
    <row r="553" spans="1:16" ht="14.4" x14ac:dyDescent="0.25">
      <c r="A553" s="6">
        <v>2125</v>
      </c>
      <c r="B553" s="6">
        <v>15139</v>
      </c>
      <c r="C553" s="19">
        <v>40136</v>
      </c>
      <c r="D553" s="6" t="s">
        <v>17</v>
      </c>
      <c r="E553" s="6">
        <f>IF((ISBLANK($B$1)),"",Sheet1!Q558)</f>
        <v>5050</v>
      </c>
      <c r="F553" s="20" t="s">
        <v>26</v>
      </c>
      <c r="G553" s="53">
        <f t="shared" si="9"/>
        <v>0.51264491857664052</v>
      </c>
      <c r="H553" s="35"/>
      <c r="P553" s="6"/>
    </row>
    <row r="554" spans="1:16" ht="14.4" x14ac:dyDescent="0.25">
      <c r="A554" s="6">
        <v>2158</v>
      </c>
      <c r="B554" s="6">
        <v>15463</v>
      </c>
      <c r="C554" s="19">
        <v>40383</v>
      </c>
      <c r="D554" s="6" t="s">
        <v>25</v>
      </c>
      <c r="E554" s="6">
        <f>IF((ISBLANK($B$1)),"",Sheet1!Q559)</f>
        <v>5800</v>
      </c>
      <c r="F554" s="20" t="s">
        <v>26</v>
      </c>
      <c r="G554" s="53">
        <f t="shared" si="9"/>
        <v>1.5483606231087981</v>
      </c>
      <c r="H554" s="35"/>
      <c r="P554" s="6"/>
    </row>
    <row r="555" spans="1:16" ht="14.4" x14ac:dyDescent="0.25">
      <c r="A555" s="6">
        <v>2164</v>
      </c>
      <c r="B555" s="6">
        <v>15618</v>
      </c>
      <c r="C555" s="19">
        <v>40394</v>
      </c>
      <c r="D555" s="6" t="s">
        <v>16</v>
      </c>
      <c r="E555" s="6">
        <f>IF((ISBLANK($B$1)),"",Sheet1!Q560)</f>
        <v>3850</v>
      </c>
      <c r="F555" s="20" t="s">
        <v>26</v>
      </c>
      <c r="G555" s="53">
        <f t="shared" si="9"/>
        <v>-1.1445002086748115</v>
      </c>
      <c r="H555" s="35"/>
      <c r="P555" s="6"/>
    </row>
    <row r="556" spans="1:16" ht="14.4" x14ac:dyDescent="0.25">
      <c r="A556" s="6">
        <v>2165</v>
      </c>
      <c r="B556" s="6">
        <v>15618</v>
      </c>
      <c r="C556" s="19">
        <v>40394</v>
      </c>
      <c r="D556" s="6" t="s">
        <v>16</v>
      </c>
      <c r="E556" s="6">
        <f>IF((ISBLANK($B$1)),"",Sheet1!Q561)</f>
        <v>5600</v>
      </c>
      <c r="F556" s="20" t="s">
        <v>26</v>
      </c>
      <c r="G556" s="53">
        <f t="shared" si="9"/>
        <v>1.2721697685668893</v>
      </c>
      <c r="H556" s="35"/>
      <c r="P556" s="6"/>
    </row>
    <row r="557" spans="1:16" ht="14.4" x14ac:dyDescent="0.25">
      <c r="A557" s="6">
        <v>2166</v>
      </c>
      <c r="B557" s="6">
        <v>15618</v>
      </c>
      <c r="C557" s="19">
        <v>40394</v>
      </c>
      <c r="D557" s="6" t="s">
        <v>16</v>
      </c>
      <c r="E557" s="6">
        <f>IF((ISBLANK($B$1)),"",Sheet1!Q562)</f>
        <v>4100</v>
      </c>
      <c r="F557" s="20" t="s">
        <v>27</v>
      </c>
      <c r="G557" s="53">
        <f t="shared" si="9"/>
        <v>-0.79926164049742576</v>
      </c>
      <c r="H557" s="35"/>
      <c r="P557" s="6"/>
    </row>
    <row r="558" spans="1:16" ht="14.4" x14ac:dyDescent="0.25">
      <c r="A558" s="6">
        <v>2227</v>
      </c>
      <c r="B558" s="6">
        <v>16100</v>
      </c>
      <c r="C558" s="19">
        <v>40609</v>
      </c>
      <c r="D558" s="6" t="s">
        <v>16</v>
      </c>
      <c r="E558" s="6">
        <f>IF((ISBLANK($B$1)),"",Sheet1!Q563)</f>
        <v>5600</v>
      </c>
      <c r="F558" s="20" t="s">
        <v>29</v>
      </c>
      <c r="G558" s="53">
        <f t="shared" si="9"/>
        <v>1.2721697685668893</v>
      </c>
      <c r="H558" s="35"/>
      <c r="P558" s="6"/>
    </row>
    <row r="559" spans="1:16" ht="14.4" x14ac:dyDescent="0.25">
      <c r="A559" s="6">
        <v>2269</v>
      </c>
      <c r="B559" s="6">
        <v>16320</v>
      </c>
      <c r="C559" s="19">
        <v>40836</v>
      </c>
      <c r="D559" s="6" t="s">
        <v>28</v>
      </c>
      <c r="E559" s="6">
        <f>IF((ISBLANK($B$1)),"",Sheet1!Q564)</f>
        <v>4250</v>
      </c>
      <c r="F559" s="20" t="s">
        <v>27</v>
      </c>
      <c r="G559" s="53">
        <f t="shared" si="9"/>
        <v>-0.59211849959099416</v>
      </c>
      <c r="H559" s="35"/>
      <c r="P559" s="6"/>
    </row>
    <row r="560" spans="1:16" ht="14.4" x14ac:dyDescent="0.25">
      <c r="A560" s="6">
        <v>2278</v>
      </c>
      <c r="B560" s="6">
        <v>16419</v>
      </c>
      <c r="C560" s="19">
        <v>40029</v>
      </c>
      <c r="D560" s="6" t="s">
        <v>28</v>
      </c>
      <c r="E560" s="6">
        <f>IF((ISBLANK($B$1)),"",Sheet1!Q565)</f>
        <v>5550</v>
      </c>
      <c r="F560" s="20" t="s">
        <v>26</v>
      </c>
      <c r="G560" s="53">
        <f t="shared" si="9"/>
        <v>1.2031220549314123</v>
      </c>
      <c r="H560" s="35"/>
      <c r="P560" s="6"/>
    </row>
    <row r="561" spans="1:16" ht="14.4" x14ac:dyDescent="0.25">
      <c r="A561" s="6">
        <v>2362</v>
      </c>
      <c r="B561" s="6">
        <v>17090</v>
      </c>
      <c r="C561" s="19">
        <v>40296</v>
      </c>
      <c r="D561" s="6" t="s">
        <v>25</v>
      </c>
      <c r="E561" s="6">
        <f>IF((ISBLANK($B$1)),"",Sheet1!Q566)</f>
        <v>4900</v>
      </c>
      <c r="F561" s="20" t="s">
        <v>29</v>
      </c>
      <c r="G561" s="53">
        <f t="shared" si="9"/>
        <v>0.30550177767020903</v>
      </c>
      <c r="H561" s="35"/>
      <c r="P561" s="6"/>
    </row>
    <row r="562" spans="1:16" ht="14.4" x14ac:dyDescent="0.25">
      <c r="A562" s="6">
        <v>2363</v>
      </c>
      <c r="B562" s="6">
        <v>17090</v>
      </c>
      <c r="C562" s="19">
        <v>40296</v>
      </c>
      <c r="D562" s="6" t="s">
        <v>25</v>
      </c>
      <c r="E562" s="6">
        <f>IF((ISBLANK($B$1)),"",Sheet1!Q567)</f>
        <v>4700</v>
      </c>
      <c r="F562" s="20" t="s">
        <v>29</v>
      </c>
      <c r="G562" s="53">
        <f t="shared" si="9"/>
        <v>2.9310923128300338E-2</v>
      </c>
      <c r="H562" s="35"/>
      <c r="P562" s="6"/>
    </row>
    <row r="563" spans="1:16" ht="14.4" x14ac:dyDescent="0.25">
      <c r="A563" s="6">
        <v>2391</v>
      </c>
      <c r="B563" s="6">
        <v>17315</v>
      </c>
      <c r="C563" s="19">
        <v>39925</v>
      </c>
      <c r="D563" s="6" t="s">
        <v>25</v>
      </c>
      <c r="E563" s="6">
        <f>IF((ISBLANK($B$1)),"",Sheet1!Q568)</f>
        <v>4850</v>
      </c>
      <c r="F563" s="20" t="s">
        <v>26</v>
      </c>
      <c r="G563" s="53">
        <f t="shared" si="9"/>
        <v>0.23645406403473185</v>
      </c>
      <c r="H563" s="35"/>
      <c r="P563" s="6"/>
    </row>
    <row r="564" spans="1:16" ht="14.4" x14ac:dyDescent="0.25">
      <c r="A564" s="6">
        <v>2395</v>
      </c>
      <c r="B564" s="6">
        <v>17376</v>
      </c>
      <c r="C564" s="19">
        <v>40881</v>
      </c>
      <c r="D564" s="6" t="s">
        <v>17</v>
      </c>
      <c r="E564" s="6">
        <f>IF((ISBLANK($B$1)),"",Sheet1!Q569)</f>
        <v>5600</v>
      </c>
      <c r="F564" s="20" t="s">
        <v>27</v>
      </c>
      <c r="G564" s="53">
        <f t="shared" si="9"/>
        <v>1.2721697685668893</v>
      </c>
      <c r="H564" s="35"/>
      <c r="P564" s="6"/>
    </row>
    <row r="565" spans="1:16" ht="14.4" x14ac:dyDescent="0.25">
      <c r="A565" s="6">
        <v>2506</v>
      </c>
      <c r="B565" s="6">
        <v>18210</v>
      </c>
      <c r="C565" s="19">
        <v>40396</v>
      </c>
      <c r="D565" s="6" t="s">
        <v>28</v>
      </c>
      <c r="E565" s="6">
        <f>IF((ISBLANK($B$1)),"",Sheet1!Q570)</f>
        <v>4750</v>
      </c>
      <c r="F565" s="20" t="s">
        <v>26</v>
      </c>
      <c r="G565" s="53">
        <f t="shared" si="9"/>
        <v>9.8358636763777513E-2</v>
      </c>
      <c r="H565" s="35"/>
      <c r="P565" s="6"/>
    </row>
    <row r="566" spans="1:16" ht="14.4" x14ac:dyDescent="0.25">
      <c r="A566" s="6">
        <v>2507</v>
      </c>
      <c r="B566" s="6">
        <v>18210</v>
      </c>
      <c r="C566" s="19">
        <v>40396</v>
      </c>
      <c r="D566" s="6" t="s">
        <v>28</v>
      </c>
      <c r="E566" s="6">
        <f>IF((ISBLANK($B$1)),"",Sheet1!Q571)</f>
        <v>4750</v>
      </c>
      <c r="F566" s="20" t="s">
        <v>26</v>
      </c>
      <c r="G566" s="53">
        <f t="shared" si="9"/>
        <v>9.8358636763777513E-2</v>
      </c>
      <c r="H566" s="35"/>
      <c r="P566" s="6"/>
    </row>
    <row r="567" spans="1:16" ht="14.4" x14ac:dyDescent="0.25">
      <c r="A567" s="6">
        <v>2514</v>
      </c>
      <c r="B567" s="6">
        <v>18273</v>
      </c>
      <c r="C567" s="19">
        <v>40801</v>
      </c>
      <c r="D567" s="6" t="s">
        <v>25</v>
      </c>
      <c r="E567" s="6">
        <f>IF((ISBLANK($B$1)),"",Sheet1!Q572)</f>
        <v>4300</v>
      </c>
      <c r="F567" s="20" t="s">
        <v>27</v>
      </c>
      <c r="G567" s="53">
        <f t="shared" si="9"/>
        <v>-0.52307078595551704</v>
      </c>
      <c r="H567" s="35"/>
      <c r="P567" s="6"/>
    </row>
    <row r="568" spans="1:16" ht="14.4" x14ac:dyDescent="0.25">
      <c r="A568" s="6">
        <v>2600</v>
      </c>
      <c r="B568" s="6">
        <v>18788</v>
      </c>
      <c r="C568" s="19">
        <v>40088</v>
      </c>
      <c r="D568" s="6" t="s">
        <v>28</v>
      </c>
      <c r="E568" s="6">
        <f>IF((ISBLANK($B$1)),"",Sheet1!Q573)</f>
        <v>4750</v>
      </c>
      <c r="F568" s="20" t="s">
        <v>29</v>
      </c>
      <c r="G568" s="53">
        <f t="shared" si="9"/>
        <v>9.8358636763777513E-2</v>
      </c>
      <c r="H568" s="35"/>
      <c r="P568" s="6"/>
    </row>
    <row r="569" spans="1:16" ht="14.4" x14ac:dyDescent="0.25">
      <c r="A569" s="6">
        <v>2628</v>
      </c>
      <c r="B569" s="6">
        <v>19042</v>
      </c>
      <c r="C569" s="19">
        <v>39873</v>
      </c>
      <c r="D569" s="6" t="s">
        <v>30</v>
      </c>
      <c r="E569" s="6">
        <f>IF((ISBLANK($B$1)),"",Sheet1!Q574)</f>
        <v>3800</v>
      </c>
      <c r="F569" s="20" t="s">
        <v>26</v>
      </c>
      <c r="G569" s="53">
        <f t="shared" si="9"/>
        <v>-1.2135479223102887</v>
      </c>
      <c r="H569" s="35"/>
      <c r="P569" s="6"/>
    </row>
    <row r="570" spans="1:16" ht="14.4" x14ac:dyDescent="0.25">
      <c r="A570" s="6">
        <v>2633</v>
      </c>
      <c r="B570" s="6">
        <v>19073</v>
      </c>
      <c r="C570" s="19">
        <v>39988</v>
      </c>
      <c r="D570" s="6" t="s">
        <v>28</v>
      </c>
      <c r="E570" s="6">
        <f>IF((ISBLANK($B$1)),"",Sheet1!Q575)</f>
        <v>4200</v>
      </c>
      <c r="F570" s="20" t="s">
        <v>29</v>
      </c>
      <c r="G570" s="53">
        <f t="shared" si="9"/>
        <v>-0.6611662132264714</v>
      </c>
      <c r="H570" s="35"/>
      <c r="P570" s="6"/>
    </row>
    <row r="571" spans="1:16" ht="14.4" x14ac:dyDescent="0.25">
      <c r="A571" s="6">
        <v>2634</v>
      </c>
      <c r="B571" s="6">
        <v>19073</v>
      </c>
      <c r="C571" s="19">
        <v>39988</v>
      </c>
      <c r="D571" s="6" t="s">
        <v>28</v>
      </c>
      <c r="E571" s="6">
        <f>IF((ISBLANK($B$1)),"",Sheet1!Q576)</f>
        <v>5400</v>
      </c>
      <c r="F571" s="20" t="s">
        <v>26</v>
      </c>
      <c r="G571" s="53">
        <f t="shared" si="9"/>
        <v>0.99597891402498073</v>
      </c>
      <c r="H571" s="35"/>
      <c r="P571" s="6"/>
    </row>
    <row r="572" spans="1:16" ht="14.4" x14ac:dyDescent="0.25">
      <c r="A572" s="6">
        <v>2678</v>
      </c>
      <c r="B572" s="6">
        <v>19365</v>
      </c>
      <c r="C572" s="19">
        <v>40559</v>
      </c>
      <c r="D572" s="6" t="s">
        <v>16</v>
      </c>
      <c r="E572" s="6">
        <f>IF((ISBLANK($B$1)),"",Sheet1!Q577)</f>
        <v>4850</v>
      </c>
      <c r="F572" s="20" t="s">
        <v>26</v>
      </c>
      <c r="G572" s="53">
        <f t="shared" si="9"/>
        <v>0.23645406403473185</v>
      </c>
      <c r="H572" s="35"/>
      <c r="P572" s="6"/>
    </row>
    <row r="573" spans="1:16" ht="14.4" x14ac:dyDescent="0.25">
      <c r="A573" s="6">
        <v>2716</v>
      </c>
      <c r="B573" s="6">
        <v>19617</v>
      </c>
      <c r="C573" s="19">
        <v>40928</v>
      </c>
      <c r="D573" s="6" t="s">
        <v>25</v>
      </c>
      <c r="E573" s="6">
        <f>IF((ISBLANK($B$1)),"",Sheet1!Q578)</f>
        <v>5300</v>
      </c>
      <c r="F573" s="20" t="s">
        <v>27</v>
      </c>
      <c r="G573" s="53">
        <f t="shared" si="9"/>
        <v>0.85788348675402637</v>
      </c>
      <c r="H573" s="35"/>
      <c r="P573" s="6"/>
    </row>
    <row r="574" spans="1:16" ht="14.4" x14ac:dyDescent="0.25">
      <c r="A574" s="6">
        <v>2717</v>
      </c>
      <c r="B574" s="6">
        <v>19617</v>
      </c>
      <c r="C574" s="19">
        <v>40928</v>
      </c>
      <c r="D574" s="6" t="s">
        <v>25</v>
      </c>
      <c r="E574" s="6">
        <f>IF((ISBLANK($B$1)),"",Sheet1!Q579)</f>
        <v>3550</v>
      </c>
      <c r="F574" s="20" t="s">
        <v>27</v>
      </c>
      <c r="G574" s="53">
        <f t="shared" si="9"/>
        <v>-1.5587864904876745</v>
      </c>
      <c r="H574" s="35"/>
      <c r="P574" s="6"/>
    </row>
    <row r="575" spans="1:16" ht="14.4" x14ac:dyDescent="0.25">
      <c r="A575" s="6">
        <v>2770</v>
      </c>
      <c r="B575" s="6">
        <v>20033</v>
      </c>
      <c r="C575" s="19">
        <v>40319</v>
      </c>
      <c r="D575" s="6" t="s">
        <v>30</v>
      </c>
      <c r="E575" s="6">
        <f>IF((ISBLANK($B$1)),"",Sheet1!Q580)</f>
        <v>3650</v>
      </c>
      <c r="F575" s="20" t="s">
        <v>27</v>
      </c>
      <c r="G575" s="53">
        <f t="shared" si="9"/>
        <v>-1.4206910632167202</v>
      </c>
      <c r="H575" s="35"/>
      <c r="P575" s="6"/>
    </row>
    <row r="576" spans="1:16" ht="14.4" x14ac:dyDescent="0.25">
      <c r="A576" s="6">
        <v>2930</v>
      </c>
      <c r="B576" s="6">
        <v>21223</v>
      </c>
      <c r="C576" s="19">
        <v>40983</v>
      </c>
      <c r="D576" s="6" t="s">
        <v>28</v>
      </c>
      <c r="E576" s="6">
        <f>IF((ISBLANK($B$1)),"",Sheet1!Q581)</f>
        <v>3550</v>
      </c>
      <c r="F576" s="20" t="s">
        <v>29</v>
      </c>
      <c r="G576" s="53">
        <f t="shared" si="9"/>
        <v>-1.5587864904876745</v>
      </c>
      <c r="H576" s="35"/>
      <c r="P576" s="6"/>
    </row>
    <row r="577" spans="1:16" ht="14.4" x14ac:dyDescent="0.25">
      <c r="A577" s="6">
        <v>2931</v>
      </c>
      <c r="B577" s="6">
        <v>21223</v>
      </c>
      <c r="C577" s="19">
        <v>40983</v>
      </c>
      <c r="D577" s="6" t="s">
        <v>28</v>
      </c>
      <c r="E577" s="6">
        <f>IF((ISBLANK($B$1)),"",Sheet1!Q582)</f>
        <v>3800</v>
      </c>
      <c r="F577" s="20" t="s">
        <v>29</v>
      </c>
      <c r="G577" s="53">
        <f t="shared" si="9"/>
        <v>-1.2135479223102887</v>
      </c>
      <c r="H577" s="35"/>
      <c r="P577" s="6"/>
    </row>
    <row r="578" spans="1:16" ht="14.4" x14ac:dyDescent="0.25">
      <c r="A578" s="6">
        <v>2950</v>
      </c>
      <c r="B578" s="6">
        <v>21378</v>
      </c>
      <c r="C578" s="19">
        <v>40762</v>
      </c>
      <c r="D578" s="6" t="s">
        <v>16</v>
      </c>
      <c r="E578" s="6">
        <f>IF((ISBLANK($B$1)),"",Sheet1!Q583)</f>
        <v>5100</v>
      </c>
      <c r="F578" s="20" t="s">
        <v>26</v>
      </c>
      <c r="G578" s="53">
        <f t="shared" si="9"/>
        <v>0.58169263221211776</v>
      </c>
      <c r="H578" s="35"/>
      <c r="P578" s="6"/>
    </row>
    <row r="579" spans="1:16" ht="14.4" x14ac:dyDescent="0.25">
      <c r="A579" s="6">
        <v>2951</v>
      </c>
      <c r="B579" s="6">
        <v>21378</v>
      </c>
      <c r="C579" s="19">
        <v>40762</v>
      </c>
      <c r="D579" s="6" t="s">
        <v>16</v>
      </c>
      <c r="E579" s="6">
        <f>IF((ISBLANK($B$1)),"",Sheet1!Q584)</f>
        <v>4250</v>
      </c>
      <c r="F579" s="20" t="s">
        <v>27</v>
      </c>
      <c r="G579" s="53">
        <f t="shared" si="9"/>
        <v>-0.59211849959099416</v>
      </c>
      <c r="H579" s="35"/>
      <c r="P579" s="6"/>
    </row>
    <row r="580" spans="1:16" ht="14.4" x14ac:dyDescent="0.25">
      <c r="A580" s="6">
        <v>2984</v>
      </c>
      <c r="B580" s="6">
        <v>21542</v>
      </c>
      <c r="C580" s="19">
        <v>40684</v>
      </c>
      <c r="D580" s="6" t="s">
        <v>17</v>
      </c>
      <c r="E580" s="6">
        <f>IF((ISBLANK($B$1)),"",Sheet1!Q585)</f>
        <v>4300</v>
      </c>
      <c r="F580" s="20" t="s">
        <v>26</v>
      </c>
      <c r="G580" s="53">
        <f t="shared" si="9"/>
        <v>-0.52307078595551704</v>
      </c>
      <c r="H580" s="35"/>
      <c r="P580" s="6"/>
    </row>
    <row r="581" spans="1:16" ht="14.4" x14ac:dyDescent="0.25">
      <c r="A581" s="6">
        <v>2985</v>
      </c>
      <c r="B581" s="6">
        <v>21542</v>
      </c>
      <c r="C581" s="19">
        <v>40684</v>
      </c>
      <c r="D581" s="6" t="s">
        <v>17</v>
      </c>
      <c r="E581" s="6">
        <f>IF((ISBLANK($B$1)),"",Sheet1!Q586)</f>
        <v>5550</v>
      </c>
      <c r="F581" s="20" t="s">
        <v>29</v>
      </c>
      <c r="G581" s="53">
        <f t="shared" si="9"/>
        <v>1.2031220549314123</v>
      </c>
      <c r="H581" s="35"/>
      <c r="P581" s="6"/>
    </row>
    <row r="582" spans="1:16" ht="14.4" x14ac:dyDescent="0.25">
      <c r="A582" s="6">
        <v>3133</v>
      </c>
      <c r="B582" s="6">
        <v>22469</v>
      </c>
      <c r="C582" s="19">
        <v>40462</v>
      </c>
      <c r="D582" s="6" t="s">
        <v>17</v>
      </c>
      <c r="E582" s="6">
        <f>IF((ISBLANK($B$1)),"",Sheet1!Q587)</f>
        <v>4600</v>
      </c>
      <c r="F582" s="20" t="s">
        <v>26</v>
      </c>
      <c r="G582" s="53">
        <f t="shared" si="9"/>
        <v>-0.108784504142654</v>
      </c>
      <c r="H582" s="35"/>
      <c r="P582" s="6"/>
    </row>
    <row r="583" spans="1:16" ht="14.4" x14ac:dyDescent="0.25">
      <c r="A583" s="6">
        <v>3134</v>
      </c>
      <c r="B583" s="6">
        <v>22469</v>
      </c>
      <c r="C583" s="19">
        <v>40462</v>
      </c>
      <c r="D583" s="6" t="s">
        <v>17</v>
      </c>
      <c r="E583" s="6">
        <f>IF((ISBLANK($B$1)),"",Sheet1!Q588)</f>
        <v>4550</v>
      </c>
      <c r="F583" s="20" t="s">
        <v>29</v>
      </c>
      <c r="G583" s="53">
        <f t="shared" si="9"/>
        <v>-0.17783221777813119</v>
      </c>
      <c r="H583" s="35"/>
      <c r="P583" s="6"/>
    </row>
    <row r="584" spans="1:16" ht="14.4" x14ac:dyDescent="0.25">
      <c r="A584" s="6">
        <v>3155</v>
      </c>
      <c r="B584" s="6">
        <v>22656</v>
      </c>
      <c r="C584" s="19">
        <v>40534</v>
      </c>
      <c r="D584" s="6" t="s">
        <v>28</v>
      </c>
      <c r="E584" s="6">
        <f>IF((ISBLANK($B$1)),"",Sheet1!Q589)</f>
        <v>3900</v>
      </c>
      <c r="F584" s="20" t="s">
        <v>27</v>
      </c>
      <c r="G584" s="53">
        <f t="shared" ref="G584:G647" si="10">STANDARDIZE(E584,$L$26,$L$35)</f>
        <v>-1.0754524950393345</v>
      </c>
      <c r="H584" s="35"/>
      <c r="P584" s="6"/>
    </row>
    <row r="585" spans="1:16" ht="14.4" x14ac:dyDescent="0.25">
      <c r="A585" s="6">
        <v>3163</v>
      </c>
      <c r="B585" s="6">
        <v>22695</v>
      </c>
      <c r="C585" s="19">
        <v>39997</v>
      </c>
      <c r="D585" s="6" t="s">
        <v>25</v>
      </c>
      <c r="E585" s="6">
        <f>IF((ISBLANK($B$1)),"",Sheet1!Q590)</f>
        <v>5600</v>
      </c>
      <c r="F585" s="20" t="s">
        <v>26</v>
      </c>
      <c r="G585" s="53">
        <f t="shared" si="10"/>
        <v>1.2721697685668893</v>
      </c>
      <c r="H585" s="35"/>
      <c r="P585" s="6"/>
    </row>
    <row r="586" spans="1:16" ht="14.4" x14ac:dyDescent="0.25">
      <c r="A586" s="6">
        <v>3214</v>
      </c>
      <c r="B586" s="6">
        <v>23076</v>
      </c>
      <c r="C586" s="19">
        <v>39960</v>
      </c>
      <c r="D586" s="6" t="s">
        <v>30</v>
      </c>
      <c r="E586" s="6">
        <f>IF((ISBLANK($B$1)),"",Sheet1!Q591)</f>
        <v>5900</v>
      </c>
      <c r="F586" s="20" t="s">
        <v>29</v>
      </c>
      <c r="G586" s="53">
        <f t="shared" si="10"/>
        <v>1.6864560503797523</v>
      </c>
      <c r="H586" s="35"/>
      <c r="P586" s="6"/>
    </row>
    <row r="587" spans="1:16" ht="14.4" x14ac:dyDescent="0.25">
      <c r="A587" s="6">
        <v>3360</v>
      </c>
      <c r="B587" s="6">
        <v>24038</v>
      </c>
      <c r="C587" s="19">
        <v>40714</v>
      </c>
      <c r="D587" s="6" t="s">
        <v>17</v>
      </c>
      <c r="E587" s="6">
        <f>IF((ISBLANK($B$1)),"",Sheet1!Q592)</f>
        <v>4150</v>
      </c>
      <c r="F587" s="20" t="s">
        <v>27</v>
      </c>
      <c r="G587" s="53">
        <f t="shared" si="10"/>
        <v>-0.73021392686194853</v>
      </c>
      <c r="H587" s="35"/>
      <c r="P587" s="6"/>
    </row>
    <row r="588" spans="1:16" ht="14.4" x14ac:dyDescent="0.25">
      <c r="A588" s="6">
        <v>3365</v>
      </c>
      <c r="B588" s="6">
        <v>24067</v>
      </c>
      <c r="C588" s="19">
        <v>41143</v>
      </c>
      <c r="D588" s="6" t="s">
        <v>17</v>
      </c>
      <c r="E588" s="6">
        <f>IF((ISBLANK($B$1)),"",Sheet1!Q593)</f>
        <v>4350</v>
      </c>
      <c r="F588" s="20" t="s">
        <v>26</v>
      </c>
      <c r="G588" s="53">
        <f t="shared" si="10"/>
        <v>-0.45402307232003986</v>
      </c>
      <c r="H588" s="35"/>
      <c r="P588" s="6"/>
    </row>
    <row r="589" spans="1:16" ht="14.4" x14ac:dyDescent="0.25">
      <c r="A589" s="6">
        <v>3366</v>
      </c>
      <c r="B589" s="6">
        <v>24067</v>
      </c>
      <c r="C589" s="19">
        <v>41143</v>
      </c>
      <c r="D589" s="6" t="s">
        <v>17</v>
      </c>
      <c r="E589" s="6">
        <f>IF((ISBLANK($B$1)),"",Sheet1!Q594)</f>
        <v>5700</v>
      </c>
      <c r="F589" s="20" t="s">
        <v>27</v>
      </c>
      <c r="G589" s="53">
        <f t="shared" si="10"/>
        <v>1.4102651958378438</v>
      </c>
      <c r="H589" s="35"/>
      <c r="P589" s="6"/>
    </row>
    <row r="590" spans="1:16" ht="14.4" x14ac:dyDescent="0.25">
      <c r="A590" s="6">
        <v>3420</v>
      </c>
      <c r="B590" s="6">
        <v>24388</v>
      </c>
      <c r="C590" s="19">
        <v>40569</v>
      </c>
      <c r="D590" s="6" t="s">
        <v>30</v>
      </c>
      <c r="E590" s="6">
        <f>IF((ISBLANK($B$1)),"",Sheet1!Q595)</f>
        <v>4150</v>
      </c>
      <c r="F590" s="20" t="s">
        <v>27</v>
      </c>
      <c r="G590" s="53">
        <f t="shared" si="10"/>
        <v>-0.73021392686194853</v>
      </c>
      <c r="H590" s="35"/>
      <c r="P590" s="6"/>
    </row>
    <row r="591" spans="1:16" ht="14.4" x14ac:dyDescent="0.25">
      <c r="A591" s="6">
        <v>3428</v>
      </c>
      <c r="B591" s="6">
        <v>24451</v>
      </c>
      <c r="C591" s="19">
        <v>41246</v>
      </c>
      <c r="D591" s="6" t="s">
        <v>30</v>
      </c>
      <c r="E591" s="6">
        <f>IF((ISBLANK($B$1)),"",Sheet1!Q596)</f>
        <v>4600</v>
      </c>
      <c r="F591" s="20" t="s">
        <v>26</v>
      </c>
      <c r="G591" s="53">
        <f t="shared" si="10"/>
        <v>-0.108784504142654</v>
      </c>
      <c r="H591" s="35"/>
      <c r="P591" s="6"/>
    </row>
    <row r="592" spans="1:16" ht="14.4" x14ac:dyDescent="0.25">
      <c r="A592" s="6">
        <v>3487</v>
      </c>
      <c r="B592" s="6">
        <v>24806</v>
      </c>
      <c r="C592" s="19">
        <v>40427</v>
      </c>
      <c r="D592" s="6" t="s">
        <v>28</v>
      </c>
      <c r="E592" s="6">
        <f>IF((ISBLANK($B$1)),"",Sheet1!Q597)</f>
        <v>4400</v>
      </c>
      <c r="F592" s="20" t="s">
        <v>26</v>
      </c>
      <c r="G592" s="53">
        <f t="shared" si="10"/>
        <v>-0.38497535868456267</v>
      </c>
      <c r="H592" s="35"/>
      <c r="P592" s="6"/>
    </row>
    <row r="593" spans="1:16" ht="14.4" x14ac:dyDescent="0.25">
      <c r="A593" s="6">
        <v>3505</v>
      </c>
      <c r="B593" s="6">
        <v>24965</v>
      </c>
      <c r="C593" s="19">
        <v>40631</v>
      </c>
      <c r="D593" s="6" t="s">
        <v>25</v>
      </c>
      <c r="E593" s="6">
        <f>IF((ISBLANK($B$1)),"",Sheet1!Q598)</f>
        <v>3700</v>
      </c>
      <c r="F593" s="20" t="s">
        <v>26</v>
      </c>
      <c r="G593" s="53">
        <f t="shared" si="10"/>
        <v>-1.351643349581243</v>
      </c>
      <c r="H593" s="35"/>
      <c r="P593" s="6"/>
    </row>
    <row r="594" spans="1:16" ht="14.4" x14ac:dyDescent="0.25">
      <c r="A594" s="6">
        <v>3506</v>
      </c>
      <c r="B594" s="6">
        <v>24965</v>
      </c>
      <c r="C594" s="19">
        <v>40631</v>
      </c>
      <c r="D594" s="6" t="s">
        <v>25</v>
      </c>
      <c r="E594" s="6">
        <f>IF((ISBLANK($B$1)),"",Sheet1!Q599)</f>
        <v>5500</v>
      </c>
      <c r="F594" s="20" t="s">
        <v>29</v>
      </c>
      <c r="G594" s="53">
        <f t="shared" si="10"/>
        <v>1.1340743412959351</v>
      </c>
      <c r="H594" s="35"/>
      <c r="P594" s="6"/>
    </row>
    <row r="595" spans="1:16" ht="14.4" x14ac:dyDescent="0.25">
      <c r="A595" s="6">
        <v>3549</v>
      </c>
      <c r="B595" s="6">
        <v>25315</v>
      </c>
      <c r="C595" s="19">
        <v>40514</v>
      </c>
      <c r="D595" s="6" t="s">
        <v>25</v>
      </c>
      <c r="E595" s="6">
        <f>IF((ISBLANK($B$1)),"",Sheet1!Q601)</f>
        <v>5200</v>
      </c>
      <c r="F595" s="20" t="s">
        <v>26</v>
      </c>
      <c r="G595" s="53">
        <f t="shared" si="10"/>
        <v>0.71978805948307201</v>
      </c>
      <c r="H595" s="35"/>
      <c r="P595" s="6"/>
    </row>
    <row r="596" spans="1:16" ht="14.4" x14ac:dyDescent="0.25">
      <c r="A596" s="6">
        <v>3550</v>
      </c>
      <c r="B596" s="6">
        <v>25315</v>
      </c>
      <c r="C596" s="19">
        <v>40514</v>
      </c>
      <c r="D596" s="6" t="s">
        <v>25</v>
      </c>
      <c r="E596" s="6">
        <f>IF((ISBLANK($B$1)),"",Sheet1!Q602)</f>
        <v>4450</v>
      </c>
      <c r="F596" s="20" t="s">
        <v>26</v>
      </c>
      <c r="G596" s="53">
        <f t="shared" si="10"/>
        <v>-0.31592764504908549</v>
      </c>
      <c r="H596" s="35"/>
      <c r="P596" s="6"/>
    </row>
    <row r="597" spans="1:16" ht="14.4" x14ac:dyDescent="0.25">
      <c r="A597" s="6">
        <v>3551</v>
      </c>
      <c r="B597" s="6">
        <v>25315</v>
      </c>
      <c r="C597" s="19">
        <v>40514</v>
      </c>
      <c r="D597" s="6" t="s">
        <v>25</v>
      </c>
      <c r="E597" s="6">
        <f>IF((ISBLANK($B$1)),"",Sheet1!Q603)</f>
        <v>5200</v>
      </c>
      <c r="F597" s="20" t="s">
        <v>29</v>
      </c>
      <c r="G597" s="53">
        <f t="shared" si="10"/>
        <v>0.71978805948307201</v>
      </c>
      <c r="H597" s="35"/>
      <c r="P597" s="6"/>
    </row>
    <row r="598" spans="1:16" ht="14.4" x14ac:dyDescent="0.25">
      <c r="A598" s="6">
        <v>3559</v>
      </c>
      <c r="B598" s="6">
        <v>25376</v>
      </c>
      <c r="C598" s="19">
        <v>40628</v>
      </c>
      <c r="D598" s="6" t="s">
        <v>30</v>
      </c>
      <c r="E598" s="6">
        <f>IF((ISBLANK($B$1)),"",Sheet1!Q604)</f>
        <v>4000</v>
      </c>
      <c r="F598" s="20" t="s">
        <v>29</v>
      </c>
      <c r="G598" s="53">
        <f t="shared" si="10"/>
        <v>-0.93735706776838001</v>
      </c>
      <c r="H598" s="35"/>
      <c r="P598" s="6"/>
    </row>
    <row r="599" spans="1:16" ht="14.4" x14ac:dyDescent="0.25">
      <c r="A599" s="6">
        <v>3662</v>
      </c>
      <c r="B599" s="6">
        <v>26240</v>
      </c>
      <c r="C599" s="19">
        <v>40166</v>
      </c>
      <c r="D599" s="6" t="s">
        <v>30</v>
      </c>
      <c r="E599" s="6">
        <f>IF((ISBLANK($B$1)),"",Sheet1!Q605)</f>
        <v>5300</v>
      </c>
      <c r="F599" s="20" t="s">
        <v>27</v>
      </c>
      <c r="G599" s="53">
        <f t="shared" si="10"/>
        <v>0.85788348675402637</v>
      </c>
      <c r="H599" s="35"/>
      <c r="P599" s="6"/>
    </row>
    <row r="600" spans="1:16" ht="14.4" x14ac:dyDescent="0.25">
      <c r="A600" s="6">
        <v>3663</v>
      </c>
      <c r="B600" s="6">
        <v>26240</v>
      </c>
      <c r="C600" s="19">
        <v>40166</v>
      </c>
      <c r="D600" s="6" t="s">
        <v>30</v>
      </c>
      <c r="E600" s="6">
        <f>IF((ISBLANK($B$1)),"",Sheet1!Q606)</f>
        <v>5350</v>
      </c>
      <c r="F600" s="20" t="s">
        <v>29</v>
      </c>
      <c r="G600" s="53">
        <f t="shared" si="10"/>
        <v>0.92693120038950361</v>
      </c>
      <c r="H600" s="35"/>
      <c r="P600" s="6"/>
    </row>
    <row r="601" spans="1:16" ht="14.4" x14ac:dyDescent="0.25">
      <c r="A601" s="6">
        <v>3753</v>
      </c>
      <c r="B601" s="6">
        <v>26791</v>
      </c>
      <c r="C601" s="19">
        <v>40662</v>
      </c>
      <c r="D601" s="6" t="s">
        <v>25</v>
      </c>
      <c r="E601" s="6">
        <f>IF((ISBLANK($B$1)),"",Sheet1!Q607)</f>
        <v>5650</v>
      </c>
      <c r="F601" s="20" t="s">
        <v>26</v>
      </c>
      <c r="G601" s="53">
        <f t="shared" si="10"/>
        <v>1.3412174822023666</v>
      </c>
      <c r="H601" s="35"/>
      <c r="P601" s="6"/>
    </row>
    <row r="602" spans="1:16" ht="14.4" x14ac:dyDescent="0.25">
      <c r="A602" s="6">
        <v>4042</v>
      </c>
      <c r="B602" s="6">
        <v>28836</v>
      </c>
      <c r="C602" s="19">
        <v>40475</v>
      </c>
      <c r="D602" s="6" t="s">
        <v>17</v>
      </c>
      <c r="E602" s="6">
        <f>IF((ISBLANK($B$1)),"",Sheet1!Q608)</f>
        <v>5900</v>
      </c>
      <c r="F602" s="20" t="s">
        <v>27</v>
      </c>
      <c r="G602" s="53">
        <f t="shared" si="10"/>
        <v>1.6864560503797523</v>
      </c>
      <c r="H602" s="35"/>
      <c r="P602" s="6"/>
    </row>
    <row r="603" spans="1:16" ht="14.4" x14ac:dyDescent="0.25">
      <c r="A603" s="6">
        <v>4043</v>
      </c>
      <c r="B603" s="6">
        <v>28836</v>
      </c>
      <c r="C603" s="19">
        <v>40475</v>
      </c>
      <c r="D603" s="6" t="s">
        <v>17</v>
      </c>
      <c r="E603" s="6">
        <f>IF((ISBLANK($B$1)),"",Sheet1!Q609)</f>
        <v>3750</v>
      </c>
      <c r="F603" s="20" t="s">
        <v>26</v>
      </c>
      <c r="G603" s="53">
        <f t="shared" si="10"/>
        <v>-1.282595635945766</v>
      </c>
      <c r="H603" s="35"/>
      <c r="P603" s="6"/>
    </row>
    <row r="604" spans="1:16" ht="14.4" x14ac:dyDescent="0.25">
      <c r="A604" s="6">
        <v>4071</v>
      </c>
      <c r="B604" s="6">
        <v>28995</v>
      </c>
      <c r="C604" s="19">
        <v>40310</v>
      </c>
      <c r="D604" s="6" t="s">
        <v>17</v>
      </c>
      <c r="E604" s="6">
        <f>IF((ISBLANK($B$1)),"",Sheet1!Q610)</f>
        <v>3850</v>
      </c>
      <c r="F604" s="20" t="s">
        <v>26</v>
      </c>
      <c r="G604" s="53">
        <f t="shared" si="10"/>
        <v>-1.1445002086748115</v>
      </c>
      <c r="H604" s="35"/>
      <c r="P604" s="6"/>
    </row>
    <row r="605" spans="1:16" ht="14.4" x14ac:dyDescent="0.25">
      <c r="A605" s="6">
        <v>4072</v>
      </c>
      <c r="B605" s="6">
        <v>28995</v>
      </c>
      <c r="C605" s="19">
        <v>40310</v>
      </c>
      <c r="D605" s="6" t="s">
        <v>17</v>
      </c>
      <c r="E605" s="6">
        <f>IF((ISBLANK($B$1)),"",Sheet1!Q611)</f>
        <v>5100</v>
      </c>
      <c r="F605" s="20" t="s">
        <v>26</v>
      </c>
      <c r="G605" s="53">
        <f t="shared" si="10"/>
        <v>0.58169263221211776</v>
      </c>
      <c r="H605" s="35"/>
      <c r="P605" s="6"/>
    </row>
    <row r="606" spans="1:16" ht="14.4" x14ac:dyDescent="0.25">
      <c r="A606" s="6">
        <v>4085</v>
      </c>
      <c r="B606" s="6">
        <v>29121</v>
      </c>
      <c r="C606" s="19">
        <v>40279</v>
      </c>
      <c r="D606" s="6" t="s">
        <v>16</v>
      </c>
      <c r="E606" s="6">
        <f>IF((ISBLANK($B$1)),"",Sheet1!Q612)</f>
        <v>4950</v>
      </c>
      <c r="F606" s="20" t="s">
        <v>27</v>
      </c>
      <c r="G606" s="53">
        <f t="shared" si="10"/>
        <v>0.37454949130568621</v>
      </c>
      <c r="H606" s="35"/>
      <c r="P606" s="6"/>
    </row>
    <row r="607" spans="1:16" ht="14.4" x14ac:dyDescent="0.25">
      <c r="A607" s="6">
        <v>4125</v>
      </c>
      <c r="B607" s="6">
        <v>29319</v>
      </c>
      <c r="C607" s="19">
        <v>39837</v>
      </c>
      <c r="D607" s="6" t="s">
        <v>25</v>
      </c>
      <c r="E607" s="6">
        <f>IF((ISBLANK($B$1)),"",Sheet1!Q613)</f>
        <v>4900</v>
      </c>
      <c r="F607" s="20" t="s">
        <v>29</v>
      </c>
      <c r="G607" s="53">
        <f t="shared" si="10"/>
        <v>0.30550177767020903</v>
      </c>
      <c r="H607" s="35"/>
      <c r="P607" s="6"/>
    </row>
    <row r="608" spans="1:16" ht="14.4" x14ac:dyDescent="0.25">
      <c r="A608" s="6">
        <v>4126</v>
      </c>
      <c r="B608" s="6">
        <v>29319</v>
      </c>
      <c r="C608" s="19">
        <v>39837</v>
      </c>
      <c r="D608" s="6" t="s">
        <v>25</v>
      </c>
      <c r="E608" s="6">
        <f>IF((ISBLANK($B$1)),"",Sheet1!Q614)</f>
        <v>4450</v>
      </c>
      <c r="F608" s="20" t="s">
        <v>27</v>
      </c>
      <c r="G608" s="53">
        <f t="shared" si="10"/>
        <v>-0.31592764504908549</v>
      </c>
      <c r="H608" s="35"/>
      <c r="P608" s="6"/>
    </row>
    <row r="609" spans="1:16" ht="14.4" x14ac:dyDescent="0.25">
      <c r="A609" s="6">
        <v>4137</v>
      </c>
      <c r="B609" s="6">
        <v>29382</v>
      </c>
      <c r="C609" s="19">
        <v>40499</v>
      </c>
      <c r="D609" s="6" t="s">
        <v>17</v>
      </c>
      <c r="E609" s="6">
        <f>IF((ISBLANK($B$1)),"",Sheet1!Q615)</f>
        <v>5500</v>
      </c>
      <c r="F609" s="20" t="s">
        <v>26</v>
      </c>
      <c r="G609" s="53">
        <f t="shared" si="10"/>
        <v>1.1340743412959351</v>
      </c>
      <c r="H609" s="35"/>
      <c r="P609" s="6"/>
    </row>
    <row r="610" spans="1:16" ht="14.4" x14ac:dyDescent="0.25">
      <c r="A610" s="6">
        <v>4138</v>
      </c>
      <c r="B610" s="6">
        <v>29382</v>
      </c>
      <c r="C610" s="19">
        <v>40499</v>
      </c>
      <c r="D610" s="6" t="s">
        <v>17</v>
      </c>
      <c r="E610" s="6">
        <f>IF((ISBLANK($B$1)),"",Sheet1!Q616)</f>
        <v>5100</v>
      </c>
      <c r="F610" s="20" t="s">
        <v>29</v>
      </c>
      <c r="G610" s="53">
        <f t="shared" si="10"/>
        <v>0.58169263221211776</v>
      </c>
      <c r="H610" s="35"/>
      <c r="P610" s="6"/>
    </row>
    <row r="611" spans="1:16" ht="14.4" x14ac:dyDescent="0.25">
      <c r="A611" s="6">
        <v>4151</v>
      </c>
      <c r="B611" s="6">
        <v>29445</v>
      </c>
      <c r="C611" s="19">
        <v>40450</v>
      </c>
      <c r="D611" s="6" t="s">
        <v>17</v>
      </c>
      <c r="E611" s="6">
        <f>IF((ISBLANK($B$1)),"",Sheet1!Q617)</f>
        <v>4800</v>
      </c>
      <c r="F611" s="20" t="s">
        <v>27</v>
      </c>
      <c r="G611" s="53">
        <f t="shared" si="10"/>
        <v>0.16740635039925467</v>
      </c>
      <c r="H611" s="35"/>
      <c r="P611" s="6"/>
    </row>
    <row r="612" spans="1:16" ht="14.4" x14ac:dyDescent="0.25">
      <c r="A612" s="6">
        <v>4187</v>
      </c>
      <c r="B612" s="6">
        <v>29762</v>
      </c>
      <c r="C612" s="19">
        <v>40393</v>
      </c>
      <c r="D612" s="6" t="s">
        <v>30</v>
      </c>
      <c r="E612" s="6">
        <f>IF((ISBLANK($B$1)),"",Sheet1!Q618)</f>
        <v>4150</v>
      </c>
      <c r="F612" s="20" t="s">
        <v>26</v>
      </c>
      <c r="G612" s="53">
        <f t="shared" si="10"/>
        <v>-0.73021392686194853</v>
      </c>
      <c r="H612" s="35"/>
      <c r="P612" s="6"/>
    </row>
    <row r="613" spans="1:16" ht="14.4" x14ac:dyDescent="0.25">
      <c r="A613" s="6">
        <v>4229</v>
      </c>
      <c r="B613" s="6">
        <v>30048</v>
      </c>
      <c r="C613" s="19">
        <v>40707</v>
      </c>
      <c r="D613" s="6" t="s">
        <v>16</v>
      </c>
      <c r="E613" s="6">
        <f>IF((ISBLANK($B$1)),"",Sheet1!Q619)</f>
        <v>5600</v>
      </c>
      <c r="F613" s="20" t="s">
        <v>26</v>
      </c>
      <c r="G613" s="53">
        <f t="shared" si="10"/>
        <v>1.2721697685668893</v>
      </c>
      <c r="H613" s="35"/>
      <c r="P613" s="6"/>
    </row>
    <row r="614" spans="1:16" ht="14.4" x14ac:dyDescent="0.25">
      <c r="A614" s="6">
        <v>4249</v>
      </c>
      <c r="B614" s="6">
        <v>30243</v>
      </c>
      <c r="C614" s="19">
        <v>40303</v>
      </c>
      <c r="D614" s="6" t="s">
        <v>30</v>
      </c>
      <c r="E614" s="6">
        <f>IF((ISBLANK($B$1)),"",Sheet1!Q620)</f>
        <v>5600</v>
      </c>
      <c r="F614" s="20" t="s">
        <v>26</v>
      </c>
      <c r="G614" s="53">
        <f t="shared" si="10"/>
        <v>1.2721697685668893</v>
      </c>
      <c r="H614" s="35"/>
      <c r="P614" s="6"/>
    </row>
    <row r="615" spans="1:16" ht="14.4" x14ac:dyDescent="0.25">
      <c r="A615" s="6">
        <v>4250</v>
      </c>
      <c r="B615" s="6">
        <v>30243</v>
      </c>
      <c r="C615" s="19">
        <v>40303</v>
      </c>
      <c r="D615" s="6" t="s">
        <v>30</v>
      </c>
      <c r="E615" s="6">
        <f>IF((ISBLANK($B$1)),"",Sheet1!Q621)</f>
        <v>4450</v>
      </c>
      <c r="F615" s="20" t="s">
        <v>27</v>
      </c>
      <c r="G615" s="53">
        <f t="shared" si="10"/>
        <v>-0.31592764504908549</v>
      </c>
      <c r="H615" s="35"/>
      <c r="P615" s="6"/>
    </row>
    <row r="616" spans="1:16" ht="14.4" x14ac:dyDescent="0.25">
      <c r="A616" s="6">
        <v>4267</v>
      </c>
      <c r="B616" s="6">
        <v>30372</v>
      </c>
      <c r="C616" s="19">
        <v>40420</v>
      </c>
      <c r="D616" s="6" t="s">
        <v>17</v>
      </c>
      <c r="E616" s="6">
        <f>IF((ISBLANK($B$1)),"",Sheet1!Q622)</f>
        <v>3450</v>
      </c>
      <c r="F616" s="20" t="s">
        <v>29</v>
      </c>
      <c r="G616" s="53">
        <f t="shared" si="10"/>
        <v>-1.696881917758629</v>
      </c>
      <c r="H616" s="35"/>
      <c r="P616" s="6"/>
    </row>
    <row r="617" spans="1:16" ht="14.4" x14ac:dyDescent="0.25">
      <c r="A617" s="6">
        <v>4282</v>
      </c>
      <c r="B617" s="6">
        <v>30499</v>
      </c>
      <c r="C617" s="19">
        <v>41212</v>
      </c>
      <c r="D617" s="6" t="s">
        <v>17</v>
      </c>
      <c r="E617" s="6">
        <f>IF((ISBLANK($B$1)),"",Sheet1!Q623)</f>
        <v>4200</v>
      </c>
      <c r="F617" s="20" t="s">
        <v>26</v>
      </c>
      <c r="G617" s="53">
        <f t="shared" si="10"/>
        <v>-0.6611662132264714</v>
      </c>
      <c r="H617" s="35"/>
      <c r="P617" s="6"/>
    </row>
    <row r="618" spans="1:16" ht="14.4" x14ac:dyDescent="0.25">
      <c r="A618" s="6">
        <v>4283</v>
      </c>
      <c r="B618" s="6">
        <v>30499</v>
      </c>
      <c r="C618" s="19">
        <v>41212</v>
      </c>
      <c r="D618" s="6" t="s">
        <v>17</v>
      </c>
      <c r="E618" s="6">
        <f>IF((ISBLANK($B$1)),"",Sheet1!Q624)</f>
        <v>5050</v>
      </c>
      <c r="F618" s="20" t="s">
        <v>26</v>
      </c>
      <c r="G618" s="53">
        <f t="shared" si="10"/>
        <v>0.51264491857664052</v>
      </c>
      <c r="H618" s="35"/>
      <c r="P618" s="6"/>
    </row>
    <row r="619" spans="1:16" ht="14.4" x14ac:dyDescent="0.25">
      <c r="A619" s="6">
        <v>4528</v>
      </c>
      <c r="B619" s="6">
        <v>32199</v>
      </c>
      <c r="C619" s="19">
        <v>40009</v>
      </c>
      <c r="D619" s="6" t="s">
        <v>17</v>
      </c>
      <c r="E619" s="6">
        <f>IF((ISBLANK($B$1)),"",Sheet1!Q625)</f>
        <v>5400</v>
      </c>
      <c r="F619" s="20" t="s">
        <v>26</v>
      </c>
      <c r="G619" s="53">
        <f t="shared" si="10"/>
        <v>0.99597891402498073</v>
      </c>
      <c r="H619" s="35"/>
      <c r="P619" s="6"/>
    </row>
    <row r="620" spans="1:16" ht="14.4" x14ac:dyDescent="0.25">
      <c r="A620" s="6">
        <v>4529</v>
      </c>
      <c r="B620" s="6">
        <v>32199</v>
      </c>
      <c r="C620" s="19">
        <v>40009</v>
      </c>
      <c r="D620" s="6" t="s">
        <v>17</v>
      </c>
      <c r="E620" s="6">
        <f>IF((ISBLANK($B$1)),"",Sheet1!Q626)</f>
        <v>3450</v>
      </c>
      <c r="F620" s="20" t="s">
        <v>27</v>
      </c>
      <c r="G620" s="53">
        <f t="shared" si="10"/>
        <v>-1.696881917758629</v>
      </c>
      <c r="H620" s="35"/>
      <c r="P620" s="6"/>
    </row>
    <row r="621" spans="1:16" ht="14.4" x14ac:dyDescent="0.25">
      <c r="A621" s="6">
        <v>4530</v>
      </c>
      <c r="B621" s="6">
        <v>32199</v>
      </c>
      <c r="C621" s="19">
        <v>40009</v>
      </c>
      <c r="D621" s="6" t="s">
        <v>17</v>
      </c>
      <c r="E621" s="6">
        <f>IF((ISBLANK($B$1)),"",Sheet1!Q627)</f>
        <v>3800</v>
      </c>
      <c r="F621" s="20" t="s">
        <v>26</v>
      </c>
      <c r="G621" s="53">
        <f t="shared" si="10"/>
        <v>-1.2135479223102887</v>
      </c>
      <c r="H621" s="35"/>
      <c r="P621" s="6"/>
    </row>
    <row r="622" spans="1:16" ht="14.4" x14ac:dyDescent="0.25">
      <c r="A622" s="6">
        <v>4546</v>
      </c>
      <c r="B622" s="6">
        <v>32327</v>
      </c>
      <c r="C622" s="19">
        <v>41128</v>
      </c>
      <c r="D622" s="6" t="s">
        <v>25</v>
      </c>
      <c r="E622" s="6">
        <f>IF((ISBLANK($B$1)),"",Sheet1!Q628)</f>
        <v>5650</v>
      </c>
      <c r="F622" s="20" t="s">
        <v>29</v>
      </c>
      <c r="G622" s="53">
        <f t="shared" si="10"/>
        <v>1.3412174822023666</v>
      </c>
      <c r="H622" s="35"/>
      <c r="P622" s="6"/>
    </row>
    <row r="623" spans="1:16" ht="14.4" x14ac:dyDescent="0.25">
      <c r="A623" s="6">
        <v>4594</v>
      </c>
      <c r="B623" s="6">
        <v>32676</v>
      </c>
      <c r="C623" s="19">
        <v>39845</v>
      </c>
      <c r="D623" s="6" t="s">
        <v>30</v>
      </c>
      <c r="E623" s="6">
        <f>IF((ISBLANK($B$1)),"",Sheet1!Q629)</f>
        <v>5250</v>
      </c>
      <c r="F623" s="20" t="s">
        <v>27</v>
      </c>
      <c r="G623" s="53">
        <f t="shared" si="10"/>
        <v>0.78883577311854924</v>
      </c>
      <c r="H623" s="35"/>
      <c r="P623" s="6"/>
    </row>
    <row r="624" spans="1:16" ht="14.4" x14ac:dyDescent="0.25">
      <c r="A624" s="6">
        <v>4611</v>
      </c>
      <c r="B624" s="6">
        <v>32835</v>
      </c>
      <c r="C624" s="19">
        <v>41097</v>
      </c>
      <c r="D624" s="6" t="s">
        <v>16</v>
      </c>
      <c r="E624" s="6">
        <f>IF((ISBLANK($B$1)),"",Sheet1!Q630)</f>
        <v>4150</v>
      </c>
      <c r="F624" s="20" t="s">
        <v>27</v>
      </c>
      <c r="G624" s="53">
        <f t="shared" si="10"/>
        <v>-0.73021392686194853</v>
      </c>
      <c r="H624" s="35"/>
      <c r="P624" s="6"/>
    </row>
    <row r="625" spans="1:16" ht="14.4" x14ac:dyDescent="0.25">
      <c r="A625" s="6">
        <v>4613</v>
      </c>
      <c r="B625" s="6">
        <v>32869</v>
      </c>
      <c r="C625" s="19">
        <v>39899</v>
      </c>
      <c r="D625" s="6" t="s">
        <v>16</v>
      </c>
      <c r="E625" s="6">
        <f>IF((ISBLANK($B$1)),"",Sheet1!Q631)</f>
        <v>5450</v>
      </c>
      <c r="F625" s="20" t="s">
        <v>27</v>
      </c>
      <c r="G625" s="53">
        <f t="shared" si="10"/>
        <v>1.0650266276604579</v>
      </c>
      <c r="H625" s="35"/>
      <c r="P625" s="6"/>
    </row>
    <row r="626" spans="1:16" ht="14.4" x14ac:dyDescent="0.25">
      <c r="A626" s="6">
        <v>4614</v>
      </c>
      <c r="B626" s="6">
        <v>32869</v>
      </c>
      <c r="C626" s="19">
        <v>39899</v>
      </c>
      <c r="D626" s="6" t="s">
        <v>16</v>
      </c>
      <c r="E626" s="6">
        <f>IF((ISBLANK($B$1)),"",Sheet1!Q632)</f>
        <v>5850</v>
      </c>
      <c r="F626" s="20" t="s">
        <v>29</v>
      </c>
      <c r="G626" s="53">
        <f t="shared" si="10"/>
        <v>1.6174083367442753</v>
      </c>
      <c r="H626" s="35"/>
      <c r="P626" s="6"/>
    </row>
    <row r="627" spans="1:16" ht="14.4" x14ac:dyDescent="0.25">
      <c r="A627" s="6">
        <v>4615</v>
      </c>
      <c r="B627" s="6">
        <v>32869</v>
      </c>
      <c r="C627" s="19">
        <v>39899</v>
      </c>
      <c r="D627" s="6" t="s">
        <v>16</v>
      </c>
      <c r="E627" s="6">
        <f>IF((ISBLANK($B$1)),"",Sheet1!Q633)</f>
        <v>3500</v>
      </c>
      <c r="F627" s="20" t="s">
        <v>26</v>
      </c>
      <c r="G627" s="53">
        <f t="shared" si="10"/>
        <v>-1.6278342041231517</v>
      </c>
      <c r="H627" s="35"/>
      <c r="P627" s="6"/>
    </row>
    <row r="628" spans="1:16" ht="14.4" x14ac:dyDescent="0.25">
      <c r="A628" s="6">
        <v>4616</v>
      </c>
      <c r="B628" s="6">
        <v>32869</v>
      </c>
      <c r="C628" s="19">
        <v>39899</v>
      </c>
      <c r="D628" s="6" t="s">
        <v>16</v>
      </c>
      <c r="E628" s="6">
        <f>IF((ISBLANK($B$1)),"",Sheet1!Q634)</f>
        <v>5350</v>
      </c>
      <c r="F628" s="20" t="s">
        <v>27</v>
      </c>
      <c r="G628" s="53">
        <f t="shared" si="10"/>
        <v>0.92693120038950361</v>
      </c>
      <c r="H628" s="35"/>
      <c r="P628" s="6"/>
    </row>
    <row r="629" spans="1:16" ht="14.4" x14ac:dyDescent="0.25">
      <c r="A629" s="6">
        <v>4748</v>
      </c>
      <c r="B629" s="6">
        <v>33763</v>
      </c>
      <c r="C629" s="19">
        <v>40444</v>
      </c>
      <c r="D629" s="6" t="s">
        <v>28</v>
      </c>
      <c r="E629" s="6">
        <f>IF((ISBLANK($B$1)),"",Sheet1!Q635)</f>
        <v>4550</v>
      </c>
      <c r="F629" s="20" t="s">
        <v>27</v>
      </c>
      <c r="G629" s="53">
        <f t="shared" si="10"/>
        <v>-0.17783221777813119</v>
      </c>
      <c r="H629" s="35"/>
      <c r="P629" s="6"/>
    </row>
    <row r="630" spans="1:16" ht="14.4" x14ac:dyDescent="0.25">
      <c r="A630" s="6">
        <v>4792</v>
      </c>
      <c r="B630" s="6">
        <v>34048</v>
      </c>
      <c r="C630" s="19">
        <v>40630</v>
      </c>
      <c r="D630" s="6" t="s">
        <v>25</v>
      </c>
      <c r="E630" s="6">
        <f>IF((ISBLANK($B$1)),"",Sheet1!Q636)</f>
        <v>3450</v>
      </c>
      <c r="F630" s="20" t="s">
        <v>29</v>
      </c>
      <c r="G630" s="53">
        <f t="shared" si="10"/>
        <v>-1.696881917758629</v>
      </c>
      <c r="H630" s="35"/>
      <c r="P630" s="6"/>
    </row>
    <row r="631" spans="1:16" ht="14.4" x14ac:dyDescent="0.25">
      <c r="A631" s="6">
        <v>4823</v>
      </c>
      <c r="B631" s="6">
        <v>34275</v>
      </c>
      <c r="C631" s="19">
        <v>39995</v>
      </c>
      <c r="D631" s="6" t="s">
        <v>25</v>
      </c>
      <c r="E631" s="6">
        <f>IF((ISBLANK($B$1)),"",Sheet1!Q637)</f>
        <v>4750</v>
      </c>
      <c r="F631" s="20" t="s">
        <v>26</v>
      </c>
      <c r="G631" s="53">
        <f t="shared" si="10"/>
        <v>9.8358636763777513E-2</v>
      </c>
      <c r="H631" s="35"/>
      <c r="P631" s="6"/>
    </row>
    <row r="632" spans="1:16" ht="14.4" x14ac:dyDescent="0.25">
      <c r="A632" s="6">
        <v>4844</v>
      </c>
      <c r="B632" s="6">
        <v>34438</v>
      </c>
      <c r="C632" s="19">
        <v>40523</v>
      </c>
      <c r="D632" s="6" t="s">
        <v>17</v>
      </c>
      <c r="E632" s="6">
        <f>IF((ISBLANK($B$1)),"",Sheet1!Q638)</f>
        <v>4800</v>
      </c>
      <c r="F632" s="20" t="s">
        <v>26</v>
      </c>
      <c r="G632" s="53">
        <f t="shared" si="10"/>
        <v>0.16740635039925467</v>
      </c>
      <c r="H632" s="35"/>
      <c r="P632" s="6"/>
    </row>
    <row r="633" spans="1:16" ht="14.4" x14ac:dyDescent="0.25">
      <c r="A633" s="6">
        <v>4901</v>
      </c>
      <c r="B633" s="6">
        <v>34880</v>
      </c>
      <c r="C633" s="19">
        <v>40072</v>
      </c>
      <c r="D633" s="6" t="s">
        <v>17</v>
      </c>
      <c r="E633" s="6">
        <f>IF((ISBLANK($B$1)),"",Sheet1!Q639)</f>
        <v>5600</v>
      </c>
      <c r="F633" s="20" t="s">
        <v>26</v>
      </c>
      <c r="G633" s="53">
        <f t="shared" si="10"/>
        <v>1.2721697685668893</v>
      </c>
      <c r="H633" s="35"/>
      <c r="P633" s="6"/>
    </row>
    <row r="634" spans="1:16" ht="14.4" x14ac:dyDescent="0.25">
      <c r="A634" s="6">
        <v>4912</v>
      </c>
      <c r="B634" s="6">
        <v>34978</v>
      </c>
      <c r="C634" s="19">
        <v>40578</v>
      </c>
      <c r="D634" s="6" t="s">
        <v>17</v>
      </c>
      <c r="E634" s="6">
        <f>IF((ISBLANK($B$1)),"",Sheet1!Q640)</f>
        <v>5850</v>
      </c>
      <c r="F634" s="20" t="s">
        <v>26</v>
      </c>
      <c r="G634" s="53">
        <f t="shared" si="10"/>
        <v>1.6174083367442753</v>
      </c>
      <c r="H634" s="35"/>
      <c r="P634" s="6"/>
    </row>
    <row r="635" spans="1:16" ht="14.4" x14ac:dyDescent="0.25">
      <c r="A635" s="6">
        <v>4945</v>
      </c>
      <c r="B635" s="6">
        <v>35141</v>
      </c>
      <c r="C635" s="19">
        <v>40432</v>
      </c>
      <c r="D635" s="6" t="s">
        <v>16</v>
      </c>
      <c r="E635" s="6">
        <f>IF((ISBLANK($B$1)),"",Sheet1!Q641)</f>
        <v>4850</v>
      </c>
      <c r="F635" s="20" t="s">
        <v>26</v>
      </c>
      <c r="G635" s="53">
        <f t="shared" si="10"/>
        <v>0.23645406403473185</v>
      </c>
      <c r="H635" s="35"/>
      <c r="P635" s="6"/>
    </row>
    <row r="636" spans="1:16" ht="14.4" x14ac:dyDescent="0.25">
      <c r="A636" s="6">
        <v>4962</v>
      </c>
      <c r="B636" s="6">
        <v>35300</v>
      </c>
      <c r="C636" s="19">
        <v>40239</v>
      </c>
      <c r="D636" s="6" t="s">
        <v>16</v>
      </c>
      <c r="E636" s="6">
        <f>IF((ISBLANK($B$1)),"",Sheet1!Q642)</f>
        <v>3900</v>
      </c>
      <c r="F636" s="20" t="s">
        <v>26</v>
      </c>
      <c r="G636" s="53">
        <f t="shared" si="10"/>
        <v>-1.0754524950393345</v>
      </c>
      <c r="H636" s="35"/>
      <c r="P636" s="6"/>
    </row>
    <row r="637" spans="1:16" ht="14.4" x14ac:dyDescent="0.25">
      <c r="A637" s="6">
        <v>4963</v>
      </c>
      <c r="B637" s="6">
        <v>35300</v>
      </c>
      <c r="C637" s="19">
        <v>40239</v>
      </c>
      <c r="D637" s="6" t="s">
        <v>16</v>
      </c>
      <c r="E637" s="6">
        <f>IF((ISBLANK($B$1)),"",Sheet1!Q643)</f>
        <v>5150</v>
      </c>
      <c r="F637" s="20" t="s">
        <v>29</v>
      </c>
      <c r="G637" s="53">
        <f t="shared" si="10"/>
        <v>0.65074034584759488</v>
      </c>
      <c r="H637" s="35"/>
      <c r="P637" s="6"/>
    </row>
    <row r="638" spans="1:16" ht="14.4" x14ac:dyDescent="0.25">
      <c r="A638" s="6">
        <v>4964</v>
      </c>
      <c r="B638" s="6">
        <v>35300</v>
      </c>
      <c r="C638" s="19">
        <v>40239</v>
      </c>
      <c r="D638" s="6" t="s">
        <v>16</v>
      </c>
      <c r="E638" s="6">
        <f>IF((ISBLANK($B$1)),"",Sheet1!Q644)</f>
        <v>4050</v>
      </c>
      <c r="F638" s="20" t="s">
        <v>26</v>
      </c>
      <c r="G638" s="53">
        <f t="shared" si="10"/>
        <v>-0.86830935413290289</v>
      </c>
      <c r="H638" s="35"/>
      <c r="P638" s="6"/>
    </row>
    <row r="639" spans="1:16" ht="14.4" x14ac:dyDescent="0.25">
      <c r="A639" s="6">
        <v>4996</v>
      </c>
      <c r="B639" s="6">
        <v>35558</v>
      </c>
      <c r="C639" s="19">
        <v>40071</v>
      </c>
      <c r="D639" s="6" t="s">
        <v>30</v>
      </c>
      <c r="E639" s="6">
        <f>IF((ISBLANK($B$1)),"",Sheet1!Q645)</f>
        <v>3500</v>
      </c>
      <c r="F639" s="20" t="s">
        <v>29</v>
      </c>
      <c r="G639" s="53">
        <f t="shared" si="10"/>
        <v>-1.6278342041231517</v>
      </c>
      <c r="H639" s="35"/>
      <c r="P639" s="6"/>
    </row>
    <row r="640" spans="1:16" ht="14.4" x14ac:dyDescent="0.25">
      <c r="A640" s="6">
        <v>5091</v>
      </c>
      <c r="B640" s="6">
        <v>36293</v>
      </c>
      <c r="C640" s="19">
        <v>40542</v>
      </c>
      <c r="D640" s="6" t="s">
        <v>16</v>
      </c>
      <c r="E640" s="6">
        <f>IF((ISBLANK($B$1)),"",Sheet1!Q646)</f>
        <v>4050</v>
      </c>
      <c r="F640" s="20" t="s">
        <v>27</v>
      </c>
      <c r="G640" s="53">
        <f t="shared" si="10"/>
        <v>-0.86830935413290289</v>
      </c>
      <c r="H640" s="35"/>
      <c r="P640" s="6"/>
    </row>
    <row r="641" spans="1:16" ht="14.4" x14ac:dyDescent="0.25">
      <c r="A641" s="6">
        <v>5092</v>
      </c>
      <c r="B641" s="6">
        <v>36293</v>
      </c>
      <c r="C641" s="19">
        <v>40542</v>
      </c>
      <c r="D641" s="6" t="s">
        <v>16</v>
      </c>
      <c r="E641" s="6">
        <f>IF((ISBLANK($B$1)),"",Sheet1!Q647)</f>
        <v>4650</v>
      </c>
      <c r="F641" s="20" t="s">
        <v>26</v>
      </c>
      <c r="G641" s="53">
        <f t="shared" si="10"/>
        <v>-3.9736790507176829E-2</v>
      </c>
      <c r="H641" s="35"/>
      <c r="P641" s="6"/>
    </row>
    <row r="642" spans="1:16" ht="14.4" x14ac:dyDescent="0.25">
      <c r="A642" s="6">
        <v>5128</v>
      </c>
      <c r="B642" s="6">
        <v>36516</v>
      </c>
      <c r="C642" s="19">
        <v>40749</v>
      </c>
      <c r="D642" s="6" t="s">
        <v>16</v>
      </c>
      <c r="E642" s="6">
        <f>IF((ISBLANK($B$1)),"",Sheet1!Q648)</f>
        <v>3850</v>
      </c>
      <c r="F642" s="20" t="s">
        <v>27</v>
      </c>
      <c r="G642" s="53">
        <f t="shared" si="10"/>
        <v>-1.1445002086748115</v>
      </c>
      <c r="H642" s="35"/>
      <c r="P642" s="6"/>
    </row>
    <row r="643" spans="1:16" ht="14.4" x14ac:dyDescent="0.25">
      <c r="A643" s="6">
        <v>5147</v>
      </c>
      <c r="B643" s="6">
        <v>36677</v>
      </c>
      <c r="C643" s="19">
        <v>40170</v>
      </c>
      <c r="D643" s="6" t="s">
        <v>25</v>
      </c>
      <c r="E643" s="6">
        <f>IF((ISBLANK($B$1)),"",Sheet1!Q649)</f>
        <v>5300</v>
      </c>
      <c r="F643" s="20" t="s">
        <v>27</v>
      </c>
      <c r="G643" s="53">
        <f t="shared" si="10"/>
        <v>0.85788348675402637</v>
      </c>
      <c r="H643" s="35"/>
      <c r="P643" s="6"/>
    </row>
    <row r="644" spans="1:16" ht="14.4" x14ac:dyDescent="0.25">
      <c r="A644" s="6">
        <v>5223</v>
      </c>
      <c r="B644" s="6">
        <v>37185</v>
      </c>
      <c r="C644" s="19">
        <v>41213</v>
      </c>
      <c r="D644" s="6" t="s">
        <v>17</v>
      </c>
      <c r="E644" s="6">
        <f>IF((ISBLANK($B$1)),"",Sheet1!Q650)</f>
        <v>3800</v>
      </c>
      <c r="F644" s="20" t="s">
        <v>26</v>
      </c>
      <c r="G644" s="53">
        <f t="shared" si="10"/>
        <v>-1.2135479223102887</v>
      </c>
      <c r="H644" s="35"/>
      <c r="P644" s="6"/>
    </row>
    <row r="645" spans="1:16" ht="14.4" x14ac:dyDescent="0.25">
      <c r="A645" s="6">
        <v>5329</v>
      </c>
      <c r="B645" s="6">
        <v>37888</v>
      </c>
      <c r="C645" s="19">
        <v>40169</v>
      </c>
      <c r="D645" s="6" t="s">
        <v>30</v>
      </c>
      <c r="E645" s="6">
        <f>IF((ISBLANK($B$1)),"",Sheet1!Q651)</f>
        <v>4950</v>
      </c>
      <c r="F645" s="20" t="s">
        <v>26</v>
      </c>
      <c r="G645" s="53">
        <f t="shared" si="10"/>
        <v>0.37454949130568621</v>
      </c>
      <c r="H645" s="35"/>
      <c r="P645" s="6"/>
    </row>
    <row r="646" spans="1:16" ht="14.4" x14ac:dyDescent="0.25">
      <c r="A646" s="6">
        <v>5387</v>
      </c>
      <c r="B646" s="6">
        <v>38310</v>
      </c>
      <c r="C646" s="19">
        <v>41013</v>
      </c>
      <c r="D646" s="6" t="s">
        <v>17</v>
      </c>
      <c r="E646" s="6">
        <f>IF((ISBLANK($B$1)),"",Sheet1!Q652)</f>
        <v>3600</v>
      </c>
      <c r="F646" s="20" t="s">
        <v>26</v>
      </c>
      <c r="G646" s="53">
        <f t="shared" si="10"/>
        <v>-1.4897387768521975</v>
      </c>
      <c r="H646" s="35"/>
      <c r="P646" s="6"/>
    </row>
    <row r="647" spans="1:16" ht="14.4" x14ac:dyDescent="0.25">
      <c r="A647" s="6">
        <v>5702</v>
      </c>
      <c r="B647" s="6">
        <v>40327</v>
      </c>
      <c r="C647" s="19">
        <v>40676</v>
      </c>
      <c r="D647" s="6" t="s">
        <v>16</v>
      </c>
      <c r="E647" s="6">
        <f>IF((ISBLANK($B$1)),"",Sheet1!Q653)</f>
        <v>5500</v>
      </c>
      <c r="F647" s="20" t="s">
        <v>26</v>
      </c>
      <c r="G647" s="53">
        <f t="shared" si="10"/>
        <v>1.1340743412959351</v>
      </c>
      <c r="H647" s="35"/>
      <c r="P647" s="6"/>
    </row>
    <row r="648" spans="1:16" ht="14.4" x14ac:dyDescent="0.25">
      <c r="A648" s="6">
        <v>5703</v>
      </c>
      <c r="B648" s="6">
        <v>40327</v>
      </c>
      <c r="C648" s="19">
        <v>40676</v>
      </c>
      <c r="D648" s="6" t="s">
        <v>16</v>
      </c>
      <c r="E648" s="6">
        <f>IF((ISBLANK($B$1)),"",Sheet1!Q654)</f>
        <v>5200</v>
      </c>
      <c r="F648" s="20" t="s">
        <v>26</v>
      </c>
      <c r="G648" s="53">
        <f t="shared" ref="G648:G711" si="11">STANDARDIZE(E648,$L$26,$L$35)</f>
        <v>0.71978805948307201</v>
      </c>
      <c r="H648" s="35"/>
      <c r="P648" s="6"/>
    </row>
    <row r="649" spans="1:16" ht="14.4" x14ac:dyDescent="0.25">
      <c r="A649" s="6">
        <v>5714</v>
      </c>
      <c r="B649" s="6">
        <v>40480</v>
      </c>
      <c r="C649" s="19">
        <v>40884</v>
      </c>
      <c r="D649" s="6" t="s">
        <v>30</v>
      </c>
      <c r="E649" s="6">
        <f>IF((ISBLANK($B$1)),"",Sheet1!Q655)</f>
        <v>4350</v>
      </c>
      <c r="F649" s="20" t="s">
        <v>26</v>
      </c>
      <c r="G649" s="53">
        <f t="shared" si="11"/>
        <v>-0.45402307232003986</v>
      </c>
      <c r="H649" s="35"/>
      <c r="P649" s="6"/>
    </row>
    <row r="650" spans="1:16" ht="14.4" x14ac:dyDescent="0.25">
      <c r="A650" s="6">
        <v>5715</v>
      </c>
      <c r="B650" s="6">
        <v>40480</v>
      </c>
      <c r="C650" s="19">
        <v>40884</v>
      </c>
      <c r="D650" s="6" t="s">
        <v>30</v>
      </c>
      <c r="E650" s="6">
        <f>IF((ISBLANK($B$1)),"",Sheet1!Q656)</f>
        <v>5900</v>
      </c>
      <c r="F650" s="20" t="s">
        <v>29</v>
      </c>
      <c r="G650" s="53">
        <f t="shared" si="11"/>
        <v>1.6864560503797523</v>
      </c>
      <c r="H650" s="35"/>
      <c r="P650" s="6"/>
    </row>
    <row r="651" spans="1:16" ht="14.4" x14ac:dyDescent="0.25">
      <c r="A651" s="6">
        <v>5741</v>
      </c>
      <c r="B651" s="6">
        <v>40800</v>
      </c>
      <c r="C651" s="19">
        <v>40516</v>
      </c>
      <c r="D651" s="6" t="s">
        <v>28</v>
      </c>
      <c r="E651" s="6">
        <f>IF((ISBLANK($B$1)),"",Sheet1!Q657)</f>
        <v>4300</v>
      </c>
      <c r="F651" s="20" t="s">
        <v>26</v>
      </c>
      <c r="G651" s="53">
        <f t="shared" si="11"/>
        <v>-0.52307078595551704</v>
      </c>
      <c r="H651" s="35"/>
      <c r="P651" s="6"/>
    </row>
    <row r="652" spans="1:16" ht="14.4" x14ac:dyDescent="0.25">
      <c r="A652" s="6">
        <v>5750</v>
      </c>
      <c r="B652" s="6">
        <v>40835</v>
      </c>
      <c r="C652" s="19">
        <v>40141</v>
      </c>
      <c r="D652" s="6" t="s">
        <v>17</v>
      </c>
      <c r="E652" s="6">
        <f>IF((ISBLANK($B$1)),"",Sheet1!Q658)</f>
        <v>4700</v>
      </c>
      <c r="F652" s="20" t="s">
        <v>26</v>
      </c>
      <c r="G652" s="53">
        <f t="shared" si="11"/>
        <v>2.9310923128300338E-2</v>
      </c>
      <c r="H652" s="35"/>
      <c r="P652" s="6"/>
    </row>
    <row r="653" spans="1:16" ht="14.4" x14ac:dyDescent="0.25">
      <c r="A653" s="6">
        <v>5751</v>
      </c>
      <c r="B653" s="6">
        <v>40835</v>
      </c>
      <c r="C653" s="19">
        <v>40141</v>
      </c>
      <c r="D653" s="6" t="s">
        <v>17</v>
      </c>
      <c r="E653" s="6">
        <f>IF((ISBLANK($B$1)),"",Sheet1!Q659)</f>
        <v>4100</v>
      </c>
      <c r="F653" s="20" t="s">
        <v>27</v>
      </c>
      <c r="G653" s="53">
        <f t="shared" si="11"/>
        <v>-0.79926164049742576</v>
      </c>
      <c r="H653" s="35"/>
      <c r="P653" s="6"/>
    </row>
    <row r="654" spans="1:16" ht="14.4" x14ac:dyDescent="0.25">
      <c r="A654" s="6">
        <v>5752</v>
      </c>
      <c r="B654" s="6">
        <v>40835</v>
      </c>
      <c r="C654" s="19">
        <v>40141</v>
      </c>
      <c r="D654" s="6" t="s">
        <v>17</v>
      </c>
      <c r="E654" s="6">
        <f>IF((ISBLANK($B$1)),"",Sheet1!Q660)</f>
        <v>3450</v>
      </c>
      <c r="F654" s="20" t="s">
        <v>26</v>
      </c>
      <c r="G654" s="53">
        <f t="shared" si="11"/>
        <v>-1.696881917758629</v>
      </c>
      <c r="H654" s="35"/>
      <c r="P654" s="6"/>
    </row>
    <row r="655" spans="1:16" ht="14.4" x14ac:dyDescent="0.25">
      <c r="A655" s="6">
        <v>5759</v>
      </c>
      <c r="B655" s="6">
        <v>40871</v>
      </c>
      <c r="C655" s="19">
        <v>40799</v>
      </c>
      <c r="D655" s="6" t="s">
        <v>28</v>
      </c>
      <c r="E655" s="6">
        <f>IF((ISBLANK($B$1)),"",Sheet1!Q661)</f>
        <v>5000</v>
      </c>
      <c r="F655" s="20" t="s">
        <v>26</v>
      </c>
      <c r="G655" s="53">
        <f t="shared" si="11"/>
        <v>0.44359720494116334</v>
      </c>
      <c r="H655" s="35"/>
      <c r="P655" s="6"/>
    </row>
    <row r="656" spans="1:16" ht="14.4" x14ac:dyDescent="0.25">
      <c r="A656" s="6">
        <v>5760</v>
      </c>
      <c r="B656" s="6">
        <v>40871</v>
      </c>
      <c r="C656" s="19">
        <v>40799</v>
      </c>
      <c r="D656" s="6" t="s">
        <v>28</v>
      </c>
      <c r="E656" s="6">
        <f>IF((ISBLANK($B$1)),"",Sheet1!Q662)</f>
        <v>4300</v>
      </c>
      <c r="F656" s="20" t="s">
        <v>29</v>
      </c>
      <c r="G656" s="53">
        <f t="shared" si="11"/>
        <v>-0.52307078595551704</v>
      </c>
      <c r="H656" s="35"/>
      <c r="P656" s="6"/>
    </row>
    <row r="657" spans="1:16" ht="14.4" x14ac:dyDescent="0.25">
      <c r="A657" s="6">
        <v>5857</v>
      </c>
      <c r="B657" s="6">
        <v>41570</v>
      </c>
      <c r="C657" s="19">
        <v>40515</v>
      </c>
      <c r="D657" s="6" t="s">
        <v>28</v>
      </c>
      <c r="E657" s="6">
        <f>IF((ISBLANK($B$1)),"",Sheet1!Q663)</f>
        <v>4600</v>
      </c>
      <c r="F657" s="20" t="s">
        <v>26</v>
      </c>
      <c r="G657" s="53">
        <f t="shared" si="11"/>
        <v>-0.108784504142654</v>
      </c>
      <c r="H657" s="35"/>
      <c r="P657" s="6"/>
    </row>
    <row r="658" spans="1:16" ht="14.4" x14ac:dyDescent="0.25">
      <c r="A658" s="6">
        <v>5922</v>
      </c>
      <c r="B658" s="6">
        <v>41991</v>
      </c>
      <c r="C658" s="19">
        <v>40895</v>
      </c>
      <c r="D658" s="6" t="s">
        <v>25</v>
      </c>
      <c r="E658" s="6">
        <f>IF((ISBLANK($B$1)),"",Sheet1!Q664)</f>
        <v>5200</v>
      </c>
      <c r="F658" s="20" t="s">
        <v>29</v>
      </c>
      <c r="G658" s="53">
        <f t="shared" si="11"/>
        <v>0.71978805948307201</v>
      </c>
      <c r="H658" s="35"/>
      <c r="P658" s="6"/>
    </row>
    <row r="659" spans="1:16" ht="14.4" x14ac:dyDescent="0.25">
      <c r="A659" s="6">
        <v>5923</v>
      </c>
      <c r="B659" s="6">
        <v>41991</v>
      </c>
      <c r="C659" s="19">
        <v>40895</v>
      </c>
      <c r="D659" s="6" t="s">
        <v>25</v>
      </c>
      <c r="E659" s="6">
        <f>IF((ISBLANK($B$1)),"",Sheet1!Q665)</f>
        <v>5150</v>
      </c>
      <c r="F659" s="20" t="s">
        <v>29</v>
      </c>
      <c r="G659" s="53">
        <f t="shared" si="11"/>
        <v>0.65074034584759488</v>
      </c>
      <c r="H659" s="35"/>
      <c r="P659" s="6"/>
    </row>
    <row r="660" spans="1:16" ht="14.4" x14ac:dyDescent="0.25">
      <c r="A660" s="6">
        <v>5924</v>
      </c>
      <c r="B660" s="6">
        <v>41991</v>
      </c>
      <c r="C660" s="19">
        <v>40895</v>
      </c>
      <c r="D660" s="6" t="s">
        <v>25</v>
      </c>
      <c r="E660" s="6">
        <f>IF((ISBLANK($B$1)),"",Sheet1!Q666)</f>
        <v>4300</v>
      </c>
      <c r="F660" s="20" t="s">
        <v>29</v>
      </c>
      <c r="G660" s="53">
        <f t="shared" si="11"/>
        <v>-0.52307078595551704</v>
      </c>
      <c r="H660" s="35"/>
      <c r="P660" s="6"/>
    </row>
    <row r="661" spans="1:16" ht="14.4" x14ac:dyDescent="0.25">
      <c r="A661" s="6">
        <v>5981</v>
      </c>
      <c r="B661" s="6">
        <v>42400</v>
      </c>
      <c r="C661" s="19">
        <v>41130</v>
      </c>
      <c r="D661" s="6" t="s">
        <v>25</v>
      </c>
      <c r="E661" s="6">
        <f>IF((ISBLANK($B$1)),"",Sheet1!Q667)</f>
        <v>5600</v>
      </c>
      <c r="F661" s="20" t="s">
        <v>27</v>
      </c>
      <c r="G661" s="53">
        <f t="shared" si="11"/>
        <v>1.2721697685668893</v>
      </c>
      <c r="H661" s="35"/>
      <c r="P661" s="6"/>
    </row>
    <row r="662" spans="1:16" ht="14.4" x14ac:dyDescent="0.25">
      <c r="A662" s="6">
        <v>5982</v>
      </c>
      <c r="B662" s="6">
        <v>42400</v>
      </c>
      <c r="C662" s="19">
        <v>41130</v>
      </c>
      <c r="D662" s="6" t="s">
        <v>25</v>
      </c>
      <c r="E662" s="6">
        <f>IF((ISBLANK($B$1)),"",Sheet1!Q668)</f>
        <v>5450</v>
      </c>
      <c r="F662" s="20" t="s">
        <v>27</v>
      </c>
      <c r="G662" s="53">
        <f t="shared" si="11"/>
        <v>1.0650266276604579</v>
      </c>
      <c r="H662" s="35"/>
      <c r="P662" s="6"/>
    </row>
    <row r="663" spans="1:16" ht="14.4" x14ac:dyDescent="0.25">
      <c r="A663" s="6">
        <v>6036</v>
      </c>
      <c r="B663" s="6">
        <v>42754</v>
      </c>
      <c r="C663" s="19">
        <v>40414</v>
      </c>
      <c r="D663" s="6" t="s">
        <v>30</v>
      </c>
      <c r="E663" s="6">
        <f>IF((ISBLANK($B$1)),"",Sheet1!Q669)</f>
        <v>4950</v>
      </c>
      <c r="F663" s="20" t="s">
        <v>26</v>
      </c>
      <c r="G663" s="53">
        <f t="shared" si="11"/>
        <v>0.37454949130568621</v>
      </c>
      <c r="H663" s="35"/>
      <c r="P663" s="6"/>
    </row>
    <row r="664" spans="1:16" ht="14.4" x14ac:dyDescent="0.25">
      <c r="A664" s="6">
        <v>6055</v>
      </c>
      <c r="B664" s="6">
        <v>42918</v>
      </c>
      <c r="C664" s="19">
        <v>40685</v>
      </c>
      <c r="D664" s="6" t="s">
        <v>17</v>
      </c>
      <c r="E664" s="6">
        <f>IF((ISBLANK($B$1)),"",Sheet1!Q670)</f>
        <v>5700</v>
      </c>
      <c r="F664" s="20" t="s">
        <v>26</v>
      </c>
      <c r="G664" s="53">
        <f t="shared" si="11"/>
        <v>1.4102651958378438</v>
      </c>
      <c r="H664" s="35"/>
      <c r="P664" s="6"/>
    </row>
    <row r="665" spans="1:16" ht="14.4" x14ac:dyDescent="0.25">
      <c r="A665" s="6">
        <v>6056</v>
      </c>
      <c r="B665" s="6">
        <v>42918</v>
      </c>
      <c r="C665" s="19">
        <v>40685</v>
      </c>
      <c r="D665" s="6" t="s">
        <v>17</v>
      </c>
      <c r="E665" s="6">
        <f>IF((ISBLANK($B$1)),"",Sheet1!Q671)</f>
        <v>5700</v>
      </c>
      <c r="F665" s="20" t="s">
        <v>27</v>
      </c>
      <c r="G665" s="53">
        <f t="shared" si="11"/>
        <v>1.4102651958378438</v>
      </c>
      <c r="H665" s="35"/>
      <c r="P665" s="6"/>
    </row>
    <row r="666" spans="1:16" ht="14.4" x14ac:dyDescent="0.25">
      <c r="A666" s="6">
        <v>6059</v>
      </c>
      <c r="B666" s="6">
        <v>42944</v>
      </c>
      <c r="C666" s="19">
        <v>41231</v>
      </c>
      <c r="D666" s="6" t="s">
        <v>30</v>
      </c>
      <c r="E666" s="6">
        <f>IF((ISBLANK($B$1)),"",Sheet1!Q672)</f>
        <v>5550</v>
      </c>
      <c r="F666" s="20" t="s">
        <v>29</v>
      </c>
      <c r="G666" s="53">
        <f t="shared" si="11"/>
        <v>1.2031220549314123</v>
      </c>
      <c r="H666" s="35"/>
      <c r="P666" s="6"/>
    </row>
    <row r="667" spans="1:16" ht="14.4" x14ac:dyDescent="0.25">
      <c r="A667" s="6">
        <v>6219</v>
      </c>
      <c r="B667" s="6">
        <v>44037</v>
      </c>
      <c r="C667" s="19">
        <v>41088</v>
      </c>
      <c r="D667" s="6" t="s">
        <v>17</v>
      </c>
      <c r="E667" s="6">
        <f>IF((ISBLANK($B$1)),"",Sheet1!Q673)</f>
        <v>5350</v>
      </c>
      <c r="F667" s="20" t="s">
        <v>29</v>
      </c>
      <c r="G667" s="53">
        <f t="shared" si="11"/>
        <v>0.92693120038950361</v>
      </c>
      <c r="H667" s="35"/>
      <c r="P667" s="6"/>
    </row>
    <row r="668" spans="1:16" ht="14.4" x14ac:dyDescent="0.25">
      <c r="A668" s="6">
        <v>6220</v>
      </c>
      <c r="B668" s="6">
        <v>44037</v>
      </c>
      <c r="C668" s="19">
        <v>41088</v>
      </c>
      <c r="D668" s="6" t="s">
        <v>17</v>
      </c>
      <c r="E668" s="6">
        <f>IF((ISBLANK($B$1)),"",Sheet1!Q674)</f>
        <v>5300</v>
      </c>
      <c r="F668" s="20" t="s">
        <v>27</v>
      </c>
      <c r="G668" s="53">
        <f t="shared" si="11"/>
        <v>0.85788348675402637</v>
      </c>
      <c r="H668" s="35"/>
      <c r="P668" s="6"/>
    </row>
    <row r="669" spans="1:16" ht="14.4" x14ac:dyDescent="0.25">
      <c r="A669" s="6">
        <v>6270</v>
      </c>
      <c r="B669" s="6">
        <v>44387</v>
      </c>
      <c r="C669" s="19">
        <v>39848</v>
      </c>
      <c r="D669" s="6" t="s">
        <v>25</v>
      </c>
      <c r="E669" s="6">
        <f>IF((ISBLANK($B$1)),"",Sheet1!Q675)</f>
        <v>5900</v>
      </c>
      <c r="F669" s="20" t="s">
        <v>27</v>
      </c>
      <c r="G669" s="53">
        <f t="shared" si="11"/>
        <v>1.6864560503797523</v>
      </c>
      <c r="H669" s="35"/>
      <c r="P669" s="6"/>
    </row>
    <row r="670" spans="1:16" ht="14.4" x14ac:dyDescent="0.25">
      <c r="A670" s="6">
        <v>6271</v>
      </c>
      <c r="B670" s="6">
        <v>44387</v>
      </c>
      <c r="C670" s="19">
        <v>39848</v>
      </c>
      <c r="D670" s="6" t="s">
        <v>25</v>
      </c>
      <c r="E670" s="6">
        <f>IF((ISBLANK($B$1)),"",Sheet1!Q676)</f>
        <v>4400</v>
      </c>
      <c r="F670" s="20" t="s">
        <v>26</v>
      </c>
      <c r="G670" s="53">
        <f t="shared" si="11"/>
        <v>-0.38497535868456267</v>
      </c>
      <c r="H670" s="35"/>
      <c r="P670" s="6"/>
    </row>
    <row r="671" spans="1:16" ht="14.4" x14ac:dyDescent="0.25">
      <c r="A671" s="6">
        <v>6295</v>
      </c>
      <c r="B671" s="6">
        <v>44576</v>
      </c>
      <c r="C671" s="19">
        <v>40172</v>
      </c>
      <c r="D671" s="6" t="s">
        <v>28</v>
      </c>
      <c r="E671" s="6">
        <f>IF((ISBLANK($B$1)),"",Sheet1!Q677)</f>
        <v>5300</v>
      </c>
      <c r="F671" s="20" t="s">
        <v>29</v>
      </c>
      <c r="G671" s="53">
        <f t="shared" si="11"/>
        <v>0.85788348675402637</v>
      </c>
      <c r="H671" s="35"/>
      <c r="P671" s="6"/>
    </row>
    <row r="672" spans="1:16" ht="14.4" x14ac:dyDescent="0.25">
      <c r="A672" s="6">
        <v>6417</v>
      </c>
      <c r="B672" s="6">
        <v>45601</v>
      </c>
      <c r="C672" s="19">
        <v>40812</v>
      </c>
      <c r="D672" s="6" t="s">
        <v>17</v>
      </c>
      <c r="E672" s="6">
        <f>IF((ISBLANK($B$1)),"",Sheet1!Q678)</f>
        <v>5750</v>
      </c>
      <c r="F672" s="20" t="s">
        <v>26</v>
      </c>
      <c r="G672" s="53">
        <f t="shared" si="11"/>
        <v>1.4793129094733208</v>
      </c>
      <c r="H672" s="35"/>
      <c r="P672" s="6"/>
    </row>
    <row r="673" spans="1:16" ht="14.4" x14ac:dyDescent="0.25">
      <c r="A673" s="6">
        <v>6419</v>
      </c>
      <c r="B673" s="6">
        <v>45606</v>
      </c>
      <c r="C673" s="19">
        <v>40808</v>
      </c>
      <c r="D673" s="6" t="s">
        <v>16</v>
      </c>
      <c r="E673" s="6">
        <f>IF((ISBLANK($B$1)),"",Sheet1!Q679)</f>
        <v>5300</v>
      </c>
      <c r="F673" s="20" t="s">
        <v>29</v>
      </c>
      <c r="G673" s="53">
        <f t="shared" si="11"/>
        <v>0.85788348675402637</v>
      </c>
      <c r="H673" s="35"/>
      <c r="P673" s="6"/>
    </row>
    <row r="674" spans="1:16" ht="14.4" x14ac:dyDescent="0.25">
      <c r="A674" s="6">
        <v>6420</v>
      </c>
      <c r="B674" s="6">
        <v>45606</v>
      </c>
      <c r="C674" s="19">
        <v>40808</v>
      </c>
      <c r="D674" s="6" t="s">
        <v>16</v>
      </c>
      <c r="E674" s="6">
        <f>IF((ISBLANK($B$1)),"",Sheet1!Q680)</f>
        <v>4600</v>
      </c>
      <c r="F674" s="20" t="s">
        <v>26</v>
      </c>
      <c r="G674" s="53">
        <f t="shared" si="11"/>
        <v>-0.108784504142654</v>
      </c>
      <c r="H674" s="35"/>
      <c r="P674" s="6"/>
    </row>
    <row r="675" spans="1:16" ht="14.4" x14ac:dyDescent="0.25">
      <c r="A675" s="6">
        <v>6480</v>
      </c>
      <c r="B675" s="6">
        <v>46119</v>
      </c>
      <c r="C675" s="19">
        <v>39859</v>
      </c>
      <c r="D675" s="6" t="s">
        <v>30</v>
      </c>
      <c r="E675" s="6">
        <f>IF((ISBLANK($B$1)),"",Sheet1!Q681)</f>
        <v>4550</v>
      </c>
      <c r="F675" s="20" t="s">
        <v>26</v>
      </c>
      <c r="G675" s="53">
        <f t="shared" si="11"/>
        <v>-0.17783221777813119</v>
      </c>
      <c r="H675" s="35"/>
      <c r="P675" s="6"/>
    </row>
    <row r="676" spans="1:16" ht="14.4" x14ac:dyDescent="0.25">
      <c r="A676" s="6">
        <v>6481</v>
      </c>
      <c r="B676" s="6">
        <v>46119</v>
      </c>
      <c r="C676" s="19">
        <v>39859</v>
      </c>
      <c r="D676" s="6" t="s">
        <v>30</v>
      </c>
      <c r="E676" s="6">
        <f>IF((ISBLANK($B$1)),"",Sheet1!Q682)</f>
        <v>4400</v>
      </c>
      <c r="F676" s="20" t="s">
        <v>26</v>
      </c>
      <c r="G676" s="53">
        <f t="shared" si="11"/>
        <v>-0.38497535868456267</v>
      </c>
      <c r="H676" s="35"/>
      <c r="P676" s="6"/>
    </row>
    <row r="677" spans="1:16" ht="14.4" x14ac:dyDescent="0.25">
      <c r="A677" s="6">
        <v>6482</v>
      </c>
      <c r="B677" s="6">
        <v>46119</v>
      </c>
      <c r="C677" s="19">
        <v>39859</v>
      </c>
      <c r="D677" s="6" t="s">
        <v>30</v>
      </c>
      <c r="E677" s="6">
        <f>IF((ISBLANK($B$1)),"",Sheet1!Q683)</f>
        <v>5700</v>
      </c>
      <c r="F677" s="20" t="s">
        <v>29</v>
      </c>
      <c r="G677" s="53">
        <f t="shared" si="11"/>
        <v>1.4102651958378438</v>
      </c>
      <c r="H677" s="35"/>
      <c r="P677" s="6"/>
    </row>
    <row r="678" spans="1:16" ht="14.4" x14ac:dyDescent="0.25">
      <c r="A678" s="6">
        <v>6574</v>
      </c>
      <c r="B678" s="6">
        <v>46756</v>
      </c>
      <c r="C678" s="19">
        <v>40097</v>
      </c>
      <c r="D678" s="6" t="s">
        <v>16</v>
      </c>
      <c r="E678" s="6">
        <f>IF((ISBLANK($B$1)),"",Sheet1!Q684)</f>
        <v>3550</v>
      </c>
      <c r="F678" s="20" t="s">
        <v>26</v>
      </c>
      <c r="G678" s="53">
        <f t="shared" si="11"/>
        <v>-1.5587864904876745</v>
      </c>
      <c r="H678" s="35"/>
      <c r="P678" s="6"/>
    </row>
    <row r="679" spans="1:16" ht="14.4" x14ac:dyDescent="0.25">
      <c r="A679" s="6">
        <v>6700</v>
      </c>
      <c r="B679" s="6">
        <v>47714</v>
      </c>
      <c r="C679" s="19">
        <v>40612</v>
      </c>
      <c r="D679" s="6" t="s">
        <v>16</v>
      </c>
      <c r="E679" s="6">
        <f>IF((ISBLANK($B$1)),"",Sheet1!Q685)</f>
        <v>4900</v>
      </c>
      <c r="F679" s="20" t="s">
        <v>26</v>
      </c>
      <c r="G679" s="53">
        <f t="shared" si="11"/>
        <v>0.30550177767020903</v>
      </c>
      <c r="H679" s="35"/>
      <c r="P679" s="6"/>
    </row>
    <row r="680" spans="1:16" ht="14.4" x14ac:dyDescent="0.25">
      <c r="A680" s="6">
        <v>6715</v>
      </c>
      <c r="B680" s="6">
        <v>47846</v>
      </c>
      <c r="C680" s="19">
        <v>41132</v>
      </c>
      <c r="D680" s="6" t="s">
        <v>17</v>
      </c>
      <c r="E680" s="6">
        <f>IF((ISBLANK($B$1)),"",Sheet1!Q686)</f>
        <v>3650</v>
      </c>
      <c r="F680" s="20" t="s">
        <v>29</v>
      </c>
      <c r="G680" s="53">
        <f t="shared" si="11"/>
        <v>-1.4206910632167202</v>
      </c>
      <c r="H680" s="35"/>
      <c r="P680" s="6"/>
    </row>
    <row r="681" spans="1:16" ht="14.4" x14ac:dyDescent="0.25">
      <c r="A681" s="6">
        <v>6716</v>
      </c>
      <c r="B681" s="6">
        <v>47846</v>
      </c>
      <c r="C681" s="19">
        <v>41132</v>
      </c>
      <c r="D681" s="6" t="s">
        <v>17</v>
      </c>
      <c r="E681" s="6">
        <f>IF((ISBLANK($B$1)),"",Sheet1!Q687)</f>
        <v>4650</v>
      </c>
      <c r="F681" s="20" t="s">
        <v>29</v>
      </c>
      <c r="G681" s="53">
        <f t="shared" si="11"/>
        <v>-3.9736790507176829E-2</v>
      </c>
      <c r="H681" s="35"/>
      <c r="P681" s="6"/>
    </row>
    <row r="682" spans="1:16" ht="14.4" x14ac:dyDescent="0.25">
      <c r="A682" s="6">
        <v>6717</v>
      </c>
      <c r="B682" s="6">
        <v>47846</v>
      </c>
      <c r="C682" s="19">
        <v>41132</v>
      </c>
      <c r="D682" s="6" t="s">
        <v>17</v>
      </c>
      <c r="E682" s="6">
        <f>IF((ISBLANK($B$1)),"",Sheet1!Q688)</f>
        <v>5900</v>
      </c>
      <c r="F682" s="20" t="s">
        <v>29</v>
      </c>
      <c r="G682" s="53">
        <f t="shared" si="11"/>
        <v>1.6864560503797523</v>
      </c>
      <c r="H682" s="35"/>
      <c r="P682" s="6"/>
    </row>
    <row r="683" spans="1:16" ht="14.4" x14ac:dyDescent="0.25">
      <c r="A683" s="6">
        <v>6718</v>
      </c>
      <c r="B683" s="6">
        <v>47846</v>
      </c>
      <c r="C683" s="19">
        <v>41132</v>
      </c>
      <c r="D683" s="6" t="s">
        <v>17</v>
      </c>
      <c r="E683" s="6">
        <f>IF((ISBLANK($B$1)),"",Sheet1!Q689)</f>
        <v>5250</v>
      </c>
      <c r="F683" s="20" t="s">
        <v>26</v>
      </c>
      <c r="G683" s="53">
        <f t="shared" si="11"/>
        <v>0.78883577311854924</v>
      </c>
      <c r="H683" s="35"/>
      <c r="P683" s="6"/>
    </row>
    <row r="684" spans="1:16" ht="14.4" x14ac:dyDescent="0.25">
      <c r="A684" s="6">
        <v>6722</v>
      </c>
      <c r="B684" s="6">
        <v>47876</v>
      </c>
      <c r="C684" s="19">
        <v>40172</v>
      </c>
      <c r="D684" s="6" t="s">
        <v>17</v>
      </c>
      <c r="E684" s="6">
        <f>IF((ISBLANK($B$1)),"",Sheet1!Q690)</f>
        <v>3800</v>
      </c>
      <c r="F684" s="20" t="s">
        <v>26</v>
      </c>
      <c r="G684" s="53">
        <f t="shared" si="11"/>
        <v>-1.2135479223102887</v>
      </c>
      <c r="H684" s="35"/>
      <c r="P684" s="6"/>
    </row>
    <row r="685" spans="1:16" ht="14.4" x14ac:dyDescent="0.25">
      <c r="A685" s="6">
        <v>6749</v>
      </c>
      <c r="B685" s="6">
        <v>48067</v>
      </c>
      <c r="C685" s="19">
        <v>41089</v>
      </c>
      <c r="D685" s="6" t="s">
        <v>25</v>
      </c>
      <c r="E685" s="6">
        <f>IF((ISBLANK($B$1)),"",Sheet1!Q691)</f>
        <v>4950</v>
      </c>
      <c r="F685" s="20" t="s">
        <v>27</v>
      </c>
      <c r="G685" s="53">
        <f t="shared" si="11"/>
        <v>0.37454949130568621</v>
      </c>
      <c r="H685" s="35"/>
      <c r="P685" s="6"/>
    </row>
    <row r="686" spans="1:16" ht="14.4" x14ac:dyDescent="0.25">
      <c r="A686" s="6">
        <v>6750</v>
      </c>
      <c r="B686" s="6">
        <v>48067</v>
      </c>
      <c r="C686" s="19">
        <v>41089</v>
      </c>
      <c r="D686" s="6" t="s">
        <v>25</v>
      </c>
      <c r="E686" s="6">
        <f>IF((ISBLANK($B$1)),"",Sheet1!Q692)</f>
        <v>4600</v>
      </c>
      <c r="F686" s="20" t="s">
        <v>27</v>
      </c>
      <c r="G686" s="53">
        <f t="shared" si="11"/>
        <v>-0.108784504142654</v>
      </c>
      <c r="H686" s="35"/>
      <c r="P686" s="6"/>
    </row>
    <row r="687" spans="1:16" ht="14.4" x14ac:dyDescent="0.25">
      <c r="A687" s="6">
        <v>6772</v>
      </c>
      <c r="B687" s="6">
        <v>48199</v>
      </c>
      <c r="C687" s="19">
        <v>39831</v>
      </c>
      <c r="D687" s="6" t="s">
        <v>28</v>
      </c>
      <c r="E687" s="6">
        <f>IF((ISBLANK($B$1)),"",Sheet1!Q693)</f>
        <v>5750</v>
      </c>
      <c r="F687" s="20" t="s">
        <v>26</v>
      </c>
      <c r="G687" s="53">
        <f t="shared" si="11"/>
        <v>1.4793129094733208</v>
      </c>
      <c r="H687" s="35"/>
      <c r="P687" s="6"/>
    </row>
    <row r="688" spans="1:16" ht="14.4" x14ac:dyDescent="0.25">
      <c r="A688" s="6">
        <v>6879</v>
      </c>
      <c r="B688" s="6">
        <v>49029</v>
      </c>
      <c r="C688" s="19">
        <v>41049</v>
      </c>
      <c r="D688" s="6" t="s">
        <v>17</v>
      </c>
      <c r="E688" s="6">
        <f>IF((ISBLANK($B$1)),"",Sheet1!Q694)</f>
        <v>5850</v>
      </c>
      <c r="F688" s="20" t="s">
        <v>27</v>
      </c>
      <c r="G688" s="53">
        <f t="shared" si="11"/>
        <v>1.6174083367442753</v>
      </c>
      <c r="H688" s="35"/>
      <c r="P688" s="6"/>
    </row>
    <row r="689" spans="1:16" ht="14.4" x14ac:dyDescent="0.25">
      <c r="A689" s="6">
        <v>6899</v>
      </c>
      <c r="B689" s="6">
        <v>49216</v>
      </c>
      <c r="C689" s="19">
        <v>39891</v>
      </c>
      <c r="D689" s="6" t="s">
        <v>17</v>
      </c>
      <c r="E689" s="6">
        <f>IF((ISBLANK($B$1)),"",Sheet1!Q695)</f>
        <v>3950</v>
      </c>
      <c r="F689" s="20" t="s">
        <v>26</v>
      </c>
      <c r="G689" s="53">
        <f t="shared" si="11"/>
        <v>-1.0064047814038573</v>
      </c>
      <c r="H689" s="35"/>
      <c r="P689" s="6"/>
    </row>
    <row r="690" spans="1:16" ht="14.4" x14ac:dyDescent="0.25">
      <c r="A690" s="6">
        <v>6900</v>
      </c>
      <c r="B690" s="6">
        <v>49216</v>
      </c>
      <c r="C690" s="19">
        <v>39891</v>
      </c>
      <c r="D690" s="6" t="s">
        <v>17</v>
      </c>
      <c r="E690" s="6">
        <f>IF((ISBLANK($B$1)),"",Sheet1!Q696)</f>
        <v>3850</v>
      </c>
      <c r="F690" s="20" t="s">
        <v>27</v>
      </c>
      <c r="G690" s="53">
        <f t="shared" si="11"/>
        <v>-1.1445002086748115</v>
      </c>
      <c r="H690" s="35"/>
      <c r="P690" s="6"/>
    </row>
    <row r="691" spans="1:16" ht="14.4" x14ac:dyDescent="0.25">
      <c r="A691" s="6">
        <v>6901</v>
      </c>
      <c r="B691" s="6">
        <v>49216</v>
      </c>
      <c r="C691" s="19">
        <v>39891</v>
      </c>
      <c r="D691" s="6" t="s">
        <v>17</v>
      </c>
      <c r="E691" s="6">
        <f>IF((ISBLANK($B$1)),"",Sheet1!Q697)</f>
        <v>4850</v>
      </c>
      <c r="F691" s="20" t="s">
        <v>26</v>
      </c>
      <c r="G691" s="53">
        <f t="shared" si="11"/>
        <v>0.23645406403473185</v>
      </c>
      <c r="H691" s="35"/>
      <c r="P691" s="6"/>
    </row>
    <row r="692" spans="1:16" ht="14.4" x14ac:dyDescent="0.25">
      <c r="A692" s="6">
        <v>7005</v>
      </c>
      <c r="B692" s="6">
        <v>49990</v>
      </c>
      <c r="C692" s="19">
        <v>40061</v>
      </c>
      <c r="D692" s="6" t="s">
        <v>28</v>
      </c>
      <c r="E692" s="6">
        <f>IF((ISBLANK($B$1)),"",Sheet1!Q698)</f>
        <v>3950</v>
      </c>
      <c r="F692" s="20" t="s">
        <v>27</v>
      </c>
      <c r="G692" s="53">
        <f t="shared" si="11"/>
        <v>-1.0064047814038573</v>
      </c>
      <c r="H692" s="35"/>
      <c r="P692" s="6"/>
    </row>
    <row r="693" spans="1:16" ht="14.4" x14ac:dyDescent="0.25">
      <c r="A693" s="6">
        <v>7018</v>
      </c>
      <c r="B693" s="6">
        <v>50081</v>
      </c>
      <c r="C693" s="19">
        <v>40120</v>
      </c>
      <c r="D693" s="6" t="s">
        <v>28</v>
      </c>
      <c r="E693" s="6">
        <f>IF((ISBLANK($B$1)),"",Sheet1!Q699)</f>
        <v>3750</v>
      </c>
      <c r="F693" s="20" t="s">
        <v>29</v>
      </c>
      <c r="G693" s="53">
        <f t="shared" si="11"/>
        <v>-1.282595635945766</v>
      </c>
      <c r="H693" s="35"/>
      <c r="P693" s="6"/>
    </row>
    <row r="694" spans="1:16" ht="14.4" x14ac:dyDescent="0.25">
      <c r="A694" s="6">
        <v>7063</v>
      </c>
      <c r="B694" s="6">
        <v>50404</v>
      </c>
      <c r="C694" s="19">
        <v>40628</v>
      </c>
      <c r="D694" s="6" t="s">
        <v>17</v>
      </c>
      <c r="E694" s="6">
        <f>IF((ISBLANK($B$1)),"",Sheet1!Q700)</f>
        <v>4300</v>
      </c>
      <c r="F694" s="20" t="s">
        <v>26</v>
      </c>
      <c r="G694" s="53">
        <f t="shared" si="11"/>
        <v>-0.52307078595551704</v>
      </c>
      <c r="H694" s="35"/>
      <c r="P694" s="6"/>
    </row>
    <row r="695" spans="1:16" ht="14.4" x14ac:dyDescent="0.25">
      <c r="A695" s="6">
        <v>7064</v>
      </c>
      <c r="B695" s="6">
        <v>50404</v>
      </c>
      <c r="C695" s="19">
        <v>40628</v>
      </c>
      <c r="D695" s="6" t="s">
        <v>17</v>
      </c>
      <c r="E695" s="6">
        <f>IF((ISBLANK($B$1)),"",Sheet1!Q701)</f>
        <v>3900</v>
      </c>
      <c r="F695" s="20" t="s">
        <v>29</v>
      </c>
      <c r="G695" s="53">
        <f t="shared" si="11"/>
        <v>-1.0754524950393345</v>
      </c>
      <c r="H695" s="35"/>
      <c r="P695" s="6"/>
    </row>
    <row r="696" spans="1:16" ht="14.4" x14ac:dyDescent="0.25">
      <c r="A696" s="6">
        <v>7116</v>
      </c>
      <c r="B696" s="6">
        <v>50784</v>
      </c>
      <c r="C696" s="19">
        <v>40949</v>
      </c>
      <c r="D696" s="6" t="s">
        <v>17</v>
      </c>
      <c r="E696" s="6">
        <f>IF((ISBLANK($B$1)),"",Sheet1!Q702)</f>
        <v>4400</v>
      </c>
      <c r="F696" s="20" t="s">
        <v>27</v>
      </c>
      <c r="G696" s="53">
        <f t="shared" si="11"/>
        <v>-0.38497535868456267</v>
      </c>
      <c r="H696" s="35"/>
      <c r="P696" s="6"/>
    </row>
    <row r="697" spans="1:16" ht="14.4" x14ac:dyDescent="0.25">
      <c r="A697" s="6">
        <v>7128</v>
      </c>
      <c r="B697" s="6">
        <v>50850</v>
      </c>
      <c r="C697" s="19">
        <v>39939</v>
      </c>
      <c r="D697" s="6" t="s">
        <v>30</v>
      </c>
      <c r="E697" s="6">
        <f>IF((ISBLANK($B$1)),"",Sheet1!Q703)</f>
        <v>5250</v>
      </c>
      <c r="F697" s="20" t="s">
        <v>26</v>
      </c>
      <c r="G697" s="53">
        <f t="shared" si="11"/>
        <v>0.78883577311854924</v>
      </c>
      <c r="H697" s="35"/>
      <c r="P697" s="6"/>
    </row>
    <row r="698" spans="1:16" ht="14.4" x14ac:dyDescent="0.25">
      <c r="A698" s="6">
        <v>7129</v>
      </c>
      <c r="B698" s="6">
        <v>50850</v>
      </c>
      <c r="C698" s="19">
        <v>39939</v>
      </c>
      <c r="D698" s="6" t="s">
        <v>30</v>
      </c>
      <c r="E698" s="6">
        <f>IF((ISBLANK($B$1)),"",Sheet1!Q704)</f>
        <v>3500</v>
      </c>
      <c r="F698" s="20" t="s">
        <v>29</v>
      </c>
      <c r="G698" s="53">
        <f t="shared" si="11"/>
        <v>-1.6278342041231517</v>
      </c>
      <c r="H698" s="35"/>
      <c r="P698" s="6"/>
    </row>
    <row r="699" spans="1:16" ht="14.4" x14ac:dyDescent="0.25">
      <c r="A699" s="6">
        <v>7161</v>
      </c>
      <c r="B699" s="6">
        <v>51075</v>
      </c>
      <c r="C699" s="19">
        <v>40505</v>
      </c>
      <c r="D699" s="6" t="s">
        <v>28</v>
      </c>
      <c r="E699" s="6">
        <f>IF((ISBLANK($B$1)),"",Sheet1!Q705)</f>
        <v>5550</v>
      </c>
      <c r="F699" s="20" t="s">
        <v>27</v>
      </c>
      <c r="G699" s="53">
        <f t="shared" si="11"/>
        <v>1.2031220549314123</v>
      </c>
      <c r="H699" s="35"/>
      <c r="P699" s="6"/>
    </row>
    <row r="700" spans="1:16" ht="14.4" x14ac:dyDescent="0.25">
      <c r="A700" s="6">
        <v>7209</v>
      </c>
      <c r="B700" s="6">
        <v>51461</v>
      </c>
      <c r="C700" s="19">
        <v>40584</v>
      </c>
      <c r="D700" s="6" t="s">
        <v>28</v>
      </c>
      <c r="E700" s="6">
        <f>IF((ISBLANK($B$1)),"",Sheet1!Q706)</f>
        <v>5550</v>
      </c>
      <c r="F700" s="20" t="s">
        <v>29</v>
      </c>
      <c r="G700" s="53">
        <f t="shared" si="11"/>
        <v>1.2031220549314123</v>
      </c>
      <c r="H700" s="35"/>
      <c r="P700" s="6"/>
    </row>
    <row r="701" spans="1:16" ht="14.4" x14ac:dyDescent="0.25">
      <c r="A701" s="6">
        <v>7232</v>
      </c>
      <c r="B701" s="6">
        <v>51558</v>
      </c>
      <c r="C701" s="19">
        <v>40266</v>
      </c>
      <c r="D701" s="6" t="s">
        <v>28</v>
      </c>
      <c r="E701" s="6">
        <f>IF((ISBLANK($B$1)),"",Sheet1!Q707)</f>
        <v>5100</v>
      </c>
      <c r="F701" s="20" t="s">
        <v>26</v>
      </c>
      <c r="G701" s="53">
        <f t="shared" si="11"/>
        <v>0.58169263221211776</v>
      </c>
      <c r="H701" s="35"/>
      <c r="P701" s="6"/>
    </row>
    <row r="702" spans="1:16" ht="14.4" x14ac:dyDescent="0.25">
      <c r="A702" s="6">
        <v>7233</v>
      </c>
      <c r="B702" s="6">
        <v>51558</v>
      </c>
      <c r="C702" s="19">
        <v>40266</v>
      </c>
      <c r="D702" s="6" t="s">
        <v>28</v>
      </c>
      <c r="E702" s="6">
        <f>IF((ISBLANK($B$1)),"",Sheet1!Q708)</f>
        <v>5750</v>
      </c>
      <c r="F702" s="20" t="s">
        <v>29</v>
      </c>
      <c r="G702" s="53">
        <f t="shared" si="11"/>
        <v>1.4793129094733208</v>
      </c>
      <c r="H702" s="35"/>
      <c r="P702" s="6"/>
    </row>
    <row r="703" spans="1:16" ht="14.4" x14ac:dyDescent="0.25">
      <c r="A703" s="6">
        <v>7310</v>
      </c>
      <c r="B703" s="6">
        <v>52130</v>
      </c>
      <c r="C703" s="19">
        <v>41157</v>
      </c>
      <c r="D703" s="6" t="s">
        <v>25</v>
      </c>
      <c r="E703" s="6">
        <f>IF((ISBLANK($B$1)),"",Sheet1!Q709)</f>
        <v>4050</v>
      </c>
      <c r="F703" s="20" t="s">
        <v>26</v>
      </c>
      <c r="G703" s="53">
        <f t="shared" si="11"/>
        <v>-0.86830935413290289</v>
      </c>
      <c r="H703" s="35"/>
      <c r="P703" s="6"/>
    </row>
    <row r="704" spans="1:16" ht="14.4" x14ac:dyDescent="0.25">
      <c r="A704" s="6">
        <v>7311</v>
      </c>
      <c r="B704" s="6">
        <v>52130</v>
      </c>
      <c r="C704" s="19">
        <v>41157</v>
      </c>
      <c r="D704" s="6" t="s">
        <v>25</v>
      </c>
      <c r="E704" s="6">
        <f>IF((ISBLANK($B$1)),"",Sheet1!Q710)</f>
        <v>5200</v>
      </c>
      <c r="F704" s="20" t="s">
        <v>29</v>
      </c>
      <c r="G704" s="53">
        <f t="shared" si="11"/>
        <v>0.71978805948307201</v>
      </c>
      <c r="H704" s="35"/>
      <c r="P704" s="6"/>
    </row>
    <row r="705" spans="1:16" ht="14.4" x14ac:dyDescent="0.25">
      <c r="A705" s="6">
        <v>7363</v>
      </c>
      <c r="B705" s="6">
        <v>52482</v>
      </c>
      <c r="C705" s="19">
        <v>40574</v>
      </c>
      <c r="D705" s="6" t="s">
        <v>30</v>
      </c>
      <c r="E705" s="6">
        <f>IF((ISBLANK($B$1)),"",Sheet1!Q711)</f>
        <v>4450</v>
      </c>
      <c r="F705" s="20" t="s">
        <v>26</v>
      </c>
      <c r="G705" s="53">
        <f t="shared" si="11"/>
        <v>-0.31592764504908549</v>
      </c>
      <c r="H705" s="35"/>
      <c r="P705" s="6"/>
    </row>
    <row r="706" spans="1:16" ht="14.4" x14ac:dyDescent="0.25">
      <c r="A706" s="6">
        <v>7364</v>
      </c>
      <c r="B706" s="6">
        <v>52482</v>
      </c>
      <c r="C706" s="19">
        <v>40574</v>
      </c>
      <c r="D706" s="6" t="s">
        <v>30</v>
      </c>
      <c r="E706" s="6">
        <f>IF((ISBLANK($B$1)),"",Sheet1!Q712)</f>
        <v>4900</v>
      </c>
      <c r="F706" s="20" t="s">
        <v>29</v>
      </c>
      <c r="G706" s="53">
        <f t="shared" si="11"/>
        <v>0.30550177767020903</v>
      </c>
      <c r="H706" s="35"/>
      <c r="P706" s="6"/>
    </row>
    <row r="707" spans="1:16" ht="14.4" x14ac:dyDescent="0.25">
      <c r="A707" s="6">
        <v>7480</v>
      </c>
      <c r="B707" s="6">
        <v>53410</v>
      </c>
      <c r="C707" s="19">
        <v>40032</v>
      </c>
      <c r="D707" s="6" t="s">
        <v>30</v>
      </c>
      <c r="E707" s="6">
        <f>IF((ISBLANK($B$1)),"",Sheet1!Q713)</f>
        <v>5600</v>
      </c>
      <c r="F707" s="20" t="s">
        <v>26</v>
      </c>
      <c r="G707" s="53">
        <f t="shared" si="11"/>
        <v>1.2721697685668893</v>
      </c>
      <c r="H707" s="35"/>
      <c r="P707" s="6"/>
    </row>
    <row r="708" spans="1:16" ht="14.4" x14ac:dyDescent="0.25">
      <c r="A708" s="6">
        <v>7493</v>
      </c>
      <c r="B708" s="6">
        <v>53477</v>
      </c>
      <c r="C708" s="19">
        <v>41034</v>
      </c>
      <c r="D708" s="6" t="s">
        <v>17</v>
      </c>
      <c r="E708" s="6">
        <f>IF((ISBLANK($B$1)),"",Sheet1!Q714)</f>
        <v>5000</v>
      </c>
      <c r="F708" s="20" t="s">
        <v>29</v>
      </c>
      <c r="G708" s="53">
        <f t="shared" si="11"/>
        <v>0.44359720494116334</v>
      </c>
      <c r="H708" s="35"/>
      <c r="P708" s="6"/>
    </row>
    <row r="709" spans="1:16" ht="14.4" x14ac:dyDescent="0.25">
      <c r="A709" s="6">
        <v>7494</v>
      </c>
      <c r="B709" s="6">
        <v>53477</v>
      </c>
      <c r="C709" s="19">
        <v>41034</v>
      </c>
      <c r="D709" s="6" t="s">
        <v>17</v>
      </c>
      <c r="E709" s="6">
        <f>IF((ISBLANK($B$1)),"",Sheet1!Q715)</f>
        <v>4750</v>
      </c>
      <c r="F709" s="20" t="s">
        <v>29</v>
      </c>
      <c r="G709" s="53">
        <f t="shared" si="11"/>
        <v>9.8358636763777513E-2</v>
      </c>
      <c r="H709" s="35"/>
      <c r="P709" s="6"/>
    </row>
    <row r="710" spans="1:16" ht="14.4" x14ac:dyDescent="0.25">
      <c r="A710" s="6">
        <v>7495</v>
      </c>
      <c r="B710" s="6">
        <v>53477</v>
      </c>
      <c r="C710" s="19">
        <v>41034</v>
      </c>
      <c r="D710" s="6" t="s">
        <v>17</v>
      </c>
      <c r="E710" s="6">
        <f>IF((ISBLANK($B$1)),"",Sheet1!Q716)</f>
        <v>5200</v>
      </c>
      <c r="F710" s="20" t="s">
        <v>26</v>
      </c>
      <c r="G710" s="53">
        <f t="shared" si="11"/>
        <v>0.71978805948307201</v>
      </c>
      <c r="H710" s="35"/>
      <c r="P710" s="6"/>
    </row>
    <row r="711" spans="1:16" ht="14.4" x14ac:dyDescent="0.25">
      <c r="A711" s="6">
        <v>7496</v>
      </c>
      <c r="B711" s="6">
        <v>53477</v>
      </c>
      <c r="C711" s="19">
        <v>41034</v>
      </c>
      <c r="D711" s="6" t="s">
        <v>17</v>
      </c>
      <c r="E711" s="6">
        <f>IF((ISBLANK($B$1)),"",Sheet1!Q717)</f>
        <v>4800</v>
      </c>
      <c r="F711" s="20" t="s">
        <v>26</v>
      </c>
      <c r="G711" s="53">
        <f t="shared" si="11"/>
        <v>0.16740635039925467</v>
      </c>
      <c r="H711" s="35"/>
      <c r="P711" s="6"/>
    </row>
    <row r="712" spans="1:16" ht="14.4" x14ac:dyDescent="0.25">
      <c r="A712" s="6">
        <v>7497</v>
      </c>
      <c r="B712" s="6">
        <v>53508</v>
      </c>
      <c r="C712" s="19">
        <v>40127</v>
      </c>
      <c r="D712" s="6" t="s">
        <v>17</v>
      </c>
      <c r="E712" s="6">
        <f>IF((ISBLANK($B$1)),"",Sheet1!Q718)</f>
        <v>4050</v>
      </c>
      <c r="F712" s="20" t="s">
        <v>27</v>
      </c>
      <c r="G712" s="53">
        <f t="shared" ref="G712:G775" si="12">STANDARDIZE(E712,$L$26,$L$35)</f>
        <v>-0.86830935413290289</v>
      </c>
      <c r="H712" s="35"/>
      <c r="P712" s="6"/>
    </row>
    <row r="713" spans="1:16" ht="14.4" x14ac:dyDescent="0.25">
      <c r="A713" s="6">
        <v>7498</v>
      </c>
      <c r="B713" s="6">
        <v>53508</v>
      </c>
      <c r="C713" s="19">
        <v>40127</v>
      </c>
      <c r="D713" s="6" t="s">
        <v>17</v>
      </c>
      <c r="E713" s="6">
        <f>IF((ISBLANK($B$1)),"",Sheet1!Q719)</f>
        <v>4650</v>
      </c>
      <c r="F713" s="20" t="s">
        <v>27</v>
      </c>
      <c r="G713" s="53">
        <f t="shared" si="12"/>
        <v>-3.9736790507176829E-2</v>
      </c>
      <c r="H713" s="35"/>
      <c r="P713" s="6"/>
    </row>
    <row r="714" spans="1:16" ht="14.4" x14ac:dyDescent="0.25">
      <c r="A714" s="6">
        <v>7499</v>
      </c>
      <c r="B714" s="6">
        <v>53508</v>
      </c>
      <c r="C714" s="19">
        <v>40127</v>
      </c>
      <c r="D714" s="6" t="s">
        <v>17</v>
      </c>
      <c r="E714" s="6">
        <f>IF((ISBLANK($B$1)),"",Sheet1!Q720)</f>
        <v>3600</v>
      </c>
      <c r="F714" s="20" t="s">
        <v>26</v>
      </c>
      <c r="G714" s="53">
        <f t="shared" si="12"/>
        <v>-1.4897387768521975</v>
      </c>
      <c r="H714" s="35"/>
      <c r="P714" s="6"/>
    </row>
    <row r="715" spans="1:16" ht="14.4" x14ac:dyDescent="0.25">
      <c r="A715" s="6">
        <v>7522</v>
      </c>
      <c r="B715" s="6">
        <v>53703</v>
      </c>
      <c r="C715" s="19">
        <v>40343</v>
      </c>
      <c r="D715" s="6" t="s">
        <v>28</v>
      </c>
      <c r="E715" s="6">
        <f>IF((ISBLANK($B$1)),"",Sheet1!Q721)</f>
        <v>4100</v>
      </c>
      <c r="F715" s="20" t="s">
        <v>26</v>
      </c>
      <c r="G715" s="53">
        <f t="shared" si="12"/>
        <v>-0.79926164049742576</v>
      </c>
      <c r="H715" s="35"/>
      <c r="P715" s="6"/>
    </row>
    <row r="716" spans="1:16" ht="14.4" x14ac:dyDescent="0.25">
      <c r="A716" s="6">
        <v>7562</v>
      </c>
      <c r="B716" s="6">
        <v>54115</v>
      </c>
      <c r="C716" s="19">
        <v>40915</v>
      </c>
      <c r="D716" s="6" t="s">
        <v>25</v>
      </c>
      <c r="E716" s="6">
        <f>IF((ISBLANK($B$1)),"",Sheet1!Q722)</f>
        <v>4600</v>
      </c>
      <c r="F716" s="20" t="s">
        <v>26</v>
      </c>
      <c r="G716" s="53">
        <f t="shared" si="12"/>
        <v>-0.108784504142654</v>
      </c>
      <c r="H716" s="35"/>
      <c r="P716" s="6"/>
    </row>
    <row r="717" spans="1:16" ht="14.4" x14ac:dyDescent="0.25">
      <c r="A717" s="6">
        <v>7563</v>
      </c>
      <c r="B717" s="6">
        <v>54115</v>
      </c>
      <c r="C717" s="19">
        <v>40915</v>
      </c>
      <c r="D717" s="6" t="s">
        <v>25</v>
      </c>
      <c r="E717" s="6">
        <f>IF((ISBLANK($B$1)),"",Sheet1!Q723)</f>
        <v>5350</v>
      </c>
      <c r="F717" s="20" t="s">
        <v>26</v>
      </c>
      <c r="G717" s="53">
        <f t="shared" si="12"/>
        <v>0.92693120038950361</v>
      </c>
      <c r="H717" s="35"/>
      <c r="P717" s="6"/>
    </row>
    <row r="718" spans="1:16" ht="14.4" x14ac:dyDescent="0.25">
      <c r="A718" s="6">
        <v>7607</v>
      </c>
      <c r="B718" s="6">
        <v>54437</v>
      </c>
      <c r="C718" s="19">
        <v>40531</v>
      </c>
      <c r="D718" s="6" t="s">
        <v>17</v>
      </c>
      <c r="E718" s="6">
        <f>IF((ISBLANK($B$1)),"",Sheet1!Q724)</f>
        <v>4150</v>
      </c>
      <c r="F718" s="20" t="s">
        <v>27</v>
      </c>
      <c r="G718" s="53">
        <f t="shared" si="12"/>
        <v>-0.73021392686194853</v>
      </c>
      <c r="H718" s="35"/>
      <c r="P718" s="6"/>
    </row>
    <row r="719" spans="1:16" ht="14.4" x14ac:dyDescent="0.25">
      <c r="A719" s="6">
        <v>7616</v>
      </c>
      <c r="B719" s="6">
        <v>54501</v>
      </c>
      <c r="C719" s="19">
        <v>41242</v>
      </c>
      <c r="D719" s="6" t="s">
        <v>30</v>
      </c>
      <c r="E719" s="6">
        <f>IF((ISBLANK($B$1)),"",Sheet1!Q725)</f>
        <v>5200</v>
      </c>
      <c r="F719" s="20" t="s">
        <v>27</v>
      </c>
      <c r="G719" s="53">
        <f t="shared" si="12"/>
        <v>0.71978805948307201</v>
      </c>
      <c r="H719" s="35"/>
      <c r="P719" s="6"/>
    </row>
    <row r="720" spans="1:16" ht="14.4" x14ac:dyDescent="0.25">
      <c r="A720" s="6">
        <v>7617</v>
      </c>
      <c r="B720" s="6">
        <v>54501</v>
      </c>
      <c r="C720" s="19">
        <v>41242</v>
      </c>
      <c r="D720" s="6" t="s">
        <v>30</v>
      </c>
      <c r="E720" s="6">
        <f>IF((ISBLANK($B$1)),"",Sheet1!Q726)</f>
        <v>4200</v>
      </c>
      <c r="F720" s="20" t="s">
        <v>27</v>
      </c>
      <c r="G720" s="53">
        <f t="shared" si="12"/>
        <v>-0.6611662132264714</v>
      </c>
      <c r="H720" s="35"/>
      <c r="P720" s="6"/>
    </row>
    <row r="721" spans="1:16" ht="14.4" x14ac:dyDescent="0.25">
      <c r="A721" s="6">
        <v>7618</v>
      </c>
      <c r="B721" s="6">
        <v>54501</v>
      </c>
      <c r="C721" s="19">
        <v>41242</v>
      </c>
      <c r="D721" s="6" t="s">
        <v>30</v>
      </c>
      <c r="E721" s="6">
        <f>IF((ISBLANK($B$1)),"",Sheet1!Q727)</f>
        <v>5300</v>
      </c>
      <c r="F721" s="20" t="s">
        <v>26</v>
      </c>
      <c r="G721" s="53">
        <f t="shared" si="12"/>
        <v>0.85788348675402637</v>
      </c>
      <c r="H721" s="35"/>
      <c r="P721" s="6"/>
    </row>
    <row r="722" spans="1:16" ht="14.4" x14ac:dyDescent="0.25">
      <c r="A722" s="6">
        <v>7642</v>
      </c>
      <c r="B722" s="6">
        <v>54753</v>
      </c>
      <c r="C722" s="19">
        <v>39921</v>
      </c>
      <c r="D722" s="6" t="s">
        <v>16</v>
      </c>
      <c r="E722" s="6">
        <f>IF((ISBLANK($B$1)),"",Sheet1!Q728)</f>
        <v>5200</v>
      </c>
      <c r="F722" s="20" t="s">
        <v>27</v>
      </c>
      <c r="G722" s="53">
        <f t="shared" si="12"/>
        <v>0.71978805948307201</v>
      </c>
      <c r="H722" s="35"/>
      <c r="P722" s="6"/>
    </row>
    <row r="723" spans="1:16" ht="14.4" x14ac:dyDescent="0.25">
      <c r="A723" s="6">
        <v>7690</v>
      </c>
      <c r="B723" s="6">
        <v>55138</v>
      </c>
      <c r="C723" s="19">
        <v>40080</v>
      </c>
      <c r="D723" s="6" t="s">
        <v>17</v>
      </c>
      <c r="E723" s="6">
        <f>IF((ISBLANK($B$1)),"",Sheet1!Q729)</f>
        <v>4500</v>
      </c>
      <c r="F723" s="20" t="s">
        <v>26</v>
      </c>
      <c r="G723" s="53">
        <f t="shared" si="12"/>
        <v>-0.24687993141360834</v>
      </c>
      <c r="H723" s="35"/>
      <c r="P723" s="6"/>
    </row>
    <row r="724" spans="1:16" ht="14.4" x14ac:dyDescent="0.25">
      <c r="A724" s="6">
        <v>7713</v>
      </c>
      <c r="B724" s="6">
        <v>55271</v>
      </c>
      <c r="C724" s="19">
        <v>40613</v>
      </c>
      <c r="D724" s="6" t="s">
        <v>16</v>
      </c>
      <c r="E724" s="6">
        <f>IF((ISBLANK($B$1)),"",Sheet1!Q730)</f>
        <v>4200</v>
      </c>
      <c r="F724" s="20" t="s">
        <v>29</v>
      </c>
      <c r="G724" s="53">
        <f t="shared" si="12"/>
        <v>-0.6611662132264714</v>
      </c>
      <c r="H724" s="35"/>
      <c r="P724" s="6"/>
    </row>
    <row r="725" spans="1:16" ht="14.4" x14ac:dyDescent="0.25">
      <c r="A725" s="6">
        <v>7722</v>
      </c>
      <c r="B725" s="6">
        <v>55331</v>
      </c>
      <c r="C725" s="19">
        <v>40525</v>
      </c>
      <c r="D725" s="6" t="s">
        <v>17</v>
      </c>
      <c r="E725" s="6">
        <f>IF((ISBLANK($B$1)),"",Sheet1!Q731)</f>
        <v>4050</v>
      </c>
      <c r="F725" s="20" t="s">
        <v>26</v>
      </c>
      <c r="G725" s="53">
        <f t="shared" si="12"/>
        <v>-0.86830935413290289</v>
      </c>
      <c r="H725" s="35"/>
      <c r="P725" s="6"/>
    </row>
    <row r="726" spans="1:16" ht="14.4" x14ac:dyDescent="0.25">
      <c r="A726" s="6">
        <v>7769</v>
      </c>
      <c r="B726" s="6">
        <v>55618</v>
      </c>
      <c r="C726" s="19">
        <v>40929</v>
      </c>
      <c r="D726" s="6" t="s">
        <v>16</v>
      </c>
      <c r="E726" s="6">
        <f>IF((ISBLANK($B$1)),"",Sheet1!Q732)</f>
        <v>5800</v>
      </c>
      <c r="F726" s="20" t="s">
        <v>27</v>
      </c>
      <c r="G726" s="53">
        <f t="shared" si="12"/>
        <v>1.5483606231087981</v>
      </c>
      <c r="H726" s="35"/>
      <c r="P726" s="6"/>
    </row>
    <row r="727" spans="1:16" ht="14.4" x14ac:dyDescent="0.25">
      <c r="A727" s="6">
        <v>7924</v>
      </c>
      <c r="B727" s="6">
        <v>56645</v>
      </c>
      <c r="C727" s="19">
        <v>40914</v>
      </c>
      <c r="D727" s="6" t="s">
        <v>25</v>
      </c>
      <c r="E727" s="6">
        <f>IF((ISBLANK($B$1)),"",Sheet1!Q733)</f>
        <v>5700</v>
      </c>
      <c r="F727" s="20" t="s">
        <v>26</v>
      </c>
      <c r="G727" s="53">
        <f t="shared" si="12"/>
        <v>1.4102651958378438</v>
      </c>
      <c r="H727" s="35"/>
      <c r="P727" s="6"/>
    </row>
    <row r="728" spans="1:16" ht="14.4" x14ac:dyDescent="0.25">
      <c r="A728" s="6">
        <v>7925</v>
      </c>
      <c r="B728" s="6">
        <v>56645</v>
      </c>
      <c r="C728" s="19">
        <v>40914</v>
      </c>
      <c r="D728" s="6" t="s">
        <v>25</v>
      </c>
      <c r="E728" s="6">
        <f>IF((ISBLANK($B$1)),"",Sheet1!Q734)</f>
        <v>5500</v>
      </c>
      <c r="F728" s="20" t="s">
        <v>29</v>
      </c>
      <c r="G728" s="53">
        <f t="shared" si="12"/>
        <v>1.1340743412959351</v>
      </c>
      <c r="H728" s="35"/>
      <c r="P728" s="6"/>
    </row>
    <row r="729" spans="1:16" ht="14.4" x14ac:dyDescent="0.25">
      <c r="A729" s="6">
        <v>7949</v>
      </c>
      <c r="B729" s="6">
        <v>56803</v>
      </c>
      <c r="C729" s="19">
        <v>40157</v>
      </c>
      <c r="D729" s="6" t="s">
        <v>28</v>
      </c>
      <c r="E729" s="6">
        <f>IF((ISBLANK($B$1)),"",Sheet1!Q735)</f>
        <v>5500</v>
      </c>
      <c r="F729" s="20" t="s">
        <v>26</v>
      </c>
      <c r="G729" s="53">
        <f t="shared" si="12"/>
        <v>1.1340743412959351</v>
      </c>
      <c r="H729" s="35"/>
      <c r="P729" s="6"/>
    </row>
    <row r="730" spans="1:16" ht="14.4" x14ac:dyDescent="0.25">
      <c r="A730" s="6">
        <v>8001</v>
      </c>
      <c r="B730" s="6">
        <v>57159</v>
      </c>
      <c r="C730" s="19">
        <v>40221</v>
      </c>
      <c r="D730" s="6" t="s">
        <v>30</v>
      </c>
      <c r="E730" s="6">
        <f>IF((ISBLANK($B$1)),"",Sheet1!Q736)</f>
        <v>4250</v>
      </c>
      <c r="F730" s="20" t="s">
        <v>29</v>
      </c>
      <c r="G730" s="53">
        <f t="shared" si="12"/>
        <v>-0.59211849959099416</v>
      </c>
      <c r="H730" s="35"/>
      <c r="P730" s="6"/>
    </row>
    <row r="731" spans="1:16" ht="14.4" x14ac:dyDescent="0.25">
      <c r="A731" s="6">
        <v>8002</v>
      </c>
      <c r="B731" s="6">
        <v>57159</v>
      </c>
      <c r="C731" s="19">
        <v>40221</v>
      </c>
      <c r="D731" s="6" t="s">
        <v>30</v>
      </c>
      <c r="E731" s="6">
        <f>IF((ISBLANK($B$1)),"",Sheet1!Q737)</f>
        <v>5500</v>
      </c>
      <c r="F731" s="20" t="s">
        <v>26</v>
      </c>
      <c r="G731" s="53">
        <f t="shared" si="12"/>
        <v>1.1340743412959351</v>
      </c>
      <c r="H731" s="35"/>
      <c r="P731" s="6"/>
    </row>
    <row r="732" spans="1:16" ht="14.4" x14ac:dyDescent="0.25">
      <c r="A732" s="6">
        <v>8056</v>
      </c>
      <c r="B732" s="6">
        <v>57507</v>
      </c>
      <c r="C732" s="19">
        <v>39990</v>
      </c>
      <c r="D732" s="6" t="s">
        <v>30</v>
      </c>
      <c r="E732" s="6">
        <f>IF((ISBLANK($B$1)),"",Sheet1!Q738)</f>
        <v>3900</v>
      </c>
      <c r="F732" s="20" t="s">
        <v>26</v>
      </c>
      <c r="G732" s="53">
        <f t="shared" si="12"/>
        <v>-1.0754524950393345</v>
      </c>
      <c r="H732" s="35"/>
      <c r="P732" s="6"/>
    </row>
    <row r="733" spans="1:16" ht="14.4" x14ac:dyDescent="0.25">
      <c r="A733" s="6">
        <v>8114</v>
      </c>
      <c r="B733" s="6">
        <v>57922</v>
      </c>
      <c r="C733" s="19">
        <v>40582</v>
      </c>
      <c r="D733" s="6" t="s">
        <v>30</v>
      </c>
      <c r="E733" s="6">
        <f>IF((ISBLANK($B$1)),"",Sheet1!Q739)</f>
        <v>5900</v>
      </c>
      <c r="F733" s="20" t="s">
        <v>26</v>
      </c>
      <c r="G733" s="53">
        <f t="shared" si="12"/>
        <v>1.6864560503797523</v>
      </c>
      <c r="H733" s="35"/>
      <c r="P733" s="6"/>
    </row>
    <row r="734" spans="1:16" ht="14.4" x14ac:dyDescent="0.25">
      <c r="A734" s="6">
        <v>8132</v>
      </c>
      <c r="B734" s="6">
        <v>58117</v>
      </c>
      <c r="C734" s="19">
        <v>40594</v>
      </c>
      <c r="D734" s="6" t="s">
        <v>30</v>
      </c>
      <c r="E734" s="6">
        <f>IF((ISBLANK($B$1)),"",Sheet1!Q740)</f>
        <v>5500</v>
      </c>
      <c r="F734" s="20" t="s">
        <v>26</v>
      </c>
      <c r="G734" s="53">
        <f t="shared" si="12"/>
        <v>1.1340743412959351</v>
      </c>
      <c r="H734" s="35"/>
      <c r="P734" s="6"/>
    </row>
    <row r="735" spans="1:16" ht="14.4" x14ac:dyDescent="0.25">
      <c r="A735" s="6">
        <v>8149</v>
      </c>
      <c r="B735" s="6">
        <v>58278</v>
      </c>
      <c r="C735" s="19">
        <v>41162</v>
      </c>
      <c r="D735" s="6" t="s">
        <v>17</v>
      </c>
      <c r="E735" s="6">
        <f>IF((ISBLANK($B$1)),"",Sheet1!Q741)</f>
        <v>5250</v>
      </c>
      <c r="F735" s="20" t="s">
        <v>29</v>
      </c>
      <c r="G735" s="53">
        <f t="shared" si="12"/>
        <v>0.78883577311854924</v>
      </c>
      <c r="H735" s="35"/>
      <c r="P735" s="6"/>
    </row>
    <row r="736" spans="1:16" ht="14.4" x14ac:dyDescent="0.25">
      <c r="A736" s="6">
        <v>8150</v>
      </c>
      <c r="B736" s="6">
        <v>58278</v>
      </c>
      <c r="C736" s="19">
        <v>41162</v>
      </c>
      <c r="D736" s="6" t="s">
        <v>17</v>
      </c>
      <c r="E736" s="6">
        <f>IF((ISBLANK($B$1)),"",Sheet1!Q742)</f>
        <v>3600</v>
      </c>
      <c r="F736" s="20" t="s">
        <v>27</v>
      </c>
      <c r="G736" s="53">
        <f t="shared" si="12"/>
        <v>-1.4897387768521975</v>
      </c>
      <c r="H736" s="35"/>
      <c r="P736" s="6"/>
    </row>
    <row r="737" spans="1:16" ht="14.4" x14ac:dyDescent="0.25">
      <c r="A737" s="6">
        <v>8185</v>
      </c>
      <c r="B737" s="6">
        <v>58502</v>
      </c>
      <c r="C737" s="19">
        <v>40221</v>
      </c>
      <c r="D737" s="6" t="s">
        <v>30</v>
      </c>
      <c r="E737" s="6">
        <f>IF((ISBLANK($B$1)),"",Sheet1!Q743)</f>
        <v>4550</v>
      </c>
      <c r="F737" s="20" t="s">
        <v>29</v>
      </c>
      <c r="G737" s="53">
        <f t="shared" si="12"/>
        <v>-0.17783221777813119</v>
      </c>
      <c r="H737" s="35"/>
      <c r="P737" s="6"/>
    </row>
    <row r="738" spans="1:16" ht="14.4" x14ac:dyDescent="0.25">
      <c r="A738" s="6">
        <v>8225</v>
      </c>
      <c r="B738" s="6">
        <v>58788</v>
      </c>
      <c r="C738" s="19">
        <v>40210</v>
      </c>
      <c r="D738" s="6" t="s">
        <v>25</v>
      </c>
      <c r="E738" s="6">
        <f>IF((ISBLANK($B$1)),"",Sheet1!Q744)</f>
        <v>4950</v>
      </c>
      <c r="F738" s="20" t="s">
        <v>27</v>
      </c>
      <c r="G738" s="53">
        <f t="shared" si="12"/>
        <v>0.37454949130568621</v>
      </c>
      <c r="H738" s="35"/>
      <c r="P738" s="6"/>
    </row>
    <row r="739" spans="1:16" ht="14.4" x14ac:dyDescent="0.25">
      <c r="A739" s="6">
        <v>8245</v>
      </c>
      <c r="B739" s="6">
        <v>58947</v>
      </c>
      <c r="C739" s="19">
        <v>40812</v>
      </c>
      <c r="D739" s="6" t="s">
        <v>28</v>
      </c>
      <c r="E739" s="6">
        <f>IF((ISBLANK($B$1)),"",Sheet1!Q745)</f>
        <v>5800</v>
      </c>
      <c r="F739" s="20" t="s">
        <v>26</v>
      </c>
      <c r="G739" s="53">
        <f t="shared" si="12"/>
        <v>1.5483606231087981</v>
      </c>
      <c r="H739" s="35"/>
      <c r="P739" s="6"/>
    </row>
    <row r="740" spans="1:16" ht="14.4" x14ac:dyDescent="0.25">
      <c r="A740" s="6">
        <v>8246</v>
      </c>
      <c r="B740" s="6">
        <v>58947</v>
      </c>
      <c r="C740" s="19">
        <v>40812</v>
      </c>
      <c r="D740" s="6" t="s">
        <v>28</v>
      </c>
      <c r="E740" s="6">
        <f>IF((ISBLANK($B$1)),"",Sheet1!Q746)</f>
        <v>4800</v>
      </c>
      <c r="F740" s="20" t="s">
        <v>26</v>
      </c>
      <c r="G740" s="53">
        <f t="shared" si="12"/>
        <v>0.16740635039925467</v>
      </c>
      <c r="H740" s="35"/>
      <c r="P740" s="6"/>
    </row>
    <row r="741" spans="1:16" ht="14.4" x14ac:dyDescent="0.25">
      <c r="A741" s="6">
        <v>8263</v>
      </c>
      <c r="B741" s="6">
        <v>59074</v>
      </c>
      <c r="C741" s="19">
        <v>40402</v>
      </c>
      <c r="D741" s="6" t="s">
        <v>25</v>
      </c>
      <c r="E741" s="6">
        <f>IF((ISBLANK($B$1)),"",Sheet1!Q747)</f>
        <v>5250</v>
      </c>
      <c r="F741" s="20" t="s">
        <v>29</v>
      </c>
      <c r="G741" s="53">
        <f t="shared" si="12"/>
        <v>0.78883577311854924</v>
      </c>
      <c r="H741" s="35"/>
      <c r="P741" s="6"/>
    </row>
    <row r="742" spans="1:16" ht="14.4" x14ac:dyDescent="0.25">
      <c r="A742" s="6">
        <v>8292</v>
      </c>
      <c r="B742" s="6">
        <v>59233</v>
      </c>
      <c r="C742" s="19">
        <v>40410</v>
      </c>
      <c r="D742" s="6" t="s">
        <v>17</v>
      </c>
      <c r="E742" s="6">
        <f>IF((ISBLANK($B$1)),"",Sheet1!Q748)</f>
        <v>3550</v>
      </c>
      <c r="F742" s="20" t="s">
        <v>29</v>
      </c>
      <c r="G742" s="53">
        <f t="shared" si="12"/>
        <v>-1.5587864904876745</v>
      </c>
      <c r="H742" s="35"/>
      <c r="P742" s="6"/>
    </row>
    <row r="743" spans="1:16" ht="14.4" x14ac:dyDescent="0.25">
      <c r="A743" s="6">
        <v>8293</v>
      </c>
      <c r="B743" s="6">
        <v>59233</v>
      </c>
      <c r="C743" s="19">
        <v>40410</v>
      </c>
      <c r="D743" s="6" t="s">
        <v>17</v>
      </c>
      <c r="E743" s="6">
        <f>IF((ISBLANK($B$1)),"",Sheet1!Q749)</f>
        <v>4900</v>
      </c>
      <c r="F743" s="20" t="s">
        <v>29</v>
      </c>
      <c r="G743" s="53">
        <f t="shared" si="12"/>
        <v>0.30550177767020903</v>
      </c>
      <c r="H743" s="35"/>
      <c r="P743" s="6"/>
    </row>
    <row r="744" spans="1:16" ht="14.4" x14ac:dyDescent="0.25">
      <c r="A744" s="6">
        <v>8316</v>
      </c>
      <c r="B744" s="6">
        <v>59425</v>
      </c>
      <c r="C744" s="19">
        <v>41046</v>
      </c>
      <c r="D744" s="6" t="s">
        <v>16</v>
      </c>
      <c r="E744" s="6">
        <f>IF((ISBLANK($B$1)),"",Sheet1!Q750)</f>
        <v>4600</v>
      </c>
      <c r="F744" s="20" t="s">
        <v>27</v>
      </c>
      <c r="G744" s="53">
        <f t="shared" si="12"/>
        <v>-0.108784504142654</v>
      </c>
      <c r="H744" s="35"/>
      <c r="P744" s="6"/>
    </row>
    <row r="745" spans="1:16" ht="14.4" x14ac:dyDescent="0.25">
      <c r="A745" s="6">
        <v>8317</v>
      </c>
      <c r="B745" s="6">
        <v>59425</v>
      </c>
      <c r="C745" s="19">
        <v>41046</v>
      </c>
      <c r="D745" s="6" t="s">
        <v>16</v>
      </c>
      <c r="E745" s="6">
        <f>IF((ISBLANK($B$1)),"",Sheet1!Q751)</f>
        <v>5700</v>
      </c>
      <c r="F745" s="20" t="s">
        <v>26</v>
      </c>
      <c r="G745" s="53">
        <f t="shared" si="12"/>
        <v>1.4102651958378438</v>
      </c>
      <c r="H745" s="35"/>
      <c r="P745" s="6"/>
    </row>
    <row r="746" spans="1:16" ht="14.4" x14ac:dyDescent="0.25">
      <c r="A746" s="6">
        <v>8360</v>
      </c>
      <c r="B746" s="6">
        <v>59750</v>
      </c>
      <c r="C746" s="19">
        <v>40368</v>
      </c>
      <c r="D746" s="6" t="s">
        <v>25</v>
      </c>
      <c r="E746" s="6">
        <f>IF((ISBLANK($B$1)),"",Sheet1!Q752)</f>
        <v>5100</v>
      </c>
      <c r="F746" s="20" t="s">
        <v>26</v>
      </c>
      <c r="G746" s="53">
        <f t="shared" si="12"/>
        <v>0.58169263221211776</v>
      </c>
      <c r="H746" s="35"/>
      <c r="P746" s="6"/>
    </row>
    <row r="747" spans="1:16" ht="14.4" x14ac:dyDescent="0.25">
      <c r="A747" s="6">
        <v>7</v>
      </c>
      <c r="B747" s="6">
        <v>35</v>
      </c>
      <c r="C747" s="19">
        <v>40838</v>
      </c>
      <c r="D747" s="6" t="s">
        <v>28</v>
      </c>
      <c r="E747" s="6">
        <f>IF((ISBLANK($B$1)),"",Sheet1!Q753)</f>
        <v>4900</v>
      </c>
      <c r="F747" s="20" t="s">
        <v>26</v>
      </c>
      <c r="G747" s="53">
        <f t="shared" si="12"/>
        <v>0.30550177767020903</v>
      </c>
      <c r="H747" s="35"/>
      <c r="P747" s="6"/>
    </row>
    <row r="748" spans="1:16" ht="14.4" x14ac:dyDescent="0.25">
      <c r="A748" s="6">
        <v>8</v>
      </c>
      <c r="B748" s="6">
        <v>35</v>
      </c>
      <c r="C748" s="19">
        <v>40838</v>
      </c>
      <c r="D748" s="6" t="s">
        <v>28</v>
      </c>
      <c r="E748" s="6">
        <f>IF((ISBLANK($B$1)),"",Sheet1!Q754)</f>
        <v>4100</v>
      </c>
      <c r="F748" s="20" t="s">
        <v>27</v>
      </c>
      <c r="G748" s="53">
        <f t="shared" si="12"/>
        <v>-0.79926164049742576</v>
      </c>
      <c r="H748" s="35"/>
      <c r="P748" s="6"/>
    </row>
    <row r="749" spans="1:16" ht="14.4" x14ac:dyDescent="0.25">
      <c r="A749" s="6">
        <v>51</v>
      </c>
      <c r="B749" s="6">
        <v>294</v>
      </c>
      <c r="C749" s="19">
        <v>40374</v>
      </c>
      <c r="D749" s="6" t="s">
        <v>16</v>
      </c>
      <c r="E749" s="6">
        <f>IF((ISBLANK($B$1)),"",Sheet1!Q755)</f>
        <v>5150</v>
      </c>
      <c r="F749" s="20" t="s">
        <v>26</v>
      </c>
      <c r="G749" s="53">
        <f t="shared" si="12"/>
        <v>0.65074034584759488</v>
      </c>
      <c r="H749" s="35"/>
      <c r="P749" s="6"/>
    </row>
    <row r="750" spans="1:16" ht="14.4" x14ac:dyDescent="0.25">
      <c r="A750" s="6">
        <v>76</v>
      </c>
      <c r="B750" s="6">
        <v>450</v>
      </c>
      <c r="C750" s="19">
        <v>40606</v>
      </c>
      <c r="D750" s="6" t="s">
        <v>28</v>
      </c>
      <c r="E750" s="6">
        <f>IF((ISBLANK($B$1)),"",Sheet1!Q756)</f>
        <v>4850</v>
      </c>
      <c r="F750" s="20" t="s">
        <v>26</v>
      </c>
      <c r="G750" s="53">
        <f t="shared" si="12"/>
        <v>0.23645406403473185</v>
      </c>
      <c r="H750" s="35"/>
      <c r="P750" s="6"/>
    </row>
    <row r="751" spans="1:16" ht="14.4" x14ac:dyDescent="0.25">
      <c r="A751" s="6">
        <v>77</v>
      </c>
      <c r="B751" s="6">
        <v>450</v>
      </c>
      <c r="C751" s="19">
        <v>40606</v>
      </c>
      <c r="D751" s="6" t="s">
        <v>28</v>
      </c>
      <c r="E751" s="6">
        <f>IF((ISBLANK($B$1)),"",Sheet1!Q757)</f>
        <v>5150</v>
      </c>
      <c r="F751" s="20" t="s">
        <v>26</v>
      </c>
      <c r="G751" s="53">
        <f t="shared" si="12"/>
        <v>0.65074034584759488</v>
      </c>
      <c r="H751" s="35"/>
      <c r="P751" s="6"/>
    </row>
    <row r="752" spans="1:16" ht="14.4" x14ac:dyDescent="0.25">
      <c r="A752" s="6">
        <v>164</v>
      </c>
      <c r="B752" s="6">
        <v>1028</v>
      </c>
      <c r="C752" s="19">
        <v>39818</v>
      </c>
      <c r="D752" s="6" t="s">
        <v>17</v>
      </c>
      <c r="E752" s="6">
        <f>IF((ISBLANK($B$1)),"",Sheet1!Q758)</f>
        <v>3700</v>
      </c>
      <c r="F752" s="20" t="s">
        <v>27</v>
      </c>
      <c r="G752" s="53">
        <f t="shared" si="12"/>
        <v>-1.351643349581243</v>
      </c>
      <c r="H752" s="35"/>
      <c r="P752" s="6"/>
    </row>
    <row r="753" spans="1:16" ht="14.4" x14ac:dyDescent="0.25">
      <c r="A753" s="6">
        <v>165</v>
      </c>
      <c r="B753" s="6">
        <v>1028</v>
      </c>
      <c r="C753" s="19">
        <v>39818</v>
      </c>
      <c r="D753" s="6" t="s">
        <v>17</v>
      </c>
      <c r="E753" s="6">
        <f>IF((ISBLANK($B$1)),"",Sheet1!Q759)</f>
        <v>3950</v>
      </c>
      <c r="F753" s="20" t="s">
        <v>27</v>
      </c>
      <c r="G753" s="53">
        <f t="shared" si="12"/>
        <v>-1.0064047814038573</v>
      </c>
      <c r="H753" s="35"/>
      <c r="P753" s="6"/>
    </row>
    <row r="754" spans="1:16" ht="14.4" x14ac:dyDescent="0.25">
      <c r="A754" s="6">
        <v>199</v>
      </c>
      <c r="B754" s="6">
        <v>1314</v>
      </c>
      <c r="C754" s="19">
        <v>39945</v>
      </c>
      <c r="D754" s="6" t="s">
        <v>16</v>
      </c>
      <c r="E754" s="6">
        <f>IF((ISBLANK($B$1)),"",Sheet1!Q760)</f>
        <v>3600</v>
      </c>
      <c r="F754" s="20" t="s">
        <v>26</v>
      </c>
      <c r="G754" s="53">
        <f t="shared" si="12"/>
        <v>-1.4897387768521975</v>
      </c>
      <c r="H754" s="35"/>
      <c r="P754" s="6"/>
    </row>
    <row r="755" spans="1:16" ht="14.4" x14ac:dyDescent="0.25">
      <c r="A755" s="6">
        <v>333</v>
      </c>
      <c r="B755" s="6">
        <v>2279</v>
      </c>
      <c r="C755" s="19">
        <v>40231</v>
      </c>
      <c r="D755" s="6" t="s">
        <v>16</v>
      </c>
      <c r="E755" s="6">
        <f>IF((ISBLANK($B$1)),"",Sheet1!Q761)</f>
        <v>5850</v>
      </c>
      <c r="F755" s="20" t="s">
        <v>29</v>
      </c>
      <c r="G755" s="53">
        <f t="shared" si="12"/>
        <v>1.6174083367442753</v>
      </c>
      <c r="H755" s="35"/>
      <c r="P755" s="6"/>
    </row>
    <row r="756" spans="1:16" ht="14.4" x14ac:dyDescent="0.25">
      <c r="A756" s="6">
        <v>334</v>
      </c>
      <c r="B756" s="6">
        <v>2279</v>
      </c>
      <c r="C756" s="19">
        <v>40231</v>
      </c>
      <c r="D756" s="6" t="s">
        <v>16</v>
      </c>
      <c r="E756" s="6">
        <f>IF((ISBLANK($B$1)),"",Sheet1!Q762)</f>
        <v>5350</v>
      </c>
      <c r="F756" s="20" t="s">
        <v>26</v>
      </c>
      <c r="G756" s="53">
        <f t="shared" si="12"/>
        <v>0.92693120038950361</v>
      </c>
      <c r="H756" s="35"/>
      <c r="P756" s="6"/>
    </row>
    <row r="757" spans="1:16" ht="14.4" x14ac:dyDescent="0.25">
      <c r="A757" s="6">
        <v>353</v>
      </c>
      <c r="B757" s="6">
        <v>2465</v>
      </c>
      <c r="C757" s="19">
        <v>40717</v>
      </c>
      <c r="D757" s="6" t="s">
        <v>30</v>
      </c>
      <c r="E757" s="6">
        <f>IF((ISBLANK($B$1)),"",Sheet1!Q763)</f>
        <v>4800</v>
      </c>
      <c r="F757" s="20" t="s">
        <v>27</v>
      </c>
      <c r="G757" s="53">
        <f t="shared" si="12"/>
        <v>0.16740635039925467</v>
      </c>
      <c r="H757" s="35"/>
      <c r="P757" s="6"/>
    </row>
    <row r="758" spans="1:16" ht="14.4" x14ac:dyDescent="0.25">
      <c r="A758" s="6">
        <v>361</v>
      </c>
      <c r="B758" s="6">
        <v>2530</v>
      </c>
      <c r="C758" s="19">
        <v>39892</v>
      </c>
      <c r="D758" s="6" t="s">
        <v>16</v>
      </c>
      <c r="E758" s="6">
        <f>IF((ISBLANK($B$1)),"",Sheet1!Q764)</f>
        <v>3850</v>
      </c>
      <c r="F758" s="20" t="s">
        <v>26</v>
      </c>
      <c r="G758" s="53">
        <f t="shared" si="12"/>
        <v>-1.1445002086748115</v>
      </c>
      <c r="H758" s="35"/>
      <c r="P758" s="6"/>
    </row>
    <row r="759" spans="1:16" ht="14.4" x14ac:dyDescent="0.25">
      <c r="A759" s="6">
        <v>431</v>
      </c>
      <c r="B759" s="6">
        <v>2883</v>
      </c>
      <c r="C759" s="19">
        <v>40565</v>
      </c>
      <c r="D759" s="6" t="s">
        <v>25</v>
      </c>
      <c r="E759" s="6">
        <f>IF((ISBLANK($B$1)),"",Sheet1!Q765)</f>
        <v>5100</v>
      </c>
      <c r="F759" s="20" t="s">
        <v>26</v>
      </c>
      <c r="G759" s="53">
        <f t="shared" si="12"/>
        <v>0.58169263221211776</v>
      </c>
      <c r="H759" s="35"/>
      <c r="P759" s="6"/>
    </row>
    <row r="760" spans="1:16" ht="14.4" x14ac:dyDescent="0.25">
      <c r="A760" s="6">
        <v>485</v>
      </c>
      <c r="B760" s="6">
        <v>3362</v>
      </c>
      <c r="C760" s="19">
        <v>40752</v>
      </c>
      <c r="D760" s="6" t="s">
        <v>25</v>
      </c>
      <c r="E760" s="6">
        <f>IF((ISBLANK($B$1)),"",Sheet1!Q766)</f>
        <v>5400</v>
      </c>
      <c r="F760" s="20" t="s">
        <v>27</v>
      </c>
      <c r="G760" s="53">
        <f t="shared" si="12"/>
        <v>0.99597891402498073</v>
      </c>
      <c r="H760" s="35"/>
      <c r="P760" s="6"/>
    </row>
    <row r="761" spans="1:16" ht="14.4" x14ac:dyDescent="0.25">
      <c r="A761" s="6">
        <v>486</v>
      </c>
      <c r="B761" s="6">
        <v>3362</v>
      </c>
      <c r="C761" s="19">
        <v>40752</v>
      </c>
      <c r="D761" s="6" t="s">
        <v>25</v>
      </c>
      <c r="E761" s="6">
        <f>IF((ISBLANK($B$1)),"",Sheet1!Q767)</f>
        <v>5900</v>
      </c>
      <c r="F761" s="20" t="s">
        <v>26</v>
      </c>
      <c r="G761" s="53">
        <f t="shared" si="12"/>
        <v>1.6864560503797523</v>
      </c>
      <c r="H761" s="35"/>
      <c r="P761" s="6"/>
    </row>
    <row r="762" spans="1:16" ht="14.4" x14ac:dyDescent="0.25">
      <c r="A762" s="6">
        <v>739</v>
      </c>
      <c r="B762" s="6">
        <v>5318</v>
      </c>
      <c r="C762" s="19">
        <v>40271</v>
      </c>
      <c r="D762" s="6" t="s">
        <v>17</v>
      </c>
      <c r="E762" s="6">
        <f>IF((ISBLANK($B$1)),"",Sheet1!Q768)</f>
        <v>3800</v>
      </c>
      <c r="F762" s="20" t="s">
        <v>26</v>
      </c>
      <c r="G762" s="53">
        <f t="shared" si="12"/>
        <v>-1.2135479223102887</v>
      </c>
      <c r="H762" s="35"/>
      <c r="P762" s="6"/>
    </row>
    <row r="763" spans="1:16" ht="14.4" x14ac:dyDescent="0.25">
      <c r="A763" s="6">
        <v>740</v>
      </c>
      <c r="B763" s="6">
        <v>5318</v>
      </c>
      <c r="C763" s="19">
        <v>40271</v>
      </c>
      <c r="D763" s="6" t="s">
        <v>17</v>
      </c>
      <c r="E763" s="6">
        <f>IF((ISBLANK($B$1)),"",Sheet1!Q769)</f>
        <v>4850</v>
      </c>
      <c r="F763" s="20" t="s">
        <v>27</v>
      </c>
      <c r="G763" s="53">
        <f t="shared" si="12"/>
        <v>0.23645406403473185</v>
      </c>
      <c r="H763" s="35"/>
      <c r="P763" s="6"/>
    </row>
    <row r="764" spans="1:16" ht="14.4" x14ac:dyDescent="0.25">
      <c r="A764" s="6">
        <v>835</v>
      </c>
      <c r="B764" s="6">
        <v>5988</v>
      </c>
      <c r="C764" s="19">
        <v>40503</v>
      </c>
      <c r="D764" s="6" t="s">
        <v>28</v>
      </c>
      <c r="E764" s="6">
        <f>IF((ISBLANK($B$1)),"",Sheet1!Q770)</f>
        <v>5400</v>
      </c>
      <c r="F764" s="20" t="s">
        <v>27</v>
      </c>
      <c r="G764" s="53">
        <f t="shared" si="12"/>
        <v>0.99597891402498073</v>
      </c>
      <c r="H764" s="35"/>
      <c r="P764" s="6"/>
    </row>
    <row r="765" spans="1:16" ht="14.4" x14ac:dyDescent="0.25">
      <c r="A765" s="6">
        <v>851</v>
      </c>
      <c r="B765" s="6">
        <v>6115</v>
      </c>
      <c r="C765" s="19">
        <v>40432</v>
      </c>
      <c r="D765" s="6" t="s">
        <v>16</v>
      </c>
      <c r="E765" s="6">
        <f>IF((ISBLANK($B$1)),"",Sheet1!Q771)</f>
        <v>4650</v>
      </c>
      <c r="F765" s="20" t="s">
        <v>29</v>
      </c>
      <c r="G765" s="53">
        <f t="shared" si="12"/>
        <v>-3.9736790507176829E-2</v>
      </c>
      <c r="H765" s="35"/>
      <c r="P765" s="6"/>
    </row>
    <row r="766" spans="1:16" ht="14.4" x14ac:dyDescent="0.25">
      <c r="A766" s="6">
        <v>882</v>
      </c>
      <c r="B766" s="6">
        <v>6337</v>
      </c>
      <c r="C766" s="19">
        <v>40786</v>
      </c>
      <c r="D766" s="6" t="s">
        <v>28</v>
      </c>
      <c r="E766" s="6">
        <f>IF((ISBLANK($B$1)),"",Sheet1!Q772)</f>
        <v>5800</v>
      </c>
      <c r="F766" s="20" t="s">
        <v>29</v>
      </c>
      <c r="G766" s="53">
        <f t="shared" si="12"/>
        <v>1.5483606231087981</v>
      </c>
      <c r="H766" s="35"/>
      <c r="P766" s="6"/>
    </row>
    <row r="767" spans="1:16" ht="14.4" x14ac:dyDescent="0.25">
      <c r="A767" s="6">
        <v>883</v>
      </c>
      <c r="B767" s="6">
        <v>6337</v>
      </c>
      <c r="C767" s="19">
        <v>40786</v>
      </c>
      <c r="D767" s="6" t="s">
        <v>28</v>
      </c>
      <c r="E767" s="6">
        <f>IF((ISBLANK($B$1)),"",Sheet1!Q773)</f>
        <v>3450</v>
      </c>
      <c r="F767" s="20" t="s">
        <v>29</v>
      </c>
      <c r="G767" s="53">
        <f t="shared" si="12"/>
        <v>-1.696881917758629</v>
      </c>
      <c r="H767" s="35"/>
      <c r="P767" s="6"/>
    </row>
    <row r="768" spans="1:16" ht="14.4" x14ac:dyDescent="0.25">
      <c r="A768" s="6">
        <v>895</v>
      </c>
      <c r="B768" s="6">
        <v>6434</v>
      </c>
      <c r="C768" s="19">
        <v>39971</v>
      </c>
      <c r="D768" s="6" t="s">
        <v>17</v>
      </c>
      <c r="E768" s="6">
        <f>IF((ISBLANK($B$1)),"",Sheet1!Q774)</f>
        <v>4050</v>
      </c>
      <c r="F768" s="20" t="s">
        <v>26</v>
      </c>
      <c r="G768" s="53">
        <f t="shared" si="12"/>
        <v>-0.86830935413290289</v>
      </c>
      <c r="H768" s="35"/>
      <c r="P768" s="6"/>
    </row>
    <row r="769" spans="1:16" ht="14.4" x14ac:dyDescent="0.25">
      <c r="A769" s="6">
        <v>989</v>
      </c>
      <c r="B769" s="6">
        <v>7136</v>
      </c>
      <c r="C769" s="19">
        <v>39894</v>
      </c>
      <c r="D769" s="6" t="s">
        <v>17</v>
      </c>
      <c r="E769" s="6">
        <f>IF((ISBLANK($B$1)),"",Sheet1!Q775)</f>
        <v>4250</v>
      </c>
      <c r="F769" s="20" t="s">
        <v>27</v>
      </c>
      <c r="G769" s="53">
        <f t="shared" si="12"/>
        <v>-0.59211849959099416</v>
      </c>
      <c r="H769" s="35"/>
      <c r="P769" s="6"/>
    </row>
    <row r="770" spans="1:16" ht="14.4" x14ac:dyDescent="0.25">
      <c r="A770" s="6">
        <v>990</v>
      </c>
      <c r="B770" s="6">
        <v>7136</v>
      </c>
      <c r="C770" s="19">
        <v>39894</v>
      </c>
      <c r="D770" s="6" t="s">
        <v>17</v>
      </c>
      <c r="E770" s="6">
        <f>IF((ISBLANK($B$1)),"",Sheet1!Q776)</f>
        <v>3850</v>
      </c>
      <c r="F770" s="20" t="s">
        <v>26</v>
      </c>
      <c r="G770" s="53">
        <f t="shared" si="12"/>
        <v>-1.1445002086748115</v>
      </c>
      <c r="H770" s="35"/>
      <c r="P770" s="6"/>
    </row>
    <row r="771" spans="1:16" ht="14.4" x14ac:dyDescent="0.25">
      <c r="A771" s="6">
        <v>1029</v>
      </c>
      <c r="B771" s="6">
        <v>7489</v>
      </c>
      <c r="C771" s="19">
        <v>40451</v>
      </c>
      <c r="D771" s="6" t="s">
        <v>30</v>
      </c>
      <c r="E771" s="6">
        <f>IF((ISBLANK($B$1)),"",Sheet1!Q777)</f>
        <v>5300</v>
      </c>
      <c r="F771" s="20" t="s">
        <v>29</v>
      </c>
      <c r="G771" s="53">
        <f t="shared" si="12"/>
        <v>0.85788348675402637</v>
      </c>
      <c r="H771" s="35"/>
      <c r="P771" s="6"/>
    </row>
    <row r="772" spans="1:16" ht="14.4" x14ac:dyDescent="0.25">
      <c r="A772" s="6">
        <v>1083</v>
      </c>
      <c r="B772" s="6">
        <v>7968</v>
      </c>
      <c r="C772" s="19">
        <v>40436</v>
      </c>
      <c r="D772" s="6" t="s">
        <v>25</v>
      </c>
      <c r="E772" s="6">
        <f>IF((ISBLANK($B$1)),"",Sheet1!Q778)</f>
        <v>3900</v>
      </c>
      <c r="F772" s="20" t="s">
        <v>29</v>
      </c>
      <c r="G772" s="53">
        <f t="shared" si="12"/>
        <v>-1.0754524950393345</v>
      </c>
      <c r="H772" s="35"/>
      <c r="P772" s="6"/>
    </row>
    <row r="773" spans="1:16" ht="14.4" x14ac:dyDescent="0.25">
      <c r="A773" s="6">
        <v>1122</v>
      </c>
      <c r="B773" s="6">
        <v>8227</v>
      </c>
      <c r="C773" s="19">
        <v>40188</v>
      </c>
      <c r="D773" s="6" t="s">
        <v>28</v>
      </c>
      <c r="E773" s="6">
        <f>IF((ISBLANK($B$1)),"",Sheet1!Q779)</f>
        <v>5000</v>
      </c>
      <c r="F773" s="20" t="s">
        <v>27</v>
      </c>
      <c r="G773" s="53">
        <f t="shared" si="12"/>
        <v>0.44359720494116334</v>
      </c>
      <c r="H773" s="35"/>
      <c r="P773" s="6"/>
    </row>
    <row r="774" spans="1:16" ht="14.4" x14ac:dyDescent="0.25">
      <c r="A774" s="6">
        <v>1255</v>
      </c>
      <c r="B774" s="6">
        <v>9123</v>
      </c>
      <c r="C774" s="19">
        <v>40355</v>
      </c>
      <c r="D774" s="6" t="s">
        <v>30</v>
      </c>
      <c r="E774" s="6">
        <f>IF((ISBLANK($B$1)),"",Sheet1!Q780)</f>
        <v>4750</v>
      </c>
      <c r="F774" s="20" t="s">
        <v>26</v>
      </c>
      <c r="G774" s="53">
        <f t="shared" si="12"/>
        <v>9.8358636763777513E-2</v>
      </c>
      <c r="H774" s="35"/>
      <c r="P774" s="6"/>
    </row>
    <row r="775" spans="1:16" ht="14.4" x14ac:dyDescent="0.25">
      <c r="A775" s="6">
        <v>1339</v>
      </c>
      <c r="B775" s="6">
        <v>9792</v>
      </c>
      <c r="C775" s="19">
        <v>40747</v>
      </c>
      <c r="D775" s="6" t="s">
        <v>25</v>
      </c>
      <c r="E775" s="6">
        <f>IF((ISBLANK($B$1)),"",Sheet1!Q781)</f>
        <v>4100</v>
      </c>
      <c r="F775" s="20" t="s">
        <v>26</v>
      </c>
      <c r="G775" s="53">
        <f t="shared" si="12"/>
        <v>-0.79926164049742576</v>
      </c>
      <c r="H775" s="35"/>
      <c r="P775" s="6"/>
    </row>
    <row r="776" spans="1:16" ht="14.4" x14ac:dyDescent="0.25">
      <c r="A776" s="6">
        <v>1352</v>
      </c>
      <c r="B776" s="6">
        <v>9860</v>
      </c>
      <c r="C776" s="19">
        <v>40461</v>
      </c>
      <c r="D776" s="6" t="s">
        <v>30</v>
      </c>
      <c r="E776" s="6">
        <f>IF((ISBLANK($B$1)),"",Sheet1!Q782)</f>
        <v>5550</v>
      </c>
      <c r="F776" s="20" t="s">
        <v>27</v>
      </c>
      <c r="G776" s="53">
        <f t="shared" ref="G776:G839" si="13">STANDARDIZE(E776,$L$26,$L$35)</f>
        <v>1.2031220549314123</v>
      </c>
      <c r="H776" s="35"/>
      <c r="P776" s="6"/>
    </row>
    <row r="777" spans="1:16" ht="14.4" x14ac:dyDescent="0.25">
      <c r="A777" s="6">
        <v>1423</v>
      </c>
      <c r="B777" s="6">
        <v>10310</v>
      </c>
      <c r="C777" s="19">
        <v>39849</v>
      </c>
      <c r="D777" s="6" t="s">
        <v>25</v>
      </c>
      <c r="E777" s="6">
        <f>IF((ISBLANK($B$1)),"",Sheet1!Q783)</f>
        <v>5800</v>
      </c>
      <c r="F777" s="20" t="s">
        <v>26</v>
      </c>
      <c r="G777" s="53">
        <f t="shared" si="13"/>
        <v>1.5483606231087981</v>
      </c>
      <c r="H777" s="35"/>
      <c r="P777" s="6"/>
    </row>
    <row r="778" spans="1:16" ht="14.4" x14ac:dyDescent="0.25">
      <c r="A778" s="6">
        <v>1424</v>
      </c>
      <c r="B778" s="6">
        <v>10310</v>
      </c>
      <c r="C778" s="19">
        <v>39849</v>
      </c>
      <c r="D778" s="6" t="s">
        <v>25</v>
      </c>
      <c r="E778" s="6">
        <f>IF((ISBLANK($B$1)),"",Sheet1!Q784)</f>
        <v>3700</v>
      </c>
      <c r="F778" s="20" t="s">
        <v>27</v>
      </c>
      <c r="G778" s="53">
        <f t="shared" si="13"/>
        <v>-1.351643349581243</v>
      </c>
      <c r="H778" s="35"/>
      <c r="P778" s="6"/>
    </row>
    <row r="779" spans="1:16" ht="14.4" x14ac:dyDescent="0.25">
      <c r="A779" s="6">
        <v>1436</v>
      </c>
      <c r="B779" s="6">
        <v>10369</v>
      </c>
      <c r="C779" s="19">
        <v>40856</v>
      </c>
      <c r="D779" s="6" t="s">
        <v>25</v>
      </c>
      <c r="E779" s="6">
        <f>IF((ISBLANK($B$1)),"",Sheet1!Q785)</f>
        <v>3600</v>
      </c>
      <c r="F779" s="20" t="s">
        <v>26</v>
      </c>
      <c r="G779" s="53">
        <f t="shared" si="13"/>
        <v>-1.4897387768521975</v>
      </c>
      <c r="H779" s="35"/>
      <c r="P779" s="6"/>
    </row>
    <row r="780" spans="1:16" ht="14.4" x14ac:dyDescent="0.25">
      <c r="A780" s="6">
        <v>1437</v>
      </c>
      <c r="B780" s="6">
        <v>10369</v>
      </c>
      <c r="C780" s="19">
        <v>40856</v>
      </c>
      <c r="D780" s="6" t="s">
        <v>25</v>
      </c>
      <c r="E780" s="6">
        <f>IF((ISBLANK($B$1)),"",Sheet1!Q786)</f>
        <v>4550</v>
      </c>
      <c r="F780" s="20" t="s">
        <v>27</v>
      </c>
      <c r="G780" s="53">
        <f t="shared" si="13"/>
        <v>-0.17783221777813119</v>
      </c>
      <c r="H780" s="35"/>
      <c r="P780" s="6"/>
    </row>
    <row r="781" spans="1:16" ht="14.4" x14ac:dyDescent="0.25">
      <c r="A781" s="6">
        <v>1486</v>
      </c>
      <c r="B781" s="6">
        <v>10692</v>
      </c>
      <c r="C781" s="19">
        <v>40020</v>
      </c>
      <c r="D781" s="6" t="s">
        <v>25</v>
      </c>
      <c r="E781" s="6">
        <f>IF((ISBLANK($B$1)),"",Sheet1!Q787)</f>
        <v>4700</v>
      </c>
      <c r="F781" s="20" t="s">
        <v>26</v>
      </c>
      <c r="G781" s="53">
        <f t="shared" si="13"/>
        <v>2.9310923128300338E-2</v>
      </c>
      <c r="H781" s="35"/>
      <c r="P781" s="6"/>
    </row>
    <row r="782" spans="1:16" ht="14.4" x14ac:dyDescent="0.25">
      <c r="A782" s="6">
        <v>1487</v>
      </c>
      <c r="B782" s="6">
        <v>10692</v>
      </c>
      <c r="C782" s="19">
        <v>40020</v>
      </c>
      <c r="D782" s="6" t="s">
        <v>25</v>
      </c>
      <c r="E782" s="6">
        <f>IF((ISBLANK($B$1)),"",Sheet1!Q788)</f>
        <v>5800</v>
      </c>
      <c r="F782" s="20" t="s">
        <v>27</v>
      </c>
      <c r="G782" s="53">
        <f t="shared" si="13"/>
        <v>1.5483606231087981</v>
      </c>
      <c r="H782" s="35"/>
      <c r="P782" s="6"/>
    </row>
    <row r="783" spans="1:16" ht="14.4" x14ac:dyDescent="0.25">
      <c r="A783" s="6">
        <v>1488</v>
      </c>
      <c r="B783" s="6">
        <v>10692</v>
      </c>
      <c r="C783" s="19">
        <v>40020</v>
      </c>
      <c r="D783" s="6" t="s">
        <v>25</v>
      </c>
      <c r="E783" s="6">
        <f>IF((ISBLANK($B$1)),"",Sheet1!Q789)</f>
        <v>3800</v>
      </c>
      <c r="F783" s="20" t="s">
        <v>27</v>
      </c>
      <c r="G783" s="53">
        <f t="shared" si="13"/>
        <v>-1.2135479223102887</v>
      </c>
      <c r="H783" s="35"/>
      <c r="P783" s="6"/>
    </row>
    <row r="784" spans="1:16" ht="14.4" x14ac:dyDescent="0.25">
      <c r="A784" s="6">
        <v>1596</v>
      </c>
      <c r="B784" s="6">
        <v>11553</v>
      </c>
      <c r="C784" s="19">
        <v>39921</v>
      </c>
      <c r="D784" s="6" t="s">
        <v>16</v>
      </c>
      <c r="E784" s="6">
        <f>IF((ISBLANK($B$1)),"",Sheet1!Q790)</f>
        <v>4800</v>
      </c>
      <c r="F784" s="20" t="s">
        <v>26</v>
      </c>
      <c r="G784" s="53">
        <f t="shared" si="13"/>
        <v>0.16740635039925467</v>
      </c>
      <c r="H784" s="35"/>
      <c r="P784" s="6"/>
    </row>
    <row r="785" spans="1:16" ht="14.4" x14ac:dyDescent="0.25">
      <c r="A785" s="6">
        <v>1597</v>
      </c>
      <c r="B785" s="6">
        <v>11553</v>
      </c>
      <c r="C785" s="19">
        <v>39921</v>
      </c>
      <c r="D785" s="6" t="s">
        <v>16</v>
      </c>
      <c r="E785" s="6">
        <f>IF((ISBLANK($B$1)),"",Sheet1!Q791)</f>
        <v>3800</v>
      </c>
      <c r="F785" s="20" t="s">
        <v>29</v>
      </c>
      <c r="G785" s="53">
        <f t="shared" si="13"/>
        <v>-1.2135479223102887</v>
      </c>
      <c r="H785" s="35"/>
      <c r="P785" s="6"/>
    </row>
    <row r="786" spans="1:16" ht="14.4" x14ac:dyDescent="0.25">
      <c r="A786" s="6">
        <v>1598</v>
      </c>
      <c r="B786" s="6">
        <v>11553</v>
      </c>
      <c r="C786" s="19">
        <v>39921</v>
      </c>
      <c r="D786" s="6" t="s">
        <v>16</v>
      </c>
      <c r="E786" s="6">
        <f>IF((ISBLANK($B$1)),"",Sheet1!Q792)</f>
        <v>4400</v>
      </c>
      <c r="F786" s="20" t="s">
        <v>27</v>
      </c>
      <c r="G786" s="53">
        <f t="shared" si="13"/>
        <v>-0.38497535868456267</v>
      </c>
      <c r="H786" s="35"/>
      <c r="P786" s="6"/>
    </row>
    <row r="787" spans="1:16" ht="14.4" x14ac:dyDescent="0.25">
      <c r="A787" s="6">
        <v>1626</v>
      </c>
      <c r="B787" s="6">
        <v>11776</v>
      </c>
      <c r="C787" s="19">
        <v>40963</v>
      </c>
      <c r="D787" s="6" t="s">
        <v>25</v>
      </c>
      <c r="E787" s="6">
        <f>IF((ISBLANK($B$1)),"",Sheet1!Q793)</f>
        <v>5400</v>
      </c>
      <c r="F787" s="20" t="s">
        <v>26</v>
      </c>
      <c r="G787" s="53">
        <f t="shared" si="13"/>
        <v>0.99597891402498073</v>
      </c>
      <c r="H787" s="35"/>
      <c r="P787" s="6"/>
    </row>
    <row r="788" spans="1:16" ht="14.4" x14ac:dyDescent="0.25">
      <c r="A788" s="6">
        <v>1631</v>
      </c>
      <c r="B788" s="6">
        <v>11782</v>
      </c>
      <c r="C788" s="19">
        <v>41118</v>
      </c>
      <c r="D788" s="6" t="s">
        <v>25</v>
      </c>
      <c r="E788" s="6">
        <f>IF((ISBLANK($B$1)),"",Sheet1!Q794)</f>
        <v>5700</v>
      </c>
      <c r="F788" s="20" t="s">
        <v>26</v>
      </c>
      <c r="G788" s="53">
        <f t="shared" si="13"/>
        <v>1.4102651958378438</v>
      </c>
      <c r="H788" s="35"/>
      <c r="P788" s="6"/>
    </row>
    <row r="789" spans="1:16" ht="14.4" x14ac:dyDescent="0.25">
      <c r="A789" s="6">
        <v>1632</v>
      </c>
      <c r="B789" s="6">
        <v>11782</v>
      </c>
      <c r="C789" s="19">
        <v>41118</v>
      </c>
      <c r="D789" s="6" t="s">
        <v>25</v>
      </c>
      <c r="E789" s="6">
        <f>IF((ISBLANK($B$1)),"",Sheet1!Q795)</f>
        <v>4750</v>
      </c>
      <c r="F789" s="20" t="s">
        <v>27</v>
      </c>
      <c r="G789" s="53">
        <f t="shared" si="13"/>
        <v>9.8358636763777513E-2</v>
      </c>
      <c r="H789" s="35"/>
      <c r="P789" s="6"/>
    </row>
    <row r="790" spans="1:16" ht="14.4" x14ac:dyDescent="0.25">
      <c r="A790" s="6">
        <v>1690</v>
      </c>
      <c r="B790" s="6">
        <v>12199</v>
      </c>
      <c r="C790" s="19">
        <v>40891</v>
      </c>
      <c r="D790" s="6" t="s">
        <v>25</v>
      </c>
      <c r="E790" s="6">
        <f>IF((ISBLANK($B$1)),"",Sheet1!Q796)</f>
        <v>3500</v>
      </c>
      <c r="F790" s="20" t="s">
        <v>26</v>
      </c>
      <c r="G790" s="53">
        <f t="shared" si="13"/>
        <v>-1.6278342041231517</v>
      </c>
      <c r="H790" s="35"/>
      <c r="P790" s="6"/>
    </row>
    <row r="791" spans="1:16" ht="14.4" x14ac:dyDescent="0.25">
      <c r="A791" s="6">
        <v>1691</v>
      </c>
      <c r="B791" s="6">
        <v>12199</v>
      </c>
      <c r="C791" s="19">
        <v>40891</v>
      </c>
      <c r="D791" s="6" t="s">
        <v>25</v>
      </c>
      <c r="E791" s="6">
        <f>IF((ISBLANK($B$1)),"",Sheet1!Q797)</f>
        <v>5900</v>
      </c>
      <c r="F791" s="20" t="s">
        <v>26</v>
      </c>
      <c r="G791" s="53">
        <f t="shared" si="13"/>
        <v>1.6864560503797523</v>
      </c>
      <c r="H791" s="35"/>
      <c r="P791" s="6"/>
    </row>
    <row r="792" spans="1:16" ht="14.4" x14ac:dyDescent="0.25">
      <c r="A792" s="6">
        <v>2004</v>
      </c>
      <c r="B792" s="6">
        <v>14275</v>
      </c>
      <c r="C792" s="19">
        <v>40342</v>
      </c>
      <c r="D792" s="6" t="s">
        <v>25</v>
      </c>
      <c r="E792" s="6">
        <f>IF((ISBLANK($B$1)),"",Sheet1!Q798)</f>
        <v>4400</v>
      </c>
      <c r="F792" s="20" t="s">
        <v>26</v>
      </c>
      <c r="G792" s="53">
        <f t="shared" si="13"/>
        <v>-0.38497535868456267</v>
      </c>
      <c r="H792" s="35"/>
      <c r="P792" s="6"/>
    </row>
    <row r="793" spans="1:16" ht="14.4" x14ac:dyDescent="0.25">
      <c r="A793" s="6">
        <v>2005</v>
      </c>
      <c r="B793" s="6">
        <v>14275</v>
      </c>
      <c r="C793" s="19">
        <v>40342</v>
      </c>
      <c r="D793" s="6" t="s">
        <v>25</v>
      </c>
      <c r="E793" s="6">
        <f>IF((ISBLANK($B$1)),"",Sheet1!Q799)</f>
        <v>3600</v>
      </c>
      <c r="F793" s="20" t="s">
        <v>29</v>
      </c>
      <c r="G793" s="53">
        <f t="shared" si="13"/>
        <v>-1.4897387768521975</v>
      </c>
      <c r="H793" s="35"/>
      <c r="P793" s="6"/>
    </row>
    <row r="794" spans="1:16" ht="14.4" x14ac:dyDescent="0.25">
      <c r="A794" s="6">
        <v>2043</v>
      </c>
      <c r="B794" s="6">
        <v>14535</v>
      </c>
      <c r="C794" s="19">
        <v>40452</v>
      </c>
      <c r="D794" s="6" t="s">
        <v>28</v>
      </c>
      <c r="E794" s="6">
        <f>IF((ISBLANK($B$1)),"",Sheet1!Q800)</f>
        <v>4500</v>
      </c>
      <c r="F794" s="20" t="s">
        <v>26</v>
      </c>
      <c r="G794" s="53">
        <f t="shared" si="13"/>
        <v>-0.24687993141360834</v>
      </c>
      <c r="H794" s="35"/>
      <c r="P794" s="6"/>
    </row>
    <row r="795" spans="1:16" ht="14.4" x14ac:dyDescent="0.25">
      <c r="A795" s="6">
        <v>2145</v>
      </c>
      <c r="B795" s="6">
        <v>15329</v>
      </c>
      <c r="C795" s="19">
        <v>41026</v>
      </c>
      <c r="D795" s="6" t="s">
        <v>17</v>
      </c>
      <c r="E795" s="6">
        <f>IF((ISBLANK($B$1)),"",Sheet1!Q801)</f>
        <v>5100</v>
      </c>
      <c r="F795" s="20" t="s">
        <v>27</v>
      </c>
      <c r="G795" s="53">
        <f t="shared" si="13"/>
        <v>0.58169263221211776</v>
      </c>
      <c r="H795" s="35"/>
      <c r="P795" s="6"/>
    </row>
    <row r="796" spans="1:16" ht="14.4" x14ac:dyDescent="0.25">
      <c r="A796" s="6">
        <v>2169</v>
      </c>
      <c r="B796" s="6">
        <v>15621</v>
      </c>
      <c r="C796" s="19">
        <v>40810</v>
      </c>
      <c r="D796" s="6" t="s">
        <v>30</v>
      </c>
      <c r="E796" s="6">
        <f>IF((ISBLANK($B$1)),"",Sheet1!Q802)</f>
        <v>4300</v>
      </c>
      <c r="F796" s="20" t="s">
        <v>26</v>
      </c>
      <c r="G796" s="53">
        <f t="shared" si="13"/>
        <v>-0.52307078595551704</v>
      </c>
      <c r="H796" s="35"/>
      <c r="P796" s="6"/>
    </row>
    <row r="797" spans="1:16" ht="14.4" x14ac:dyDescent="0.25">
      <c r="A797" s="6">
        <v>2170</v>
      </c>
      <c r="B797" s="6">
        <v>15621</v>
      </c>
      <c r="C797" s="19">
        <v>40810</v>
      </c>
      <c r="D797" s="6" t="s">
        <v>30</v>
      </c>
      <c r="E797" s="6">
        <f>IF((ISBLANK($B$1)),"",Sheet1!Q803)</f>
        <v>5350</v>
      </c>
      <c r="F797" s="20" t="s">
        <v>26</v>
      </c>
      <c r="G797" s="53">
        <f t="shared" si="13"/>
        <v>0.92693120038950361</v>
      </c>
      <c r="H797" s="35"/>
      <c r="P797" s="6"/>
    </row>
    <row r="798" spans="1:16" ht="14.4" x14ac:dyDescent="0.25">
      <c r="A798" s="6">
        <v>2452</v>
      </c>
      <c r="B798" s="6">
        <v>17826</v>
      </c>
      <c r="C798" s="19">
        <v>41090</v>
      </c>
      <c r="D798" s="6" t="s">
        <v>17</v>
      </c>
      <c r="E798" s="6">
        <f>IF((ISBLANK($B$1)),"",Sheet1!Q804)</f>
        <v>4300</v>
      </c>
      <c r="F798" s="20" t="s">
        <v>26</v>
      </c>
      <c r="G798" s="53">
        <f t="shared" si="13"/>
        <v>-0.52307078595551704</v>
      </c>
      <c r="H798" s="35"/>
      <c r="P798" s="6"/>
    </row>
    <row r="799" spans="1:16" ht="14.4" x14ac:dyDescent="0.25">
      <c r="A799" s="6">
        <v>2463</v>
      </c>
      <c r="B799" s="6">
        <v>17926</v>
      </c>
      <c r="C799" s="19">
        <v>40857</v>
      </c>
      <c r="D799" s="6" t="s">
        <v>30</v>
      </c>
      <c r="E799" s="6">
        <f>IF((ISBLANK($B$1)),"",Sheet1!Q805)</f>
        <v>5250</v>
      </c>
      <c r="F799" s="20" t="s">
        <v>26</v>
      </c>
      <c r="G799" s="53">
        <f t="shared" si="13"/>
        <v>0.78883577311854924</v>
      </c>
      <c r="H799" s="35"/>
      <c r="P799" s="6"/>
    </row>
    <row r="800" spans="1:16" ht="14.4" x14ac:dyDescent="0.25">
      <c r="A800" s="6">
        <v>2513</v>
      </c>
      <c r="B800" s="6">
        <v>18247</v>
      </c>
      <c r="C800" s="19">
        <v>40122</v>
      </c>
      <c r="D800" s="6" t="s">
        <v>28</v>
      </c>
      <c r="E800" s="6">
        <f>IF((ISBLANK($B$1)),"",Sheet1!Q806)</f>
        <v>4400</v>
      </c>
      <c r="F800" s="20" t="s">
        <v>29</v>
      </c>
      <c r="G800" s="53">
        <f t="shared" si="13"/>
        <v>-0.38497535868456267</v>
      </c>
      <c r="H800" s="35"/>
      <c r="P800" s="6"/>
    </row>
    <row r="801" spans="1:16" ht="14.4" x14ac:dyDescent="0.25">
      <c r="A801" s="6">
        <v>2551</v>
      </c>
      <c r="B801" s="6">
        <v>18471</v>
      </c>
      <c r="C801" s="19">
        <v>39863</v>
      </c>
      <c r="D801" s="6" t="s">
        <v>28</v>
      </c>
      <c r="E801" s="6">
        <f>IF((ISBLANK($B$1)),"",Sheet1!Q807)</f>
        <v>5250</v>
      </c>
      <c r="F801" s="20" t="s">
        <v>26</v>
      </c>
      <c r="G801" s="53">
        <f t="shared" si="13"/>
        <v>0.78883577311854924</v>
      </c>
      <c r="H801" s="35"/>
      <c r="P801" s="6"/>
    </row>
    <row r="802" spans="1:16" ht="14.4" x14ac:dyDescent="0.25">
      <c r="A802" s="6">
        <v>2552</v>
      </c>
      <c r="B802" s="6">
        <v>18471</v>
      </c>
      <c r="C802" s="19">
        <v>39863</v>
      </c>
      <c r="D802" s="6" t="s">
        <v>28</v>
      </c>
      <c r="E802" s="6">
        <f>IF((ISBLANK($B$1)),"",Sheet1!Q808)</f>
        <v>3600</v>
      </c>
      <c r="F802" s="20" t="s">
        <v>26</v>
      </c>
      <c r="G802" s="53">
        <f t="shared" si="13"/>
        <v>-1.4897387768521975</v>
      </c>
      <c r="H802" s="35"/>
      <c r="P802" s="6"/>
    </row>
    <row r="803" spans="1:16" ht="14.4" x14ac:dyDescent="0.25">
      <c r="A803" s="6">
        <v>2553</v>
      </c>
      <c r="B803" s="6">
        <v>18471</v>
      </c>
      <c r="C803" s="19">
        <v>39863</v>
      </c>
      <c r="D803" s="6" t="s">
        <v>28</v>
      </c>
      <c r="E803" s="6">
        <f>IF((ISBLANK($B$1)),"",Sheet1!Q809)</f>
        <v>4850</v>
      </c>
      <c r="F803" s="20" t="s">
        <v>26</v>
      </c>
      <c r="G803" s="53">
        <f t="shared" si="13"/>
        <v>0.23645406403473185</v>
      </c>
      <c r="H803" s="35"/>
      <c r="P803" s="6"/>
    </row>
    <row r="804" spans="1:16" ht="14.4" x14ac:dyDescent="0.25">
      <c r="A804" s="6">
        <v>2745</v>
      </c>
      <c r="B804" s="6">
        <v>19813</v>
      </c>
      <c r="C804" s="19">
        <v>40239</v>
      </c>
      <c r="D804" s="6" t="s">
        <v>30</v>
      </c>
      <c r="E804" s="6">
        <f>IF((ISBLANK($B$1)),"",Sheet1!Q810)</f>
        <v>4850</v>
      </c>
      <c r="F804" s="20" t="s">
        <v>27</v>
      </c>
      <c r="G804" s="53">
        <f t="shared" si="13"/>
        <v>0.23645406403473185</v>
      </c>
      <c r="H804" s="35"/>
      <c r="P804" s="6"/>
    </row>
    <row r="805" spans="1:16" ht="14.4" x14ac:dyDescent="0.25">
      <c r="A805" s="6">
        <v>2815</v>
      </c>
      <c r="B805" s="6">
        <v>20322</v>
      </c>
      <c r="C805" s="19">
        <v>39992</v>
      </c>
      <c r="D805" s="6" t="s">
        <v>30</v>
      </c>
      <c r="E805" s="6">
        <f>IF((ISBLANK($B$1)),"",Sheet1!Q811)</f>
        <v>5700</v>
      </c>
      <c r="F805" s="20" t="s">
        <v>26</v>
      </c>
      <c r="G805" s="53">
        <f t="shared" si="13"/>
        <v>1.4102651958378438</v>
      </c>
      <c r="H805" s="35"/>
      <c r="P805" s="6"/>
    </row>
    <row r="806" spans="1:16" ht="14.4" x14ac:dyDescent="0.25">
      <c r="A806" s="6">
        <v>2816</v>
      </c>
      <c r="B806" s="6">
        <v>20322</v>
      </c>
      <c r="C806" s="19">
        <v>39992</v>
      </c>
      <c r="D806" s="6" t="s">
        <v>30</v>
      </c>
      <c r="E806" s="6">
        <f>IF((ISBLANK($B$1)),"",Sheet1!Q812)</f>
        <v>5700</v>
      </c>
      <c r="F806" s="20" t="s">
        <v>29</v>
      </c>
      <c r="G806" s="53">
        <f t="shared" si="13"/>
        <v>1.4102651958378438</v>
      </c>
      <c r="H806" s="35"/>
      <c r="P806" s="6"/>
    </row>
    <row r="807" spans="1:16" ht="14.4" x14ac:dyDescent="0.25">
      <c r="A807" s="6">
        <v>2817</v>
      </c>
      <c r="B807" s="6">
        <v>20322</v>
      </c>
      <c r="C807" s="19">
        <v>39992</v>
      </c>
      <c r="D807" s="6" t="s">
        <v>30</v>
      </c>
      <c r="E807" s="6">
        <f>IF((ISBLANK($B$1)),"",Sheet1!Q813)</f>
        <v>4150</v>
      </c>
      <c r="F807" s="20" t="s">
        <v>26</v>
      </c>
      <c r="G807" s="53">
        <f t="shared" si="13"/>
        <v>-0.73021392686194853</v>
      </c>
      <c r="H807" s="35"/>
      <c r="P807" s="6"/>
    </row>
    <row r="808" spans="1:16" ht="14.4" x14ac:dyDescent="0.25">
      <c r="A808" s="6">
        <v>2830</v>
      </c>
      <c r="B808" s="6">
        <v>20422</v>
      </c>
      <c r="C808" s="19">
        <v>39839</v>
      </c>
      <c r="D808" s="6" t="s">
        <v>17</v>
      </c>
      <c r="E808" s="6">
        <f>IF((ISBLANK($B$1)),"",Sheet1!Q814)</f>
        <v>4900</v>
      </c>
      <c r="F808" s="20" t="s">
        <v>29</v>
      </c>
      <c r="G808" s="53">
        <f t="shared" si="13"/>
        <v>0.30550177767020903</v>
      </c>
      <c r="H808" s="35"/>
      <c r="P808" s="6"/>
    </row>
    <row r="809" spans="1:16" ht="14.4" x14ac:dyDescent="0.25">
      <c r="A809" s="6">
        <v>2831</v>
      </c>
      <c r="B809" s="6">
        <v>20448</v>
      </c>
      <c r="C809" s="19">
        <v>40757</v>
      </c>
      <c r="D809" s="6" t="s">
        <v>30</v>
      </c>
      <c r="E809" s="6">
        <f>IF((ISBLANK($B$1)),"",Sheet1!Q815)</f>
        <v>4550</v>
      </c>
      <c r="F809" s="20" t="s">
        <v>26</v>
      </c>
      <c r="G809" s="53">
        <f t="shared" si="13"/>
        <v>-0.17783221777813119</v>
      </c>
      <c r="H809" s="35"/>
      <c r="P809" s="6"/>
    </row>
    <row r="810" spans="1:16" ht="14.4" x14ac:dyDescent="0.25">
      <c r="A810" s="6">
        <v>3056</v>
      </c>
      <c r="B810" s="6">
        <v>21892</v>
      </c>
      <c r="C810" s="19">
        <v>40363</v>
      </c>
      <c r="D810" s="6" t="s">
        <v>17</v>
      </c>
      <c r="E810" s="6">
        <f>IF((ISBLANK($B$1)),"",Sheet1!Q816)</f>
        <v>3700</v>
      </c>
      <c r="F810" s="20" t="s">
        <v>26</v>
      </c>
      <c r="G810" s="53">
        <f t="shared" si="13"/>
        <v>-1.351643349581243</v>
      </c>
      <c r="H810" s="35"/>
      <c r="P810" s="6"/>
    </row>
    <row r="811" spans="1:16" ht="14.4" x14ac:dyDescent="0.25">
      <c r="A811" s="6">
        <v>3204</v>
      </c>
      <c r="B811" s="6">
        <v>22980</v>
      </c>
      <c r="C811" s="19">
        <v>41183</v>
      </c>
      <c r="D811" s="6" t="s">
        <v>28</v>
      </c>
      <c r="E811" s="6">
        <f>IF((ISBLANK($B$1)),"",Sheet1!Q817)</f>
        <v>4250</v>
      </c>
      <c r="F811" s="20" t="s">
        <v>26</v>
      </c>
      <c r="G811" s="53">
        <f t="shared" si="13"/>
        <v>-0.59211849959099416</v>
      </c>
      <c r="H811" s="35"/>
      <c r="P811" s="6"/>
    </row>
    <row r="812" spans="1:16" ht="14.4" x14ac:dyDescent="0.25">
      <c r="A812" s="6">
        <v>3341</v>
      </c>
      <c r="B812" s="6">
        <v>23907</v>
      </c>
      <c r="C812" s="19">
        <v>40738</v>
      </c>
      <c r="D812" s="6" t="s">
        <v>28</v>
      </c>
      <c r="E812" s="6">
        <f>IF((ISBLANK($B$1)),"",Sheet1!Q818)</f>
        <v>3750</v>
      </c>
      <c r="F812" s="20" t="s">
        <v>27</v>
      </c>
      <c r="G812" s="53">
        <f t="shared" si="13"/>
        <v>-1.282595635945766</v>
      </c>
      <c r="H812" s="35"/>
      <c r="P812" s="6"/>
    </row>
    <row r="813" spans="1:16" ht="14.4" x14ac:dyDescent="0.25">
      <c r="A813" s="6">
        <v>3362</v>
      </c>
      <c r="B813" s="6">
        <v>24064</v>
      </c>
      <c r="C813" s="19">
        <v>40384</v>
      </c>
      <c r="D813" s="6" t="s">
        <v>16</v>
      </c>
      <c r="E813" s="6">
        <f>IF((ISBLANK($B$1)),"",Sheet1!Q819)</f>
        <v>4550</v>
      </c>
      <c r="F813" s="20" t="s">
        <v>27</v>
      </c>
      <c r="G813" s="53">
        <f t="shared" si="13"/>
        <v>-0.17783221777813119</v>
      </c>
      <c r="H813" s="35"/>
      <c r="P813" s="6"/>
    </row>
    <row r="814" spans="1:16" ht="14.4" x14ac:dyDescent="0.25">
      <c r="A814" s="6">
        <v>3382</v>
      </c>
      <c r="B814" s="6">
        <v>24132</v>
      </c>
      <c r="C814" s="19">
        <v>40000</v>
      </c>
      <c r="D814" s="6" t="s">
        <v>25</v>
      </c>
      <c r="E814" s="6">
        <f>IF((ISBLANK($B$1)),"",Sheet1!Q820)</f>
        <v>3600</v>
      </c>
      <c r="F814" s="20" t="s">
        <v>26</v>
      </c>
      <c r="G814" s="53">
        <f t="shared" si="13"/>
        <v>-1.4897387768521975</v>
      </c>
      <c r="H814" s="35"/>
      <c r="P814" s="6"/>
    </row>
    <row r="815" spans="1:16" ht="14.4" x14ac:dyDescent="0.25">
      <c r="A815" s="6">
        <v>3383</v>
      </c>
      <c r="B815" s="6">
        <v>24132</v>
      </c>
      <c r="C815" s="19">
        <v>40000</v>
      </c>
      <c r="D815" s="6" t="s">
        <v>25</v>
      </c>
      <c r="E815" s="6">
        <f>IF((ISBLANK($B$1)),"",Sheet1!Q821)</f>
        <v>5700</v>
      </c>
      <c r="F815" s="20" t="s">
        <v>26</v>
      </c>
      <c r="G815" s="53">
        <f t="shared" si="13"/>
        <v>1.4102651958378438</v>
      </c>
      <c r="H815" s="35"/>
      <c r="P815" s="6"/>
    </row>
    <row r="816" spans="1:16" ht="14.4" x14ac:dyDescent="0.25">
      <c r="A816" s="6">
        <v>3384</v>
      </c>
      <c r="B816" s="6">
        <v>24132</v>
      </c>
      <c r="C816" s="19">
        <v>40000</v>
      </c>
      <c r="D816" s="6" t="s">
        <v>25</v>
      </c>
      <c r="E816" s="6">
        <f>IF((ISBLANK($B$1)),"",Sheet1!Q822)</f>
        <v>4500</v>
      </c>
      <c r="F816" s="20" t="s">
        <v>27</v>
      </c>
      <c r="G816" s="53">
        <f t="shared" si="13"/>
        <v>-0.24687993141360834</v>
      </c>
      <c r="H816" s="35"/>
      <c r="P816" s="6"/>
    </row>
    <row r="817" spans="1:16" ht="14.4" x14ac:dyDescent="0.25">
      <c r="A817" s="6">
        <v>3385</v>
      </c>
      <c r="B817" s="6">
        <v>24132</v>
      </c>
      <c r="C817" s="19">
        <v>40000</v>
      </c>
      <c r="D817" s="6" t="s">
        <v>25</v>
      </c>
      <c r="E817" s="6">
        <f>IF((ISBLANK($B$1)),"",Sheet1!Q823)</f>
        <v>4950</v>
      </c>
      <c r="F817" s="20" t="s">
        <v>26</v>
      </c>
      <c r="G817" s="53">
        <f t="shared" si="13"/>
        <v>0.37454949130568621</v>
      </c>
      <c r="H817" s="35"/>
      <c r="P817" s="6"/>
    </row>
    <row r="818" spans="1:16" ht="14.4" x14ac:dyDescent="0.25">
      <c r="A818" s="6">
        <v>3386</v>
      </c>
      <c r="B818" s="6">
        <v>24132</v>
      </c>
      <c r="C818" s="19">
        <v>40000</v>
      </c>
      <c r="D818" s="6" t="s">
        <v>25</v>
      </c>
      <c r="E818" s="6">
        <f>IF((ISBLANK($B$1)),"",Sheet1!Q824)</f>
        <v>4000</v>
      </c>
      <c r="F818" s="20" t="s">
        <v>26</v>
      </c>
      <c r="G818" s="53">
        <f t="shared" si="13"/>
        <v>-0.93735706776838001</v>
      </c>
      <c r="H818" s="35"/>
      <c r="P818" s="6"/>
    </row>
    <row r="819" spans="1:16" ht="14.4" x14ac:dyDescent="0.25">
      <c r="A819" s="6">
        <v>3387</v>
      </c>
      <c r="B819" s="6">
        <v>24132</v>
      </c>
      <c r="C819" s="19">
        <v>40000</v>
      </c>
      <c r="D819" s="6" t="s">
        <v>25</v>
      </c>
      <c r="E819" s="6">
        <f>IF((ISBLANK($B$1)),"",Sheet1!Q825)</f>
        <v>3550</v>
      </c>
      <c r="F819" s="20" t="s">
        <v>26</v>
      </c>
      <c r="G819" s="53">
        <f t="shared" si="13"/>
        <v>-1.5587864904876745</v>
      </c>
      <c r="H819" s="35"/>
      <c r="P819" s="6"/>
    </row>
    <row r="820" spans="1:16" ht="14.4" x14ac:dyDescent="0.25">
      <c r="A820" s="6">
        <v>3441</v>
      </c>
      <c r="B820" s="6">
        <v>24576</v>
      </c>
      <c r="C820" s="19">
        <v>41254</v>
      </c>
      <c r="D820" s="6" t="s">
        <v>28</v>
      </c>
      <c r="E820" s="6">
        <f>IF((ISBLANK($B$1)),"",Sheet1!Q826)</f>
        <v>4850</v>
      </c>
      <c r="F820" s="20" t="s">
        <v>27</v>
      </c>
      <c r="G820" s="53">
        <f t="shared" si="13"/>
        <v>0.23645406403473185</v>
      </c>
      <c r="H820" s="35"/>
      <c r="P820" s="6"/>
    </row>
    <row r="821" spans="1:16" ht="14.4" x14ac:dyDescent="0.25">
      <c r="A821" s="6">
        <v>3442</v>
      </c>
      <c r="B821" s="6">
        <v>24576</v>
      </c>
      <c r="C821" s="19">
        <v>41254</v>
      </c>
      <c r="D821" s="6" t="s">
        <v>28</v>
      </c>
      <c r="E821" s="6">
        <f>IF((ISBLANK($B$1)),"",Sheet1!Q827)</f>
        <v>3900</v>
      </c>
      <c r="F821" s="20" t="s">
        <v>29</v>
      </c>
      <c r="G821" s="53">
        <f t="shared" si="13"/>
        <v>-1.0754524950393345</v>
      </c>
      <c r="H821" s="35"/>
      <c r="P821" s="6"/>
    </row>
    <row r="822" spans="1:16" ht="14.4" x14ac:dyDescent="0.25">
      <c r="A822" s="6">
        <v>3541</v>
      </c>
      <c r="B822" s="6">
        <v>25248</v>
      </c>
      <c r="C822" s="19">
        <v>40878</v>
      </c>
      <c r="D822" s="6" t="s">
        <v>16</v>
      </c>
      <c r="E822" s="6">
        <f>IF((ISBLANK($B$1)),"",Sheet1!Q828)</f>
        <v>5050</v>
      </c>
      <c r="F822" s="20" t="s">
        <v>27</v>
      </c>
      <c r="G822" s="53">
        <f t="shared" si="13"/>
        <v>0.51264491857664052</v>
      </c>
      <c r="H822" s="35"/>
      <c r="P822" s="6"/>
    </row>
    <row r="823" spans="1:16" ht="14.4" x14ac:dyDescent="0.25">
      <c r="A823" s="6">
        <v>3542</v>
      </c>
      <c r="B823" s="6">
        <v>25248</v>
      </c>
      <c r="C823" s="19">
        <v>40878</v>
      </c>
      <c r="D823" s="6" t="s">
        <v>16</v>
      </c>
      <c r="E823" s="6">
        <f>IF((ISBLANK($B$1)),"",Sheet1!Q829)</f>
        <v>4700</v>
      </c>
      <c r="F823" s="20" t="s">
        <v>26</v>
      </c>
      <c r="G823" s="53">
        <f t="shared" si="13"/>
        <v>2.9310923128300338E-2</v>
      </c>
      <c r="H823" s="35"/>
      <c r="P823" s="6"/>
    </row>
    <row r="824" spans="1:16" ht="14.4" x14ac:dyDescent="0.25">
      <c r="A824" s="6">
        <v>3573</v>
      </c>
      <c r="B824" s="6">
        <v>25475</v>
      </c>
      <c r="C824" s="19">
        <v>39907</v>
      </c>
      <c r="D824" s="6" t="s">
        <v>30</v>
      </c>
      <c r="E824" s="6">
        <f>IF((ISBLANK($B$1)),"",Sheet1!Q830)</f>
        <v>5850</v>
      </c>
      <c r="F824" s="20" t="s">
        <v>26</v>
      </c>
      <c r="G824" s="53">
        <f t="shared" si="13"/>
        <v>1.6174083367442753</v>
      </c>
      <c r="H824" s="35"/>
      <c r="P824" s="6"/>
    </row>
    <row r="825" spans="1:16" ht="14.4" x14ac:dyDescent="0.25">
      <c r="A825" s="6">
        <v>3784</v>
      </c>
      <c r="B825" s="6">
        <v>26978</v>
      </c>
      <c r="C825" s="19">
        <v>40354</v>
      </c>
      <c r="D825" s="6" t="s">
        <v>16</v>
      </c>
      <c r="E825" s="6">
        <f>IF((ISBLANK($B$1)),"",Sheet1!Q831)</f>
        <v>3500</v>
      </c>
      <c r="F825" s="20" t="s">
        <v>26</v>
      </c>
      <c r="G825" s="53">
        <f t="shared" si="13"/>
        <v>-1.6278342041231517</v>
      </c>
      <c r="H825" s="35"/>
      <c r="P825" s="6"/>
    </row>
    <row r="826" spans="1:16" ht="14.4" x14ac:dyDescent="0.25">
      <c r="A826" s="6">
        <v>3798</v>
      </c>
      <c r="B826" s="6">
        <v>27105</v>
      </c>
      <c r="C826" s="19">
        <v>40590</v>
      </c>
      <c r="D826" s="6" t="s">
        <v>28</v>
      </c>
      <c r="E826" s="6">
        <f>IF((ISBLANK($B$1)),"",Sheet1!Q832)</f>
        <v>5250</v>
      </c>
      <c r="F826" s="20" t="s">
        <v>26</v>
      </c>
      <c r="G826" s="53">
        <f t="shared" si="13"/>
        <v>0.78883577311854924</v>
      </c>
      <c r="H826" s="35"/>
      <c r="P826" s="6"/>
    </row>
    <row r="827" spans="1:16" ht="14.4" x14ac:dyDescent="0.25">
      <c r="A827" s="6">
        <v>3799</v>
      </c>
      <c r="B827" s="6">
        <v>27105</v>
      </c>
      <c r="C827" s="19">
        <v>40590</v>
      </c>
      <c r="D827" s="6" t="s">
        <v>28</v>
      </c>
      <c r="E827" s="6">
        <f>IF((ISBLANK($B$1)),"",Sheet1!Q833)</f>
        <v>3500</v>
      </c>
      <c r="F827" s="20" t="s">
        <v>29</v>
      </c>
      <c r="G827" s="53">
        <f t="shared" si="13"/>
        <v>-1.6278342041231517</v>
      </c>
      <c r="H827" s="35"/>
      <c r="P827" s="6"/>
    </row>
    <row r="828" spans="1:16" ht="14.4" x14ac:dyDescent="0.25">
      <c r="A828" s="6">
        <v>3940</v>
      </c>
      <c r="B828" s="6">
        <v>28068</v>
      </c>
      <c r="C828" s="19">
        <v>40416</v>
      </c>
      <c r="D828" s="6" t="s">
        <v>25</v>
      </c>
      <c r="E828" s="6">
        <f>IF((ISBLANK($B$1)),"",Sheet1!Q834)</f>
        <v>4550</v>
      </c>
      <c r="F828" s="20" t="s">
        <v>27</v>
      </c>
      <c r="G828" s="53">
        <f t="shared" si="13"/>
        <v>-0.17783221777813119</v>
      </c>
      <c r="H828" s="35"/>
      <c r="P828" s="6"/>
    </row>
    <row r="829" spans="1:16" ht="14.4" x14ac:dyDescent="0.25">
      <c r="A829" s="6">
        <v>4032</v>
      </c>
      <c r="B829" s="6">
        <v>28802</v>
      </c>
      <c r="C829" s="19">
        <v>40486</v>
      </c>
      <c r="D829" s="6" t="s">
        <v>17</v>
      </c>
      <c r="E829" s="6">
        <f>IF((ISBLANK($B$1)),"",Sheet1!Q835)</f>
        <v>4550</v>
      </c>
      <c r="F829" s="20" t="s">
        <v>29</v>
      </c>
      <c r="G829" s="53">
        <f t="shared" si="13"/>
        <v>-0.17783221777813119</v>
      </c>
      <c r="H829" s="35"/>
      <c r="P829" s="6"/>
    </row>
    <row r="830" spans="1:16" ht="14.4" x14ac:dyDescent="0.25">
      <c r="A830" s="6">
        <v>4033</v>
      </c>
      <c r="B830" s="6">
        <v>28802</v>
      </c>
      <c r="C830" s="19">
        <v>40486</v>
      </c>
      <c r="D830" s="6" t="s">
        <v>17</v>
      </c>
      <c r="E830" s="6">
        <f>IF((ISBLANK($B$1)),"",Sheet1!Q836)</f>
        <v>5200</v>
      </c>
      <c r="F830" s="20" t="s">
        <v>26</v>
      </c>
      <c r="G830" s="53">
        <f t="shared" si="13"/>
        <v>0.71978805948307201</v>
      </c>
      <c r="H830" s="35"/>
      <c r="P830" s="6"/>
    </row>
    <row r="831" spans="1:16" ht="14.4" x14ac:dyDescent="0.25">
      <c r="A831" s="6">
        <v>4034</v>
      </c>
      <c r="B831" s="6">
        <v>28802</v>
      </c>
      <c r="C831" s="19">
        <v>40486</v>
      </c>
      <c r="D831" s="6" t="s">
        <v>17</v>
      </c>
      <c r="E831" s="6">
        <f>IF((ISBLANK($B$1)),"",Sheet1!Q837)</f>
        <v>4500</v>
      </c>
      <c r="F831" s="20" t="s">
        <v>27</v>
      </c>
      <c r="G831" s="53">
        <f t="shared" si="13"/>
        <v>-0.24687993141360834</v>
      </c>
      <c r="H831" s="35"/>
      <c r="P831" s="6"/>
    </row>
    <row r="832" spans="1:16" ht="14.4" x14ac:dyDescent="0.25">
      <c r="A832" s="6">
        <v>4044</v>
      </c>
      <c r="B832" s="6">
        <v>28839</v>
      </c>
      <c r="C832" s="19">
        <v>39931</v>
      </c>
      <c r="D832" s="6" t="s">
        <v>25</v>
      </c>
      <c r="E832" s="6">
        <f>IF((ISBLANK($B$1)),"",Sheet1!Q838)</f>
        <v>4900</v>
      </c>
      <c r="F832" s="20" t="s">
        <v>26</v>
      </c>
      <c r="G832" s="53">
        <f t="shared" si="13"/>
        <v>0.30550177767020903</v>
      </c>
      <c r="H832" s="35"/>
      <c r="P832" s="6"/>
    </row>
    <row r="833" spans="1:16" ht="14.4" x14ac:dyDescent="0.25">
      <c r="A833" s="6">
        <v>4111</v>
      </c>
      <c r="B833" s="6">
        <v>29252</v>
      </c>
      <c r="C833" s="19">
        <v>40031</v>
      </c>
      <c r="D833" s="6" t="s">
        <v>25</v>
      </c>
      <c r="E833" s="6">
        <f>IF((ISBLANK($B$1)),"",Sheet1!Q839)</f>
        <v>3850</v>
      </c>
      <c r="F833" s="20" t="s">
        <v>26</v>
      </c>
      <c r="G833" s="53">
        <f t="shared" si="13"/>
        <v>-1.1445002086748115</v>
      </c>
      <c r="H833" s="35"/>
      <c r="P833" s="6"/>
    </row>
    <row r="834" spans="1:16" ht="14.4" x14ac:dyDescent="0.25">
      <c r="A834" s="6">
        <v>4488</v>
      </c>
      <c r="B834" s="6">
        <v>31941</v>
      </c>
      <c r="C834" s="19">
        <v>39890</v>
      </c>
      <c r="D834" s="6" t="s">
        <v>16</v>
      </c>
      <c r="E834" s="6">
        <f>IF((ISBLANK($B$1)),"",Sheet1!Q840)</f>
        <v>5000</v>
      </c>
      <c r="F834" s="20" t="s">
        <v>26</v>
      </c>
      <c r="G834" s="53">
        <f t="shared" si="13"/>
        <v>0.44359720494116334</v>
      </c>
      <c r="H834" s="35"/>
      <c r="P834" s="6"/>
    </row>
    <row r="835" spans="1:16" ht="14.4" x14ac:dyDescent="0.25">
      <c r="A835" s="6">
        <v>4489</v>
      </c>
      <c r="B835" s="6">
        <v>31941</v>
      </c>
      <c r="C835" s="19">
        <v>39890</v>
      </c>
      <c r="D835" s="6" t="s">
        <v>16</v>
      </c>
      <c r="E835" s="6">
        <f>IF((ISBLANK($B$1)),"",Sheet1!Q841)</f>
        <v>3750</v>
      </c>
      <c r="F835" s="20" t="s">
        <v>26</v>
      </c>
      <c r="G835" s="53">
        <f t="shared" si="13"/>
        <v>-1.282595635945766</v>
      </c>
      <c r="H835" s="35"/>
      <c r="P835" s="6"/>
    </row>
    <row r="836" spans="1:16" ht="14.4" x14ac:dyDescent="0.25">
      <c r="A836" s="6">
        <v>4555</v>
      </c>
      <c r="B836" s="6">
        <v>32418</v>
      </c>
      <c r="C836" s="19">
        <v>39818</v>
      </c>
      <c r="D836" s="6" t="s">
        <v>28</v>
      </c>
      <c r="E836" s="6">
        <f>IF((ISBLANK($B$1)),"",Sheet1!Q842)</f>
        <v>3650</v>
      </c>
      <c r="F836" s="20" t="s">
        <v>29</v>
      </c>
      <c r="G836" s="53">
        <f t="shared" si="13"/>
        <v>-1.4206910632167202</v>
      </c>
      <c r="H836" s="35"/>
      <c r="P836" s="6"/>
    </row>
    <row r="837" spans="1:16" ht="14.4" x14ac:dyDescent="0.25">
      <c r="A837" s="6">
        <v>4813</v>
      </c>
      <c r="B837" s="6">
        <v>34241</v>
      </c>
      <c r="C837" s="19">
        <v>41190</v>
      </c>
      <c r="D837" s="6" t="s">
        <v>25</v>
      </c>
      <c r="E837" s="6">
        <f>IF((ISBLANK($B$1)),"",Sheet1!Q843)</f>
        <v>3600</v>
      </c>
      <c r="F837" s="20" t="s">
        <v>26</v>
      </c>
      <c r="G837" s="53">
        <f t="shared" si="13"/>
        <v>-1.4897387768521975</v>
      </c>
      <c r="H837" s="35"/>
      <c r="P837" s="6"/>
    </row>
    <row r="838" spans="1:16" ht="14.4" x14ac:dyDescent="0.25">
      <c r="A838" s="6">
        <v>4893</v>
      </c>
      <c r="B838" s="6">
        <v>34816</v>
      </c>
      <c r="C838" s="19">
        <v>40487</v>
      </c>
      <c r="D838" s="6" t="s">
        <v>28</v>
      </c>
      <c r="E838" s="6">
        <f>IF((ISBLANK($B$1)),"",Sheet1!Q844)</f>
        <v>4850</v>
      </c>
      <c r="F838" s="20" t="s">
        <v>26</v>
      </c>
      <c r="G838" s="53">
        <f t="shared" si="13"/>
        <v>0.23645406403473185</v>
      </c>
      <c r="H838" s="35"/>
      <c r="P838" s="6"/>
    </row>
    <row r="839" spans="1:16" ht="14.4" x14ac:dyDescent="0.25">
      <c r="A839" s="6">
        <v>4894</v>
      </c>
      <c r="B839" s="6">
        <v>34816</v>
      </c>
      <c r="C839" s="19">
        <v>40487</v>
      </c>
      <c r="D839" s="6" t="s">
        <v>28</v>
      </c>
      <c r="E839" s="6">
        <f>IF((ISBLANK($B$1)),"",Sheet1!Q845)</f>
        <v>5550</v>
      </c>
      <c r="F839" s="20" t="s">
        <v>26</v>
      </c>
      <c r="G839" s="53">
        <f t="shared" si="13"/>
        <v>1.2031220549314123</v>
      </c>
      <c r="H839" s="35"/>
      <c r="P839" s="6"/>
    </row>
    <row r="840" spans="1:16" ht="14.4" x14ac:dyDescent="0.25">
      <c r="A840" s="6">
        <v>4917</v>
      </c>
      <c r="B840" s="6">
        <v>35011</v>
      </c>
      <c r="C840" s="19">
        <v>41253</v>
      </c>
      <c r="D840" s="6" t="s">
        <v>28</v>
      </c>
      <c r="E840" s="6">
        <f>IF((ISBLANK($B$1)),"",Sheet1!Q846)</f>
        <v>4100</v>
      </c>
      <c r="F840" s="20" t="s">
        <v>26</v>
      </c>
      <c r="G840" s="53">
        <f t="shared" ref="G840:G903" si="14">STANDARDIZE(E840,$L$26,$L$35)</f>
        <v>-0.79926164049742576</v>
      </c>
      <c r="H840" s="35"/>
      <c r="P840" s="6"/>
    </row>
    <row r="841" spans="1:16" ht="14.4" x14ac:dyDescent="0.25">
      <c r="A841" s="6">
        <v>5058</v>
      </c>
      <c r="B841" s="6">
        <v>36068</v>
      </c>
      <c r="C841" s="19">
        <v>39849</v>
      </c>
      <c r="D841" s="6" t="s">
        <v>30</v>
      </c>
      <c r="E841" s="6">
        <f>IF((ISBLANK($B$1)),"",Sheet1!Q847)</f>
        <v>4550</v>
      </c>
      <c r="F841" s="20" t="s">
        <v>26</v>
      </c>
      <c r="G841" s="53">
        <f t="shared" si="14"/>
        <v>-0.17783221777813119</v>
      </c>
      <c r="H841" s="35"/>
      <c r="P841" s="6"/>
    </row>
    <row r="842" spans="1:16" ht="14.4" x14ac:dyDescent="0.25">
      <c r="A842" s="6">
        <v>5196</v>
      </c>
      <c r="B842" s="6">
        <v>36930</v>
      </c>
      <c r="C842" s="19">
        <v>40814</v>
      </c>
      <c r="D842" s="6" t="s">
        <v>16</v>
      </c>
      <c r="E842" s="6">
        <f>IF((ISBLANK($B$1)),"",Sheet1!Q848)</f>
        <v>5100</v>
      </c>
      <c r="F842" s="20" t="s">
        <v>27</v>
      </c>
      <c r="G842" s="53">
        <f t="shared" si="14"/>
        <v>0.58169263221211776</v>
      </c>
      <c r="H842" s="35"/>
      <c r="P842" s="6"/>
    </row>
    <row r="843" spans="1:16" ht="14.4" x14ac:dyDescent="0.25">
      <c r="A843" s="6">
        <v>5245</v>
      </c>
      <c r="B843" s="6">
        <v>37315</v>
      </c>
      <c r="C843" s="19">
        <v>41065</v>
      </c>
      <c r="D843" s="6" t="s">
        <v>25</v>
      </c>
      <c r="E843" s="6">
        <f>IF((ISBLANK($B$1)),"",Sheet1!Q849)</f>
        <v>5550</v>
      </c>
      <c r="F843" s="20" t="s">
        <v>26</v>
      </c>
      <c r="G843" s="53">
        <f t="shared" si="14"/>
        <v>1.2031220549314123</v>
      </c>
      <c r="H843" s="35"/>
      <c r="P843" s="6"/>
    </row>
    <row r="844" spans="1:16" ht="14.4" x14ac:dyDescent="0.25">
      <c r="A844" s="6">
        <v>5246</v>
      </c>
      <c r="B844" s="6">
        <v>37315</v>
      </c>
      <c r="C844" s="19">
        <v>41065</v>
      </c>
      <c r="D844" s="6" t="s">
        <v>25</v>
      </c>
      <c r="E844" s="6">
        <f>IF((ISBLANK($B$1)),"",Sheet1!Q850)</f>
        <v>4950</v>
      </c>
      <c r="F844" s="20" t="s">
        <v>27</v>
      </c>
      <c r="G844" s="53">
        <f t="shared" si="14"/>
        <v>0.37454949130568621</v>
      </c>
      <c r="H844" s="35"/>
      <c r="P844" s="6"/>
    </row>
    <row r="845" spans="1:16" ht="14.4" x14ac:dyDescent="0.25">
      <c r="A845" s="6">
        <v>5340</v>
      </c>
      <c r="B845" s="6">
        <v>37925</v>
      </c>
      <c r="C845" s="19">
        <v>40447</v>
      </c>
      <c r="D845" s="6" t="s">
        <v>16</v>
      </c>
      <c r="E845" s="6">
        <f>IF((ISBLANK($B$1)),"",Sheet1!Q851)</f>
        <v>5700</v>
      </c>
      <c r="F845" s="20" t="s">
        <v>27</v>
      </c>
      <c r="G845" s="53">
        <f t="shared" si="14"/>
        <v>1.4102651958378438</v>
      </c>
      <c r="H845" s="35"/>
      <c r="P845" s="6"/>
    </row>
    <row r="846" spans="1:16" ht="14.4" x14ac:dyDescent="0.25">
      <c r="A846" s="6">
        <v>5341</v>
      </c>
      <c r="B846" s="6">
        <v>37925</v>
      </c>
      <c r="C846" s="19">
        <v>40447</v>
      </c>
      <c r="D846" s="6" t="s">
        <v>16</v>
      </c>
      <c r="E846" s="6">
        <f>IF((ISBLANK($B$1)),"",Sheet1!Q852)</f>
        <v>4950</v>
      </c>
      <c r="F846" s="20" t="s">
        <v>27</v>
      </c>
      <c r="G846" s="53">
        <f t="shared" si="14"/>
        <v>0.37454949130568621</v>
      </c>
      <c r="H846" s="35"/>
      <c r="P846" s="6"/>
    </row>
    <row r="847" spans="1:16" ht="14.4" x14ac:dyDescent="0.25">
      <c r="A847" s="6">
        <v>5351</v>
      </c>
      <c r="B847" s="6">
        <v>38021</v>
      </c>
      <c r="C847" s="19">
        <v>39834</v>
      </c>
      <c r="D847" s="6" t="s">
        <v>16</v>
      </c>
      <c r="E847" s="6">
        <f>IF((ISBLANK($B$1)),"",Sheet1!Q853)</f>
        <v>5700</v>
      </c>
      <c r="F847" s="20" t="s">
        <v>26</v>
      </c>
      <c r="G847" s="53">
        <f t="shared" si="14"/>
        <v>1.4102651958378438</v>
      </c>
      <c r="H847" s="35"/>
      <c r="P847" s="6"/>
    </row>
    <row r="848" spans="1:16" ht="14.4" x14ac:dyDescent="0.25">
      <c r="A848" s="6">
        <v>5389</v>
      </c>
      <c r="B848" s="6">
        <v>38336</v>
      </c>
      <c r="C848" s="19">
        <v>41187</v>
      </c>
      <c r="D848" s="6" t="s">
        <v>30</v>
      </c>
      <c r="E848" s="6">
        <f>IF((ISBLANK($B$1)),"",Sheet1!Q854)</f>
        <v>4100</v>
      </c>
      <c r="F848" s="20" t="s">
        <v>26</v>
      </c>
      <c r="G848" s="53">
        <f t="shared" si="14"/>
        <v>-0.79926164049742576</v>
      </c>
      <c r="H848" s="35"/>
      <c r="P848" s="6"/>
    </row>
    <row r="849" spans="1:16" ht="14.4" x14ac:dyDescent="0.25">
      <c r="A849" s="6">
        <v>5390</v>
      </c>
      <c r="B849" s="6">
        <v>38336</v>
      </c>
      <c r="C849" s="19">
        <v>41187</v>
      </c>
      <c r="D849" s="6" t="s">
        <v>30</v>
      </c>
      <c r="E849" s="6">
        <f>IF((ISBLANK($B$1)),"",Sheet1!Q855)</f>
        <v>4950</v>
      </c>
      <c r="F849" s="20" t="s">
        <v>27</v>
      </c>
      <c r="G849" s="53">
        <f t="shared" si="14"/>
        <v>0.37454949130568621</v>
      </c>
      <c r="H849" s="35"/>
      <c r="P849" s="6"/>
    </row>
    <row r="850" spans="1:16" ht="14.4" x14ac:dyDescent="0.25">
      <c r="A850" s="6">
        <v>5430</v>
      </c>
      <c r="B850" s="6">
        <v>38565</v>
      </c>
      <c r="C850" s="19">
        <v>39897</v>
      </c>
      <c r="D850" s="6" t="s">
        <v>30</v>
      </c>
      <c r="E850" s="6">
        <f>IF((ISBLANK($B$1)),"",Sheet1!Q856)</f>
        <v>4400</v>
      </c>
      <c r="F850" s="20" t="s">
        <v>29</v>
      </c>
      <c r="G850" s="53">
        <f t="shared" si="14"/>
        <v>-0.38497535868456267</v>
      </c>
      <c r="H850" s="35"/>
      <c r="P850" s="6"/>
    </row>
    <row r="851" spans="1:16" ht="14.4" x14ac:dyDescent="0.25">
      <c r="A851" s="6">
        <v>5615</v>
      </c>
      <c r="B851" s="6">
        <v>39783</v>
      </c>
      <c r="C851" s="19">
        <v>41172</v>
      </c>
      <c r="D851" s="6" t="s">
        <v>28</v>
      </c>
      <c r="E851" s="6">
        <f>IF((ISBLANK($B$1)),"",Sheet1!Q857)</f>
        <v>4350</v>
      </c>
      <c r="F851" s="20" t="s">
        <v>26</v>
      </c>
      <c r="G851" s="53">
        <f t="shared" si="14"/>
        <v>-0.45402307232003986</v>
      </c>
      <c r="H851" s="35"/>
      <c r="P851" s="6"/>
    </row>
    <row r="852" spans="1:16" ht="14.4" x14ac:dyDescent="0.25">
      <c r="A852" s="6">
        <v>5616</v>
      </c>
      <c r="B852" s="6">
        <v>39783</v>
      </c>
      <c r="C852" s="19">
        <v>41172</v>
      </c>
      <c r="D852" s="6" t="s">
        <v>28</v>
      </c>
      <c r="E852" s="6">
        <f>IF((ISBLANK($B$1)),"",Sheet1!Q858)</f>
        <v>4950</v>
      </c>
      <c r="F852" s="20" t="s">
        <v>26</v>
      </c>
      <c r="G852" s="53">
        <f t="shared" si="14"/>
        <v>0.37454949130568621</v>
      </c>
      <c r="H852" s="35"/>
      <c r="P852" s="6"/>
    </row>
    <row r="853" spans="1:16" ht="14.4" x14ac:dyDescent="0.25">
      <c r="A853" s="6">
        <v>5617</v>
      </c>
      <c r="B853" s="6">
        <v>39783</v>
      </c>
      <c r="C853" s="19">
        <v>41172</v>
      </c>
      <c r="D853" s="6" t="s">
        <v>28</v>
      </c>
      <c r="E853" s="6">
        <f>IF((ISBLANK($B$1)),"",Sheet1!Q859)</f>
        <v>4850</v>
      </c>
      <c r="F853" s="20" t="s">
        <v>26</v>
      </c>
      <c r="G853" s="53">
        <f t="shared" si="14"/>
        <v>0.23645406403473185</v>
      </c>
      <c r="H853" s="35"/>
      <c r="P853" s="6"/>
    </row>
    <row r="854" spans="1:16" ht="14.4" x14ac:dyDescent="0.25">
      <c r="A854" s="6">
        <v>5997</v>
      </c>
      <c r="B854" s="6">
        <v>42500</v>
      </c>
      <c r="C854" s="19">
        <v>40214</v>
      </c>
      <c r="D854" s="6" t="s">
        <v>28</v>
      </c>
      <c r="E854" s="6">
        <f>IF((ISBLANK($B$1)),"",Sheet1!Q860)</f>
        <v>5350</v>
      </c>
      <c r="F854" s="20" t="s">
        <v>26</v>
      </c>
      <c r="G854" s="53">
        <f t="shared" si="14"/>
        <v>0.92693120038950361</v>
      </c>
      <c r="H854" s="35"/>
      <c r="P854" s="6"/>
    </row>
    <row r="855" spans="1:16" ht="14.4" x14ac:dyDescent="0.25">
      <c r="A855" s="6">
        <v>5998</v>
      </c>
      <c r="B855" s="6">
        <v>42500</v>
      </c>
      <c r="C855" s="19">
        <v>40214</v>
      </c>
      <c r="D855" s="6" t="s">
        <v>28</v>
      </c>
      <c r="E855" s="6">
        <f>IF((ISBLANK($B$1)),"",Sheet1!Q861)</f>
        <v>3500</v>
      </c>
      <c r="F855" s="20" t="s">
        <v>26</v>
      </c>
      <c r="G855" s="53">
        <f t="shared" si="14"/>
        <v>-1.6278342041231517</v>
      </c>
      <c r="H855" s="35"/>
      <c r="P855" s="6"/>
    </row>
    <row r="856" spans="1:16" ht="14.4" x14ac:dyDescent="0.25">
      <c r="A856" s="6">
        <v>6233</v>
      </c>
      <c r="B856" s="6">
        <v>44162</v>
      </c>
      <c r="C856" s="19">
        <v>40256</v>
      </c>
      <c r="D856" s="6" t="s">
        <v>17</v>
      </c>
      <c r="E856" s="6">
        <f>IF((ISBLANK($B$1)),"",Sheet1!Q862)</f>
        <v>5700</v>
      </c>
      <c r="F856" s="20" t="s">
        <v>26</v>
      </c>
      <c r="G856" s="53">
        <f t="shared" si="14"/>
        <v>1.4102651958378438</v>
      </c>
      <c r="H856" s="35"/>
      <c r="P856" s="6"/>
    </row>
    <row r="857" spans="1:16" ht="14.4" x14ac:dyDescent="0.25">
      <c r="A857" s="6">
        <v>6246</v>
      </c>
      <c r="B857" s="6">
        <v>44256</v>
      </c>
      <c r="C857" s="19">
        <v>40866</v>
      </c>
      <c r="D857" s="6" t="s">
        <v>25</v>
      </c>
      <c r="E857" s="6">
        <f>IF((ISBLANK($B$1)),"",Sheet1!Q863)</f>
        <v>5350</v>
      </c>
      <c r="F857" s="20" t="s">
        <v>26</v>
      </c>
      <c r="G857" s="53">
        <f t="shared" si="14"/>
        <v>0.92693120038950361</v>
      </c>
      <c r="H857" s="35"/>
      <c r="P857" s="6"/>
    </row>
    <row r="858" spans="1:16" ht="14.4" x14ac:dyDescent="0.25">
      <c r="A858" s="6">
        <v>6247</v>
      </c>
      <c r="B858" s="6">
        <v>44256</v>
      </c>
      <c r="C858" s="19">
        <v>40866</v>
      </c>
      <c r="D858" s="6" t="s">
        <v>25</v>
      </c>
      <c r="E858" s="6">
        <f>IF((ISBLANK($B$1)),"",Sheet1!Q864)</f>
        <v>4250</v>
      </c>
      <c r="F858" s="20" t="s">
        <v>26</v>
      </c>
      <c r="G858" s="53">
        <f t="shared" si="14"/>
        <v>-0.59211849959099416</v>
      </c>
      <c r="H858" s="35"/>
      <c r="P858" s="6"/>
    </row>
    <row r="859" spans="1:16" ht="14.4" x14ac:dyDescent="0.25">
      <c r="A859" s="6">
        <v>6248</v>
      </c>
      <c r="B859" s="6">
        <v>44256</v>
      </c>
      <c r="C859" s="19">
        <v>40866</v>
      </c>
      <c r="D859" s="6" t="s">
        <v>25</v>
      </c>
      <c r="E859" s="6">
        <f>IF((ISBLANK($B$1)),"",Sheet1!Q865)</f>
        <v>5850</v>
      </c>
      <c r="F859" s="20" t="s">
        <v>26</v>
      </c>
      <c r="G859" s="53">
        <f t="shared" si="14"/>
        <v>1.6174083367442753</v>
      </c>
      <c r="H859" s="35"/>
      <c r="P859" s="6"/>
    </row>
    <row r="860" spans="1:16" ht="14.4" x14ac:dyDescent="0.25">
      <c r="A860" s="6">
        <v>6261</v>
      </c>
      <c r="B860" s="6">
        <v>44320</v>
      </c>
      <c r="C860" s="19">
        <v>39932</v>
      </c>
      <c r="D860" s="6" t="s">
        <v>16</v>
      </c>
      <c r="E860" s="6">
        <f>IF((ISBLANK($B$1)),"",Sheet1!Q866)</f>
        <v>5850</v>
      </c>
      <c r="F860" s="20" t="s">
        <v>29</v>
      </c>
      <c r="G860" s="53">
        <f t="shared" si="14"/>
        <v>1.6174083367442753</v>
      </c>
      <c r="H860" s="35"/>
      <c r="P860" s="6"/>
    </row>
    <row r="861" spans="1:16" ht="14.4" x14ac:dyDescent="0.25">
      <c r="A861" s="6">
        <v>6386</v>
      </c>
      <c r="B861" s="6">
        <v>45377</v>
      </c>
      <c r="C861" s="19">
        <v>40636</v>
      </c>
      <c r="D861" s="6" t="s">
        <v>25</v>
      </c>
      <c r="E861" s="6">
        <f>IF((ISBLANK($B$1)),"",Sheet1!Q867)</f>
        <v>5750</v>
      </c>
      <c r="F861" s="20" t="s">
        <v>26</v>
      </c>
      <c r="G861" s="53">
        <f t="shared" si="14"/>
        <v>1.4793129094733208</v>
      </c>
      <c r="H861" s="35"/>
      <c r="P861" s="6"/>
    </row>
    <row r="862" spans="1:16" ht="14.4" x14ac:dyDescent="0.25">
      <c r="A862" s="6">
        <v>6658</v>
      </c>
      <c r="B862" s="6">
        <v>47367</v>
      </c>
      <c r="C862" s="19">
        <v>40649</v>
      </c>
      <c r="D862" s="6" t="s">
        <v>16</v>
      </c>
      <c r="E862" s="6">
        <f>IF((ISBLANK($B$1)),"",Sheet1!Q868)</f>
        <v>3750</v>
      </c>
      <c r="F862" s="20" t="s">
        <v>26</v>
      </c>
      <c r="G862" s="53">
        <f t="shared" si="14"/>
        <v>-1.282595635945766</v>
      </c>
      <c r="H862" s="35"/>
      <c r="P862" s="6"/>
    </row>
    <row r="863" spans="1:16" ht="14.4" x14ac:dyDescent="0.25">
      <c r="A863" s="6">
        <v>6659</v>
      </c>
      <c r="B863" s="6">
        <v>47367</v>
      </c>
      <c r="C863" s="19">
        <v>40649</v>
      </c>
      <c r="D863" s="6" t="s">
        <v>16</v>
      </c>
      <c r="E863" s="6">
        <f>IF((ISBLANK($B$1)),"",Sheet1!Q869)</f>
        <v>3700</v>
      </c>
      <c r="F863" s="20" t="s">
        <v>26</v>
      </c>
      <c r="G863" s="53">
        <f t="shared" si="14"/>
        <v>-1.351643349581243</v>
      </c>
      <c r="H863" s="35"/>
      <c r="P863" s="6"/>
    </row>
    <row r="864" spans="1:16" ht="14.4" x14ac:dyDescent="0.25">
      <c r="A864" s="6">
        <v>6705</v>
      </c>
      <c r="B864" s="6">
        <v>47750</v>
      </c>
      <c r="C864" s="19">
        <v>40344</v>
      </c>
      <c r="D864" s="6" t="s">
        <v>25</v>
      </c>
      <c r="E864" s="6">
        <f>IF((ISBLANK($B$1)),"",Sheet1!Q870)</f>
        <v>5250</v>
      </c>
      <c r="F864" s="20" t="s">
        <v>26</v>
      </c>
      <c r="G864" s="53">
        <f t="shared" si="14"/>
        <v>0.78883577311854924</v>
      </c>
      <c r="H864" s="35"/>
      <c r="P864" s="6"/>
    </row>
    <row r="865" spans="1:16" ht="14.4" x14ac:dyDescent="0.25">
      <c r="A865" s="6">
        <v>6706</v>
      </c>
      <c r="B865" s="6">
        <v>47750</v>
      </c>
      <c r="C865" s="19">
        <v>40344</v>
      </c>
      <c r="D865" s="6" t="s">
        <v>25</v>
      </c>
      <c r="E865" s="6">
        <f>IF((ISBLANK($B$1)),"",Sheet1!Q871)</f>
        <v>5550</v>
      </c>
      <c r="F865" s="20" t="s">
        <v>29</v>
      </c>
      <c r="G865" s="53">
        <f t="shared" si="14"/>
        <v>1.2031220549314123</v>
      </c>
      <c r="H865" s="35"/>
      <c r="P865" s="6"/>
    </row>
    <row r="866" spans="1:16" ht="14.4" x14ac:dyDescent="0.25">
      <c r="A866" s="6">
        <v>6791</v>
      </c>
      <c r="B866" s="6">
        <v>48388</v>
      </c>
      <c r="C866" s="19">
        <v>40034</v>
      </c>
      <c r="D866" s="6" t="s">
        <v>17</v>
      </c>
      <c r="E866" s="6">
        <f>IF((ISBLANK($B$1)),"",Sheet1!Q872)</f>
        <v>3550</v>
      </c>
      <c r="F866" s="20" t="s">
        <v>26</v>
      </c>
      <c r="G866" s="53">
        <f t="shared" si="14"/>
        <v>-1.5587864904876745</v>
      </c>
      <c r="H866" s="35"/>
      <c r="P866" s="6"/>
    </row>
    <row r="867" spans="1:16" ht="14.4" x14ac:dyDescent="0.25">
      <c r="A867" s="6">
        <v>6882</v>
      </c>
      <c r="B867" s="6">
        <v>49059</v>
      </c>
      <c r="C867" s="19">
        <v>40076</v>
      </c>
      <c r="D867" s="6" t="s">
        <v>16</v>
      </c>
      <c r="E867" s="6">
        <f>IF((ISBLANK($B$1)),"",Sheet1!Q873)</f>
        <v>5800</v>
      </c>
      <c r="F867" s="20" t="s">
        <v>26</v>
      </c>
      <c r="G867" s="53">
        <f t="shared" si="14"/>
        <v>1.5483606231087981</v>
      </c>
      <c r="H867" s="35"/>
      <c r="P867" s="6"/>
    </row>
    <row r="868" spans="1:16" ht="14.4" x14ac:dyDescent="0.25">
      <c r="A868" s="6">
        <v>6883</v>
      </c>
      <c r="B868" s="6">
        <v>49059</v>
      </c>
      <c r="C868" s="19">
        <v>40076</v>
      </c>
      <c r="D868" s="6" t="s">
        <v>16</v>
      </c>
      <c r="E868" s="6">
        <f>IF((ISBLANK($B$1)),"",Sheet1!Q874)</f>
        <v>3650</v>
      </c>
      <c r="F868" s="20" t="s">
        <v>26</v>
      </c>
      <c r="G868" s="53">
        <f t="shared" si="14"/>
        <v>-1.4206910632167202</v>
      </c>
      <c r="H868" s="35"/>
      <c r="P868" s="6"/>
    </row>
    <row r="869" spans="1:16" ht="14.4" x14ac:dyDescent="0.25">
      <c r="A869" s="6">
        <v>6938</v>
      </c>
      <c r="B869" s="6">
        <v>49510</v>
      </c>
      <c r="C869" s="19">
        <v>40988</v>
      </c>
      <c r="D869" s="6" t="s">
        <v>30</v>
      </c>
      <c r="E869" s="6">
        <f>IF((ISBLANK($B$1)),"",Sheet1!Q875)</f>
        <v>4200</v>
      </c>
      <c r="F869" s="20" t="s">
        <v>26</v>
      </c>
      <c r="G869" s="53">
        <f t="shared" si="14"/>
        <v>-0.6611662132264714</v>
      </c>
      <c r="H869" s="35"/>
      <c r="P869" s="6"/>
    </row>
    <row r="870" spans="1:16" ht="14.4" x14ac:dyDescent="0.25">
      <c r="A870" s="6">
        <v>6949</v>
      </c>
      <c r="B870" s="6">
        <v>49634</v>
      </c>
      <c r="C870" s="19">
        <v>40991</v>
      </c>
      <c r="D870" s="6" t="s">
        <v>28</v>
      </c>
      <c r="E870" s="6">
        <f>IF((ISBLANK($B$1)),"",Sheet1!Q876)</f>
        <v>5650</v>
      </c>
      <c r="F870" s="20" t="s">
        <v>26</v>
      </c>
      <c r="G870" s="53">
        <f t="shared" si="14"/>
        <v>1.3412174822023666</v>
      </c>
      <c r="H870" s="35"/>
      <c r="P870" s="6"/>
    </row>
    <row r="871" spans="1:16" ht="14.4" x14ac:dyDescent="0.25">
      <c r="A871" s="6">
        <v>7035</v>
      </c>
      <c r="B871" s="6">
        <v>50210</v>
      </c>
      <c r="C871" s="19">
        <v>40378</v>
      </c>
      <c r="D871" s="6" t="s">
        <v>25</v>
      </c>
      <c r="E871" s="6">
        <f>IF((ISBLANK($B$1)),"",Sheet1!Q877)</f>
        <v>5750</v>
      </c>
      <c r="F871" s="20" t="s">
        <v>26</v>
      </c>
      <c r="G871" s="53">
        <f t="shared" si="14"/>
        <v>1.4793129094733208</v>
      </c>
      <c r="H871" s="35"/>
      <c r="P871" s="6"/>
    </row>
    <row r="872" spans="1:16" ht="14.4" x14ac:dyDescent="0.25">
      <c r="A872" s="6">
        <v>7036</v>
      </c>
      <c r="B872" s="6">
        <v>50210</v>
      </c>
      <c r="C872" s="19">
        <v>40378</v>
      </c>
      <c r="D872" s="6" t="s">
        <v>25</v>
      </c>
      <c r="E872" s="6">
        <f>IF((ISBLANK($B$1)),"",Sheet1!Q878)</f>
        <v>4150</v>
      </c>
      <c r="F872" s="20" t="s">
        <v>26</v>
      </c>
      <c r="G872" s="53">
        <f t="shared" si="14"/>
        <v>-0.73021392686194853</v>
      </c>
      <c r="H872" s="35"/>
      <c r="P872" s="6"/>
    </row>
    <row r="873" spans="1:16" ht="14.4" x14ac:dyDescent="0.25">
      <c r="A873" s="6">
        <v>7079</v>
      </c>
      <c r="B873" s="6">
        <v>50503</v>
      </c>
      <c r="C873" s="19">
        <v>41234</v>
      </c>
      <c r="D873" s="6" t="s">
        <v>16</v>
      </c>
      <c r="E873" s="6">
        <f>IF((ISBLANK($B$1)),"",Sheet1!Q879)</f>
        <v>4800</v>
      </c>
      <c r="F873" s="20" t="s">
        <v>27</v>
      </c>
      <c r="G873" s="53">
        <f t="shared" si="14"/>
        <v>0.16740635039925467</v>
      </c>
      <c r="H873" s="35"/>
      <c r="P873" s="6"/>
    </row>
    <row r="874" spans="1:16" ht="14.4" x14ac:dyDescent="0.25">
      <c r="A874" s="6">
        <v>7120</v>
      </c>
      <c r="B874" s="6">
        <v>50816</v>
      </c>
      <c r="C874" s="19">
        <v>39899</v>
      </c>
      <c r="D874" s="6" t="s">
        <v>17</v>
      </c>
      <c r="E874" s="6">
        <f>IF((ISBLANK($B$1)),"",Sheet1!Q880)</f>
        <v>4650</v>
      </c>
      <c r="F874" s="20" t="s">
        <v>26</v>
      </c>
      <c r="G874" s="53">
        <f t="shared" si="14"/>
        <v>-3.9736790507176829E-2</v>
      </c>
      <c r="H874" s="35"/>
      <c r="P874" s="6"/>
    </row>
    <row r="875" spans="1:16" ht="14.4" x14ac:dyDescent="0.25">
      <c r="A875" s="6">
        <v>7121</v>
      </c>
      <c r="B875" s="6">
        <v>50816</v>
      </c>
      <c r="C875" s="19">
        <v>39899</v>
      </c>
      <c r="D875" s="6" t="s">
        <v>17</v>
      </c>
      <c r="E875" s="6">
        <f>IF((ISBLANK($B$1)),"",Sheet1!Q881)</f>
        <v>4700</v>
      </c>
      <c r="F875" s="20" t="s">
        <v>26</v>
      </c>
      <c r="G875" s="53">
        <f t="shared" si="14"/>
        <v>2.9310923128300338E-2</v>
      </c>
      <c r="H875" s="35"/>
      <c r="P875" s="6"/>
    </row>
    <row r="876" spans="1:16" ht="14.4" x14ac:dyDescent="0.25">
      <c r="A876" s="6">
        <v>7122</v>
      </c>
      <c r="B876" s="6">
        <v>50816</v>
      </c>
      <c r="C876" s="19">
        <v>39899</v>
      </c>
      <c r="D876" s="6" t="s">
        <v>17</v>
      </c>
      <c r="E876" s="6">
        <f>IF((ISBLANK($B$1)),"",Sheet1!Q882)</f>
        <v>3700</v>
      </c>
      <c r="F876" s="20" t="s">
        <v>27</v>
      </c>
      <c r="G876" s="53">
        <f t="shared" si="14"/>
        <v>-1.351643349581243</v>
      </c>
      <c r="H876" s="35"/>
      <c r="P876" s="6"/>
    </row>
    <row r="877" spans="1:16" ht="14.4" x14ac:dyDescent="0.25">
      <c r="A877" s="6">
        <v>7159</v>
      </c>
      <c r="B877" s="6">
        <v>51073</v>
      </c>
      <c r="C877" s="19">
        <v>40312</v>
      </c>
      <c r="D877" s="6" t="s">
        <v>28</v>
      </c>
      <c r="E877" s="6">
        <f>IF((ISBLANK($B$1)),"",Sheet1!Q883)</f>
        <v>4250</v>
      </c>
      <c r="F877" s="20" t="s">
        <v>29</v>
      </c>
      <c r="G877" s="53">
        <f t="shared" si="14"/>
        <v>-0.59211849959099416</v>
      </c>
      <c r="H877" s="35"/>
      <c r="P877" s="6"/>
    </row>
    <row r="878" spans="1:16" ht="14.4" x14ac:dyDescent="0.25">
      <c r="A878" s="6">
        <v>7160</v>
      </c>
      <c r="B878" s="6">
        <v>51073</v>
      </c>
      <c r="C878" s="19">
        <v>40312</v>
      </c>
      <c r="D878" s="6" t="s">
        <v>28</v>
      </c>
      <c r="E878" s="6">
        <f>IF((ISBLANK($B$1)),"",Sheet1!Q884)</f>
        <v>5850</v>
      </c>
      <c r="F878" s="20" t="s">
        <v>29</v>
      </c>
      <c r="G878" s="53">
        <f t="shared" si="14"/>
        <v>1.6174083367442753</v>
      </c>
      <c r="H878" s="35"/>
      <c r="P878" s="6"/>
    </row>
    <row r="879" spans="1:16" ht="14.4" x14ac:dyDescent="0.25">
      <c r="A879" s="6">
        <v>7235</v>
      </c>
      <c r="B879" s="6">
        <v>51584</v>
      </c>
      <c r="C879" s="19">
        <v>40468</v>
      </c>
      <c r="D879" s="6" t="s">
        <v>30</v>
      </c>
      <c r="E879" s="6">
        <f>IF((ISBLANK($B$1)),"",Sheet1!Q885)</f>
        <v>5800</v>
      </c>
      <c r="F879" s="20" t="s">
        <v>29</v>
      </c>
      <c r="G879" s="53">
        <f t="shared" si="14"/>
        <v>1.5483606231087981</v>
      </c>
      <c r="H879" s="35"/>
      <c r="P879" s="6"/>
    </row>
    <row r="880" spans="1:16" ht="14.4" x14ac:dyDescent="0.25">
      <c r="A880" s="6">
        <v>7273</v>
      </c>
      <c r="B880" s="6">
        <v>51879</v>
      </c>
      <c r="C880" s="19">
        <v>40414</v>
      </c>
      <c r="D880" s="6" t="s">
        <v>28</v>
      </c>
      <c r="E880" s="6">
        <f>IF((ISBLANK($B$1)),"",Sheet1!Q886)</f>
        <v>4700</v>
      </c>
      <c r="F880" s="20" t="s">
        <v>29</v>
      </c>
      <c r="G880" s="53">
        <f t="shared" si="14"/>
        <v>2.9310923128300338E-2</v>
      </c>
      <c r="H880" s="35"/>
      <c r="P880" s="6"/>
    </row>
    <row r="881" spans="1:16" ht="14.4" x14ac:dyDescent="0.25">
      <c r="A881" s="6">
        <v>7274</v>
      </c>
      <c r="B881" s="6">
        <v>51879</v>
      </c>
      <c r="C881" s="19">
        <v>40414</v>
      </c>
      <c r="D881" s="6" t="s">
        <v>28</v>
      </c>
      <c r="E881" s="6">
        <f>IF((ISBLANK($B$1)),"",Sheet1!Q887)</f>
        <v>5700</v>
      </c>
      <c r="F881" s="20" t="s">
        <v>26</v>
      </c>
      <c r="G881" s="53">
        <f t="shared" si="14"/>
        <v>1.4102651958378438</v>
      </c>
      <c r="H881" s="35"/>
      <c r="P881" s="6"/>
    </row>
    <row r="882" spans="1:16" ht="14.4" x14ac:dyDescent="0.25">
      <c r="A882" s="6">
        <v>7335</v>
      </c>
      <c r="B882" s="6">
        <v>52288</v>
      </c>
      <c r="C882" s="19">
        <v>40765</v>
      </c>
      <c r="D882" s="6" t="s">
        <v>17</v>
      </c>
      <c r="E882" s="6">
        <f>IF((ISBLANK($B$1)),"",Sheet1!Q888)</f>
        <v>4350</v>
      </c>
      <c r="F882" s="20" t="s">
        <v>29</v>
      </c>
      <c r="G882" s="53">
        <f t="shared" si="14"/>
        <v>-0.45402307232003986</v>
      </c>
      <c r="H882" s="35"/>
      <c r="P882" s="6"/>
    </row>
    <row r="883" spans="1:16" ht="14.4" x14ac:dyDescent="0.25">
      <c r="A883" s="6">
        <v>7456</v>
      </c>
      <c r="B883" s="6">
        <v>53190</v>
      </c>
      <c r="C883" s="19">
        <v>40080</v>
      </c>
      <c r="D883" s="6" t="s">
        <v>16</v>
      </c>
      <c r="E883" s="6">
        <f>IF((ISBLANK($B$1)),"",Sheet1!Q889)</f>
        <v>3900</v>
      </c>
      <c r="F883" s="20" t="s">
        <v>26</v>
      </c>
      <c r="G883" s="53">
        <f t="shared" si="14"/>
        <v>-1.0754524950393345</v>
      </c>
      <c r="H883" s="35"/>
      <c r="P883" s="6"/>
    </row>
    <row r="884" spans="1:16" ht="14.4" x14ac:dyDescent="0.25">
      <c r="A884" s="6">
        <v>7457</v>
      </c>
      <c r="B884" s="6">
        <v>53190</v>
      </c>
      <c r="C884" s="19">
        <v>40080</v>
      </c>
      <c r="D884" s="6" t="s">
        <v>16</v>
      </c>
      <c r="E884" s="6">
        <f>IF((ISBLANK($B$1)),"",Sheet1!Q890)</f>
        <v>3850</v>
      </c>
      <c r="F884" s="20" t="s">
        <v>27</v>
      </c>
      <c r="G884" s="53">
        <f t="shared" si="14"/>
        <v>-1.1445002086748115</v>
      </c>
      <c r="H884" s="35"/>
      <c r="P884" s="6"/>
    </row>
    <row r="885" spans="1:16" ht="14.4" x14ac:dyDescent="0.25">
      <c r="A885" s="6">
        <v>7502</v>
      </c>
      <c r="B885" s="6">
        <v>53536</v>
      </c>
      <c r="C885" s="19">
        <v>41212</v>
      </c>
      <c r="D885" s="6" t="s">
        <v>17</v>
      </c>
      <c r="E885" s="6">
        <f>IF((ISBLANK($B$1)),"",Sheet1!Q891)</f>
        <v>5150</v>
      </c>
      <c r="F885" s="20" t="s">
        <v>29</v>
      </c>
      <c r="G885" s="53">
        <f t="shared" si="14"/>
        <v>0.65074034584759488</v>
      </c>
      <c r="H885" s="35"/>
      <c r="P885" s="6"/>
    </row>
    <row r="886" spans="1:16" ht="14.4" x14ac:dyDescent="0.25">
      <c r="A886" s="6">
        <v>7503</v>
      </c>
      <c r="B886" s="6">
        <v>53536</v>
      </c>
      <c r="C886" s="19">
        <v>41212</v>
      </c>
      <c r="D886" s="6" t="s">
        <v>17</v>
      </c>
      <c r="E886" s="6">
        <f>IF((ISBLANK($B$1)),"",Sheet1!Q892)</f>
        <v>3650</v>
      </c>
      <c r="F886" s="20" t="s">
        <v>29</v>
      </c>
      <c r="G886" s="53">
        <f t="shared" si="14"/>
        <v>-1.4206910632167202</v>
      </c>
      <c r="H886" s="35"/>
      <c r="P886" s="6"/>
    </row>
    <row r="887" spans="1:16" ht="14.4" x14ac:dyDescent="0.25">
      <c r="A887" s="6">
        <v>7506</v>
      </c>
      <c r="B887" s="6">
        <v>53572</v>
      </c>
      <c r="C887" s="19">
        <v>40305</v>
      </c>
      <c r="D887" s="6" t="s">
        <v>16</v>
      </c>
      <c r="E887" s="6">
        <f>IF((ISBLANK($B$1)),"",Sheet1!Q893)</f>
        <v>4250</v>
      </c>
      <c r="F887" s="20" t="s">
        <v>26</v>
      </c>
      <c r="G887" s="53">
        <f t="shared" si="14"/>
        <v>-0.59211849959099416</v>
      </c>
      <c r="H887" s="35"/>
      <c r="P887" s="6"/>
    </row>
    <row r="888" spans="1:16" ht="14.4" x14ac:dyDescent="0.25">
      <c r="A888" s="6">
        <v>7534</v>
      </c>
      <c r="B888" s="6">
        <v>53863</v>
      </c>
      <c r="C888" s="19">
        <v>40332</v>
      </c>
      <c r="D888" s="6" t="s">
        <v>17</v>
      </c>
      <c r="E888" s="6">
        <f>IF((ISBLANK($B$1)),"",Sheet1!Q895)</f>
        <v>5700</v>
      </c>
      <c r="F888" s="20" t="s">
        <v>26</v>
      </c>
      <c r="G888" s="53">
        <f t="shared" si="14"/>
        <v>1.4102651958378438</v>
      </c>
      <c r="H888" s="35"/>
      <c r="P888" s="6"/>
    </row>
    <row r="889" spans="1:16" ht="14.4" x14ac:dyDescent="0.25">
      <c r="A889" s="6">
        <v>7565</v>
      </c>
      <c r="B889" s="6">
        <v>54119</v>
      </c>
      <c r="C889" s="19">
        <v>40320</v>
      </c>
      <c r="D889" s="6" t="s">
        <v>16</v>
      </c>
      <c r="E889" s="6">
        <f>IF((ISBLANK($B$1)),"",Sheet1!Q896)</f>
        <v>5650</v>
      </c>
      <c r="F889" s="20" t="s">
        <v>26</v>
      </c>
      <c r="G889" s="53">
        <f t="shared" si="14"/>
        <v>1.3412174822023666</v>
      </c>
      <c r="H889" s="35"/>
      <c r="P889" s="6"/>
    </row>
    <row r="890" spans="1:16" ht="14.4" x14ac:dyDescent="0.25">
      <c r="A890" s="6">
        <v>7566</v>
      </c>
      <c r="B890" s="6">
        <v>54119</v>
      </c>
      <c r="C890" s="19">
        <v>40320</v>
      </c>
      <c r="D890" s="6" t="s">
        <v>16</v>
      </c>
      <c r="E890" s="6">
        <f>IF((ISBLANK($B$1)),"",Sheet1!Q897)</f>
        <v>3600</v>
      </c>
      <c r="F890" s="20" t="s">
        <v>26</v>
      </c>
      <c r="G890" s="53">
        <f t="shared" si="14"/>
        <v>-1.4897387768521975</v>
      </c>
      <c r="H890" s="35"/>
      <c r="P890" s="6"/>
    </row>
    <row r="891" spans="1:16" ht="14.4" x14ac:dyDescent="0.25">
      <c r="A891" s="6">
        <v>7861</v>
      </c>
      <c r="B891" s="6">
        <v>56224</v>
      </c>
      <c r="C891" s="19">
        <v>41207</v>
      </c>
      <c r="D891" s="6" t="s">
        <v>16</v>
      </c>
      <c r="E891" s="6">
        <f>IF((ISBLANK($B$1)),"",Sheet1!Q898)</f>
        <v>5150</v>
      </c>
      <c r="F891" s="20" t="s">
        <v>26</v>
      </c>
      <c r="G891" s="53">
        <f t="shared" si="14"/>
        <v>0.65074034584759488</v>
      </c>
      <c r="H891" s="35"/>
      <c r="P891" s="6"/>
    </row>
    <row r="892" spans="1:16" ht="14.4" x14ac:dyDescent="0.25">
      <c r="A892" s="6">
        <v>7862</v>
      </c>
      <c r="B892" s="6">
        <v>56224</v>
      </c>
      <c r="C892" s="19">
        <v>41207</v>
      </c>
      <c r="D892" s="6" t="s">
        <v>16</v>
      </c>
      <c r="E892" s="6">
        <f>IF((ISBLANK($B$1)),"",Sheet1!Q899)</f>
        <v>5000</v>
      </c>
      <c r="F892" s="20" t="s">
        <v>29</v>
      </c>
      <c r="G892" s="53">
        <f t="shared" si="14"/>
        <v>0.44359720494116334</v>
      </c>
      <c r="H892" s="35"/>
      <c r="P892" s="6"/>
    </row>
    <row r="893" spans="1:16" ht="14.4" x14ac:dyDescent="0.25">
      <c r="A893" s="6">
        <v>7863</v>
      </c>
      <c r="B893" s="6">
        <v>56224</v>
      </c>
      <c r="C893" s="19">
        <v>41207</v>
      </c>
      <c r="D893" s="6" t="s">
        <v>16</v>
      </c>
      <c r="E893" s="6">
        <f>IF((ISBLANK($B$1)),"",Sheet1!Q900)</f>
        <v>5700</v>
      </c>
      <c r="F893" s="20" t="s">
        <v>26</v>
      </c>
      <c r="G893" s="53">
        <f t="shared" si="14"/>
        <v>1.4102651958378438</v>
      </c>
      <c r="H893" s="35"/>
      <c r="P893" s="6"/>
    </row>
    <row r="894" spans="1:16" ht="14.4" x14ac:dyDescent="0.25">
      <c r="A894" s="6">
        <v>7864</v>
      </c>
      <c r="B894" s="6">
        <v>56224</v>
      </c>
      <c r="C894" s="19">
        <v>41207</v>
      </c>
      <c r="D894" s="6" t="s">
        <v>16</v>
      </c>
      <c r="E894" s="6">
        <f>IF((ISBLANK($B$1)),"",Sheet1!Q901)</f>
        <v>3850</v>
      </c>
      <c r="F894" s="20" t="s">
        <v>29</v>
      </c>
      <c r="G894" s="53">
        <f t="shared" si="14"/>
        <v>-1.1445002086748115</v>
      </c>
      <c r="H894" s="35"/>
      <c r="P894" s="6"/>
    </row>
    <row r="895" spans="1:16" ht="14.4" x14ac:dyDescent="0.25">
      <c r="A895" s="6">
        <v>7873</v>
      </c>
      <c r="B895" s="6">
        <v>56293</v>
      </c>
      <c r="C895" s="19">
        <v>40183</v>
      </c>
      <c r="D895" s="6" t="s">
        <v>28</v>
      </c>
      <c r="E895" s="6">
        <f>IF((ISBLANK($B$1)),"",Sheet1!Q902)</f>
        <v>5100</v>
      </c>
      <c r="F895" s="20" t="s">
        <v>29</v>
      </c>
      <c r="G895" s="53">
        <f t="shared" si="14"/>
        <v>0.58169263221211776</v>
      </c>
      <c r="H895" s="35"/>
      <c r="P895" s="6"/>
    </row>
    <row r="896" spans="1:16" ht="14.4" x14ac:dyDescent="0.25">
      <c r="A896" s="6">
        <v>7874</v>
      </c>
      <c r="B896" s="6">
        <v>56293</v>
      </c>
      <c r="C896" s="19">
        <v>40183</v>
      </c>
      <c r="D896" s="6" t="s">
        <v>28</v>
      </c>
      <c r="E896" s="6">
        <f>IF((ISBLANK($B$1)),"",Sheet1!Q903)</f>
        <v>5600</v>
      </c>
      <c r="F896" s="20" t="s">
        <v>26</v>
      </c>
      <c r="G896" s="53">
        <f t="shared" si="14"/>
        <v>1.2721697685668893</v>
      </c>
      <c r="H896" s="35"/>
      <c r="P896" s="6"/>
    </row>
    <row r="897" spans="1:16" ht="14.4" x14ac:dyDescent="0.25">
      <c r="A897" s="6">
        <v>8116</v>
      </c>
      <c r="B897" s="6">
        <v>57959</v>
      </c>
      <c r="C897" s="19">
        <v>40907</v>
      </c>
      <c r="D897" s="6" t="s">
        <v>16</v>
      </c>
      <c r="E897" s="6">
        <f>IF((ISBLANK($B$1)),"",Sheet1!Q904)</f>
        <v>5400</v>
      </c>
      <c r="F897" s="20" t="s">
        <v>26</v>
      </c>
      <c r="G897" s="53">
        <f t="shared" si="14"/>
        <v>0.99597891402498073</v>
      </c>
      <c r="H897" s="35"/>
      <c r="P897" s="6"/>
    </row>
    <row r="898" spans="1:16" ht="14.4" x14ac:dyDescent="0.25">
      <c r="A898" s="6">
        <v>8117</v>
      </c>
      <c r="B898" s="6">
        <v>57959</v>
      </c>
      <c r="C898" s="19">
        <v>40907</v>
      </c>
      <c r="D898" s="6" t="s">
        <v>16</v>
      </c>
      <c r="E898" s="6">
        <f>IF((ISBLANK($B$1)),"",Sheet1!Q905)</f>
        <v>5800</v>
      </c>
      <c r="F898" s="20" t="s">
        <v>27</v>
      </c>
      <c r="G898" s="53">
        <f t="shared" si="14"/>
        <v>1.5483606231087981</v>
      </c>
      <c r="H898" s="35"/>
      <c r="P898" s="6"/>
    </row>
    <row r="899" spans="1:16" ht="14.4" x14ac:dyDescent="0.25">
      <c r="A899" s="6">
        <v>8184</v>
      </c>
      <c r="B899" s="6">
        <v>58500</v>
      </c>
      <c r="C899" s="19">
        <v>40588</v>
      </c>
      <c r="D899" s="6" t="s">
        <v>25</v>
      </c>
      <c r="E899" s="6">
        <f>IF((ISBLANK($B$1)),"",Sheet1!Q906)</f>
        <v>4250</v>
      </c>
      <c r="F899" s="20" t="s">
        <v>27</v>
      </c>
      <c r="G899" s="53">
        <f t="shared" si="14"/>
        <v>-0.59211849959099416</v>
      </c>
      <c r="H899" s="35"/>
      <c r="P899" s="6"/>
    </row>
    <row r="900" spans="1:16" ht="14.4" x14ac:dyDescent="0.25">
      <c r="A900" s="6">
        <v>8335</v>
      </c>
      <c r="B900" s="6">
        <v>59584</v>
      </c>
      <c r="C900" s="19">
        <v>40326</v>
      </c>
      <c r="D900" s="6" t="s">
        <v>16</v>
      </c>
      <c r="E900" s="6">
        <f>IF((ISBLANK($B$1)),"",Sheet1!Q907)</f>
        <v>3550</v>
      </c>
      <c r="F900" s="20" t="s">
        <v>29</v>
      </c>
      <c r="G900" s="53">
        <f t="shared" si="14"/>
        <v>-1.5587864904876745</v>
      </c>
      <c r="H900" s="35"/>
      <c r="P900" s="6"/>
    </row>
    <row r="901" spans="1:16" ht="14.4" x14ac:dyDescent="0.25">
      <c r="A901" s="6">
        <v>8336</v>
      </c>
      <c r="B901" s="6">
        <v>59584</v>
      </c>
      <c r="C901" s="19">
        <v>40326</v>
      </c>
      <c r="D901" s="6" t="s">
        <v>16</v>
      </c>
      <c r="E901" s="6">
        <f>IF((ISBLANK($B$1)),"",Sheet1!Q908)</f>
        <v>3750</v>
      </c>
      <c r="F901" s="20" t="s">
        <v>27</v>
      </c>
      <c r="G901" s="53">
        <f t="shared" si="14"/>
        <v>-1.282595635945766</v>
      </c>
      <c r="H901" s="35"/>
      <c r="P901" s="6"/>
    </row>
    <row r="902" spans="1:16" ht="14.4" x14ac:dyDescent="0.25">
      <c r="A902" s="6">
        <v>45</v>
      </c>
      <c r="B902" s="6">
        <v>261</v>
      </c>
      <c r="C902" s="19">
        <v>40357</v>
      </c>
      <c r="D902" s="6" t="s">
        <v>16</v>
      </c>
      <c r="E902" s="6">
        <f>IF((ISBLANK($B$1)),"",Sheet1!Q909)</f>
        <v>5750</v>
      </c>
      <c r="F902" s="20" t="s">
        <v>27</v>
      </c>
      <c r="G902" s="53">
        <f t="shared" si="14"/>
        <v>1.4793129094733208</v>
      </c>
      <c r="H902" s="35"/>
      <c r="P902" s="6"/>
    </row>
    <row r="903" spans="1:16" ht="14.4" x14ac:dyDescent="0.25">
      <c r="A903" s="6">
        <v>143</v>
      </c>
      <c r="B903" s="6">
        <v>928</v>
      </c>
      <c r="C903" s="19">
        <v>40603</v>
      </c>
      <c r="D903" s="6" t="s">
        <v>25</v>
      </c>
      <c r="E903" s="6">
        <f>IF((ISBLANK($B$1)),"",Sheet1!Q910)</f>
        <v>4450</v>
      </c>
      <c r="F903" s="20" t="s">
        <v>26</v>
      </c>
      <c r="G903" s="53">
        <f t="shared" si="14"/>
        <v>-0.31592764504908549</v>
      </c>
      <c r="H903" s="35"/>
      <c r="P903" s="6"/>
    </row>
    <row r="904" spans="1:16" ht="14.4" x14ac:dyDescent="0.25">
      <c r="A904" s="6">
        <v>144</v>
      </c>
      <c r="B904" s="6">
        <v>928</v>
      </c>
      <c r="C904" s="19">
        <v>40603</v>
      </c>
      <c r="D904" s="6" t="s">
        <v>25</v>
      </c>
      <c r="E904" s="6">
        <f>IF((ISBLANK($B$1)),"",Sheet1!Q911)</f>
        <v>4700</v>
      </c>
      <c r="F904" s="20" t="s">
        <v>29</v>
      </c>
      <c r="G904" s="53">
        <f t="shared" ref="G904:G967" si="15">STANDARDIZE(E904,$L$26,$L$35)</f>
        <v>2.9310923128300338E-2</v>
      </c>
      <c r="H904" s="35"/>
      <c r="P904" s="6"/>
    </row>
    <row r="905" spans="1:16" ht="14.4" x14ac:dyDescent="0.25">
      <c r="A905" s="6">
        <v>191</v>
      </c>
      <c r="B905" s="6">
        <v>1282</v>
      </c>
      <c r="C905" s="19">
        <v>40966</v>
      </c>
      <c r="D905" s="6" t="s">
        <v>28</v>
      </c>
      <c r="E905" s="6">
        <f>IF((ISBLANK($B$1)),"",Sheet1!Q912)</f>
        <v>4700</v>
      </c>
      <c r="F905" s="20" t="s">
        <v>27</v>
      </c>
      <c r="G905" s="53">
        <f t="shared" si="15"/>
        <v>2.9310923128300338E-2</v>
      </c>
      <c r="H905" s="35"/>
      <c r="P905" s="6"/>
    </row>
    <row r="906" spans="1:16" ht="14.4" x14ac:dyDescent="0.25">
      <c r="A906" s="6">
        <v>192</v>
      </c>
      <c r="B906" s="6">
        <v>1282</v>
      </c>
      <c r="C906" s="19">
        <v>40966</v>
      </c>
      <c r="D906" s="6" t="s">
        <v>28</v>
      </c>
      <c r="E906" s="6">
        <f>IF((ISBLANK($B$1)),"",Sheet1!Q913)</f>
        <v>3900</v>
      </c>
      <c r="F906" s="20" t="s">
        <v>26</v>
      </c>
      <c r="G906" s="53">
        <f t="shared" si="15"/>
        <v>-1.0754524950393345</v>
      </c>
      <c r="H906" s="35"/>
      <c r="P906" s="6"/>
    </row>
    <row r="907" spans="1:16" ht="14.4" x14ac:dyDescent="0.25">
      <c r="A907" s="6">
        <v>267</v>
      </c>
      <c r="B907" s="6">
        <v>1856</v>
      </c>
      <c r="C907" s="19">
        <v>40987</v>
      </c>
      <c r="D907" s="6" t="s">
        <v>28</v>
      </c>
      <c r="E907" s="6">
        <f>IF((ISBLANK($B$1)),"",Sheet1!Q914)</f>
        <v>4600</v>
      </c>
      <c r="F907" s="20" t="s">
        <v>26</v>
      </c>
      <c r="G907" s="53">
        <f t="shared" si="15"/>
        <v>-0.108784504142654</v>
      </c>
      <c r="H907" s="35"/>
      <c r="P907" s="6"/>
    </row>
    <row r="908" spans="1:16" ht="14.4" x14ac:dyDescent="0.25">
      <c r="A908" s="6">
        <v>268</v>
      </c>
      <c r="B908" s="6">
        <v>1856</v>
      </c>
      <c r="C908" s="19">
        <v>40987</v>
      </c>
      <c r="D908" s="6" t="s">
        <v>28</v>
      </c>
      <c r="E908" s="6">
        <f>IF((ISBLANK($B$1)),"",Sheet1!Q915)</f>
        <v>5550</v>
      </c>
      <c r="F908" s="20" t="s">
        <v>27</v>
      </c>
      <c r="G908" s="53">
        <f t="shared" si="15"/>
        <v>1.2031220549314123</v>
      </c>
      <c r="H908" s="35"/>
      <c r="P908" s="6"/>
    </row>
    <row r="909" spans="1:16" ht="14.4" x14ac:dyDescent="0.25">
      <c r="A909" s="6">
        <v>269</v>
      </c>
      <c r="B909" s="6">
        <v>1856</v>
      </c>
      <c r="C909" s="19">
        <v>40987</v>
      </c>
      <c r="D909" s="6" t="s">
        <v>28</v>
      </c>
      <c r="E909" s="6">
        <f>IF((ISBLANK($B$1)),"",Sheet1!Q916)</f>
        <v>5600</v>
      </c>
      <c r="F909" s="20" t="s">
        <v>27</v>
      </c>
      <c r="G909" s="53">
        <f t="shared" si="15"/>
        <v>1.2721697685668893</v>
      </c>
      <c r="H909" s="35"/>
      <c r="P909" s="6"/>
    </row>
    <row r="910" spans="1:16" ht="14.4" x14ac:dyDescent="0.25">
      <c r="A910" s="6">
        <v>280</v>
      </c>
      <c r="B910" s="6">
        <v>1925</v>
      </c>
      <c r="C910" s="19">
        <v>40972</v>
      </c>
      <c r="D910" s="6" t="s">
        <v>30</v>
      </c>
      <c r="E910" s="6">
        <f>IF((ISBLANK($B$1)),"",Sheet1!Q917)</f>
        <v>3750</v>
      </c>
      <c r="F910" s="20" t="s">
        <v>29</v>
      </c>
      <c r="G910" s="53">
        <f t="shared" si="15"/>
        <v>-1.282595635945766</v>
      </c>
      <c r="H910" s="35"/>
      <c r="P910" s="6"/>
    </row>
    <row r="911" spans="1:16" ht="14.4" x14ac:dyDescent="0.25">
      <c r="A911" s="6">
        <v>424</v>
      </c>
      <c r="B911" s="6">
        <v>2848</v>
      </c>
      <c r="C911" s="19">
        <v>40977</v>
      </c>
      <c r="D911" s="6" t="s">
        <v>30</v>
      </c>
      <c r="E911" s="6">
        <f>IF((ISBLANK($B$1)),"",Sheet1!Q918)</f>
        <v>5150</v>
      </c>
      <c r="F911" s="20" t="s">
        <v>29</v>
      </c>
      <c r="G911" s="53">
        <f t="shared" si="15"/>
        <v>0.65074034584759488</v>
      </c>
      <c r="H911" s="35"/>
      <c r="P911" s="6"/>
    </row>
    <row r="912" spans="1:16" ht="14.4" x14ac:dyDescent="0.25">
      <c r="A912" s="6">
        <v>425</v>
      </c>
      <c r="B912" s="6">
        <v>2848</v>
      </c>
      <c r="C912" s="19">
        <v>40977</v>
      </c>
      <c r="D912" s="6" t="s">
        <v>30</v>
      </c>
      <c r="E912" s="6">
        <f>IF((ISBLANK($B$1)),"",Sheet1!Q919)</f>
        <v>3800</v>
      </c>
      <c r="F912" s="20" t="s">
        <v>27</v>
      </c>
      <c r="G912" s="53">
        <f t="shared" si="15"/>
        <v>-1.2135479223102887</v>
      </c>
      <c r="H912" s="35"/>
      <c r="P912" s="6"/>
    </row>
    <row r="913" spans="1:16" ht="14.4" x14ac:dyDescent="0.25">
      <c r="A913" s="6">
        <v>767</v>
      </c>
      <c r="B913" s="6">
        <v>5504</v>
      </c>
      <c r="C913" s="19">
        <v>40183</v>
      </c>
      <c r="D913" s="6" t="s">
        <v>17</v>
      </c>
      <c r="E913" s="6">
        <f>IF((ISBLANK($B$1)),"",Sheet1!Q920)</f>
        <v>3700</v>
      </c>
      <c r="F913" s="20" t="s">
        <v>26</v>
      </c>
      <c r="G913" s="53">
        <f t="shared" si="15"/>
        <v>-1.351643349581243</v>
      </c>
      <c r="H913" s="35"/>
      <c r="P913" s="6"/>
    </row>
    <row r="914" spans="1:16" ht="14.4" x14ac:dyDescent="0.25">
      <c r="A914" s="6">
        <v>768</v>
      </c>
      <c r="B914" s="6">
        <v>5504</v>
      </c>
      <c r="C914" s="19">
        <v>40183</v>
      </c>
      <c r="D914" s="6" t="s">
        <v>17</v>
      </c>
      <c r="E914" s="6">
        <f>IF((ISBLANK($B$1)),"",Sheet1!Q921)</f>
        <v>4150</v>
      </c>
      <c r="F914" s="20" t="s">
        <v>27</v>
      </c>
      <c r="G914" s="53">
        <f t="shared" si="15"/>
        <v>-0.73021392686194853</v>
      </c>
      <c r="H914" s="35"/>
      <c r="P914" s="6"/>
    </row>
    <row r="915" spans="1:16" ht="14.4" x14ac:dyDescent="0.25">
      <c r="A915" s="6">
        <v>1153</v>
      </c>
      <c r="B915" s="6">
        <v>8390</v>
      </c>
      <c r="C915" s="19">
        <v>41020</v>
      </c>
      <c r="D915" s="6" t="s">
        <v>16</v>
      </c>
      <c r="E915" s="6">
        <f>IF((ISBLANK($B$1)),"",Sheet1!Q922)</f>
        <v>4600</v>
      </c>
      <c r="F915" s="20" t="s">
        <v>27</v>
      </c>
      <c r="G915" s="53">
        <f t="shared" si="15"/>
        <v>-0.108784504142654</v>
      </c>
      <c r="H915" s="35"/>
      <c r="P915" s="6"/>
    </row>
    <row r="916" spans="1:16" ht="14.4" x14ac:dyDescent="0.25">
      <c r="A916" s="6">
        <v>1168</v>
      </c>
      <c r="B916" s="6">
        <v>8545</v>
      </c>
      <c r="C916" s="19">
        <v>39981</v>
      </c>
      <c r="D916" s="6" t="s">
        <v>25</v>
      </c>
      <c r="E916" s="6">
        <f>IF((ISBLANK($B$1)),"",Sheet1!Q923)</f>
        <v>4650</v>
      </c>
      <c r="F916" s="20" t="s">
        <v>26</v>
      </c>
      <c r="G916" s="53">
        <f t="shared" si="15"/>
        <v>-3.9736790507176829E-2</v>
      </c>
      <c r="H916" s="35"/>
      <c r="P916" s="6"/>
    </row>
    <row r="917" spans="1:16" ht="14.4" x14ac:dyDescent="0.25">
      <c r="A917" s="6">
        <v>1169</v>
      </c>
      <c r="B917" s="6">
        <v>8545</v>
      </c>
      <c r="C917" s="19">
        <v>39981</v>
      </c>
      <c r="D917" s="6" t="s">
        <v>25</v>
      </c>
      <c r="E917" s="6">
        <f>IF((ISBLANK($B$1)),"",Sheet1!Q924)</f>
        <v>4600</v>
      </c>
      <c r="F917" s="20" t="s">
        <v>29</v>
      </c>
      <c r="G917" s="53">
        <f t="shared" si="15"/>
        <v>-0.108784504142654</v>
      </c>
      <c r="H917" s="35"/>
      <c r="P917" s="6"/>
    </row>
    <row r="918" spans="1:16" ht="14.4" x14ac:dyDescent="0.25">
      <c r="A918" s="6">
        <v>1305</v>
      </c>
      <c r="B918" s="6">
        <v>9573</v>
      </c>
      <c r="C918" s="19">
        <v>41073</v>
      </c>
      <c r="D918" s="6" t="s">
        <v>16</v>
      </c>
      <c r="E918" s="6">
        <f>IF((ISBLANK($B$1)),"",Sheet1!Q925)</f>
        <v>5450</v>
      </c>
      <c r="F918" s="20" t="s">
        <v>26</v>
      </c>
      <c r="G918" s="53">
        <f t="shared" si="15"/>
        <v>1.0650266276604579</v>
      </c>
      <c r="H918" s="35"/>
      <c r="P918" s="6"/>
    </row>
    <row r="919" spans="1:16" ht="14.4" x14ac:dyDescent="0.25">
      <c r="A919" s="6">
        <v>1356</v>
      </c>
      <c r="B919" s="6">
        <v>9892</v>
      </c>
      <c r="C919" s="19">
        <v>41106</v>
      </c>
      <c r="D919" s="6" t="s">
        <v>16</v>
      </c>
      <c r="E919" s="6">
        <f>IF((ISBLANK($B$1)),"",Sheet1!Q926)</f>
        <v>5900</v>
      </c>
      <c r="F919" s="20" t="s">
        <v>26</v>
      </c>
      <c r="G919" s="53">
        <f t="shared" si="15"/>
        <v>1.6864560503797523</v>
      </c>
      <c r="H919" s="35"/>
      <c r="P919" s="6"/>
    </row>
    <row r="920" spans="1:16" ht="14.4" x14ac:dyDescent="0.25">
      <c r="A920" s="6">
        <v>1381</v>
      </c>
      <c r="B920" s="6">
        <v>10048</v>
      </c>
      <c r="C920" s="19">
        <v>39948</v>
      </c>
      <c r="D920" s="6" t="s">
        <v>28</v>
      </c>
      <c r="E920" s="6">
        <f>IF((ISBLANK($B$1)),"",Sheet1!Q927)</f>
        <v>5700</v>
      </c>
      <c r="F920" s="20" t="s">
        <v>27</v>
      </c>
      <c r="G920" s="53">
        <f t="shared" si="15"/>
        <v>1.4102651958378438</v>
      </c>
      <c r="H920" s="35"/>
      <c r="P920" s="6"/>
    </row>
    <row r="921" spans="1:16" ht="14.4" x14ac:dyDescent="0.25">
      <c r="A921" s="6">
        <v>1382</v>
      </c>
      <c r="B921" s="6">
        <v>10048</v>
      </c>
      <c r="C921" s="19">
        <v>39948</v>
      </c>
      <c r="D921" s="6" t="s">
        <v>28</v>
      </c>
      <c r="E921" s="6">
        <f>IF((ISBLANK($B$1)),"",Sheet1!Q928)</f>
        <v>4450</v>
      </c>
      <c r="F921" s="20" t="s">
        <v>26</v>
      </c>
      <c r="G921" s="53">
        <f t="shared" si="15"/>
        <v>-0.31592764504908549</v>
      </c>
      <c r="H921" s="35"/>
      <c r="P921" s="6"/>
    </row>
    <row r="922" spans="1:16" ht="14.4" x14ac:dyDescent="0.25">
      <c r="A922" s="6">
        <v>1395</v>
      </c>
      <c r="B922" s="6">
        <v>10144</v>
      </c>
      <c r="C922" s="19">
        <v>40545</v>
      </c>
      <c r="D922" s="6" t="s">
        <v>30</v>
      </c>
      <c r="E922" s="6">
        <f>IF((ISBLANK($B$1)),"",Sheet1!Q929)</f>
        <v>4200</v>
      </c>
      <c r="F922" s="20" t="s">
        <v>29</v>
      </c>
      <c r="G922" s="53">
        <f t="shared" si="15"/>
        <v>-0.6611662132264714</v>
      </c>
      <c r="H922" s="35"/>
      <c r="P922" s="6"/>
    </row>
    <row r="923" spans="1:16" ht="14.4" x14ac:dyDescent="0.25">
      <c r="A923" s="6">
        <v>1396</v>
      </c>
      <c r="B923" s="6">
        <v>10144</v>
      </c>
      <c r="C923" s="19">
        <v>40545</v>
      </c>
      <c r="D923" s="6" t="s">
        <v>30</v>
      </c>
      <c r="E923" s="6">
        <f>IF((ISBLANK($B$1)),"",Sheet1!Q930)</f>
        <v>3450</v>
      </c>
      <c r="F923" s="20" t="s">
        <v>29</v>
      </c>
      <c r="G923" s="53">
        <f t="shared" si="15"/>
        <v>-1.696881917758629</v>
      </c>
      <c r="H923" s="35"/>
      <c r="P923" s="6"/>
    </row>
    <row r="924" spans="1:16" ht="14.4" x14ac:dyDescent="0.25">
      <c r="A924" s="6">
        <v>1397</v>
      </c>
      <c r="B924" s="6">
        <v>10144</v>
      </c>
      <c r="C924" s="19">
        <v>40545</v>
      </c>
      <c r="D924" s="6" t="s">
        <v>30</v>
      </c>
      <c r="E924" s="6">
        <f>IF((ISBLANK($B$1)),"",Sheet1!Q931)</f>
        <v>4600</v>
      </c>
      <c r="F924" s="20" t="s">
        <v>29</v>
      </c>
      <c r="G924" s="53">
        <f t="shared" si="15"/>
        <v>-0.108784504142654</v>
      </c>
      <c r="H924" s="35"/>
      <c r="P924" s="6"/>
    </row>
    <row r="925" spans="1:16" ht="14.4" x14ac:dyDescent="0.25">
      <c r="A925" s="6">
        <v>1440</v>
      </c>
      <c r="B925" s="6">
        <v>10432</v>
      </c>
      <c r="C925" s="19">
        <v>40913</v>
      </c>
      <c r="D925" s="6" t="s">
        <v>25</v>
      </c>
      <c r="E925" s="6">
        <f>IF((ISBLANK($B$1)),"",Sheet1!Q932)</f>
        <v>4050</v>
      </c>
      <c r="F925" s="20" t="s">
        <v>27</v>
      </c>
      <c r="G925" s="53">
        <f t="shared" si="15"/>
        <v>-0.86830935413290289</v>
      </c>
      <c r="H925" s="35"/>
      <c r="P925" s="6"/>
    </row>
    <row r="926" spans="1:16" ht="14.4" x14ac:dyDescent="0.25">
      <c r="A926" s="6">
        <v>1481</v>
      </c>
      <c r="B926" s="6">
        <v>10661</v>
      </c>
      <c r="C926" s="19">
        <v>39836</v>
      </c>
      <c r="D926" s="6" t="s">
        <v>28</v>
      </c>
      <c r="E926" s="6">
        <f>IF((ISBLANK($B$1)),"",Sheet1!Q933)</f>
        <v>4300</v>
      </c>
      <c r="F926" s="20" t="s">
        <v>26</v>
      </c>
      <c r="G926" s="53">
        <f t="shared" si="15"/>
        <v>-0.52307078595551704</v>
      </c>
      <c r="H926" s="35"/>
      <c r="P926" s="6"/>
    </row>
    <row r="927" spans="1:16" ht="14.4" x14ac:dyDescent="0.25">
      <c r="A927" s="6">
        <v>1791</v>
      </c>
      <c r="B927" s="6">
        <v>12806</v>
      </c>
      <c r="C927" s="19">
        <v>40901</v>
      </c>
      <c r="D927" s="6" t="s">
        <v>28</v>
      </c>
      <c r="E927" s="6">
        <f>IF((ISBLANK($B$1)),"",Sheet1!Q934)</f>
        <v>4400</v>
      </c>
      <c r="F927" s="20" t="s">
        <v>26</v>
      </c>
      <c r="G927" s="53">
        <f t="shared" si="15"/>
        <v>-0.38497535868456267</v>
      </c>
      <c r="H927" s="35"/>
      <c r="P927" s="6"/>
    </row>
    <row r="928" spans="1:16" ht="14.4" x14ac:dyDescent="0.25">
      <c r="A928" s="6">
        <v>1837</v>
      </c>
      <c r="B928" s="6">
        <v>13158</v>
      </c>
      <c r="C928" s="19">
        <v>41233</v>
      </c>
      <c r="D928" s="6" t="s">
        <v>30</v>
      </c>
      <c r="E928" s="6">
        <f>IF((ISBLANK($B$1)),"",Sheet1!Q935)</f>
        <v>4700</v>
      </c>
      <c r="F928" s="20" t="s">
        <v>26</v>
      </c>
      <c r="G928" s="53">
        <f t="shared" si="15"/>
        <v>2.9310923128300338E-2</v>
      </c>
      <c r="H928" s="35"/>
      <c r="P928" s="6"/>
    </row>
    <row r="929" spans="1:16" ht="14.4" x14ac:dyDescent="0.25">
      <c r="A929" s="6">
        <v>1876</v>
      </c>
      <c r="B929" s="6">
        <v>13507</v>
      </c>
      <c r="C929" s="19">
        <v>41272</v>
      </c>
      <c r="D929" s="6" t="s">
        <v>16</v>
      </c>
      <c r="E929" s="6">
        <f>IF((ISBLANK($B$1)),"",Sheet1!Q936)</f>
        <v>4750</v>
      </c>
      <c r="F929" s="20" t="s">
        <v>26</v>
      </c>
      <c r="G929" s="53">
        <f t="shared" si="15"/>
        <v>9.8358636763777513E-2</v>
      </c>
      <c r="H929" s="35"/>
      <c r="P929" s="6"/>
    </row>
    <row r="930" spans="1:16" ht="14.4" x14ac:dyDescent="0.25">
      <c r="A930" s="6">
        <v>2014</v>
      </c>
      <c r="B930" s="6">
        <v>14375</v>
      </c>
      <c r="C930" s="19">
        <v>40209</v>
      </c>
      <c r="D930" s="6" t="s">
        <v>16</v>
      </c>
      <c r="E930" s="6">
        <f>IF((ISBLANK($B$1)),"",Sheet1!Q937)</f>
        <v>3750</v>
      </c>
      <c r="F930" s="20" t="s">
        <v>26</v>
      </c>
      <c r="G930" s="53">
        <f t="shared" si="15"/>
        <v>-1.282595635945766</v>
      </c>
      <c r="H930" s="35"/>
      <c r="P930" s="6"/>
    </row>
    <row r="931" spans="1:16" ht="14.4" x14ac:dyDescent="0.25">
      <c r="A931" s="6">
        <v>2049</v>
      </c>
      <c r="B931" s="6">
        <v>14627</v>
      </c>
      <c r="C931" s="19">
        <v>39848</v>
      </c>
      <c r="D931" s="6" t="s">
        <v>16</v>
      </c>
      <c r="E931" s="6">
        <f>IF((ISBLANK($B$1)),"",Sheet1!Q938)</f>
        <v>5750</v>
      </c>
      <c r="F931" s="20" t="s">
        <v>26</v>
      </c>
      <c r="G931" s="53">
        <f t="shared" si="15"/>
        <v>1.4793129094733208</v>
      </c>
      <c r="H931" s="35"/>
      <c r="P931" s="6"/>
    </row>
    <row r="932" spans="1:16" ht="14.4" x14ac:dyDescent="0.25">
      <c r="A932" s="6">
        <v>2077</v>
      </c>
      <c r="B932" s="6">
        <v>14852</v>
      </c>
      <c r="C932" s="19">
        <v>40901</v>
      </c>
      <c r="D932" s="6" t="s">
        <v>16</v>
      </c>
      <c r="E932" s="6">
        <f>IF((ISBLANK($B$1)),"",Sheet1!Q939)</f>
        <v>3850</v>
      </c>
      <c r="F932" s="20" t="s">
        <v>26</v>
      </c>
      <c r="G932" s="53">
        <f t="shared" si="15"/>
        <v>-1.1445002086748115</v>
      </c>
      <c r="H932" s="35"/>
      <c r="P932" s="6"/>
    </row>
    <row r="933" spans="1:16" ht="14.4" x14ac:dyDescent="0.25">
      <c r="A933" s="6">
        <v>2256</v>
      </c>
      <c r="B933" s="6">
        <v>16230</v>
      </c>
      <c r="C933" s="19">
        <v>40236</v>
      </c>
      <c r="D933" s="6" t="s">
        <v>25</v>
      </c>
      <c r="E933" s="6">
        <f>IF((ISBLANK($B$1)),"",Sheet1!Q940)</f>
        <v>3500</v>
      </c>
      <c r="F933" s="20" t="s">
        <v>26</v>
      </c>
      <c r="G933" s="53">
        <f t="shared" si="15"/>
        <v>-1.6278342041231517</v>
      </c>
      <c r="H933" s="35"/>
      <c r="P933" s="6"/>
    </row>
    <row r="934" spans="1:16" ht="14.4" x14ac:dyDescent="0.25">
      <c r="A934" s="6">
        <v>2257</v>
      </c>
      <c r="B934" s="6">
        <v>16230</v>
      </c>
      <c r="C934" s="19">
        <v>40236</v>
      </c>
      <c r="D934" s="6" t="s">
        <v>25</v>
      </c>
      <c r="E934" s="6">
        <f>IF((ISBLANK($B$1)),"",Sheet1!Q941)</f>
        <v>4750</v>
      </c>
      <c r="F934" s="20" t="s">
        <v>29</v>
      </c>
      <c r="G934" s="53">
        <f t="shared" si="15"/>
        <v>9.8358636763777513E-2</v>
      </c>
      <c r="H934" s="35"/>
      <c r="P934" s="6"/>
    </row>
    <row r="935" spans="1:16" ht="14.4" x14ac:dyDescent="0.25">
      <c r="A935" s="6">
        <v>2258</v>
      </c>
      <c r="B935" s="6">
        <v>16230</v>
      </c>
      <c r="C935" s="19">
        <v>40236</v>
      </c>
      <c r="D935" s="6" t="s">
        <v>25</v>
      </c>
      <c r="E935" s="6">
        <f>IF((ISBLANK($B$1)),"",Sheet1!Q942)</f>
        <v>4150</v>
      </c>
      <c r="F935" s="20" t="s">
        <v>26</v>
      </c>
      <c r="G935" s="53">
        <f t="shared" si="15"/>
        <v>-0.73021392686194853</v>
      </c>
      <c r="H935" s="35"/>
      <c r="P935" s="6"/>
    </row>
    <row r="936" spans="1:16" ht="14.4" x14ac:dyDescent="0.25">
      <c r="A936" s="6">
        <v>2259</v>
      </c>
      <c r="B936" s="6">
        <v>16230</v>
      </c>
      <c r="C936" s="19">
        <v>40236</v>
      </c>
      <c r="D936" s="6" t="s">
        <v>25</v>
      </c>
      <c r="E936" s="6">
        <f>IF((ISBLANK($B$1)),"",Sheet1!Q943)</f>
        <v>5400</v>
      </c>
      <c r="F936" s="20" t="s">
        <v>26</v>
      </c>
      <c r="G936" s="53">
        <f t="shared" si="15"/>
        <v>0.99597891402498073</v>
      </c>
      <c r="H936" s="35"/>
      <c r="P936" s="6"/>
    </row>
    <row r="937" spans="1:16" ht="14.4" x14ac:dyDescent="0.25">
      <c r="A937" s="6">
        <v>2635</v>
      </c>
      <c r="B937" s="6">
        <v>19074</v>
      </c>
      <c r="C937" s="19">
        <v>41085</v>
      </c>
      <c r="D937" s="6" t="s">
        <v>30</v>
      </c>
      <c r="E937" s="6">
        <f>IF((ISBLANK($B$1)),"",Sheet1!Q944)</f>
        <v>4250</v>
      </c>
      <c r="F937" s="20" t="s">
        <v>26</v>
      </c>
      <c r="G937" s="53">
        <f t="shared" si="15"/>
        <v>-0.59211849959099416</v>
      </c>
      <c r="H937" s="35"/>
      <c r="P937" s="6"/>
    </row>
    <row r="938" spans="1:16" ht="14.4" x14ac:dyDescent="0.25">
      <c r="A938" s="6">
        <v>2801</v>
      </c>
      <c r="B938" s="6">
        <v>20194</v>
      </c>
      <c r="C938" s="19">
        <v>40981</v>
      </c>
      <c r="D938" s="6" t="s">
        <v>17</v>
      </c>
      <c r="E938" s="6">
        <f>IF((ISBLANK($B$1)),"",Sheet1!Q945)</f>
        <v>3900</v>
      </c>
      <c r="F938" s="20" t="s">
        <v>29</v>
      </c>
      <c r="G938" s="53">
        <f t="shared" si="15"/>
        <v>-1.0754524950393345</v>
      </c>
      <c r="H938" s="35"/>
      <c r="P938" s="6"/>
    </row>
    <row r="939" spans="1:16" ht="14.4" x14ac:dyDescent="0.25">
      <c r="A939" s="6">
        <v>2912</v>
      </c>
      <c r="B939" s="6">
        <v>21024</v>
      </c>
      <c r="C939" s="19">
        <v>40540</v>
      </c>
      <c r="D939" s="6" t="s">
        <v>16</v>
      </c>
      <c r="E939" s="6">
        <f>IF((ISBLANK($B$1)),"",Sheet1!Q946)</f>
        <v>5100</v>
      </c>
      <c r="F939" s="20" t="s">
        <v>26</v>
      </c>
      <c r="G939" s="53">
        <f t="shared" si="15"/>
        <v>0.58169263221211776</v>
      </c>
      <c r="H939" s="35"/>
      <c r="P939" s="6"/>
    </row>
    <row r="940" spans="1:16" ht="14.4" x14ac:dyDescent="0.25">
      <c r="A940" s="6">
        <v>2978</v>
      </c>
      <c r="B940" s="6">
        <v>21509</v>
      </c>
      <c r="C940" s="19">
        <v>41093</v>
      </c>
      <c r="D940" s="6" t="s">
        <v>17</v>
      </c>
      <c r="E940" s="6">
        <f>IF((ISBLANK($B$1)),"",Sheet1!Q947)</f>
        <v>4050</v>
      </c>
      <c r="F940" s="20" t="s">
        <v>26</v>
      </c>
      <c r="G940" s="53">
        <f t="shared" si="15"/>
        <v>-0.86830935413290289</v>
      </c>
      <c r="H940" s="35"/>
      <c r="P940" s="6"/>
    </row>
    <row r="941" spans="1:16" ht="14.4" x14ac:dyDescent="0.25">
      <c r="A941" s="6">
        <v>3042</v>
      </c>
      <c r="B941" s="6">
        <v>21856</v>
      </c>
      <c r="C941" s="19">
        <v>41004</v>
      </c>
      <c r="D941" s="6" t="s">
        <v>28</v>
      </c>
      <c r="E941" s="6">
        <f>IF((ISBLANK($B$1)),"",Sheet1!Q948)</f>
        <v>5750</v>
      </c>
      <c r="F941" s="20" t="s">
        <v>26</v>
      </c>
      <c r="G941" s="53">
        <f t="shared" si="15"/>
        <v>1.4793129094733208</v>
      </c>
      <c r="H941" s="35"/>
      <c r="P941" s="6"/>
    </row>
    <row r="942" spans="1:16" ht="14.4" x14ac:dyDescent="0.25">
      <c r="A942" s="6">
        <v>3043</v>
      </c>
      <c r="B942" s="6">
        <v>21856</v>
      </c>
      <c r="C942" s="19">
        <v>41004</v>
      </c>
      <c r="D942" s="6" t="s">
        <v>28</v>
      </c>
      <c r="E942" s="6">
        <f>IF((ISBLANK($B$1)),"",Sheet1!Q949)</f>
        <v>4700</v>
      </c>
      <c r="F942" s="20" t="s">
        <v>26</v>
      </c>
      <c r="G942" s="53">
        <f t="shared" si="15"/>
        <v>2.9310923128300338E-2</v>
      </c>
      <c r="H942" s="35"/>
      <c r="P942" s="6"/>
    </row>
    <row r="943" spans="1:16" ht="14.4" x14ac:dyDescent="0.25">
      <c r="A943" s="6">
        <v>3085</v>
      </c>
      <c r="B943" s="6">
        <v>22119</v>
      </c>
      <c r="C943" s="19">
        <v>40018</v>
      </c>
      <c r="D943" s="6" t="s">
        <v>25</v>
      </c>
      <c r="E943" s="6">
        <f>IF((ISBLANK($B$1)),"",Sheet1!Q950)</f>
        <v>4400</v>
      </c>
      <c r="F943" s="20" t="s">
        <v>26</v>
      </c>
      <c r="G943" s="53">
        <f t="shared" si="15"/>
        <v>-0.38497535868456267</v>
      </c>
      <c r="H943" s="35"/>
      <c r="P943" s="6"/>
    </row>
    <row r="944" spans="1:16" ht="14.4" x14ac:dyDescent="0.25">
      <c r="A944" s="6">
        <v>3141</v>
      </c>
      <c r="B944" s="6">
        <v>22534</v>
      </c>
      <c r="C944" s="19">
        <v>40742</v>
      </c>
      <c r="D944" s="6" t="s">
        <v>16</v>
      </c>
      <c r="E944" s="6">
        <f>IF((ISBLANK($B$1)),"",Sheet1!Q951)</f>
        <v>3550</v>
      </c>
      <c r="F944" s="20" t="s">
        <v>26</v>
      </c>
      <c r="G944" s="53">
        <f t="shared" si="15"/>
        <v>-1.5587864904876745</v>
      </c>
      <c r="H944" s="35"/>
      <c r="P944" s="6"/>
    </row>
    <row r="945" spans="1:16" ht="14.4" x14ac:dyDescent="0.25">
      <c r="A945" s="6">
        <v>3154</v>
      </c>
      <c r="B945" s="6">
        <v>22629</v>
      </c>
      <c r="C945" s="19">
        <v>40283</v>
      </c>
      <c r="D945" s="6" t="s">
        <v>25</v>
      </c>
      <c r="E945" s="6">
        <f>IF((ISBLANK($B$1)),"",Sheet1!Q952)</f>
        <v>3650</v>
      </c>
      <c r="F945" s="20" t="s">
        <v>27</v>
      </c>
      <c r="G945" s="53">
        <f t="shared" si="15"/>
        <v>-1.4206910632167202</v>
      </c>
      <c r="H945" s="35"/>
      <c r="P945" s="6"/>
    </row>
    <row r="946" spans="1:16" ht="14.4" x14ac:dyDescent="0.25">
      <c r="A946" s="6">
        <v>3208</v>
      </c>
      <c r="B946" s="6">
        <v>23011</v>
      </c>
      <c r="C946" s="19">
        <v>40344</v>
      </c>
      <c r="D946" s="6" t="s">
        <v>25</v>
      </c>
      <c r="E946" s="6">
        <f>IF((ISBLANK($B$1)),"",Sheet1!Q953)</f>
        <v>3450</v>
      </c>
      <c r="F946" s="20" t="s">
        <v>27</v>
      </c>
      <c r="G946" s="53">
        <f t="shared" si="15"/>
        <v>-1.696881917758629</v>
      </c>
      <c r="H946" s="35"/>
      <c r="P946" s="6"/>
    </row>
    <row r="947" spans="1:16" ht="14.4" x14ac:dyDescent="0.25">
      <c r="A947" s="6">
        <v>3368</v>
      </c>
      <c r="B947" s="6">
        <v>24070</v>
      </c>
      <c r="C947" s="19">
        <v>40617</v>
      </c>
      <c r="D947" s="6" t="s">
        <v>17</v>
      </c>
      <c r="E947" s="6">
        <f>IF((ISBLANK($B$1)),"",Sheet1!Q954)</f>
        <v>5200</v>
      </c>
      <c r="F947" s="20" t="s">
        <v>26</v>
      </c>
      <c r="G947" s="53">
        <f t="shared" si="15"/>
        <v>0.71978805948307201</v>
      </c>
      <c r="H947" s="35"/>
      <c r="P947" s="6"/>
    </row>
    <row r="948" spans="1:16" ht="14.4" x14ac:dyDescent="0.25">
      <c r="A948" s="6">
        <v>3369</v>
      </c>
      <c r="B948" s="6">
        <v>24070</v>
      </c>
      <c r="C948" s="19">
        <v>40617</v>
      </c>
      <c r="D948" s="6" t="s">
        <v>17</v>
      </c>
      <c r="E948" s="6">
        <f>IF((ISBLANK($B$1)),"",Sheet1!Q955)</f>
        <v>3550</v>
      </c>
      <c r="F948" s="20" t="s">
        <v>29</v>
      </c>
      <c r="G948" s="53">
        <f t="shared" si="15"/>
        <v>-1.5587864904876745</v>
      </c>
      <c r="H948" s="35"/>
      <c r="P948" s="6"/>
    </row>
    <row r="949" spans="1:16" ht="14.4" x14ac:dyDescent="0.25">
      <c r="A949" s="6">
        <v>3370</v>
      </c>
      <c r="B949" s="6">
        <v>24070</v>
      </c>
      <c r="C949" s="19">
        <v>40617</v>
      </c>
      <c r="D949" s="6" t="s">
        <v>17</v>
      </c>
      <c r="E949" s="6">
        <f>IF((ISBLANK($B$1)),"",Sheet1!Q956)</f>
        <v>5800</v>
      </c>
      <c r="F949" s="20" t="s">
        <v>26</v>
      </c>
      <c r="G949" s="53">
        <f t="shared" si="15"/>
        <v>1.5483606231087981</v>
      </c>
      <c r="H949" s="35"/>
      <c r="P949" s="6"/>
    </row>
    <row r="950" spans="1:16" ht="14.4" x14ac:dyDescent="0.25">
      <c r="A950" s="6">
        <v>3474</v>
      </c>
      <c r="B950" s="6">
        <v>24737</v>
      </c>
      <c r="C950" s="19">
        <v>40153</v>
      </c>
      <c r="D950" s="6" t="s">
        <v>17</v>
      </c>
      <c r="E950" s="6">
        <f>IF((ISBLANK($B$1)),"",Sheet1!Q957)</f>
        <v>3550</v>
      </c>
      <c r="F950" s="20" t="s">
        <v>29</v>
      </c>
      <c r="G950" s="53">
        <f t="shared" si="15"/>
        <v>-1.5587864904876745</v>
      </c>
      <c r="H950" s="35"/>
      <c r="P950" s="6"/>
    </row>
    <row r="951" spans="1:16" ht="14.4" x14ac:dyDescent="0.25">
      <c r="A951" s="6">
        <v>3475</v>
      </c>
      <c r="B951" s="6">
        <v>24737</v>
      </c>
      <c r="C951" s="19">
        <v>40153</v>
      </c>
      <c r="D951" s="6" t="s">
        <v>17</v>
      </c>
      <c r="E951" s="6">
        <f>IF((ISBLANK($B$1)),"",Sheet1!Q958)</f>
        <v>4700</v>
      </c>
      <c r="F951" s="20" t="s">
        <v>26</v>
      </c>
      <c r="G951" s="53">
        <f t="shared" si="15"/>
        <v>2.9310923128300338E-2</v>
      </c>
      <c r="H951" s="35"/>
      <c r="P951" s="6"/>
    </row>
    <row r="952" spans="1:16" ht="14.4" x14ac:dyDescent="0.25">
      <c r="A952" s="6">
        <v>3691</v>
      </c>
      <c r="B952" s="6">
        <v>26373</v>
      </c>
      <c r="C952" s="19">
        <v>40381</v>
      </c>
      <c r="D952" s="6" t="s">
        <v>16</v>
      </c>
      <c r="E952" s="6">
        <f>IF((ISBLANK($B$1)),"",Sheet1!Q959)</f>
        <v>3750</v>
      </c>
      <c r="F952" s="20" t="s">
        <v>26</v>
      </c>
      <c r="G952" s="53">
        <f t="shared" si="15"/>
        <v>-1.282595635945766</v>
      </c>
      <c r="H952" s="35"/>
      <c r="P952" s="6"/>
    </row>
    <row r="953" spans="1:16" ht="14.4" x14ac:dyDescent="0.25">
      <c r="A953" s="6">
        <v>3781</v>
      </c>
      <c r="B953" s="6">
        <v>26978</v>
      </c>
      <c r="C953" s="19">
        <v>40354</v>
      </c>
      <c r="D953" s="6" t="s">
        <v>16</v>
      </c>
      <c r="E953" s="6">
        <f>IF((ISBLANK($B$1)),"",Sheet1!Q960)</f>
        <v>5700</v>
      </c>
      <c r="F953" s="20" t="s">
        <v>27</v>
      </c>
      <c r="G953" s="53">
        <f t="shared" si="15"/>
        <v>1.4102651958378438</v>
      </c>
      <c r="H953" s="35"/>
      <c r="P953" s="6"/>
    </row>
    <row r="954" spans="1:16" ht="14.4" x14ac:dyDescent="0.25">
      <c r="A954" s="6">
        <v>3782</v>
      </c>
      <c r="B954" s="6">
        <v>26978</v>
      </c>
      <c r="C954" s="19">
        <v>40354</v>
      </c>
      <c r="D954" s="6" t="s">
        <v>16</v>
      </c>
      <c r="E954" s="6">
        <f>IF((ISBLANK($B$1)),"",Sheet1!Q961)</f>
        <v>5850</v>
      </c>
      <c r="F954" s="20" t="s">
        <v>26</v>
      </c>
      <c r="G954" s="53">
        <f t="shared" si="15"/>
        <v>1.6174083367442753</v>
      </c>
      <c r="H954" s="35"/>
      <c r="P954" s="6"/>
    </row>
    <row r="955" spans="1:16" ht="14.4" x14ac:dyDescent="0.25">
      <c r="A955" s="6">
        <v>3783</v>
      </c>
      <c r="B955" s="6">
        <v>26978</v>
      </c>
      <c r="C955" s="19">
        <v>40354</v>
      </c>
      <c r="D955" s="6" t="s">
        <v>16</v>
      </c>
      <c r="E955" s="6">
        <f>IF((ISBLANK($B$1)),"",Sheet1!Q962)</f>
        <v>5750</v>
      </c>
      <c r="F955" s="20" t="s">
        <v>26</v>
      </c>
      <c r="G955" s="53">
        <f t="shared" si="15"/>
        <v>1.4793129094733208</v>
      </c>
      <c r="H955" s="35"/>
      <c r="P955" s="6"/>
    </row>
    <row r="956" spans="1:16" ht="14.4" x14ac:dyDescent="0.25">
      <c r="A956" s="6">
        <v>3815</v>
      </c>
      <c r="B956" s="6">
        <v>27174</v>
      </c>
      <c r="C956" s="19">
        <v>40824</v>
      </c>
      <c r="D956" s="6" t="s">
        <v>30</v>
      </c>
      <c r="E956" s="6">
        <f>IF((ISBLANK($B$1)),"",Sheet1!Q963)</f>
        <v>4250</v>
      </c>
      <c r="F956" s="20" t="s">
        <v>27</v>
      </c>
      <c r="G956" s="53">
        <f t="shared" si="15"/>
        <v>-0.59211849959099416</v>
      </c>
      <c r="H956" s="35"/>
      <c r="P956" s="6"/>
    </row>
    <row r="957" spans="1:16" ht="14.4" x14ac:dyDescent="0.25">
      <c r="A957" s="6">
        <v>3910</v>
      </c>
      <c r="B957" s="6">
        <v>27876</v>
      </c>
      <c r="C957" s="19">
        <v>40428</v>
      </c>
      <c r="D957" s="6" t="s">
        <v>25</v>
      </c>
      <c r="E957" s="6">
        <f>IF((ISBLANK($B$1)),"",Sheet1!Q964)</f>
        <v>5600</v>
      </c>
      <c r="F957" s="20" t="s">
        <v>26</v>
      </c>
      <c r="G957" s="53">
        <f t="shared" si="15"/>
        <v>1.2721697685668893</v>
      </c>
      <c r="H957" s="35"/>
      <c r="P957" s="6"/>
    </row>
    <row r="958" spans="1:16" ht="14.4" x14ac:dyDescent="0.25">
      <c r="A958" s="6">
        <v>4005</v>
      </c>
      <c r="B958" s="6">
        <v>28582</v>
      </c>
      <c r="C958" s="19">
        <v>40930</v>
      </c>
      <c r="D958" s="6" t="s">
        <v>28</v>
      </c>
      <c r="E958" s="6">
        <f>IF((ISBLANK($B$1)),"",Sheet1!Q965)</f>
        <v>5400</v>
      </c>
      <c r="F958" s="20" t="s">
        <v>27</v>
      </c>
      <c r="G958" s="53">
        <f t="shared" si="15"/>
        <v>0.99597891402498073</v>
      </c>
      <c r="H958" s="35"/>
      <c r="P958" s="6"/>
    </row>
    <row r="959" spans="1:16" ht="14.4" x14ac:dyDescent="0.25">
      <c r="A959" s="6">
        <v>4006</v>
      </c>
      <c r="B959" s="6">
        <v>28582</v>
      </c>
      <c r="C959" s="19">
        <v>40930</v>
      </c>
      <c r="D959" s="6" t="s">
        <v>28</v>
      </c>
      <c r="E959" s="6">
        <f>IF((ISBLANK($B$1)),"",Sheet1!Q966)</f>
        <v>5650</v>
      </c>
      <c r="F959" s="20" t="s">
        <v>26</v>
      </c>
      <c r="G959" s="53">
        <f t="shared" si="15"/>
        <v>1.3412174822023666</v>
      </c>
      <c r="H959" s="35"/>
      <c r="P959" s="6"/>
    </row>
    <row r="960" spans="1:16" ht="14.4" x14ac:dyDescent="0.25">
      <c r="A960" s="6">
        <v>4048</v>
      </c>
      <c r="B960" s="6">
        <v>28868</v>
      </c>
      <c r="C960" s="19">
        <v>41004</v>
      </c>
      <c r="D960" s="6" t="s">
        <v>17</v>
      </c>
      <c r="E960" s="6">
        <f>IF((ISBLANK($B$1)),"",Sheet1!Q967)</f>
        <v>4900</v>
      </c>
      <c r="F960" s="20" t="s">
        <v>26</v>
      </c>
      <c r="G960" s="53">
        <f t="shared" si="15"/>
        <v>0.30550177767020903</v>
      </c>
      <c r="H960" s="35"/>
      <c r="P960" s="6"/>
    </row>
    <row r="961" spans="1:16" ht="14.4" x14ac:dyDescent="0.25">
      <c r="A961" s="6">
        <v>4200</v>
      </c>
      <c r="B961" s="6">
        <v>29857</v>
      </c>
      <c r="C961" s="19">
        <v>40159</v>
      </c>
      <c r="D961" s="6" t="s">
        <v>16</v>
      </c>
      <c r="E961" s="6">
        <f>IF((ISBLANK($B$1)),"",Sheet1!Q968)</f>
        <v>5450</v>
      </c>
      <c r="F961" s="20" t="s">
        <v>29</v>
      </c>
      <c r="G961" s="53">
        <f t="shared" si="15"/>
        <v>1.0650266276604579</v>
      </c>
      <c r="H961" s="35"/>
      <c r="P961" s="6"/>
    </row>
    <row r="962" spans="1:16" ht="14.4" x14ac:dyDescent="0.25">
      <c r="A962" s="6">
        <v>4209</v>
      </c>
      <c r="B962" s="6">
        <v>29921</v>
      </c>
      <c r="C962" s="19">
        <v>40991</v>
      </c>
      <c r="D962" s="6" t="s">
        <v>16</v>
      </c>
      <c r="E962" s="6">
        <f>IF((ISBLANK($B$1)),"",Sheet1!Q969)</f>
        <v>5050</v>
      </c>
      <c r="F962" s="20" t="s">
        <v>26</v>
      </c>
      <c r="G962" s="53">
        <f t="shared" si="15"/>
        <v>0.51264491857664052</v>
      </c>
      <c r="H962" s="35"/>
      <c r="P962" s="6"/>
    </row>
    <row r="963" spans="1:16" ht="14.4" x14ac:dyDescent="0.25">
      <c r="A963" s="6">
        <v>4307</v>
      </c>
      <c r="B963" s="6">
        <v>30659</v>
      </c>
      <c r="C963" s="19">
        <v>40799</v>
      </c>
      <c r="D963" s="6" t="s">
        <v>30</v>
      </c>
      <c r="E963" s="6">
        <f>IF((ISBLANK($B$1)),"",Sheet1!Q970)</f>
        <v>5650</v>
      </c>
      <c r="F963" s="20" t="s">
        <v>27</v>
      </c>
      <c r="G963" s="53">
        <f t="shared" si="15"/>
        <v>1.3412174822023666</v>
      </c>
      <c r="H963" s="35"/>
      <c r="P963" s="6"/>
    </row>
    <row r="964" spans="1:16" ht="14.4" x14ac:dyDescent="0.25">
      <c r="A964" s="6">
        <v>4308</v>
      </c>
      <c r="B964" s="6">
        <v>30660</v>
      </c>
      <c r="C964" s="19">
        <v>41157</v>
      </c>
      <c r="D964" s="6" t="s">
        <v>30</v>
      </c>
      <c r="E964" s="6">
        <f>IF((ISBLANK($B$1)),"",Sheet1!Q971)</f>
        <v>4200</v>
      </c>
      <c r="F964" s="20" t="s">
        <v>29</v>
      </c>
      <c r="G964" s="53">
        <f t="shared" si="15"/>
        <v>-0.6611662132264714</v>
      </c>
      <c r="H964" s="35"/>
      <c r="P964" s="6"/>
    </row>
    <row r="965" spans="1:16" ht="14.4" x14ac:dyDescent="0.25">
      <c r="A965" s="6">
        <v>4332</v>
      </c>
      <c r="B965" s="6">
        <v>30883</v>
      </c>
      <c r="C965" s="19">
        <v>40411</v>
      </c>
      <c r="D965" s="6" t="s">
        <v>16</v>
      </c>
      <c r="E965" s="6">
        <f>IF((ISBLANK($B$1)),"",Sheet1!Q972)</f>
        <v>4900</v>
      </c>
      <c r="F965" s="20" t="s">
        <v>26</v>
      </c>
      <c r="G965" s="53">
        <f t="shared" si="15"/>
        <v>0.30550177767020903</v>
      </c>
      <c r="H965" s="35"/>
      <c r="P965" s="6"/>
    </row>
    <row r="966" spans="1:16" ht="14.4" x14ac:dyDescent="0.25">
      <c r="A966" s="6">
        <v>4619</v>
      </c>
      <c r="B966" s="6">
        <v>32871</v>
      </c>
      <c r="C966" s="19">
        <v>41208</v>
      </c>
      <c r="D966" s="6" t="s">
        <v>17</v>
      </c>
      <c r="E966" s="6">
        <f>IF((ISBLANK($B$1)),"",Sheet1!Q973)</f>
        <v>5500</v>
      </c>
      <c r="F966" s="20" t="s">
        <v>27</v>
      </c>
      <c r="G966" s="53">
        <f t="shared" si="15"/>
        <v>1.1340743412959351</v>
      </c>
      <c r="H966" s="35"/>
      <c r="P966" s="6"/>
    </row>
    <row r="967" spans="1:16" ht="14.4" x14ac:dyDescent="0.25">
      <c r="A967" s="6">
        <v>4718</v>
      </c>
      <c r="B967" s="6">
        <v>33600</v>
      </c>
      <c r="C967" s="19">
        <v>40457</v>
      </c>
      <c r="D967" s="6" t="s">
        <v>25</v>
      </c>
      <c r="E967" s="6">
        <f>IF((ISBLANK($B$1)),"",Sheet1!Q974)</f>
        <v>5500</v>
      </c>
      <c r="F967" s="20" t="s">
        <v>26</v>
      </c>
      <c r="G967" s="53">
        <f t="shared" si="15"/>
        <v>1.1340743412959351</v>
      </c>
      <c r="H967" s="35"/>
      <c r="P967" s="6"/>
    </row>
    <row r="968" spans="1:16" ht="14.4" x14ac:dyDescent="0.25">
      <c r="A968" s="6">
        <v>4722</v>
      </c>
      <c r="B968" s="6">
        <v>33632</v>
      </c>
      <c r="C968" s="19">
        <v>40250</v>
      </c>
      <c r="D968" s="6" t="s">
        <v>30</v>
      </c>
      <c r="E968" s="6">
        <f>IF((ISBLANK($B$1)),"",Sheet1!Q975)</f>
        <v>3800</v>
      </c>
      <c r="F968" s="20" t="s">
        <v>27</v>
      </c>
      <c r="G968" s="53">
        <f t="shared" ref="G968:G1031" si="16">STANDARDIZE(E968,$L$26,$L$35)</f>
        <v>-1.2135479223102887</v>
      </c>
      <c r="H968" s="35"/>
      <c r="P968" s="6"/>
    </row>
    <row r="969" spans="1:16" ht="14.4" x14ac:dyDescent="0.25">
      <c r="A969" s="6">
        <v>4727</v>
      </c>
      <c r="B969" s="6">
        <v>33665</v>
      </c>
      <c r="C969" s="19">
        <v>40688</v>
      </c>
      <c r="D969" s="6" t="s">
        <v>25</v>
      </c>
      <c r="E969" s="6">
        <f>IF((ISBLANK($B$1)),"",Sheet1!Q976)</f>
        <v>5650</v>
      </c>
      <c r="F969" s="20" t="s">
        <v>29</v>
      </c>
      <c r="G969" s="53">
        <f t="shared" si="16"/>
        <v>1.3412174822023666</v>
      </c>
      <c r="H969" s="35"/>
      <c r="P969" s="6"/>
    </row>
    <row r="970" spans="1:16" ht="14.4" x14ac:dyDescent="0.25">
      <c r="A970" s="6">
        <v>4841</v>
      </c>
      <c r="B970" s="6">
        <v>34434</v>
      </c>
      <c r="C970" s="19">
        <v>40672</v>
      </c>
      <c r="D970" s="6" t="s">
        <v>28</v>
      </c>
      <c r="E970" s="6">
        <f>IF((ISBLANK($B$1)),"",Sheet1!Q977)</f>
        <v>4200</v>
      </c>
      <c r="F970" s="20" t="s">
        <v>26</v>
      </c>
      <c r="G970" s="53">
        <f t="shared" si="16"/>
        <v>-0.6611662132264714</v>
      </c>
      <c r="H970" s="35"/>
      <c r="P970" s="6"/>
    </row>
    <row r="971" spans="1:16" ht="14.4" x14ac:dyDescent="0.25">
      <c r="A971" s="6">
        <v>4842</v>
      </c>
      <c r="B971" s="6">
        <v>34434</v>
      </c>
      <c r="C971" s="19">
        <v>40672</v>
      </c>
      <c r="D971" s="6" t="s">
        <v>28</v>
      </c>
      <c r="E971" s="6">
        <f>IF((ISBLANK($B$1)),"",Sheet1!Q978)</f>
        <v>4550</v>
      </c>
      <c r="F971" s="20" t="s">
        <v>26</v>
      </c>
      <c r="G971" s="53">
        <f t="shared" si="16"/>
        <v>-0.17783221777813119</v>
      </c>
      <c r="H971" s="35"/>
      <c r="P971" s="6"/>
    </row>
    <row r="972" spans="1:16" ht="14.4" x14ac:dyDescent="0.25">
      <c r="A972" s="6">
        <v>4885</v>
      </c>
      <c r="B972" s="6">
        <v>34753</v>
      </c>
      <c r="C972" s="19">
        <v>40196</v>
      </c>
      <c r="D972" s="6" t="s">
        <v>28</v>
      </c>
      <c r="E972" s="6">
        <f>IF((ISBLANK($B$1)),"",Sheet1!Q979)</f>
        <v>3750</v>
      </c>
      <c r="F972" s="20" t="s">
        <v>27</v>
      </c>
      <c r="G972" s="53">
        <f t="shared" si="16"/>
        <v>-1.282595635945766</v>
      </c>
      <c r="H972" s="35"/>
      <c r="P972" s="6"/>
    </row>
    <row r="973" spans="1:16" ht="14.4" x14ac:dyDescent="0.25">
      <c r="A973" s="6">
        <v>4970</v>
      </c>
      <c r="B973" s="6">
        <v>35364</v>
      </c>
      <c r="C973" s="19">
        <v>40159</v>
      </c>
      <c r="D973" s="6" t="s">
        <v>30</v>
      </c>
      <c r="E973" s="6">
        <f>IF((ISBLANK($B$1)),"",Sheet1!Q980)</f>
        <v>4200</v>
      </c>
      <c r="F973" s="20" t="s">
        <v>26</v>
      </c>
      <c r="G973" s="53">
        <f t="shared" si="16"/>
        <v>-0.6611662132264714</v>
      </c>
      <c r="H973" s="35"/>
      <c r="P973" s="6"/>
    </row>
    <row r="974" spans="1:16" ht="14.4" x14ac:dyDescent="0.25">
      <c r="A974" s="6">
        <v>4971</v>
      </c>
      <c r="B974" s="6">
        <v>35364</v>
      </c>
      <c r="C974" s="19">
        <v>40159</v>
      </c>
      <c r="D974" s="6" t="s">
        <v>30</v>
      </c>
      <c r="E974" s="6">
        <f>IF((ISBLANK($B$1)),"",Sheet1!Q981)</f>
        <v>4850</v>
      </c>
      <c r="F974" s="20" t="s">
        <v>29</v>
      </c>
      <c r="G974" s="53">
        <f t="shared" si="16"/>
        <v>0.23645406403473185</v>
      </c>
      <c r="H974" s="35"/>
      <c r="P974" s="6"/>
    </row>
    <row r="975" spans="1:16" ht="14.4" x14ac:dyDescent="0.25">
      <c r="A975" s="6">
        <v>4972</v>
      </c>
      <c r="B975" s="6">
        <v>35364</v>
      </c>
      <c r="C975" s="19">
        <v>40159</v>
      </c>
      <c r="D975" s="6" t="s">
        <v>30</v>
      </c>
      <c r="E975" s="6">
        <f>IF((ISBLANK($B$1)),"",Sheet1!Q982)</f>
        <v>5250</v>
      </c>
      <c r="F975" s="20" t="s">
        <v>29</v>
      </c>
      <c r="G975" s="53">
        <f t="shared" si="16"/>
        <v>0.78883577311854924</v>
      </c>
      <c r="H975" s="35"/>
      <c r="P975" s="6"/>
    </row>
    <row r="976" spans="1:16" ht="14.4" x14ac:dyDescent="0.25">
      <c r="A976" s="6">
        <v>4973</v>
      </c>
      <c r="B976" s="6">
        <v>35364</v>
      </c>
      <c r="C976" s="19">
        <v>40159</v>
      </c>
      <c r="D976" s="6" t="s">
        <v>30</v>
      </c>
      <c r="E976" s="6">
        <f>IF((ISBLANK($B$1)),"",Sheet1!Q983)</f>
        <v>3800</v>
      </c>
      <c r="F976" s="20" t="s">
        <v>27</v>
      </c>
      <c r="G976" s="53">
        <f t="shared" si="16"/>
        <v>-1.2135479223102887</v>
      </c>
      <c r="H976" s="35"/>
      <c r="P976" s="6"/>
    </row>
    <row r="977" spans="1:16" ht="14.4" x14ac:dyDescent="0.25">
      <c r="A977" s="6">
        <v>5019</v>
      </c>
      <c r="B977" s="6">
        <v>35812</v>
      </c>
      <c r="C977" s="19">
        <v>40200</v>
      </c>
      <c r="D977" s="6" t="s">
        <v>30</v>
      </c>
      <c r="E977" s="6">
        <f>IF((ISBLANK($B$1)),"",Sheet1!Q984)</f>
        <v>4600</v>
      </c>
      <c r="F977" s="20" t="s">
        <v>29</v>
      </c>
      <c r="G977" s="53">
        <f t="shared" si="16"/>
        <v>-0.108784504142654</v>
      </c>
      <c r="H977" s="35"/>
      <c r="P977" s="6"/>
    </row>
    <row r="978" spans="1:16" ht="14.4" x14ac:dyDescent="0.25">
      <c r="A978" s="6">
        <v>5020</v>
      </c>
      <c r="B978" s="6">
        <v>35812</v>
      </c>
      <c r="C978" s="19">
        <v>40200</v>
      </c>
      <c r="D978" s="6" t="s">
        <v>30</v>
      </c>
      <c r="E978" s="6">
        <f>IF((ISBLANK($B$1)),"",Sheet1!Q985)</f>
        <v>3500</v>
      </c>
      <c r="F978" s="20" t="s">
        <v>27</v>
      </c>
      <c r="G978" s="53">
        <f t="shared" si="16"/>
        <v>-1.6278342041231517</v>
      </c>
      <c r="H978" s="35"/>
      <c r="P978" s="6"/>
    </row>
    <row r="979" spans="1:16" ht="14.4" x14ac:dyDescent="0.25">
      <c r="A979" s="6">
        <v>5021</v>
      </c>
      <c r="B979" s="6">
        <v>35812</v>
      </c>
      <c r="C979" s="19">
        <v>40200</v>
      </c>
      <c r="D979" s="6" t="s">
        <v>30</v>
      </c>
      <c r="E979" s="6">
        <f>IF((ISBLANK($B$1)),"",Sheet1!Q986)</f>
        <v>4350</v>
      </c>
      <c r="F979" s="20" t="s">
        <v>26</v>
      </c>
      <c r="G979" s="53">
        <f t="shared" si="16"/>
        <v>-0.45402307232003986</v>
      </c>
      <c r="H979" s="35"/>
      <c r="P979" s="6"/>
    </row>
    <row r="980" spans="1:16" ht="14.4" x14ac:dyDescent="0.25">
      <c r="A980" s="6">
        <v>5212</v>
      </c>
      <c r="B980" s="6">
        <v>37063</v>
      </c>
      <c r="C980" s="19">
        <v>41252</v>
      </c>
      <c r="D980" s="6" t="s">
        <v>28</v>
      </c>
      <c r="E980" s="6">
        <f>IF((ISBLANK($B$1)),"",Sheet1!Q987)</f>
        <v>5900</v>
      </c>
      <c r="F980" s="20" t="s">
        <v>29</v>
      </c>
      <c r="G980" s="53">
        <f t="shared" si="16"/>
        <v>1.6864560503797523</v>
      </c>
      <c r="H980" s="35"/>
      <c r="P980" s="6"/>
    </row>
    <row r="981" spans="1:16" ht="14.4" x14ac:dyDescent="0.25">
      <c r="A981" s="6">
        <v>5238</v>
      </c>
      <c r="B981" s="6">
        <v>37281</v>
      </c>
      <c r="C981" s="19">
        <v>40053</v>
      </c>
      <c r="D981" s="6" t="s">
        <v>16</v>
      </c>
      <c r="E981" s="6">
        <f>IF((ISBLANK($B$1)),"",Sheet1!Q988)</f>
        <v>4650</v>
      </c>
      <c r="F981" s="20" t="s">
        <v>27</v>
      </c>
      <c r="G981" s="53">
        <f t="shared" si="16"/>
        <v>-3.9736790507176829E-2</v>
      </c>
      <c r="H981" s="35"/>
      <c r="P981" s="6"/>
    </row>
    <row r="982" spans="1:16" ht="14.4" x14ac:dyDescent="0.25">
      <c r="A982" s="6">
        <v>5315</v>
      </c>
      <c r="B982" s="6">
        <v>37798</v>
      </c>
      <c r="C982" s="19">
        <v>41217</v>
      </c>
      <c r="D982" s="6" t="s">
        <v>17</v>
      </c>
      <c r="E982" s="6">
        <f>IF((ISBLANK($B$1)),"",Sheet1!Q989)</f>
        <v>4550</v>
      </c>
      <c r="F982" s="20" t="s">
        <v>29</v>
      </c>
      <c r="G982" s="53">
        <f t="shared" si="16"/>
        <v>-0.17783221777813119</v>
      </c>
      <c r="H982" s="35"/>
      <c r="P982" s="6"/>
    </row>
    <row r="983" spans="1:16" ht="14.4" x14ac:dyDescent="0.25">
      <c r="A983" s="6">
        <v>5347</v>
      </c>
      <c r="B983" s="6">
        <v>38017</v>
      </c>
      <c r="C983" s="19">
        <v>40379</v>
      </c>
      <c r="D983" s="6" t="s">
        <v>25</v>
      </c>
      <c r="E983" s="6">
        <f>IF((ISBLANK($B$1)),"",Sheet1!Q990)</f>
        <v>4700</v>
      </c>
      <c r="F983" s="20" t="s">
        <v>26</v>
      </c>
      <c r="G983" s="53">
        <f t="shared" si="16"/>
        <v>2.9310923128300338E-2</v>
      </c>
      <c r="H983" s="35"/>
      <c r="P983" s="6"/>
    </row>
    <row r="984" spans="1:16" ht="14.4" x14ac:dyDescent="0.25">
      <c r="A984" s="6">
        <v>5348</v>
      </c>
      <c r="B984" s="6">
        <v>38017</v>
      </c>
      <c r="C984" s="19">
        <v>40379</v>
      </c>
      <c r="D984" s="6" t="s">
        <v>25</v>
      </c>
      <c r="E984" s="6">
        <f>IF((ISBLANK($B$1)),"",Sheet1!Q991)</f>
        <v>4750</v>
      </c>
      <c r="F984" s="20" t="s">
        <v>27</v>
      </c>
      <c r="G984" s="53">
        <f t="shared" si="16"/>
        <v>9.8358636763777513E-2</v>
      </c>
      <c r="H984" s="35"/>
      <c r="P984" s="6"/>
    </row>
    <row r="985" spans="1:16" ht="14.4" x14ac:dyDescent="0.25">
      <c r="A985" s="6">
        <v>5380</v>
      </c>
      <c r="B985" s="6">
        <v>38272</v>
      </c>
      <c r="C985" s="19">
        <v>40862</v>
      </c>
      <c r="D985" s="6" t="s">
        <v>30</v>
      </c>
      <c r="E985" s="6">
        <f>IF((ISBLANK($B$1)),"",Sheet1!Q992)</f>
        <v>5350</v>
      </c>
      <c r="F985" s="20" t="s">
        <v>26</v>
      </c>
      <c r="G985" s="53">
        <f t="shared" si="16"/>
        <v>0.92693120038950361</v>
      </c>
      <c r="H985" s="35"/>
      <c r="P985" s="6"/>
    </row>
    <row r="986" spans="1:16" ht="14.4" x14ac:dyDescent="0.25">
      <c r="A986" s="6">
        <v>5551</v>
      </c>
      <c r="B986" s="6">
        <v>39301</v>
      </c>
      <c r="C986" s="19">
        <v>39894</v>
      </c>
      <c r="D986" s="6" t="s">
        <v>16</v>
      </c>
      <c r="E986" s="6">
        <f>IF((ISBLANK($B$1)),"",Sheet1!Q993)</f>
        <v>4200</v>
      </c>
      <c r="F986" s="20" t="s">
        <v>27</v>
      </c>
      <c r="G986" s="53">
        <f t="shared" si="16"/>
        <v>-0.6611662132264714</v>
      </c>
      <c r="H986" s="35"/>
      <c r="P986" s="6"/>
    </row>
    <row r="987" spans="1:16" ht="14.4" x14ac:dyDescent="0.25">
      <c r="A987" s="6">
        <v>5562</v>
      </c>
      <c r="B987" s="6">
        <v>39367</v>
      </c>
      <c r="C987" s="19">
        <v>40031</v>
      </c>
      <c r="D987" s="6" t="s">
        <v>30</v>
      </c>
      <c r="E987" s="6">
        <f>IF((ISBLANK($B$1)),"",Sheet1!Q994)</f>
        <v>5650</v>
      </c>
      <c r="F987" s="20" t="s">
        <v>26</v>
      </c>
      <c r="G987" s="53">
        <f t="shared" si="16"/>
        <v>1.3412174822023666</v>
      </c>
      <c r="H987" s="35"/>
      <c r="P987" s="6"/>
    </row>
    <row r="988" spans="1:16" ht="14.4" x14ac:dyDescent="0.25">
      <c r="A988" s="6">
        <v>5563</v>
      </c>
      <c r="B988" s="6">
        <v>39367</v>
      </c>
      <c r="C988" s="19">
        <v>40031</v>
      </c>
      <c r="D988" s="6" t="s">
        <v>30</v>
      </c>
      <c r="E988" s="6">
        <f>IF((ISBLANK($B$1)),"",Sheet1!Q995)</f>
        <v>4900</v>
      </c>
      <c r="F988" s="20" t="s">
        <v>26</v>
      </c>
      <c r="G988" s="53">
        <f t="shared" si="16"/>
        <v>0.30550177767020903</v>
      </c>
      <c r="H988" s="35"/>
      <c r="P988" s="6"/>
    </row>
    <row r="989" spans="1:16" ht="14.4" x14ac:dyDescent="0.25">
      <c r="A989" s="6">
        <v>5596</v>
      </c>
      <c r="B989" s="6">
        <v>39655</v>
      </c>
      <c r="C989" s="19">
        <v>40991</v>
      </c>
      <c r="D989" s="6" t="s">
        <v>17</v>
      </c>
      <c r="E989" s="6">
        <f>IF((ISBLANK($B$1)),"",Sheet1!Q996)</f>
        <v>5150</v>
      </c>
      <c r="F989" s="20" t="s">
        <v>27</v>
      </c>
      <c r="G989" s="53">
        <f t="shared" si="16"/>
        <v>0.65074034584759488</v>
      </c>
      <c r="H989" s="35"/>
      <c r="P989" s="6"/>
    </row>
    <row r="990" spans="1:16" ht="14.4" x14ac:dyDescent="0.25">
      <c r="A990" s="6">
        <v>5744</v>
      </c>
      <c r="B990" s="6">
        <v>40803</v>
      </c>
      <c r="C990" s="19">
        <v>40646</v>
      </c>
      <c r="D990" s="6" t="s">
        <v>25</v>
      </c>
      <c r="E990" s="6">
        <f>IF((ISBLANK($B$1)),"",Sheet1!Q997)</f>
        <v>4500</v>
      </c>
      <c r="F990" s="20" t="s">
        <v>26</v>
      </c>
      <c r="G990" s="53">
        <f t="shared" si="16"/>
        <v>-0.24687993141360834</v>
      </c>
      <c r="H990" s="35"/>
      <c r="P990" s="6"/>
    </row>
    <row r="991" spans="1:16" ht="14.4" x14ac:dyDescent="0.25">
      <c r="A991" s="6">
        <v>5745</v>
      </c>
      <c r="B991" s="6">
        <v>40803</v>
      </c>
      <c r="C991" s="19">
        <v>40646</v>
      </c>
      <c r="D991" s="6" t="s">
        <v>25</v>
      </c>
      <c r="E991" s="6">
        <f>IF((ISBLANK($B$1)),"",Sheet1!Q998)</f>
        <v>5150</v>
      </c>
      <c r="F991" s="20" t="s">
        <v>29</v>
      </c>
      <c r="G991" s="53">
        <f t="shared" si="16"/>
        <v>0.65074034584759488</v>
      </c>
      <c r="H991" s="35"/>
      <c r="P991" s="6"/>
    </row>
    <row r="992" spans="1:16" ht="14.4" x14ac:dyDescent="0.25">
      <c r="A992" s="6">
        <v>5747</v>
      </c>
      <c r="B992" s="6">
        <v>40806</v>
      </c>
      <c r="C992" s="19">
        <v>40792</v>
      </c>
      <c r="D992" s="6" t="s">
        <v>30</v>
      </c>
      <c r="E992" s="6">
        <f>IF((ISBLANK($B$1)),"",Sheet1!Q999)</f>
        <v>3800</v>
      </c>
      <c r="F992" s="20" t="s">
        <v>26</v>
      </c>
      <c r="G992" s="53">
        <f t="shared" si="16"/>
        <v>-1.2135479223102887</v>
      </c>
      <c r="H992" s="35"/>
      <c r="P992" s="6"/>
    </row>
    <row r="993" spans="1:16" ht="14.4" x14ac:dyDescent="0.25">
      <c r="A993" s="6">
        <v>6147</v>
      </c>
      <c r="B993" s="6">
        <v>43523</v>
      </c>
      <c r="C993" s="19">
        <v>41052</v>
      </c>
      <c r="D993" s="6" t="s">
        <v>16</v>
      </c>
      <c r="E993" s="6">
        <f>IF((ISBLANK($B$1)),"",Sheet1!Q1000)</f>
        <v>5900</v>
      </c>
      <c r="F993" s="20" t="s">
        <v>26</v>
      </c>
      <c r="G993" s="53">
        <f t="shared" si="16"/>
        <v>1.6864560503797523</v>
      </c>
      <c r="H993" s="35"/>
      <c r="P993" s="6"/>
    </row>
    <row r="994" spans="1:16" ht="14.4" x14ac:dyDescent="0.25">
      <c r="A994" s="6">
        <v>6239</v>
      </c>
      <c r="B994" s="6">
        <v>44199</v>
      </c>
      <c r="C994" s="19">
        <v>40972</v>
      </c>
      <c r="D994" s="6" t="s">
        <v>25</v>
      </c>
      <c r="E994" s="6">
        <f>IF((ISBLANK($B$1)),"",Sheet1!Q1001)</f>
        <v>4000</v>
      </c>
      <c r="F994" s="20" t="s">
        <v>26</v>
      </c>
      <c r="G994" s="53">
        <f t="shared" si="16"/>
        <v>-0.93735706776838001</v>
      </c>
      <c r="H994" s="35"/>
      <c r="P994" s="6"/>
    </row>
    <row r="995" spans="1:16" ht="14.4" x14ac:dyDescent="0.25">
      <c r="A995" s="6">
        <v>6243</v>
      </c>
      <c r="B995" s="6">
        <v>44231</v>
      </c>
      <c r="C995" s="19">
        <v>40120</v>
      </c>
      <c r="D995" s="6" t="s">
        <v>28</v>
      </c>
      <c r="E995" s="6">
        <f>IF((ISBLANK($B$1)),"",Sheet1!Q1002)</f>
        <v>3950</v>
      </c>
      <c r="F995" s="20" t="s">
        <v>29</v>
      </c>
      <c r="G995" s="53">
        <f t="shared" si="16"/>
        <v>-1.0064047814038573</v>
      </c>
      <c r="H995" s="35"/>
      <c r="P995" s="6"/>
    </row>
    <row r="996" spans="1:16" ht="14.4" x14ac:dyDescent="0.25">
      <c r="A996" s="6">
        <v>6244</v>
      </c>
      <c r="B996" s="6">
        <v>44231</v>
      </c>
      <c r="C996" s="19">
        <v>40120</v>
      </c>
      <c r="D996" s="6" t="s">
        <v>28</v>
      </c>
      <c r="E996" s="6">
        <f>IF((ISBLANK($B$1)),"",Sheet1!Q1003)</f>
        <v>5550</v>
      </c>
      <c r="F996" s="20" t="s">
        <v>27</v>
      </c>
      <c r="G996" s="53">
        <f t="shared" si="16"/>
        <v>1.2031220549314123</v>
      </c>
      <c r="H996" s="35"/>
      <c r="P996" s="6"/>
    </row>
    <row r="997" spans="1:16" ht="14.4" x14ac:dyDescent="0.25">
      <c r="A997" s="6">
        <v>6245</v>
      </c>
      <c r="B997" s="6">
        <v>44231</v>
      </c>
      <c r="C997" s="19">
        <v>40120</v>
      </c>
      <c r="D997" s="6" t="s">
        <v>28</v>
      </c>
      <c r="E997" s="6">
        <f>IF((ISBLANK($B$1)),"",Sheet1!Q1004)</f>
        <v>4600</v>
      </c>
      <c r="F997" s="20" t="s">
        <v>27</v>
      </c>
      <c r="G997" s="53">
        <f t="shared" si="16"/>
        <v>-0.108784504142654</v>
      </c>
      <c r="H997" s="35"/>
      <c r="P997" s="6"/>
    </row>
    <row r="998" spans="1:16" ht="14.4" x14ac:dyDescent="0.25">
      <c r="A998" s="6">
        <v>6415</v>
      </c>
      <c r="B998" s="6">
        <v>45573</v>
      </c>
      <c r="C998" s="19">
        <v>40037</v>
      </c>
      <c r="D998" s="6" t="s">
        <v>17</v>
      </c>
      <c r="E998" s="6">
        <f>IF((ISBLANK($B$1)),"",Sheet1!Q1005)</f>
        <v>3650</v>
      </c>
      <c r="F998" s="20" t="s">
        <v>29</v>
      </c>
      <c r="G998" s="53">
        <f t="shared" si="16"/>
        <v>-1.4206910632167202</v>
      </c>
      <c r="H998" s="35"/>
      <c r="P998" s="6"/>
    </row>
    <row r="999" spans="1:16" ht="14.4" x14ac:dyDescent="0.25">
      <c r="A999" s="6">
        <v>6438</v>
      </c>
      <c r="B999" s="6">
        <v>45763</v>
      </c>
      <c r="C999" s="19">
        <v>40366</v>
      </c>
      <c r="D999" s="6" t="s">
        <v>17</v>
      </c>
      <c r="E999" s="6">
        <f>IF((ISBLANK($B$1)),"",Sheet1!Q1006)</f>
        <v>4650</v>
      </c>
      <c r="F999" s="20" t="s">
        <v>26</v>
      </c>
      <c r="G999" s="53">
        <f t="shared" si="16"/>
        <v>-3.9736790507176829E-2</v>
      </c>
      <c r="H999" s="35"/>
      <c r="P999" s="6"/>
    </row>
    <row r="1000" spans="1:16" ht="14.4" x14ac:dyDescent="0.25">
      <c r="A1000" s="6">
        <v>6761</v>
      </c>
      <c r="B1000" s="6">
        <v>48165</v>
      </c>
      <c r="C1000" s="19">
        <v>40487</v>
      </c>
      <c r="D1000" s="6" t="s">
        <v>17</v>
      </c>
      <c r="E1000" s="6">
        <f>IF((ISBLANK($B$1)),"",Sheet1!Q1007)</f>
        <v>4800</v>
      </c>
      <c r="F1000" s="20" t="s">
        <v>26</v>
      </c>
      <c r="G1000" s="53">
        <f t="shared" si="16"/>
        <v>0.16740635039925467</v>
      </c>
      <c r="H1000" s="35"/>
      <c r="P1000" s="6"/>
    </row>
    <row r="1001" spans="1:16" ht="14.4" x14ac:dyDescent="0.25">
      <c r="A1001" s="6">
        <v>6769</v>
      </c>
      <c r="B1001" s="6">
        <v>48197</v>
      </c>
      <c r="C1001" s="19">
        <v>41034</v>
      </c>
      <c r="D1001" s="6" t="s">
        <v>28</v>
      </c>
      <c r="E1001" s="6">
        <f>IF((ISBLANK($B$1)),"",Sheet1!Q1008)</f>
        <v>5000</v>
      </c>
      <c r="F1001" s="20" t="s">
        <v>29</v>
      </c>
      <c r="G1001" s="53">
        <f t="shared" si="16"/>
        <v>0.44359720494116334</v>
      </c>
      <c r="H1001" s="35"/>
      <c r="P1001" s="6"/>
    </row>
    <row r="1002" spans="1:16" ht="14.4" x14ac:dyDescent="0.25">
      <c r="A1002" s="6">
        <v>6808</v>
      </c>
      <c r="B1002" s="6">
        <v>48484</v>
      </c>
      <c r="C1002" s="19">
        <v>40352</v>
      </c>
      <c r="D1002" s="6" t="s">
        <v>16</v>
      </c>
      <c r="E1002" s="6">
        <f>IF((ISBLANK($B$1)),"",Sheet1!Q1009)</f>
        <v>4500</v>
      </c>
      <c r="F1002" s="20" t="s">
        <v>27</v>
      </c>
      <c r="G1002" s="53">
        <f t="shared" si="16"/>
        <v>-0.24687993141360834</v>
      </c>
      <c r="H1002" s="35"/>
      <c r="P1002" s="6"/>
    </row>
    <row r="1003" spans="1:16" ht="14.4" x14ac:dyDescent="0.25">
      <c r="A1003" s="6">
        <v>6809</v>
      </c>
      <c r="B1003" s="6">
        <v>48484</v>
      </c>
      <c r="C1003" s="19">
        <v>40352</v>
      </c>
      <c r="D1003" s="6" t="s">
        <v>16</v>
      </c>
      <c r="E1003" s="6">
        <f>IF((ISBLANK($B$1)),"",Sheet1!Q1010)</f>
        <v>5450</v>
      </c>
      <c r="F1003" s="20" t="s">
        <v>29</v>
      </c>
      <c r="G1003" s="53">
        <f t="shared" si="16"/>
        <v>1.0650266276604579</v>
      </c>
      <c r="H1003" s="35"/>
      <c r="P1003" s="6"/>
    </row>
    <row r="1004" spans="1:16" ht="14.4" x14ac:dyDescent="0.25">
      <c r="A1004" s="6">
        <v>6810</v>
      </c>
      <c r="B1004" s="6">
        <v>48484</v>
      </c>
      <c r="C1004" s="19">
        <v>40352</v>
      </c>
      <c r="D1004" s="6" t="s">
        <v>16</v>
      </c>
      <c r="E1004" s="6">
        <f>IF((ISBLANK($B$1)),"",Sheet1!Q1011)</f>
        <v>5550</v>
      </c>
      <c r="F1004" s="20" t="s">
        <v>26</v>
      </c>
      <c r="G1004" s="53">
        <f t="shared" si="16"/>
        <v>1.2031220549314123</v>
      </c>
      <c r="H1004" s="35"/>
      <c r="P1004" s="6"/>
    </row>
    <row r="1005" spans="1:16" ht="14.4" x14ac:dyDescent="0.25">
      <c r="A1005" s="6">
        <v>6811</v>
      </c>
      <c r="B1005" s="6">
        <v>48484</v>
      </c>
      <c r="C1005" s="19">
        <v>40352</v>
      </c>
      <c r="D1005" s="6" t="s">
        <v>16</v>
      </c>
      <c r="E1005" s="6">
        <f>IF((ISBLANK($B$1)),"",Sheet1!Q1012)</f>
        <v>5900</v>
      </c>
      <c r="F1005" s="20" t="s">
        <v>27</v>
      </c>
      <c r="G1005" s="53">
        <f t="shared" si="16"/>
        <v>1.6864560503797523</v>
      </c>
      <c r="H1005" s="35"/>
      <c r="P1005" s="6"/>
    </row>
    <row r="1006" spans="1:16" ht="14.4" x14ac:dyDescent="0.25">
      <c r="A1006" s="6">
        <v>6893</v>
      </c>
      <c r="B1006" s="6">
        <v>49153</v>
      </c>
      <c r="C1006" s="19">
        <v>41118</v>
      </c>
      <c r="D1006" s="6" t="s">
        <v>16</v>
      </c>
      <c r="E1006" s="6">
        <f>IF((ISBLANK($B$1)),"",Sheet1!Q1013)</f>
        <v>4950</v>
      </c>
      <c r="F1006" s="20" t="s">
        <v>29</v>
      </c>
      <c r="G1006" s="53">
        <f t="shared" si="16"/>
        <v>0.37454949130568621</v>
      </c>
      <c r="H1006" s="35"/>
      <c r="P1006" s="6"/>
    </row>
    <row r="1007" spans="1:16" ht="14.4" x14ac:dyDescent="0.25">
      <c r="A1007" s="6">
        <v>6926</v>
      </c>
      <c r="B1007" s="6">
        <v>49412</v>
      </c>
      <c r="C1007" s="19">
        <v>39879</v>
      </c>
      <c r="D1007" s="6" t="s">
        <v>30</v>
      </c>
      <c r="E1007" s="6">
        <f>IF((ISBLANK($B$1)),"",Sheet1!Q1014)</f>
        <v>4400</v>
      </c>
      <c r="F1007" s="20" t="s">
        <v>27</v>
      </c>
      <c r="G1007" s="53">
        <f t="shared" si="16"/>
        <v>-0.38497535868456267</v>
      </c>
      <c r="H1007" s="35"/>
      <c r="P1007" s="6"/>
    </row>
    <row r="1008" spans="1:16" ht="14.4" x14ac:dyDescent="0.25">
      <c r="A1008" s="6">
        <v>6958</v>
      </c>
      <c r="B1008" s="6">
        <v>49761</v>
      </c>
      <c r="C1008" s="19">
        <v>40567</v>
      </c>
      <c r="D1008" s="6" t="s">
        <v>28</v>
      </c>
      <c r="E1008" s="6">
        <f>IF((ISBLANK($B$1)),"",Sheet1!Q1015)</f>
        <v>5650</v>
      </c>
      <c r="F1008" s="20" t="s">
        <v>27</v>
      </c>
      <c r="G1008" s="53">
        <f t="shared" si="16"/>
        <v>1.3412174822023666</v>
      </c>
      <c r="H1008" s="35"/>
      <c r="P1008" s="6"/>
    </row>
    <row r="1009" spans="1:16" ht="14.4" x14ac:dyDescent="0.25">
      <c r="A1009" s="6">
        <v>7051</v>
      </c>
      <c r="B1009" s="6">
        <v>50310</v>
      </c>
      <c r="C1009" s="19">
        <v>40040</v>
      </c>
      <c r="D1009" s="6" t="s">
        <v>16</v>
      </c>
      <c r="E1009" s="6">
        <f>IF((ISBLANK($B$1)),"",Sheet1!Q1016)</f>
        <v>5500</v>
      </c>
      <c r="F1009" s="20" t="s">
        <v>26</v>
      </c>
      <c r="G1009" s="53">
        <f t="shared" si="16"/>
        <v>1.1340743412959351</v>
      </c>
      <c r="H1009" s="35"/>
      <c r="P1009" s="6"/>
    </row>
    <row r="1010" spans="1:16" ht="14.4" x14ac:dyDescent="0.25">
      <c r="A1010" s="6">
        <v>7052</v>
      </c>
      <c r="B1010" s="6">
        <v>50310</v>
      </c>
      <c r="C1010" s="19">
        <v>40040</v>
      </c>
      <c r="D1010" s="6" t="s">
        <v>16</v>
      </c>
      <c r="E1010" s="6">
        <f>IF((ISBLANK($B$1)),"",Sheet1!Q1017)</f>
        <v>5550</v>
      </c>
      <c r="F1010" s="20" t="s">
        <v>29</v>
      </c>
      <c r="G1010" s="53">
        <f t="shared" si="16"/>
        <v>1.2031220549314123</v>
      </c>
      <c r="H1010" s="35"/>
      <c r="P1010" s="6"/>
    </row>
    <row r="1011" spans="1:16" ht="14.4" x14ac:dyDescent="0.25">
      <c r="A1011" s="6">
        <v>7053</v>
      </c>
      <c r="B1011" s="6">
        <v>50310</v>
      </c>
      <c r="C1011" s="19">
        <v>40040</v>
      </c>
      <c r="D1011" s="6" t="s">
        <v>16</v>
      </c>
      <c r="E1011" s="6">
        <f>IF((ISBLANK($B$1)),"",Sheet1!Q1018)</f>
        <v>4500</v>
      </c>
      <c r="F1011" s="20" t="s">
        <v>27</v>
      </c>
      <c r="G1011" s="53">
        <f t="shared" si="16"/>
        <v>-0.24687993141360834</v>
      </c>
      <c r="H1011" s="35"/>
      <c r="P1011" s="6"/>
    </row>
    <row r="1012" spans="1:16" ht="14.4" x14ac:dyDescent="0.25">
      <c r="A1012" s="6">
        <v>7158</v>
      </c>
      <c r="B1012" s="6">
        <v>51072</v>
      </c>
      <c r="C1012" s="19">
        <v>40088</v>
      </c>
      <c r="D1012" s="6" t="s">
        <v>30</v>
      </c>
      <c r="E1012" s="6">
        <f>IF((ISBLANK($B$1)),"",Sheet1!Q1019)</f>
        <v>5550</v>
      </c>
      <c r="F1012" s="20" t="s">
        <v>26</v>
      </c>
      <c r="G1012" s="53">
        <f t="shared" si="16"/>
        <v>1.2031220549314123</v>
      </c>
      <c r="H1012" s="35"/>
      <c r="P1012" s="6"/>
    </row>
    <row r="1013" spans="1:16" ht="14.4" x14ac:dyDescent="0.25">
      <c r="A1013" s="6">
        <v>7242</v>
      </c>
      <c r="B1013" s="6">
        <v>51648</v>
      </c>
      <c r="C1013" s="19">
        <v>40909</v>
      </c>
      <c r="D1013" s="6" t="s">
        <v>25</v>
      </c>
      <c r="E1013" s="6">
        <f>IF((ISBLANK($B$1)),"",Sheet1!Q1020)</f>
        <v>5650</v>
      </c>
      <c r="F1013" s="20" t="s">
        <v>27</v>
      </c>
      <c r="G1013" s="53">
        <f t="shared" si="16"/>
        <v>1.3412174822023666</v>
      </c>
      <c r="H1013" s="35"/>
      <c r="P1013" s="6"/>
    </row>
    <row r="1014" spans="1:16" ht="14.4" x14ac:dyDescent="0.25">
      <c r="A1014" s="6">
        <v>7243</v>
      </c>
      <c r="B1014" s="6">
        <v>51648</v>
      </c>
      <c r="C1014" s="19">
        <v>40909</v>
      </c>
      <c r="D1014" s="6" t="s">
        <v>25</v>
      </c>
      <c r="E1014" s="6">
        <f>IF((ISBLANK($B$1)),"",Sheet1!Q1021)</f>
        <v>5900</v>
      </c>
      <c r="F1014" s="20" t="s">
        <v>26</v>
      </c>
      <c r="G1014" s="53">
        <f t="shared" si="16"/>
        <v>1.6864560503797523</v>
      </c>
      <c r="H1014" s="35"/>
      <c r="P1014" s="6"/>
    </row>
    <row r="1015" spans="1:16" ht="14.4" x14ac:dyDescent="0.25">
      <c r="A1015" s="6">
        <v>7298</v>
      </c>
      <c r="B1015" s="6">
        <v>52035</v>
      </c>
      <c r="C1015" s="19">
        <v>40144</v>
      </c>
      <c r="D1015" s="6" t="s">
        <v>17</v>
      </c>
      <c r="E1015" s="6">
        <f>IF((ISBLANK($B$1)),"",Sheet1!Q1022)</f>
        <v>4850</v>
      </c>
      <c r="F1015" s="20" t="s">
        <v>27</v>
      </c>
      <c r="G1015" s="53">
        <f t="shared" si="16"/>
        <v>0.23645406403473185</v>
      </c>
      <c r="H1015" s="35"/>
      <c r="P1015" s="6"/>
    </row>
    <row r="1016" spans="1:16" ht="14.4" x14ac:dyDescent="0.25">
      <c r="A1016" s="6">
        <v>7348</v>
      </c>
      <c r="B1016" s="6">
        <v>52326</v>
      </c>
      <c r="C1016" s="19">
        <v>40394</v>
      </c>
      <c r="D1016" s="6" t="s">
        <v>25</v>
      </c>
      <c r="E1016" s="6">
        <f>IF((ISBLANK($B$1)),"",Sheet1!Q1023)</f>
        <v>5450</v>
      </c>
      <c r="F1016" s="20" t="s">
        <v>26</v>
      </c>
      <c r="G1016" s="53">
        <f t="shared" si="16"/>
        <v>1.0650266276604579</v>
      </c>
      <c r="H1016" s="35"/>
      <c r="P1016" s="6"/>
    </row>
    <row r="1017" spans="1:16" ht="14.4" x14ac:dyDescent="0.25">
      <c r="A1017" s="6">
        <v>7400</v>
      </c>
      <c r="B1017" s="6">
        <v>52737</v>
      </c>
      <c r="C1017" s="19">
        <v>40490</v>
      </c>
      <c r="D1017" s="6" t="s">
        <v>28</v>
      </c>
      <c r="E1017" s="6">
        <f>IF((ISBLANK($B$1)),"",Sheet1!Q1024)</f>
        <v>4100</v>
      </c>
      <c r="F1017" s="20" t="s">
        <v>26</v>
      </c>
      <c r="G1017" s="53">
        <f t="shared" si="16"/>
        <v>-0.79926164049742576</v>
      </c>
      <c r="H1017" s="35"/>
      <c r="P1017" s="6"/>
    </row>
    <row r="1018" spans="1:16" ht="14.4" x14ac:dyDescent="0.25">
      <c r="A1018" s="6">
        <v>7458</v>
      </c>
      <c r="B1018" s="6">
        <v>53216</v>
      </c>
      <c r="C1018" s="19">
        <v>41247</v>
      </c>
      <c r="D1018" s="6" t="s">
        <v>17</v>
      </c>
      <c r="E1018" s="6">
        <f>IF((ISBLANK($B$1)),"",Sheet1!Q1025)</f>
        <v>5200</v>
      </c>
      <c r="F1018" s="20" t="s">
        <v>26</v>
      </c>
      <c r="G1018" s="53">
        <f t="shared" si="16"/>
        <v>0.71978805948307201</v>
      </c>
      <c r="H1018" s="35"/>
      <c r="P1018" s="6"/>
    </row>
    <row r="1019" spans="1:16" ht="14.4" x14ac:dyDescent="0.25">
      <c r="A1019" s="6">
        <v>7558</v>
      </c>
      <c r="B1019" s="6">
        <v>54081</v>
      </c>
      <c r="C1019" s="19">
        <v>40612</v>
      </c>
      <c r="D1019" s="6" t="s">
        <v>25</v>
      </c>
      <c r="E1019" s="6">
        <f>IF((ISBLANK($B$1)),"",Sheet1!Q1026)</f>
        <v>3500</v>
      </c>
      <c r="F1019" s="20" t="s">
        <v>27</v>
      </c>
      <c r="G1019" s="53">
        <f t="shared" si="16"/>
        <v>-1.6278342041231517</v>
      </c>
      <c r="H1019" s="35"/>
      <c r="P1019" s="6"/>
    </row>
    <row r="1020" spans="1:16" ht="14.4" x14ac:dyDescent="0.25">
      <c r="A1020" s="6">
        <v>7624</v>
      </c>
      <c r="B1020" s="6">
        <v>54560</v>
      </c>
      <c r="C1020" s="19">
        <v>40010</v>
      </c>
      <c r="D1020" s="6" t="s">
        <v>30</v>
      </c>
      <c r="E1020" s="6">
        <f>IF((ISBLANK($B$1)),"",Sheet1!Q1027)</f>
        <v>4500</v>
      </c>
      <c r="F1020" s="20" t="s">
        <v>27</v>
      </c>
      <c r="G1020" s="53">
        <f t="shared" si="16"/>
        <v>-0.24687993141360834</v>
      </c>
      <c r="H1020" s="35"/>
      <c r="P1020" s="6"/>
    </row>
    <row r="1021" spans="1:16" ht="14.4" x14ac:dyDescent="0.25">
      <c r="A1021" s="6">
        <v>7625</v>
      </c>
      <c r="B1021" s="6">
        <v>54560</v>
      </c>
      <c r="C1021" s="19">
        <v>40010</v>
      </c>
      <c r="D1021" s="6" t="s">
        <v>30</v>
      </c>
      <c r="E1021" s="6">
        <f>IF((ISBLANK($B$1)),"",Sheet1!Q1028)</f>
        <v>5650</v>
      </c>
      <c r="F1021" s="20" t="s">
        <v>27</v>
      </c>
      <c r="G1021" s="53">
        <f t="shared" si="16"/>
        <v>1.3412174822023666</v>
      </c>
      <c r="H1021" s="35"/>
      <c r="P1021" s="6"/>
    </row>
    <row r="1022" spans="1:16" ht="14.4" x14ac:dyDescent="0.25">
      <c r="A1022" s="6">
        <v>7662</v>
      </c>
      <c r="B1022" s="6">
        <v>54947</v>
      </c>
      <c r="C1022" s="19">
        <v>39866</v>
      </c>
      <c r="D1022" s="6" t="s">
        <v>28</v>
      </c>
      <c r="E1022" s="6">
        <f>IF((ISBLANK($B$1)),"",Sheet1!Q1029)</f>
        <v>4750</v>
      </c>
      <c r="F1022" s="20" t="s">
        <v>27</v>
      </c>
      <c r="G1022" s="53">
        <f t="shared" si="16"/>
        <v>9.8358636763777513E-2</v>
      </c>
      <c r="H1022" s="35"/>
      <c r="P1022" s="6"/>
    </row>
    <row r="1023" spans="1:16" ht="14.4" x14ac:dyDescent="0.25">
      <c r="A1023" s="6">
        <v>7663</v>
      </c>
      <c r="B1023" s="6">
        <v>54947</v>
      </c>
      <c r="C1023" s="19">
        <v>39866</v>
      </c>
      <c r="D1023" s="6" t="s">
        <v>28</v>
      </c>
      <c r="E1023" s="6">
        <f>IF((ISBLANK($B$1)),"",Sheet1!Q1030)</f>
        <v>5500</v>
      </c>
      <c r="F1023" s="20" t="s">
        <v>29</v>
      </c>
      <c r="G1023" s="53">
        <f t="shared" si="16"/>
        <v>1.1340743412959351</v>
      </c>
      <c r="H1023" s="35"/>
      <c r="P1023" s="6"/>
    </row>
    <row r="1024" spans="1:16" ht="14.4" x14ac:dyDescent="0.25">
      <c r="A1024" s="6">
        <v>7694</v>
      </c>
      <c r="B1024" s="6">
        <v>55170</v>
      </c>
      <c r="C1024" s="19">
        <v>41173</v>
      </c>
      <c r="D1024" s="6" t="s">
        <v>30</v>
      </c>
      <c r="E1024" s="6">
        <f>IF((ISBLANK($B$1)),"",Sheet1!Q1031)</f>
        <v>4500</v>
      </c>
      <c r="F1024" s="20" t="s">
        <v>26</v>
      </c>
      <c r="G1024" s="53">
        <f t="shared" si="16"/>
        <v>-0.24687993141360834</v>
      </c>
      <c r="H1024" s="35"/>
      <c r="P1024" s="6"/>
    </row>
    <row r="1025" spans="1:16" ht="14.4" x14ac:dyDescent="0.25">
      <c r="A1025" s="6">
        <v>7796</v>
      </c>
      <c r="B1025" s="6">
        <v>55777</v>
      </c>
      <c r="C1025" s="19">
        <v>41223</v>
      </c>
      <c r="D1025" s="6" t="s">
        <v>28</v>
      </c>
      <c r="E1025" s="6">
        <f>IF((ISBLANK($B$1)),"",Sheet1!Q1032)</f>
        <v>3700</v>
      </c>
      <c r="F1025" s="20" t="s">
        <v>29</v>
      </c>
      <c r="G1025" s="53">
        <f t="shared" si="16"/>
        <v>-1.351643349581243</v>
      </c>
      <c r="H1025" s="35"/>
      <c r="P1025" s="6"/>
    </row>
    <row r="1026" spans="1:16" ht="14.4" x14ac:dyDescent="0.25">
      <c r="A1026" s="6">
        <v>7797</v>
      </c>
      <c r="B1026" s="6">
        <v>55777</v>
      </c>
      <c r="C1026" s="19">
        <v>41223</v>
      </c>
      <c r="D1026" s="6" t="s">
        <v>28</v>
      </c>
      <c r="E1026" s="6">
        <f>IF((ISBLANK($B$1)),"",Sheet1!Q1033)</f>
        <v>3450</v>
      </c>
      <c r="F1026" s="20" t="s">
        <v>27</v>
      </c>
      <c r="G1026" s="53">
        <f t="shared" si="16"/>
        <v>-1.696881917758629</v>
      </c>
      <c r="H1026" s="35"/>
      <c r="P1026" s="6"/>
    </row>
    <row r="1027" spans="1:16" ht="14.4" x14ac:dyDescent="0.25">
      <c r="A1027" s="6">
        <v>7830</v>
      </c>
      <c r="B1027" s="6">
        <v>56001</v>
      </c>
      <c r="C1027" s="19">
        <v>40280</v>
      </c>
      <c r="D1027" s="6" t="s">
        <v>25</v>
      </c>
      <c r="E1027" s="6">
        <f>IF((ISBLANK($B$1)),"",Sheet1!Q1034)</f>
        <v>4250</v>
      </c>
      <c r="F1027" s="20" t="s">
        <v>26</v>
      </c>
      <c r="G1027" s="53">
        <f t="shared" si="16"/>
        <v>-0.59211849959099416</v>
      </c>
      <c r="H1027" s="35"/>
      <c r="P1027" s="6"/>
    </row>
    <row r="1028" spans="1:16" ht="14.4" x14ac:dyDescent="0.25">
      <c r="A1028" s="6">
        <v>7921</v>
      </c>
      <c r="B1028" s="6">
        <v>56640</v>
      </c>
      <c r="C1028" s="19">
        <v>40780</v>
      </c>
      <c r="D1028" s="6" t="s">
        <v>17</v>
      </c>
      <c r="E1028" s="6">
        <f>IF((ISBLANK($B$1)),"",Sheet1!Q1035)</f>
        <v>3500</v>
      </c>
      <c r="F1028" s="20" t="s">
        <v>26</v>
      </c>
      <c r="G1028" s="53">
        <f t="shared" si="16"/>
        <v>-1.6278342041231517</v>
      </c>
      <c r="H1028" s="35"/>
      <c r="P1028" s="6"/>
    </row>
    <row r="1029" spans="1:16" ht="14.4" x14ac:dyDescent="0.25">
      <c r="A1029" s="6">
        <v>7922</v>
      </c>
      <c r="B1029" s="6">
        <v>56640</v>
      </c>
      <c r="C1029" s="19">
        <v>40780</v>
      </c>
      <c r="D1029" s="6" t="s">
        <v>17</v>
      </c>
      <c r="E1029" s="6">
        <f>IF((ISBLANK($B$1)),"",Sheet1!Q1036)</f>
        <v>3950</v>
      </c>
      <c r="F1029" s="20" t="s">
        <v>26</v>
      </c>
      <c r="G1029" s="53">
        <f t="shared" si="16"/>
        <v>-1.0064047814038573</v>
      </c>
      <c r="H1029" s="35"/>
      <c r="P1029" s="6"/>
    </row>
    <row r="1030" spans="1:16" ht="14.4" x14ac:dyDescent="0.25">
      <c r="A1030" s="6">
        <v>8313</v>
      </c>
      <c r="B1030" s="6">
        <v>59393</v>
      </c>
      <c r="C1030" s="19">
        <v>40502</v>
      </c>
      <c r="D1030" s="6" t="s">
        <v>16</v>
      </c>
      <c r="E1030" s="6">
        <f>IF((ISBLANK($B$1)),"",Sheet1!Q1037)</f>
        <v>5100</v>
      </c>
      <c r="F1030" s="20" t="s">
        <v>26</v>
      </c>
      <c r="G1030" s="53">
        <f t="shared" si="16"/>
        <v>0.58169263221211776</v>
      </c>
      <c r="H1030" s="35"/>
      <c r="P1030" s="6"/>
    </row>
    <row r="1031" spans="1:16" ht="14.4" x14ac:dyDescent="0.25">
      <c r="A1031" s="6">
        <v>8357</v>
      </c>
      <c r="B1031" s="6">
        <v>59712</v>
      </c>
      <c r="C1031" s="19">
        <v>40344</v>
      </c>
      <c r="D1031" s="6" t="s">
        <v>30</v>
      </c>
      <c r="E1031" s="6">
        <f>IF((ISBLANK($B$1)),"",Sheet1!Q1038)</f>
        <v>4650</v>
      </c>
      <c r="F1031" s="20" t="s">
        <v>26</v>
      </c>
      <c r="G1031" s="53">
        <f t="shared" si="16"/>
        <v>-3.9736790507176829E-2</v>
      </c>
      <c r="H1031" s="35"/>
      <c r="P1031" s="6"/>
    </row>
    <row r="1032" spans="1:16" ht="14.4" x14ac:dyDescent="0.25">
      <c r="A1032" s="6">
        <v>8382</v>
      </c>
      <c r="B1032" s="6">
        <v>59905</v>
      </c>
      <c r="C1032" s="19">
        <v>41013</v>
      </c>
      <c r="D1032" s="6" t="s">
        <v>17</v>
      </c>
      <c r="E1032" s="6">
        <f>IF((ISBLANK($B$1)),"",Sheet1!Q1039)</f>
        <v>4350</v>
      </c>
      <c r="F1032" s="20" t="s">
        <v>27</v>
      </c>
      <c r="G1032" s="53">
        <f t="shared" ref="G1032:G1095" si="17">STANDARDIZE(E1032,$L$26,$L$35)</f>
        <v>-0.45402307232003986</v>
      </c>
      <c r="H1032" s="35"/>
      <c r="P1032" s="6"/>
    </row>
    <row r="1033" spans="1:16" ht="14.4" x14ac:dyDescent="0.25">
      <c r="A1033" s="6">
        <v>8383</v>
      </c>
      <c r="B1033" s="6">
        <v>59905</v>
      </c>
      <c r="C1033" s="19">
        <v>41013</v>
      </c>
      <c r="D1033" s="6" t="s">
        <v>17</v>
      </c>
      <c r="E1033" s="6">
        <f>IF((ISBLANK($B$1)),"",Sheet1!Q1040)</f>
        <v>3700</v>
      </c>
      <c r="F1033" s="20" t="s">
        <v>26</v>
      </c>
      <c r="G1033" s="53">
        <f t="shared" si="17"/>
        <v>-1.351643349581243</v>
      </c>
      <c r="H1033" s="35"/>
      <c r="P1033" s="6"/>
    </row>
    <row r="1034" spans="1:16" ht="14.4" x14ac:dyDescent="0.25">
      <c r="A1034" s="6">
        <v>8384</v>
      </c>
      <c r="B1034" s="6">
        <v>59905</v>
      </c>
      <c r="C1034" s="19">
        <v>41013</v>
      </c>
      <c r="D1034" s="6" t="s">
        <v>17</v>
      </c>
      <c r="E1034" s="6">
        <f>IF((ISBLANK($B$1)),"",Sheet1!Q1041)</f>
        <v>3650</v>
      </c>
      <c r="F1034" s="20" t="s">
        <v>26</v>
      </c>
      <c r="G1034" s="53">
        <f t="shared" si="17"/>
        <v>-1.4206910632167202</v>
      </c>
      <c r="H1034" s="35"/>
      <c r="P1034" s="6"/>
    </row>
    <row r="1035" spans="1:16" ht="14.4" x14ac:dyDescent="0.25">
      <c r="A1035" s="6">
        <v>52</v>
      </c>
      <c r="B1035" s="6">
        <v>322</v>
      </c>
      <c r="C1035" s="19">
        <v>40986</v>
      </c>
      <c r="D1035" s="6" t="s">
        <v>30</v>
      </c>
      <c r="E1035" s="6">
        <f>IF((ISBLANK($B$1)),"",Sheet1!Q1042)</f>
        <v>4400</v>
      </c>
      <c r="F1035" s="20" t="s">
        <v>27</v>
      </c>
      <c r="G1035" s="53">
        <f t="shared" si="17"/>
        <v>-0.38497535868456267</v>
      </c>
      <c r="H1035" s="35"/>
      <c r="P1035" s="6"/>
    </row>
    <row r="1036" spans="1:16" ht="14.4" x14ac:dyDescent="0.25">
      <c r="A1036" s="6">
        <v>53</v>
      </c>
      <c r="B1036" s="6">
        <v>322</v>
      </c>
      <c r="C1036" s="19">
        <v>40986</v>
      </c>
      <c r="D1036" s="6" t="s">
        <v>30</v>
      </c>
      <c r="E1036" s="6">
        <f>IF((ISBLANK($B$1)),"",Sheet1!Q1043)</f>
        <v>5700</v>
      </c>
      <c r="F1036" s="20" t="s">
        <v>26</v>
      </c>
      <c r="G1036" s="53">
        <f t="shared" si="17"/>
        <v>1.4102651958378438</v>
      </c>
      <c r="H1036" s="35"/>
      <c r="P1036" s="6"/>
    </row>
    <row r="1037" spans="1:16" ht="14.4" x14ac:dyDescent="0.25">
      <c r="A1037" s="6">
        <v>151</v>
      </c>
      <c r="B1037" s="6">
        <v>962</v>
      </c>
      <c r="C1037" s="19">
        <v>39938</v>
      </c>
      <c r="D1037" s="6" t="s">
        <v>25</v>
      </c>
      <c r="E1037" s="6">
        <f>IF((ISBLANK($B$1)),"",Sheet1!Q1044)</f>
        <v>5050</v>
      </c>
      <c r="F1037" s="20" t="s">
        <v>26</v>
      </c>
      <c r="G1037" s="53">
        <f t="shared" si="17"/>
        <v>0.51264491857664052</v>
      </c>
      <c r="H1037" s="35"/>
      <c r="P1037" s="6"/>
    </row>
    <row r="1038" spans="1:16" ht="14.4" x14ac:dyDescent="0.25">
      <c r="A1038" s="6">
        <v>152</v>
      </c>
      <c r="B1038" s="6">
        <v>962</v>
      </c>
      <c r="C1038" s="19">
        <v>39938</v>
      </c>
      <c r="D1038" s="6" t="s">
        <v>25</v>
      </c>
      <c r="E1038" s="6">
        <f>IF((ISBLANK($B$1)),"",Sheet1!Q1045)</f>
        <v>5750</v>
      </c>
      <c r="F1038" s="20" t="s">
        <v>26</v>
      </c>
      <c r="G1038" s="53">
        <f t="shared" si="17"/>
        <v>1.4793129094733208</v>
      </c>
      <c r="H1038" s="35"/>
      <c r="P1038" s="6"/>
    </row>
    <row r="1039" spans="1:16" ht="14.4" x14ac:dyDescent="0.25">
      <c r="A1039" s="6">
        <v>185</v>
      </c>
      <c r="B1039" s="6">
        <v>1221</v>
      </c>
      <c r="C1039" s="19">
        <v>41017</v>
      </c>
      <c r="D1039" s="6" t="s">
        <v>28</v>
      </c>
      <c r="E1039" s="6">
        <f>IF((ISBLANK($B$1)),"",Sheet1!Q1046)</f>
        <v>3450</v>
      </c>
      <c r="F1039" s="20" t="s">
        <v>26</v>
      </c>
      <c r="G1039" s="53">
        <f t="shared" si="17"/>
        <v>-1.696881917758629</v>
      </c>
      <c r="H1039" s="35"/>
      <c r="P1039" s="6"/>
    </row>
    <row r="1040" spans="1:16" ht="14.4" x14ac:dyDescent="0.25">
      <c r="A1040" s="6">
        <v>186</v>
      </c>
      <c r="B1040" s="6">
        <v>1221</v>
      </c>
      <c r="C1040" s="19">
        <v>41017</v>
      </c>
      <c r="D1040" s="6" t="s">
        <v>28</v>
      </c>
      <c r="E1040" s="6">
        <f>IF((ISBLANK($B$1)),"",Sheet1!Q1047)</f>
        <v>3950</v>
      </c>
      <c r="F1040" s="20" t="s">
        <v>26</v>
      </c>
      <c r="G1040" s="53">
        <f t="shared" si="17"/>
        <v>-1.0064047814038573</v>
      </c>
      <c r="H1040" s="35"/>
      <c r="P1040" s="6"/>
    </row>
    <row r="1041" spans="1:16" ht="14.4" x14ac:dyDescent="0.25">
      <c r="A1041" s="6">
        <v>187</v>
      </c>
      <c r="B1041" s="6">
        <v>1221</v>
      </c>
      <c r="C1041" s="19">
        <v>41017</v>
      </c>
      <c r="D1041" s="6" t="s">
        <v>28</v>
      </c>
      <c r="E1041" s="6">
        <f>IF((ISBLANK($B$1)),"",Sheet1!Q1048)</f>
        <v>4200</v>
      </c>
      <c r="F1041" s="20" t="s">
        <v>26</v>
      </c>
      <c r="G1041" s="53">
        <f t="shared" si="17"/>
        <v>-0.6611662132264714</v>
      </c>
      <c r="H1041" s="35"/>
      <c r="P1041" s="6"/>
    </row>
    <row r="1042" spans="1:16" ht="14.4" x14ac:dyDescent="0.25">
      <c r="A1042" s="6">
        <v>222</v>
      </c>
      <c r="B1042" s="6">
        <v>1445</v>
      </c>
      <c r="C1042" s="19">
        <v>40552</v>
      </c>
      <c r="D1042" s="6" t="s">
        <v>16</v>
      </c>
      <c r="E1042" s="6">
        <f>IF((ISBLANK($B$1)),"",Sheet1!Q1049)</f>
        <v>3550</v>
      </c>
      <c r="F1042" s="20" t="s">
        <v>26</v>
      </c>
      <c r="G1042" s="53">
        <f t="shared" si="17"/>
        <v>-1.5587864904876745</v>
      </c>
      <c r="H1042" s="35"/>
      <c r="P1042" s="6"/>
    </row>
    <row r="1043" spans="1:16" ht="14.4" x14ac:dyDescent="0.25">
      <c r="A1043" s="6">
        <v>223</v>
      </c>
      <c r="B1043" s="6">
        <v>1445</v>
      </c>
      <c r="C1043" s="19">
        <v>40552</v>
      </c>
      <c r="D1043" s="6" t="s">
        <v>16</v>
      </c>
      <c r="E1043" s="6">
        <f>IF((ISBLANK($B$1)),"",Sheet1!Q1050)</f>
        <v>4900</v>
      </c>
      <c r="F1043" s="20" t="s">
        <v>26</v>
      </c>
      <c r="G1043" s="53">
        <f t="shared" si="17"/>
        <v>0.30550177767020903</v>
      </c>
      <c r="H1043" s="35"/>
      <c r="P1043" s="6"/>
    </row>
    <row r="1044" spans="1:16" ht="14.4" x14ac:dyDescent="0.25">
      <c r="A1044" s="6">
        <v>259</v>
      </c>
      <c r="B1044" s="6">
        <v>1799</v>
      </c>
      <c r="C1044" s="19">
        <v>39878</v>
      </c>
      <c r="D1044" s="6" t="s">
        <v>28</v>
      </c>
      <c r="E1044" s="6">
        <f>IF((ISBLANK($B$1)),"",Sheet1!Q1051)</f>
        <v>3900</v>
      </c>
      <c r="F1044" s="20" t="s">
        <v>29</v>
      </c>
      <c r="G1044" s="53">
        <f t="shared" si="17"/>
        <v>-1.0754524950393345</v>
      </c>
      <c r="H1044" s="35"/>
      <c r="P1044" s="6"/>
    </row>
    <row r="1045" spans="1:16" ht="14.4" x14ac:dyDescent="0.25">
      <c r="A1045" s="6">
        <v>260</v>
      </c>
      <c r="B1045" s="6">
        <v>1799</v>
      </c>
      <c r="C1045" s="19">
        <v>39878</v>
      </c>
      <c r="D1045" s="6" t="s">
        <v>28</v>
      </c>
      <c r="E1045" s="6">
        <f>IF((ISBLANK($B$1)),"",Sheet1!Q1052)</f>
        <v>4200</v>
      </c>
      <c r="F1045" s="20" t="s">
        <v>26</v>
      </c>
      <c r="G1045" s="53">
        <f t="shared" si="17"/>
        <v>-0.6611662132264714</v>
      </c>
      <c r="H1045" s="35"/>
      <c r="P1045" s="6"/>
    </row>
    <row r="1046" spans="1:16" ht="14.4" x14ac:dyDescent="0.25">
      <c r="A1046" s="6">
        <v>393</v>
      </c>
      <c r="B1046" s="6">
        <v>2720</v>
      </c>
      <c r="C1046" s="19">
        <v>40336</v>
      </c>
      <c r="D1046" s="6" t="s">
        <v>30</v>
      </c>
      <c r="E1046" s="6">
        <f>IF((ISBLANK($B$1)),"",Sheet1!Q1053)</f>
        <v>5200</v>
      </c>
      <c r="F1046" s="20" t="s">
        <v>27</v>
      </c>
      <c r="G1046" s="53">
        <f t="shared" si="17"/>
        <v>0.71978805948307201</v>
      </c>
      <c r="H1046" s="35"/>
      <c r="P1046" s="6"/>
    </row>
    <row r="1047" spans="1:16" ht="14.4" x14ac:dyDescent="0.25">
      <c r="A1047" s="6">
        <v>548</v>
      </c>
      <c r="B1047" s="6">
        <v>3685</v>
      </c>
      <c r="C1047" s="19">
        <v>40924</v>
      </c>
      <c r="D1047" s="6" t="s">
        <v>16</v>
      </c>
      <c r="E1047" s="6">
        <f>IF((ISBLANK($B$1)),"",Sheet1!Q1054)</f>
        <v>4850</v>
      </c>
      <c r="F1047" s="20" t="s">
        <v>26</v>
      </c>
      <c r="G1047" s="53">
        <f t="shared" si="17"/>
        <v>0.23645406403473185</v>
      </c>
      <c r="H1047" s="35"/>
      <c r="P1047" s="6"/>
    </row>
    <row r="1048" spans="1:16" ht="14.4" x14ac:dyDescent="0.25">
      <c r="A1048" s="6">
        <v>549</v>
      </c>
      <c r="B1048" s="6">
        <v>3687</v>
      </c>
      <c r="C1048" s="19">
        <v>40211</v>
      </c>
      <c r="D1048" s="6" t="s">
        <v>30</v>
      </c>
      <c r="E1048" s="6">
        <f>IF((ISBLANK($B$1)),"",Sheet1!Q1055)</f>
        <v>4650</v>
      </c>
      <c r="F1048" s="20" t="s">
        <v>26</v>
      </c>
      <c r="G1048" s="53">
        <f t="shared" si="17"/>
        <v>-3.9736790507176829E-2</v>
      </c>
      <c r="H1048" s="35"/>
      <c r="P1048" s="6"/>
    </row>
    <row r="1049" spans="1:16" ht="14.4" x14ac:dyDescent="0.25">
      <c r="A1049" s="6">
        <v>574</v>
      </c>
      <c r="B1049" s="6">
        <v>3907</v>
      </c>
      <c r="C1049" s="19">
        <v>41139</v>
      </c>
      <c r="D1049" s="6" t="s">
        <v>16</v>
      </c>
      <c r="E1049" s="6">
        <f>IF((ISBLANK($B$1)),"",Sheet1!Q1056)</f>
        <v>5200</v>
      </c>
      <c r="F1049" s="20" t="s">
        <v>26</v>
      </c>
      <c r="G1049" s="53">
        <f t="shared" si="17"/>
        <v>0.71978805948307201</v>
      </c>
      <c r="H1049" s="35"/>
      <c r="P1049" s="6"/>
    </row>
    <row r="1050" spans="1:16" ht="14.4" x14ac:dyDescent="0.25">
      <c r="A1050" s="6">
        <v>594</v>
      </c>
      <c r="B1050" s="6">
        <v>4067</v>
      </c>
      <c r="C1050" s="19">
        <v>41188</v>
      </c>
      <c r="D1050" s="6" t="s">
        <v>17</v>
      </c>
      <c r="E1050" s="6">
        <f>IF((ISBLANK($B$1)),"",Sheet1!Q1057)</f>
        <v>4200</v>
      </c>
      <c r="F1050" s="20" t="s">
        <v>26</v>
      </c>
      <c r="G1050" s="53">
        <f t="shared" si="17"/>
        <v>-0.6611662132264714</v>
      </c>
      <c r="H1050" s="35"/>
      <c r="P1050" s="6"/>
    </row>
    <row r="1051" spans="1:16" ht="14.4" x14ac:dyDescent="0.25">
      <c r="A1051" s="6">
        <v>617</v>
      </c>
      <c r="B1051" s="6">
        <v>4257</v>
      </c>
      <c r="C1051" s="19">
        <v>40626</v>
      </c>
      <c r="D1051" s="6" t="s">
        <v>16</v>
      </c>
      <c r="E1051" s="6">
        <f>IF((ISBLANK($B$1)),"",Sheet1!Q1058)</f>
        <v>5650</v>
      </c>
      <c r="F1051" s="20" t="s">
        <v>26</v>
      </c>
      <c r="G1051" s="53">
        <f t="shared" si="17"/>
        <v>1.3412174822023666</v>
      </c>
      <c r="H1051" s="35"/>
      <c r="P1051" s="6"/>
    </row>
    <row r="1052" spans="1:16" ht="14.4" x14ac:dyDescent="0.25">
      <c r="A1052" s="6">
        <v>618</v>
      </c>
      <c r="B1052" s="6">
        <v>4261</v>
      </c>
      <c r="C1052" s="19">
        <v>41184</v>
      </c>
      <c r="D1052" s="6" t="s">
        <v>30</v>
      </c>
      <c r="E1052" s="6">
        <f>IF((ISBLANK($B$1)),"",Sheet1!Q1059)</f>
        <v>4500</v>
      </c>
      <c r="F1052" s="20" t="s">
        <v>26</v>
      </c>
      <c r="G1052" s="53">
        <f t="shared" si="17"/>
        <v>-0.24687993141360834</v>
      </c>
      <c r="H1052" s="35"/>
      <c r="P1052" s="6"/>
    </row>
    <row r="1053" spans="1:16" ht="14.4" x14ac:dyDescent="0.25">
      <c r="A1053" s="6">
        <v>619</v>
      </c>
      <c r="B1053" s="6">
        <v>4261</v>
      </c>
      <c r="C1053" s="19">
        <v>41184</v>
      </c>
      <c r="D1053" s="6" t="s">
        <v>30</v>
      </c>
      <c r="E1053" s="6">
        <f>IF((ISBLANK($B$1)),"",Sheet1!Q1060)</f>
        <v>5050</v>
      </c>
      <c r="F1053" s="20" t="s">
        <v>26</v>
      </c>
      <c r="G1053" s="53">
        <f t="shared" si="17"/>
        <v>0.51264491857664052</v>
      </c>
      <c r="H1053" s="35"/>
      <c r="P1053" s="6"/>
    </row>
    <row r="1054" spans="1:16" ht="14.4" x14ac:dyDescent="0.25">
      <c r="A1054" s="6">
        <v>620</v>
      </c>
      <c r="B1054" s="6">
        <v>4261</v>
      </c>
      <c r="C1054" s="19">
        <v>41184</v>
      </c>
      <c r="D1054" s="6" t="s">
        <v>30</v>
      </c>
      <c r="E1054" s="6">
        <f>IF((ISBLANK($B$1)),"",Sheet1!Q1061)</f>
        <v>5000</v>
      </c>
      <c r="F1054" s="20" t="s">
        <v>26</v>
      </c>
      <c r="G1054" s="53">
        <f t="shared" si="17"/>
        <v>0.44359720494116334</v>
      </c>
      <c r="H1054" s="35"/>
      <c r="P1054" s="6"/>
    </row>
    <row r="1055" spans="1:16" ht="14.4" x14ac:dyDescent="0.25">
      <c r="A1055" s="6">
        <v>621</v>
      </c>
      <c r="B1055" s="6">
        <v>4261</v>
      </c>
      <c r="C1055" s="19">
        <v>41184</v>
      </c>
      <c r="D1055" s="6" t="s">
        <v>30</v>
      </c>
      <c r="E1055" s="6">
        <f>IF((ISBLANK($B$1)),"",Sheet1!Q1062)</f>
        <v>5800</v>
      </c>
      <c r="F1055" s="20" t="s">
        <v>26</v>
      </c>
      <c r="G1055" s="53">
        <f t="shared" si="17"/>
        <v>1.5483606231087981</v>
      </c>
      <c r="H1055" s="35"/>
      <c r="P1055" s="6"/>
    </row>
    <row r="1056" spans="1:16" ht="14.4" x14ac:dyDescent="0.25">
      <c r="A1056" s="6">
        <v>622</v>
      </c>
      <c r="B1056" s="6">
        <v>4294</v>
      </c>
      <c r="C1056" s="19">
        <v>41135</v>
      </c>
      <c r="D1056" s="6" t="s">
        <v>16</v>
      </c>
      <c r="E1056" s="6">
        <f>IF((ISBLANK($B$1)),"",Sheet1!Q1063)</f>
        <v>3800</v>
      </c>
      <c r="F1056" s="20" t="s">
        <v>29</v>
      </c>
      <c r="G1056" s="53">
        <f t="shared" si="17"/>
        <v>-1.2135479223102887</v>
      </c>
      <c r="H1056" s="35"/>
      <c r="P1056" s="6"/>
    </row>
    <row r="1057" spans="1:16" ht="14.4" x14ac:dyDescent="0.25">
      <c r="A1057" s="6">
        <v>657</v>
      </c>
      <c r="B1057" s="6">
        <v>4642</v>
      </c>
      <c r="C1057" s="19">
        <v>40600</v>
      </c>
      <c r="D1057" s="6" t="s">
        <v>30</v>
      </c>
      <c r="E1057" s="6">
        <f>IF((ISBLANK($B$1)),"",Sheet1!Q1064)</f>
        <v>3850</v>
      </c>
      <c r="F1057" s="20" t="s">
        <v>27</v>
      </c>
      <c r="G1057" s="53">
        <f t="shared" si="17"/>
        <v>-1.1445002086748115</v>
      </c>
      <c r="H1057" s="35"/>
      <c r="P1057" s="6"/>
    </row>
    <row r="1058" spans="1:16" ht="14.4" x14ac:dyDescent="0.25">
      <c r="A1058" s="6">
        <v>658</v>
      </c>
      <c r="B1058" s="6">
        <v>4642</v>
      </c>
      <c r="C1058" s="19">
        <v>40600</v>
      </c>
      <c r="D1058" s="6" t="s">
        <v>30</v>
      </c>
      <c r="E1058" s="6">
        <f>IF((ISBLANK($B$1)),"",Sheet1!Q1065)</f>
        <v>4450</v>
      </c>
      <c r="F1058" s="20" t="s">
        <v>26</v>
      </c>
      <c r="G1058" s="53">
        <f t="shared" si="17"/>
        <v>-0.31592764504908549</v>
      </c>
      <c r="H1058" s="35"/>
      <c r="P1058" s="6"/>
    </row>
    <row r="1059" spans="1:16" ht="14.4" x14ac:dyDescent="0.25">
      <c r="A1059" s="6">
        <v>695</v>
      </c>
      <c r="B1059" s="6">
        <v>4864</v>
      </c>
      <c r="C1059" s="19">
        <v>41223</v>
      </c>
      <c r="D1059" s="6" t="s">
        <v>25</v>
      </c>
      <c r="E1059" s="6">
        <f>IF((ISBLANK($B$1)),"",Sheet1!Q1066)</f>
        <v>4200</v>
      </c>
      <c r="F1059" s="20" t="s">
        <v>26</v>
      </c>
      <c r="G1059" s="53">
        <f t="shared" si="17"/>
        <v>-0.6611662132264714</v>
      </c>
      <c r="H1059" s="35"/>
      <c r="P1059" s="6"/>
    </row>
    <row r="1060" spans="1:16" ht="14.4" x14ac:dyDescent="0.25">
      <c r="A1060" s="6">
        <v>710</v>
      </c>
      <c r="B1060" s="6">
        <v>4996</v>
      </c>
      <c r="C1060" s="19">
        <v>41165</v>
      </c>
      <c r="D1060" s="6" t="s">
        <v>16</v>
      </c>
      <c r="E1060" s="6">
        <f>IF((ISBLANK($B$1)),"",Sheet1!Q1067)</f>
        <v>4900</v>
      </c>
      <c r="F1060" s="20" t="s">
        <v>26</v>
      </c>
      <c r="G1060" s="53">
        <f t="shared" si="17"/>
        <v>0.30550177767020903</v>
      </c>
      <c r="H1060" s="35"/>
      <c r="P1060" s="6"/>
    </row>
    <row r="1061" spans="1:16" ht="14.4" x14ac:dyDescent="0.25">
      <c r="A1061" s="6">
        <v>718</v>
      </c>
      <c r="B1061" s="6">
        <v>5121</v>
      </c>
      <c r="C1061" s="19">
        <v>41039</v>
      </c>
      <c r="D1061" s="6" t="s">
        <v>28</v>
      </c>
      <c r="E1061" s="6">
        <f>IF((ISBLANK($B$1)),"",Sheet1!Q1068)</f>
        <v>5650</v>
      </c>
      <c r="F1061" s="20" t="s">
        <v>27</v>
      </c>
      <c r="G1061" s="53">
        <f t="shared" si="17"/>
        <v>1.3412174822023666</v>
      </c>
      <c r="H1061" s="35"/>
      <c r="P1061" s="6"/>
    </row>
    <row r="1062" spans="1:16" ht="14.4" x14ac:dyDescent="0.25">
      <c r="A1062" s="6">
        <v>741</v>
      </c>
      <c r="B1062" s="6">
        <v>5346</v>
      </c>
      <c r="C1062" s="19">
        <v>40537</v>
      </c>
      <c r="D1062" s="6" t="s">
        <v>30</v>
      </c>
      <c r="E1062" s="6">
        <f>IF((ISBLANK($B$1)),"",Sheet1!Q1069)</f>
        <v>5100</v>
      </c>
      <c r="F1062" s="20" t="s">
        <v>29</v>
      </c>
      <c r="G1062" s="53">
        <f t="shared" si="17"/>
        <v>0.58169263221211776</v>
      </c>
      <c r="H1062" s="35"/>
      <c r="P1062" s="6"/>
    </row>
    <row r="1063" spans="1:16" ht="14.4" x14ac:dyDescent="0.25">
      <c r="A1063" s="6">
        <v>742</v>
      </c>
      <c r="B1063" s="6">
        <v>5346</v>
      </c>
      <c r="C1063" s="19">
        <v>40537</v>
      </c>
      <c r="D1063" s="6" t="s">
        <v>30</v>
      </c>
      <c r="E1063" s="6">
        <f>IF((ISBLANK($B$1)),"",Sheet1!Q1070)</f>
        <v>5650</v>
      </c>
      <c r="F1063" s="20" t="s">
        <v>29</v>
      </c>
      <c r="G1063" s="53">
        <f t="shared" si="17"/>
        <v>1.3412174822023666</v>
      </c>
      <c r="H1063" s="35"/>
      <c r="P1063" s="6"/>
    </row>
    <row r="1064" spans="1:16" ht="14.4" x14ac:dyDescent="0.25">
      <c r="A1064" s="6">
        <v>743</v>
      </c>
      <c r="B1064" s="6">
        <v>5346</v>
      </c>
      <c r="C1064" s="19">
        <v>40537</v>
      </c>
      <c r="D1064" s="6" t="s">
        <v>30</v>
      </c>
      <c r="E1064" s="6">
        <f>IF((ISBLANK($B$1)),"",Sheet1!Q1071)</f>
        <v>4250</v>
      </c>
      <c r="F1064" s="20" t="s">
        <v>29</v>
      </c>
      <c r="G1064" s="53">
        <f t="shared" si="17"/>
        <v>-0.59211849959099416</v>
      </c>
      <c r="H1064" s="35"/>
      <c r="P1064" s="6"/>
    </row>
    <row r="1065" spans="1:16" ht="14.4" x14ac:dyDescent="0.25">
      <c r="A1065" s="6">
        <v>766</v>
      </c>
      <c r="B1065" s="6">
        <v>5473</v>
      </c>
      <c r="C1065" s="19">
        <v>40992</v>
      </c>
      <c r="D1065" s="6" t="s">
        <v>28</v>
      </c>
      <c r="E1065" s="6">
        <f>IF((ISBLANK($B$1)),"",Sheet1!Q1072)</f>
        <v>5500</v>
      </c>
      <c r="F1065" s="20" t="s">
        <v>26</v>
      </c>
      <c r="G1065" s="53">
        <f t="shared" si="17"/>
        <v>1.1340743412959351</v>
      </c>
      <c r="H1065" s="35"/>
      <c r="P1065" s="6"/>
    </row>
    <row r="1066" spans="1:16" ht="14.4" x14ac:dyDescent="0.25">
      <c r="A1066" s="6">
        <v>795</v>
      </c>
      <c r="B1066" s="6">
        <v>5698</v>
      </c>
      <c r="C1066" s="19">
        <v>39953</v>
      </c>
      <c r="D1066" s="6" t="s">
        <v>16</v>
      </c>
      <c r="E1066" s="6">
        <f>IF((ISBLANK($B$1)),"",Sheet1!Q1073)</f>
        <v>4150</v>
      </c>
      <c r="F1066" s="20" t="s">
        <v>26</v>
      </c>
      <c r="G1066" s="53">
        <f t="shared" si="17"/>
        <v>-0.73021392686194853</v>
      </c>
      <c r="H1066" s="35"/>
      <c r="P1066" s="6"/>
    </row>
    <row r="1067" spans="1:16" ht="14.4" x14ac:dyDescent="0.25">
      <c r="A1067" s="6">
        <v>796</v>
      </c>
      <c r="B1067" s="6">
        <v>5698</v>
      </c>
      <c r="C1067" s="19">
        <v>39953</v>
      </c>
      <c r="D1067" s="6" t="s">
        <v>16</v>
      </c>
      <c r="E1067" s="6">
        <f>IF((ISBLANK($B$1)),"",Sheet1!Q1074)</f>
        <v>3750</v>
      </c>
      <c r="F1067" s="20" t="s">
        <v>26</v>
      </c>
      <c r="G1067" s="53">
        <f t="shared" si="17"/>
        <v>-1.282595635945766</v>
      </c>
      <c r="H1067" s="35"/>
      <c r="P1067" s="6"/>
    </row>
    <row r="1068" spans="1:16" ht="14.4" x14ac:dyDescent="0.25">
      <c r="A1068" s="6">
        <v>855</v>
      </c>
      <c r="B1068" s="6">
        <v>6144</v>
      </c>
      <c r="C1068" s="19">
        <v>39985</v>
      </c>
      <c r="D1068" s="6" t="s">
        <v>30</v>
      </c>
      <c r="E1068" s="6">
        <f>IF((ISBLANK($B$1)),"",Sheet1!Q1075)</f>
        <v>4600</v>
      </c>
      <c r="F1068" s="20" t="s">
        <v>26</v>
      </c>
      <c r="G1068" s="53">
        <f t="shared" si="17"/>
        <v>-0.108784504142654</v>
      </c>
      <c r="H1068" s="35"/>
      <c r="P1068" s="6"/>
    </row>
    <row r="1069" spans="1:16" ht="14.4" x14ac:dyDescent="0.25">
      <c r="A1069" s="6">
        <v>856</v>
      </c>
      <c r="B1069" s="6">
        <v>6144</v>
      </c>
      <c r="C1069" s="19">
        <v>39985</v>
      </c>
      <c r="D1069" s="6" t="s">
        <v>30</v>
      </c>
      <c r="E1069" s="6">
        <f>IF((ISBLANK($B$1)),"",Sheet1!Q1076)</f>
        <v>3600</v>
      </c>
      <c r="F1069" s="20" t="s">
        <v>29</v>
      </c>
      <c r="G1069" s="53">
        <f t="shared" si="17"/>
        <v>-1.4897387768521975</v>
      </c>
      <c r="H1069" s="35"/>
      <c r="P1069" s="6"/>
    </row>
    <row r="1070" spans="1:16" ht="14.4" x14ac:dyDescent="0.25">
      <c r="A1070" s="6">
        <v>888</v>
      </c>
      <c r="B1070" s="6">
        <v>6374</v>
      </c>
      <c r="C1070" s="19">
        <v>40762</v>
      </c>
      <c r="D1070" s="6" t="s">
        <v>30</v>
      </c>
      <c r="E1070" s="6">
        <f>IF((ISBLANK($B$1)),"",Sheet1!Q1077)</f>
        <v>4850</v>
      </c>
      <c r="F1070" s="20" t="s">
        <v>27</v>
      </c>
      <c r="G1070" s="53">
        <f t="shared" si="17"/>
        <v>0.23645406403473185</v>
      </c>
      <c r="H1070" s="35"/>
      <c r="P1070" s="6"/>
    </row>
    <row r="1071" spans="1:16" ht="14.4" x14ac:dyDescent="0.25">
      <c r="A1071" s="6">
        <v>889</v>
      </c>
      <c r="B1071" s="6">
        <v>6374</v>
      </c>
      <c r="C1071" s="19">
        <v>40762</v>
      </c>
      <c r="D1071" s="6" t="s">
        <v>30</v>
      </c>
      <c r="E1071" s="6">
        <f>IF((ISBLANK($B$1)),"",Sheet1!Q1078)</f>
        <v>3450</v>
      </c>
      <c r="F1071" s="20" t="s">
        <v>26</v>
      </c>
      <c r="G1071" s="53">
        <f t="shared" si="17"/>
        <v>-1.696881917758629</v>
      </c>
      <c r="H1071" s="35"/>
      <c r="P1071" s="6"/>
    </row>
    <row r="1072" spans="1:16" ht="14.4" x14ac:dyDescent="0.25">
      <c r="A1072" s="6">
        <v>992</v>
      </c>
      <c r="B1072" s="6">
        <v>7169</v>
      </c>
      <c r="C1072" s="19">
        <v>40263</v>
      </c>
      <c r="D1072" s="6" t="s">
        <v>16</v>
      </c>
      <c r="E1072" s="6">
        <f>IF((ISBLANK($B$1)),"",Sheet1!Q1079)</f>
        <v>4500</v>
      </c>
      <c r="F1072" s="20" t="s">
        <v>29</v>
      </c>
      <c r="G1072" s="53">
        <f t="shared" si="17"/>
        <v>-0.24687993141360834</v>
      </c>
      <c r="H1072" s="35"/>
      <c r="P1072" s="6"/>
    </row>
    <row r="1073" spans="1:16" ht="14.4" x14ac:dyDescent="0.25">
      <c r="A1073" s="6">
        <v>993</v>
      </c>
      <c r="B1073" s="6">
        <v>7169</v>
      </c>
      <c r="C1073" s="19">
        <v>40263</v>
      </c>
      <c r="D1073" s="6" t="s">
        <v>16</v>
      </c>
      <c r="E1073" s="6">
        <f>IF((ISBLANK($B$1)),"",Sheet1!Q1080)</f>
        <v>4900</v>
      </c>
      <c r="F1073" s="20" t="s">
        <v>27</v>
      </c>
      <c r="G1073" s="53">
        <f t="shared" si="17"/>
        <v>0.30550177767020903</v>
      </c>
      <c r="H1073" s="35"/>
      <c r="P1073" s="6"/>
    </row>
    <row r="1074" spans="1:16" ht="14.4" x14ac:dyDescent="0.25">
      <c r="A1074" s="6">
        <v>1013</v>
      </c>
      <c r="B1074" s="6">
        <v>7427</v>
      </c>
      <c r="C1074" s="19">
        <v>41258</v>
      </c>
      <c r="D1074" s="6" t="s">
        <v>28</v>
      </c>
      <c r="E1074" s="6">
        <f>IF((ISBLANK($B$1)),"",Sheet1!Q1081)</f>
        <v>5750</v>
      </c>
      <c r="F1074" s="20" t="s">
        <v>26</v>
      </c>
      <c r="G1074" s="53">
        <f t="shared" si="17"/>
        <v>1.4793129094733208</v>
      </c>
      <c r="H1074" s="35"/>
      <c r="P1074" s="6"/>
    </row>
    <row r="1075" spans="1:16" ht="14.4" x14ac:dyDescent="0.25">
      <c r="A1075" s="6">
        <v>1014</v>
      </c>
      <c r="B1075" s="6">
        <v>7427</v>
      </c>
      <c r="C1075" s="19">
        <v>41258</v>
      </c>
      <c r="D1075" s="6" t="s">
        <v>28</v>
      </c>
      <c r="E1075" s="6">
        <f>IF((ISBLANK($B$1)),"",Sheet1!Q1082)</f>
        <v>3850</v>
      </c>
      <c r="F1075" s="20" t="s">
        <v>26</v>
      </c>
      <c r="G1075" s="53">
        <f t="shared" si="17"/>
        <v>-1.1445002086748115</v>
      </c>
      <c r="H1075" s="35"/>
      <c r="P1075" s="6"/>
    </row>
    <row r="1076" spans="1:16" ht="14.4" x14ac:dyDescent="0.25">
      <c r="A1076" s="6">
        <v>1123</v>
      </c>
      <c r="B1076" s="6">
        <v>8229</v>
      </c>
      <c r="C1076" s="19">
        <v>40154</v>
      </c>
      <c r="D1076" s="6" t="s">
        <v>16</v>
      </c>
      <c r="E1076" s="6">
        <f>IF((ISBLANK($B$1)),"",Sheet1!Q1083)</f>
        <v>3750</v>
      </c>
      <c r="F1076" s="20" t="s">
        <v>27</v>
      </c>
      <c r="G1076" s="53">
        <f t="shared" si="17"/>
        <v>-1.282595635945766</v>
      </c>
      <c r="H1076" s="35"/>
      <c r="P1076" s="6"/>
    </row>
    <row r="1077" spans="1:16" ht="14.4" x14ac:dyDescent="0.25">
      <c r="A1077" s="6">
        <v>1124</v>
      </c>
      <c r="B1077" s="6">
        <v>8229</v>
      </c>
      <c r="C1077" s="19">
        <v>40154</v>
      </c>
      <c r="D1077" s="6" t="s">
        <v>16</v>
      </c>
      <c r="E1077" s="6">
        <f>IF((ISBLANK($B$1)),"",Sheet1!Q1084)</f>
        <v>5900</v>
      </c>
      <c r="F1077" s="20" t="s">
        <v>26</v>
      </c>
      <c r="G1077" s="53">
        <f t="shared" si="17"/>
        <v>1.6864560503797523</v>
      </c>
      <c r="H1077" s="35"/>
      <c r="P1077" s="6"/>
    </row>
    <row r="1078" spans="1:16" ht="14.4" x14ac:dyDescent="0.25">
      <c r="A1078" s="6">
        <v>1134</v>
      </c>
      <c r="B1078" s="6">
        <v>8290</v>
      </c>
      <c r="C1078" s="19">
        <v>40156</v>
      </c>
      <c r="D1078" s="6" t="s">
        <v>30</v>
      </c>
      <c r="E1078" s="6">
        <f>IF((ISBLANK($B$1)),"",Sheet1!Q1085)</f>
        <v>5000</v>
      </c>
      <c r="F1078" s="20" t="s">
        <v>26</v>
      </c>
      <c r="G1078" s="53">
        <f t="shared" si="17"/>
        <v>0.44359720494116334</v>
      </c>
      <c r="H1078" s="35"/>
      <c r="P1078" s="6"/>
    </row>
    <row r="1079" spans="1:16" ht="14.4" x14ac:dyDescent="0.25">
      <c r="A1079" s="6">
        <v>1167</v>
      </c>
      <c r="B1079" s="6">
        <v>8515</v>
      </c>
      <c r="C1079" s="19">
        <v>40533</v>
      </c>
      <c r="D1079" s="6" t="s">
        <v>30</v>
      </c>
      <c r="E1079" s="6">
        <f>IF((ISBLANK($B$1)),"",Sheet1!Q1086)</f>
        <v>5050</v>
      </c>
      <c r="F1079" s="20" t="s">
        <v>27</v>
      </c>
      <c r="G1079" s="53">
        <f t="shared" si="17"/>
        <v>0.51264491857664052</v>
      </c>
      <c r="H1079" s="35"/>
      <c r="P1079" s="6"/>
    </row>
    <row r="1080" spans="1:16" ht="14.4" x14ac:dyDescent="0.25">
      <c r="A1080" s="6">
        <v>1197</v>
      </c>
      <c r="B1080" s="6">
        <v>8801</v>
      </c>
      <c r="C1080" s="19">
        <v>41131</v>
      </c>
      <c r="D1080" s="6" t="s">
        <v>25</v>
      </c>
      <c r="E1080" s="6">
        <f>IF((ISBLANK($B$1)),"",Sheet1!Q1087)</f>
        <v>5000</v>
      </c>
      <c r="F1080" s="20" t="s">
        <v>29</v>
      </c>
      <c r="G1080" s="53">
        <f t="shared" si="17"/>
        <v>0.44359720494116334</v>
      </c>
      <c r="H1080" s="35"/>
      <c r="P1080" s="6"/>
    </row>
    <row r="1081" spans="1:16" ht="14.4" x14ac:dyDescent="0.25">
      <c r="A1081" s="6">
        <v>1198</v>
      </c>
      <c r="B1081" s="6">
        <v>8801</v>
      </c>
      <c r="C1081" s="19">
        <v>41131</v>
      </c>
      <c r="D1081" s="6" t="s">
        <v>25</v>
      </c>
      <c r="E1081" s="6">
        <f>IF((ISBLANK($B$1)),"",Sheet1!Q1088)</f>
        <v>4650</v>
      </c>
      <c r="F1081" s="20" t="s">
        <v>27</v>
      </c>
      <c r="G1081" s="53">
        <f t="shared" si="17"/>
        <v>-3.9736790507176829E-2</v>
      </c>
      <c r="H1081" s="35"/>
      <c r="P1081" s="6"/>
    </row>
    <row r="1082" spans="1:16" ht="14.4" x14ac:dyDescent="0.25">
      <c r="A1082" s="6">
        <v>1221</v>
      </c>
      <c r="B1082" s="6">
        <v>8992</v>
      </c>
      <c r="C1082" s="19">
        <v>40494</v>
      </c>
      <c r="D1082" s="6" t="s">
        <v>17</v>
      </c>
      <c r="E1082" s="6">
        <f>IF((ISBLANK($B$1)),"",Sheet1!Q1089)</f>
        <v>3550</v>
      </c>
      <c r="F1082" s="20" t="s">
        <v>29</v>
      </c>
      <c r="G1082" s="53">
        <f t="shared" si="17"/>
        <v>-1.5587864904876745</v>
      </c>
      <c r="H1082" s="35"/>
      <c r="P1082" s="6"/>
    </row>
    <row r="1083" spans="1:16" ht="14.4" x14ac:dyDescent="0.25">
      <c r="A1083" s="6">
        <v>1222</v>
      </c>
      <c r="B1083" s="6">
        <v>8992</v>
      </c>
      <c r="C1083" s="19">
        <v>40494</v>
      </c>
      <c r="D1083" s="6" t="s">
        <v>17</v>
      </c>
      <c r="E1083" s="6">
        <f>IF((ISBLANK($B$1)),"",Sheet1!Q1090)</f>
        <v>4100</v>
      </c>
      <c r="F1083" s="20" t="s">
        <v>27</v>
      </c>
      <c r="G1083" s="53">
        <f t="shared" si="17"/>
        <v>-0.79926164049742576</v>
      </c>
      <c r="H1083" s="35"/>
      <c r="P1083" s="6"/>
    </row>
    <row r="1084" spans="1:16" ht="14.4" x14ac:dyDescent="0.25">
      <c r="A1084" s="6">
        <v>1223</v>
      </c>
      <c r="B1084" s="6">
        <v>8992</v>
      </c>
      <c r="C1084" s="19">
        <v>40494</v>
      </c>
      <c r="D1084" s="6" t="s">
        <v>17</v>
      </c>
      <c r="E1084" s="6">
        <f>IF((ISBLANK($B$1)),"",Sheet1!Q1091)</f>
        <v>4300</v>
      </c>
      <c r="F1084" s="20" t="s">
        <v>27</v>
      </c>
      <c r="G1084" s="53">
        <f t="shared" si="17"/>
        <v>-0.52307078595551704</v>
      </c>
      <c r="H1084" s="35"/>
      <c r="P1084" s="6"/>
    </row>
    <row r="1085" spans="1:16" ht="14.4" x14ac:dyDescent="0.25">
      <c r="A1085" s="6">
        <v>1288</v>
      </c>
      <c r="B1085" s="6">
        <v>9409</v>
      </c>
      <c r="C1085" s="19">
        <v>41034</v>
      </c>
      <c r="D1085" s="6" t="s">
        <v>30</v>
      </c>
      <c r="E1085" s="6">
        <f>IF((ISBLANK($B$1)),"",Sheet1!Q1092)</f>
        <v>4000</v>
      </c>
      <c r="F1085" s="20" t="s">
        <v>27</v>
      </c>
      <c r="G1085" s="53">
        <f t="shared" si="17"/>
        <v>-0.93735706776838001</v>
      </c>
      <c r="H1085" s="35"/>
      <c r="P1085" s="6"/>
    </row>
    <row r="1086" spans="1:16" ht="14.4" x14ac:dyDescent="0.25">
      <c r="A1086" s="6">
        <v>1420</v>
      </c>
      <c r="B1086" s="6">
        <v>10306</v>
      </c>
      <c r="C1086" s="19">
        <v>40380</v>
      </c>
      <c r="D1086" s="6" t="s">
        <v>25</v>
      </c>
      <c r="E1086" s="6">
        <f>IF((ISBLANK($B$1)),"",Sheet1!Q1093)</f>
        <v>4400</v>
      </c>
      <c r="F1086" s="20" t="s">
        <v>29</v>
      </c>
      <c r="G1086" s="53">
        <f t="shared" si="17"/>
        <v>-0.38497535868456267</v>
      </c>
      <c r="H1086" s="35"/>
      <c r="P1086" s="6"/>
    </row>
    <row r="1087" spans="1:16" ht="14.4" x14ac:dyDescent="0.25">
      <c r="A1087" s="6">
        <v>1455</v>
      </c>
      <c r="B1087" s="6">
        <v>10470</v>
      </c>
      <c r="C1087" s="19">
        <v>41033</v>
      </c>
      <c r="D1087" s="6" t="s">
        <v>30</v>
      </c>
      <c r="E1087" s="6">
        <f>IF((ISBLANK($B$1)),"",Sheet1!Q1094)</f>
        <v>5150</v>
      </c>
      <c r="F1087" s="20" t="s">
        <v>29</v>
      </c>
      <c r="G1087" s="53">
        <f t="shared" si="17"/>
        <v>0.65074034584759488</v>
      </c>
      <c r="H1087" s="35"/>
      <c r="P1087" s="6"/>
    </row>
    <row r="1088" spans="1:16" ht="14.4" x14ac:dyDescent="0.25">
      <c r="A1088" s="6">
        <v>1497</v>
      </c>
      <c r="B1088" s="6">
        <v>10819</v>
      </c>
      <c r="C1088" s="19">
        <v>40414</v>
      </c>
      <c r="D1088" s="6" t="s">
        <v>30</v>
      </c>
      <c r="E1088" s="6">
        <f>IF((ISBLANK($B$1)),"",Sheet1!Q1095)</f>
        <v>5150</v>
      </c>
      <c r="F1088" s="20" t="s">
        <v>26</v>
      </c>
      <c r="G1088" s="53">
        <f t="shared" si="17"/>
        <v>0.65074034584759488</v>
      </c>
      <c r="H1088" s="35"/>
      <c r="P1088" s="6"/>
    </row>
    <row r="1089" spans="1:16" ht="14.4" x14ac:dyDescent="0.25">
      <c r="A1089" s="6">
        <v>1509</v>
      </c>
      <c r="B1089" s="6">
        <v>10916</v>
      </c>
      <c r="C1089" s="19">
        <v>40612</v>
      </c>
      <c r="D1089" s="6" t="s">
        <v>16</v>
      </c>
      <c r="E1089" s="6">
        <f>IF((ISBLANK($B$1)),"",Sheet1!Q1096)</f>
        <v>4550</v>
      </c>
      <c r="F1089" s="20" t="s">
        <v>26</v>
      </c>
      <c r="G1089" s="53">
        <f t="shared" si="17"/>
        <v>-0.17783221777813119</v>
      </c>
      <c r="H1089" s="35"/>
      <c r="P1089" s="6"/>
    </row>
    <row r="1090" spans="1:16" ht="14.4" x14ac:dyDescent="0.25">
      <c r="A1090" s="6">
        <v>1512</v>
      </c>
      <c r="B1090" s="6">
        <v>10944</v>
      </c>
      <c r="C1090" s="19">
        <v>40859</v>
      </c>
      <c r="D1090" s="6" t="s">
        <v>17</v>
      </c>
      <c r="E1090" s="6">
        <f>IF((ISBLANK($B$1)),"",Sheet1!Q1097)</f>
        <v>3850</v>
      </c>
      <c r="F1090" s="20" t="s">
        <v>27</v>
      </c>
      <c r="G1090" s="53">
        <f t="shared" si="17"/>
        <v>-1.1445002086748115</v>
      </c>
      <c r="H1090" s="35"/>
      <c r="P1090" s="6"/>
    </row>
    <row r="1091" spans="1:16" ht="14.4" x14ac:dyDescent="0.25">
      <c r="A1091" s="6">
        <v>1565</v>
      </c>
      <c r="B1091" s="6">
        <v>11301</v>
      </c>
      <c r="C1091" s="19">
        <v>40990</v>
      </c>
      <c r="D1091" s="6" t="s">
        <v>16</v>
      </c>
      <c r="E1091" s="6">
        <f>IF((ISBLANK($B$1)),"",Sheet1!Q1098)</f>
        <v>4850</v>
      </c>
      <c r="F1091" s="20" t="s">
        <v>27</v>
      </c>
      <c r="G1091" s="53">
        <f t="shared" si="17"/>
        <v>0.23645406403473185</v>
      </c>
      <c r="H1091" s="35"/>
      <c r="P1091" s="6"/>
    </row>
    <row r="1092" spans="1:16" ht="14.4" x14ac:dyDescent="0.25">
      <c r="A1092" s="6">
        <v>1567</v>
      </c>
      <c r="B1092" s="6">
        <v>11332</v>
      </c>
      <c r="C1092" s="19">
        <v>40133</v>
      </c>
      <c r="D1092" s="6" t="s">
        <v>25</v>
      </c>
      <c r="E1092" s="6">
        <f>IF((ISBLANK($B$1)),"",Sheet1!Q1099)</f>
        <v>3700</v>
      </c>
      <c r="F1092" s="20" t="s">
        <v>27</v>
      </c>
      <c r="G1092" s="53">
        <f t="shared" si="17"/>
        <v>-1.351643349581243</v>
      </c>
      <c r="H1092" s="35"/>
      <c r="P1092" s="6"/>
    </row>
    <row r="1093" spans="1:16" ht="14.4" x14ac:dyDescent="0.25">
      <c r="A1093" s="6">
        <v>1568</v>
      </c>
      <c r="B1093" s="6">
        <v>11332</v>
      </c>
      <c r="C1093" s="19">
        <v>40133</v>
      </c>
      <c r="D1093" s="6" t="s">
        <v>25</v>
      </c>
      <c r="E1093" s="6">
        <f>IF((ISBLANK($B$1)),"",Sheet1!Q1100)</f>
        <v>4550</v>
      </c>
      <c r="F1093" s="20" t="s">
        <v>27</v>
      </c>
      <c r="G1093" s="53">
        <f t="shared" si="17"/>
        <v>-0.17783221777813119</v>
      </c>
      <c r="H1093" s="35"/>
      <c r="P1093" s="6"/>
    </row>
    <row r="1094" spans="1:16" ht="14.4" x14ac:dyDescent="0.25">
      <c r="A1094" s="6">
        <v>1575</v>
      </c>
      <c r="B1094" s="6">
        <v>11392</v>
      </c>
      <c r="C1094" s="19">
        <v>40061</v>
      </c>
      <c r="D1094" s="6" t="s">
        <v>25</v>
      </c>
      <c r="E1094" s="6">
        <f>IF((ISBLANK($B$1)),"",Sheet1!Q1101)</f>
        <v>4800</v>
      </c>
      <c r="F1094" s="20" t="s">
        <v>26</v>
      </c>
      <c r="G1094" s="53">
        <f t="shared" si="17"/>
        <v>0.16740635039925467</v>
      </c>
      <c r="H1094" s="35"/>
      <c r="P1094" s="6"/>
    </row>
    <row r="1095" spans="1:16" ht="14.4" x14ac:dyDescent="0.25">
      <c r="A1095" s="6">
        <v>1623</v>
      </c>
      <c r="B1095" s="6">
        <v>11745</v>
      </c>
      <c r="C1095" s="19">
        <v>41109</v>
      </c>
      <c r="D1095" s="6" t="s">
        <v>17</v>
      </c>
      <c r="E1095" s="6">
        <f>IF((ISBLANK($B$1)),"",Sheet1!Q1102)</f>
        <v>4250</v>
      </c>
      <c r="F1095" s="20" t="s">
        <v>27</v>
      </c>
      <c r="G1095" s="53">
        <f t="shared" si="17"/>
        <v>-0.59211849959099416</v>
      </c>
      <c r="H1095" s="35"/>
      <c r="P1095" s="6"/>
    </row>
    <row r="1096" spans="1:16" ht="14.4" x14ac:dyDescent="0.25">
      <c r="A1096" s="6">
        <v>1644</v>
      </c>
      <c r="B1096" s="6">
        <v>11875</v>
      </c>
      <c r="C1096" s="19">
        <v>41141</v>
      </c>
      <c r="D1096" s="6" t="s">
        <v>16</v>
      </c>
      <c r="E1096" s="6">
        <f>IF((ISBLANK($B$1)),"",Sheet1!Q1103)</f>
        <v>4350</v>
      </c>
      <c r="F1096" s="20" t="s">
        <v>26</v>
      </c>
      <c r="G1096" s="53">
        <f t="shared" ref="G1096:G1159" si="18">STANDARDIZE(E1096,$L$26,$L$35)</f>
        <v>-0.45402307232003986</v>
      </c>
      <c r="H1096" s="35"/>
      <c r="P1096" s="6"/>
    </row>
    <row r="1097" spans="1:16" ht="14.4" x14ac:dyDescent="0.25">
      <c r="A1097" s="6">
        <v>1650</v>
      </c>
      <c r="B1097" s="6">
        <v>11907</v>
      </c>
      <c r="C1097" s="19">
        <v>40413</v>
      </c>
      <c r="D1097" s="6" t="s">
        <v>25</v>
      </c>
      <c r="E1097" s="6">
        <f>IF((ISBLANK($B$1)),"",Sheet1!Q1104)</f>
        <v>5650</v>
      </c>
      <c r="F1097" s="20" t="s">
        <v>27</v>
      </c>
      <c r="G1097" s="53">
        <f t="shared" si="18"/>
        <v>1.3412174822023666</v>
      </c>
      <c r="H1097" s="35"/>
      <c r="P1097" s="6"/>
    </row>
    <row r="1098" spans="1:16" ht="14.4" x14ac:dyDescent="0.25">
      <c r="A1098" s="6">
        <v>1681</v>
      </c>
      <c r="B1098" s="6">
        <v>12129</v>
      </c>
      <c r="C1098" s="19">
        <v>41268</v>
      </c>
      <c r="D1098" s="6" t="s">
        <v>16</v>
      </c>
      <c r="E1098" s="6">
        <f>IF((ISBLANK($B$1)),"",Sheet1!Q1105)</f>
        <v>5200</v>
      </c>
      <c r="F1098" s="20" t="s">
        <v>29</v>
      </c>
      <c r="G1098" s="53">
        <f t="shared" si="18"/>
        <v>0.71978805948307201</v>
      </c>
      <c r="H1098" s="35"/>
      <c r="P1098" s="6"/>
    </row>
    <row r="1099" spans="1:16" ht="14.4" x14ac:dyDescent="0.25">
      <c r="A1099" s="6">
        <v>1753</v>
      </c>
      <c r="B1099" s="6">
        <v>12579</v>
      </c>
      <c r="C1099" s="19">
        <v>40710</v>
      </c>
      <c r="D1099" s="6" t="s">
        <v>28</v>
      </c>
      <c r="E1099" s="6">
        <f>IF((ISBLANK($B$1)),"",Sheet1!Q1106)</f>
        <v>3650</v>
      </c>
      <c r="F1099" s="20" t="s">
        <v>26</v>
      </c>
      <c r="G1099" s="53">
        <f t="shared" si="18"/>
        <v>-1.4206910632167202</v>
      </c>
      <c r="H1099" s="35"/>
      <c r="P1099" s="6"/>
    </row>
    <row r="1100" spans="1:16" ht="14.4" x14ac:dyDescent="0.25">
      <c r="A1100" s="6">
        <v>1779</v>
      </c>
      <c r="B1100" s="6">
        <v>12743</v>
      </c>
      <c r="C1100" s="19">
        <v>40352</v>
      </c>
      <c r="D1100" s="6" t="s">
        <v>17</v>
      </c>
      <c r="E1100" s="6">
        <f>IF((ISBLANK($B$1)),"",Sheet1!Q1107)</f>
        <v>5350</v>
      </c>
      <c r="F1100" s="20" t="s">
        <v>27</v>
      </c>
      <c r="G1100" s="53">
        <f t="shared" si="18"/>
        <v>0.92693120038950361</v>
      </c>
      <c r="H1100" s="35"/>
      <c r="P1100" s="6"/>
    </row>
    <row r="1101" spans="1:16" ht="14.4" x14ac:dyDescent="0.25">
      <c r="A1101" s="6">
        <v>1803</v>
      </c>
      <c r="B1101" s="6">
        <v>12902</v>
      </c>
      <c r="C1101" s="19">
        <v>40480</v>
      </c>
      <c r="D1101" s="6" t="s">
        <v>28</v>
      </c>
      <c r="E1101" s="6">
        <f>IF((ISBLANK($B$1)),"",Sheet1!Q1108)</f>
        <v>3850</v>
      </c>
      <c r="F1101" s="20" t="s">
        <v>27</v>
      </c>
      <c r="G1101" s="53">
        <f t="shared" si="18"/>
        <v>-1.1445002086748115</v>
      </c>
      <c r="H1101" s="35"/>
      <c r="P1101" s="6"/>
    </row>
    <row r="1102" spans="1:16" ht="14.4" x14ac:dyDescent="0.25">
      <c r="A1102" s="6">
        <v>1860</v>
      </c>
      <c r="B1102" s="6">
        <v>13380</v>
      </c>
      <c r="C1102" s="19">
        <v>40009</v>
      </c>
      <c r="D1102" s="6" t="s">
        <v>30</v>
      </c>
      <c r="E1102" s="6">
        <f>IF((ISBLANK($B$1)),"",Sheet1!Q1109)</f>
        <v>4600</v>
      </c>
      <c r="F1102" s="20" t="s">
        <v>26</v>
      </c>
      <c r="G1102" s="53">
        <f t="shared" si="18"/>
        <v>-0.108784504142654</v>
      </c>
      <c r="H1102" s="35"/>
      <c r="P1102" s="6"/>
    </row>
    <row r="1103" spans="1:16" ht="14.4" x14ac:dyDescent="0.25">
      <c r="A1103" s="6">
        <v>1898</v>
      </c>
      <c r="B1103" s="6">
        <v>13606</v>
      </c>
      <c r="C1103" s="19">
        <v>39929</v>
      </c>
      <c r="D1103" s="6" t="s">
        <v>28</v>
      </c>
      <c r="E1103" s="6">
        <f>IF((ISBLANK($B$1)),"",Sheet1!Q1110)</f>
        <v>5100</v>
      </c>
      <c r="F1103" s="20" t="s">
        <v>26</v>
      </c>
      <c r="G1103" s="53">
        <f t="shared" si="18"/>
        <v>0.58169263221211776</v>
      </c>
      <c r="H1103" s="35"/>
      <c r="P1103" s="6"/>
    </row>
    <row r="1104" spans="1:16" ht="14.4" x14ac:dyDescent="0.25">
      <c r="A1104" s="6">
        <v>1936</v>
      </c>
      <c r="B1104" s="6">
        <v>13889</v>
      </c>
      <c r="C1104" s="19">
        <v>40790</v>
      </c>
      <c r="D1104" s="6" t="s">
        <v>16</v>
      </c>
      <c r="E1104" s="6">
        <f>IF((ISBLANK($B$1)),"",Sheet1!Q1111)</f>
        <v>5850</v>
      </c>
      <c r="F1104" s="20" t="s">
        <v>29</v>
      </c>
      <c r="G1104" s="53">
        <f t="shared" si="18"/>
        <v>1.6174083367442753</v>
      </c>
      <c r="H1104" s="35"/>
      <c r="P1104" s="6"/>
    </row>
    <row r="1105" spans="1:16" ht="14.4" x14ac:dyDescent="0.25">
      <c r="A1105" s="6">
        <v>1952</v>
      </c>
      <c r="B1105" s="6">
        <v>13984</v>
      </c>
      <c r="C1105" s="19">
        <v>41176</v>
      </c>
      <c r="D1105" s="6" t="s">
        <v>30</v>
      </c>
      <c r="E1105" s="6">
        <f>IF((ISBLANK($B$1)),"",Sheet1!Q1112)</f>
        <v>4900</v>
      </c>
      <c r="F1105" s="20" t="s">
        <v>29</v>
      </c>
      <c r="G1105" s="53">
        <f t="shared" si="18"/>
        <v>0.30550177767020903</v>
      </c>
      <c r="H1105" s="35"/>
      <c r="P1105" s="6"/>
    </row>
    <row r="1106" spans="1:16" ht="14.4" x14ac:dyDescent="0.25">
      <c r="A1106" s="6">
        <v>1953</v>
      </c>
      <c r="B1106" s="6">
        <v>13986</v>
      </c>
      <c r="C1106" s="19">
        <v>40827</v>
      </c>
      <c r="D1106" s="6" t="s">
        <v>17</v>
      </c>
      <c r="E1106" s="6">
        <f>IF((ISBLANK($B$1)),"",Sheet1!Q1113)</f>
        <v>5700</v>
      </c>
      <c r="F1106" s="20" t="s">
        <v>27</v>
      </c>
      <c r="G1106" s="53">
        <f t="shared" si="18"/>
        <v>1.4102651958378438</v>
      </c>
      <c r="H1106" s="35"/>
      <c r="P1106" s="6"/>
    </row>
    <row r="1107" spans="1:16" ht="14.4" x14ac:dyDescent="0.25">
      <c r="A1107" s="6">
        <v>1995</v>
      </c>
      <c r="B1107" s="6">
        <v>14240</v>
      </c>
      <c r="C1107" s="19">
        <v>40956</v>
      </c>
      <c r="D1107" s="6" t="s">
        <v>17</v>
      </c>
      <c r="E1107" s="6">
        <f>IF((ISBLANK($B$1)),"",Sheet1!Q1114)</f>
        <v>4600</v>
      </c>
      <c r="F1107" s="20" t="s">
        <v>26</v>
      </c>
      <c r="G1107" s="53">
        <f t="shared" si="18"/>
        <v>-0.108784504142654</v>
      </c>
      <c r="H1107" s="35"/>
      <c r="P1107" s="6"/>
    </row>
    <row r="1108" spans="1:16" ht="14.4" x14ac:dyDescent="0.25">
      <c r="A1108" s="6">
        <v>2006</v>
      </c>
      <c r="B1108" s="6">
        <v>14276</v>
      </c>
      <c r="C1108" s="19">
        <v>39982</v>
      </c>
      <c r="D1108" s="6" t="s">
        <v>16</v>
      </c>
      <c r="E1108" s="6">
        <f>IF((ISBLANK($B$1)),"",Sheet1!Q1115)</f>
        <v>3950</v>
      </c>
      <c r="F1108" s="20" t="s">
        <v>26</v>
      </c>
      <c r="G1108" s="53">
        <f t="shared" si="18"/>
        <v>-1.0064047814038573</v>
      </c>
      <c r="H1108" s="35"/>
      <c r="P1108" s="6"/>
    </row>
    <row r="1109" spans="1:16" ht="14.4" x14ac:dyDescent="0.25">
      <c r="A1109" s="6">
        <v>2029</v>
      </c>
      <c r="B1109" s="6">
        <v>14471</v>
      </c>
      <c r="C1109" s="19">
        <v>40689</v>
      </c>
      <c r="D1109" s="6" t="s">
        <v>28</v>
      </c>
      <c r="E1109" s="6">
        <f>IF((ISBLANK($B$1)),"",Sheet1!Q1116)</f>
        <v>5600</v>
      </c>
      <c r="F1109" s="20" t="s">
        <v>29</v>
      </c>
      <c r="G1109" s="53">
        <f t="shared" si="18"/>
        <v>1.2721697685668893</v>
      </c>
      <c r="H1109" s="35"/>
      <c r="P1109" s="6"/>
    </row>
    <row r="1110" spans="1:16" ht="14.4" x14ac:dyDescent="0.25">
      <c r="A1110" s="6">
        <v>2030</v>
      </c>
      <c r="B1110" s="6">
        <v>14471</v>
      </c>
      <c r="C1110" s="19">
        <v>40689</v>
      </c>
      <c r="D1110" s="6" t="s">
        <v>28</v>
      </c>
      <c r="E1110" s="6">
        <f>IF((ISBLANK($B$1)),"",Sheet1!Q1117)</f>
        <v>5500</v>
      </c>
      <c r="F1110" s="20" t="s">
        <v>26</v>
      </c>
      <c r="G1110" s="53">
        <f t="shared" si="18"/>
        <v>1.1340743412959351</v>
      </c>
      <c r="H1110" s="35"/>
      <c r="P1110" s="6"/>
    </row>
    <row r="1111" spans="1:16" ht="14.4" x14ac:dyDescent="0.25">
      <c r="A1111" s="6">
        <v>2037</v>
      </c>
      <c r="B1111" s="6">
        <v>14529</v>
      </c>
      <c r="C1111" s="19">
        <v>40441</v>
      </c>
      <c r="D1111" s="6" t="s">
        <v>25</v>
      </c>
      <c r="E1111" s="6">
        <f>IF((ISBLANK($B$1)),"",Sheet1!Q1118)</f>
        <v>5600</v>
      </c>
      <c r="F1111" s="20" t="s">
        <v>29</v>
      </c>
      <c r="G1111" s="53">
        <f t="shared" si="18"/>
        <v>1.2721697685668893</v>
      </c>
      <c r="H1111" s="35"/>
      <c r="P1111" s="6"/>
    </row>
    <row r="1112" spans="1:16" ht="14.4" x14ac:dyDescent="0.25">
      <c r="A1112" s="6">
        <v>2038</v>
      </c>
      <c r="B1112" s="6">
        <v>14529</v>
      </c>
      <c r="C1112" s="19">
        <v>40441</v>
      </c>
      <c r="D1112" s="6" t="s">
        <v>25</v>
      </c>
      <c r="E1112" s="6">
        <f>IF((ISBLANK($B$1)),"",Sheet1!Q1119)</f>
        <v>5500</v>
      </c>
      <c r="F1112" s="20" t="s">
        <v>29</v>
      </c>
      <c r="G1112" s="53">
        <f t="shared" si="18"/>
        <v>1.1340743412959351</v>
      </c>
      <c r="H1112" s="35"/>
      <c r="P1112" s="6"/>
    </row>
    <row r="1113" spans="1:16" ht="14.4" x14ac:dyDescent="0.25">
      <c r="A1113" s="6">
        <v>2087</v>
      </c>
      <c r="B1113" s="6">
        <v>14948</v>
      </c>
      <c r="C1113" s="19">
        <v>40691</v>
      </c>
      <c r="D1113" s="6" t="s">
        <v>16</v>
      </c>
      <c r="E1113" s="6">
        <f>IF((ISBLANK($B$1)),"",Sheet1!Q1120)</f>
        <v>3700</v>
      </c>
      <c r="F1113" s="20" t="s">
        <v>29</v>
      </c>
      <c r="G1113" s="53">
        <f t="shared" si="18"/>
        <v>-1.351643349581243</v>
      </c>
      <c r="H1113" s="35"/>
      <c r="P1113" s="6"/>
    </row>
    <row r="1114" spans="1:16" ht="14.4" x14ac:dyDescent="0.25">
      <c r="A1114" s="6">
        <v>2237</v>
      </c>
      <c r="B1114" s="6">
        <v>16161</v>
      </c>
      <c r="C1114" s="19">
        <v>41118</v>
      </c>
      <c r="D1114" s="6" t="s">
        <v>16</v>
      </c>
      <c r="E1114" s="6">
        <f>IF((ISBLANK($B$1)),"",Sheet1!Q1121)</f>
        <v>5850</v>
      </c>
      <c r="F1114" s="20" t="s">
        <v>27</v>
      </c>
      <c r="G1114" s="53">
        <f t="shared" si="18"/>
        <v>1.6174083367442753</v>
      </c>
      <c r="H1114" s="35"/>
      <c r="P1114" s="6"/>
    </row>
    <row r="1115" spans="1:16" ht="14.4" x14ac:dyDescent="0.25">
      <c r="A1115" s="6">
        <v>2238</v>
      </c>
      <c r="B1115" s="6">
        <v>16161</v>
      </c>
      <c r="C1115" s="19">
        <v>41118</v>
      </c>
      <c r="D1115" s="6" t="s">
        <v>16</v>
      </c>
      <c r="E1115" s="6">
        <f>IF((ISBLANK($B$1)),"",Sheet1!Q1122)</f>
        <v>5300</v>
      </c>
      <c r="F1115" s="20" t="s">
        <v>26</v>
      </c>
      <c r="G1115" s="53">
        <f t="shared" si="18"/>
        <v>0.85788348675402637</v>
      </c>
      <c r="H1115" s="35"/>
      <c r="P1115" s="6"/>
    </row>
    <row r="1116" spans="1:16" ht="14.4" x14ac:dyDescent="0.25">
      <c r="A1116" s="6">
        <v>2261</v>
      </c>
      <c r="B1116" s="6">
        <v>16257</v>
      </c>
      <c r="C1116" s="19">
        <v>41034</v>
      </c>
      <c r="D1116" s="6" t="s">
        <v>28</v>
      </c>
      <c r="E1116" s="6">
        <f>IF((ISBLANK($B$1)),"",Sheet1!Q1123)</f>
        <v>4200</v>
      </c>
      <c r="F1116" s="20" t="s">
        <v>26</v>
      </c>
      <c r="G1116" s="53">
        <f t="shared" si="18"/>
        <v>-0.6611662132264714</v>
      </c>
      <c r="H1116" s="35"/>
      <c r="P1116" s="6"/>
    </row>
    <row r="1117" spans="1:16" ht="14.4" x14ac:dyDescent="0.25">
      <c r="A1117" s="6">
        <v>2335</v>
      </c>
      <c r="B1117" s="6">
        <v>16806</v>
      </c>
      <c r="C1117" s="19">
        <v>40346</v>
      </c>
      <c r="D1117" s="6" t="s">
        <v>17</v>
      </c>
      <c r="E1117" s="6">
        <f>IF((ISBLANK($B$1)),"",Sheet1!Q1124)</f>
        <v>3600</v>
      </c>
      <c r="F1117" s="20" t="s">
        <v>27</v>
      </c>
      <c r="G1117" s="53">
        <f t="shared" si="18"/>
        <v>-1.4897387768521975</v>
      </c>
      <c r="H1117" s="35"/>
      <c r="P1117" s="6"/>
    </row>
    <row r="1118" spans="1:16" ht="14.4" x14ac:dyDescent="0.25">
      <c r="A1118" s="6">
        <v>2336</v>
      </c>
      <c r="B1118" s="6">
        <v>16806</v>
      </c>
      <c r="C1118" s="19">
        <v>40346</v>
      </c>
      <c r="D1118" s="6" t="s">
        <v>17</v>
      </c>
      <c r="E1118" s="6">
        <f>IF((ISBLANK($B$1)),"",Sheet1!Q1125)</f>
        <v>4300</v>
      </c>
      <c r="F1118" s="20" t="s">
        <v>27</v>
      </c>
      <c r="G1118" s="53">
        <f t="shared" si="18"/>
        <v>-0.52307078595551704</v>
      </c>
      <c r="H1118" s="35"/>
      <c r="P1118" s="6"/>
    </row>
    <row r="1119" spans="1:16" ht="14.4" x14ac:dyDescent="0.25">
      <c r="A1119" s="6">
        <v>2393</v>
      </c>
      <c r="B1119" s="6">
        <v>17344</v>
      </c>
      <c r="C1119" s="19">
        <v>40378</v>
      </c>
      <c r="D1119" s="6" t="s">
        <v>30</v>
      </c>
      <c r="E1119" s="6">
        <f>IF((ISBLANK($B$1)),"",Sheet1!Q1126)</f>
        <v>5400</v>
      </c>
      <c r="F1119" s="20" t="s">
        <v>27</v>
      </c>
      <c r="G1119" s="53">
        <f t="shared" si="18"/>
        <v>0.99597891402498073</v>
      </c>
      <c r="H1119" s="35"/>
      <c r="P1119" s="6"/>
    </row>
    <row r="1120" spans="1:16" ht="14.4" x14ac:dyDescent="0.25">
      <c r="A1120" s="6">
        <v>2399</v>
      </c>
      <c r="B1120" s="6">
        <v>17382</v>
      </c>
      <c r="C1120" s="19">
        <v>40728</v>
      </c>
      <c r="D1120" s="6" t="s">
        <v>28</v>
      </c>
      <c r="E1120" s="6">
        <f>IF((ISBLANK($B$1)),"",Sheet1!Q1127)</f>
        <v>4400</v>
      </c>
      <c r="F1120" s="20" t="s">
        <v>27</v>
      </c>
      <c r="G1120" s="53">
        <f t="shared" si="18"/>
        <v>-0.38497535868456267</v>
      </c>
      <c r="H1120" s="35"/>
      <c r="P1120" s="6"/>
    </row>
    <row r="1121" spans="1:16" ht="14.4" x14ac:dyDescent="0.25">
      <c r="A1121" s="6">
        <v>2411</v>
      </c>
      <c r="B1121" s="6">
        <v>17507</v>
      </c>
      <c r="C1121" s="19">
        <v>41072</v>
      </c>
      <c r="D1121" s="6" t="s">
        <v>16</v>
      </c>
      <c r="E1121" s="6">
        <f>IF((ISBLANK($B$1)),"",Sheet1!Q1128)</f>
        <v>4750</v>
      </c>
      <c r="F1121" s="20" t="s">
        <v>26</v>
      </c>
      <c r="G1121" s="53">
        <f t="shared" si="18"/>
        <v>9.8358636763777513E-2</v>
      </c>
      <c r="H1121" s="35"/>
      <c r="P1121" s="6"/>
    </row>
    <row r="1122" spans="1:16" ht="14.4" x14ac:dyDescent="0.25">
      <c r="A1122" s="6">
        <v>2412</v>
      </c>
      <c r="B1122" s="6">
        <v>17507</v>
      </c>
      <c r="C1122" s="19">
        <v>41072</v>
      </c>
      <c r="D1122" s="6" t="s">
        <v>16</v>
      </c>
      <c r="E1122" s="6">
        <f>IF((ISBLANK($B$1)),"",Sheet1!Q1129)</f>
        <v>4500</v>
      </c>
      <c r="F1122" s="20" t="s">
        <v>27</v>
      </c>
      <c r="G1122" s="53">
        <f t="shared" si="18"/>
        <v>-0.24687993141360834</v>
      </c>
      <c r="H1122" s="35"/>
      <c r="P1122" s="6"/>
    </row>
    <row r="1123" spans="1:16" ht="14.4" x14ac:dyDescent="0.25">
      <c r="A1123" s="6">
        <v>2442</v>
      </c>
      <c r="B1123" s="6">
        <v>17702</v>
      </c>
      <c r="C1123" s="19">
        <v>41012</v>
      </c>
      <c r="D1123" s="6" t="s">
        <v>17</v>
      </c>
      <c r="E1123" s="6">
        <f>IF((ISBLANK($B$1)),"",Sheet1!Q1130)</f>
        <v>3850</v>
      </c>
      <c r="F1123" s="20" t="s">
        <v>27</v>
      </c>
      <c r="G1123" s="53">
        <f t="shared" si="18"/>
        <v>-1.1445002086748115</v>
      </c>
      <c r="H1123" s="35"/>
      <c r="P1123" s="6"/>
    </row>
    <row r="1124" spans="1:16" ht="14.4" x14ac:dyDescent="0.25">
      <c r="A1124" s="6">
        <v>2453</v>
      </c>
      <c r="B1124" s="6">
        <v>17831</v>
      </c>
      <c r="C1124" s="19">
        <v>41207</v>
      </c>
      <c r="D1124" s="6" t="s">
        <v>30</v>
      </c>
      <c r="E1124" s="6">
        <f>IF((ISBLANK($B$1)),"",Sheet1!Q1131)</f>
        <v>5100</v>
      </c>
      <c r="F1124" s="20" t="s">
        <v>29</v>
      </c>
      <c r="G1124" s="53">
        <f t="shared" si="18"/>
        <v>0.58169263221211776</v>
      </c>
      <c r="H1124" s="35"/>
      <c r="P1124" s="6"/>
    </row>
    <row r="1125" spans="1:16" ht="14.4" x14ac:dyDescent="0.25">
      <c r="A1125" s="6">
        <v>2454</v>
      </c>
      <c r="B1125" s="6">
        <v>17831</v>
      </c>
      <c r="C1125" s="19">
        <v>41207</v>
      </c>
      <c r="D1125" s="6" t="s">
        <v>30</v>
      </c>
      <c r="E1125" s="6">
        <f>IF((ISBLANK($B$1)),"",Sheet1!Q1132)</f>
        <v>5300</v>
      </c>
      <c r="F1125" s="20" t="s">
        <v>26</v>
      </c>
      <c r="G1125" s="53">
        <f t="shared" si="18"/>
        <v>0.85788348675402637</v>
      </c>
      <c r="H1125" s="35"/>
      <c r="P1125" s="6"/>
    </row>
    <row r="1126" spans="1:16" ht="14.4" x14ac:dyDescent="0.25">
      <c r="A1126" s="6">
        <v>2498</v>
      </c>
      <c r="B1126" s="6">
        <v>18179</v>
      </c>
      <c r="C1126" s="19">
        <v>40026</v>
      </c>
      <c r="D1126" s="6" t="s">
        <v>28</v>
      </c>
      <c r="E1126" s="6">
        <f>IF((ISBLANK($B$1)),"",Sheet1!Q1133)</f>
        <v>5900</v>
      </c>
      <c r="F1126" s="20" t="s">
        <v>27</v>
      </c>
      <c r="G1126" s="53">
        <f t="shared" si="18"/>
        <v>1.6864560503797523</v>
      </c>
      <c r="H1126" s="35"/>
      <c r="P1126" s="6"/>
    </row>
    <row r="1127" spans="1:16" ht="14.4" x14ac:dyDescent="0.25">
      <c r="A1127" s="6">
        <v>2499</v>
      </c>
      <c r="B1127" s="6">
        <v>18179</v>
      </c>
      <c r="C1127" s="19">
        <v>40026</v>
      </c>
      <c r="D1127" s="6" t="s">
        <v>28</v>
      </c>
      <c r="E1127" s="6">
        <f>IF((ISBLANK($B$1)),"",Sheet1!Q1134)</f>
        <v>4600</v>
      </c>
      <c r="F1127" s="20" t="s">
        <v>26</v>
      </c>
      <c r="G1127" s="53">
        <f t="shared" si="18"/>
        <v>-0.108784504142654</v>
      </c>
      <c r="H1127" s="35"/>
      <c r="P1127" s="6"/>
    </row>
    <row r="1128" spans="1:16" ht="14.4" x14ac:dyDescent="0.25">
      <c r="A1128" s="6">
        <v>2500</v>
      </c>
      <c r="B1128" s="6">
        <v>18179</v>
      </c>
      <c r="C1128" s="19">
        <v>40026</v>
      </c>
      <c r="D1128" s="6" t="s">
        <v>28</v>
      </c>
      <c r="E1128" s="6">
        <f>IF((ISBLANK($B$1)),"",Sheet1!Q1135)</f>
        <v>5900</v>
      </c>
      <c r="F1128" s="20" t="s">
        <v>26</v>
      </c>
      <c r="G1128" s="53">
        <f t="shared" si="18"/>
        <v>1.6864560503797523</v>
      </c>
      <c r="H1128" s="35"/>
      <c r="P1128" s="6"/>
    </row>
    <row r="1129" spans="1:16" ht="14.4" x14ac:dyDescent="0.25">
      <c r="A1129" s="6">
        <v>2629</v>
      </c>
      <c r="B1129" s="6">
        <v>19044</v>
      </c>
      <c r="C1129" s="19">
        <v>41010</v>
      </c>
      <c r="D1129" s="6" t="s">
        <v>25</v>
      </c>
      <c r="E1129" s="6">
        <f>IF((ISBLANK($B$1)),"",Sheet1!Q1136)</f>
        <v>5000</v>
      </c>
      <c r="F1129" s="20" t="s">
        <v>27</v>
      </c>
      <c r="G1129" s="53">
        <f t="shared" si="18"/>
        <v>0.44359720494116334</v>
      </c>
      <c r="H1129" s="35"/>
      <c r="P1129" s="6"/>
    </row>
    <row r="1130" spans="1:16" ht="14.4" x14ac:dyDescent="0.25">
      <c r="A1130" s="6">
        <v>2630</v>
      </c>
      <c r="B1130" s="6">
        <v>19044</v>
      </c>
      <c r="C1130" s="19">
        <v>41010</v>
      </c>
      <c r="D1130" s="6" t="s">
        <v>25</v>
      </c>
      <c r="E1130" s="6">
        <f>IF((ISBLANK($B$1)),"",Sheet1!Q1137)</f>
        <v>4850</v>
      </c>
      <c r="F1130" s="20" t="s">
        <v>26</v>
      </c>
      <c r="G1130" s="53">
        <f t="shared" si="18"/>
        <v>0.23645406403473185</v>
      </c>
      <c r="H1130" s="35"/>
      <c r="P1130" s="6"/>
    </row>
    <row r="1131" spans="1:16" ht="14.4" x14ac:dyDescent="0.25">
      <c r="A1131" s="6">
        <v>2690</v>
      </c>
      <c r="B1131" s="6">
        <v>19462</v>
      </c>
      <c r="C1131" s="19">
        <v>40806</v>
      </c>
      <c r="D1131" s="6" t="s">
        <v>16</v>
      </c>
      <c r="E1131" s="6">
        <f>IF((ISBLANK($B$1)),"",Sheet1!Q1138)</f>
        <v>3500</v>
      </c>
      <c r="F1131" s="20" t="s">
        <v>26</v>
      </c>
      <c r="G1131" s="53">
        <f t="shared" si="18"/>
        <v>-1.6278342041231517</v>
      </c>
      <c r="H1131" s="35"/>
      <c r="P1131" s="6"/>
    </row>
    <row r="1132" spans="1:16" ht="14.4" x14ac:dyDescent="0.25">
      <c r="A1132" s="6">
        <v>2758</v>
      </c>
      <c r="B1132" s="6">
        <v>19936</v>
      </c>
      <c r="C1132" s="19">
        <v>41226</v>
      </c>
      <c r="D1132" s="6" t="s">
        <v>30</v>
      </c>
      <c r="E1132" s="6">
        <f>IF((ISBLANK($B$1)),"",Sheet1!Q1139)</f>
        <v>4350</v>
      </c>
      <c r="F1132" s="20" t="s">
        <v>26</v>
      </c>
      <c r="G1132" s="53">
        <f t="shared" si="18"/>
        <v>-0.45402307232003986</v>
      </c>
      <c r="H1132" s="35"/>
      <c r="P1132" s="6"/>
    </row>
    <row r="1133" spans="1:16" ht="14.4" x14ac:dyDescent="0.25">
      <c r="A1133" s="6">
        <v>2759</v>
      </c>
      <c r="B1133" s="6">
        <v>19936</v>
      </c>
      <c r="C1133" s="19">
        <v>41226</v>
      </c>
      <c r="D1133" s="6" t="s">
        <v>30</v>
      </c>
      <c r="E1133" s="6">
        <f>IF((ISBLANK($B$1)),"",Sheet1!Q1140)</f>
        <v>5450</v>
      </c>
      <c r="F1133" s="20" t="s">
        <v>27</v>
      </c>
      <c r="G1133" s="53">
        <f t="shared" si="18"/>
        <v>1.0650266276604579</v>
      </c>
      <c r="H1133" s="35"/>
      <c r="P1133" s="6"/>
    </row>
    <row r="1134" spans="1:16" ht="14.4" x14ac:dyDescent="0.25">
      <c r="A1134" s="6">
        <v>2761</v>
      </c>
      <c r="B1134" s="6">
        <v>19972</v>
      </c>
      <c r="C1134" s="19">
        <v>41076</v>
      </c>
      <c r="D1134" s="6" t="s">
        <v>30</v>
      </c>
      <c r="E1134" s="6">
        <f>IF((ISBLANK($B$1)),"",Sheet1!Q1141)</f>
        <v>3700</v>
      </c>
      <c r="F1134" s="20" t="s">
        <v>29</v>
      </c>
      <c r="G1134" s="53">
        <f t="shared" si="18"/>
        <v>-1.351643349581243</v>
      </c>
      <c r="H1134" s="35"/>
      <c r="P1134" s="6"/>
    </row>
    <row r="1135" spans="1:16" ht="14.4" x14ac:dyDescent="0.25">
      <c r="A1135" s="6">
        <v>2777</v>
      </c>
      <c r="B1135" s="6">
        <v>20038</v>
      </c>
      <c r="C1135" s="19">
        <v>40235</v>
      </c>
      <c r="D1135" s="6" t="s">
        <v>25</v>
      </c>
      <c r="E1135" s="6">
        <f>IF((ISBLANK($B$1)),"",Sheet1!Q1142)</f>
        <v>5500</v>
      </c>
      <c r="F1135" s="20" t="s">
        <v>29</v>
      </c>
      <c r="G1135" s="53">
        <f t="shared" si="18"/>
        <v>1.1340743412959351</v>
      </c>
      <c r="H1135" s="35"/>
      <c r="P1135" s="6"/>
    </row>
    <row r="1136" spans="1:16" ht="14.4" x14ac:dyDescent="0.25">
      <c r="A1136" s="6">
        <v>2824</v>
      </c>
      <c r="B1136" s="6">
        <v>20389</v>
      </c>
      <c r="C1136" s="19">
        <v>40036</v>
      </c>
      <c r="D1136" s="6" t="s">
        <v>17</v>
      </c>
      <c r="E1136" s="6">
        <f>IF((ISBLANK($B$1)),"",Sheet1!Q1143)</f>
        <v>4950</v>
      </c>
      <c r="F1136" s="20" t="s">
        <v>29</v>
      </c>
      <c r="G1136" s="53">
        <f t="shared" si="18"/>
        <v>0.37454949130568621</v>
      </c>
      <c r="H1136" s="35"/>
      <c r="P1136" s="6"/>
    </row>
    <row r="1137" spans="1:16" ht="14.4" x14ac:dyDescent="0.25">
      <c r="A1137" s="6">
        <v>2825</v>
      </c>
      <c r="B1137" s="6">
        <v>20389</v>
      </c>
      <c r="C1137" s="19">
        <v>40036</v>
      </c>
      <c r="D1137" s="6" t="s">
        <v>17</v>
      </c>
      <c r="E1137" s="6">
        <f>IF((ISBLANK($B$1)),"",Sheet1!Q1144)</f>
        <v>4600</v>
      </c>
      <c r="F1137" s="20" t="s">
        <v>29</v>
      </c>
      <c r="G1137" s="53">
        <f t="shared" si="18"/>
        <v>-0.108784504142654</v>
      </c>
      <c r="H1137" s="35"/>
      <c r="P1137" s="6"/>
    </row>
    <row r="1138" spans="1:16" ht="14.4" x14ac:dyDescent="0.25">
      <c r="A1138" s="6">
        <v>2826</v>
      </c>
      <c r="B1138" s="6">
        <v>20389</v>
      </c>
      <c r="C1138" s="19">
        <v>40036</v>
      </c>
      <c r="D1138" s="6" t="s">
        <v>17</v>
      </c>
      <c r="E1138" s="6">
        <f>IF((ISBLANK($B$1)),"",Sheet1!Q1145)</f>
        <v>4900</v>
      </c>
      <c r="F1138" s="20" t="s">
        <v>26</v>
      </c>
      <c r="G1138" s="53">
        <f t="shared" si="18"/>
        <v>0.30550177767020903</v>
      </c>
      <c r="H1138" s="35"/>
      <c r="P1138" s="6"/>
    </row>
    <row r="1139" spans="1:16" ht="14.4" x14ac:dyDescent="0.25">
      <c r="A1139" s="6">
        <v>2829</v>
      </c>
      <c r="B1139" s="6">
        <v>20422</v>
      </c>
      <c r="C1139" s="19">
        <v>39839</v>
      </c>
      <c r="D1139" s="6" t="s">
        <v>17</v>
      </c>
      <c r="E1139" s="6">
        <f>IF((ISBLANK($B$1)),"",Sheet1!Q1146)</f>
        <v>3650</v>
      </c>
      <c r="F1139" s="20" t="s">
        <v>26</v>
      </c>
      <c r="G1139" s="53">
        <f t="shared" si="18"/>
        <v>-1.4206910632167202</v>
      </c>
      <c r="H1139" s="35"/>
      <c r="P1139" s="6"/>
    </row>
    <row r="1140" spans="1:16" ht="14.4" x14ac:dyDescent="0.25">
      <c r="A1140" s="6">
        <v>2864</v>
      </c>
      <c r="B1140" s="6">
        <v>20676</v>
      </c>
      <c r="C1140" s="19">
        <v>41235</v>
      </c>
      <c r="D1140" s="6" t="s">
        <v>25</v>
      </c>
      <c r="E1140" s="6">
        <f>IF((ISBLANK($B$1)),"",Sheet1!Q1147)</f>
        <v>4500</v>
      </c>
      <c r="F1140" s="20" t="s">
        <v>26</v>
      </c>
      <c r="G1140" s="53">
        <f t="shared" si="18"/>
        <v>-0.24687993141360834</v>
      </c>
      <c r="H1140" s="35"/>
      <c r="P1140" s="6"/>
    </row>
    <row r="1141" spans="1:16" ht="14.4" x14ac:dyDescent="0.25">
      <c r="A1141" s="6">
        <v>2887</v>
      </c>
      <c r="B1141" s="6">
        <v>20807</v>
      </c>
      <c r="C1141" s="19">
        <v>41111</v>
      </c>
      <c r="D1141" s="6" t="s">
        <v>28</v>
      </c>
      <c r="E1141" s="6">
        <f>IF((ISBLANK($B$1)),"",Sheet1!Q1148)</f>
        <v>5350</v>
      </c>
      <c r="F1141" s="20" t="s">
        <v>29</v>
      </c>
      <c r="G1141" s="53">
        <f t="shared" si="18"/>
        <v>0.92693120038950361</v>
      </c>
      <c r="H1141" s="35"/>
      <c r="P1141" s="6"/>
    </row>
    <row r="1142" spans="1:16" ht="14.4" x14ac:dyDescent="0.25">
      <c r="A1142" s="6">
        <v>2890</v>
      </c>
      <c r="B1142" s="6">
        <v>20838</v>
      </c>
      <c r="C1142" s="19">
        <v>39913</v>
      </c>
      <c r="D1142" s="6" t="s">
        <v>28</v>
      </c>
      <c r="E1142" s="6">
        <f>IF((ISBLANK($B$1)),"",Sheet1!Q1149)</f>
        <v>3650</v>
      </c>
      <c r="F1142" s="20" t="s">
        <v>26</v>
      </c>
      <c r="G1142" s="53">
        <f t="shared" si="18"/>
        <v>-1.4206910632167202</v>
      </c>
      <c r="H1142" s="35"/>
      <c r="P1142" s="6"/>
    </row>
    <row r="1143" spans="1:16" ht="14.4" x14ac:dyDescent="0.25">
      <c r="A1143" s="6">
        <v>2891</v>
      </c>
      <c r="B1143" s="6">
        <v>20838</v>
      </c>
      <c r="C1143" s="19">
        <v>39913</v>
      </c>
      <c r="D1143" s="6" t="s">
        <v>28</v>
      </c>
      <c r="E1143" s="6">
        <f>IF((ISBLANK($B$1)),"",Sheet1!Q1150)</f>
        <v>4450</v>
      </c>
      <c r="F1143" s="20" t="s">
        <v>26</v>
      </c>
      <c r="G1143" s="53">
        <f t="shared" si="18"/>
        <v>-0.31592764504908549</v>
      </c>
      <c r="H1143" s="35"/>
      <c r="P1143" s="6"/>
    </row>
    <row r="1144" spans="1:16" ht="14.4" x14ac:dyDescent="0.25">
      <c r="A1144" s="6">
        <v>2901</v>
      </c>
      <c r="B1144" s="6">
        <v>20960</v>
      </c>
      <c r="C1144" s="19">
        <v>40865</v>
      </c>
      <c r="D1144" s="6" t="s">
        <v>25</v>
      </c>
      <c r="E1144" s="6">
        <f>IF((ISBLANK($B$1)),"",Sheet1!Q1151)</f>
        <v>4350</v>
      </c>
      <c r="F1144" s="20" t="s">
        <v>27</v>
      </c>
      <c r="G1144" s="53">
        <f t="shared" si="18"/>
        <v>-0.45402307232003986</v>
      </c>
      <c r="H1144" s="35"/>
      <c r="P1144" s="6"/>
    </row>
    <row r="1145" spans="1:16" ht="14.4" x14ac:dyDescent="0.25">
      <c r="A1145" s="6">
        <v>2902</v>
      </c>
      <c r="B1145" s="6">
        <v>20961</v>
      </c>
      <c r="C1145" s="19">
        <v>40192</v>
      </c>
      <c r="D1145" s="6" t="s">
        <v>28</v>
      </c>
      <c r="E1145" s="6">
        <f>IF((ISBLANK($B$1)),"",Sheet1!Q1152)</f>
        <v>5100</v>
      </c>
      <c r="F1145" s="20" t="s">
        <v>27</v>
      </c>
      <c r="G1145" s="53">
        <f t="shared" si="18"/>
        <v>0.58169263221211776</v>
      </c>
      <c r="H1145" s="35"/>
      <c r="P1145" s="6"/>
    </row>
    <row r="1146" spans="1:16" ht="14.4" x14ac:dyDescent="0.25">
      <c r="A1146" s="6">
        <v>2949</v>
      </c>
      <c r="B1146" s="6">
        <v>21350</v>
      </c>
      <c r="C1146" s="19">
        <v>40598</v>
      </c>
      <c r="D1146" s="6" t="s">
        <v>16</v>
      </c>
      <c r="E1146" s="6">
        <f>IF((ISBLANK($B$1)),"",Sheet1!Q1153)</f>
        <v>4900</v>
      </c>
      <c r="F1146" s="20" t="s">
        <v>26</v>
      </c>
      <c r="G1146" s="53">
        <f t="shared" si="18"/>
        <v>0.30550177767020903</v>
      </c>
      <c r="H1146" s="35"/>
      <c r="P1146" s="6"/>
    </row>
    <row r="1147" spans="1:16" ht="14.4" x14ac:dyDescent="0.25">
      <c r="A1147" s="6">
        <v>2986</v>
      </c>
      <c r="B1147" s="6">
        <v>21572</v>
      </c>
      <c r="C1147" s="19">
        <v>39857</v>
      </c>
      <c r="D1147" s="6" t="s">
        <v>30</v>
      </c>
      <c r="E1147" s="6">
        <f>IF((ISBLANK($B$1)),"",Sheet1!Q1154)</f>
        <v>5500</v>
      </c>
      <c r="F1147" s="20" t="s">
        <v>29</v>
      </c>
      <c r="G1147" s="53">
        <f t="shared" si="18"/>
        <v>1.1340743412959351</v>
      </c>
      <c r="H1147" s="35"/>
      <c r="P1147" s="6"/>
    </row>
    <row r="1148" spans="1:16" ht="14.4" x14ac:dyDescent="0.25">
      <c r="A1148" s="6">
        <v>3014</v>
      </c>
      <c r="B1148" s="6">
        <v>21671</v>
      </c>
      <c r="C1148" s="19">
        <v>40344</v>
      </c>
      <c r="D1148" s="6" t="s">
        <v>17</v>
      </c>
      <c r="E1148" s="6">
        <f>IF((ISBLANK($B$1)),"",Sheet1!Q1155)</f>
        <v>4150</v>
      </c>
      <c r="F1148" s="20" t="s">
        <v>27</v>
      </c>
      <c r="G1148" s="53">
        <f t="shared" si="18"/>
        <v>-0.73021392686194853</v>
      </c>
      <c r="H1148" s="35"/>
      <c r="P1148" s="6"/>
    </row>
    <row r="1149" spans="1:16" ht="14.4" x14ac:dyDescent="0.25">
      <c r="A1149" s="6">
        <v>3156</v>
      </c>
      <c r="B1149" s="6">
        <v>22657</v>
      </c>
      <c r="C1149" s="19">
        <v>40845</v>
      </c>
      <c r="D1149" s="6" t="s">
        <v>17</v>
      </c>
      <c r="E1149" s="6">
        <f>IF((ISBLANK($B$1)),"",Sheet1!Q1156)</f>
        <v>5200</v>
      </c>
      <c r="F1149" s="20" t="s">
        <v>27</v>
      </c>
      <c r="G1149" s="53">
        <f t="shared" si="18"/>
        <v>0.71978805948307201</v>
      </c>
      <c r="H1149" s="35"/>
      <c r="P1149" s="6"/>
    </row>
    <row r="1150" spans="1:16" ht="14.4" x14ac:dyDescent="0.25">
      <c r="A1150" s="6">
        <v>3157</v>
      </c>
      <c r="B1150" s="6">
        <v>22657</v>
      </c>
      <c r="C1150" s="19">
        <v>40845</v>
      </c>
      <c r="D1150" s="6" t="s">
        <v>17</v>
      </c>
      <c r="E1150" s="6">
        <f>IF((ISBLANK($B$1)),"",Sheet1!Q1157)</f>
        <v>3800</v>
      </c>
      <c r="F1150" s="20" t="s">
        <v>26</v>
      </c>
      <c r="G1150" s="53">
        <f t="shared" si="18"/>
        <v>-1.2135479223102887</v>
      </c>
      <c r="H1150" s="35"/>
      <c r="P1150" s="6"/>
    </row>
    <row r="1151" spans="1:16" ht="14.4" x14ac:dyDescent="0.25">
      <c r="A1151" s="6">
        <v>3238</v>
      </c>
      <c r="B1151" s="6">
        <v>23207</v>
      </c>
      <c r="C1151" s="19">
        <v>40473</v>
      </c>
      <c r="D1151" s="6" t="s">
        <v>30</v>
      </c>
      <c r="E1151" s="6">
        <f>IF((ISBLANK($B$1)),"",Sheet1!Q1158)</f>
        <v>3950</v>
      </c>
      <c r="F1151" s="20" t="s">
        <v>26</v>
      </c>
      <c r="G1151" s="53">
        <f t="shared" si="18"/>
        <v>-1.0064047814038573</v>
      </c>
      <c r="H1151" s="35"/>
      <c r="P1151" s="6"/>
    </row>
    <row r="1152" spans="1:16" ht="14.4" x14ac:dyDescent="0.25">
      <c r="A1152" s="6">
        <v>3346</v>
      </c>
      <c r="B1152" s="6">
        <v>23940</v>
      </c>
      <c r="C1152" s="19">
        <v>40641</v>
      </c>
      <c r="D1152" s="6" t="s">
        <v>16</v>
      </c>
      <c r="E1152" s="6">
        <f>IF((ISBLANK($B$1)),"",Sheet1!Q1159)</f>
        <v>4400</v>
      </c>
      <c r="F1152" s="20" t="s">
        <v>26</v>
      </c>
      <c r="G1152" s="53">
        <f t="shared" si="18"/>
        <v>-0.38497535868456267</v>
      </c>
      <c r="H1152" s="35"/>
      <c r="P1152" s="6"/>
    </row>
    <row r="1153" spans="1:16" ht="14.4" x14ac:dyDescent="0.25">
      <c r="A1153" s="6">
        <v>3347</v>
      </c>
      <c r="B1153" s="6">
        <v>23940</v>
      </c>
      <c r="C1153" s="19">
        <v>40641</v>
      </c>
      <c r="D1153" s="6" t="s">
        <v>16</v>
      </c>
      <c r="E1153" s="6">
        <f>IF((ISBLANK($B$1)),"",Sheet1!Q1160)</f>
        <v>3950</v>
      </c>
      <c r="F1153" s="20" t="s">
        <v>29</v>
      </c>
      <c r="G1153" s="53">
        <f t="shared" si="18"/>
        <v>-1.0064047814038573</v>
      </c>
      <c r="H1153" s="35"/>
      <c r="P1153" s="6"/>
    </row>
    <row r="1154" spans="1:16" ht="14.4" x14ac:dyDescent="0.25">
      <c r="A1154" s="6">
        <v>3425</v>
      </c>
      <c r="B1154" s="6">
        <v>24450</v>
      </c>
      <c r="C1154" s="19">
        <v>41099</v>
      </c>
      <c r="D1154" s="6" t="s">
        <v>30</v>
      </c>
      <c r="E1154" s="6">
        <f>IF((ISBLANK($B$1)),"",Sheet1!Q1161)</f>
        <v>5250</v>
      </c>
      <c r="F1154" s="20" t="s">
        <v>26</v>
      </c>
      <c r="G1154" s="53">
        <f t="shared" si="18"/>
        <v>0.78883577311854924</v>
      </c>
      <c r="H1154" s="35"/>
      <c r="P1154" s="6"/>
    </row>
    <row r="1155" spans="1:16" ht="14.4" x14ac:dyDescent="0.25">
      <c r="A1155" s="6">
        <v>3426</v>
      </c>
      <c r="B1155" s="6">
        <v>24450</v>
      </c>
      <c r="C1155" s="19">
        <v>41099</v>
      </c>
      <c r="D1155" s="6" t="s">
        <v>30</v>
      </c>
      <c r="E1155" s="6">
        <f>IF((ISBLANK($B$1)),"",Sheet1!Q1162)</f>
        <v>5450</v>
      </c>
      <c r="F1155" s="20" t="s">
        <v>29</v>
      </c>
      <c r="G1155" s="53">
        <f t="shared" si="18"/>
        <v>1.0650266276604579</v>
      </c>
      <c r="H1155" s="35"/>
      <c r="P1155" s="6"/>
    </row>
    <row r="1156" spans="1:16" ht="14.4" x14ac:dyDescent="0.25">
      <c r="A1156" s="6">
        <v>3427</v>
      </c>
      <c r="B1156" s="6">
        <v>24450</v>
      </c>
      <c r="C1156" s="19">
        <v>41099</v>
      </c>
      <c r="D1156" s="6" t="s">
        <v>30</v>
      </c>
      <c r="E1156" s="6">
        <f>IF((ISBLANK($B$1)),"",Sheet1!Q1163)</f>
        <v>3600</v>
      </c>
      <c r="F1156" s="20" t="s">
        <v>26</v>
      </c>
      <c r="G1156" s="53">
        <f t="shared" si="18"/>
        <v>-1.4897387768521975</v>
      </c>
      <c r="H1156" s="35"/>
      <c r="P1156" s="6"/>
    </row>
    <row r="1157" spans="1:16" ht="14.4" x14ac:dyDescent="0.25">
      <c r="A1157" s="6">
        <v>3446</v>
      </c>
      <c r="B1157" s="6">
        <v>24580</v>
      </c>
      <c r="C1157" s="19">
        <v>41083</v>
      </c>
      <c r="D1157" s="6" t="s">
        <v>17</v>
      </c>
      <c r="E1157" s="6">
        <f>IF((ISBLANK($B$1)),"",Sheet1!Q1164)</f>
        <v>4650</v>
      </c>
      <c r="F1157" s="20" t="s">
        <v>26</v>
      </c>
      <c r="G1157" s="53">
        <f t="shared" si="18"/>
        <v>-3.9736790507176829E-2</v>
      </c>
      <c r="H1157" s="35"/>
      <c r="P1157" s="6"/>
    </row>
    <row r="1158" spans="1:16" ht="14.4" x14ac:dyDescent="0.25">
      <c r="A1158" s="6">
        <v>3447</v>
      </c>
      <c r="B1158" s="6">
        <v>24580</v>
      </c>
      <c r="C1158" s="19">
        <v>41083</v>
      </c>
      <c r="D1158" s="6" t="s">
        <v>17</v>
      </c>
      <c r="E1158" s="6">
        <f>IF((ISBLANK($B$1)),"",Sheet1!Q1165)</f>
        <v>4100</v>
      </c>
      <c r="F1158" s="20" t="s">
        <v>29</v>
      </c>
      <c r="G1158" s="53">
        <f t="shared" si="18"/>
        <v>-0.79926164049742576</v>
      </c>
      <c r="H1158" s="35"/>
      <c r="P1158" s="6"/>
    </row>
    <row r="1159" spans="1:16" ht="14.4" x14ac:dyDescent="0.25">
      <c r="A1159" s="6">
        <v>3488</v>
      </c>
      <c r="B1159" s="6">
        <v>24833</v>
      </c>
      <c r="C1159" s="19">
        <v>40375</v>
      </c>
      <c r="D1159" s="6" t="s">
        <v>28</v>
      </c>
      <c r="E1159" s="6">
        <f>IF((ISBLANK($B$1)),"",Sheet1!Q1166)</f>
        <v>5650</v>
      </c>
      <c r="F1159" s="20" t="s">
        <v>29</v>
      </c>
      <c r="G1159" s="53">
        <f t="shared" si="18"/>
        <v>1.3412174822023666</v>
      </c>
      <c r="H1159" s="35"/>
      <c r="P1159" s="6"/>
    </row>
    <row r="1160" spans="1:16" ht="14.4" x14ac:dyDescent="0.25">
      <c r="A1160" s="6">
        <v>3498</v>
      </c>
      <c r="B1160" s="6">
        <v>24933</v>
      </c>
      <c r="C1160" s="19">
        <v>40020</v>
      </c>
      <c r="D1160" s="6" t="s">
        <v>25</v>
      </c>
      <c r="E1160" s="6">
        <f>IF((ISBLANK($B$1)),"",Sheet1!Q1167)</f>
        <v>5000</v>
      </c>
      <c r="F1160" s="20" t="s">
        <v>29</v>
      </c>
      <c r="G1160" s="53">
        <f t="shared" ref="G1160:G1223" si="19">STANDARDIZE(E1160,$L$26,$L$35)</f>
        <v>0.44359720494116334</v>
      </c>
      <c r="H1160" s="35"/>
      <c r="P1160" s="6"/>
    </row>
    <row r="1161" spans="1:16" ht="14.4" x14ac:dyDescent="0.25">
      <c r="A1161" s="6">
        <v>3499</v>
      </c>
      <c r="B1161" s="6">
        <v>24933</v>
      </c>
      <c r="C1161" s="19">
        <v>40020</v>
      </c>
      <c r="D1161" s="6" t="s">
        <v>25</v>
      </c>
      <c r="E1161" s="6">
        <f>IF((ISBLANK($B$1)),"",Sheet1!Q1168)</f>
        <v>4100</v>
      </c>
      <c r="F1161" s="20" t="s">
        <v>26</v>
      </c>
      <c r="G1161" s="53">
        <f t="shared" si="19"/>
        <v>-0.79926164049742576</v>
      </c>
      <c r="H1161" s="35"/>
      <c r="P1161" s="6"/>
    </row>
    <row r="1162" spans="1:16" ht="14.4" x14ac:dyDescent="0.25">
      <c r="A1162" s="6">
        <v>3514</v>
      </c>
      <c r="B1162" s="6">
        <v>25031</v>
      </c>
      <c r="C1162" s="19">
        <v>40048</v>
      </c>
      <c r="D1162" s="6" t="s">
        <v>17</v>
      </c>
      <c r="E1162" s="6">
        <f>IF((ISBLANK($B$1)),"",Sheet1!Q1169)</f>
        <v>4600</v>
      </c>
      <c r="F1162" s="20" t="s">
        <v>29</v>
      </c>
      <c r="G1162" s="53">
        <f t="shared" si="19"/>
        <v>-0.108784504142654</v>
      </c>
      <c r="H1162" s="35"/>
      <c r="P1162" s="6"/>
    </row>
    <row r="1163" spans="1:16" ht="14.4" x14ac:dyDescent="0.25">
      <c r="A1163" s="6">
        <v>3515</v>
      </c>
      <c r="B1163" s="6">
        <v>25031</v>
      </c>
      <c r="C1163" s="19">
        <v>40048</v>
      </c>
      <c r="D1163" s="6" t="s">
        <v>17</v>
      </c>
      <c r="E1163" s="6">
        <f>IF((ISBLANK($B$1)),"",Sheet1!Q1170)</f>
        <v>4400</v>
      </c>
      <c r="F1163" s="20" t="s">
        <v>26</v>
      </c>
      <c r="G1163" s="53">
        <f t="shared" si="19"/>
        <v>-0.38497535868456267</v>
      </c>
      <c r="H1163" s="35"/>
      <c r="P1163" s="6"/>
    </row>
    <row r="1164" spans="1:16" ht="14.4" x14ac:dyDescent="0.25">
      <c r="A1164" s="6">
        <v>3590</v>
      </c>
      <c r="B1164" s="6">
        <v>25633</v>
      </c>
      <c r="C1164" s="19">
        <v>40756</v>
      </c>
      <c r="D1164" s="6" t="s">
        <v>25</v>
      </c>
      <c r="E1164" s="6">
        <f>IF((ISBLANK($B$1)),"",Sheet1!Q1171)</f>
        <v>5200</v>
      </c>
      <c r="F1164" s="20" t="s">
        <v>29</v>
      </c>
      <c r="G1164" s="53">
        <f t="shared" si="19"/>
        <v>0.71978805948307201</v>
      </c>
      <c r="H1164" s="35"/>
      <c r="P1164" s="6"/>
    </row>
    <row r="1165" spans="1:16" ht="14.4" x14ac:dyDescent="0.25">
      <c r="A1165" s="6">
        <v>3593</v>
      </c>
      <c r="B1165" s="6">
        <v>25635</v>
      </c>
      <c r="C1165" s="19">
        <v>41058</v>
      </c>
      <c r="D1165" s="6" t="s">
        <v>30</v>
      </c>
      <c r="E1165" s="6">
        <f>IF((ISBLANK($B$1)),"",Sheet1!Q1172)</f>
        <v>4100</v>
      </c>
      <c r="F1165" s="20" t="s">
        <v>26</v>
      </c>
      <c r="G1165" s="53">
        <f t="shared" si="19"/>
        <v>-0.79926164049742576</v>
      </c>
      <c r="H1165" s="35"/>
      <c r="P1165" s="6"/>
    </row>
    <row r="1166" spans="1:16" ht="14.4" x14ac:dyDescent="0.25">
      <c r="A1166" s="6">
        <v>3594</v>
      </c>
      <c r="B1166" s="6">
        <v>25635</v>
      </c>
      <c r="C1166" s="19">
        <v>41058</v>
      </c>
      <c r="D1166" s="6" t="s">
        <v>30</v>
      </c>
      <c r="E1166" s="6">
        <f>IF((ISBLANK($B$1)),"",Sheet1!Q1173)</f>
        <v>4500</v>
      </c>
      <c r="F1166" s="20" t="s">
        <v>29</v>
      </c>
      <c r="G1166" s="53">
        <f t="shared" si="19"/>
        <v>-0.24687993141360834</v>
      </c>
      <c r="H1166" s="35"/>
      <c r="P1166" s="6"/>
    </row>
    <row r="1167" spans="1:16" ht="14.4" x14ac:dyDescent="0.25">
      <c r="A1167" s="6">
        <v>3618</v>
      </c>
      <c r="B1167" s="6">
        <v>25830</v>
      </c>
      <c r="C1167" s="19">
        <v>40304</v>
      </c>
      <c r="D1167" s="6" t="s">
        <v>25</v>
      </c>
      <c r="E1167" s="6">
        <f>IF((ISBLANK($B$1)),"",Sheet1!Q1174)</f>
        <v>3650</v>
      </c>
      <c r="F1167" s="20" t="s">
        <v>26</v>
      </c>
      <c r="G1167" s="53">
        <f t="shared" si="19"/>
        <v>-1.4206910632167202</v>
      </c>
      <c r="H1167" s="35"/>
      <c r="P1167" s="6"/>
    </row>
    <row r="1168" spans="1:16" ht="14.4" x14ac:dyDescent="0.25">
      <c r="A1168" s="6">
        <v>3619</v>
      </c>
      <c r="B1168" s="6">
        <v>25830</v>
      </c>
      <c r="C1168" s="19">
        <v>40304</v>
      </c>
      <c r="D1168" s="6" t="s">
        <v>25</v>
      </c>
      <c r="E1168" s="6">
        <f>IF((ISBLANK($B$1)),"",Sheet1!Q1175)</f>
        <v>3950</v>
      </c>
      <c r="F1168" s="20" t="s">
        <v>26</v>
      </c>
      <c r="G1168" s="53">
        <f t="shared" si="19"/>
        <v>-1.0064047814038573</v>
      </c>
      <c r="H1168" s="35"/>
      <c r="P1168" s="6"/>
    </row>
    <row r="1169" spans="1:16" ht="14.4" x14ac:dyDescent="0.25">
      <c r="A1169" s="6">
        <v>3684</v>
      </c>
      <c r="B1169" s="6">
        <v>26342</v>
      </c>
      <c r="C1169" s="19">
        <v>40104</v>
      </c>
      <c r="D1169" s="6" t="s">
        <v>25</v>
      </c>
      <c r="E1169" s="6">
        <f>IF((ISBLANK($B$1)),"",Sheet1!Q1176)</f>
        <v>4600</v>
      </c>
      <c r="F1169" s="20" t="s">
        <v>26</v>
      </c>
      <c r="G1169" s="53">
        <f t="shared" si="19"/>
        <v>-0.108784504142654</v>
      </c>
      <c r="H1169" s="35"/>
      <c r="P1169" s="6"/>
    </row>
    <row r="1170" spans="1:16" ht="14.4" x14ac:dyDescent="0.25">
      <c r="A1170" s="6">
        <v>3685</v>
      </c>
      <c r="B1170" s="6">
        <v>26342</v>
      </c>
      <c r="C1170" s="19">
        <v>40104</v>
      </c>
      <c r="D1170" s="6" t="s">
        <v>25</v>
      </c>
      <c r="E1170" s="6">
        <f>IF((ISBLANK($B$1)),"",Sheet1!Q1177)</f>
        <v>5450</v>
      </c>
      <c r="F1170" s="20" t="s">
        <v>26</v>
      </c>
      <c r="G1170" s="53">
        <f t="shared" si="19"/>
        <v>1.0650266276604579</v>
      </c>
      <c r="H1170" s="35"/>
      <c r="P1170" s="6"/>
    </row>
    <row r="1171" spans="1:16" ht="14.4" x14ac:dyDescent="0.25">
      <c r="A1171" s="6">
        <v>3686</v>
      </c>
      <c r="B1171" s="6">
        <v>26342</v>
      </c>
      <c r="C1171" s="19">
        <v>40104</v>
      </c>
      <c r="D1171" s="6" t="s">
        <v>25</v>
      </c>
      <c r="E1171" s="6">
        <f>IF((ISBLANK($B$1)),"",Sheet1!Q1178)</f>
        <v>3550</v>
      </c>
      <c r="F1171" s="20" t="s">
        <v>26</v>
      </c>
      <c r="G1171" s="53">
        <f t="shared" si="19"/>
        <v>-1.5587864904876745</v>
      </c>
      <c r="H1171" s="35"/>
      <c r="P1171" s="6"/>
    </row>
    <row r="1172" spans="1:16" ht="14.4" x14ac:dyDescent="0.25">
      <c r="A1172" s="6">
        <v>3687</v>
      </c>
      <c r="B1172" s="6">
        <v>26368</v>
      </c>
      <c r="C1172" s="19">
        <v>40374</v>
      </c>
      <c r="D1172" s="6" t="s">
        <v>16</v>
      </c>
      <c r="E1172" s="6">
        <f>IF((ISBLANK($B$1)),"",Sheet1!Q1179)</f>
        <v>4650</v>
      </c>
      <c r="F1172" s="20" t="s">
        <v>27</v>
      </c>
      <c r="G1172" s="53">
        <f t="shared" si="19"/>
        <v>-3.9736790507176829E-2</v>
      </c>
      <c r="H1172" s="35"/>
      <c r="P1172" s="6"/>
    </row>
    <row r="1173" spans="1:16" ht="14.4" x14ac:dyDescent="0.25">
      <c r="A1173" s="6">
        <v>3690</v>
      </c>
      <c r="B1173" s="6">
        <v>26372</v>
      </c>
      <c r="C1173" s="19">
        <v>40006</v>
      </c>
      <c r="D1173" s="6" t="s">
        <v>25</v>
      </c>
      <c r="E1173" s="6">
        <f>IF((ISBLANK($B$1)),"",Sheet1!Q1180)</f>
        <v>3450</v>
      </c>
      <c r="F1173" s="20" t="s">
        <v>27</v>
      </c>
      <c r="G1173" s="53">
        <f t="shared" si="19"/>
        <v>-1.696881917758629</v>
      </c>
      <c r="H1173" s="35"/>
      <c r="P1173" s="6"/>
    </row>
    <row r="1174" spans="1:16" ht="14.4" x14ac:dyDescent="0.25">
      <c r="A1174" s="6">
        <v>3743</v>
      </c>
      <c r="B1174" s="6">
        <v>26756</v>
      </c>
      <c r="C1174" s="19">
        <v>41039</v>
      </c>
      <c r="D1174" s="6" t="s">
        <v>16</v>
      </c>
      <c r="E1174" s="6">
        <f>IF((ISBLANK($B$1)),"",Sheet1!Q1181)</f>
        <v>4650</v>
      </c>
      <c r="F1174" s="20" t="s">
        <v>27</v>
      </c>
      <c r="G1174" s="53">
        <f t="shared" si="19"/>
        <v>-3.9736790507176829E-2</v>
      </c>
      <c r="H1174" s="35"/>
      <c r="P1174" s="6"/>
    </row>
    <row r="1175" spans="1:16" ht="14.4" x14ac:dyDescent="0.25">
      <c r="A1175" s="6">
        <v>3744</v>
      </c>
      <c r="B1175" s="6">
        <v>26756</v>
      </c>
      <c r="C1175" s="19">
        <v>41039</v>
      </c>
      <c r="D1175" s="6" t="s">
        <v>16</v>
      </c>
      <c r="E1175" s="6">
        <f>IF((ISBLANK($B$1)),"",Sheet1!Q1182)</f>
        <v>5400</v>
      </c>
      <c r="F1175" s="20" t="s">
        <v>26</v>
      </c>
      <c r="G1175" s="53">
        <f t="shared" si="19"/>
        <v>0.99597891402498073</v>
      </c>
      <c r="H1175" s="35"/>
      <c r="P1175" s="6"/>
    </row>
    <row r="1176" spans="1:16" ht="14.4" x14ac:dyDescent="0.25">
      <c r="A1176" s="6">
        <v>3745</v>
      </c>
      <c r="B1176" s="6">
        <v>26756</v>
      </c>
      <c r="C1176" s="19">
        <v>41039</v>
      </c>
      <c r="D1176" s="6" t="s">
        <v>16</v>
      </c>
      <c r="E1176" s="6">
        <f>IF((ISBLANK($B$1)),"",Sheet1!Q1183)</f>
        <v>4400</v>
      </c>
      <c r="F1176" s="20" t="s">
        <v>26</v>
      </c>
      <c r="G1176" s="53">
        <f t="shared" si="19"/>
        <v>-0.38497535868456267</v>
      </c>
      <c r="H1176" s="35"/>
      <c r="P1176" s="6"/>
    </row>
    <row r="1177" spans="1:16" ht="14.4" x14ac:dyDescent="0.25">
      <c r="A1177" s="6">
        <v>3757</v>
      </c>
      <c r="B1177" s="6">
        <v>26851</v>
      </c>
      <c r="C1177" s="19">
        <v>40748</v>
      </c>
      <c r="D1177" s="6" t="s">
        <v>17</v>
      </c>
      <c r="E1177" s="6">
        <f>IF((ISBLANK($B$1)),"",Sheet1!Q1184)</f>
        <v>5600</v>
      </c>
      <c r="F1177" s="20" t="s">
        <v>27</v>
      </c>
      <c r="G1177" s="53">
        <f t="shared" si="19"/>
        <v>1.2721697685668893</v>
      </c>
      <c r="H1177" s="35"/>
      <c r="P1177" s="6"/>
    </row>
    <row r="1178" spans="1:16" ht="14.4" x14ac:dyDescent="0.25">
      <c r="A1178" s="6">
        <v>3787</v>
      </c>
      <c r="B1178" s="6">
        <v>26981</v>
      </c>
      <c r="C1178" s="19">
        <v>41151</v>
      </c>
      <c r="D1178" s="6" t="s">
        <v>16</v>
      </c>
      <c r="E1178" s="6">
        <f>IF((ISBLANK($B$1)),"",Sheet1!Q1185)</f>
        <v>4050</v>
      </c>
      <c r="F1178" s="20" t="s">
        <v>27</v>
      </c>
      <c r="G1178" s="53">
        <f t="shared" si="19"/>
        <v>-0.86830935413290289</v>
      </c>
      <c r="H1178" s="35"/>
      <c r="P1178" s="6"/>
    </row>
    <row r="1179" spans="1:16" ht="14.4" x14ac:dyDescent="0.25">
      <c r="A1179" s="6">
        <v>3788</v>
      </c>
      <c r="B1179" s="6">
        <v>26981</v>
      </c>
      <c r="C1179" s="19">
        <v>41151</v>
      </c>
      <c r="D1179" s="6" t="s">
        <v>16</v>
      </c>
      <c r="E1179" s="6">
        <f>IF((ISBLANK($B$1)),"",Sheet1!Q1186)</f>
        <v>5600</v>
      </c>
      <c r="F1179" s="20" t="s">
        <v>26</v>
      </c>
      <c r="G1179" s="53">
        <f t="shared" si="19"/>
        <v>1.2721697685668893</v>
      </c>
      <c r="H1179" s="35"/>
      <c r="P1179" s="6"/>
    </row>
    <row r="1180" spans="1:16" ht="14.4" x14ac:dyDescent="0.25">
      <c r="A1180" s="6">
        <v>3827</v>
      </c>
      <c r="B1180" s="6">
        <v>27298</v>
      </c>
      <c r="C1180" s="19">
        <v>40866</v>
      </c>
      <c r="D1180" s="6" t="s">
        <v>25</v>
      </c>
      <c r="E1180" s="6">
        <f>IF((ISBLANK($B$1)),"",Sheet1!Q1187)</f>
        <v>5400</v>
      </c>
      <c r="F1180" s="20" t="s">
        <v>27</v>
      </c>
      <c r="G1180" s="53">
        <f t="shared" si="19"/>
        <v>0.99597891402498073</v>
      </c>
      <c r="H1180" s="35"/>
      <c r="P1180" s="6"/>
    </row>
    <row r="1181" spans="1:16" ht="14.4" x14ac:dyDescent="0.25">
      <c r="A1181" s="6">
        <v>3828</v>
      </c>
      <c r="B1181" s="6">
        <v>27298</v>
      </c>
      <c r="C1181" s="19">
        <v>40866</v>
      </c>
      <c r="D1181" s="6" t="s">
        <v>25</v>
      </c>
      <c r="E1181" s="6">
        <f>IF((ISBLANK($B$1)),"",Sheet1!Q1188)</f>
        <v>4950</v>
      </c>
      <c r="F1181" s="20" t="s">
        <v>26</v>
      </c>
      <c r="G1181" s="53">
        <f t="shared" si="19"/>
        <v>0.37454949130568621</v>
      </c>
      <c r="H1181" s="35"/>
      <c r="P1181" s="6"/>
    </row>
    <row r="1182" spans="1:16" ht="14.4" x14ac:dyDescent="0.25">
      <c r="A1182" s="6">
        <v>3834</v>
      </c>
      <c r="B1182" s="6">
        <v>27330</v>
      </c>
      <c r="C1182" s="19">
        <v>40072</v>
      </c>
      <c r="D1182" s="6" t="s">
        <v>25</v>
      </c>
      <c r="E1182" s="6">
        <f>IF((ISBLANK($B$1)),"",Sheet1!Q1189)</f>
        <v>3800</v>
      </c>
      <c r="F1182" s="20" t="s">
        <v>29</v>
      </c>
      <c r="G1182" s="53">
        <f t="shared" si="19"/>
        <v>-1.2135479223102887</v>
      </c>
      <c r="H1182" s="35"/>
      <c r="P1182" s="6"/>
    </row>
    <row r="1183" spans="1:16" ht="14.4" x14ac:dyDescent="0.25">
      <c r="A1183" s="6">
        <v>3835</v>
      </c>
      <c r="B1183" s="6">
        <v>27330</v>
      </c>
      <c r="C1183" s="19">
        <v>40072</v>
      </c>
      <c r="D1183" s="6" t="s">
        <v>25</v>
      </c>
      <c r="E1183" s="6">
        <f>IF((ISBLANK($B$1)),"",Sheet1!Q1190)</f>
        <v>4900</v>
      </c>
      <c r="F1183" s="20" t="s">
        <v>27</v>
      </c>
      <c r="G1183" s="53">
        <f t="shared" si="19"/>
        <v>0.30550177767020903</v>
      </c>
      <c r="H1183" s="35"/>
      <c r="P1183" s="6"/>
    </row>
    <row r="1184" spans="1:16" ht="14.4" x14ac:dyDescent="0.25">
      <c r="A1184" s="6">
        <v>3896</v>
      </c>
      <c r="B1184" s="6">
        <v>27781</v>
      </c>
      <c r="C1184" s="19">
        <v>40801</v>
      </c>
      <c r="D1184" s="6" t="s">
        <v>17</v>
      </c>
      <c r="E1184" s="6">
        <f>IF((ISBLANK($B$1)),"",Sheet1!Q1191)</f>
        <v>5750</v>
      </c>
      <c r="F1184" s="20" t="s">
        <v>26</v>
      </c>
      <c r="G1184" s="53">
        <f t="shared" si="19"/>
        <v>1.4793129094733208</v>
      </c>
      <c r="H1184" s="35"/>
      <c r="P1184" s="6"/>
    </row>
    <row r="1185" spans="1:16" ht="14.4" x14ac:dyDescent="0.25">
      <c r="A1185" s="6">
        <v>3956</v>
      </c>
      <c r="B1185" s="6">
        <v>28225</v>
      </c>
      <c r="C1185" s="19">
        <v>39835</v>
      </c>
      <c r="D1185" s="6" t="s">
        <v>30</v>
      </c>
      <c r="E1185" s="6">
        <f>IF((ISBLANK($B$1)),"",Sheet1!Q1192)</f>
        <v>3850</v>
      </c>
      <c r="F1185" s="20" t="s">
        <v>29</v>
      </c>
      <c r="G1185" s="53">
        <f t="shared" si="19"/>
        <v>-1.1445002086748115</v>
      </c>
      <c r="H1185" s="35"/>
      <c r="P1185" s="6"/>
    </row>
    <row r="1186" spans="1:16" ht="14.4" x14ac:dyDescent="0.25">
      <c r="A1186" s="6">
        <v>3975</v>
      </c>
      <c r="B1186" s="6">
        <v>28389</v>
      </c>
      <c r="C1186" s="19">
        <v>40120</v>
      </c>
      <c r="D1186" s="6" t="s">
        <v>17</v>
      </c>
      <c r="E1186" s="6">
        <f>IF((ISBLANK($B$1)),"",Sheet1!Q1193)</f>
        <v>4500</v>
      </c>
      <c r="F1186" s="20" t="s">
        <v>29</v>
      </c>
      <c r="G1186" s="53">
        <f t="shared" si="19"/>
        <v>-0.24687993141360834</v>
      </c>
      <c r="H1186" s="35"/>
      <c r="P1186" s="6"/>
    </row>
    <row r="1187" spans="1:16" ht="14.4" x14ac:dyDescent="0.25">
      <c r="A1187" s="6">
        <v>3976</v>
      </c>
      <c r="B1187" s="6">
        <v>28389</v>
      </c>
      <c r="C1187" s="19">
        <v>40120</v>
      </c>
      <c r="D1187" s="6" t="s">
        <v>17</v>
      </c>
      <c r="E1187" s="6">
        <f>IF((ISBLANK($B$1)),"",Sheet1!Q1194)</f>
        <v>4200</v>
      </c>
      <c r="F1187" s="20" t="s">
        <v>27</v>
      </c>
      <c r="G1187" s="53">
        <f t="shared" si="19"/>
        <v>-0.6611662132264714</v>
      </c>
      <c r="H1187" s="35"/>
      <c r="P1187" s="6"/>
    </row>
    <row r="1188" spans="1:16" ht="14.4" x14ac:dyDescent="0.25">
      <c r="A1188" s="6">
        <v>3977</v>
      </c>
      <c r="B1188" s="6">
        <v>28389</v>
      </c>
      <c r="C1188" s="19">
        <v>40120</v>
      </c>
      <c r="D1188" s="6" t="s">
        <v>17</v>
      </c>
      <c r="E1188" s="6">
        <f>IF((ISBLANK($B$1)),"",Sheet1!Q1195)</f>
        <v>3750</v>
      </c>
      <c r="F1188" s="20" t="s">
        <v>29</v>
      </c>
      <c r="G1188" s="53">
        <f t="shared" si="19"/>
        <v>-1.282595635945766</v>
      </c>
      <c r="H1188" s="35"/>
      <c r="P1188" s="6"/>
    </row>
    <row r="1189" spans="1:16" ht="14.4" x14ac:dyDescent="0.25">
      <c r="A1189" s="6">
        <v>4054</v>
      </c>
      <c r="B1189" s="6">
        <v>28898</v>
      </c>
      <c r="C1189" s="19">
        <v>40691</v>
      </c>
      <c r="D1189" s="6" t="s">
        <v>25</v>
      </c>
      <c r="E1189" s="6">
        <f>IF((ISBLANK($B$1)),"",Sheet1!Q1196)</f>
        <v>5600</v>
      </c>
      <c r="F1189" s="20" t="s">
        <v>26</v>
      </c>
      <c r="G1189" s="53">
        <f t="shared" si="19"/>
        <v>1.2721697685668893</v>
      </c>
      <c r="H1189" s="35"/>
      <c r="P1189" s="6"/>
    </row>
    <row r="1190" spans="1:16" ht="14.4" x14ac:dyDescent="0.25">
      <c r="A1190" s="6">
        <v>4056</v>
      </c>
      <c r="B1190" s="6">
        <v>28901</v>
      </c>
      <c r="C1190" s="19">
        <v>41071</v>
      </c>
      <c r="D1190" s="6" t="s">
        <v>17</v>
      </c>
      <c r="E1190" s="6">
        <f>IF((ISBLANK($B$1)),"",Sheet1!Q1197)</f>
        <v>4550</v>
      </c>
      <c r="F1190" s="20" t="s">
        <v>26</v>
      </c>
      <c r="G1190" s="53">
        <f t="shared" si="19"/>
        <v>-0.17783221777813119</v>
      </c>
      <c r="H1190" s="35"/>
      <c r="P1190" s="6"/>
    </row>
    <row r="1191" spans="1:16" ht="14.4" x14ac:dyDescent="0.25">
      <c r="A1191" s="6">
        <v>4091</v>
      </c>
      <c r="B1191" s="6">
        <v>29185</v>
      </c>
      <c r="C1191" s="19">
        <v>40198</v>
      </c>
      <c r="D1191" s="6" t="s">
        <v>17</v>
      </c>
      <c r="E1191" s="6">
        <f>IF((ISBLANK($B$1)),"",Sheet1!Q1198)</f>
        <v>3800</v>
      </c>
      <c r="F1191" s="20" t="s">
        <v>26</v>
      </c>
      <c r="G1191" s="53">
        <f t="shared" si="19"/>
        <v>-1.2135479223102887</v>
      </c>
      <c r="H1191" s="35"/>
      <c r="P1191" s="6"/>
    </row>
    <row r="1192" spans="1:16" ht="14.4" x14ac:dyDescent="0.25">
      <c r="A1192" s="6">
        <v>4092</v>
      </c>
      <c r="B1192" s="6">
        <v>29185</v>
      </c>
      <c r="C1192" s="19">
        <v>40198</v>
      </c>
      <c r="D1192" s="6" t="s">
        <v>17</v>
      </c>
      <c r="E1192" s="6">
        <f>IF((ISBLANK($B$1)),"",Sheet1!Q1199)</f>
        <v>5800</v>
      </c>
      <c r="F1192" s="20" t="s">
        <v>29</v>
      </c>
      <c r="G1192" s="53">
        <f t="shared" si="19"/>
        <v>1.5483606231087981</v>
      </c>
      <c r="H1192" s="35"/>
      <c r="P1192" s="6"/>
    </row>
    <row r="1193" spans="1:16" ht="14.4" x14ac:dyDescent="0.25">
      <c r="A1193" s="6">
        <v>4093</v>
      </c>
      <c r="B1193" s="6">
        <v>29185</v>
      </c>
      <c r="C1193" s="19">
        <v>40198</v>
      </c>
      <c r="D1193" s="6" t="s">
        <v>17</v>
      </c>
      <c r="E1193" s="6">
        <f>IF((ISBLANK($B$1)),"",Sheet1!Q1200)</f>
        <v>3650</v>
      </c>
      <c r="F1193" s="20" t="s">
        <v>26</v>
      </c>
      <c r="G1193" s="53">
        <f t="shared" si="19"/>
        <v>-1.4206910632167202</v>
      </c>
      <c r="H1193" s="35"/>
      <c r="P1193" s="6"/>
    </row>
    <row r="1194" spans="1:16" ht="14.4" x14ac:dyDescent="0.25">
      <c r="A1194" s="6">
        <v>4143</v>
      </c>
      <c r="B1194" s="6">
        <v>29408</v>
      </c>
      <c r="C1194" s="19">
        <v>40300</v>
      </c>
      <c r="D1194" s="6" t="s">
        <v>28</v>
      </c>
      <c r="E1194" s="6">
        <f>IF((ISBLANK($B$1)),"",Sheet1!Q1201)</f>
        <v>5600</v>
      </c>
      <c r="F1194" s="20" t="s">
        <v>27</v>
      </c>
      <c r="G1194" s="53">
        <f t="shared" si="19"/>
        <v>1.2721697685668893</v>
      </c>
      <c r="H1194" s="35"/>
      <c r="P1194" s="6"/>
    </row>
    <row r="1195" spans="1:16" ht="14.4" x14ac:dyDescent="0.25">
      <c r="A1195" s="6">
        <v>4219</v>
      </c>
      <c r="B1195" s="6">
        <v>29985</v>
      </c>
      <c r="C1195" s="19">
        <v>41101</v>
      </c>
      <c r="D1195" s="6" t="s">
        <v>30</v>
      </c>
      <c r="E1195" s="6">
        <f>IF((ISBLANK($B$1)),"",Sheet1!Q1202)</f>
        <v>4500</v>
      </c>
      <c r="F1195" s="20" t="s">
        <v>29</v>
      </c>
      <c r="G1195" s="53">
        <f t="shared" si="19"/>
        <v>-0.24687993141360834</v>
      </c>
      <c r="H1195" s="35"/>
      <c r="P1195" s="6"/>
    </row>
    <row r="1196" spans="1:16" ht="14.4" x14ac:dyDescent="0.25">
      <c r="A1196" s="6">
        <v>4220</v>
      </c>
      <c r="B1196" s="6">
        <v>29986</v>
      </c>
      <c r="C1196" s="19">
        <v>40727</v>
      </c>
      <c r="D1196" s="6" t="s">
        <v>30</v>
      </c>
      <c r="E1196" s="6">
        <f>IF((ISBLANK($B$1)),"",Sheet1!Q1203)</f>
        <v>5400</v>
      </c>
      <c r="F1196" s="20" t="s">
        <v>26</v>
      </c>
      <c r="G1196" s="53">
        <f t="shared" si="19"/>
        <v>0.99597891402498073</v>
      </c>
      <c r="H1196" s="35"/>
      <c r="P1196" s="6"/>
    </row>
    <row r="1197" spans="1:16" ht="14.4" x14ac:dyDescent="0.25">
      <c r="A1197" s="6">
        <v>4237</v>
      </c>
      <c r="B1197" s="6">
        <v>30147</v>
      </c>
      <c r="C1197" s="19">
        <v>41077</v>
      </c>
      <c r="D1197" s="6" t="s">
        <v>28</v>
      </c>
      <c r="E1197" s="6">
        <f>IF((ISBLANK($B$1)),"",Sheet1!Q1204)</f>
        <v>5250</v>
      </c>
      <c r="F1197" s="20" t="s">
        <v>29</v>
      </c>
      <c r="G1197" s="53">
        <f t="shared" si="19"/>
        <v>0.78883577311854924</v>
      </c>
      <c r="H1197" s="35"/>
      <c r="P1197" s="6"/>
    </row>
    <row r="1198" spans="1:16" ht="14.4" x14ac:dyDescent="0.25">
      <c r="A1198" s="6">
        <v>4238</v>
      </c>
      <c r="B1198" s="6">
        <v>30149</v>
      </c>
      <c r="C1198" s="19">
        <v>40524</v>
      </c>
      <c r="D1198" s="6" t="s">
        <v>16</v>
      </c>
      <c r="E1198" s="6">
        <f>IF((ISBLANK($B$1)),"",Sheet1!Q1205)</f>
        <v>3800</v>
      </c>
      <c r="F1198" s="20" t="s">
        <v>26</v>
      </c>
      <c r="G1198" s="53">
        <f t="shared" si="19"/>
        <v>-1.2135479223102887</v>
      </c>
      <c r="H1198" s="35"/>
      <c r="P1198" s="6"/>
    </row>
    <row r="1199" spans="1:16" ht="14.4" x14ac:dyDescent="0.25">
      <c r="A1199" s="6">
        <v>4239</v>
      </c>
      <c r="B1199" s="6">
        <v>30149</v>
      </c>
      <c r="C1199" s="19">
        <v>40524</v>
      </c>
      <c r="D1199" s="6" t="s">
        <v>16</v>
      </c>
      <c r="E1199" s="6">
        <f>IF((ISBLANK($B$1)),"",Sheet1!Q1206)</f>
        <v>3650</v>
      </c>
      <c r="F1199" s="20" t="s">
        <v>29</v>
      </c>
      <c r="G1199" s="53">
        <f t="shared" si="19"/>
        <v>-1.4206910632167202</v>
      </c>
      <c r="H1199" s="35"/>
      <c r="P1199" s="6"/>
    </row>
    <row r="1200" spans="1:16" ht="14.4" x14ac:dyDescent="0.25">
      <c r="A1200" s="6">
        <v>4240</v>
      </c>
      <c r="B1200" s="6">
        <v>30149</v>
      </c>
      <c r="C1200" s="19">
        <v>40524</v>
      </c>
      <c r="D1200" s="6" t="s">
        <v>16</v>
      </c>
      <c r="E1200" s="6">
        <f>IF((ISBLANK($B$1)),"",Sheet1!Q1207)</f>
        <v>5900</v>
      </c>
      <c r="F1200" s="20" t="s">
        <v>29</v>
      </c>
      <c r="G1200" s="53">
        <f t="shared" si="19"/>
        <v>1.6864560503797523</v>
      </c>
      <c r="H1200" s="35"/>
      <c r="P1200" s="6"/>
    </row>
    <row r="1201" spans="1:16" ht="14.4" x14ac:dyDescent="0.25">
      <c r="A1201" s="6">
        <v>4257</v>
      </c>
      <c r="B1201" s="6">
        <v>30310</v>
      </c>
      <c r="C1201" s="19">
        <v>41025</v>
      </c>
      <c r="D1201" s="6" t="s">
        <v>16</v>
      </c>
      <c r="E1201" s="6">
        <f>IF((ISBLANK($B$1)),"",Sheet1!Q1208)</f>
        <v>4450</v>
      </c>
      <c r="F1201" s="20" t="s">
        <v>27</v>
      </c>
      <c r="G1201" s="53">
        <f t="shared" si="19"/>
        <v>-0.31592764504908549</v>
      </c>
      <c r="H1201" s="35"/>
      <c r="P1201" s="6"/>
    </row>
    <row r="1202" spans="1:16" ht="14.4" x14ac:dyDescent="0.25">
      <c r="A1202" s="6">
        <v>4407</v>
      </c>
      <c r="B1202" s="6">
        <v>31426</v>
      </c>
      <c r="C1202" s="19">
        <v>40030</v>
      </c>
      <c r="D1202" s="6" t="s">
        <v>25</v>
      </c>
      <c r="E1202" s="6">
        <f>IF((ISBLANK($B$1)),"",Sheet1!Q1209)</f>
        <v>5400</v>
      </c>
      <c r="F1202" s="20" t="s">
        <v>27</v>
      </c>
      <c r="G1202" s="53">
        <f t="shared" si="19"/>
        <v>0.99597891402498073</v>
      </c>
      <c r="H1202" s="35"/>
      <c r="P1202" s="6"/>
    </row>
    <row r="1203" spans="1:16" ht="14.4" x14ac:dyDescent="0.25">
      <c r="A1203" s="6">
        <v>4471</v>
      </c>
      <c r="B1203" s="6">
        <v>31872</v>
      </c>
      <c r="C1203" s="19">
        <v>40427</v>
      </c>
      <c r="D1203" s="6" t="s">
        <v>25</v>
      </c>
      <c r="E1203" s="6">
        <f>IF((ISBLANK($B$1)),"",Sheet1!Q1210)</f>
        <v>5100</v>
      </c>
      <c r="F1203" s="20" t="s">
        <v>26</v>
      </c>
      <c r="G1203" s="53">
        <f t="shared" si="19"/>
        <v>0.58169263221211776</v>
      </c>
      <c r="H1203" s="35"/>
      <c r="P1203" s="6"/>
    </row>
    <row r="1204" spans="1:16" ht="14.4" x14ac:dyDescent="0.25">
      <c r="A1204" s="6">
        <v>4472</v>
      </c>
      <c r="B1204" s="6">
        <v>31872</v>
      </c>
      <c r="C1204" s="19">
        <v>40427</v>
      </c>
      <c r="D1204" s="6" t="s">
        <v>25</v>
      </c>
      <c r="E1204" s="6">
        <f>IF((ISBLANK($B$1)),"",Sheet1!Q1211)</f>
        <v>4900</v>
      </c>
      <c r="F1204" s="20" t="s">
        <v>29</v>
      </c>
      <c r="G1204" s="53">
        <f t="shared" si="19"/>
        <v>0.30550177767020903</v>
      </c>
      <c r="H1204" s="35"/>
      <c r="P1204" s="6"/>
    </row>
    <row r="1205" spans="1:16" ht="14.4" x14ac:dyDescent="0.25">
      <c r="A1205" s="6">
        <v>4477</v>
      </c>
      <c r="B1205" s="6">
        <v>31874</v>
      </c>
      <c r="C1205" s="19">
        <v>41167</v>
      </c>
      <c r="D1205" s="6" t="s">
        <v>17</v>
      </c>
      <c r="E1205" s="6">
        <f>IF((ISBLANK($B$1)),"",Sheet1!Q1212)</f>
        <v>4850</v>
      </c>
      <c r="F1205" s="20" t="s">
        <v>26</v>
      </c>
      <c r="G1205" s="53">
        <f t="shared" si="19"/>
        <v>0.23645406403473185</v>
      </c>
      <c r="H1205" s="35"/>
      <c r="P1205" s="6"/>
    </row>
    <row r="1206" spans="1:16" ht="14.4" x14ac:dyDescent="0.25">
      <c r="A1206" s="6">
        <v>4478</v>
      </c>
      <c r="B1206" s="6">
        <v>31874</v>
      </c>
      <c r="C1206" s="19">
        <v>41167</v>
      </c>
      <c r="D1206" s="6" t="s">
        <v>17</v>
      </c>
      <c r="E1206" s="6">
        <f>IF((ISBLANK($B$1)),"",Sheet1!Q1213)</f>
        <v>5350</v>
      </c>
      <c r="F1206" s="20" t="s">
        <v>29</v>
      </c>
      <c r="G1206" s="53">
        <f t="shared" si="19"/>
        <v>0.92693120038950361</v>
      </c>
      <c r="H1206" s="35"/>
      <c r="P1206" s="6"/>
    </row>
    <row r="1207" spans="1:16" ht="14.4" x14ac:dyDescent="0.25">
      <c r="A1207" s="6">
        <v>4485</v>
      </c>
      <c r="B1207" s="6">
        <v>31938</v>
      </c>
      <c r="C1207" s="19">
        <v>40751</v>
      </c>
      <c r="D1207" s="6" t="s">
        <v>16</v>
      </c>
      <c r="E1207" s="6">
        <f>IF((ISBLANK($B$1)),"",Sheet1!Q1214)</f>
        <v>4050</v>
      </c>
      <c r="F1207" s="20" t="s">
        <v>29</v>
      </c>
      <c r="G1207" s="53">
        <f t="shared" si="19"/>
        <v>-0.86830935413290289</v>
      </c>
      <c r="H1207" s="35"/>
      <c r="P1207" s="6"/>
    </row>
    <row r="1208" spans="1:16" ht="14.4" x14ac:dyDescent="0.25">
      <c r="A1208" s="6">
        <v>4486</v>
      </c>
      <c r="B1208" s="6">
        <v>31938</v>
      </c>
      <c r="C1208" s="19">
        <v>40751</v>
      </c>
      <c r="D1208" s="6" t="s">
        <v>16</v>
      </c>
      <c r="E1208" s="6">
        <f>IF((ISBLANK($B$1)),"",Sheet1!Q1215)</f>
        <v>5750</v>
      </c>
      <c r="F1208" s="20" t="s">
        <v>29</v>
      </c>
      <c r="G1208" s="53">
        <f t="shared" si="19"/>
        <v>1.4793129094733208</v>
      </c>
      <c r="H1208" s="35"/>
      <c r="P1208" s="6"/>
    </row>
    <row r="1209" spans="1:16" ht="14.4" x14ac:dyDescent="0.25">
      <c r="A1209" s="6">
        <v>4576</v>
      </c>
      <c r="B1209" s="6">
        <v>32582</v>
      </c>
      <c r="C1209" s="19">
        <v>39989</v>
      </c>
      <c r="D1209" s="6" t="s">
        <v>28</v>
      </c>
      <c r="E1209" s="6">
        <f>IF((ISBLANK($B$1)),"",Sheet1!Q1216)</f>
        <v>4750</v>
      </c>
      <c r="F1209" s="20" t="s">
        <v>29</v>
      </c>
      <c r="G1209" s="53">
        <f t="shared" si="19"/>
        <v>9.8358636763777513E-2</v>
      </c>
      <c r="H1209" s="35"/>
      <c r="P1209" s="6"/>
    </row>
    <row r="1210" spans="1:16" ht="14.4" x14ac:dyDescent="0.25">
      <c r="A1210" s="6">
        <v>4580</v>
      </c>
      <c r="B1210" s="6">
        <v>32611</v>
      </c>
      <c r="C1210" s="19">
        <v>40052</v>
      </c>
      <c r="D1210" s="6" t="s">
        <v>16</v>
      </c>
      <c r="E1210" s="6">
        <f>IF((ISBLANK($B$1)),"",Sheet1!Q1217)</f>
        <v>4200</v>
      </c>
      <c r="F1210" s="20" t="s">
        <v>26</v>
      </c>
      <c r="G1210" s="53">
        <f t="shared" si="19"/>
        <v>-0.6611662132264714</v>
      </c>
      <c r="H1210" s="35"/>
      <c r="P1210" s="6"/>
    </row>
    <row r="1211" spans="1:16" ht="14.4" x14ac:dyDescent="0.25">
      <c r="A1211" s="6">
        <v>4581</v>
      </c>
      <c r="B1211" s="6">
        <v>32611</v>
      </c>
      <c r="C1211" s="19">
        <v>40052</v>
      </c>
      <c r="D1211" s="6" t="s">
        <v>16</v>
      </c>
      <c r="E1211" s="6">
        <f>IF((ISBLANK($B$1)),"",Sheet1!Q1218)</f>
        <v>4350</v>
      </c>
      <c r="F1211" s="20" t="s">
        <v>29</v>
      </c>
      <c r="G1211" s="53">
        <f t="shared" si="19"/>
        <v>-0.45402307232003986</v>
      </c>
      <c r="H1211" s="35"/>
      <c r="P1211" s="6"/>
    </row>
    <row r="1212" spans="1:16" ht="14.4" x14ac:dyDescent="0.25">
      <c r="A1212" s="6">
        <v>4582</v>
      </c>
      <c r="B1212" s="6">
        <v>32611</v>
      </c>
      <c r="C1212" s="19">
        <v>40052</v>
      </c>
      <c r="D1212" s="6" t="s">
        <v>16</v>
      </c>
      <c r="E1212" s="6">
        <f>IF((ISBLANK($B$1)),"",Sheet1!Q1219)</f>
        <v>4300</v>
      </c>
      <c r="F1212" s="20" t="s">
        <v>27</v>
      </c>
      <c r="G1212" s="53">
        <f t="shared" si="19"/>
        <v>-0.52307078595551704</v>
      </c>
      <c r="H1212" s="35"/>
      <c r="P1212" s="6"/>
    </row>
    <row r="1213" spans="1:16" ht="14.4" x14ac:dyDescent="0.25">
      <c r="A1213" s="6">
        <v>4583</v>
      </c>
      <c r="B1213" s="6">
        <v>32611</v>
      </c>
      <c r="C1213" s="19">
        <v>40052</v>
      </c>
      <c r="D1213" s="6" t="s">
        <v>16</v>
      </c>
      <c r="E1213" s="6">
        <f>IF((ISBLANK($B$1)),"",Sheet1!Q1220)</f>
        <v>4150</v>
      </c>
      <c r="F1213" s="20" t="s">
        <v>26</v>
      </c>
      <c r="G1213" s="53">
        <f t="shared" si="19"/>
        <v>-0.73021392686194853</v>
      </c>
      <c r="H1213" s="35"/>
      <c r="P1213" s="6"/>
    </row>
    <row r="1214" spans="1:16" ht="14.4" x14ac:dyDescent="0.25">
      <c r="A1214" s="6">
        <v>4620</v>
      </c>
      <c r="B1214" s="6">
        <v>32901</v>
      </c>
      <c r="C1214" s="19">
        <v>40553</v>
      </c>
      <c r="D1214" s="6" t="s">
        <v>30</v>
      </c>
      <c r="E1214" s="6">
        <f>IF((ISBLANK($B$1)),"",Sheet1!Q1221)</f>
        <v>4050</v>
      </c>
      <c r="F1214" s="20" t="s">
        <v>26</v>
      </c>
      <c r="G1214" s="53">
        <f t="shared" si="19"/>
        <v>-0.86830935413290289</v>
      </c>
      <c r="H1214" s="35"/>
      <c r="P1214" s="6"/>
    </row>
    <row r="1215" spans="1:16" ht="14.4" x14ac:dyDescent="0.25">
      <c r="A1215" s="6">
        <v>4678</v>
      </c>
      <c r="B1215" s="6">
        <v>33284</v>
      </c>
      <c r="C1215" s="19">
        <v>40999</v>
      </c>
      <c r="D1215" s="6" t="s">
        <v>25</v>
      </c>
      <c r="E1215" s="6">
        <f>IF((ISBLANK($B$1)),"",Sheet1!Q1222)</f>
        <v>4450</v>
      </c>
      <c r="F1215" s="20" t="s">
        <v>29</v>
      </c>
      <c r="G1215" s="53">
        <f t="shared" si="19"/>
        <v>-0.31592764504908549</v>
      </c>
      <c r="H1215" s="35"/>
      <c r="P1215" s="6"/>
    </row>
    <row r="1216" spans="1:16" ht="14.4" x14ac:dyDescent="0.25">
      <c r="A1216" s="6">
        <v>4680</v>
      </c>
      <c r="B1216" s="6">
        <v>33287</v>
      </c>
      <c r="C1216" s="19">
        <v>40655</v>
      </c>
      <c r="D1216" s="6" t="s">
        <v>30</v>
      </c>
      <c r="E1216" s="6">
        <f>IF((ISBLANK($B$1)),"",Sheet1!Q1223)</f>
        <v>5600</v>
      </c>
      <c r="F1216" s="20" t="s">
        <v>27</v>
      </c>
      <c r="G1216" s="53">
        <f t="shared" si="19"/>
        <v>1.2721697685668893</v>
      </c>
      <c r="H1216" s="35"/>
      <c r="P1216" s="6"/>
    </row>
    <row r="1217" spans="1:16" ht="14.4" x14ac:dyDescent="0.25">
      <c r="A1217" s="6">
        <v>4745</v>
      </c>
      <c r="B1217" s="6">
        <v>33732</v>
      </c>
      <c r="C1217" s="19">
        <v>40053</v>
      </c>
      <c r="D1217" s="6" t="s">
        <v>28</v>
      </c>
      <c r="E1217" s="6">
        <f>IF((ISBLANK($B$1)),"",Sheet1!Q1224)</f>
        <v>5050</v>
      </c>
      <c r="F1217" s="20" t="s">
        <v>29</v>
      </c>
      <c r="G1217" s="53">
        <f t="shared" si="19"/>
        <v>0.51264491857664052</v>
      </c>
      <c r="H1217" s="35"/>
      <c r="P1217" s="6"/>
    </row>
    <row r="1218" spans="1:16" ht="14.4" x14ac:dyDescent="0.25">
      <c r="A1218" s="6">
        <v>4843</v>
      </c>
      <c r="B1218" s="6">
        <v>34435</v>
      </c>
      <c r="C1218" s="19">
        <v>40030</v>
      </c>
      <c r="D1218" s="6" t="s">
        <v>25</v>
      </c>
      <c r="E1218" s="6">
        <f>IF((ISBLANK($B$1)),"",Sheet1!Q1225)</f>
        <v>5500</v>
      </c>
      <c r="F1218" s="20" t="s">
        <v>26</v>
      </c>
      <c r="G1218" s="53">
        <f t="shared" si="19"/>
        <v>1.1340743412959351</v>
      </c>
      <c r="H1218" s="35"/>
      <c r="P1218" s="6"/>
    </row>
    <row r="1219" spans="1:16" ht="14.4" x14ac:dyDescent="0.25">
      <c r="A1219" s="6">
        <v>4899</v>
      </c>
      <c r="B1219" s="6">
        <v>34852</v>
      </c>
      <c r="C1219" s="19">
        <v>41157</v>
      </c>
      <c r="D1219" s="6" t="s">
        <v>25</v>
      </c>
      <c r="E1219" s="6">
        <f>IF((ISBLANK($B$1)),"",Sheet1!Q1226)</f>
        <v>4700</v>
      </c>
      <c r="F1219" s="20" t="s">
        <v>26</v>
      </c>
      <c r="G1219" s="53">
        <f t="shared" si="19"/>
        <v>2.9310923128300338E-2</v>
      </c>
      <c r="H1219" s="35"/>
      <c r="P1219" s="6"/>
    </row>
    <row r="1220" spans="1:16" ht="14.4" x14ac:dyDescent="0.25">
      <c r="A1220" s="6">
        <v>5001</v>
      </c>
      <c r="B1220" s="6">
        <v>35649</v>
      </c>
      <c r="C1220" s="19">
        <v>40825</v>
      </c>
      <c r="D1220" s="6" t="s">
        <v>16</v>
      </c>
      <c r="E1220" s="6">
        <f>IF((ISBLANK($B$1)),"",Sheet1!Q1227)</f>
        <v>3850</v>
      </c>
      <c r="F1220" s="20" t="s">
        <v>26</v>
      </c>
      <c r="G1220" s="53">
        <f t="shared" si="19"/>
        <v>-1.1445002086748115</v>
      </c>
      <c r="H1220" s="35"/>
      <c r="P1220" s="6"/>
    </row>
    <row r="1221" spans="1:16" ht="14.4" x14ac:dyDescent="0.25">
      <c r="A1221" s="6">
        <v>5002</v>
      </c>
      <c r="B1221" s="6">
        <v>35649</v>
      </c>
      <c r="C1221" s="19">
        <v>40825</v>
      </c>
      <c r="D1221" s="6" t="s">
        <v>16</v>
      </c>
      <c r="E1221" s="6">
        <f>IF((ISBLANK($B$1)),"",Sheet1!Q1228)</f>
        <v>4650</v>
      </c>
      <c r="F1221" s="20" t="s">
        <v>26</v>
      </c>
      <c r="G1221" s="53">
        <f t="shared" si="19"/>
        <v>-3.9736790507176829E-2</v>
      </c>
      <c r="H1221" s="35"/>
      <c r="P1221" s="6"/>
    </row>
    <row r="1222" spans="1:16" ht="14.4" x14ac:dyDescent="0.25">
      <c r="A1222" s="6">
        <v>5121</v>
      </c>
      <c r="B1222" s="6">
        <v>36480</v>
      </c>
      <c r="C1222" s="19">
        <v>40412</v>
      </c>
      <c r="D1222" s="6" t="s">
        <v>16</v>
      </c>
      <c r="E1222" s="6">
        <f>IF((ISBLANK($B$1)),"",Sheet1!Q1229)</f>
        <v>5600</v>
      </c>
      <c r="F1222" s="20" t="s">
        <v>26</v>
      </c>
      <c r="G1222" s="53">
        <f t="shared" si="19"/>
        <v>1.2721697685668893</v>
      </c>
      <c r="H1222" s="35"/>
      <c r="P1222" s="6"/>
    </row>
    <row r="1223" spans="1:16" ht="14.4" x14ac:dyDescent="0.25">
      <c r="A1223" s="6">
        <v>5171</v>
      </c>
      <c r="B1223" s="6">
        <v>36803</v>
      </c>
      <c r="C1223" s="19">
        <v>41125</v>
      </c>
      <c r="D1223" s="6" t="s">
        <v>28</v>
      </c>
      <c r="E1223" s="6">
        <f>IF((ISBLANK($B$1)),"",Sheet1!Q1230)</f>
        <v>5500</v>
      </c>
      <c r="F1223" s="20" t="s">
        <v>26</v>
      </c>
      <c r="G1223" s="53">
        <f t="shared" si="19"/>
        <v>1.1340743412959351</v>
      </c>
      <c r="H1223" s="35"/>
      <c r="P1223" s="6"/>
    </row>
    <row r="1224" spans="1:16" ht="14.4" x14ac:dyDescent="0.25">
      <c r="A1224" s="6">
        <v>5172</v>
      </c>
      <c r="B1224" s="6">
        <v>36803</v>
      </c>
      <c r="C1224" s="19">
        <v>41125</v>
      </c>
      <c r="D1224" s="6" t="s">
        <v>28</v>
      </c>
      <c r="E1224" s="6">
        <f>IF((ISBLANK($B$1)),"",Sheet1!Q1231)</f>
        <v>3500</v>
      </c>
      <c r="F1224" s="20" t="s">
        <v>29</v>
      </c>
      <c r="G1224" s="53">
        <f t="shared" ref="G1224:G1287" si="20">STANDARDIZE(E1224,$L$26,$L$35)</f>
        <v>-1.6278342041231517</v>
      </c>
      <c r="H1224" s="35"/>
      <c r="P1224" s="6"/>
    </row>
    <row r="1225" spans="1:16" ht="14.4" x14ac:dyDescent="0.25">
      <c r="A1225" s="6">
        <v>5173</v>
      </c>
      <c r="B1225" s="6">
        <v>36803</v>
      </c>
      <c r="C1225" s="19">
        <v>41125</v>
      </c>
      <c r="D1225" s="6" t="s">
        <v>28</v>
      </c>
      <c r="E1225" s="6">
        <f>IF((ISBLANK($B$1)),"",Sheet1!Q1232)</f>
        <v>3500</v>
      </c>
      <c r="F1225" s="20" t="s">
        <v>27</v>
      </c>
      <c r="G1225" s="53">
        <f t="shared" si="20"/>
        <v>-1.6278342041231517</v>
      </c>
      <c r="H1225" s="35"/>
      <c r="P1225" s="6"/>
    </row>
    <row r="1226" spans="1:16" ht="14.4" x14ac:dyDescent="0.25">
      <c r="A1226" s="6">
        <v>5174</v>
      </c>
      <c r="B1226" s="6">
        <v>36805</v>
      </c>
      <c r="C1226" s="19">
        <v>40526</v>
      </c>
      <c r="D1226" s="6" t="s">
        <v>16</v>
      </c>
      <c r="E1226" s="6">
        <f>IF((ISBLANK($B$1)),"",Sheet1!Q1233)</f>
        <v>3750</v>
      </c>
      <c r="F1226" s="20" t="s">
        <v>29</v>
      </c>
      <c r="G1226" s="53">
        <f t="shared" si="20"/>
        <v>-1.282595635945766</v>
      </c>
      <c r="H1226" s="35"/>
      <c r="P1226" s="6"/>
    </row>
    <row r="1227" spans="1:16" ht="14.4" x14ac:dyDescent="0.25">
      <c r="A1227" s="6">
        <v>5175</v>
      </c>
      <c r="B1227" s="6">
        <v>36805</v>
      </c>
      <c r="C1227" s="19">
        <v>40526</v>
      </c>
      <c r="D1227" s="6" t="s">
        <v>16</v>
      </c>
      <c r="E1227" s="6">
        <f>IF((ISBLANK($B$1)),"",Sheet1!Q1234)</f>
        <v>4800</v>
      </c>
      <c r="F1227" s="20" t="s">
        <v>27</v>
      </c>
      <c r="G1227" s="53">
        <f t="shared" si="20"/>
        <v>0.16740635039925467</v>
      </c>
      <c r="H1227" s="35"/>
      <c r="P1227" s="6"/>
    </row>
    <row r="1228" spans="1:16" ht="14.4" x14ac:dyDescent="0.25">
      <c r="A1228" s="6">
        <v>5180</v>
      </c>
      <c r="B1228" s="6">
        <v>36834</v>
      </c>
      <c r="C1228" s="19">
        <v>40171</v>
      </c>
      <c r="D1228" s="6" t="s">
        <v>25</v>
      </c>
      <c r="E1228" s="6">
        <f>IF((ISBLANK($B$1)),"",Sheet1!Q1235)</f>
        <v>3950</v>
      </c>
      <c r="F1228" s="20" t="s">
        <v>29</v>
      </c>
      <c r="G1228" s="53">
        <f t="shared" si="20"/>
        <v>-1.0064047814038573</v>
      </c>
      <c r="H1228" s="35"/>
      <c r="P1228" s="6"/>
    </row>
    <row r="1229" spans="1:16" ht="14.4" x14ac:dyDescent="0.25">
      <c r="A1229" s="6">
        <v>5255</v>
      </c>
      <c r="B1229" s="6">
        <v>37410</v>
      </c>
      <c r="C1229" s="19">
        <v>40463</v>
      </c>
      <c r="D1229" s="6" t="s">
        <v>16</v>
      </c>
      <c r="E1229" s="6">
        <f>IF((ISBLANK($B$1)),"",Sheet1!Q1236)</f>
        <v>5650</v>
      </c>
      <c r="F1229" s="20" t="s">
        <v>27</v>
      </c>
      <c r="G1229" s="53">
        <f t="shared" si="20"/>
        <v>1.3412174822023666</v>
      </c>
      <c r="H1229" s="35"/>
      <c r="P1229" s="6"/>
    </row>
    <row r="1230" spans="1:16" ht="14.4" x14ac:dyDescent="0.25">
      <c r="A1230" s="6">
        <v>5297</v>
      </c>
      <c r="B1230" s="6">
        <v>37729</v>
      </c>
      <c r="C1230" s="19">
        <v>39828</v>
      </c>
      <c r="D1230" s="6" t="s">
        <v>28</v>
      </c>
      <c r="E1230" s="6">
        <f>IF((ISBLANK($B$1)),"",Sheet1!Q1237)</f>
        <v>5800</v>
      </c>
      <c r="F1230" s="20" t="s">
        <v>26</v>
      </c>
      <c r="G1230" s="53">
        <f t="shared" si="20"/>
        <v>1.5483606231087981</v>
      </c>
      <c r="H1230" s="35"/>
      <c r="P1230" s="6"/>
    </row>
    <row r="1231" spans="1:16" ht="14.4" x14ac:dyDescent="0.25">
      <c r="A1231" s="6">
        <v>5346</v>
      </c>
      <c r="B1231" s="6">
        <v>37988</v>
      </c>
      <c r="C1231" s="19">
        <v>40638</v>
      </c>
      <c r="D1231" s="6" t="s">
        <v>28</v>
      </c>
      <c r="E1231" s="6">
        <f>IF((ISBLANK($B$1)),"",Sheet1!Q1238)</f>
        <v>4000</v>
      </c>
      <c r="F1231" s="20" t="s">
        <v>26</v>
      </c>
      <c r="G1231" s="53">
        <f t="shared" si="20"/>
        <v>-0.93735706776838001</v>
      </c>
      <c r="H1231" s="35"/>
      <c r="P1231" s="6"/>
    </row>
    <row r="1232" spans="1:16" ht="14.4" x14ac:dyDescent="0.25">
      <c r="A1232" s="6">
        <v>5449</v>
      </c>
      <c r="B1232" s="6">
        <v>38690</v>
      </c>
      <c r="C1232" s="19">
        <v>40928</v>
      </c>
      <c r="D1232" s="6" t="s">
        <v>25</v>
      </c>
      <c r="E1232" s="6">
        <f>IF((ISBLANK($B$1)),"",Sheet1!Q1239)</f>
        <v>4800</v>
      </c>
      <c r="F1232" s="20" t="s">
        <v>27</v>
      </c>
      <c r="G1232" s="53">
        <f t="shared" si="20"/>
        <v>0.16740635039925467</v>
      </c>
      <c r="H1232" s="35"/>
      <c r="P1232" s="6"/>
    </row>
    <row r="1233" spans="1:16" ht="14.4" x14ac:dyDescent="0.25">
      <c r="A1233" s="6">
        <v>5457</v>
      </c>
      <c r="B1233" s="6">
        <v>38758</v>
      </c>
      <c r="C1233" s="19">
        <v>40810</v>
      </c>
      <c r="D1233" s="6" t="s">
        <v>28</v>
      </c>
      <c r="E1233" s="6">
        <f>IF((ISBLANK($B$1)),"",Sheet1!Q1240)</f>
        <v>3750</v>
      </c>
      <c r="F1233" s="20" t="s">
        <v>26</v>
      </c>
      <c r="G1233" s="53">
        <f t="shared" si="20"/>
        <v>-1.282595635945766</v>
      </c>
      <c r="H1233" s="35"/>
      <c r="P1233" s="6"/>
    </row>
    <row r="1234" spans="1:16" ht="14.4" x14ac:dyDescent="0.25">
      <c r="A1234" s="6">
        <v>5554</v>
      </c>
      <c r="B1234" s="6">
        <v>39332</v>
      </c>
      <c r="C1234" s="19">
        <v>40825</v>
      </c>
      <c r="D1234" s="6" t="s">
        <v>30</v>
      </c>
      <c r="E1234" s="6">
        <f>IF((ISBLANK($B$1)),"",Sheet1!Q1241)</f>
        <v>3600</v>
      </c>
      <c r="F1234" s="20" t="s">
        <v>29</v>
      </c>
      <c r="G1234" s="53">
        <f t="shared" si="20"/>
        <v>-1.4897387768521975</v>
      </c>
      <c r="H1234" s="35"/>
      <c r="P1234" s="6"/>
    </row>
    <row r="1235" spans="1:16" ht="14.4" x14ac:dyDescent="0.25">
      <c r="A1235" s="6">
        <v>5608</v>
      </c>
      <c r="B1235" s="6">
        <v>39745</v>
      </c>
      <c r="C1235" s="19">
        <v>40667</v>
      </c>
      <c r="D1235" s="6" t="s">
        <v>28</v>
      </c>
      <c r="E1235" s="6">
        <f>IF((ISBLANK($B$1)),"",Sheet1!Q1242)</f>
        <v>3800</v>
      </c>
      <c r="F1235" s="20" t="s">
        <v>27</v>
      </c>
      <c r="G1235" s="53">
        <f t="shared" si="20"/>
        <v>-1.2135479223102887</v>
      </c>
      <c r="H1235" s="35"/>
      <c r="P1235" s="6"/>
    </row>
    <row r="1236" spans="1:16" ht="14.4" x14ac:dyDescent="0.25">
      <c r="A1236" s="6">
        <v>5678</v>
      </c>
      <c r="B1236" s="6">
        <v>40134</v>
      </c>
      <c r="C1236" s="19">
        <v>40825</v>
      </c>
      <c r="D1236" s="6" t="s">
        <v>25</v>
      </c>
      <c r="E1236" s="6">
        <f>IF((ISBLANK($B$1)),"",Sheet1!Q1243)</f>
        <v>3900</v>
      </c>
      <c r="F1236" s="20" t="s">
        <v>26</v>
      </c>
      <c r="G1236" s="53">
        <f t="shared" si="20"/>
        <v>-1.0754524950393345</v>
      </c>
      <c r="H1236" s="35"/>
      <c r="P1236" s="6"/>
    </row>
    <row r="1237" spans="1:16" ht="14.4" x14ac:dyDescent="0.25">
      <c r="A1237" s="6">
        <v>5679</v>
      </c>
      <c r="B1237" s="6">
        <v>40134</v>
      </c>
      <c r="C1237" s="19">
        <v>40825</v>
      </c>
      <c r="D1237" s="6" t="s">
        <v>25</v>
      </c>
      <c r="E1237" s="6">
        <f>IF((ISBLANK($B$1)),"",Sheet1!Q1244)</f>
        <v>5550</v>
      </c>
      <c r="F1237" s="20" t="s">
        <v>27</v>
      </c>
      <c r="G1237" s="53">
        <f t="shared" si="20"/>
        <v>1.2031220549314123</v>
      </c>
      <c r="H1237" s="35"/>
      <c r="P1237" s="6"/>
    </row>
    <row r="1238" spans="1:16" ht="14.4" x14ac:dyDescent="0.25">
      <c r="A1238" s="6">
        <v>5680</v>
      </c>
      <c r="B1238" s="6">
        <v>40134</v>
      </c>
      <c r="C1238" s="19">
        <v>40825</v>
      </c>
      <c r="D1238" s="6" t="s">
        <v>25</v>
      </c>
      <c r="E1238" s="6">
        <f>IF((ISBLANK($B$1)),"",Sheet1!Q1245)</f>
        <v>3450</v>
      </c>
      <c r="F1238" s="20" t="s">
        <v>26</v>
      </c>
      <c r="G1238" s="53">
        <f t="shared" si="20"/>
        <v>-1.696881917758629</v>
      </c>
      <c r="H1238" s="35"/>
      <c r="P1238" s="6"/>
    </row>
    <row r="1239" spans="1:16" ht="14.4" x14ac:dyDescent="0.25">
      <c r="A1239" s="6">
        <v>5683</v>
      </c>
      <c r="B1239" s="6">
        <v>40164</v>
      </c>
      <c r="C1239" s="19">
        <v>40278</v>
      </c>
      <c r="D1239" s="6" t="s">
        <v>28</v>
      </c>
      <c r="E1239" s="6">
        <f>IF((ISBLANK($B$1)),"",Sheet1!Q1246)</f>
        <v>3800</v>
      </c>
      <c r="F1239" s="20" t="s">
        <v>29</v>
      </c>
      <c r="G1239" s="53">
        <f t="shared" si="20"/>
        <v>-1.2135479223102887</v>
      </c>
      <c r="H1239" s="35"/>
      <c r="P1239" s="6"/>
    </row>
    <row r="1240" spans="1:16" ht="14.4" x14ac:dyDescent="0.25">
      <c r="A1240" s="6">
        <v>5723</v>
      </c>
      <c r="B1240" s="6">
        <v>40608</v>
      </c>
      <c r="C1240" s="19">
        <v>41140</v>
      </c>
      <c r="D1240" s="6" t="s">
        <v>28</v>
      </c>
      <c r="E1240" s="6">
        <f>IF((ISBLANK($B$1)),"",Sheet1!Q1247)</f>
        <v>4850</v>
      </c>
      <c r="F1240" s="20" t="s">
        <v>26</v>
      </c>
      <c r="G1240" s="53">
        <f t="shared" si="20"/>
        <v>0.23645406403473185</v>
      </c>
      <c r="H1240" s="35"/>
      <c r="P1240" s="6"/>
    </row>
    <row r="1241" spans="1:16" ht="14.4" x14ac:dyDescent="0.25">
      <c r="A1241" s="6">
        <v>5724</v>
      </c>
      <c r="B1241" s="6">
        <v>40608</v>
      </c>
      <c r="C1241" s="19">
        <v>41140</v>
      </c>
      <c r="D1241" s="6" t="s">
        <v>28</v>
      </c>
      <c r="E1241" s="6">
        <f>IF((ISBLANK($B$1)),"",Sheet1!Q1248)</f>
        <v>5350</v>
      </c>
      <c r="F1241" s="20" t="s">
        <v>26</v>
      </c>
      <c r="G1241" s="53">
        <f t="shared" si="20"/>
        <v>0.92693120038950361</v>
      </c>
      <c r="H1241" s="35"/>
      <c r="P1241" s="6"/>
    </row>
    <row r="1242" spans="1:16" ht="14.4" x14ac:dyDescent="0.25">
      <c r="A1242" s="6">
        <v>5742</v>
      </c>
      <c r="B1242" s="6">
        <v>40801</v>
      </c>
      <c r="C1242" s="19">
        <v>41091</v>
      </c>
      <c r="D1242" s="6" t="s">
        <v>28</v>
      </c>
      <c r="E1242" s="6">
        <f>IF((ISBLANK($B$1)),"",Sheet1!Q1249)</f>
        <v>4400</v>
      </c>
      <c r="F1242" s="20" t="s">
        <v>26</v>
      </c>
      <c r="G1242" s="53">
        <f t="shared" si="20"/>
        <v>-0.38497535868456267</v>
      </c>
      <c r="H1242" s="35"/>
      <c r="P1242" s="6"/>
    </row>
    <row r="1243" spans="1:16" ht="14.4" x14ac:dyDescent="0.25">
      <c r="A1243" s="6">
        <v>5775</v>
      </c>
      <c r="B1243" s="6">
        <v>40965</v>
      </c>
      <c r="C1243" s="19">
        <v>40137</v>
      </c>
      <c r="D1243" s="6" t="s">
        <v>16</v>
      </c>
      <c r="E1243" s="6">
        <f>IF((ISBLANK($B$1)),"",Sheet1!Q1250)</f>
        <v>4850</v>
      </c>
      <c r="F1243" s="20" t="s">
        <v>26</v>
      </c>
      <c r="G1243" s="53">
        <f t="shared" si="20"/>
        <v>0.23645406403473185</v>
      </c>
      <c r="H1243" s="35"/>
      <c r="P1243" s="6"/>
    </row>
    <row r="1244" spans="1:16" ht="14.4" x14ac:dyDescent="0.25">
      <c r="A1244" s="6">
        <v>5820</v>
      </c>
      <c r="B1244" s="6">
        <v>41286</v>
      </c>
      <c r="C1244" s="19">
        <v>41168</v>
      </c>
      <c r="D1244" s="6" t="s">
        <v>16</v>
      </c>
      <c r="E1244" s="6">
        <f>IF((ISBLANK($B$1)),"",Sheet1!Q1251)</f>
        <v>5400</v>
      </c>
      <c r="F1244" s="20" t="s">
        <v>26</v>
      </c>
      <c r="G1244" s="53">
        <f t="shared" si="20"/>
        <v>0.99597891402498073</v>
      </c>
      <c r="H1244" s="35"/>
      <c r="P1244" s="6"/>
    </row>
    <row r="1245" spans="1:16" ht="14.4" x14ac:dyDescent="0.25">
      <c r="A1245" s="6">
        <v>5836</v>
      </c>
      <c r="B1245" s="6">
        <v>41412</v>
      </c>
      <c r="C1245" s="19">
        <v>40073</v>
      </c>
      <c r="D1245" s="6" t="s">
        <v>28</v>
      </c>
      <c r="E1245" s="6">
        <f>IF((ISBLANK($B$1)),"",Sheet1!Q1252)</f>
        <v>5750</v>
      </c>
      <c r="F1245" s="20" t="s">
        <v>26</v>
      </c>
      <c r="G1245" s="53">
        <f t="shared" si="20"/>
        <v>1.4793129094733208</v>
      </c>
      <c r="H1245" s="35"/>
      <c r="P1245" s="6"/>
    </row>
    <row r="1246" spans="1:16" ht="14.4" x14ac:dyDescent="0.25">
      <c r="A1246" s="6">
        <v>5856</v>
      </c>
      <c r="B1246" s="6">
        <v>41569</v>
      </c>
      <c r="C1246" s="19">
        <v>40380</v>
      </c>
      <c r="D1246" s="6" t="s">
        <v>30</v>
      </c>
      <c r="E1246" s="6">
        <f>IF((ISBLANK($B$1)),"",Sheet1!Q1253)</f>
        <v>4200</v>
      </c>
      <c r="F1246" s="20" t="s">
        <v>29</v>
      </c>
      <c r="G1246" s="53">
        <f t="shared" si="20"/>
        <v>-0.6611662132264714</v>
      </c>
      <c r="H1246" s="35"/>
      <c r="P1246" s="6"/>
    </row>
    <row r="1247" spans="1:16" ht="14.4" x14ac:dyDescent="0.25">
      <c r="A1247" s="6">
        <v>5866</v>
      </c>
      <c r="B1247" s="6">
        <v>41633</v>
      </c>
      <c r="C1247" s="19">
        <v>40491</v>
      </c>
      <c r="D1247" s="6" t="s">
        <v>25</v>
      </c>
      <c r="E1247" s="6">
        <f>IF((ISBLANK($B$1)),"",Sheet1!Q1254)</f>
        <v>4850</v>
      </c>
      <c r="F1247" s="20" t="s">
        <v>29</v>
      </c>
      <c r="G1247" s="53">
        <f t="shared" si="20"/>
        <v>0.23645406403473185</v>
      </c>
      <c r="H1247" s="35"/>
      <c r="P1247" s="6"/>
    </row>
    <row r="1248" spans="1:16" ht="14.4" x14ac:dyDescent="0.25">
      <c r="A1248" s="6">
        <v>5910</v>
      </c>
      <c r="B1248" s="6">
        <v>41895</v>
      </c>
      <c r="C1248" s="19">
        <v>40553</v>
      </c>
      <c r="D1248" s="6" t="s">
        <v>30</v>
      </c>
      <c r="E1248" s="6">
        <f>IF((ISBLANK($B$1)),"",Sheet1!Q1255)</f>
        <v>3800</v>
      </c>
      <c r="F1248" s="20" t="s">
        <v>27</v>
      </c>
      <c r="G1248" s="53">
        <f t="shared" si="20"/>
        <v>-1.2135479223102887</v>
      </c>
      <c r="H1248" s="35"/>
      <c r="P1248" s="6"/>
    </row>
    <row r="1249" spans="1:16" ht="14.4" x14ac:dyDescent="0.25">
      <c r="A1249" s="6">
        <v>5936</v>
      </c>
      <c r="B1249" s="6">
        <v>42112</v>
      </c>
      <c r="C1249" s="19">
        <v>40536</v>
      </c>
      <c r="D1249" s="6" t="s">
        <v>28</v>
      </c>
      <c r="E1249" s="6">
        <f>IF((ISBLANK($B$1)),"",Sheet1!Q1256)</f>
        <v>4200</v>
      </c>
      <c r="F1249" s="20" t="s">
        <v>27</v>
      </c>
      <c r="G1249" s="53">
        <f t="shared" si="20"/>
        <v>-0.6611662132264714</v>
      </c>
      <c r="H1249" s="35"/>
      <c r="P1249" s="6"/>
    </row>
    <row r="1250" spans="1:16" ht="14.4" x14ac:dyDescent="0.25">
      <c r="A1250" s="6">
        <v>5942</v>
      </c>
      <c r="B1250" s="6">
        <v>42177</v>
      </c>
      <c r="C1250" s="19">
        <v>41059</v>
      </c>
      <c r="D1250" s="6" t="s">
        <v>28</v>
      </c>
      <c r="E1250" s="6">
        <f>IF((ISBLANK($B$1)),"",Sheet1!Q1257)</f>
        <v>5850</v>
      </c>
      <c r="F1250" s="20" t="s">
        <v>27</v>
      </c>
      <c r="G1250" s="53">
        <f t="shared" si="20"/>
        <v>1.6174083367442753</v>
      </c>
      <c r="H1250" s="35"/>
      <c r="P1250" s="6"/>
    </row>
    <row r="1251" spans="1:16" ht="14.4" x14ac:dyDescent="0.25">
      <c r="A1251" s="6">
        <v>5943</v>
      </c>
      <c r="B1251" s="6">
        <v>42177</v>
      </c>
      <c r="C1251" s="19">
        <v>41059</v>
      </c>
      <c r="D1251" s="6" t="s">
        <v>28</v>
      </c>
      <c r="E1251" s="6">
        <f>IF((ISBLANK($B$1)),"",Sheet1!Q1258)</f>
        <v>5300</v>
      </c>
      <c r="F1251" s="20" t="s">
        <v>29</v>
      </c>
      <c r="G1251" s="53">
        <f t="shared" si="20"/>
        <v>0.85788348675402637</v>
      </c>
      <c r="H1251" s="35"/>
      <c r="P1251" s="6"/>
    </row>
    <row r="1252" spans="1:16" ht="14.4" x14ac:dyDescent="0.25">
      <c r="A1252" s="6">
        <v>5969</v>
      </c>
      <c r="B1252" s="6">
        <v>42339</v>
      </c>
      <c r="C1252" s="19">
        <v>39856</v>
      </c>
      <c r="D1252" s="6" t="s">
        <v>30</v>
      </c>
      <c r="E1252" s="6">
        <f>IF((ISBLANK($B$1)),"",Sheet1!Q1259)</f>
        <v>4950</v>
      </c>
      <c r="F1252" s="20" t="s">
        <v>26</v>
      </c>
      <c r="G1252" s="53">
        <f t="shared" si="20"/>
        <v>0.37454949130568621</v>
      </c>
      <c r="H1252" s="35"/>
      <c r="P1252" s="6"/>
    </row>
    <row r="1253" spans="1:16" ht="14.4" x14ac:dyDescent="0.25">
      <c r="A1253" s="6">
        <v>5971</v>
      </c>
      <c r="B1253" s="6">
        <v>42342</v>
      </c>
      <c r="C1253" s="19">
        <v>40060</v>
      </c>
      <c r="D1253" s="6" t="s">
        <v>28</v>
      </c>
      <c r="E1253" s="6">
        <f>IF((ISBLANK($B$1)),"",Sheet1!Q1260)</f>
        <v>4650</v>
      </c>
      <c r="F1253" s="20" t="s">
        <v>26</v>
      </c>
      <c r="G1253" s="53">
        <f t="shared" si="20"/>
        <v>-3.9736790507176829E-2</v>
      </c>
      <c r="H1253" s="35"/>
      <c r="P1253" s="6"/>
    </row>
    <row r="1254" spans="1:16" ht="14.4" x14ac:dyDescent="0.25">
      <c r="A1254" s="6">
        <v>6061</v>
      </c>
      <c r="B1254" s="6">
        <v>42947</v>
      </c>
      <c r="C1254" s="19">
        <v>40416</v>
      </c>
      <c r="D1254" s="6" t="s">
        <v>25</v>
      </c>
      <c r="E1254" s="6">
        <f>IF((ISBLANK($B$1)),"",Sheet1!Q1261)</f>
        <v>3650</v>
      </c>
      <c r="F1254" s="20" t="s">
        <v>27</v>
      </c>
      <c r="G1254" s="53">
        <f t="shared" si="20"/>
        <v>-1.4206910632167202</v>
      </c>
      <c r="H1254" s="35"/>
      <c r="P1254" s="6"/>
    </row>
    <row r="1255" spans="1:16" ht="14.4" x14ac:dyDescent="0.25">
      <c r="A1255" s="6">
        <v>6080</v>
      </c>
      <c r="B1255" s="6">
        <v>43079</v>
      </c>
      <c r="C1255" s="19">
        <v>40015</v>
      </c>
      <c r="D1255" s="6" t="s">
        <v>16</v>
      </c>
      <c r="E1255" s="6">
        <f>IF((ISBLANK($B$1)),"",Sheet1!Q1262)</f>
        <v>5400</v>
      </c>
      <c r="F1255" s="20" t="s">
        <v>27</v>
      </c>
      <c r="G1255" s="53">
        <f t="shared" si="20"/>
        <v>0.99597891402498073</v>
      </c>
      <c r="H1255" s="35"/>
      <c r="P1255" s="6"/>
    </row>
    <row r="1256" spans="1:16" ht="14.4" x14ac:dyDescent="0.25">
      <c r="A1256" s="6">
        <v>6087</v>
      </c>
      <c r="B1256" s="6">
        <v>43111</v>
      </c>
      <c r="C1256" s="19">
        <v>40798</v>
      </c>
      <c r="D1256" s="6" t="s">
        <v>17</v>
      </c>
      <c r="E1256" s="6">
        <f>IF((ISBLANK($B$1)),"",Sheet1!Q1263)</f>
        <v>4750</v>
      </c>
      <c r="F1256" s="20" t="s">
        <v>26</v>
      </c>
      <c r="G1256" s="53">
        <f t="shared" si="20"/>
        <v>9.8358636763777513E-2</v>
      </c>
      <c r="H1256" s="35"/>
      <c r="P1256" s="6"/>
    </row>
    <row r="1257" spans="1:16" ht="14.4" x14ac:dyDescent="0.25">
      <c r="A1257" s="6">
        <v>6091</v>
      </c>
      <c r="B1257" s="6">
        <v>43140</v>
      </c>
      <c r="C1257" s="19">
        <v>39890</v>
      </c>
      <c r="D1257" s="6" t="s">
        <v>30</v>
      </c>
      <c r="E1257" s="6">
        <f>IF((ISBLANK($B$1)),"",Sheet1!Q1264)</f>
        <v>4550</v>
      </c>
      <c r="F1257" s="20" t="s">
        <v>26</v>
      </c>
      <c r="G1257" s="53">
        <f t="shared" si="20"/>
        <v>-0.17783221777813119</v>
      </c>
      <c r="H1257" s="35"/>
      <c r="P1257" s="6"/>
    </row>
    <row r="1258" spans="1:16" ht="14.4" x14ac:dyDescent="0.25">
      <c r="A1258" s="6">
        <v>6228</v>
      </c>
      <c r="B1258" s="6">
        <v>44098</v>
      </c>
      <c r="C1258" s="19">
        <v>40205</v>
      </c>
      <c r="D1258" s="6" t="s">
        <v>25</v>
      </c>
      <c r="E1258" s="6">
        <f>IF((ISBLANK($B$1)),"",Sheet1!Q1265)</f>
        <v>3450</v>
      </c>
      <c r="F1258" s="20" t="s">
        <v>26</v>
      </c>
      <c r="G1258" s="53">
        <f t="shared" si="20"/>
        <v>-1.696881917758629</v>
      </c>
      <c r="H1258" s="35"/>
      <c r="P1258" s="6"/>
    </row>
    <row r="1259" spans="1:16" ht="14.4" x14ac:dyDescent="0.25">
      <c r="A1259" s="6">
        <v>6282</v>
      </c>
      <c r="B1259" s="6">
        <v>44451</v>
      </c>
      <c r="C1259" s="19">
        <v>40797</v>
      </c>
      <c r="D1259" s="6" t="s">
        <v>30</v>
      </c>
      <c r="E1259" s="6">
        <f>IF((ISBLANK($B$1)),"",Sheet1!Q1266)</f>
        <v>3600</v>
      </c>
      <c r="F1259" s="20" t="s">
        <v>29</v>
      </c>
      <c r="G1259" s="53">
        <f t="shared" si="20"/>
        <v>-1.4897387768521975</v>
      </c>
      <c r="H1259" s="35"/>
      <c r="P1259" s="6"/>
    </row>
    <row r="1260" spans="1:16" ht="14.4" x14ac:dyDescent="0.25">
      <c r="A1260" s="6">
        <v>6354</v>
      </c>
      <c r="B1260" s="6">
        <v>45059</v>
      </c>
      <c r="C1260" s="19">
        <v>40577</v>
      </c>
      <c r="D1260" s="6" t="s">
        <v>28</v>
      </c>
      <c r="E1260" s="6">
        <f>IF((ISBLANK($B$1)),"",Sheet1!Q1267)</f>
        <v>5150</v>
      </c>
      <c r="F1260" s="20" t="s">
        <v>26</v>
      </c>
      <c r="G1260" s="53">
        <f t="shared" si="20"/>
        <v>0.65074034584759488</v>
      </c>
      <c r="H1260" s="35"/>
      <c r="P1260" s="6"/>
    </row>
    <row r="1261" spans="1:16" ht="14.4" x14ac:dyDescent="0.25">
      <c r="A1261" s="6">
        <v>6355</v>
      </c>
      <c r="B1261" s="6">
        <v>45059</v>
      </c>
      <c r="C1261" s="19">
        <v>40577</v>
      </c>
      <c r="D1261" s="6" t="s">
        <v>28</v>
      </c>
      <c r="E1261" s="6">
        <f>IF((ISBLANK($B$1)),"",Sheet1!Q1268)</f>
        <v>5350</v>
      </c>
      <c r="F1261" s="20" t="s">
        <v>26</v>
      </c>
      <c r="G1261" s="53">
        <f t="shared" si="20"/>
        <v>0.92693120038950361</v>
      </c>
      <c r="H1261" s="35"/>
      <c r="P1261" s="6"/>
    </row>
    <row r="1262" spans="1:16" ht="14.4" x14ac:dyDescent="0.25">
      <c r="A1262" s="6">
        <v>6362</v>
      </c>
      <c r="B1262" s="6">
        <v>45155</v>
      </c>
      <c r="C1262" s="19">
        <v>40589</v>
      </c>
      <c r="D1262" s="6" t="s">
        <v>25</v>
      </c>
      <c r="E1262" s="6">
        <f>IF((ISBLANK($B$1)),"",Sheet1!Q1269)</f>
        <v>5600</v>
      </c>
      <c r="F1262" s="20" t="s">
        <v>26</v>
      </c>
      <c r="G1262" s="53">
        <f t="shared" si="20"/>
        <v>1.2721697685668893</v>
      </c>
      <c r="H1262" s="35"/>
      <c r="P1262" s="6"/>
    </row>
    <row r="1263" spans="1:16" ht="14.4" x14ac:dyDescent="0.25">
      <c r="A1263" s="6">
        <v>6363</v>
      </c>
      <c r="B1263" s="6">
        <v>45155</v>
      </c>
      <c r="C1263" s="19">
        <v>40589</v>
      </c>
      <c r="D1263" s="6" t="s">
        <v>25</v>
      </c>
      <c r="E1263" s="6">
        <f>IF((ISBLANK($B$1)),"",Sheet1!Q1270)</f>
        <v>5150</v>
      </c>
      <c r="F1263" s="20" t="s">
        <v>26</v>
      </c>
      <c r="G1263" s="53">
        <f t="shared" si="20"/>
        <v>0.65074034584759488</v>
      </c>
      <c r="H1263" s="35"/>
      <c r="P1263" s="6"/>
    </row>
    <row r="1264" spans="1:16" ht="14.4" x14ac:dyDescent="0.25">
      <c r="A1264" s="6">
        <v>6380</v>
      </c>
      <c r="B1264" s="6">
        <v>45317</v>
      </c>
      <c r="C1264" s="19">
        <v>40969</v>
      </c>
      <c r="D1264" s="6" t="s">
        <v>25</v>
      </c>
      <c r="E1264" s="6">
        <f>IF((ISBLANK($B$1)),"",Sheet1!Q1271)</f>
        <v>5200</v>
      </c>
      <c r="F1264" s="20" t="s">
        <v>27</v>
      </c>
      <c r="G1264" s="53">
        <f t="shared" si="20"/>
        <v>0.71978805948307201</v>
      </c>
      <c r="H1264" s="35"/>
      <c r="P1264" s="6"/>
    </row>
    <row r="1265" spans="1:16" ht="14.4" x14ac:dyDescent="0.25">
      <c r="A1265" s="6">
        <v>6381</v>
      </c>
      <c r="B1265" s="6">
        <v>45317</v>
      </c>
      <c r="C1265" s="19">
        <v>40969</v>
      </c>
      <c r="D1265" s="6" t="s">
        <v>25</v>
      </c>
      <c r="E1265" s="6">
        <f>IF((ISBLANK($B$1)),"",Sheet1!Q1272)</f>
        <v>4800</v>
      </c>
      <c r="F1265" s="20" t="s">
        <v>29</v>
      </c>
      <c r="G1265" s="53">
        <f t="shared" si="20"/>
        <v>0.16740635039925467</v>
      </c>
      <c r="H1265" s="35"/>
      <c r="P1265" s="6"/>
    </row>
    <row r="1266" spans="1:16" ht="14.4" x14ac:dyDescent="0.25">
      <c r="A1266" s="6">
        <v>6432</v>
      </c>
      <c r="B1266" s="6">
        <v>45731</v>
      </c>
      <c r="C1266" s="19">
        <v>40035</v>
      </c>
      <c r="D1266" s="6" t="s">
        <v>30</v>
      </c>
      <c r="E1266" s="6">
        <f>IF((ISBLANK($B$1)),"",Sheet1!Q1273)</f>
        <v>4350</v>
      </c>
      <c r="F1266" s="20" t="s">
        <v>26</v>
      </c>
      <c r="G1266" s="53">
        <f t="shared" si="20"/>
        <v>-0.45402307232003986</v>
      </c>
      <c r="H1266" s="35"/>
      <c r="P1266" s="6"/>
    </row>
    <row r="1267" spans="1:16" ht="14.4" x14ac:dyDescent="0.25">
      <c r="A1267" s="6">
        <v>6433</v>
      </c>
      <c r="B1267" s="6">
        <v>45731</v>
      </c>
      <c r="C1267" s="19">
        <v>40035</v>
      </c>
      <c r="D1267" s="6" t="s">
        <v>30</v>
      </c>
      <c r="E1267" s="6">
        <f>IF((ISBLANK($B$1)),"",Sheet1!Q1274)</f>
        <v>5150</v>
      </c>
      <c r="F1267" s="20" t="s">
        <v>27</v>
      </c>
      <c r="G1267" s="53">
        <f t="shared" si="20"/>
        <v>0.65074034584759488</v>
      </c>
      <c r="H1267" s="35"/>
      <c r="P1267" s="6"/>
    </row>
    <row r="1268" spans="1:16" ht="14.4" x14ac:dyDescent="0.25">
      <c r="A1268" s="6">
        <v>6578</v>
      </c>
      <c r="B1268" s="6">
        <v>46849</v>
      </c>
      <c r="C1268" s="19">
        <v>40525</v>
      </c>
      <c r="D1268" s="6" t="s">
        <v>28</v>
      </c>
      <c r="E1268" s="6">
        <f>IF((ISBLANK($B$1)),"",Sheet1!Q1275)</f>
        <v>4550</v>
      </c>
      <c r="F1268" s="20" t="s">
        <v>27</v>
      </c>
      <c r="G1268" s="53">
        <f t="shared" si="20"/>
        <v>-0.17783221777813119</v>
      </c>
      <c r="H1268" s="35"/>
      <c r="P1268" s="6"/>
    </row>
    <row r="1269" spans="1:16" ht="14.4" x14ac:dyDescent="0.25">
      <c r="A1269" s="6">
        <v>6621</v>
      </c>
      <c r="B1269" s="6">
        <v>47108</v>
      </c>
      <c r="C1269" s="19">
        <v>40101</v>
      </c>
      <c r="D1269" s="6" t="s">
        <v>28</v>
      </c>
      <c r="E1269" s="6">
        <f>IF((ISBLANK($B$1)),"",Sheet1!Q1276)</f>
        <v>4350</v>
      </c>
      <c r="F1269" s="20" t="s">
        <v>29</v>
      </c>
      <c r="G1269" s="53">
        <f t="shared" si="20"/>
        <v>-0.45402307232003986</v>
      </c>
      <c r="H1269" s="35"/>
      <c r="P1269" s="6"/>
    </row>
    <row r="1270" spans="1:16" ht="14.4" x14ac:dyDescent="0.25">
      <c r="A1270" s="6">
        <v>6622</v>
      </c>
      <c r="B1270" s="6">
        <v>47108</v>
      </c>
      <c r="C1270" s="19">
        <v>40101</v>
      </c>
      <c r="D1270" s="6" t="s">
        <v>28</v>
      </c>
      <c r="E1270" s="6">
        <f>IF((ISBLANK($B$1)),"",Sheet1!Q1277)</f>
        <v>3750</v>
      </c>
      <c r="F1270" s="20" t="s">
        <v>27</v>
      </c>
      <c r="G1270" s="53">
        <f t="shared" si="20"/>
        <v>-1.282595635945766</v>
      </c>
      <c r="H1270" s="35"/>
      <c r="P1270" s="6"/>
    </row>
    <row r="1271" spans="1:16" ht="14.4" x14ac:dyDescent="0.25">
      <c r="A1271" s="6">
        <v>6623</v>
      </c>
      <c r="B1271" s="6">
        <v>47108</v>
      </c>
      <c r="C1271" s="19">
        <v>40101</v>
      </c>
      <c r="D1271" s="6" t="s">
        <v>28</v>
      </c>
      <c r="E1271" s="6">
        <f>IF((ISBLANK($B$1)),"",Sheet1!Q1278)</f>
        <v>4700</v>
      </c>
      <c r="F1271" s="20" t="s">
        <v>26</v>
      </c>
      <c r="G1271" s="53">
        <f t="shared" si="20"/>
        <v>2.9310923128300338E-2</v>
      </c>
      <c r="H1271" s="35"/>
      <c r="P1271" s="6"/>
    </row>
    <row r="1272" spans="1:16" ht="14.4" x14ac:dyDescent="0.25">
      <c r="A1272" s="6">
        <v>6624</v>
      </c>
      <c r="B1272" s="6">
        <v>47108</v>
      </c>
      <c r="C1272" s="19">
        <v>40101</v>
      </c>
      <c r="D1272" s="6" t="s">
        <v>28</v>
      </c>
      <c r="E1272" s="6">
        <f>IF((ISBLANK($B$1)),"",Sheet1!Q1279)</f>
        <v>3850</v>
      </c>
      <c r="F1272" s="20" t="s">
        <v>27</v>
      </c>
      <c r="G1272" s="53">
        <f t="shared" si="20"/>
        <v>-1.1445002086748115</v>
      </c>
      <c r="H1272" s="35"/>
      <c r="P1272" s="6"/>
    </row>
    <row r="1273" spans="1:16" ht="14.4" x14ac:dyDescent="0.25">
      <c r="A1273" s="6">
        <v>6676</v>
      </c>
      <c r="B1273" s="6">
        <v>47520</v>
      </c>
      <c r="C1273" s="19">
        <v>40093</v>
      </c>
      <c r="D1273" s="6" t="s">
        <v>28</v>
      </c>
      <c r="E1273" s="6">
        <f>IF((ISBLANK($B$1)),"",Sheet1!Q1280)</f>
        <v>5200</v>
      </c>
      <c r="F1273" s="20" t="s">
        <v>26</v>
      </c>
      <c r="G1273" s="53">
        <f t="shared" si="20"/>
        <v>0.71978805948307201</v>
      </c>
      <c r="H1273" s="35"/>
      <c r="P1273" s="6"/>
    </row>
    <row r="1274" spans="1:16" ht="14.4" x14ac:dyDescent="0.25">
      <c r="A1274" s="6">
        <v>6677</v>
      </c>
      <c r="B1274" s="6">
        <v>47520</v>
      </c>
      <c r="C1274" s="19">
        <v>40093</v>
      </c>
      <c r="D1274" s="6" t="s">
        <v>28</v>
      </c>
      <c r="E1274" s="6">
        <f>IF((ISBLANK($B$1)),"",Sheet1!Q1281)</f>
        <v>4050</v>
      </c>
      <c r="F1274" s="20" t="s">
        <v>29</v>
      </c>
      <c r="G1274" s="53">
        <f t="shared" si="20"/>
        <v>-0.86830935413290289</v>
      </c>
      <c r="H1274" s="35"/>
      <c r="P1274" s="6"/>
    </row>
    <row r="1275" spans="1:16" ht="14.4" x14ac:dyDescent="0.25">
      <c r="A1275" s="6">
        <v>6678</v>
      </c>
      <c r="B1275" s="6">
        <v>47520</v>
      </c>
      <c r="C1275" s="19">
        <v>40093</v>
      </c>
      <c r="D1275" s="6" t="s">
        <v>28</v>
      </c>
      <c r="E1275" s="6">
        <f>IF((ISBLANK($B$1)),"",Sheet1!Q1282)</f>
        <v>5750</v>
      </c>
      <c r="F1275" s="20" t="s">
        <v>26</v>
      </c>
      <c r="G1275" s="53">
        <f t="shared" si="20"/>
        <v>1.4793129094733208</v>
      </c>
      <c r="H1275" s="35"/>
      <c r="P1275" s="6"/>
    </row>
    <row r="1276" spans="1:16" ht="14.4" x14ac:dyDescent="0.25">
      <c r="A1276" s="6">
        <v>6683</v>
      </c>
      <c r="B1276" s="6">
        <v>47527</v>
      </c>
      <c r="C1276" s="19">
        <v>40438</v>
      </c>
      <c r="D1276" s="6" t="s">
        <v>16</v>
      </c>
      <c r="E1276" s="6">
        <f>IF((ISBLANK($B$1)),"",Sheet1!Q1283)</f>
        <v>5800</v>
      </c>
      <c r="F1276" s="20" t="s">
        <v>29</v>
      </c>
      <c r="G1276" s="53">
        <f t="shared" si="20"/>
        <v>1.5483606231087981</v>
      </c>
      <c r="H1276" s="35"/>
      <c r="P1276" s="6"/>
    </row>
    <row r="1277" spans="1:16" ht="14.4" x14ac:dyDescent="0.25">
      <c r="A1277" s="6">
        <v>6699</v>
      </c>
      <c r="B1277" s="6">
        <v>47713</v>
      </c>
      <c r="C1277" s="19">
        <v>39997</v>
      </c>
      <c r="D1277" s="6" t="s">
        <v>17</v>
      </c>
      <c r="E1277" s="6">
        <f>IF((ISBLANK($B$1)),"",Sheet1!Q1284)</f>
        <v>5100</v>
      </c>
      <c r="F1277" s="20" t="s">
        <v>27</v>
      </c>
      <c r="G1277" s="53">
        <f t="shared" si="20"/>
        <v>0.58169263221211776</v>
      </c>
      <c r="H1277" s="35"/>
      <c r="P1277" s="6"/>
    </row>
    <row r="1278" spans="1:16" ht="14.4" x14ac:dyDescent="0.25">
      <c r="A1278" s="6">
        <v>6707</v>
      </c>
      <c r="B1278" s="6">
        <v>47750</v>
      </c>
      <c r="C1278" s="19">
        <v>40344</v>
      </c>
      <c r="D1278" s="6" t="s">
        <v>25</v>
      </c>
      <c r="E1278" s="6">
        <f>IF((ISBLANK($B$1)),"",Sheet1!Q1285)</f>
        <v>3450</v>
      </c>
      <c r="F1278" s="20" t="s">
        <v>26</v>
      </c>
      <c r="G1278" s="53">
        <f t="shared" si="20"/>
        <v>-1.696881917758629</v>
      </c>
      <c r="H1278" s="35"/>
      <c r="P1278" s="6"/>
    </row>
    <row r="1279" spans="1:16" ht="14.4" x14ac:dyDescent="0.25">
      <c r="A1279" s="6">
        <v>6797</v>
      </c>
      <c r="B1279" s="6">
        <v>48452</v>
      </c>
      <c r="C1279" s="19">
        <v>40460</v>
      </c>
      <c r="D1279" s="6" t="s">
        <v>17</v>
      </c>
      <c r="E1279" s="6">
        <f>IF((ISBLANK($B$1)),"",Sheet1!Q1286)</f>
        <v>5000</v>
      </c>
      <c r="F1279" s="20" t="s">
        <v>29</v>
      </c>
      <c r="G1279" s="53">
        <f t="shared" si="20"/>
        <v>0.44359720494116334</v>
      </c>
      <c r="H1279" s="35"/>
      <c r="P1279" s="6"/>
    </row>
    <row r="1280" spans="1:16" ht="14.4" x14ac:dyDescent="0.25">
      <c r="A1280" s="6">
        <v>6798</v>
      </c>
      <c r="B1280" s="6">
        <v>48452</v>
      </c>
      <c r="C1280" s="19">
        <v>40460</v>
      </c>
      <c r="D1280" s="6" t="s">
        <v>17</v>
      </c>
      <c r="E1280" s="6">
        <f>IF((ISBLANK($B$1)),"",Sheet1!Q1287)</f>
        <v>4350</v>
      </c>
      <c r="F1280" s="20" t="s">
        <v>27</v>
      </c>
      <c r="G1280" s="53">
        <f t="shared" si="20"/>
        <v>-0.45402307232003986</v>
      </c>
      <c r="H1280" s="35"/>
      <c r="P1280" s="6"/>
    </row>
    <row r="1281" spans="1:16" ht="14.4" x14ac:dyDescent="0.25">
      <c r="A1281" s="6">
        <v>6799</v>
      </c>
      <c r="B1281" s="6">
        <v>48452</v>
      </c>
      <c r="C1281" s="19">
        <v>40460</v>
      </c>
      <c r="D1281" s="6" t="s">
        <v>17</v>
      </c>
      <c r="E1281" s="6">
        <f>IF((ISBLANK($B$1)),"",Sheet1!Q1288)</f>
        <v>5600</v>
      </c>
      <c r="F1281" s="20" t="s">
        <v>29</v>
      </c>
      <c r="G1281" s="53">
        <f t="shared" si="20"/>
        <v>1.2721697685668893</v>
      </c>
      <c r="H1281" s="35"/>
      <c r="P1281" s="6"/>
    </row>
    <row r="1282" spans="1:16" ht="14.4" x14ac:dyDescent="0.25">
      <c r="A1282" s="6">
        <v>6800</v>
      </c>
      <c r="B1282" s="6">
        <v>48452</v>
      </c>
      <c r="C1282" s="19">
        <v>40460</v>
      </c>
      <c r="D1282" s="6" t="s">
        <v>17</v>
      </c>
      <c r="E1282" s="6">
        <f>IF((ISBLANK($B$1)),"",Sheet1!Q1289)</f>
        <v>4150</v>
      </c>
      <c r="F1282" s="20" t="s">
        <v>26</v>
      </c>
      <c r="G1282" s="53">
        <f t="shared" si="20"/>
        <v>-0.73021392686194853</v>
      </c>
      <c r="H1282" s="35"/>
      <c r="P1282" s="6"/>
    </row>
    <row r="1283" spans="1:16" ht="14.4" x14ac:dyDescent="0.25">
      <c r="A1283" s="6">
        <v>6801</v>
      </c>
      <c r="B1283" s="6">
        <v>48452</v>
      </c>
      <c r="C1283" s="19">
        <v>40460</v>
      </c>
      <c r="D1283" s="6" t="s">
        <v>17</v>
      </c>
      <c r="E1283" s="6">
        <f>IF((ISBLANK($B$1)),"",Sheet1!Q1290)</f>
        <v>4800</v>
      </c>
      <c r="F1283" s="20" t="s">
        <v>26</v>
      </c>
      <c r="G1283" s="53">
        <f t="shared" si="20"/>
        <v>0.16740635039925467</v>
      </c>
      <c r="H1283" s="35"/>
      <c r="P1283" s="6"/>
    </row>
    <row r="1284" spans="1:16" ht="14.4" x14ac:dyDescent="0.25">
      <c r="A1284" s="6">
        <v>6885</v>
      </c>
      <c r="B1284" s="6">
        <v>49088</v>
      </c>
      <c r="C1284" s="19">
        <v>40079</v>
      </c>
      <c r="D1284" s="6" t="s">
        <v>30</v>
      </c>
      <c r="E1284" s="6">
        <f>IF((ISBLANK($B$1)),"",Sheet1!Q1291)</f>
        <v>4200</v>
      </c>
      <c r="F1284" s="20" t="s">
        <v>27</v>
      </c>
      <c r="G1284" s="53">
        <f t="shared" si="20"/>
        <v>-0.6611662132264714</v>
      </c>
      <c r="H1284" s="35"/>
      <c r="P1284" s="6"/>
    </row>
    <row r="1285" spans="1:16" ht="14.4" x14ac:dyDescent="0.25">
      <c r="A1285" s="6">
        <v>6886</v>
      </c>
      <c r="B1285" s="6">
        <v>49088</v>
      </c>
      <c r="C1285" s="19">
        <v>40079</v>
      </c>
      <c r="D1285" s="6" t="s">
        <v>30</v>
      </c>
      <c r="E1285" s="6">
        <f>IF((ISBLANK($B$1)),"",Sheet1!Q1292)</f>
        <v>4150</v>
      </c>
      <c r="F1285" s="20" t="s">
        <v>26</v>
      </c>
      <c r="G1285" s="53">
        <f t="shared" si="20"/>
        <v>-0.73021392686194853</v>
      </c>
      <c r="H1285" s="35"/>
      <c r="P1285" s="6"/>
    </row>
    <row r="1286" spans="1:16" ht="14.4" x14ac:dyDescent="0.25">
      <c r="A1286" s="6">
        <v>6887</v>
      </c>
      <c r="B1286" s="6">
        <v>49088</v>
      </c>
      <c r="C1286" s="19">
        <v>40079</v>
      </c>
      <c r="D1286" s="6" t="s">
        <v>30</v>
      </c>
      <c r="E1286" s="6">
        <f>IF((ISBLANK($B$1)),"",Sheet1!Q1293)</f>
        <v>4950</v>
      </c>
      <c r="F1286" s="20" t="s">
        <v>26</v>
      </c>
      <c r="G1286" s="53">
        <f t="shared" si="20"/>
        <v>0.37454949130568621</v>
      </c>
      <c r="H1286" s="35"/>
      <c r="P1286" s="6"/>
    </row>
    <row r="1287" spans="1:16" ht="14.4" x14ac:dyDescent="0.25">
      <c r="A1287" s="6">
        <v>6906</v>
      </c>
      <c r="B1287" s="6">
        <v>49223</v>
      </c>
      <c r="C1287" s="19">
        <v>40818</v>
      </c>
      <c r="D1287" s="6" t="s">
        <v>16</v>
      </c>
      <c r="E1287" s="6">
        <f>IF((ISBLANK($B$1)),"",Sheet1!Q1294)</f>
        <v>4600</v>
      </c>
      <c r="F1287" s="20" t="s">
        <v>26</v>
      </c>
      <c r="G1287" s="53">
        <f t="shared" si="20"/>
        <v>-0.108784504142654</v>
      </c>
      <c r="H1287" s="35"/>
      <c r="P1287" s="6"/>
    </row>
    <row r="1288" spans="1:16" ht="14.4" x14ac:dyDescent="0.25">
      <c r="A1288" s="6">
        <v>6947</v>
      </c>
      <c r="B1288" s="6">
        <v>49634</v>
      </c>
      <c r="C1288" s="19">
        <v>40991</v>
      </c>
      <c r="D1288" s="6" t="s">
        <v>28</v>
      </c>
      <c r="E1288" s="6">
        <f>IF((ISBLANK($B$1)),"",Sheet1!Q1295)</f>
        <v>5350</v>
      </c>
      <c r="F1288" s="20" t="s">
        <v>26</v>
      </c>
      <c r="G1288" s="53">
        <f t="shared" ref="G1288:G1351" si="21">STANDARDIZE(E1288,$L$26,$L$35)</f>
        <v>0.92693120038950361</v>
      </c>
      <c r="H1288" s="35"/>
      <c r="P1288" s="6"/>
    </row>
    <row r="1289" spans="1:16" ht="14.4" x14ac:dyDescent="0.25">
      <c r="A1289" s="6">
        <v>6948</v>
      </c>
      <c r="B1289" s="6">
        <v>49634</v>
      </c>
      <c r="C1289" s="19">
        <v>40991</v>
      </c>
      <c r="D1289" s="6" t="s">
        <v>28</v>
      </c>
      <c r="E1289" s="6">
        <f>IF((ISBLANK($B$1)),"",Sheet1!Q1296)</f>
        <v>3550</v>
      </c>
      <c r="F1289" s="20" t="s">
        <v>27</v>
      </c>
      <c r="G1289" s="53">
        <f t="shared" si="21"/>
        <v>-1.5587864904876745</v>
      </c>
      <c r="H1289" s="35"/>
      <c r="P1289" s="6"/>
    </row>
    <row r="1290" spans="1:16" ht="14.4" x14ac:dyDescent="0.25">
      <c r="A1290" s="6">
        <v>6999</v>
      </c>
      <c r="B1290" s="6">
        <v>49987</v>
      </c>
      <c r="C1290" s="19">
        <v>40562</v>
      </c>
      <c r="D1290" s="6" t="s">
        <v>17</v>
      </c>
      <c r="E1290" s="6">
        <f>IF((ISBLANK($B$1)),"",Sheet1!Q1297)</f>
        <v>4150</v>
      </c>
      <c r="F1290" s="20" t="s">
        <v>29</v>
      </c>
      <c r="G1290" s="53">
        <f t="shared" si="21"/>
        <v>-0.73021392686194853</v>
      </c>
      <c r="H1290" s="35"/>
      <c r="P1290" s="6"/>
    </row>
    <row r="1291" spans="1:16" ht="14.4" x14ac:dyDescent="0.25">
      <c r="A1291" s="6">
        <v>7000</v>
      </c>
      <c r="B1291" s="6">
        <v>49987</v>
      </c>
      <c r="C1291" s="19">
        <v>40562</v>
      </c>
      <c r="D1291" s="6" t="s">
        <v>17</v>
      </c>
      <c r="E1291" s="6">
        <f>IF((ISBLANK($B$1)),"",Sheet1!Q1298)</f>
        <v>3600</v>
      </c>
      <c r="F1291" s="20" t="s">
        <v>29</v>
      </c>
      <c r="G1291" s="53">
        <f t="shared" si="21"/>
        <v>-1.4897387768521975</v>
      </c>
      <c r="H1291" s="35"/>
      <c r="P1291" s="6"/>
    </row>
    <row r="1292" spans="1:16" ht="14.4" x14ac:dyDescent="0.25">
      <c r="A1292" s="6">
        <v>7032</v>
      </c>
      <c r="B1292" s="6">
        <v>50208</v>
      </c>
      <c r="C1292" s="19">
        <v>40565</v>
      </c>
      <c r="D1292" s="6" t="s">
        <v>16</v>
      </c>
      <c r="E1292" s="6">
        <f>IF((ISBLANK($B$1)),"",Sheet1!Q1299)</f>
        <v>3600</v>
      </c>
      <c r="F1292" s="20" t="s">
        <v>26</v>
      </c>
      <c r="G1292" s="53">
        <f t="shared" si="21"/>
        <v>-1.4897387768521975</v>
      </c>
      <c r="H1292" s="35"/>
      <c r="P1292" s="6"/>
    </row>
    <row r="1293" spans="1:16" ht="14.4" x14ac:dyDescent="0.25">
      <c r="A1293" s="6">
        <v>7057</v>
      </c>
      <c r="B1293" s="6">
        <v>50338</v>
      </c>
      <c r="C1293" s="19">
        <v>39895</v>
      </c>
      <c r="D1293" s="6" t="s">
        <v>28</v>
      </c>
      <c r="E1293" s="6">
        <f>IF((ISBLANK($B$1)),"",Sheet1!Q1300)</f>
        <v>5200</v>
      </c>
      <c r="F1293" s="20" t="s">
        <v>27</v>
      </c>
      <c r="G1293" s="53">
        <f t="shared" si="21"/>
        <v>0.71978805948307201</v>
      </c>
      <c r="H1293" s="35"/>
      <c r="P1293" s="6"/>
    </row>
    <row r="1294" spans="1:16" ht="14.4" x14ac:dyDescent="0.25">
      <c r="A1294" s="6">
        <v>7138</v>
      </c>
      <c r="B1294" s="6">
        <v>50945</v>
      </c>
      <c r="C1294" s="19">
        <v>40550</v>
      </c>
      <c r="D1294" s="6" t="s">
        <v>30</v>
      </c>
      <c r="E1294" s="6">
        <f>IF((ISBLANK($B$1)),"",Sheet1!Q1301)</f>
        <v>4750</v>
      </c>
      <c r="F1294" s="20" t="s">
        <v>27</v>
      </c>
      <c r="G1294" s="53">
        <f t="shared" si="21"/>
        <v>9.8358636763777513E-2</v>
      </c>
      <c r="H1294" s="35"/>
      <c r="P1294" s="6"/>
    </row>
    <row r="1295" spans="1:16" ht="14.4" x14ac:dyDescent="0.25">
      <c r="A1295" s="6">
        <v>7210</v>
      </c>
      <c r="B1295" s="6">
        <v>51462</v>
      </c>
      <c r="C1295" s="19">
        <v>40716</v>
      </c>
      <c r="D1295" s="6" t="s">
        <v>16</v>
      </c>
      <c r="E1295" s="6">
        <f>IF((ISBLANK($B$1)),"",Sheet1!Q1302)</f>
        <v>4150</v>
      </c>
      <c r="F1295" s="20" t="s">
        <v>26</v>
      </c>
      <c r="G1295" s="53">
        <f t="shared" si="21"/>
        <v>-0.73021392686194853</v>
      </c>
      <c r="H1295" s="35"/>
      <c r="P1295" s="6"/>
    </row>
    <row r="1296" spans="1:16" ht="14.4" x14ac:dyDescent="0.25">
      <c r="A1296" s="6">
        <v>7218</v>
      </c>
      <c r="B1296" s="6">
        <v>51494</v>
      </c>
      <c r="C1296" s="19">
        <v>40758</v>
      </c>
      <c r="D1296" s="6" t="s">
        <v>30</v>
      </c>
      <c r="E1296" s="6">
        <f>IF((ISBLANK($B$1)),"",Sheet1!Q1303)</f>
        <v>5500</v>
      </c>
      <c r="F1296" s="20" t="s">
        <v>27</v>
      </c>
      <c r="G1296" s="53">
        <f t="shared" si="21"/>
        <v>1.1340743412959351</v>
      </c>
      <c r="H1296" s="35"/>
      <c r="P1296" s="6"/>
    </row>
    <row r="1297" spans="1:16" ht="14.4" x14ac:dyDescent="0.25">
      <c r="A1297" s="6">
        <v>7221</v>
      </c>
      <c r="B1297" s="6">
        <v>51525</v>
      </c>
      <c r="C1297" s="19">
        <v>40854</v>
      </c>
      <c r="D1297" s="6" t="s">
        <v>30</v>
      </c>
      <c r="E1297" s="6">
        <f>IF((ISBLANK($B$1)),"",Sheet1!Q1304)</f>
        <v>4300</v>
      </c>
      <c r="F1297" s="20" t="s">
        <v>27</v>
      </c>
      <c r="G1297" s="53">
        <f t="shared" si="21"/>
        <v>-0.52307078595551704</v>
      </c>
      <c r="H1297" s="35"/>
      <c r="P1297" s="6"/>
    </row>
    <row r="1298" spans="1:16" ht="14.4" x14ac:dyDescent="0.25">
      <c r="A1298" s="6">
        <v>7222</v>
      </c>
      <c r="B1298" s="6">
        <v>51525</v>
      </c>
      <c r="C1298" s="19">
        <v>40854</v>
      </c>
      <c r="D1298" s="6" t="s">
        <v>30</v>
      </c>
      <c r="E1298" s="6">
        <f>IF((ISBLANK($B$1)),"",Sheet1!Q1305)</f>
        <v>5700</v>
      </c>
      <c r="F1298" s="20" t="s">
        <v>26</v>
      </c>
      <c r="G1298" s="53">
        <f t="shared" si="21"/>
        <v>1.4102651958378438</v>
      </c>
      <c r="H1298" s="35"/>
      <c r="P1298" s="6"/>
    </row>
    <row r="1299" spans="1:16" ht="14.4" x14ac:dyDescent="0.25">
      <c r="A1299" s="6">
        <v>7428</v>
      </c>
      <c r="B1299" s="6">
        <v>52933</v>
      </c>
      <c r="C1299" s="19">
        <v>40416</v>
      </c>
      <c r="D1299" s="6" t="s">
        <v>25</v>
      </c>
      <c r="E1299" s="6">
        <f>IF((ISBLANK($B$1)),"",Sheet1!Q1306)</f>
        <v>5600</v>
      </c>
      <c r="F1299" s="20" t="s">
        <v>26</v>
      </c>
      <c r="G1299" s="53">
        <f t="shared" si="21"/>
        <v>1.2721697685668893</v>
      </c>
      <c r="H1299" s="35"/>
      <c r="P1299" s="6"/>
    </row>
    <row r="1300" spans="1:16" ht="14.4" x14ac:dyDescent="0.25">
      <c r="A1300" s="6">
        <v>7437</v>
      </c>
      <c r="B1300" s="6">
        <v>53025</v>
      </c>
      <c r="C1300" s="19">
        <v>40254</v>
      </c>
      <c r="D1300" s="6" t="s">
        <v>30</v>
      </c>
      <c r="E1300" s="6">
        <f>IF((ISBLANK($B$1)),"",Sheet1!Q1307)</f>
        <v>5000</v>
      </c>
      <c r="F1300" s="20" t="s">
        <v>26</v>
      </c>
      <c r="G1300" s="53">
        <f t="shared" si="21"/>
        <v>0.44359720494116334</v>
      </c>
      <c r="H1300" s="35"/>
      <c r="P1300" s="6"/>
    </row>
    <row r="1301" spans="1:16" ht="14.4" x14ac:dyDescent="0.25">
      <c r="A1301" s="6">
        <v>7539</v>
      </c>
      <c r="B1301" s="6">
        <v>53894</v>
      </c>
      <c r="C1301" s="19">
        <v>40001</v>
      </c>
      <c r="D1301" s="6" t="s">
        <v>30</v>
      </c>
      <c r="E1301" s="6">
        <f>IF((ISBLANK($B$1)),"",Sheet1!Q1308)</f>
        <v>5750</v>
      </c>
      <c r="F1301" s="20" t="s">
        <v>29</v>
      </c>
      <c r="G1301" s="53">
        <f t="shared" si="21"/>
        <v>1.4793129094733208</v>
      </c>
      <c r="H1301" s="35"/>
      <c r="P1301" s="6"/>
    </row>
    <row r="1302" spans="1:16" ht="14.4" x14ac:dyDescent="0.25">
      <c r="A1302" s="6">
        <v>7540</v>
      </c>
      <c r="B1302" s="6">
        <v>53894</v>
      </c>
      <c r="C1302" s="19">
        <v>40001</v>
      </c>
      <c r="D1302" s="6" t="s">
        <v>30</v>
      </c>
      <c r="E1302" s="6">
        <f>IF((ISBLANK($B$1)),"",Sheet1!Q1309)</f>
        <v>5250</v>
      </c>
      <c r="F1302" s="20" t="s">
        <v>29</v>
      </c>
      <c r="G1302" s="53">
        <f t="shared" si="21"/>
        <v>0.78883577311854924</v>
      </c>
      <c r="H1302" s="35"/>
      <c r="P1302" s="6"/>
    </row>
    <row r="1303" spans="1:16" ht="14.4" x14ac:dyDescent="0.25">
      <c r="A1303" s="6">
        <v>7541</v>
      </c>
      <c r="B1303" s="6">
        <v>53894</v>
      </c>
      <c r="C1303" s="19">
        <v>40001</v>
      </c>
      <c r="D1303" s="6" t="s">
        <v>30</v>
      </c>
      <c r="E1303" s="6">
        <f>IF((ISBLANK($B$1)),"",Sheet1!Q1310)</f>
        <v>4850</v>
      </c>
      <c r="F1303" s="20" t="s">
        <v>27</v>
      </c>
      <c r="G1303" s="53">
        <f t="shared" si="21"/>
        <v>0.23645406403473185</v>
      </c>
      <c r="H1303" s="35"/>
      <c r="P1303" s="6"/>
    </row>
    <row r="1304" spans="1:16" ht="14.4" x14ac:dyDescent="0.25">
      <c r="A1304" s="6">
        <v>7544</v>
      </c>
      <c r="B1304" s="6">
        <v>53953</v>
      </c>
      <c r="C1304" s="19">
        <v>39899</v>
      </c>
      <c r="D1304" s="6" t="s">
        <v>28</v>
      </c>
      <c r="E1304" s="6">
        <f>IF((ISBLANK($B$1)),"",Sheet1!Q1311)</f>
        <v>5200</v>
      </c>
      <c r="F1304" s="20" t="s">
        <v>26</v>
      </c>
      <c r="G1304" s="53">
        <f t="shared" si="21"/>
        <v>0.71978805948307201</v>
      </c>
      <c r="H1304" s="35"/>
      <c r="P1304" s="6"/>
    </row>
    <row r="1305" spans="1:16" ht="14.4" x14ac:dyDescent="0.25">
      <c r="A1305" s="6">
        <v>7587</v>
      </c>
      <c r="B1305" s="6">
        <v>54304</v>
      </c>
      <c r="C1305" s="19">
        <v>40226</v>
      </c>
      <c r="D1305" s="6" t="s">
        <v>17</v>
      </c>
      <c r="E1305" s="6">
        <f>IF((ISBLANK($B$1)),"",Sheet1!Q1312)</f>
        <v>3950</v>
      </c>
      <c r="F1305" s="20" t="s">
        <v>26</v>
      </c>
      <c r="G1305" s="53">
        <f t="shared" si="21"/>
        <v>-1.0064047814038573</v>
      </c>
      <c r="H1305" s="35"/>
      <c r="P1305" s="6"/>
    </row>
    <row r="1306" spans="1:16" ht="14.4" x14ac:dyDescent="0.25">
      <c r="A1306" s="6">
        <v>7685</v>
      </c>
      <c r="B1306" s="6">
        <v>55075</v>
      </c>
      <c r="C1306" s="19">
        <v>40575</v>
      </c>
      <c r="D1306" s="6" t="s">
        <v>30</v>
      </c>
      <c r="E1306" s="6">
        <f>IF((ISBLANK($B$1)),"",Sheet1!Q1313)</f>
        <v>4450</v>
      </c>
      <c r="F1306" s="20" t="s">
        <v>29</v>
      </c>
      <c r="G1306" s="53">
        <f t="shared" si="21"/>
        <v>-0.31592764504908549</v>
      </c>
      <c r="H1306" s="35"/>
      <c r="P1306" s="6"/>
    </row>
    <row r="1307" spans="1:16" ht="14.4" x14ac:dyDescent="0.25">
      <c r="A1307" s="6">
        <v>7710</v>
      </c>
      <c r="B1307" s="6">
        <v>55268</v>
      </c>
      <c r="C1307" s="19">
        <v>40985</v>
      </c>
      <c r="D1307" s="6" t="s">
        <v>17</v>
      </c>
      <c r="E1307" s="6">
        <f>IF((ISBLANK($B$1)),"",Sheet1!Q1314)</f>
        <v>3950</v>
      </c>
      <c r="F1307" s="20" t="s">
        <v>27</v>
      </c>
      <c r="G1307" s="53">
        <f t="shared" si="21"/>
        <v>-1.0064047814038573</v>
      </c>
      <c r="H1307" s="35"/>
      <c r="P1307" s="6"/>
    </row>
    <row r="1308" spans="1:16" ht="14.4" x14ac:dyDescent="0.25">
      <c r="A1308" s="6">
        <v>7731</v>
      </c>
      <c r="B1308" s="6">
        <v>55367</v>
      </c>
      <c r="C1308" s="19">
        <v>39823</v>
      </c>
      <c r="D1308" s="6" t="s">
        <v>30</v>
      </c>
      <c r="E1308" s="6">
        <f>IF((ISBLANK($B$1)),"",Sheet1!Q1315)</f>
        <v>4950</v>
      </c>
      <c r="F1308" s="20" t="s">
        <v>29</v>
      </c>
      <c r="G1308" s="53">
        <f t="shared" si="21"/>
        <v>0.37454949130568621</v>
      </c>
      <c r="H1308" s="35"/>
      <c r="P1308" s="6"/>
    </row>
    <row r="1309" spans="1:16" ht="14.4" x14ac:dyDescent="0.25">
      <c r="A1309" s="6">
        <v>7732</v>
      </c>
      <c r="B1309" s="6">
        <v>55367</v>
      </c>
      <c r="C1309" s="19">
        <v>39823</v>
      </c>
      <c r="D1309" s="6" t="s">
        <v>30</v>
      </c>
      <c r="E1309" s="6">
        <f>IF((ISBLANK($B$1)),"",Sheet1!Q1316)</f>
        <v>5800</v>
      </c>
      <c r="F1309" s="20" t="s">
        <v>26</v>
      </c>
      <c r="G1309" s="53">
        <f t="shared" si="21"/>
        <v>1.5483606231087981</v>
      </c>
      <c r="H1309" s="35"/>
      <c r="P1309" s="6"/>
    </row>
    <row r="1310" spans="1:16" ht="14.4" x14ac:dyDescent="0.25">
      <c r="A1310" s="6">
        <v>7875</v>
      </c>
      <c r="B1310" s="6">
        <v>56321</v>
      </c>
      <c r="C1310" s="19">
        <v>40284</v>
      </c>
      <c r="D1310" s="6" t="s">
        <v>30</v>
      </c>
      <c r="E1310" s="6">
        <f>IF((ISBLANK($B$1)),"",Sheet1!Q1317)</f>
        <v>4600</v>
      </c>
      <c r="F1310" s="20" t="s">
        <v>26</v>
      </c>
      <c r="G1310" s="53">
        <f t="shared" si="21"/>
        <v>-0.108784504142654</v>
      </c>
      <c r="H1310" s="35"/>
      <c r="P1310" s="6"/>
    </row>
    <row r="1311" spans="1:16" ht="14.4" x14ac:dyDescent="0.25">
      <c r="A1311" s="6">
        <v>7919</v>
      </c>
      <c r="B1311" s="6">
        <v>56610</v>
      </c>
      <c r="C1311" s="19">
        <v>40244</v>
      </c>
      <c r="D1311" s="6" t="s">
        <v>16</v>
      </c>
      <c r="E1311" s="6">
        <f>IF((ISBLANK($B$1)),"",Sheet1!Q1318)</f>
        <v>4400</v>
      </c>
      <c r="F1311" s="20" t="s">
        <v>27</v>
      </c>
      <c r="G1311" s="53">
        <f t="shared" si="21"/>
        <v>-0.38497535868456267</v>
      </c>
      <c r="H1311" s="35"/>
      <c r="P1311" s="6"/>
    </row>
    <row r="1312" spans="1:16" ht="14.4" x14ac:dyDescent="0.25">
      <c r="A1312" s="6">
        <v>7943</v>
      </c>
      <c r="B1312" s="6">
        <v>56740</v>
      </c>
      <c r="C1312" s="19">
        <v>41198</v>
      </c>
      <c r="D1312" s="6" t="s">
        <v>30</v>
      </c>
      <c r="E1312" s="6">
        <f>IF((ISBLANK($B$1)),"",Sheet1!Q1319)</f>
        <v>5050</v>
      </c>
      <c r="F1312" s="20" t="s">
        <v>29</v>
      </c>
      <c r="G1312" s="53">
        <f t="shared" si="21"/>
        <v>0.51264491857664052</v>
      </c>
      <c r="H1312" s="35"/>
      <c r="P1312" s="6"/>
    </row>
    <row r="1313" spans="1:16" ht="14.4" x14ac:dyDescent="0.25">
      <c r="A1313" s="6">
        <v>7962</v>
      </c>
      <c r="B1313" s="6">
        <v>56901</v>
      </c>
      <c r="C1313" s="19">
        <v>40067</v>
      </c>
      <c r="D1313" s="6" t="s">
        <v>30</v>
      </c>
      <c r="E1313" s="6">
        <f>IF((ISBLANK($B$1)),"",Sheet1!Q1320)</f>
        <v>5200</v>
      </c>
      <c r="F1313" s="20" t="s">
        <v>26</v>
      </c>
      <c r="G1313" s="53">
        <f t="shared" si="21"/>
        <v>0.71978805948307201</v>
      </c>
      <c r="H1313" s="35"/>
      <c r="P1313" s="6"/>
    </row>
    <row r="1314" spans="1:16" ht="14.4" x14ac:dyDescent="0.25">
      <c r="A1314" s="6">
        <v>8020</v>
      </c>
      <c r="B1314" s="6">
        <v>57314</v>
      </c>
      <c r="C1314" s="19">
        <v>40463</v>
      </c>
      <c r="D1314" s="6" t="s">
        <v>25</v>
      </c>
      <c r="E1314" s="6">
        <f>IF((ISBLANK($B$1)),"",Sheet1!Q1321)</f>
        <v>4500</v>
      </c>
      <c r="F1314" s="20" t="s">
        <v>26</v>
      </c>
      <c r="G1314" s="53">
        <f t="shared" si="21"/>
        <v>-0.24687993141360834</v>
      </c>
      <c r="H1314" s="35"/>
      <c r="P1314" s="6"/>
    </row>
    <row r="1315" spans="1:16" ht="14.4" x14ac:dyDescent="0.25">
      <c r="A1315" s="6">
        <v>8021</v>
      </c>
      <c r="B1315" s="6">
        <v>57314</v>
      </c>
      <c r="C1315" s="19">
        <v>40463</v>
      </c>
      <c r="D1315" s="6" t="s">
        <v>25</v>
      </c>
      <c r="E1315" s="6">
        <f>IF((ISBLANK($B$1)),"",Sheet1!Q1322)</f>
        <v>4700</v>
      </c>
      <c r="F1315" s="20" t="s">
        <v>27</v>
      </c>
      <c r="G1315" s="53">
        <f t="shared" si="21"/>
        <v>2.9310923128300338E-2</v>
      </c>
      <c r="H1315" s="35"/>
      <c r="P1315" s="6"/>
    </row>
    <row r="1316" spans="1:16" ht="14.4" x14ac:dyDescent="0.25">
      <c r="A1316" s="6">
        <v>8027</v>
      </c>
      <c r="B1316" s="6">
        <v>57376</v>
      </c>
      <c r="C1316" s="19">
        <v>40713</v>
      </c>
      <c r="D1316" s="6" t="s">
        <v>30</v>
      </c>
      <c r="E1316" s="6">
        <f>IF((ISBLANK($B$1)),"",Sheet1!Q1323)</f>
        <v>5600</v>
      </c>
      <c r="F1316" s="20" t="s">
        <v>29</v>
      </c>
      <c r="G1316" s="53">
        <f t="shared" si="21"/>
        <v>1.2721697685668893</v>
      </c>
      <c r="H1316" s="35"/>
      <c r="P1316" s="6"/>
    </row>
    <row r="1317" spans="1:16" ht="14.4" x14ac:dyDescent="0.25">
      <c r="A1317" s="6">
        <v>8028</v>
      </c>
      <c r="B1317" s="6">
        <v>57376</v>
      </c>
      <c r="C1317" s="19">
        <v>40713</v>
      </c>
      <c r="D1317" s="6" t="s">
        <v>30</v>
      </c>
      <c r="E1317" s="6">
        <f>IF((ISBLANK($B$1)),"",Sheet1!Q1324)</f>
        <v>3700</v>
      </c>
      <c r="F1317" s="20" t="s">
        <v>27</v>
      </c>
      <c r="G1317" s="53">
        <f t="shared" si="21"/>
        <v>-1.351643349581243</v>
      </c>
      <c r="H1317" s="35"/>
      <c r="P1317" s="6"/>
    </row>
    <row r="1318" spans="1:16" ht="14.4" x14ac:dyDescent="0.25">
      <c r="A1318" s="6">
        <v>8086</v>
      </c>
      <c r="B1318" s="6">
        <v>57671</v>
      </c>
      <c r="C1318" s="19">
        <v>41220</v>
      </c>
      <c r="D1318" s="6" t="s">
        <v>28</v>
      </c>
      <c r="E1318" s="6">
        <f>IF((ISBLANK($B$1)),"",Sheet1!Q1325)</f>
        <v>3700</v>
      </c>
      <c r="F1318" s="20" t="s">
        <v>26</v>
      </c>
      <c r="G1318" s="53">
        <f t="shared" si="21"/>
        <v>-1.351643349581243</v>
      </c>
      <c r="H1318" s="35"/>
      <c r="P1318" s="6"/>
    </row>
    <row r="1319" spans="1:16" ht="14.4" x14ac:dyDescent="0.25">
      <c r="A1319" s="6">
        <v>8092</v>
      </c>
      <c r="B1319" s="6">
        <v>57700</v>
      </c>
      <c r="C1319" s="19">
        <v>40859</v>
      </c>
      <c r="D1319" s="6" t="s">
        <v>16</v>
      </c>
      <c r="E1319" s="6">
        <f>IF((ISBLANK($B$1)),"",Sheet1!Q1326)</f>
        <v>5300</v>
      </c>
      <c r="F1319" s="20" t="s">
        <v>27</v>
      </c>
      <c r="G1319" s="53">
        <f t="shared" si="21"/>
        <v>0.85788348675402637</v>
      </c>
      <c r="H1319" s="35"/>
      <c r="P1319" s="6"/>
    </row>
    <row r="1320" spans="1:16" ht="14.4" x14ac:dyDescent="0.25">
      <c r="A1320" s="6">
        <v>8172</v>
      </c>
      <c r="B1320" s="6">
        <v>58407</v>
      </c>
      <c r="C1320" s="19">
        <v>40669</v>
      </c>
      <c r="D1320" s="6" t="s">
        <v>17</v>
      </c>
      <c r="E1320" s="6">
        <f>IF((ISBLANK($B$1)),"",Sheet1!Q1327)</f>
        <v>4850</v>
      </c>
      <c r="F1320" s="20" t="s">
        <v>26</v>
      </c>
      <c r="G1320" s="53">
        <f t="shared" si="21"/>
        <v>0.23645406403473185</v>
      </c>
      <c r="H1320" s="35"/>
      <c r="P1320" s="6"/>
    </row>
    <row r="1321" spans="1:16" ht="14.4" x14ac:dyDescent="0.25">
      <c r="A1321" s="6">
        <v>8191</v>
      </c>
      <c r="B1321" s="6">
        <v>58593</v>
      </c>
      <c r="C1321" s="19">
        <v>40794</v>
      </c>
      <c r="D1321" s="6" t="s">
        <v>30</v>
      </c>
      <c r="E1321" s="6">
        <f>IF((ISBLANK($B$1)),"",Sheet1!Q1328)</f>
        <v>4850</v>
      </c>
      <c r="F1321" s="20" t="s">
        <v>29</v>
      </c>
      <c r="G1321" s="53">
        <f t="shared" si="21"/>
        <v>0.23645406403473185</v>
      </c>
      <c r="H1321" s="35"/>
      <c r="P1321" s="6"/>
    </row>
    <row r="1322" spans="1:16" ht="14.4" x14ac:dyDescent="0.25">
      <c r="A1322" s="6">
        <v>8238</v>
      </c>
      <c r="B1322" s="6">
        <v>58884</v>
      </c>
      <c r="C1322" s="19">
        <v>40623</v>
      </c>
      <c r="D1322" s="6" t="s">
        <v>25</v>
      </c>
      <c r="E1322" s="6">
        <f>IF((ISBLANK($B$1)),"",Sheet1!Q1329)</f>
        <v>4850</v>
      </c>
      <c r="F1322" s="20" t="s">
        <v>26</v>
      </c>
      <c r="G1322" s="53">
        <f t="shared" si="21"/>
        <v>0.23645406403473185</v>
      </c>
      <c r="H1322" s="35"/>
      <c r="P1322" s="6"/>
    </row>
    <row r="1323" spans="1:16" ht="14.4" x14ac:dyDescent="0.25">
      <c r="A1323" s="6">
        <v>8239</v>
      </c>
      <c r="B1323" s="6">
        <v>58884</v>
      </c>
      <c r="C1323" s="19">
        <v>40623</v>
      </c>
      <c r="D1323" s="6" t="s">
        <v>25</v>
      </c>
      <c r="E1323" s="6">
        <f>IF((ISBLANK($B$1)),"",Sheet1!Q1330)</f>
        <v>5700</v>
      </c>
      <c r="F1323" s="20" t="s">
        <v>29</v>
      </c>
      <c r="G1323" s="53">
        <f t="shared" si="21"/>
        <v>1.4102651958378438</v>
      </c>
      <c r="H1323" s="35"/>
      <c r="P1323" s="6"/>
    </row>
    <row r="1324" spans="1:16" ht="14.4" x14ac:dyDescent="0.25">
      <c r="A1324" s="6">
        <v>8240</v>
      </c>
      <c r="B1324" s="6">
        <v>58913</v>
      </c>
      <c r="C1324" s="19">
        <v>40309</v>
      </c>
      <c r="D1324" s="6" t="s">
        <v>16</v>
      </c>
      <c r="E1324" s="6">
        <f>IF((ISBLANK($B$1)),"",Sheet1!Q1331)</f>
        <v>4550</v>
      </c>
      <c r="F1324" s="20" t="s">
        <v>26</v>
      </c>
      <c r="G1324" s="53">
        <f t="shared" si="21"/>
        <v>-0.17783221777813119</v>
      </c>
      <c r="H1324" s="35"/>
      <c r="P1324" s="6"/>
    </row>
    <row r="1325" spans="1:16" ht="14.4" x14ac:dyDescent="0.25">
      <c r="A1325" s="6">
        <v>8248</v>
      </c>
      <c r="B1325" s="6">
        <v>58978</v>
      </c>
      <c r="C1325" s="19">
        <v>40945</v>
      </c>
      <c r="D1325" s="6" t="s">
        <v>25</v>
      </c>
      <c r="E1325" s="6">
        <f>IF((ISBLANK($B$1)),"",Sheet1!Q1332)</f>
        <v>4050</v>
      </c>
      <c r="F1325" s="20" t="s">
        <v>26</v>
      </c>
      <c r="G1325" s="53">
        <f t="shared" si="21"/>
        <v>-0.86830935413290289</v>
      </c>
      <c r="H1325" s="35"/>
      <c r="P1325" s="6"/>
    </row>
    <row r="1326" spans="1:16" ht="14.4" x14ac:dyDescent="0.25">
      <c r="A1326" s="6">
        <v>37</v>
      </c>
      <c r="B1326" s="6">
        <v>229</v>
      </c>
      <c r="C1326" s="19">
        <v>40540</v>
      </c>
      <c r="D1326" s="6" t="s">
        <v>30</v>
      </c>
      <c r="E1326" s="6">
        <f>IF((ISBLANK($B$1)),"",Sheet1!Q1333)</f>
        <v>5550</v>
      </c>
      <c r="F1326" s="20" t="s">
        <v>29</v>
      </c>
      <c r="G1326" s="53">
        <f t="shared" si="21"/>
        <v>1.2031220549314123</v>
      </c>
      <c r="H1326" s="35"/>
      <c r="P1326" s="6"/>
    </row>
    <row r="1327" spans="1:16" ht="14.4" x14ac:dyDescent="0.25">
      <c r="A1327" s="6">
        <v>108</v>
      </c>
      <c r="B1327" s="6">
        <v>706</v>
      </c>
      <c r="C1327" s="19">
        <v>40794</v>
      </c>
      <c r="D1327" s="6" t="s">
        <v>30</v>
      </c>
      <c r="E1327" s="6">
        <f>IF((ISBLANK($B$1)),"",Sheet1!Q1334)</f>
        <v>5500</v>
      </c>
      <c r="F1327" s="20" t="s">
        <v>26</v>
      </c>
      <c r="G1327" s="53">
        <f t="shared" si="21"/>
        <v>1.1340743412959351</v>
      </c>
      <c r="H1327" s="35"/>
      <c r="P1327" s="6"/>
    </row>
    <row r="1328" spans="1:16" ht="14.4" x14ac:dyDescent="0.25">
      <c r="A1328" s="6">
        <v>193</v>
      </c>
      <c r="B1328" s="6">
        <v>1285</v>
      </c>
      <c r="C1328" s="19">
        <v>41060</v>
      </c>
      <c r="D1328" s="6" t="s">
        <v>30</v>
      </c>
      <c r="E1328" s="6">
        <f>IF((ISBLANK($B$1)),"",Sheet1!Q1335)</f>
        <v>4750</v>
      </c>
      <c r="F1328" s="20" t="s">
        <v>29</v>
      </c>
      <c r="G1328" s="53">
        <f t="shared" si="21"/>
        <v>9.8358636763777513E-2</v>
      </c>
      <c r="H1328" s="35"/>
      <c r="P1328" s="6"/>
    </row>
    <row r="1329" spans="1:16" ht="14.4" x14ac:dyDescent="0.25">
      <c r="A1329" s="6">
        <v>194</v>
      </c>
      <c r="B1329" s="6">
        <v>1285</v>
      </c>
      <c r="C1329" s="19">
        <v>41060</v>
      </c>
      <c r="D1329" s="6" t="s">
        <v>30</v>
      </c>
      <c r="E1329" s="6">
        <f>IF((ISBLANK($B$1)),"",Sheet1!Q1336)</f>
        <v>3800</v>
      </c>
      <c r="F1329" s="20" t="s">
        <v>29</v>
      </c>
      <c r="G1329" s="53">
        <f t="shared" si="21"/>
        <v>-1.2135479223102887</v>
      </c>
      <c r="H1329" s="35"/>
      <c r="P1329" s="6"/>
    </row>
    <row r="1330" spans="1:16" ht="14.4" x14ac:dyDescent="0.25">
      <c r="A1330" s="6">
        <v>198</v>
      </c>
      <c r="B1330" s="6">
        <v>1313</v>
      </c>
      <c r="C1330" s="19">
        <v>40068</v>
      </c>
      <c r="D1330" s="6" t="s">
        <v>30</v>
      </c>
      <c r="E1330" s="6">
        <f>IF((ISBLANK($B$1)),"",Sheet1!Q1337)</f>
        <v>5100</v>
      </c>
      <c r="F1330" s="20" t="s">
        <v>26</v>
      </c>
      <c r="G1330" s="53">
        <f t="shared" si="21"/>
        <v>0.58169263221211776</v>
      </c>
      <c r="H1330" s="35"/>
      <c r="P1330" s="6"/>
    </row>
    <row r="1331" spans="1:16" ht="14.4" x14ac:dyDescent="0.25">
      <c r="A1331" s="6">
        <v>206</v>
      </c>
      <c r="B1331" s="6">
        <v>1346</v>
      </c>
      <c r="C1331" s="19">
        <v>41077</v>
      </c>
      <c r="D1331" s="6" t="s">
        <v>17</v>
      </c>
      <c r="E1331" s="6">
        <f>IF((ISBLANK($B$1)),"",Sheet1!Q1338)</f>
        <v>5800</v>
      </c>
      <c r="F1331" s="20" t="s">
        <v>29</v>
      </c>
      <c r="G1331" s="53">
        <f t="shared" si="21"/>
        <v>1.5483606231087981</v>
      </c>
      <c r="H1331" s="35"/>
      <c r="P1331" s="6"/>
    </row>
    <row r="1332" spans="1:16" ht="14.4" x14ac:dyDescent="0.25">
      <c r="A1332" s="6">
        <v>246</v>
      </c>
      <c r="B1332" s="6">
        <v>1699</v>
      </c>
      <c r="C1332" s="19">
        <v>40541</v>
      </c>
      <c r="D1332" s="6" t="s">
        <v>30</v>
      </c>
      <c r="E1332" s="6">
        <f>IF((ISBLANK($B$1)),"",Sheet1!Q1339)</f>
        <v>5400</v>
      </c>
      <c r="F1332" s="20" t="s">
        <v>26</v>
      </c>
      <c r="G1332" s="53">
        <f t="shared" si="21"/>
        <v>0.99597891402498073</v>
      </c>
      <c r="H1332" s="35"/>
      <c r="P1332" s="6"/>
    </row>
    <row r="1333" spans="1:16" ht="14.4" x14ac:dyDescent="0.25">
      <c r="A1333" s="6">
        <v>314</v>
      </c>
      <c r="B1333" s="6">
        <v>2208</v>
      </c>
      <c r="C1333" s="19">
        <v>40663</v>
      </c>
      <c r="D1333" s="6" t="s">
        <v>28</v>
      </c>
      <c r="E1333" s="6">
        <f>IF((ISBLANK($B$1)),"",Sheet1!Q1340)</f>
        <v>3750</v>
      </c>
      <c r="F1333" s="20" t="s">
        <v>26</v>
      </c>
      <c r="G1333" s="53">
        <f t="shared" si="21"/>
        <v>-1.282595635945766</v>
      </c>
      <c r="H1333" s="35"/>
      <c r="P1333" s="6"/>
    </row>
    <row r="1334" spans="1:16" ht="14.4" x14ac:dyDescent="0.25">
      <c r="A1334" s="6">
        <v>315</v>
      </c>
      <c r="B1334" s="6">
        <v>2208</v>
      </c>
      <c r="C1334" s="19">
        <v>40663</v>
      </c>
      <c r="D1334" s="6" t="s">
        <v>28</v>
      </c>
      <c r="E1334" s="6">
        <f>IF((ISBLANK($B$1)),"",Sheet1!Q1341)</f>
        <v>5450</v>
      </c>
      <c r="F1334" s="20" t="s">
        <v>27</v>
      </c>
      <c r="G1334" s="53">
        <f t="shared" si="21"/>
        <v>1.0650266276604579</v>
      </c>
      <c r="H1334" s="35"/>
      <c r="P1334" s="6"/>
    </row>
    <row r="1335" spans="1:16" ht="14.4" x14ac:dyDescent="0.25">
      <c r="A1335" s="6">
        <v>382</v>
      </c>
      <c r="B1335" s="6">
        <v>2656</v>
      </c>
      <c r="C1335" s="19">
        <v>40301</v>
      </c>
      <c r="D1335" s="6" t="s">
        <v>30</v>
      </c>
      <c r="E1335" s="6">
        <f>IF((ISBLANK($B$1)),"",Sheet1!Q1342)</f>
        <v>3550</v>
      </c>
      <c r="F1335" s="20" t="s">
        <v>29</v>
      </c>
      <c r="G1335" s="53">
        <f t="shared" si="21"/>
        <v>-1.5587864904876745</v>
      </c>
      <c r="H1335" s="35"/>
      <c r="P1335" s="6"/>
    </row>
    <row r="1336" spans="1:16" ht="14.4" x14ac:dyDescent="0.25">
      <c r="A1336" s="6">
        <v>383</v>
      </c>
      <c r="B1336" s="6">
        <v>2656</v>
      </c>
      <c r="C1336" s="19">
        <v>40301</v>
      </c>
      <c r="D1336" s="6" t="s">
        <v>30</v>
      </c>
      <c r="E1336" s="6">
        <f>IF((ISBLANK($B$1)),"",Sheet1!Q1343)</f>
        <v>4850</v>
      </c>
      <c r="F1336" s="20" t="s">
        <v>27</v>
      </c>
      <c r="G1336" s="53">
        <f t="shared" si="21"/>
        <v>0.23645406403473185</v>
      </c>
      <c r="H1336" s="35"/>
      <c r="P1336" s="6"/>
    </row>
    <row r="1337" spans="1:16" ht="14.4" x14ac:dyDescent="0.25">
      <c r="A1337" s="6">
        <v>483</v>
      </c>
      <c r="B1337" s="6">
        <v>3361</v>
      </c>
      <c r="C1337" s="19">
        <v>41143</v>
      </c>
      <c r="D1337" s="6" t="s">
        <v>28</v>
      </c>
      <c r="E1337" s="6">
        <f>IF((ISBLANK($B$1)),"",Sheet1!Q1344)</f>
        <v>5850</v>
      </c>
      <c r="F1337" s="20" t="s">
        <v>26</v>
      </c>
      <c r="G1337" s="53">
        <f t="shared" si="21"/>
        <v>1.6174083367442753</v>
      </c>
      <c r="H1337" s="35"/>
      <c r="P1337" s="6"/>
    </row>
    <row r="1338" spans="1:16" ht="14.4" x14ac:dyDescent="0.25">
      <c r="A1338" s="6">
        <v>484</v>
      </c>
      <c r="B1338" s="6">
        <v>3361</v>
      </c>
      <c r="C1338" s="19">
        <v>41143</v>
      </c>
      <c r="D1338" s="6" t="s">
        <v>28</v>
      </c>
      <c r="E1338" s="6">
        <f>IF((ISBLANK($B$1)),"",Sheet1!Q1345)</f>
        <v>4550</v>
      </c>
      <c r="F1338" s="20" t="s">
        <v>26</v>
      </c>
      <c r="G1338" s="53">
        <f t="shared" si="21"/>
        <v>-0.17783221777813119</v>
      </c>
      <c r="H1338" s="35"/>
      <c r="P1338" s="6"/>
    </row>
    <row r="1339" spans="1:16" ht="14.4" x14ac:dyDescent="0.25">
      <c r="A1339" s="6">
        <v>488</v>
      </c>
      <c r="B1339" s="6">
        <v>3393</v>
      </c>
      <c r="C1339" s="19">
        <v>40727</v>
      </c>
      <c r="D1339" s="6" t="s">
        <v>17</v>
      </c>
      <c r="E1339" s="6">
        <f>IF((ISBLANK($B$1)),"",Sheet1!Q1346)</f>
        <v>3750</v>
      </c>
      <c r="F1339" s="20" t="s">
        <v>27</v>
      </c>
      <c r="G1339" s="53">
        <f t="shared" si="21"/>
        <v>-1.282595635945766</v>
      </c>
      <c r="H1339" s="35"/>
      <c r="P1339" s="6"/>
    </row>
    <row r="1340" spans="1:16" ht="14.4" x14ac:dyDescent="0.25">
      <c r="A1340" s="6">
        <v>489</v>
      </c>
      <c r="B1340" s="6">
        <v>3393</v>
      </c>
      <c r="C1340" s="19">
        <v>40727</v>
      </c>
      <c r="D1340" s="6" t="s">
        <v>17</v>
      </c>
      <c r="E1340" s="6">
        <f>IF((ISBLANK($B$1)),"",Sheet1!Q1347)</f>
        <v>5050</v>
      </c>
      <c r="F1340" s="20" t="s">
        <v>29</v>
      </c>
      <c r="G1340" s="53">
        <f t="shared" si="21"/>
        <v>0.51264491857664052</v>
      </c>
      <c r="H1340" s="35"/>
      <c r="P1340" s="6"/>
    </row>
    <row r="1341" spans="1:16" ht="14.4" x14ac:dyDescent="0.25">
      <c r="A1341" s="6">
        <v>638</v>
      </c>
      <c r="B1341" s="6">
        <v>4487</v>
      </c>
      <c r="C1341" s="19">
        <v>40231</v>
      </c>
      <c r="D1341" s="6" t="s">
        <v>16</v>
      </c>
      <c r="E1341" s="6">
        <f>IF((ISBLANK($B$1)),"",Sheet1!Q1348)</f>
        <v>5900</v>
      </c>
      <c r="F1341" s="20" t="s">
        <v>26</v>
      </c>
      <c r="G1341" s="53">
        <f t="shared" si="21"/>
        <v>1.6864560503797523</v>
      </c>
      <c r="H1341" s="35"/>
      <c r="P1341" s="6"/>
    </row>
    <row r="1342" spans="1:16" ht="14.4" x14ac:dyDescent="0.25">
      <c r="A1342" s="6">
        <v>649</v>
      </c>
      <c r="B1342" s="6">
        <v>4579</v>
      </c>
      <c r="C1342" s="19">
        <v>40877</v>
      </c>
      <c r="D1342" s="6" t="s">
        <v>17</v>
      </c>
      <c r="E1342" s="6">
        <f>IF((ISBLANK($B$1)),"",Sheet1!Q1349)</f>
        <v>5400</v>
      </c>
      <c r="F1342" s="20" t="s">
        <v>26</v>
      </c>
      <c r="G1342" s="53">
        <f t="shared" si="21"/>
        <v>0.99597891402498073</v>
      </c>
      <c r="H1342" s="35"/>
      <c r="P1342" s="6"/>
    </row>
    <row r="1343" spans="1:16" ht="14.4" x14ac:dyDescent="0.25">
      <c r="A1343" s="6">
        <v>713</v>
      </c>
      <c r="B1343" s="6">
        <v>5061</v>
      </c>
      <c r="C1343" s="19">
        <v>40403</v>
      </c>
      <c r="D1343" s="6" t="s">
        <v>30</v>
      </c>
      <c r="E1343" s="6">
        <f>IF((ISBLANK($B$1)),"",Sheet1!Q1350)</f>
        <v>3600</v>
      </c>
      <c r="F1343" s="20" t="s">
        <v>26</v>
      </c>
      <c r="G1343" s="53">
        <f t="shared" si="21"/>
        <v>-1.4897387768521975</v>
      </c>
      <c r="H1343" s="35"/>
      <c r="P1343" s="6"/>
    </row>
    <row r="1344" spans="1:16" ht="14.4" x14ac:dyDescent="0.25">
      <c r="A1344" s="6">
        <v>714</v>
      </c>
      <c r="B1344" s="6">
        <v>5092</v>
      </c>
      <c r="C1344" s="19">
        <v>40845</v>
      </c>
      <c r="D1344" s="6" t="s">
        <v>25</v>
      </c>
      <c r="E1344" s="6">
        <f>IF((ISBLANK($B$1)),"",Sheet1!Q1351)</f>
        <v>3550</v>
      </c>
      <c r="F1344" s="20" t="s">
        <v>29</v>
      </c>
      <c r="G1344" s="53">
        <f t="shared" si="21"/>
        <v>-1.5587864904876745</v>
      </c>
      <c r="H1344" s="35"/>
      <c r="P1344" s="6"/>
    </row>
    <row r="1345" spans="1:16" ht="14.4" x14ac:dyDescent="0.25">
      <c r="A1345" s="6">
        <v>715</v>
      </c>
      <c r="B1345" s="6">
        <v>5092</v>
      </c>
      <c r="C1345" s="19">
        <v>40845</v>
      </c>
      <c r="D1345" s="6" t="s">
        <v>25</v>
      </c>
      <c r="E1345" s="6">
        <f>IF((ISBLANK($B$1)),"",Sheet1!Q1352)</f>
        <v>4650</v>
      </c>
      <c r="F1345" s="20" t="s">
        <v>26</v>
      </c>
      <c r="G1345" s="53">
        <f t="shared" si="21"/>
        <v>-3.9736790507176829E-2</v>
      </c>
      <c r="H1345" s="35"/>
      <c r="P1345" s="6"/>
    </row>
    <row r="1346" spans="1:16" ht="14.4" x14ac:dyDescent="0.25">
      <c r="A1346" s="6">
        <v>773</v>
      </c>
      <c r="B1346" s="6">
        <v>5511</v>
      </c>
      <c r="C1346" s="19">
        <v>40145</v>
      </c>
      <c r="D1346" s="6" t="s">
        <v>30</v>
      </c>
      <c r="E1346" s="6">
        <f>IF((ISBLANK($B$1)),"",Sheet1!Q1353)</f>
        <v>5700</v>
      </c>
      <c r="F1346" s="20" t="s">
        <v>26</v>
      </c>
      <c r="G1346" s="53">
        <f t="shared" si="21"/>
        <v>1.4102651958378438</v>
      </c>
      <c r="H1346" s="35"/>
      <c r="P1346" s="6"/>
    </row>
    <row r="1347" spans="1:16" ht="14.4" x14ac:dyDescent="0.25">
      <c r="A1347" s="6">
        <v>774</v>
      </c>
      <c r="B1347" s="6">
        <v>5511</v>
      </c>
      <c r="C1347" s="19">
        <v>40145</v>
      </c>
      <c r="D1347" s="6" t="s">
        <v>30</v>
      </c>
      <c r="E1347" s="6">
        <f>IF((ISBLANK($B$1)),"",Sheet1!Q1354)</f>
        <v>5000</v>
      </c>
      <c r="F1347" s="20" t="s">
        <v>27</v>
      </c>
      <c r="G1347" s="53">
        <f t="shared" si="21"/>
        <v>0.44359720494116334</v>
      </c>
      <c r="H1347" s="35"/>
      <c r="P1347" s="6"/>
    </row>
    <row r="1348" spans="1:16" ht="14.4" x14ac:dyDescent="0.25">
      <c r="A1348" s="6">
        <v>807</v>
      </c>
      <c r="B1348" s="6">
        <v>5799</v>
      </c>
      <c r="C1348" s="19">
        <v>40757</v>
      </c>
      <c r="D1348" s="6" t="s">
        <v>30</v>
      </c>
      <c r="E1348" s="6">
        <f>IF((ISBLANK($B$1)),"",Sheet1!Q1355)</f>
        <v>5100</v>
      </c>
      <c r="F1348" s="20" t="s">
        <v>26</v>
      </c>
      <c r="G1348" s="53">
        <f t="shared" si="21"/>
        <v>0.58169263221211776</v>
      </c>
      <c r="H1348" s="35"/>
      <c r="P1348" s="6"/>
    </row>
    <row r="1349" spans="1:16" ht="14.4" x14ac:dyDescent="0.25">
      <c r="A1349" s="6">
        <v>815</v>
      </c>
      <c r="B1349" s="6">
        <v>5890</v>
      </c>
      <c r="C1349" s="19">
        <v>41216</v>
      </c>
      <c r="D1349" s="6" t="s">
        <v>17</v>
      </c>
      <c r="E1349" s="6">
        <f>IF((ISBLANK($B$1)),"",Sheet1!Q1356)</f>
        <v>5500</v>
      </c>
      <c r="F1349" s="20" t="s">
        <v>27</v>
      </c>
      <c r="G1349" s="53">
        <f t="shared" si="21"/>
        <v>1.1340743412959351</v>
      </c>
      <c r="H1349" s="35"/>
      <c r="P1349" s="6"/>
    </row>
    <row r="1350" spans="1:16" ht="14.4" x14ac:dyDescent="0.25">
      <c r="A1350" s="6">
        <v>919</v>
      </c>
      <c r="B1350" s="6">
        <v>6596</v>
      </c>
      <c r="C1350" s="19">
        <v>40745</v>
      </c>
      <c r="D1350" s="6" t="s">
        <v>25</v>
      </c>
      <c r="E1350" s="6">
        <f>IF((ISBLANK($B$1)),"",Sheet1!Q1357)</f>
        <v>5200</v>
      </c>
      <c r="F1350" s="20" t="s">
        <v>27</v>
      </c>
      <c r="G1350" s="53">
        <f t="shared" si="21"/>
        <v>0.71978805948307201</v>
      </c>
      <c r="H1350" s="35"/>
      <c r="P1350" s="6"/>
    </row>
    <row r="1351" spans="1:16" ht="14.4" x14ac:dyDescent="0.25">
      <c r="A1351" s="6">
        <v>967</v>
      </c>
      <c r="B1351" s="6">
        <v>7015</v>
      </c>
      <c r="C1351" s="19">
        <v>40463</v>
      </c>
      <c r="D1351" s="6" t="s">
        <v>28</v>
      </c>
      <c r="E1351" s="6">
        <f>IF((ISBLANK($B$1)),"",Sheet1!Q1358)</f>
        <v>5750</v>
      </c>
      <c r="F1351" s="20" t="s">
        <v>27</v>
      </c>
      <c r="G1351" s="53">
        <f t="shared" si="21"/>
        <v>1.4793129094733208</v>
      </c>
      <c r="H1351" s="35"/>
      <c r="P1351" s="6"/>
    </row>
    <row r="1352" spans="1:16" ht="14.4" x14ac:dyDescent="0.25">
      <c r="A1352" s="6">
        <v>968</v>
      </c>
      <c r="B1352" s="6">
        <v>7015</v>
      </c>
      <c r="C1352" s="19">
        <v>40463</v>
      </c>
      <c r="D1352" s="6" t="s">
        <v>28</v>
      </c>
      <c r="E1352" s="6">
        <f>IF((ISBLANK($B$1)),"",Sheet1!Q1359)</f>
        <v>5500</v>
      </c>
      <c r="F1352" s="20" t="s">
        <v>27</v>
      </c>
      <c r="G1352" s="53">
        <f t="shared" ref="G1352:G1415" si="22">STANDARDIZE(E1352,$L$26,$L$35)</f>
        <v>1.1340743412959351</v>
      </c>
      <c r="H1352" s="35"/>
      <c r="P1352" s="6"/>
    </row>
    <row r="1353" spans="1:16" ht="14.4" x14ac:dyDescent="0.25">
      <c r="A1353" s="6">
        <v>982</v>
      </c>
      <c r="B1353" s="6">
        <v>7106</v>
      </c>
      <c r="C1353" s="19">
        <v>41039</v>
      </c>
      <c r="D1353" s="6" t="s">
        <v>25</v>
      </c>
      <c r="E1353" s="6">
        <f>IF((ISBLANK($B$1)),"",Sheet1!Q1360)</f>
        <v>3800</v>
      </c>
      <c r="F1353" s="20" t="s">
        <v>26</v>
      </c>
      <c r="G1353" s="53">
        <f t="shared" si="22"/>
        <v>-1.2135479223102887</v>
      </c>
      <c r="H1353" s="35"/>
      <c r="P1353" s="6"/>
    </row>
    <row r="1354" spans="1:16" ht="14.4" x14ac:dyDescent="0.25">
      <c r="A1354" s="6">
        <v>983</v>
      </c>
      <c r="B1354" s="6">
        <v>7106</v>
      </c>
      <c r="C1354" s="19">
        <v>41039</v>
      </c>
      <c r="D1354" s="6" t="s">
        <v>25</v>
      </c>
      <c r="E1354" s="6">
        <f>IF((ISBLANK($B$1)),"",Sheet1!Q1361)</f>
        <v>4950</v>
      </c>
      <c r="F1354" s="20" t="s">
        <v>27</v>
      </c>
      <c r="G1354" s="53">
        <f t="shared" si="22"/>
        <v>0.37454949130568621</v>
      </c>
      <c r="H1354" s="35"/>
      <c r="P1354" s="6"/>
    </row>
    <row r="1355" spans="1:16" ht="14.4" x14ac:dyDescent="0.25">
      <c r="A1355" s="6">
        <v>984</v>
      </c>
      <c r="B1355" s="6">
        <v>7106</v>
      </c>
      <c r="C1355" s="19">
        <v>41039</v>
      </c>
      <c r="D1355" s="6" t="s">
        <v>25</v>
      </c>
      <c r="E1355" s="6">
        <f>IF((ISBLANK($B$1)),"",Sheet1!Q1362)</f>
        <v>5200</v>
      </c>
      <c r="F1355" s="20" t="s">
        <v>26</v>
      </c>
      <c r="G1355" s="53">
        <f t="shared" si="22"/>
        <v>0.71978805948307201</v>
      </c>
      <c r="H1355" s="35"/>
      <c r="P1355" s="6"/>
    </row>
    <row r="1356" spans="1:16" ht="14.4" x14ac:dyDescent="0.25">
      <c r="A1356" s="6">
        <v>1090</v>
      </c>
      <c r="B1356" s="6">
        <v>8007</v>
      </c>
      <c r="C1356" s="19">
        <v>40950</v>
      </c>
      <c r="D1356" s="6" t="s">
        <v>25</v>
      </c>
      <c r="E1356" s="6">
        <f>IF((ISBLANK($B$1)),"",Sheet1!Q1363)</f>
        <v>3650</v>
      </c>
      <c r="F1356" s="20" t="s">
        <v>27</v>
      </c>
      <c r="G1356" s="53">
        <f t="shared" si="22"/>
        <v>-1.4206910632167202</v>
      </c>
      <c r="H1356" s="35"/>
      <c r="P1356" s="6"/>
    </row>
    <row r="1357" spans="1:16" ht="14.4" x14ac:dyDescent="0.25">
      <c r="A1357" s="6">
        <v>1127</v>
      </c>
      <c r="B1357" s="6">
        <v>8257</v>
      </c>
      <c r="C1357" s="19">
        <v>39894</v>
      </c>
      <c r="D1357" s="6" t="s">
        <v>25</v>
      </c>
      <c r="E1357" s="6">
        <f>IF((ISBLANK($B$1)),"",Sheet1!Q1364)</f>
        <v>3650</v>
      </c>
      <c r="F1357" s="20" t="s">
        <v>27</v>
      </c>
      <c r="G1357" s="53">
        <f t="shared" si="22"/>
        <v>-1.4206910632167202</v>
      </c>
      <c r="H1357" s="35"/>
      <c r="P1357" s="6"/>
    </row>
    <row r="1358" spans="1:16" ht="14.4" x14ac:dyDescent="0.25">
      <c r="A1358" s="6">
        <v>1128</v>
      </c>
      <c r="B1358" s="6">
        <v>8257</v>
      </c>
      <c r="C1358" s="19">
        <v>39894</v>
      </c>
      <c r="D1358" s="6" t="s">
        <v>25</v>
      </c>
      <c r="E1358" s="6">
        <f>IF((ISBLANK($B$1)),"",Sheet1!Q1365)</f>
        <v>4300</v>
      </c>
      <c r="F1358" s="20" t="s">
        <v>26</v>
      </c>
      <c r="G1358" s="53">
        <f t="shared" si="22"/>
        <v>-0.52307078595551704</v>
      </c>
      <c r="H1358" s="35"/>
      <c r="P1358" s="6"/>
    </row>
    <row r="1359" spans="1:16" ht="14.4" x14ac:dyDescent="0.25">
      <c r="A1359" s="6">
        <v>1129</v>
      </c>
      <c r="B1359" s="6">
        <v>8257</v>
      </c>
      <c r="C1359" s="19">
        <v>39894</v>
      </c>
      <c r="D1359" s="6" t="s">
        <v>25</v>
      </c>
      <c r="E1359" s="6">
        <f>IF((ISBLANK($B$1)),"",Sheet1!Q1366)</f>
        <v>3650</v>
      </c>
      <c r="F1359" s="20" t="s">
        <v>26</v>
      </c>
      <c r="G1359" s="53">
        <f t="shared" si="22"/>
        <v>-1.4206910632167202</v>
      </c>
      <c r="H1359" s="35"/>
      <c r="P1359" s="6"/>
    </row>
    <row r="1360" spans="1:16" ht="14.4" x14ac:dyDescent="0.25">
      <c r="A1360" s="6">
        <v>1196</v>
      </c>
      <c r="B1360" s="6">
        <v>8773</v>
      </c>
      <c r="C1360" s="19">
        <v>40838</v>
      </c>
      <c r="D1360" s="6" t="s">
        <v>30</v>
      </c>
      <c r="E1360" s="6">
        <f>IF((ISBLANK($B$1)),"",Sheet1!Q1367)</f>
        <v>3650</v>
      </c>
      <c r="F1360" s="20" t="s">
        <v>27</v>
      </c>
      <c r="G1360" s="53">
        <f t="shared" si="22"/>
        <v>-1.4206910632167202</v>
      </c>
      <c r="H1360" s="35"/>
      <c r="P1360" s="6"/>
    </row>
    <row r="1361" spans="1:16" ht="14.4" x14ac:dyDescent="0.25">
      <c r="A1361" s="6">
        <v>1243</v>
      </c>
      <c r="B1361" s="6">
        <v>9057</v>
      </c>
      <c r="C1361" s="19">
        <v>40121</v>
      </c>
      <c r="D1361" s="6" t="s">
        <v>30</v>
      </c>
      <c r="E1361" s="6">
        <f>IF((ISBLANK($B$1)),"",Sheet1!Q1368)</f>
        <v>4400</v>
      </c>
      <c r="F1361" s="20" t="s">
        <v>29</v>
      </c>
      <c r="G1361" s="53">
        <f t="shared" si="22"/>
        <v>-0.38497535868456267</v>
      </c>
      <c r="H1361" s="35"/>
      <c r="P1361" s="6"/>
    </row>
    <row r="1362" spans="1:16" ht="14.4" x14ac:dyDescent="0.25">
      <c r="A1362" s="6">
        <v>1279</v>
      </c>
      <c r="B1362" s="6">
        <v>9285</v>
      </c>
      <c r="C1362" s="19">
        <v>39815</v>
      </c>
      <c r="D1362" s="6" t="s">
        <v>30</v>
      </c>
      <c r="E1362" s="6">
        <f>IF((ISBLANK($B$1)),"",Sheet1!Q1369)</f>
        <v>3550</v>
      </c>
      <c r="F1362" s="20" t="s">
        <v>26</v>
      </c>
      <c r="G1362" s="53">
        <f t="shared" si="22"/>
        <v>-1.5587864904876745</v>
      </c>
      <c r="H1362" s="35"/>
      <c r="P1362" s="6"/>
    </row>
    <row r="1363" spans="1:16" ht="14.4" x14ac:dyDescent="0.25">
      <c r="A1363" s="6">
        <v>1353</v>
      </c>
      <c r="B1363" s="6">
        <v>9861</v>
      </c>
      <c r="C1363" s="19">
        <v>41210</v>
      </c>
      <c r="D1363" s="6" t="s">
        <v>25</v>
      </c>
      <c r="E1363" s="6">
        <f>IF((ISBLANK($B$1)),"",Sheet1!Q1370)</f>
        <v>5750</v>
      </c>
      <c r="F1363" s="20" t="s">
        <v>26</v>
      </c>
      <c r="G1363" s="53">
        <f t="shared" si="22"/>
        <v>1.4793129094733208</v>
      </c>
      <c r="H1363" s="35"/>
      <c r="P1363" s="6"/>
    </row>
    <row r="1364" spans="1:16" ht="14.4" x14ac:dyDescent="0.25">
      <c r="A1364" s="6">
        <v>1363</v>
      </c>
      <c r="B1364" s="6">
        <v>9922</v>
      </c>
      <c r="C1364" s="19">
        <v>40636</v>
      </c>
      <c r="D1364" s="6" t="s">
        <v>28</v>
      </c>
      <c r="E1364" s="6">
        <f>IF((ISBLANK($B$1)),"",Sheet1!Q1371)</f>
        <v>4600</v>
      </c>
      <c r="F1364" s="20" t="s">
        <v>29</v>
      </c>
      <c r="G1364" s="53">
        <f t="shared" si="22"/>
        <v>-0.108784504142654</v>
      </c>
      <c r="H1364" s="35"/>
      <c r="P1364" s="6"/>
    </row>
    <row r="1365" spans="1:16" ht="14.4" x14ac:dyDescent="0.25">
      <c r="A1365" s="6">
        <v>1364</v>
      </c>
      <c r="B1365" s="6">
        <v>9923</v>
      </c>
      <c r="C1365" s="19">
        <v>40091</v>
      </c>
      <c r="D1365" s="6" t="s">
        <v>17</v>
      </c>
      <c r="E1365" s="6">
        <f>IF((ISBLANK($B$1)),"",Sheet1!Q1372)</f>
        <v>4750</v>
      </c>
      <c r="F1365" s="20" t="s">
        <v>29</v>
      </c>
      <c r="G1365" s="53">
        <f t="shared" si="22"/>
        <v>9.8358636763777513E-2</v>
      </c>
      <c r="H1365" s="35"/>
      <c r="P1365" s="6"/>
    </row>
    <row r="1366" spans="1:16" ht="14.4" x14ac:dyDescent="0.25">
      <c r="A1366" s="6">
        <v>1365</v>
      </c>
      <c r="B1366" s="6">
        <v>9923</v>
      </c>
      <c r="C1366" s="19">
        <v>40091</v>
      </c>
      <c r="D1366" s="6" t="s">
        <v>17</v>
      </c>
      <c r="E1366" s="6">
        <f>IF((ISBLANK($B$1)),"",Sheet1!Q1373)</f>
        <v>4100</v>
      </c>
      <c r="F1366" s="20" t="s">
        <v>26</v>
      </c>
      <c r="G1366" s="53">
        <f t="shared" si="22"/>
        <v>-0.79926164049742576</v>
      </c>
      <c r="H1366" s="35"/>
      <c r="P1366" s="6"/>
    </row>
    <row r="1367" spans="1:16" ht="14.4" x14ac:dyDescent="0.25">
      <c r="A1367" s="6">
        <v>1366</v>
      </c>
      <c r="B1367" s="6">
        <v>9925</v>
      </c>
      <c r="C1367" s="19">
        <v>40938</v>
      </c>
      <c r="D1367" s="6" t="s">
        <v>30</v>
      </c>
      <c r="E1367" s="6">
        <f>IF((ISBLANK($B$1)),"",Sheet1!Q1374)</f>
        <v>5550</v>
      </c>
      <c r="F1367" s="20" t="s">
        <v>26</v>
      </c>
      <c r="G1367" s="53">
        <f t="shared" si="22"/>
        <v>1.2031220549314123</v>
      </c>
      <c r="H1367" s="35"/>
      <c r="P1367" s="6"/>
    </row>
    <row r="1368" spans="1:16" ht="14.4" x14ac:dyDescent="0.25">
      <c r="A1368" s="6">
        <v>1367</v>
      </c>
      <c r="B1368" s="6">
        <v>9925</v>
      </c>
      <c r="C1368" s="19">
        <v>40938</v>
      </c>
      <c r="D1368" s="6" t="s">
        <v>30</v>
      </c>
      <c r="E1368" s="6">
        <f>IF((ISBLANK($B$1)),"",Sheet1!Q1375)</f>
        <v>4250</v>
      </c>
      <c r="F1368" s="20" t="s">
        <v>26</v>
      </c>
      <c r="G1368" s="53">
        <f t="shared" si="22"/>
        <v>-0.59211849959099416</v>
      </c>
      <c r="H1368" s="35"/>
      <c r="P1368" s="6"/>
    </row>
    <row r="1369" spans="1:16" ht="14.4" x14ac:dyDescent="0.25">
      <c r="A1369" s="6">
        <v>1368</v>
      </c>
      <c r="B1369" s="6">
        <v>9925</v>
      </c>
      <c r="C1369" s="19">
        <v>40938</v>
      </c>
      <c r="D1369" s="6" t="s">
        <v>30</v>
      </c>
      <c r="E1369" s="6">
        <f>IF((ISBLANK($B$1)),"",Sheet1!Q1376)</f>
        <v>4950</v>
      </c>
      <c r="F1369" s="20" t="s">
        <v>26</v>
      </c>
      <c r="G1369" s="53">
        <f t="shared" si="22"/>
        <v>0.37454949130568621</v>
      </c>
      <c r="H1369" s="35"/>
      <c r="P1369" s="6"/>
    </row>
    <row r="1370" spans="1:16" ht="14.4" x14ac:dyDescent="0.25">
      <c r="A1370" s="6">
        <v>1468</v>
      </c>
      <c r="B1370" s="6">
        <v>10593</v>
      </c>
      <c r="C1370" s="19">
        <v>40951</v>
      </c>
      <c r="D1370" s="6" t="s">
        <v>17</v>
      </c>
      <c r="E1370" s="6">
        <f>IF((ISBLANK($B$1)),"",Sheet1!Q1377)</f>
        <v>4750</v>
      </c>
      <c r="F1370" s="20" t="s">
        <v>27</v>
      </c>
      <c r="G1370" s="53">
        <f t="shared" si="22"/>
        <v>9.8358636763777513E-2</v>
      </c>
      <c r="H1370" s="35"/>
      <c r="P1370" s="6"/>
    </row>
    <row r="1371" spans="1:16" ht="14.4" x14ac:dyDescent="0.25">
      <c r="A1371" s="6">
        <v>1469</v>
      </c>
      <c r="B1371" s="6">
        <v>10593</v>
      </c>
      <c r="C1371" s="19">
        <v>40951</v>
      </c>
      <c r="D1371" s="6" t="s">
        <v>17</v>
      </c>
      <c r="E1371" s="6">
        <f>IF((ISBLANK($B$1)),"",Sheet1!Q1378)</f>
        <v>4700</v>
      </c>
      <c r="F1371" s="20" t="s">
        <v>29</v>
      </c>
      <c r="G1371" s="53">
        <f t="shared" si="22"/>
        <v>2.9310923128300338E-2</v>
      </c>
      <c r="H1371" s="35"/>
      <c r="P1371" s="6"/>
    </row>
    <row r="1372" spans="1:16" ht="14.4" x14ac:dyDescent="0.25">
      <c r="A1372" s="6">
        <v>1660</v>
      </c>
      <c r="B1372" s="6">
        <v>11969</v>
      </c>
      <c r="C1372" s="19">
        <v>40927</v>
      </c>
      <c r="D1372" s="6" t="s">
        <v>28</v>
      </c>
      <c r="E1372" s="6">
        <f>IF((ISBLANK($B$1)),"",Sheet1!Q1379)</f>
        <v>4200</v>
      </c>
      <c r="F1372" s="20" t="s">
        <v>26</v>
      </c>
      <c r="G1372" s="53">
        <f t="shared" si="22"/>
        <v>-0.6611662132264714</v>
      </c>
      <c r="H1372" s="35"/>
      <c r="P1372" s="6"/>
    </row>
    <row r="1373" spans="1:16" ht="14.4" x14ac:dyDescent="0.25">
      <c r="A1373" s="6">
        <v>1661</v>
      </c>
      <c r="B1373" s="6">
        <v>11969</v>
      </c>
      <c r="C1373" s="19">
        <v>40927</v>
      </c>
      <c r="D1373" s="6" t="s">
        <v>28</v>
      </c>
      <c r="E1373" s="6">
        <f>IF((ISBLANK($B$1)),"",Sheet1!Q1380)</f>
        <v>3850</v>
      </c>
      <c r="F1373" s="20" t="s">
        <v>29</v>
      </c>
      <c r="G1373" s="53">
        <f t="shared" si="22"/>
        <v>-1.1445002086748115</v>
      </c>
      <c r="H1373" s="35"/>
      <c r="P1373" s="6"/>
    </row>
    <row r="1374" spans="1:16" ht="14.4" x14ac:dyDescent="0.25">
      <c r="A1374" s="6">
        <v>1662</v>
      </c>
      <c r="B1374" s="6">
        <v>11969</v>
      </c>
      <c r="C1374" s="19">
        <v>40927</v>
      </c>
      <c r="D1374" s="6" t="s">
        <v>28</v>
      </c>
      <c r="E1374" s="6">
        <f>IF((ISBLANK($B$1)),"",Sheet1!Q1381)</f>
        <v>5500</v>
      </c>
      <c r="F1374" s="20" t="s">
        <v>29</v>
      </c>
      <c r="G1374" s="53">
        <f t="shared" si="22"/>
        <v>1.1340743412959351</v>
      </c>
      <c r="H1374" s="35"/>
      <c r="P1374" s="6"/>
    </row>
    <row r="1375" spans="1:16" ht="14.4" x14ac:dyDescent="0.25">
      <c r="A1375" s="6">
        <v>1694</v>
      </c>
      <c r="B1375" s="6">
        <v>12228</v>
      </c>
      <c r="C1375" s="19">
        <v>39989</v>
      </c>
      <c r="D1375" s="6" t="s">
        <v>28</v>
      </c>
      <c r="E1375" s="6">
        <f>IF((ISBLANK($B$1)),"",Sheet1!Q1382)</f>
        <v>3450</v>
      </c>
      <c r="F1375" s="20" t="s">
        <v>29</v>
      </c>
      <c r="G1375" s="53">
        <f t="shared" si="22"/>
        <v>-1.696881917758629</v>
      </c>
      <c r="H1375" s="35"/>
      <c r="P1375" s="6"/>
    </row>
    <row r="1376" spans="1:16" ht="14.4" x14ac:dyDescent="0.25">
      <c r="A1376" s="6">
        <v>1695</v>
      </c>
      <c r="B1376" s="6">
        <v>12228</v>
      </c>
      <c r="C1376" s="19">
        <v>39989</v>
      </c>
      <c r="D1376" s="6" t="s">
        <v>28</v>
      </c>
      <c r="E1376" s="6">
        <f>IF((ISBLANK($B$1)),"",Sheet1!Q1383)</f>
        <v>4900</v>
      </c>
      <c r="F1376" s="20" t="s">
        <v>27</v>
      </c>
      <c r="G1376" s="53">
        <f t="shared" si="22"/>
        <v>0.30550177767020903</v>
      </c>
      <c r="H1376" s="35"/>
      <c r="P1376" s="6"/>
    </row>
    <row r="1377" spans="1:16" ht="14.4" x14ac:dyDescent="0.25">
      <c r="A1377" s="6">
        <v>1721</v>
      </c>
      <c r="B1377" s="6">
        <v>12355</v>
      </c>
      <c r="C1377" s="19">
        <v>40691</v>
      </c>
      <c r="D1377" s="6" t="s">
        <v>28</v>
      </c>
      <c r="E1377" s="6">
        <f>IF((ISBLANK($B$1)),"",Sheet1!Q1384)</f>
        <v>5650</v>
      </c>
      <c r="F1377" s="20" t="s">
        <v>26</v>
      </c>
      <c r="G1377" s="53">
        <f t="shared" si="22"/>
        <v>1.3412174822023666</v>
      </c>
      <c r="H1377" s="35"/>
      <c r="P1377" s="6"/>
    </row>
    <row r="1378" spans="1:16" ht="14.4" x14ac:dyDescent="0.25">
      <c r="A1378" s="6">
        <v>1723</v>
      </c>
      <c r="B1378" s="6">
        <v>12389</v>
      </c>
      <c r="C1378" s="19">
        <v>40029</v>
      </c>
      <c r="D1378" s="6" t="s">
        <v>16</v>
      </c>
      <c r="E1378" s="6">
        <f>IF((ISBLANK($B$1)),"",Sheet1!Q1385)</f>
        <v>5100</v>
      </c>
      <c r="F1378" s="20" t="s">
        <v>27</v>
      </c>
      <c r="G1378" s="53">
        <f t="shared" si="22"/>
        <v>0.58169263221211776</v>
      </c>
      <c r="H1378" s="35"/>
      <c r="P1378" s="6"/>
    </row>
    <row r="1379" spans="1:16" ht="14.4" x14ac:dyDescent="0.25">
      <c r="A1379" s="6">
        <v>1724</v>
      </c>
      <c r="B1379" s="6">
        <v>12389</v>
      </c>
      <c r="C1379" s="19">
        <v>40029</v>
      </c>
      <c r="D1379" s="6" t="s">
        <v>16</v>
      </c>
      <c r="E1379" s="6">
        <f>IF((ISBLANK($B$1)),"",Sheet1!Q1386)</f>
        <v>4200</v>
      </c>
      <c r="F1379" s="20" t="s">
        <v>26</v>
      </c>
      <c r="G1379" s="53">
        <f t="shared" si="22"/>
        <v>-0.6611662132264714</v>
      </c>
      <c r="H1379" s="35"/>
      <c r="P1379" s="6"/>
    </row>
    <row r="1380" spans="1:16" ht="14.4" x14ac:dyDescent="0.25">
      <c r="A1380" s="6">
        <v>1775</v>
      </c>
      <c r="B1380" s="6">
        <v>12710</v>
      </c>
      <c r="C1380" s="19">
        <v>40407</v>
      </c>
      <c r="D1380" s="6" t="s">
        <v>30</v>
      </c>
      <c r="E1380" s="6">
        <f>IF((ISBLANK($B$1)),"",Sheet1!Q1387)</f>
        <v>5250</v>
      </c>
      <c r="F1380" s="20" t="s">
        <v>26</v>
      </c>
      <c r="G1380" s="53">
        <f t="shared" si="22"/>
        <v>0.78883577311854924</v>
      </c>
      <c r="H1380" s="35"/>
      <c r="P1380" s="6"/>
    </row>
    <row r="1381" spans="1:16" ht="14.4" x14ac:dyDescent="0.25">
      <c r="A1381" s="6">
        <v>1909</v>
      </c>
      <c r="B1381" s="6">
        <v>13636</v>
      </c>
      <c r="C1381" s="19">
        <v>39835</v>
      </c>
      <c r="D1381" s="6" t="s">
        <v>25</v>
      </c>
      <c r="E1381" s="6">
        <f>IF((ISBLANK($B$1)),"",Sheet1!Q1388)</f>
        <v>5000</v>
      </c>
      <c r="F1381" s="20" t="s">
        <v>29</v>
      </c>
      <c r="G1381" s="53">
        <f t="shared" si="22"/>
        <v>0.44359720494116334</v>
      </c>
      <c r="H1381" s="35"/>
      <c r="P1381" s="6"/>
    </row>
    <row r="1382" spans="1:16" ht="14.4" x14ac:dyDescent="0.25">
      <c r="A1382" s="6">
        <v>1961</v>
      </c>
      <c r="B1382" s="6">
        <v>14021</v>
      </c>
      <c r="C1382" s="19">
        <v>40609</v>
      </c>
      <c r="D1382" s="6" t="s">
        <v>17</v>
      </c>
      <c r="E1382" s="6">
        <f>IF((ISBLANK($B$1)),"",Sheet1!Q1389)</f>
        <v>4000</v>
      </c>
      <c r="F1382" s="20" t="s">
        <v>26</v>
      </c>
      <c r="G1382" s="53">
        <f t="shared" si="22"/>
        <v>-0.93735706776838001</v>
      </c>
      <c r="H1382" s="35"/>
      <c r="P1382" s="6"/>
    </row>
    <row r="1383" spans="1:16" ht="14.4" x14ac:dyDescent="0.25">
      <c r="A1383" s="6">
        <v>2009</v>
      </c>
      <c r="B1383" s="6">
        <v>14338</v>
      </c>
      <c r="C1383" s="19">
        <v>40209</v>
      </c>
      <c r="D1383" s="6" t="s">
        <v>25</v>
      </c>
      <c r="E1383" s="6">
        <f>IF((ISBLANK($B$1)),"",Sheet1!Q1390)</f>
        <v>5100</v>
      </c>
      <c r="F1383" s="20" t="s">
        <v>27</v>
      </c>
      <c r="G1383" s="53">
        <f t="shared" si="22"/>
        <v>0.58169263221211776</v>
      </c>
      <c r="H1383" s="35"/>
      <c r="P1383" s="6"/>
    </row>
    <row r="1384" spans="1:16" ht="14.4" x14ac:dyDescent="0.25">
      <c r="A1384" s="6">
        <v>2021</v>
      </c>
      <c r="B1384" s="6">
        <v>14406</v>
      </c>
      <c r="C1384" s="19">
        <v>40245</v>
      </c>
      <c r="D1384" s="6" t="s">
        <v>16</v>
      </c>
      <c r="E1384" s="6">
        <f>IF((ISBLANK($B$1)),"",Sheet1!Q1391)</f>
        <v>5250</v>
      </c>
      <c r="F1384" s="20" t="s">
        <v>27</v>
      </c>
      <c r="G1384" s="53">
        <f t="shared" si="22"/>
        <v>0.78883577311854924</v>
      </c>
      <c r="H1384" s="35"/>
      <c r="P1384" s="6"/>
    </row>
    <row r="1385" spans="1:16" ht="14.4" x14ac:dyDescent="0.25">
      <c r="A1385" s="6">
        <v>2022</v>
      </c>
      <c r="B1385" s="6">
        <v>14406</v>
      </c>
      <c r="C1385" s="19">
        <v>40245</v>
      </c>
      <c r="D1385" s="6" t="s">
        <v>16</v>
      </c>
      <c r="E1385" s="6">
        <f>IF((ISBLANK($B$1)),"",Sheet1!Q1392)</f>
        <v>4400</v>
      </c>
      <c r="F1385" s="20" t="s">
        <v>26</v>
      </c>
      <c r="G1385" s="53">
        <f t="shared" si="22"/>
        <v>-0.38497535868456267</v>
      </c>
      <c r="H1385" s="35"/>
      <c r="P1385" s="6"/>
    </row>
    <row r="1386" spans="1:16" ht="14.4" x14ac:dyDescent="0.25">
      <c r="A1386" s="6">
        <v>2023</v>
      </c>
      <c r="B1386" s="6">
        <v>14406</v>
      </c>
      <c r="C1386" s="19">
        <v>40245</v>
      </c>
      <c r="D1386" s="6" t="s">
        <v>16</v>
      </c>
      <c r="E1386" s="6">
        <f>IF((ISBLANK($B$1)),"",Sheet1!Q1393)</f>
        <v>5150</v>
      </c>
      <c r="F1386" s="20" t="s">
        <v>27</v>
      </c>
      <c r="G1386" s="53">
        <f t="shared" si="22"/>
        <v>0.65074034584759488</v>
      </c>
      <c r="H1386" s="35"/>
      <c r="P1386" s="6"/>
    </row>
    <row r="1387" spans="1:16" ht="14.4" x14ac:dyDescent="0.25">
      <c r="A1387" s="6">
        <v>2202</v>
      </c>
      <c r="B1387" s="6">
        <v>15878</v>
      </c>
      <c r="C1387" s="19">
        <v>40486</v>
      </c>
      <c r="D1387" s="6" t="s">
        <v>17</v>
      </c>
      <c r="E1387" s="6">
        <f>IF((ISBLANK($B$1)),"",Sheet1!Q1394)</f>
        <v>5200</v>
      </c>
      <c r="F1387" s="20" t="s">
        <v>26</v>
      </c>
      <c r="G1387" s="53">
        <f t="shared" si="22"/>
        <v>0.71978805948307201</v>
      </c>
      <c r="H1387" s="35"/>
      <c r="P1387" s="6"/>
    </row>
    <row r="1388" spans="1:16" ht="14.4" x14ac:dyDescent="0.25">
      <c r="A1388" s="6">
        <v>2234</v>
      </c>
      <c r="B1388" s="6">
        <v>16133</v>
      </c>
      <c r="C1388" s="19">
        <v>40081</v>
      </c>
      <c r="D1388" s="6" t="s">
        <v>30</v>
      </c>
      <c r="E1388" s="6">
        <f>IF((ISBLANK($B$1)),"",Sheet1!Q1395)</f>
        <v>3450</v>
      </c>
      <c r="F1388" s="20" t="s">
        <v>29</v>
      </c>
      <c r="G1388" s="53">
        <f t="shared" si="22"/>
        <v>-1.696881917758629</v>
      </c>
      <c r="H1388" s="35"/>
      <c r="P1388" s="6"/>
    </row>
    <row r="1389" spans="1:16" ht="14.4" x14ac:dyDescent="0.25">
      <c r="A1389" s="6">
        <v>2304</v>
      </c>
      <c r="B1389" s="6">
        <v>16612</v>
      </c>
      <c r="C1389" s="19">
        <v>39857</v>
      </c>
      <c r="D1389" s="6" t="s">
        <v>17</v>
      </c>
      <c r="E1389" s="6">
        <f>IF((ISBLANK($B$1)),"",Sheet1!Q1396)</f>
        <v>5650</v>
      </c>
      <c r="F1389" s="20" t="s">
        <v>27</v>
      </c>
      <c r="G1389" s="53">
        <f t="shared" si="22"/>
        <v>1.3412174822023666</v>
      </c>
      <c r="H1389" s="35"/>
      <c r="P1389" s="6"/>
    </row>
    <row r="1390" spans="1:16" ht="14.4" x14ac:dyDescent="0.25">
      <c r="A1390" s="6">
        <v>2305</v>
      </c>
      <c r="B1390" s="6">
        <v>16612</v>
      </c>
      <c r="C1390" s="19">
        <v>39857</v>
      </c>
      <c r="D1390" s="6" t="s">
        <v>17</v>
      </c>
      <c r="E1390" s="6">
        <f>IF((ISBLANK($B$1)),"",Sheet1!Q1397)</f>
        <v>3700</v>
      </c>
      <c r="F1390" s="20" t="s">
        <v>26</v>
      </c>
      <c r="G1390" s="53">
        <f t="shared" si="22"/>
        <v>-1.351643349581243</v>
      </c>
      <c r="H1390" s="35"/>
      <c r="P1390" s="6"/>
    </row>
    <row r="1391" spans="1:16" ht="14.4" x14ac:dyDescent="0.25">
      <c r="A1391" s="6">
        <v>2352</v>
      </c>
      <c r="B1391" s="6">
        <v>16967</v>
      </c>
      <c r="C1391" s="19">
        <v>40774</v>
      </c>
      <c r="D1391" s="6" t="s">
        <v>25</v>
      </c>
      <c r="E1391" s="6">
        <f>IF((ISBLANK($B$1)),"",Sheet1!Q1398)</f>
        <v>3650</v>
      </c>
      <c r="F1391" s="20" t="s">
        <v>27</v>
      </c>
      <c r="G1391" s="53">
        <f t="shared" si="22"/>
        <v>-1.4206910632167202</v>
      </c>
      <c r="H1391" s="35"/>
      <c r="P1391" s="6"/>
    </row>
    <row r="1392" spans="1:16" ht="14.4" x14ac:dyDescent="0.25">
      <c r="A1392" s="6">
        <v>2353</v>
      </c>
      <c r="B1392" s="6">
        <v>16967</v>
      </c>
      <c r="C1392" s="19">
        <v>40774</v>
      </c>
      <c r="D1392" s="6" t="s">
        <v>25</v>
      </c>
      <c r="E1392" s="6">
        <f>IF((ISBLANK($B$1)),"",Sheet1!Q1399)</f>
        <v>5100</v>
      </c>
      <c r="F1392" s="20" t="s">
        <v>26</v>
      </c>
      <c r="G1392" s="53">
        <f t="shared" si="22"/>
        <v>0.58169263221211776</v>
      </c>
      <c r="H1392" s="35"/>
      <c r="P1392" s="6"/>
    </row>
    <row r="1393" spans="1:16" ht="14.4" x14ac:dyDescent="0.25">
      <c r="A1393" s="6">
        <v>2540</v>
      </c>
      <c r="B1393" s="6">
        <v>18432</v>
      </c>
      <c r="C1393" s="19">
        <v>40614</v>
      </c>
      <c r="D1393" s="6" t="s">
        <v>17</v>
      </c>
      <c r="E1393" s="6">
        <f>IF((ISBLANK($B$1)),"",Sheet1!Q1400)</f>
        <v>5500</v>
      </c>
      <c r="F1393" s="20" t="s">
        <v>29</v>
      </c>
      <c r="G1393" s="53">
        <f t="shared" si="22"/>
        <v>1.1340743412959351</v>
      </c>
      <c r="H1393" s="35"/>
      <c r="P1393" s="6"/>
    </row>
    <row r="1394" spans="1:16" ht="14.4" x14ac:dyDescent="0.25">
      <c r="A1394" s="6">
        <v>2541</v>
      </c>
      <c r="B1394" s="6">
        <v>18432</v>
      </c>
      <c r="C1394" s="19">
        <v>40614</v>
      </c>
      <c r="D1394" s="6" t="s">
        <v>17</v>
      </c>
      <c r="E1394" s="6">
        <f>IF((ISBLANK($B$1)),"",Sheet1!Q1401)</f>
        <v>4150</v>
      </c>
      <c r="F1394" s="20" t="s">
        <v>26</v>
      </c>
      <c r="G1394" s="53">
        <f t="shared" si="22"/>
        <v>-0.73021392686194853</v>
      </c>
      <c r="H1394" s="35"/>
      <c r="P1394" s="6"/>
    </row>
    <row r="1395" spans="1:16" ht="14.4" x14ac:dyDescent="0.25">
      <c r="A1395" s="6">
        <v>2542</v>
      </c>
      <c r="B1395" s="6">
        <v>18432</v>
      </c>
      <c r="C1395" s="19">
        <v>40614</v>
      </c>
      <c r="D1395" s="6" t="s">
        <v>17</v>
      </c>
      <c r="E1395" s="6">
        <f>IF((ISBLANK($B$1)),"",Sheet1!Q1402)</f>
        <v>3650</v>
      </c>
      <c r="F1395" s="20" t="s">
        <v>26</v>
      </c>
      <c r="G1395" s="53">
        <f t="shared" si="22"/>
        <v>-1.4206910632167202</v>
      </c>
      <c r="H1395" s="35"/>
      <c r="P1395" s="6"/>
    </row>
    <row r="1396" spans="1:16" ht="14.4" x14ac:dyDescent="0.25">
      <c r="A1396" s="6">
        <v>2543</v>
      </c>
      <c r="B1396" s="6">
        <v>18432</v>
      </c>
      <c r="C1396" s="19">
        <v>40614</v>
      </c>
      <c r="D1396" s="6" t="s">
        <v>17</v>
      </c>
      <c r="E1396" s="6">
        <f>IF((ISBLANK($B$1)),"",Sheet1!Q1403)</f>
        <v>4000</v>
      </c>
      <c r="F1396" s="20" t="s">
        <v>26</v>
      </c>
      <c r="G1396" s="53">
        <f t="shared" si="22"/>
        <v>-0.93735706776838001</v>
      </c>
      <c r="H1396" s="35"/>
      <c r="P1396" s="6"/>
    </row>
    <row r="1397" spans="1:16" ht="14.4" x14ac:dyDescent="0.25">
      <c r="A1397" s="6">
        <v>2544</v>
      </c>
      <c r="B1397" s="6">
        <v>18464</v>
      </c>
      <c r="C1397" s="19">
        <v>40996</v>
      </c>
      <c r="D1397" s="6" t="s">
        <v>17</v>
      </c>
      <c r="E1397" s="6">
        <f>IF((ISBLANK($B$1)),"",Sheet1!Q1404)</f>
        <v>4750</v>
      </c>
      <c r="F1397" s="20" t="s">
        <v>26</v>
      </c>
      <c r="G1397" s="53">
        <f t="shared" si="22"/>
        <v>9.8358636763777513E-2</v>
      </c>
      <c r="H1397" s="35"/>
      <c r="P1397" s="6"/>
    </row>
    <row r="1398" spans="1:16" ht="14.4" x14ac:dyDescent="0.25">
      <c r="A1398" s="6">
        <v>2545</v>
      </c>
      <c r="B1398" s="6">
        <v>18464</v>
      </c>
      <c r="C1398" s="19">
        <v>40996</v>
      </c>
      <c r="D1398" s="6" t="s">
        <v>17</v>
      </c>
      <c r="E1398" s="6">
        <f>IF((ISBLANK($B$1)),"",Sheet1!Q1405)</f>
        <v>5250</v>
      </c>
      <c r="F1398" s="20" t="s">
        <v>29</v>
      </c>
      <c r="G1398" s="53">
        <f t="shared" si="22"/>
        <v>0.78883577311854924</v>
      </c>
      <c r="H1398" s="35"/>
      <c r="P1398" s="6"/>
    </row>
    <row r="1399" spans="1:16" ht="14.4" x14ac:dyDescent="0.25">
      <c r="A1399" s="6">
        <v>2546</v>
      </c>
      <c r="B1399" s="6">
        <v>18464</v>
      </c>
      <c r="C1399" s="19">
        <v>40996</v>
      </c>
      <c r="D1399" s="6" t="s">
        <v>17</v>
      </c>
      <c r="E1399" s="6">
        <f>IF((ISBLANK($B$1)),"",Sheet1!Q1406)</f>
        <v>4950</v>
      </c>
      <c r="F1399" s="20" t="s">
        <v>26</v>
      </c>
      <c r="G1399" s="53">
        <f t="shared" si="22"/>
        <v>0.37454949130568621</v>
      </c>
      <c r="H1399" s="35"/>
      <c r="P1399" s="6"/>
    </row>
    <row r="1400" spans="1:16" ht="14.4" x14ac:dyDescent="0.25">
      <c r="A1400" s="6">
        <v>2547</v>
      </c>
      <c r="B1400" s="6">
        <v>18464</v>
      </c>
      <c r="C1400" s="19">
        <v>40996</v>
      </c>
      <c r="D1400" s="6" t="s">
        <v>17</v>
      </c>
      <c r="E1400" s="6">
        <f>IF((ISBLANK($B$1)),"",Sheet1!Q1407)</f>
        <v>5450</v>
      </c>
      <c r="F1400" s="20" t="s">
        <v>26</v>
      </c>
      <c r="G1400" s="53">
        <f t="shared" si="22"/>
        <v>1.0650266276604579</v>
      </c>
      <c r="H1400" s="35"/>
      <c r="P1400" s="6"/>
    </row>
    <row r="1401" spans="1:16" ht="14.4" x14ac:dyDescent="0.25">
      <c r="A1401" s="6">
        <v>2594</v>
      </c>
      <c r="B1401" s="6">
        <v>18754</v>
      </c>
      <c r="C1401" s="19">
        <v>40081</v>
      </c>
      <c r="D1401" s="6" t="s">
        <v>28</v>
      </c>
      <c r="E1401" s="6">
        <f>IF((ISBLANK($B$1)),"",Sheet1!Q1408)</f>
        <v>3800</v>
      </c>
      <c r="F1401" s="20" t="s">
        <v>29</v>
      </c>
      <c r="G1401" s="53">
        <f t="shared" si="22"/>
        <v>-1.2135479223102887</v>
      </c>
      <c r="H1401" s="35"/>
      <c r="P1401" s="6"/>
    </row>
    <row r="1402" spans="1:16" ht="14.4" x14ac:dyDescent="0.25">
      <c r="A1402" s="6">
        <v>2595</v>
      </c>
      <c r="B1402" s="6">
        <v>18754</v>
      </c>
      <c r="C1402" s="19">
        <v>40081</v>
      </c>
      <c r="D1402" s="6" t="s">
        <v>28</v>
      </c>
      <c r="E1402" s="6">
        <f>IF((ISBLANK($B$1)),"",Sheet1!Q1409)</f>
        <v>5000</v>
      </c>
      <c r="F1402" s="20" t="s">
        <v>27</v>
      </c>
      <c r="G1402" s="53">
        <f t="shared" si="22"/>
        <v>0.44359720494116334</v>
      </c>
      <c r="H1402" s="35"/>
      <c r="P1402" s="6"/>
    </row>
    <row r="1403" spans="1:16" ht="14.4" x14ac:dyDescent="0.25">
      <c r="A1403" s="6">
        <v>2753</v>
      </c>
      <c r="B1403" s="6">
        <v>19905</v>
      </c>
      <c r="C1403" s="19">
        <v>41133</v>
      </c>
      <c r="D1403" s="6" t="s">
        <v>30</v>
      </c>
      <c r="E1403" s="6">
        <f>IF((ISBLANK($B$1)),"",Sheet1!Q1410)</f>
        <v>4400</v>
      </c>
      <c r="F1403" s="20" t="s">
        <v>26</v>
      </c>
      <c r="G1403" s="53">
        <f t="shared" si="22"/>
        <v>-0.38497535868456267</v>
      </c>
      <c r="H1403" s="35"/>
      <c r="P1403" s="6"/>
    </row>
    <row r="1404" spans="1:16" ht="14.4" x14ac:dyDescent="0.25">
      <c r="A1404" s="6">
        <v>2754</v>
      </c>
      <c r="B1404" s="6">
        <v>19905</v>
      </c>
      <c r="C1404" s="19">
        <v>41133</v>
      </c>
      <c r="D1404" s="6" t="s">
        <v>30</v>
      </c>
      <c r="E1404" s="6">
        <f>IF((ISBLANK($B$1)),"",Sheet1!Q1411)</f>
        <v>4650</v>
      </c>
      <c r="F1404" s="20" t="s">
        <v>29</v>
      </c>
      <c r="G1404" s="53">
        <f t="shared" si="22"/>
        <v>-3.9736790507176829E-2</v>
      </c>
      <c r="H1404" s="35"/>
      <c r="P1404" s="6"/>
    </row>
    <row r="1405" spans="1:16" ht="14.4" x14ac:dyDescent="0.25">
      <c r="A1405" s="6">
        <v>2805</v>
      </c>
      <c r="B1405" s="6">
        <v>20256</v>
      </c>
      <c r="C1405" s="19">
        <v>40939</v>
      </c>
      <c r="D1405" s="6" t="s">
        <v>25</v>
      </c>
      <c r="E1405" s="6">
        <f>IF((ISBLANK($B$1)),"",Sheet1!Q1412)</f>
        <v>4600</v>
      </c>
      <c r="F1405" s="20" t="s">
        <v>26</v>
      </c>
      <c r="G1405" s="53">
        <f t="shared" si="22"/>
        <v>-0.108784504142654</v>
      </c>
      <c r="H1405" s="35"/>
      <c r="P1405" s="6"/>
    </row>
    <row r="1406" spans="1:16" ht="14.4" x14ac:dyDescent="0.25">
      <c r="A1406" s="6">
        <v>2823</v>
      </c>
      <c r="B1406" s="6">
        <v>20386</v>
      </c>
      <c r="C1406" s="19">
        <v>40236</v>
      </c>
      <c r="D1406" s="6" t="s">
        <v>30</v>
      </c>
      <c r="E1406" s="6">
        <f>IF((ISBLANK($B$1)),"",Sheet1!Q1413)</f>
        <v>5150</v>
      </c>
      <c r="F1406" s="20" t="s">
        <v>26</v>
      </c>
      <c r="G1406" s="53">
        <f t="shared" si="22"/>
        <v>0.65074034584759488</v>
      </c>
      <c r="H1406" s="35"/>
      <c r="P1406" s="6"/>
    </row>
    <row r="1407" spans="1:16" ht="14.4" x14ac:dyDescent="0.25">
      <c r="A1407" s="6">
        <v>2839</v>
      </c>
      <c r="B1407" s="6">
        <v>20455</v>
      </c>
      <c r="C1407" s="19">
        <v>40357</v>
      </c>
      <c r="D1407" s="6" t="s">
        <v>30</v>
      </c>
      <c r="E1407" s="6">
        <f>IF((ISBLANK($B$1)),"",Sheet1!Q1414)</f>
        <v>3750</v>
      </c>
      <c r="F1407" s="20" t="s">
        <v>27</v>
      </c>
      <c r="G1407" s="53">
        <f t="shared" si="22"/>
        <v>-1.282595635945766</v>
      </c>
      <c r="H1407" s="35"/>
      <c r="P1407" s="6"/>
    </row>
    <row r="1408" spans="1:16" ht="14.4" x14ac:dyDescent="0.25">
      <c r="A1408" s="6">
        <v>2860</v>
      </c>
      <c r="B1408" s="6">
        <v>20642</v>
      </c>
      <c r="C1408" s="19">
        <v>41048</v>
      </c>
      <c r="D1408" s="6" t="s">
        <v>17</v>
      </c>
      <c r="E1408" s="6">
        <f>IF((ISBLANK($B$1)),"",Sheet1!Q1415)</f>
        <v>5000</v>
      </c>
      <c r="F1408" s="20" t="s">
        <v>26</v>
      </c>
      <c r="G1408" s="53">
        <f t="shared" si="22"/>
        <v>0.44359720494116334</v>
      </c>
      <c r="H1408" s="35"/>
      <c r="P1408" s="6"/>
    </row>
    <row r="1409" spans="1:16" ht="14.4" x14ac:dyDescent="0.25">
      <c r="A1409" s="6">
        <v>2952</v>
      </c>
      <c r="B1409" s="6">
        <v>21379</v>
      </c>
      <c r="C1409" s="19">
        <v>40557</v>
      </c>
      <c r="D1409" s="6" t="s">
        <v>17</v>
      </c>
      <c r="E1409" s="6">
        <f>IF((ISBLANK($B$1)),"",Sheet1!Q1416)</f>
        <v>5150</v>
      </c>
      <c r="F1409" s="20" t="s">
        <v>29</v>
      </c>
      <c r="G1409" s="53">
        <f t="shared" si="22"/>
        <v>0.65074034584759488</v>
      </c>
      <c r="H1409" s="35"/>
      <c r="P1409" s="6"/>
    </row>
    <row r="1410" spans="1:16" ht="14.4" x14ac:dyDescent="0.25">
      <c r="A1410" s="6">
        <v>3027</v>
      </c>
      <c r="B1410" s="6">
        <v>21766</v>
      </c>
      <c r="C1410" s="19">
        <v>39965</v>
      </c>
      <c r="D1410" s="6" t="s">
        <v>17</v>
      </c>
      <c r="E1410" s="6">
        <f>IF((ISBLANK($B$1)),"",Sheet1!Q1417)</f>
        <v>5450</v>
      </c>
      <c r="F1410" s="20" t="s">
        <v>29</v>
      </c>
      <c r="G1410" s="53">
        <f t="shared" si="22"/>
        <v>1.0650266276604579</v>
      </c>
      <c r="H1410" s="35"/>
      <c r="P1410" s="6"/>
    </row>
    <row r="1411" spans="1:16" ht="14.4" x14ac:dyDescent="0.25">
      <c r="A1411" s="6">
        <v>3028</v>
      </c>
      <c r="B1411" s="6">
        <v>21766</v>
      </c>
      <c r="C1411" s="19">
        <v>39965</v>
      </c>
      <c r="D1411" s="6" t="s">
        <v>17</v>
      </c>
      <c r="E1411" s="6">
        <f>IF((ISBLANK($B$1)),"",Sheet1!Q1418)</f>
        <v>5000</v>
      </c>
      <c r="F1411" s="20" t="s">
        <v>29</v>
      </c>
      <c r="G1411" s="53">
        <f t="shared" si="22"/>
        <v>0.44359720494116334</v>
      </c>
      <c r="H1411" s="35"/>
      <c r="P1411" s="6"/>
    </row>
    <row r="1412" spans="1:16" ht="14.4" x14ac:dyDescent="0.25">
      <c r="A1412" s="6">
        <v>3074</v>
      </c>
      <c r="B1412" s="6">
        <v>22053</v>
      </c>
      <c r="C1412" s="19">
        <v>40411</v>
      </c>
      <c r="D1412" s="6" t="s">
        <v>30</v>
      </c>
      <c r="E1412" s="6">
        <f>IF((ISBLANK($B$1)),"",Sheet1!Q1419)</f>
        <v>5000</v>
      </c>
      <c r="F1412" s="20" t="s">
        <v>26</v>
      </c>
      <c r="G1412" s="53">
        <f t="shared" si="22"/>
        <v>0.44359720494116334</v>
      </c>
      <c r="H1412" s="35"/>
      <c r="P1412" s="6"/>
    </row>
    <row r="1413" spans="1:16" ht="14.4" x14ac:dyDescent="0.25">
      <c r="A1413" s="6">
        <v>3111</v>
      </c>
      <c r="B1413" s="6">
        <v>22368</v>
      </c>
      <c r="C1413" s="19">
        <v>40228</v>
      </c>
      <c r="D1413" s="6" t="s">
        <v>16</v>
      </c>
      <c r="E1413" s="6">
        <f>IF((ISBLANK($B$1)),"",Sheet1!Q1420)</f>
        <v>3650</v>
      </c>
      <c r="F1413" s="20" t="s">
        <v>27</v>
      </c>
      <c r="G1413" s="53">
        <f t="shared" si="22"/>
        <v>-1.4206910632167202</v>
      </c>
      <c r="H1413" s="35"/>
      <c r="P1413" s="6"/>
    </row>
    <row r="1414" spans="1:16" ht="14.4" x14ac:dyDescent="0.25">
      <c r="A1414" s="6">
        <v>3112</v>
      </c>
      <c r="B1414" s="6">
        <v>22368</v>
      </c>
      <c r="C1414" s="19">
        <v>40228</v>
      </c>
      <c r="D1414" s="6" t="s">
        <v>16</v>
      </c>
      <c r="E1414" s="6">
        <f>IF((ISBLANK($B$1)),"",Sheet1!Q1421)</f>
        <v>5050</v>
      </c>
      <c r="F1414" s="20" t="s">
        <v>27</v>
      </c>
      <c r="G1414" s="53">
        <f t="shared" si="22"/>
        <v>0.51264491857664052</v>
      </c>
      <c r="H1414" s="35"/>
      <c r="P1414" s="6"/>
    </row>
    <row r="1415" spans="1:16" ht="14.4" x14ac:dyDescent="0.25">
      <c r="A1415" s="6">
        <v>3113</v>
      </c>
      <c r="B1415" s="6">
        <v>22368</v>
      </c>
      <c r="C1415" s="19">
        <v>40228</v>
      </c>
      <c r="D1415" s="6" t="s">
        <v>16</v>
      </c>
      <c r="E1415" s="6">
        <f>IF((ISBLANK($B$1)),"",Sheet1!Q1422)</f>
        <v>5100</v>
      </c>
      <c r="F1415" s="20" t="s">
        <v>26</v>
      </c>
      <c r="G1415" s="53">
        <f t="shared" si="22"/>
        <v>0.58169263221211776</v>
      </c>
      <c r="H1415" s="35"/>
      <c r="P1415" s="6"/>
    </row>
    <row r="1416" spans="1:16" ht="14.4" x14ac:dyDescent="0.25">
      <c r="A1416" s="6">
        <v>3190</v>
      </c>
      <c r="B1416" s="6">
        <v>22885</v>
      </c>
      <c r="C1416" s="19">
        <v>40140</v>
      </c>
      <c r="D1416" s="6" t="s">
        <v>16</v>
      </c>
      <c r="E1416" s="6">
        <f>IF((ISBLANK($B$1)),"",Sheet1!Q1423)</f>
        <v>3600</v>
      </c>
      <c r="F1416" s="20" t="s">
        <v>26</v>
      </c>
      <c r="G1416" s="53">
        <f t="shared" ref="G1416:G1479" si="23">STANDARDIZE(E1416,$L$26,$L$35)</f>
        <v>-1.4897387768521975</v>
      </c>
      <c r="H1416" s="35"/>
      <c r="P1416" s="6"/>
    </row>
    <row r="1417" spans="1:16" ht="14.4" x14ac:dyDescent="0.25">
      <c r="A1417" s="6">
        <v>3200</v>
      </c>
      <c r="B1417" s="6">
        <v>22947</v>
      </c>
      <c r="C1417" s="19">
        <v>40165</v>
      </c>
      <c r="D1417" s="6" t="s">
        <v>25</v>
      </c>
      <c r="E1417" s="6">
        <f>IF((ISBLANK($B$1)),"",Sheet1!Q1424)</f>
        <v>4350</v>
      </c>
      <c r="F1417" s="20" t="s">
        <v>29</v>
      </c>
      <c r="G1417" s="53">
        <f t="shared" si="23"/>
        <v>-0.45402307232003986</v>
      </c>
      <c r="H1417" s="35"/>
      <c r="P1417" s="6"/>
    </row>
    <row r="1418" spans="1:16" ht="14.4" x14ac:dyDescent="0.25">
      <c r="A1418" s="6">
        <v>3334</v>
      </c>
      <c r="B1418" s="6">
        <v>23844</v>
      </c>
      <c r="C1418" s="19">
        <v>40000</v>
      </c>
      <c r="D1418" s="6" t="s">
        <v>28</v>
      </c>
      <c r="E1418" s="6">
        <f>IF((ISBLANK($B$1)),"",Sheet1!Q1425)</f>
        <v>5400</v>
      </c>
      <c r="F1418" s="20" t="s">
        <v>26</v>
      </c>
      <c r="G1418" s="53">
        <f t="shared" si="23"/>
        <v>0.99597891402498073</v>
      </c>
      <c r="H1418" s="35"/>
      <c r="P1418" s="6"/>
    </row>
    <row r="1419" spans="1:16" ht="14.4" x14ac:dyDescent="0.25">
      <c r="A1419" s="6">
        <v>3335</v>
      </c>
      <c r="B1419" s="6">
        <v>23844</v>
      </c>
      <c r="C1419" s="19">
        <v>40000</v>
      </c>
      <c r="D1419" s="6" t="s">
        <v>28</v>
      </c>
      <c r="E1419" s="6">
        <f>IF((ISBLANK($B$1)),"",Sheet1!Q1426)</f>
        <v>5500</v>
      </c>
      <c r="F1419" s="20" t="s">
        <v>26</v>
      </c>
      <c r="G1419" s="53">
        <f t="shared" si="23"/>
        <v>1.1340743412959351</v>
      </c>
      <c r="H1419" s="35"/>
      <c r="P1419" s="6"/>
    </row>
    <row r="1420" spans="1:16" ht="14.4" x14ac:dyDescent="0.25">
      <c r="A1420" s="6">
        <v>3336</v>
      </c>
      <c r="B1420" s="6">
        <v>23844</v>
      </c>
      <c r="C1420" s="19">
        <v>40000</v>
      </c>
      <c r="D1420" s="6" t="s">
        <v>28</v>
      </c>
      <c r="E1420" s="6">
        <f>IF((ISBLANK($B$1)),"",Sheet1!Q1427)</f>
        <v>3950</v>
      </c>
      <c r="F1420" s="20" t="s">
        <v>26</v>
      </c>
      <c r="G1420" s="53">
        <f t="shared" si="23"/>
        <v>-1.0064047814038573</v>
      </c>
      <c r="H1420" s="35"/>
      <c r="P1420" s="6"/>
    </row>
    <row r="1421" spans="1:16" ht="14.4" x14ac:dyDescent="0.25">
      <c r="A1421" s="6">
        <v>3361</v>
      </c>
      <c r="B1421" s="6">
        <v>24039</v>
      </c>
      <c r="C1421" s="19">
        <v>41107</v>
      </c>
      <c r="D1421" s="6" t="s">
        <v>28</v>
      </c>
      <c r="E1421" s="6">
        <f>IF((ISBLANK($B$1)),"",Sheet1!Q1428)</f>
        <v>3650</v>
      </c>
      <c r="F1421" s="20" t="s">
        <v>27</v>
      </c>
      <c r="G1421" s="53">
        <f t="shared" si="23"/>
        <v>-1.4206910632167202</v>
      </c>
      <c r="H1421" s="35"/>
      <c r="P1421" s="6"/>
    </row>
    <row r="1422" spans="1:16" ht="14.4" x14ac:dyDescent="0.25">
      <c r="A1422" s="6">
        <v>3554</v>
      </c>
      <c r="B1422" s="6">
        <v>25347</v>
      </c>
      <c r="C1422" s="19">
        <v>39976</v>
      </c>
      <c r="D1422" s="6" t="s">
        <v>25</v>
      </c>
      <c r="E1422" s="6">
        <f>IF((ISBLANK($B$1)),"",Sheet1!Q1429)</f>
        <v>4800</v>
      </c>
      <c r="F1422" s="20" t="s">
        <v>26</v>
      </c>
      <c r="G1422" s="53">
        <f t="shared" si="23"/>
        <v>0.16740635039925467</v>
      </c>
      <c r="H1422" s="35"/>
      <c r="P1422" s="6"/>
    </row>
    <row r="1423" spans="1:16" ht="14.4" x14ac:dyDescent="0.25">
      <c r="A1423" s="6">
        <v>3613</v>
      </c>
      <c r="B1423" s="6">
        <v>25825</v>
      </c>
      <c r="C1423" s="19">
        <v>41109</v>
      </c>
      <c r="D1423" s="6" t="s">
        <v>28</v>
      </c>
      <c r="E1423" s="6">
        <f>IF((ISBLANK($B$1)),"",Sheet1!Q1430)</f>
        <v>5650</v>
      </c>
      <c r="F1423" s="20" t="s">
        <v>26</v>
      </c>
      <c r="G1423" s="53">
        <f t="shared" si="23"/>
        <v>1.3412174822023666</v>
      </c>
      <c r="H1423" s="35"/>
      <c r="P1423" s="6"/>
    </row>
    <row r="1424" spans="1:16" ht="14.4" x14ac:dyDescent="0.25">
      <c r="A1424" s="6">
        <v>3614</v>
      </c>
      <c r="B1424" s="6">
        <v>25825</v>
      </c>
      <c r="C1424" s="19">
        <v>41109</v>
      </c>
      <c r="D1424" s="6" t="s">
        <v>28</v>
      </c>
      <c r="E1424" s="6">
        <f>IF((ISBLANK($B$1)),"",Sheet1!Q1431)</f>
        <v>4750</v>
      </c>
      <c r="F1424" s="20" t="s">
        <v>26</v>
      </c>
      <c r="G1424" s="53">
        <f t="shared" si="23"/>
        <v>9.8358636763777513E-2</v>
      </c>
      <c r="H1424" s="35"/>
      <c r="P1424" s="6"/>
    </row>
    <row r="1425" spans="1:16" ht="14.4" x14ac:dyDescent="0.25">
      <c r="A1425" s="6">
        <v>3672</v>
      </c>
      <c r="B1425" s="6">
        <v>26304</v>
      </c>
      <c r="C1425" s="19">
        <v>40621</v>
      </c>
      <c r="D1425" s="6" t="s">
        <v>16</v>
      </c>
      <c r="E1425" s="6">
        <f>IF((ISBLANK($B$1)),"",Sheet1!Q1432)</f>
        <v>5550</v>
      </c>
      <c r="F1425" s="20" t="s">
        <v>27</v>
      </c>
      <c r="G1425" s="53">
        <f t="shared" si="23"/>
        <v>1.2031220549314123</v>
      </c>
      <c r="H1425" s="35"/>
      <c r="P1425" s="6"/>
    </row>
    <row r="1426" spans="1:16" ht="14.4" x14ac:dyDescent="0.25">
      <c r="A1426" s="6">
        <v>3740</v>
      </c>
      <c r="B1426" s="6">
        <v>26726</v>
      </c>
      <c r="C1426" s="19">
        <v>41270</v>
      </c>
      <c r="D1426" s="6" t="s">
        <v>17</v>
      </c>
      <c r="E1426" s="6">
        <f>IF((ISBLANK($B$1)),"",Sheet1!Q1433)</f>
        <v>5250</v>
      </c>
      <c r="F1426" s="20" t="s">
        <v>26</v>
      </c>
      <c r="G1426" s="53">
        <f t="shared" si="23"/>
        <v>0.78883577311854924</v>
      </c>
      <c r="H1426" s="35"/>
      <c r="P1426" s="6"/>
    </row>
    <row r="1427" spans="1:16" ht="14.4" x14ac:dyDescent="0.25">
      <c r="A1427" s="6">
        <v>3741</v>
      </c>
      <c r="B1427" s="6">
        <v>26726</v>
      </c>
      <c r="C1427" s="19">
        <v>41270</v>
      </c>
      <c r="D1427" s="6" t="s">
        <v>17</v>
      </c>
      <c r="E1427" s="6">
        <f>IF((ISBLANK($B$1)),"",Sheet1!Q1434)</f>
        <v>3950</v>
      </c>
      <c r="F1427" s="20" t="s">
        <v>26</v>
      </c>
      <c r="G1427" s="53">
        <f t="shared" si="23"/>
        <v>-1.0064047814038573</v>
      </c>
      <c r="H1427" s="35"/>
      <c r="P1427" s="6"/>
    </row>
    <row r="1428" spans="1:16" ht="14.4" x14ac:dyDescent="0.25">
      <c r="A1428" s="6">
        <v>3742</v>
      </c>
      <c r="B1428" s="6">
        <v>26726</v>
      </c>
      <c r="C1428" s="19">
        <v>41270</v>
      </c>
      <c r="D1428" s="6" t="s">
        <v>17</v>
      </c>
      <c r="E1428" s="6">
        <f>IF((ISBLANK($B$1)),"",Sheet1!Q1435)</f>
        <v>5450</v>
      </c>
      <c r="F1428" s="20" t="s">
        <v>26</v>
      </c>
      <c r="G1428" s="53">
        <f t="shared" si="23"/>
        <v>1.0650266276604579</v>
      </c>
      <c r="H1428" s="35"/>
      <c r="P1428" s="6"/>
    </row>
    <row r="1429" spans="1:16" ht="14.4" x14ac:dyDescent="0.25">
      <c r="A1429" s="6">
        <v>3825</v>
      </c>
      <c r="B1429" s="6">
        <v>27266</v>
      </c>
      <c r="C1429" s="19">
        <v>40794</v>
      </c>
      <c r="D1429" s="6" t="s">
        <v>30</v>
      </c>
      <c r="E1429" s="6">
        <f>IF((ISBLANK($B$1)),"",Sheet1!Q1436)</f>
        <v>3850</v>
      </c>
      <c r="F1429" s="20" t="s">
        <v>27</v>
      </c>
      <c r="G1429" s="53">
        <f t="shared" si="23"/>
        <v>-1.1445002086748115</v>
      </c>
      <c r="H1429" s="35"/>
      <c r="P1429" s="6"/>
    </row>
    <row r="1430" spans="1:16" ht="14.4" x14ac:dyDescent="0.25">
      <c r="A1430" s="6">
        <v>3842</v>
      </c>
      <c r="B1430" s="6">
        <v>27396</v>
      </c>
      <c r="C1430" s="19">
        <v>40520</v>
      </c>
      <c r="D1430" s="6" t="s">
        <v>30</v>
      </c>
      <c r="E1430" s="6">
        <f>IF((ISBLANK($B$1)),"",Sheet1!Q1437)</f>
        <v>4100</v>
      </c>
      <c r="F1430" s="20" t="s">
        <v>29</v>
      </c>
      <c r="G1430" s="53">
        <f t="shared" si="23"/>
        <v>-0.79926164049742576</v>
      </c>
      <c r="H1430" s="35"/>
      <c r="P1430" s="6"/>
    </row>
    <row r="1431" spans="1:16" ht="14.4" x14ac:dyDescent="0.25">
      <c r="A1431" s="6">
        <v>3988</v>
      </c>
      <c r="B1431" s="6">
        <v>28480</v>
      </c>
      <c r="C1431" s="19">
        <v>39887</v>
      </c>
      <c r="D1431" s="6" t="s">
        <v>16</v>
      </c>
      <c r="E1431" s="6">
        <f>IF((ISBLANK($B$1)),"",Sheet1!Q1438)</f>
        <v>4250</v>
      </c>
      <c r="F1431" s="20" t="s">
        <v>26</v>
      </c>
      <c r="G1431" s="53">
        <f t="shared" si="23"/>
        <v>-0.59211849959099416</v>
      </c>
      <c r="H1431" s="35"/>
      <c r="P1431" s="6"/>
    </row>
    <row r="1432" spans="1:16" ht="14.4" x14ac:dyDescent="0.25">
      <c r="A1432" s="6">
        <v>4090</v>
      </c>
      <c r="B1432" s="6">
        <v>29158</v>
      </c>
      <c r="C1432" s="19">
        <v>40836</v>
      </c>
      <c r="D1432" s="6" t="s">
        <v>17</v>
      </c>
      <c r="E1432" s="6">
        <f>IF((ISBLANK($B$1)),"",Sheet1!Q1439)</f>
        <v>4000</v>
      </c>
      <c r="F1432" s="20" t="s">
        <v>29</v>
      </c>
      <c r="G1432" s="53">
        <f t="shared" si="23"/>
        <v>-0.93735706776838001</v>
      </c>
      <c r="H1432" s="35"/>
      <c r="P1432" s="6"/>
    </row>
    <row r="1433" spans="1:16" ht="14.4" x14ac:dyDescent="0.25">
      <c r="A1433" s="6">
        <v>4144</v>
      </c>
      <c r="B1433" s="6">
        <v>29409</v>
      </c>
      <c r="C1433" s="19">
        <v>40556</v>
      </c>
      <c r="D1433" s="6" t="s">
        <v>17</v>
      </c>
      <c r="E1433" s="6">
        <f>IF((ISBLANK($B$1)),"",Sheet1!Q1440)</f>
        <v>4550</v>
      </c>
      <c r="F1433" s="20" t="s">
        <v>27</v>
      </c>
      <c r="G1433" s="53">
        <f t="shared" si="23"/>
        <v>-0.17783221777813119</v>
      </c>
      <c r="H1433" s="35"/>
      <c r="P1433" s="6"/>
    </row>
    <row r="1434" spans="1:16" ht="14.4" x14ac:dyDescent="0.25">
      <c r="A1434" s="6">
        <v>4213</v>
      </c>
      <c r="B1434" s="6">
        <v>29956</v>
      </c>
      <c r="C1434" s="19">
        <v>40039</v>
      </c>
      <c r="D1434" s="6" t="s">
        <v>30</v>
      </c>
      <c r="E1434" s="6">
        <f>IF((ISBLANK($B$1)),"",Sheet1!Q1441)</f>
        <v>5800</v>
      </c>
      <c r="F1434" s="20" t="s">
        <v>26</v>
      </c>
      <c r="G1434" s="53">
        <f t="shared" si="23"/>
        <v>1.5483606231087981</v>
      </c>
      <c r="H1434" s="35"/>
      <c r="P1434" s="6"/>
    </row>
    <row r="1435" spans="1:16" ht="14.4" x14ac:dyDescent="0.25">
      <c r="A1435" s="6">
        <v>4259</v>
      </c>
      <c r="B1435" s="6">
        <v>30341</v>
      </c>
      <c r="C1435" s="19">
        <v>39844</v>
      </c>
      <c r="D1435" s="6" t="s">
        <v>25</v>
      </c>
      <c r="E1435" s="6">
        <f>IF((ISBLANK($B$1)),"",Sheet1!Q1442)</f>
        <v>5500</v>
      </c>
      <c r="F1435" s="20" t="s">
        <v>29</v>
      </c>
      <c r="G1435" s="53">
        <f t="shared" si="23"/>
        <v>1.1340743412959351</v>
      </c>
      <c r="H1435" s="35"/>
      <c r="P1435" s="6"/>
    </row>
    <row r="1436" spans="1:16" ht="14.4" x14ac:dyDescent="0.25">
      <c r="A1436" s="6">
        <v>4260</v>
      </c>
      <c r="B1436" s="6">
        <v>30341</v>
      </c>
      <c r="C1436" s="19">
        <v>39844</v>
      </c>
      <c r="D1436" s="6" t="s">
        <v>25</v>
      </c>
      <c r="E1436" s="6">
        <f>IF((ISBLANK($B$1)),"",Sheet1!Q1443)</f>
        <v>5450</v>
      </c>
      <c r="F1436" s="20" t="s">
        <v>26</v>
      </c>
      <c r="G1436" s="53">
        <f t="shared" si="23"/>
        <v>1.0650266276604579</v>
      </c>
      <c r="H1436" s="35"/>
      <c r="P1436" s="6"/>
    </row>
    <row r="1437" spans="1:16" ht="14.4" x14ac:dyDescent="0.25">
      <c r="A1437" s="6">
        <v>4261</v>
      </c>
      <c r="B1437" s="6">
        <v>30341</v>
      </c>
      <c r="C1437" s="19">
        <v>39844</v>
      </c>
      <c r="D1437" s="6" t="s">
        <v>25</v>
      </c>
      <c r="E1437" s="6">
        <f>IF((ISBLANK($B$1)),"",Sheet1!Q1444)</f>
        <v>4900</v>
      </c>
      <c r="F1437" s="20" t="s">
        <v>26</v>
      </c>
      <c r="G1437" s="53">
        <f t="shared" si="23"/>
        <v>0.30550177767020903</v>
      </c>
      <c r="H1437" s="35"/>
      <c r="P1437" s="6"/>
    </row>
    <row r="1438" spans="1:16" ht="14.4" x14ac:dyDescent="0.25">
      <c r="A1438" s="6">
        <v>4278</v>
      </c>
      <c r="B1438" s="6">
        <v>30467</v>
      </c>
      <c r="C1438" s="19">
        <v>40040</v>
      </c>
      <c r="D1438" s="6" t="s">
        <v>30</v>
      </c>
      <c r="E1438" s="6">
        <f>IF((ISBLANK($B$1)),"",Sheet1!Q1445)</f>
        <v>3650</v>
      </c>
      <c r="F1438" s="20" t="s">
        <v>26</v>
      </c>
      <c r="G1438" s="53">
        <f t="shared" si="23"/>
        <v>-1.4206910632167202</v>
      </c>
      <c r="H1438" s="35"/>
      <c r="P1438" s="6"/>
    </row>
    <row r="1439" spans="1:16" ht="14.4" x14ac:dyDescent="0.25">
      <c r="A1439" s="6">
        <v>4321</v>
      </c>
      <c r="B1439" s="6">
        <v>30785</v>
      </c>
      <c r="C1439" s="19">
        <v>39997</v>
      </c>
      <c r="D1439" s="6" t="s">
        <v>17</v>
      </c>
      <c r="E1439" s="6">
        <f>IF((ISBLANK($B$1)),"",Sheet1!Q1446)</f>
        <v>3750</v>
      </c>
      <c r="F1439" s="20" t="s">
        <v>26</v>
      </c>
      <c r="G1439" s="53">
        <f t="shared" si="23"/>
        <v>-1.282595635945766</v>
      </c>
      <c r="H1439" s="35"/>
      <c r="P1439" s="6"/>
    </row>
    <row r="1440" spans="1:16" ht="14.4" x14ac:dyDescent="0.25">
      <c r="A1440" s="6">
        <v>4322</v>
      </c>
      <c r="B1440" s="6">
        <v>30785</v>
      </c>
      <c r="C1440" s="19">
        <v>39997</v>
      </c>
      <c r="D1440" s="6" t="s">
        <v>17</v>
      </c>
      <c r="E1440" s="6">
        <f>IF((ISBLANK($B$1)),"",Sheet1!Q1447)</f>
        <v>5300</v>
      </c>
      <c r="F1440" s="20" t="s">
        <v>26</v>
      </c>
      <c r="G1440" s="53">
        <f t="shared" si="23"/>
        <v>0.85788348675402637</v>
      </c>
      <c r="H1440" s="35"/>
      <c r="P1440" s="6"/>
    </row>
    <row r="1441" spans="1:16" ht="14.4" x14ac:dyDescent="0.25">
      <c r="A1441" s="6">
        <v>4374</v>
      </c>
      <c r="B1441" s="6">
        <v>31171</v>
      </c>
      <c r="C1441" s="19">
        <v>39911</v>
      </c>
      <c r="D1441" s="6" t="s">
        <v>28</v>
      </c>
      <c r="E1441" s="6">
        <f>IF((ISBLANK($B$1)),"",Sheet1!Q1448)</f>
        <v>5250</v>
      </c>
      <c r="F1441" s="20" t="s">
        <v>26</v>
      </c>
      <c r="G1441" s="53">
        <f t="shared" si="23"/>
        <v>0.78883577311854924</v>
      </c>
      <c r="H1441" s="35"/>
      <c r="P1441" s="6"/>
    </row>
    <row r="1442" spans="1:16" ht="14.4" x14ac:dyDescent="0.25">
      <c r="A1442" s="6">
        <v>4394</v>
      </c>
      <c r="B1442" s="6">
        <v>31297</v>
      </c>
      <c r="C1442" s="19">
        <v>41139</v>
      </c>
      <c r="D1442" s="6" t="s">
        <v>25</v>
      </c>
      <c r="E1442" s="6">
        <f>IF((ISBLANK($B$1)),"",Sheet1!Q1449)</f>
        <v>5350</v>
      </c>
      <c r="F1442" s="20" t="s">
        <v>26</v>
      </c>
      <c r="G1442" s="53">
        <f t="shared" si="23"/>
        <v>0.92693120038950361</v>
      </c>
      <c r="H1442" s="35"/>
      <c r="P1442" s="6"/>
    </row>
    <row r="1443" spans="1:16" ht="14.4" x14ac:dyDescent="0.25">
      <c r="A1443" s="6">
        <v>4395</v>
      </c>
      <c r="B1443" s="6">
        <v>31297</v>
      </c>
      <c r="C1443" s="19">
        <v>41139</v>
      </c>
      <c r="D1443" s="6" t="s">
        <v>25</v>
      </c>
      <c r="E1443" s="6">
        <f>IF((ISBLANK($B$1)),"",Sheet1!Q1450)</f>
        <v>5600</v>
      </c>
      <c r="F1443" s="20" t="s">
        <v>26</v>
      </c>
      <c r="G1443" s="53">
        <f t="shared" si="23"/>
        <v>1.2721697685668893</v>
      </c>
      <c r="H1443" s="35"/>
      <c r="P1443" s="6"/>
    </row>
    <row r="1444" spans="1:16" ht="14.4" x14ac:dyDescent="0.25">
      <c r="A1444" s="6">
        <v>4425</v>
      </c>
      <c r="B1444" s="6">
        <v>31553</v>
      </c>
      <c r="C1444" s="19">
        <v>39823</v>
      </c>
      <c r="D1444" s="6" t="s">
        <v>30</v>
      </c>
      <c r="E1444" s="6">
        <f>IF((ISBLANK($B$1)),"",Sheet1!Q1451)</f>
        <v>5000</v>
      </c>
      <c r="F1444" s="20" t="s">
        <v>26</v>
      </c>
      <c r="G1444" s="53">
        <f t="shared" si="23"/>
        <v>0.44359720494116334</v>
      </c>
      <c r="H1444" s="35"/>
      <c r="P1444" s="6"/>
    </row>
    <row r="1445" spans="1:16" ht="14.4" x14ac:dyDescent="0.25">
      <c r="A1445" s="6">
        <v>4595</v>
      </c>
      <c r="B1445" s="6">
        <v>32706</v>
      </c>
      <c r="C1445" s="19">
        <v>39998</v>
      </c>
      <c r="D1445" s="6" t="s">
        <v>30</v>
      </c>
      <c r="E1445" s="6">
        <f>IF((ISBLANK($B$1)),"",Sheet1!Q1452)</f>
        <v>3650</v>
      </c>
      <c r="F1445" s="20" t="s">
        <v>27</v>
      </c>
      <c r="G1445" s="53">
        <f t="shared" si="23"/>
        <v>-1.4206910632167202</v>
      </c>
      <c r="H1445" s="35"/>
      <c r="P1445" s="6"/>
    </row>
    <row r="1446" spans="1:16" ht="14.4" x14ac:dyDescent="0.25">
      <c r="A1446" s="6">
        <v>4650</v>
      </c>
      <c r="B1446" s="6">
        <v>33122</v>
      </c>
      <c r="C1446" s="19">
        <v>40348</v>
      </c>
      <c r="D1446" s="6" t="s">
        <v>25</v>
      </c>
      <c r="E1446" s="6">
        <f>IF((ISBLANK($B$1)),"",Sheet1!Q1453)</f>
        <v>4450</v>
      </c>
      <c r="F1446" s="20" t="s">
        <v>27</v>
      </c>
      <c r="G1446" s="53">
        <f t="shared" si="23"/>
        <v>-0.31592764504908549</v>
      </c>
      <c r="H1446" s="35"/>
      <c r="P1446" s="6"/>
    </row>
    <row r="1447" spans="1:16" ht="14.4" x14ac:dyDescent="0.25">
      <c r="A1447" s="6">
        <v>4713</v>
      </c>
      <c r="B1447" s="6">
        <v>33570</v>
      </c>
      <c r="C1447" s="19">
        <v>41259</v>
      </c>
      <c r="D1447" s="6" t="s">
        <v>28</v>
      </c>
      <c r="E1447" s="6">
        <f>IF((ISBLANK($B$1)),"",Sheet1!Q1454)</f>
        <v>5700</v>
      </c>
      <c r="F1447" s="20" t="s">
        <v>26</v>
      </c>
      <c r="G1447" s="53">
        <f t="shared" si="23"/>
        <v>1.4102651958378438</v>
      </c>
      <c r="H1447" s="35"/>
      <c r="P1447" s="6"/>
    </row>
    <row r="1448" spans="1:16" ht="14.4" x14ac:dyDescent="0.25">
      <c r="A1448" s="6">
        <v>4714</v>
      </c>
      <c r="B1448" s="6">
        <v>33570</v>
      </c>
      <c r="C1448" s="19">
        <v>41259</v>
      </c>
      <c r="D1448" s="6" t="s">
        <v>28</v>
      </c>
      <c r="E1448" s="6">
        <f>IF((ISBLANK($B$1)),"",Sheet1!Q1455)</f>
        <v>3450</v>
      </c>
      <c r="F1448" s="20" t="s">
        <v>27</v>
      </c>
      <c r="G1448" s="53">
        <f t="shared" si="23"/>
        <v>-1.696881917758629</v>
      </c>
      <c r="H1448" s="35"/>
      <c r="P1448" s="6"/>
    </row>
    <row r="1449" spans="1:16" ht="14.4" x14ac:dyDescent="0.25">
      <c r="A1449" s="6">
        <v>4715</v>
      </c>
      <c r="B1449" s="6">
        <v>33570</v>
      </c>
      <c r="C1449" s="19">
        <v>41259</v>
      </c>
      <c r="D1449" s="6" t="s">
        <v>28</v>
      </c>
      <c r="E1449" s="6">
        <f>IF((ISBLANK($B$1)),"",Sheet1!Q1456)</f>
        <v>4350</v>
      </c>
      <c r="F1449" s="20" t="s">
        <v>27</v>
      </c>
      <c r="G1449" s="53">
        <f t="shared" si="23"/>
        <v>-0.45402307232003986</v>
      </c>
      <c r="H1449" s="35"/>
      <c r="P1449" s="6"/>
    </row>
    <row r="1450" spans="1:16" ht="14.4" x14ac:dyDescent="0.25">
      <c r="A1450" s="6">
        <v>4770</v>
      </c>
      <c r="B1450" s="6">
        <v>33893</v>
      </c>
      <c r="C1450" s="19">
        <v>41172</v>
      </c>
      <c r="D1450" s="6" t="s">
        <v>28</v>
      </c>
      <c r="E1450" s="6">
        <f>IF((ISBLANK($B$1)),"",Sheet1!Q1457)</f>
        <v>3700</v>
      </c>
      <c r="F1450" s="20" t="s">
        <v>26</v>
      </c>
      <c r="G1450" s="53">
        <f t="shared" si="23"/>
        <v>-1.351643349581243</v>
      </c>
      <c r="H1450" s="35"/>
      <c r="P1450" s="6"/>
    </row>
    <row r="1451" spans="1:16" ht="14.4" x14ac:dyDescent="0.25">
      <c r="A1451" s="6">
        <v>4771</v>
      </c>
      <c r="B1451" s="6">
        <v>33893</v>
      </c>
      <c r="C1451" s="19">
        <v>41172</v>
      </c>
      <c r="D1451" s="6" t="s">
        <v>28</v>
      </c>
      <c r="E1451" s="6">
        <f>IF((ISBLANK($B$1)),"",Sheet1!Q1458)</f>
        <v>4200</v>
      </c>
      <c r="F1451" s="20" t="s">
        <v>26</v>
      </c>
      <c r="G1451" s="53">
        <f t="shared" si="23"/>
        <v>-0.6611662132264714</v>
      </c>
      <c r="H1451" s="35"/>
      <c r="P1451" s="6"/>
    </row>
    <row r="1452" spans="1:16" ht="14.4" x14ac:dyDescent="0.25">
      <c r="A1452" s="6">
        <v>4862</v>
      </c>
      <c r="B1452" s="6">
        <v>34599</v>
      </c>
      <c r="C1452" s="19">
        <v>40240</v>
      </c>
      <c r="D1452" s="6" t="s">
        <v>25</v>
      </c>
      <c r="E1452" s="6">
        <f>IF((ISBLANK($B$1)),"",Sheet1!Q1459)</f>
        <v>4700</v>
      </c>
      <c r="F1452" s="20" t="s">
        <v>29</v>
      </c>
      <c r="G1452" s="53">
        <f t="shared" si="23"/>
        <v>2.9310923128300338E-2</v>
      </c>
      <c r="H1452" s="35"/>
      <c r="P1452" s="6"/>
    </row>
    <row r="1453" spans="1:16" ht="14.4" x14ac:dyDescent="0.25">
      <c r="A1453" s="6">
        <v>4863</v>
      </c>
      <c r="B1453" s="6">
        <v>34599</v>
      </c>
      <c r="C1453" s="19">
        <v>40240</v>
      </c>
      <c r="D1453" s="6" t="s">
        <v>25</v>
      </c>
      <c r="E1453" s="6">
        <f>IF((ISBLANK($B$1)),"",Sheet1!Q1460)</f>
        <v>4850</v>
      </c>
      <c r="F1453" s="20" t="s">
        <v>26</v>
      </c>
      <c r="G1453" s="53">
        <f t="shared" si="23"/>
        <v>0.23645406403473185</v>
      </c>
      <c r="H1453" s="35"/>
      <c r="P1453" s="6"/>
    </row>
    <row r="1454" spans="1:16" ht="14.4" x14ac:dyDescent="0.25">
      <c r="A1454" s="6">
        <v>4879</v>
      </c>
      <c r="B1454" s="6">
        <v>34721</v>
      </c>
      <c r="C1454" s="19">
        <v>40483</v>
      </c>
      <c r="D1454" s="6" t="s">
        <v>28</v>
      </c>
      <c r="E1454" s="6">
        <f>IF((ISBLANK($B$1)),"",Sheet1!Q1461)</f>
        <v>5700</v>
      </c>
      <c r="F1454" s="20" t="s">
        <v>26</v>
      </c>
      <c r="G1454" s="53">
        <f t="shared" si="23"/>
        <v>1.4102651958378438</v>
      </c>
      <c r="H1454" s="35"/>
      <c r="P1454" s="6"/>
    </row>
    <row r="1455" spans="1:16" ht="14.4" x14ac:dyDescent="0.25">
      <c r="A1455" s="6">
        <v>4889</v>
      </c>
      <c r="B1455" s="6">
        <v>34787</v>
      </c>
      <c r="C1455" s="19">
        <v>40237</v>
      </c>
      <c r="D1455" s="6" t="s">
        <v>25</v>
      </c>
      <c r="E1455" s="6">
        <f>IF((ISBLANK($B$1)),"",Sheet1!Q1462)</f>
        <v>4100</v>
      </c>
      <c r="F1455" s="20" t="s">
        <v>26</v>
      </c>
      <c r="G1455" s="53">
        <f t="shared" si="23"/>
        <v>-0.79926164049742576</v>
      </c>
      <c r="H1455" s="35"/>
      <c r="P1455" s="6"/>
    </row>
    <row r="1456" spans="1:16" ht="14.4" x14ac:dyDescent="0.25">
      <c r="A1456" s="6">
        <v>4891</v>
      </c>
      <c r="B1456" s="6">
        <v>34791</v>
      </c>
      <c r="C1456" s="19">
        <v>40670</v>
      </c>
      <c r="D1456" s="6" t="s">
        <v>16</v>
      </c>
      <c r="E1456" s="6">
        <f>IF((ISBLANK($B$1)),"",Sheet1!Q1463)</f>
        <v>5250</v>
      </c>
      <c r="F1456" s="20" t="s">
        <v>29</v>
      </c>
      <c r="G1456" s="53">
        <f t="shared" si="23"/>
        <v>0.78883577311854924</v>
      </c>
      <c r="H1456" s="35"/>
      <c r="P1456" s="6"/>
    </row>
    <row r="1457" spans="1:16" ht="14.4" x14ac:dyDescent="0.25">
      <c r="A1457" s="6">
        <v>4892</v>
      </c>
      <c r="B1457" s="6">
        <v>34791</v>
      </c>
      <c r="C1457" s="19">
        <v>40670</v>
      </c>
      <c r="D1457" s="6" t="s">
        <v>16</v>
      </c>
      <c r="E1457" s="6">
        <f>IF((ISBLANK($B$1)),"",Sheet1!Q1464)</f>
        <v>3850</v>
      </c>
      <c r="F1457" s="20" t="s">
        <v>26</v>
      </c>
      <c r="G1457" s="53">
        <f t="shared" si="23"/>
        <v>-1.1445002086748115</v>
      </c>
      <c r="H1457" s="35"/>
      <c r="P1457" s="6"/>
    </row>
    <row r="1458" spans="1:16" ht="14.4" x14ac:dyDescent="0.25">
      <c r="A1458" s="6">
        <v>4895</v>
      </c>
      <c r="B1458" s="6">
        <v>34822</v>
      </c>
      <c r="C1458" s="19">
        <v>41100</v>
      </c>
      <c r="D1458" s="6" t="s">
        <v>28</v>
      </c>
      <c r="E1458" s="6">
        <f>IF((ISBLANK($B$1)),"",Sheet1!Q1465)</f>
        <v>4550</v>
      </c>
      <c r="F1458" s="20" t="s">
        <v>27</v>
      </c>
      <c r="G1458" s="53">
        <f t="shared" si="23"/>
        <v>-0.17783221777813119</v>
      </c>
      <c r="H1458" s="35"/>
      <c r="P1458" s="6"/>
    </row>
    <row r="1459" spans="1:16" ht="14.4" x14ac:dyDescent="0.25">
      <c r="A1459" s="6">
        <v>4900</v>
      </c>
      <c r="B1459" s="6">
        <v>34853</v>
      </c>
      <c r="C1459" s="19">
        <v>40815</v>
      </c>
      <c r="D1459" s="6" t="s">
        <v>30</v>
      </c>
      <c r="E1459" s="6">
        <f>IF((ISBLANK($B$1)),"",Sheet1!Q1466)</f>
        <v>5850</v>
      </c>
      <c r="F1459" s="20" t="s">
        <v>29</v>
      </c>
      <c r="G1459" s="53">
        <f t="shared" si="23"/>
        <v>1.6174083367442753</v>
      </c>
      <c r="H1459" s="35"/>
      <c r="P1459" s="6"/>
    </row>
    <row r="1460" spans="1:16" ht="14.4" x14ac:dyDescent="0.25">
      <c r="A1460" s="6">
        <v>4991</v>
      </c>
      <c r="B1460" s="6">
        <v>35522</v>
      </c>
      <c r="C1460" s="19">
        <v>40476</v>
      </c>
      <c r="D1460" s="6" t="s">
        <v>25</v>
      </c>
      <c r="E1460" s="6">
        <f>IF((ISBLANK($B$1)),"",Sheet1!Q1467)</f>
        <v>4750</v>
      </c>
      <c r="F1460" s="20" t="s">
        <v>27</v>
      </c>
      <c r="G1460" s="53">
        <f t="shared" si="23"/>
        <v>9.8358636763777513E-2</v>
      </c>
      <c r="H1460" s="35"/>
      <c r="P1460" s="6"/>
    </row>
    <row r="1461" spans="1:16" ht="14.4" x14ac:dyDescent="0.25">
      <c r="A1461" s="6">
        <v>5062</v>
      </c>
      <c r="B1461" s="6">
        <v>36099</v>
      </c>
      <c r="C1461" s="19">
        <v>40438</v>
      </c>
      <c r="D1461" s="6" t="s">
        <v>25</v>
      </c>
      <c r="E1461" s="6">
        <f>IF((ISBLANK($B$1)),"",Sheet1!Q1468)</f>
        <v>5000</v>
      </c>
      <c r="F1461" s="20" t="s">
        <v>26</v>
      </c>
      <c r="G1461" s="53">
        <f t="shared" si="23"/>
        <v>0.44359720494116334</v>
      </c>
      <c r="H1461" s="35"/>
      <c r="P1461" s="6"/>
    </row>
    <row r="1462" spans="1:16" ht="14.4" x14ac:dyDescent="0.25">
      <c r="A1462" s="6">
        <v>5063</v>
      </c>
      <c r="B1462" s="6">
        <v>36099</v>
      </c>
      <c r="C1462" s="19">
        <v>40438</v>
      </c>
      <c r="D1462" s="6" t="s">
        <v>25</v>
      </c>
      <c r="E1462" s="6">
        <f>IF((ISBLANK($B$1)),"",Sheet1!Q1469)</f>
        <v>4150</v>
      </c>
      <c r="F1462" s="20" t="s">
        <v>26</v>
      </c>
      <c r="G1462" s="53">
        <f t="shared" si="23"/>
        <v>-0.73021392686194853</v>
      </c>
      <c r="H1462" s="35"/>
      <c r="P1462" s="6"/>
    </row>
    <row r="1463" spans="1:16" ht="14.4" x14ac:dyDescent="0.25">
      <c r="A1463" s="6">
        <v>5106</v>
      </c>
      <c r="B1463" s="6">
        <v>36359</v>
      </c>
      <c r="C1463" s="19">
        <v>40870</v>
      </c>
      <c r="D1463" s="6" t="s">
        <v>17</v>
      </c>
      <c r="E1463" s="6">
        <f>IF((ISBLANK($B$1)),"",Sheet1!Q1470)</f>
        <v>3500</v>
      </c>
      <c r="F1463" s="20" t="s">
        <v>26</v>
      </c>
      <c r="G1463" s="53">
        <f t="shared" si="23"/>
        <v>-1.6278342041231517</v>
      </c>
      <c r="H1463" s="35"/>
      <c r="P1463" s="6"/>
    </row>
    <row r="1464" spans="1:16" ht="14.4" x14ac:dyDescent="0.25">
      <c r="A1464" s="6">
        <v>5193</v>
      </c>
      <c r="B1464" s="6">
        <v>36901</v>
      </c>
      <c r="C1464" s="19">
        <v>41165</v>
      </c>
      <c r="D1464" s="6" t="s">
        <v>30</v>
      </c>
      <c r="E1464" s="6">
        <f>IF((ISBLANK($B$1)),"",Sheet1!Q1471)</f>
        <v>4900</v>
      </c>
      <c r="F1464" s="20" t="s">
        <v>26</v>
      </c>
      <c r="G1464" s="53">
        <f t="shared" si="23"/>
        <v>0.30550177767020903</v>
      </c>
      <c r="H1464" s="35"/>
      <c r="P1464" s="6"/>
    </row>
    <row r="1465" spans="1:16" ht="14.4" x14ac:dyDescent="0.25">
      <c r="A1465" s="6">
        <v>5256</v>
      </c>
      <c r="B1465" s="6">
        <v>37412</v>
      </c>
      <c r="C1465" s="19">
        <v>41124</v>
      </c>
      <c r="D1465" s="6" t="s">
        <v>17</v>
      </c>
      <c r="E1465" s="6">
        <f>IF((ISBLANK($B$1)),"",Sheet1!Q1472)</f>
        <v>4250</v>
      </c>
      <c r="F1465" s="20" t="s">
        <v>26</v>
      </c>
      <c r="G1465" s="53">
        <f t="shared" si="23"/>
        <v>-0.59211849959099416</v>
      </c>
      <c r="H1465" s="35"/>
      <c r="P1465" s="6"/>
    </row>
    <row r="1466" spans="1:16" ht="14.4" x14ac:dyDescent="0.25">
      <c r="A1466" s="6">
        <v>5437</v>
      </c>
      <c r="B1466" s="6">
        <v>38625</v>
      </c>
      <c r="C1466" s="19">
        <v>40499</v>
      </c>
      <c r="D1466" s="6" t="s">
        <v>28</v>
      </c>
      <c r="E1466" s="6">
        <f>IF((ISBLANK($B$1)),"",Sheet1!Q1473)</f>
        <v>4800</v>
      </c>
      <c r="F1466" s="20" t="s">
        <v>27</v>
      </c>
      <c r="G1466" s="53">
        <f t="shared" si="23"/>
        <v>0.16740635039925467</v>
      </c>
      <c r="H1466" s="35"/>
      <c r="P1466" s="6"/>
    </row>
    <row r="1467" spans="1:16" ht="14.4" x14ac:dyDescent="0.25">
      <c r="A1467" s="6">
        <v>5438</v>
      </c>
      <c r="B1467" s="6">
        <v>38625</v>
      </c>
      <c r="C1467" s="19">
        <v>40499</v>
      </c>
      <c r="D1467" s="6" t="s">
        <v>28</v>
      </c>
      <c r="E1467" s="6">
        <f>IF((ISBLANK($B$1)),"",Sheet1!Q1474)</f>
        <v>4000</v>
      </c>
      <c r="F1467" s="20" t="s">
        <v>26</v>
      </c>
      <c r="G1467" s="53">
        <f t="shared" si="23"/>
        <v>-0.93735706776838001</v>
      </c>
      <c r="H1467" s="35"/>
      <c r="P1467" s="6"/>
    </row>
    <row r="1468" spans="1:16" ht="14.4" x14ac:dyDescent="0.25">
      <c r="A1468" s="6">
        <v>5443</v>
      </c>
      <c r="B1468" s="6">
        <v>38656</v>
      </c>
      <c r="C1468" s="19">
        <v>41131</v>
      </c>
      <c r="D1468" s="6" t="s">
        <v>25</v>
      </c>
      <c r="E1468" s="6">
        <f>IF((ISBLANK($B$1)),"",Sheet1!Q1475)</f>
        <v>4050</v>
      </c>
      <c r="F1468" s="20" t="s">
        <v>26</v>
      </c>
      <c r="G1468" s="53">
        <f t="shared" si="23"/>
        <v>-0.86830935413290289</v>
      </c>
      <c r="H1468" s="35"/>
      <c r="P1468" s="6"/>
    </row>
    <row r="1469" spans="1:16" ht="14.4" x14ac:dyDescent="0.25">
      <c r="A1469" s="6">
        <v>5458</v>
      </c>
      <c r="B1469" s="6">
        <v>38784</v>
      </c>
      <c r="C1469" s="19">
        <v>40577</v>
      </c>
      <c r="D1469" s="6" t="s">
        <v>16</v>
      </c>
      <c r="E1469" s="6">
        <f>IF((ISBLANK($B$1)),"",Sheet1!Q1476)</f>
        <v>5900</v>
      </c>
      <c r="F1469" s="20" t="s">
        <v>26</v>
      </c>
      <c r="G1469" s="53">
        <f t="shared" si="23"/>
        <v>1.6864560503797523</v>
      </c>
      <c r="H1469" s="35"/>
      <c r="P1469" s="6"/>
    </row>
    <row r="1470" spans="1:16" ht="14.4" x14ac:dyDescent="0.25">
      <c r="A1470" s="6">
        <v>5471</v>
      </c>
      <c r="B1470" s="6">
        <v>38882</v>
      </c>
      <c r="C1470" s="19">
        <v>40161</v>
      </c>
      <c r="D1470" s="6" t="s">
        <v>30</v>
      </c>
      <c r="E1470" s="6">
        <f>IF((ISBLANK($B$1)),"",Sheet1!Q1477)</f>
        <v>5250</v>
      </c>
      <c r="F1470" s="20" t="s">
        <v>29</v>
      </c>
      <c r="G1470" s="53">
        <f t="shared" si="23"/>
        <v>0.78883577311854924</v>
      </c>
      <c r="H1470" s="35"/>
      <c r="P1470" s="6"/>
    </row>
    <row r="1471" spans="1:16" ht="14.4" x14ac:dyDescent="0.25">
      <c r="A1471" s="6">
        <v>5579</v>
      </c>
      <c r="B1471" s="6">
        <v>39527</v>
      </c>
      <c r="C1471" s="19">
        <v>40650</v>
      </c>
      <c r="D1471" s="6" t="s">
        <v>25</v>
      </c>
      <c r="E1471" s="6">
        <f>IF((ISBLANK($B$1)),"",Sheet1!Q1478)</f>
        <v>4850</v>
      </c>
      <c r="F1471" s="20" t="s">
        <v>26</v>
      </c>
      <c r="G1471" s="53">
        <f t="shared" si="23"/>
        <v>0.23645406403473185</v>
      </c>
      <c r="H1471" s="35"/>
      <c r="P1471" s="6"/>
    </row>
    <row r="1472" spans="1:16" ht="14.4" x14ac:dyDescent="0.25">
      <c r="A1472" s="6">
        <v>5627</v>
      </c>
      <c r="B1472" s="6">
        <v>39845</v>
      </c>
      <c r="C1472" s="19">
        <v>40062</v>
      </c>
      <c r="D1472" s="6" t="s">
        <v>30</v>
      </c>
      <c r="E1472" s="6">
        <f>IF((ISBLANK($B$1)),"",Sheet1!Q1479)</f>
        <v>5600</v>
      </c>
      <c r="F1472" s="20" t="s">
        <v>26</v>
      </c>
      <c r="G1472" s="53">
        <f t="shared" si="23"/>
        <v>1.2721697685668893</v>
      </c>
      <c r="H1472" s="35"/>
      <c r="P1472" s="6"/>
    </row>
    <row r="1473" spans="1:16" ht="14.4" x14ac:dyDescent="0.25">
      <c r="A1473" s="6">
        <v>5637</v>
      </c>
      <c r="B1473" s="6">
        <v>39877</v>
      </c>
      <c r="C1473" s="19">
        <v>41137</v>
      </c>
      <c r="D1473" s="6" t="s">
        <v>30</v>
      </c>
      <c r="E1473" s="6">
        <f>IF((ISBLANK($B$1)),"",Sheet1!Q1480)</f>
        <v>5450</v>
      </c>
      <c r="F1473" s="20" t="s">
        <v>26</v>
      </c>
      <c r="G1473" s="53">
        <f t="shared" si="23"/>
        <v>1.0650266276604579</v>
      </c>
      <c r="H1473" s="35"/>
      <c r="P1473" s="6"/>
    </row>
    <row r="1474" spans="1:16" ht="14.4" x14ac:dyDescent="0.25">
      <c r="A1474" s="6">
        <v>5695</v>
      </c>
      <c r="B1474" s="6">
        <v>40259</v>
      </c>
      <c r="C1474" s="19">
        <v>40463</v>
      </c>
      <c r="D1474" s="6" t="s">
        <v>16</v>
      </c>
      <c r="E1474" s="6">
        <f>IF((ISBLANK($B$1)),"",Sheet1!Q1481)</f>
        <v>3600</v>
      </c>
      <c r="F1474" s="20" t="s">
        <v>27</v>
      </c>
      <c r="G1474" s="53">
        <f t="shared" si="23"/>
        <v>-1.4897387768521975</v>
      </c>
      <c r="H1474" s="35"/>
      <c r="P1474" s="6"/>
    </row>
    <row r="1475" spans="1:16" ht="14.4" x14ac:dyDescent="0.25">
      <c r="A1475" s="6">
        <v>5814</v>
      </c>
      <c r="B1475" s="6">
        <v>41217</v>
      </c>
      <c r="C1475" s="19">
        <v>40737</v>
      </c>
      <c r="D1475" s="6" t="s">
        <v>17</v>
      </c>
      <c r="E1475" s="6">
        <f>IF((ISBLANK($B$1)),"",Sheet1!Q1482)</f>
        <v>4550</v>
      </c>
      <c r="F1475" s="20" t="s">
        <v>26</v>
      </c>
      <c r="G1475" s="53">
        <f t="shared" si="23"/>
        <v>-0.17783221777813119</v>
      </c>
      <c r="H1475" s="35"/>
      <c r="P1475" s="6"/>
    </row>
    <row r="1476" spans="1:16" ht="14.4" x14ac:dyDescent="0.25">
      <c r="A1476" s="6">
        <v>5876</v>
      </c>
      <c r="B1476" s="6">
        <v>41671</v>
      </c>
      <c r="C1476" s="19">
        <v>41246</v>
      </c>
      <c r="D1476" s="6" t="s">
        <v>30</v>
      </c>
      <c r="E1476" s="6">
        <f>IF((ISBLANK($B$1)),"",Sheet1!Q1483)</f>
        <v>5850</v>
      </c>
      <c r="F1476" s="20" t="s">
        <v>26</v>
      </c>
      <c r="G1476" s="53">
        <f t="shared" si="23"/>
        <v>1.6174083367442753</v>
      </c>
      <c r="H1476" s="35"/>
      <c r="P1476" s="6"/>
    </row>
    <row r="1477" spans="1:16" ht="14.4" x14ac:dyDescent="0.25">
      <c r="A1477" s="6">
        <v>5915</v>
      </c>
      <c r="B1477" s="6">
        <v>41927</v>
      </c>
      <c r="C1477" s="19">
        <v>41103</v>
      </c>
      <c r="D1477" s="6" t="s">
        <v>28</v>
      </c>
      <c r="E1477" s="6">
        <f>IF((ISBLANK($B$1)),"",Sheet1!Q1484)</f>
        <v>5700</v>
      </c>
      <c r="F1477" s="20" t="s">
        <v>26</v>
      </c>
      <c r="G1477" s="53">
        <f t="shared" si="23"/>
        <v>1.4102651958378438</v>
      </c>
      <c r="H1477" s="35"/>
      <c r="P1477" s="6"/>
    </row>
    <row r="1478" spans="1:16" ht="14.4" x14ac:dyDescent="0.25">
      <c r="A1478" s="6">
        <v>5919</v>
      </c>
      <c r="B1478" s="6">
        <v>41988</v>
      </c>
      <c r="C1478" s="19">
        <v>39848</v>
      </c>
      <c r="D1478" s="6" t="s">
        <v>25</v>
      </c>
      <c r="E1478" s="6">
        <f>IF((ISBLANK($B$1)),"",Sheet1!Q1485)</f>
        <v>5050</v>
      </c>
      <c r="F1478" s="20" t="s">
        <v>27</v>
      </c>
      <c r="G1478" s="53">
        <f t="shared" si="23"/>
        <v>0.51264491857664052</v>
      </c>
      <c r="H1478" s="35"/>
      <c r="P1478" s="6"/>
    </row>
    <row r="1479" spans="1:16" ht="14.4" x14ac:dyDescent="0.25">
      <c r="A1479" s="6">
        <v>5920</v>
      </c>
      <c r="B1479" s="6">
        <v>41988</v>
      </c>
      <c r="C1479" s="19">
        <v>39848</v>
      </c>
      <c r="D1479" s="6" t="s">
        <v>25</v>
      </c>
      <c r="E1479" s="6">
        <f>IF((ISBLANK($B$1)),"",Sheet1!Q1486)</f>
        <v>4300</v>
      </c>
      <c r="F1479" s="20" t="s">
        <v>29</v>
      </c>
      <c r="G1479" s="53">
        <f t="shared" si="23"/>
        <v>-0.52307078595551704</v>
      </c>
      <c r="H1479" s="35"/>
      <c r="P1479" s="6"/>
    </row>
    <row r="1480" spans="1:16" ht="14.4" x14ac:dyDescent="0.25">
      <c r="A1480" s="6">
        <v>5921</v>
      </c>
      <c r="B1480" s="6">
        <v>41988</v>
      </c>
      <c r="C1480" s="19">
        <v>39848</v>
      </c>
      <c r="D1480" s="6" t="s">
        <v>25</v>
      </c>
      <c r="E1480" s="6">
        <f>IF((ISBLANK($B$1)),"",Sheet1!Q1487)</f>
        <v>4100</v>
      </c>
      <c r="F1480" s="20" t="s">
        <v>26</v>
      </c>
      <c r="G1480" s="53">
        <f t="shared" ref="G1480:G1543" si="24">STANDARDIZE(E1480,$L$26,$L$35)</f>
        <v>-0.79926164049742576</v>
      </c>
      <c r="H1480" s="35"/>
      <c r="P1480" s="6"/>
    </row>
    <row r="1481" spans="1:16" ht="14.4" x14ac:dyDescent="0.25">
      <c r="A1481" s="6">
        <v>6026</v>
      </c>
      <c r="B1481" s="6">
        <v>42692</v>
      </c>
      <c r="C1481" s="19">
        <v>40897</v>
      </c>
      <c r="D1481" s="6" t="s">
        <v>16</v>
      </c>
      <c r="E1481" s="6">
        <f>IF((ISBLANK($B$1)),"",Sheet1!Q1488)</f>
        <v>5450</v>
      </c>
      <c r="F1481" s="20" t="s">
        <v>26</v>
      </c>
      <c r="G1481" s="53">
        <f t="shared" si="24"/>
        <v>1.0650266276604579</v>
      </c>
      <c r="H1481" s="35"/>
      <c r="P1481" s="6"/>
    </row>
    <row r="1482" spans="1:16" ht="14.4" x14ac:dyDescent="0.25">
      <c r="A1482" s="6">
        <v>6027</v>
      </c>
      <c r="B1482" s="6">
        <v>42692</v>
      </c>
      <c r="C1482" s="19">
        <v>40897</v>
      </c>
      <c r="D1482" s="6" t="s">
        <v>16</v>
      </c>
      <c r="E1482" s="6">
        <f>IF((ISBLANK($B$1)),"",Sheet1!Q1489)</f>
        <v>5500</v>
      </c>
      <c r="F1482" s="20" t="s">
        <v>26</v>
      </c>
      <c r="G1482" s="53">
        <f t="shared" si="24"/>
        <v>1.1340743412959351</v>
      </c>
      <c r="H1482" s="35"/>
      <c r="P1482" s="6"/>
    </row>
    <row r="1483" spans="1:16" ht="14.4" x14ac:dyDescent="0.25">
      <c r="A1483" s="6">
        <v>6216</v>
      </c>
      <c r="B1483" s="6">
        <v>44007</v>
      </c>
      <c r="C1483" s="19">
        <v>40693</v>
      </c>
      <c r="D1483" s="6" t="s">
        <v>16</v>
      </c>
      <c r="E1483" s="6">
        <f>IF((ISBLANK($B$1)),"",Sheet1!Q1490)</f>
        <v>5900</v>
      </c>
      <c r="F1483" s="20" t="s">
        <v>26</v>
      </c>
      <c r="G1483" s="53">
        <f t="shared" si="24"/>
        <v>1.6864560503797523</v>
      </c>
      <c r="H1483" s="35"/>
      <c r="P1483" s="6"/>
    </row>
    <row r="1484" spans="1:16" ht="14.4" x14ac:dyDescent="0.25">
      <c r="A1484" s="6">
        <v>6279</v>
      </c>
      <c r="B1484" s="6">
        <v>44450</v>
      </c>
      <c r="C1484" s="19">
        <v>40460</v>
      </c>
      <c r="D1484" s="6" t="s">
        <v>30</v>
      </c>
      <c r="E1484" s="6">
        <f>IF((ISBLANK($B$1)),"",Sheet1!Q1491)</f>
        <v>4100</v>
      </c>
      <c r="F1484" s="20" t="s">
        <v>27</v>
      </c>
      <c r="G1484" s="53">
        <f t="shared" si="24"/>
        <v>-0.79926164049742576</v>
      </c>
      <c r="H1484" s="35"/>
      <c r="P1484" s="6"/>
    </row>
    <row r="1485" spans="1:16" ht="14.4" x14ac:dyDescent="0.25">
      <c r="A1485" s="6">
        <v>6280</v>
      </c>
      <c r="B1485" s="6">
        <v>44450</v>
      </c>
      <c r="C1485" s="19">
        <v>40460</v>
      </c>
      <c r="D1485" s="6" t="s">
        <v>30</v>
      </c>
      <c r="E1485" s="6">
        <f>IF((ISBLANK($B$1)),"",Sheet1!Q1492)</f>
        <v>4600</v>
      </c>
      <c r="F1485" s="20" t="s">
        <v>27</v>
      </c>
      <c r="G1485" s="53">
        <f t="shared" si="24"/>
        <v>-0.108784504142654</v>
      </c>
      <c r="H1485" s="35"/>
      <c r="P1485" s="6"/>
    </row>
    <row r="1486" spans="1:16" ht="14.4" x14ac:dyDescent="0.25">
      <c r="A1486" s="6">
        <v>6302</v>
      </c>
      <c r="B1486" s="6">
        <v>44610</v>
      </c>
      <c r="C1486" s="19">
        <v>40612</v>
      </c>
      <c r="D1486" s="6" t="s">
        <v>17</v>
      </c>
      <c r="E1486" s="6">
        <f>IF((ISBLANK($B$1)),"",Sheet1!Q1493)</f>
        <v>4950</v>
      </c>
      <c r="F1486" s="20" t="s">
        <v>26</v>
      </c>
      <c r="G1486" s="53">
        <f t="shared" si="24"/>
        <v>0.37454949130568621</v>
      </c>
      <c r="H1486" s="35"/>
      <c r="P1486" s="6"/>
    </row>
    <row r="1487" spans="1:16" ht="14.4" x14ac:dyDescent="0.25">
      <c r="A1487" s="6">
        <v>6350</v>
      </c>
      <c r="B1487" s="6">
        <v>44999</v>
      </c>
      <c r="C1487" s="19">
        <v>40200</v>
      </c>
      <c r="D1487" s="6" t="s">
        <v>16</v>
      </c>
      <c r="E1487" s="6">
        <f>IF((ISBLANK($B$1)),"",Sheet1!Q1494)</f>
        <v>4250</v>
      </c>
      <c r="F1487" s="20" t="s">
        <v>26</v>
      </c>
      <c r="G1487" s="53">
        <f t="shared" si="24"/>
        <v>-0.59211849959099416</v>
      </c>
      <c r="H1487" s="35"/>
      <c r="P1487" s="6"/>
    </row>
    <row r="1488" spans="1:16" ht="14.4" x14ac:dyDescent="0.25">
      <c r="A1488" s="6">
        <v>6351</v>
      </c>
      <c r="B1488" s="6">
        <v>45025</v>
      </c>
      <c r="C1488" s="19">
        <v>40644</v>
      </c>
      <c r="D1488" s="6" t="s">
        <v>17</v>
      </c>
      <c r="E1488" s="6">
        <f>IF((ISBLANK($B$1)),"",Sheet1!Q1495)</f>
        <v>4700</v>
      </c>
      <c r="F1488" s="20" t="s">
        <v>26</v>
      </c>
      <c r="G1488" s="53">
        <f t="shared" si="24"/>
        <v>2.9310923128300338E-2</v>
      </c>
      <c r="H1488" s="35"/>
      <c r="P1488" s="6"/>
    </row>
    <row r="1489" spans="1:16" ht="14.4" x14ac:dyDescent="0.25">
      <c r="A1489" s="6">
        <v>6374</v>
      </c>
      <c r="B1489" s="6">
        <v>45248</v>
      </c>
      <c r="C1489" s="19">
        <v>40649</v>
      </c>
      <c r="D1489" s="6" t="s">
        <v>16</v>
      </c>
      <c r="E1489" s="6">
        <f>IF((ISBLANK($B$1)),"",Sheet1!Q1496)</f>
        <v>5300</v>
      </c>
      <c r="F1489" s="20" t="s">
        <v>26</v>
      </c>
      <c r="G1489" s="53">
        <f t="shared" si="24"/>
        <v>0.85788348675402637</v>
      </c>
      <c r="H1489" s="35"/>
      <c r="P1489" s="6"/>
    </row>
    <row r="1490" spans="1:16" ht="14.4" x14ac:dyDescent="0.25">
      <c r="A1490" s="6">
        <v>6375</v>
      </c>
      <c r="B1490" s="6">
        <v>45248</v>
      </c>
      <c r="C1490" s="19">
        <v>40649</v>
      </c>
      <c r="D1490" s="6" t="s">
        <v>16</v>
      </c>
      <c r="E1490" s="6">
        <f>IF((ISBLANK($B$1)),"",Sheet1!Q1497)</f>
        <v>5000</v>
      </c>
      <c r="F1490" s="20" t="s">
        <v>27</v>
      </c>
      <c r="G1490" s="53">
        <f t="shared" si="24"/>
        <v>0.44359720494116334</v>
      </c>
      <c r="H1490" s="35"/>
      <c r="P1490" s="6"/>
    </row>
    <row r="1491" spans="1:16" ht="14.4" x14ac:dyDescent="0.25">
      <c r="A1491" s="6">
        <v>6376</v>
      </c>
      <c r="B1491" s="6">
        <v>45249</v>
      </c>
      <c r="C1491" s="19">
        <v>40509</v>
      </c>
      <c r="D1491" s="6" t="s">
        <v>25</v>
      </c>
      <c r="E1491" s="6">
        <f>IF((ISBLANK($B$1)),"",Sheet1!Q1498)</f>
        <v>4600</v>
      </c>
      <c r="F1491" s="20" t="s">
        <v>27</v>
      </c>
      <c r="G1491" s="53">
        <f t="shared" si="24"/>
        <v>-0.108784504142654</v>
      </c>
      <c r="H1491" s="35"/>
      <c r="P1491" s="6"/>
    </row>
    <row r="1492" spans="1:16" ht="14.4" x14ac:dyDescent="0.25">
      <c r="A1492" s="6">
        <v>6411</v>
      </c>
      <c r="B1492" s="6">
        <v>45570</v>
      </c>
      <c r="C1492" s="19">
        <v>40399</v>
      </c>
      <c r="D1492" s="6" t="s">
        <v>30</v>
      </c>
      <c r="E1492" s="6">
        <f>IF((ISBLANK($B$1)),"",Sheet1!Q1499)</f>
        <v>4350</v>
      </c>
      <c r="F1492" s="20" t="s">
        <v>26</v>
      </c>
      <c r="G1492" s="53">
        <f t="shared" si="24"/>
        <v>-0.45402307232003986</v>
      </c>
      <c r="H1492" s="35"/>
      <c r="P1492" s="6"/>
    </row>
    <row r="1493" spans="1:16" ht="14.4" x14ac:dyDescent="0.25">
      <c r="A1493" s="6">
        <v>6434</v>
      </c>
      <c r="B1493" s="6">
        <v>45731</v>
      </c>
      <c r="C1493" s="19">
        <v>40035</v>
      </c>
      <c r="D1493" s="6" t="s">
        <v>30</v>
      </c>
      <c r="E1493" s="6">
        <f>IF((ISBLANK($B$1)),"",Sheet1!Q1500)</f>
        <v>5600</v>
      </c>
      <c r="F1493" s="20" t="s">
        <v>29</v>
      </c>
      <c r="G1493" s="53">
        <f t="shared" si="24"/>
        <v>1.2721697685668893</v>
      </c>
      <c r="H1493" s="35"/>
      <c r="P1493" s="6"/>
    </row>
    <row r="1494" spans="1:16" ht="14.4" x14ac:dyDescent="0.25">
      <c r="A1494" s="6">
        <v>6517</v>
      </c>
      <c r="B1494" s="6">
        <v>46375</v>
      </c>
      <c r="C1494" s="19">
        <v>40416</v>
      </c>
      <c r="D1494" s="6" t="s">
        <v>16</v>
      </c>
      <c r="E1494" s="6">
        <f>IF((ISBLANK($B$1)),"",Sheet1!Q1501)</f>
        <v>4600</v>
      </c>
      <c r="F1494" s="20" t="s">
        <v>26</v>
      </c>
      <c r="G1494" s="53">
        <f t="shared" si="24"/>
        <v>-0.108784504142654</v>
      </c>
      <c r="H1494" s="35"/>
      <c r="P1494" s="6"/>
    </row>
    <row r="1495" spans="1:16" ht="14.4" x14ac:dyDescent="0.25">
      <c r="A1495" s="6">
        <v>6518</v>
      </c>
      <c r="B1495" s="6">
        <v>46375</v>
      </c>
      <c r="C1495" s="19">
        <v>40416</v>
      </c>
      <c r="D1495" s="6" t="s">
        <v>16</v>
      </c>
      <c r="E1495" s="6">
        <f>IF((ISBLANK($B$1)),"",Sheet1!Q1502)</f>
        <v>4200</v>
      </c>
      <c r="F1495" s="20" t="s">
        <v>27</v>
      </c>
      <c r="G1495" s="53">
        <f t="shared" si="24"/>
        <v>-0.6611662132264714</v>
      </c>
      <c r="H1495" s="35"/>
      <c r="P1495" s="6"/>
    </row>
    <row r="1496" spans="1:16" ht="14.4" x14ac:dyDescent="0.25">
      <c r="A1496" s="6">
        <v>6588</v>
      </c>
      <c r="B1496" s="6">
        <v>46885</v>
      </c>
      <c r="C1496" s="19">
        <v>40701</v>
      </c>
      <c r="D1496" s="6" t="s">
        <v>25</v>
      </c>
      <c r="E1496" s="6">
        <f>IF((ISBLANK($B$1)),"",Sheet1!Q1503)</f>
        <v>4750</v>
      </c>
      <c r="F1496" s="20" t="s">
        <v>29</v>
      </c>
      <c r="G1496" s="53">
        <f t="shared" si="24"/>
        <v>9.8358636763777513E-2</v>
      </c>
      <c r="H1496" s="35"/>
      <c r="P1496" s="6"/>
    </row>
    <row r="1497" spans="1:16" ht="14.4" x14ac:dyDescent="0.25">
      <c r="A1497" s="6">
        <v>6589</v>
      </c>
      <c r="B1497" s="6">
        <v>46885</v>
      </c>
      <c r="C1497" s="19">
        <v>40701</v>
      </c>
      <c r="D1497" s="6" t="s">
        <v>25</v>
      </c>
      <c r="E1497" s="6">
        <f>IF((ISBLANK($B$1)),"",Sheet1!Q1504)</f>
        <v>5800</v>
      </c>
      <c r="F1497" s="20" t="s">
        <v>26</v>
      </c>
      <c r="G1497" s="53">
        <f t="shared" si="24"/>
        <v>1.5483606231087981</v>
      </c>
      <c r="H1497" s="35"/>
      <c r="P1497" s="6"/>
    </row>
    <row r="1498" spans="1:16" ht="14.4" x14ac:dyDescent="0.25">
      <c r="A1498" s="6">
        <v>6590</v>
      </c>
      <c r="B1498" s="6">
        <v>46885</v>
      </c>
      <c r="C1498" s="19">
        <v>40701</v>
      </c>
      <c r="D1498" s="6" t="s">
        <v>25</v>
      </c>
      <c r="E1498" s="6">
        <f>IF((ISBLANK($B$1)),"",Sheet1!Q1505)</f>
        <v>5000</v>
      </c>
      <c r="F1498" s="20" t="s">
        <v>29</v>
      </c>
      <c r="G1498" s="53">
        <f t="shared" si="24"/>
        <v>0.44359720494116334</v>
      </c>
      <c r="H1498" s="35"/>
      <c r="P1498" s="6"/>
    </row>
    <row r="1499" spans="1:16" ht="14.4" x14ac:dyDescent="0.25">
      <c r="A1499" s="6">
        <v>6596</v>
      </c>
      <c r="B1499" s="6">
        <v>46948</v>
      </c>
      <c r="C1499" s="19">
        <v>40318</v>
      </c>
      <c r="D1499" s="6" t="s">
        <v>25</v>
      </c>
      <c r="E1499" s="6">
        <f>IF((ISBLANK($B$1)),"",Sheet1!Q1506)</f>
        <v>3900</v>
      </c>
      <c r="F1499" s="20" t="s">
        <v>26</v>
      </c>
      <c r="G1499" s="53">
        <f t="shared" si="24"/>
        <v>-1.0754524950393345</v>
      </c>
      <c r="H1499" s="35"/>
      <c r="P1499" s="6"/>
    </row>
    <row r="1500" spans="1:16" ht="14.4" x14ac:dyDescent="0.25">
      <c r="A1500" s="6">
        <v>6644</v>
      </c>
      <c r="B1500" s="6">
        <v>47267</v>
      </c>
      <c r="C1500" s="19">
        <v>40541</v>
      </c>
      <c r="D1500" s="6" t="s">
        <v>16</v>
      </c>
      <c r="E1500" s="6">
        <f>IF((ISBLANK($B$1)),"",Sheet1!Q1507)</f>
        <v>4600</v>
      </c>
      <c r="F1500" s="20" t="s">
        <v>26</v>
      </c>
      <c r="G1500" s="53">
        <f t="shared" si="24"/>
        <v>-0.108784504142654</v>
      </c>
      <c r="H1500" s="35"/>
      <c r="P1500" s="6"/>
    </row>
    <row r="1501" spans="1:16" ht="14.4" x14ac:dyDescent="0.25">
      <c r="A1501" s="6">
        <v>6645</v>
      </c>
      <c r="B1501" s="6">
        <v>47267</v>
      </c>
      <c r="C1501" s="19">
        <v>40541</v>
      </c>
      <c r="D1501" s="6" t="s">
        <v>16</v>
      </c>
      <c r="E1501" s="6">
        <f>IF((ISBLANK($B$1)),"",Sheet1!Q1508)</f>
        <v>4100</v>
      </c>
      <c r="F1501" s="20" t="s">
        <v>29</v>
      </c>
      <c r="G1501" s="53">
        <f t="shared" si="24"/>
        <v>-0.79926164049742576</v>
      </c>
      <c r="H1501" s="35"/>
      <c r="P1501" s="6"/>
    </row>
    <row r="1502" spans="1:16" ht="14.4" x14ac:dyDescent="0.25">
      <c r="A1502" s="6">
        <v>6656</v>
      </c>
      <c r="B1502" s="6">
        <v>47333</v>
      </c>
      <c r="C1502" s="19">
        <v>40793</v>
      </c>
      <c r="D1502" s="6" t="s">
        <v>30</v>
      </c>
      <c r="E1502" s="6">
        <f>IF((ISBLANK($B$1)),"",Sheet1!Q1509)</f>
        <v>4200</v>
      </c>
      <c r="F1502" s="20" t="s">
        <v>27</v>
      </c>
      <c r="G1502" s="53">
        <f t="shared" si="24"/>
        <v>-0.6611662132264714</v>
      </c>
      <c r="H1502" s="35"/>
      <c r="P1502" s="6"/>
    </row>
    <row r="1503" spans="1:16" ht="14.4" x14ac:dyDescent="0.25">
      <c r="A1503" s="6">
        <v>6762</v>
      </c>
      <c r="B1503" s="6">
        <v>48167</v>
      </c>
      <c r="C1503" s="19">
        <v>40062</v>
      </c>
      <c r="D1503" s="6" t="s">
        <v>30</v>
      </c>
      <c r="E1503" s="6">
        <f>IF((ISBLANK($B$1)),"",Sheet1!Q1510)</f>
        <v>5550</v>
      </c>
      <c r="F1503" s="20" t="s">
        <v>29</v>
      </c>
      <c r="G1503" s="53">
        <f t="shared" si="24"/>
        <v>1.2031220549314123</v>
      </c>
      <c r="H1503" s="35"/>
      <c r="P1503" s="6"/>
    </row>
    <row r="1504" spans="1:16" ht="14.4" x14ac:dyDescent="0.25">
      <c r="A1504" s="6">
        <v>6763</v>
      </c>
      <c r="B1504" s="6">
        <v>48167</v>
      </c>
      <c r="C1504" s="19">
        <v>40062</v>
      </c>
      <c r="D1504" s="6" t="s">
        <v>30</v>
      </c>
      <c r="E1504" s="6">
        <f>IF((ISBLANK($B$1)),"",Sheet1!Q1511)</f>
        <v>5650</v>
      </c>
      <c r="F1504" s="20" t="s">
        <v>26</v>
      </c>
      <c r="G1504" s="53">
        <f t="shared" si="24"/>
        <v>1.3412174822023666</v>
      </c>
      <c r="H1504" s="35"/>
      <c r="P1504" s="6"/>
    </row>
    <row r="1505" spans="1:16" ht="14.4" x14ac:dyDescent="0.25">
      <c r="A1505" s="6">
        <v>6764</v>
      </c>
      <c r="B1505" s="6">
        <v>48167</v>
      </c>
      <c r="C1505" s="19">
        <v>40062</v>
      </c>
      <c r="D1505" s="6" t="s">
        <v>30</v>
      </c>
      <c r="E1505" s="6">
        <f>IF((ISBLANK($B$1)),"",Sheet1!Q1512)</f>
        <v>4750</v>
      </c>
      <c r="F1505" s="20" t="s">
        <v>29</v>
      </c>
      <c r="G1505" s="53">
        <f t="shared" si="24"/>
        <v>9.8358636763777513E-2</v>
      </c>
      <c r="H1505" s="35"/>
      <c r="P1505" s="6"/>
    </row>
    <row r="1506" spans="1:16" ht="14.4" x14ac:dyDescent="0.25">
      <c r="A1506" s="6">
        <v>6774</v>
      </c>
      <c r="B1506" s="6">
        <v>48230</v>
      </c>
      <c r="C1506" s="19">
        <v>39869</v>
      </c>
      <c r="D1506" s="6" t="s">
        <v>28</v>
      </c>
      <c r="E1506" s="6">
        <f>IF((ISBLANK($B$1)),"",Sheet1!Q1513)</f>
        <v>5350</v>
      </c>
      <c r="F1506" s="20" t="s">
        <v>29</v>
      </c>
      <c r="G1506" s="53">
        <f t="shared" si="24"/>
        <v>0.92693120038950361</v>
      </c>
      <c r="H1506" s="35"/>
      <c r="P1506" s="6"/>
    </row>
    <row r="1507" spans="1:16" ht="14.4" x14ac:dyDescent="0.25">
      <c r="A1507" s="6">
        <v>6775</v>
      </c>
      <c r="B1507" s="6">
        <v>48230</v>
      </c>
      <c r="C1507" s="19">
        <v>39869</v>
      </c>
      <c r="D1507" s="6" t="s">
        <v>28</v>
      </c>
      <c r="E1507" s="6">
        <f>IF((ISBLANK($B$1)),"",Sheet1!Q1514)</f>
        <v>4950</v>
      </c>
      <c r="F1507" s="20" t="s">
        <v>26</v>
      </c>
      <c r="G1507" s="53">
        <f t="shared" si="24"/>
        <v>0.37454949130568621</v>
      </c>
      <c r="H1507" s="35"/>
      <c r="P1507" s="6"/>
    </row>
    <row r="1508" spans="1:16" ht="14.4" x14ac:dyDescent="0.25">
      <c r="A1508" s="6">
        <v>6806</v>
      </c>
      <c r="B1508" s="6">
        <v>48480</v>
      </c>
      <c r="C1508" s="19">
        <v>40180</v>
      </c>
      <c r="D1508" s="6" t="s">
        <v>30</v>
      </c>
      <c r="E1508" s="6">
        <f>IF((ISBLANK($B$1)),"",Sheet1!Q1515)</f>
        <v>5000</v>
      </c>
      <c r="F1508" s="20" t="s">
        <v>26</v>
      </c>
      <c r="G1508" s="53">
        <f t="shared" si="24"/>
        <v>0.44359720494116334</v>
      </c>
      <c r="H1508" s="35"/>
      <c r="P1508" s="6"/>
    </row>
    <row r="1509" spans="1:16" ht="14.4" x14ac:dyDescent="0.25">
      <c r="A1509" s="6">
        <v>6825</v>
      </c>
      <c r="B1509" s="6">
        <v>48614</v>
      </c>
      <c r="C1509" s="19">
        <v>41060</v>
      </c>
      <c r="D1509" s="6" t="s">
        <v>30</v>
      </c>
      <c r="E1509" s="6">
        <f>IF((ISBLANK($B$1)),"",Sheet1!Q1516)</f>
        <v>5700</v>
      </c>
      <c r="F1509" s="20" t="s">
        <v>27</v>
      </c>
      <c r="G1509" s="53">
        <f t="shared" si="24"/>
        <v>1.4102651958378438</v>
      </c>
      <c r="H1509" s="35"/>
      <c r="P1509" s="6"/>
    </row>
    <row r="1510" spans="1:16" ht="14.4" x14ac:dyDescent="0.25">
      <c r="A1510" s="6">
        <v>6844</v>
      </c>
      <c r="B1510" s="6">
        <v>48772</v>
      </c>
      <c r="C1510" s="19">
        <v>39945</v>
      </c>
      <c r="D1510" s="6" t="s">
        <v>16</v>
      </c>
      <c r="E1510" s="6">
        <f>IF((ISBLANK($B$1)),"",Sheet1!Q1517)</f>
        <v>5600</v>
      </c>
      <c r="F1510" s="20" t="s">
        <v>29</v>
      </c>
      <c r="G1510" s="53">
        <f t="shared" si="24"/>
        <v>1.2721697685668893</v>
      </c>
      <c r="H1510" s="35"/>
      <c r="P1510" s="6"/>
    </row>
    <row r="1511" spans="1:16" ht="14.4" x14ac:dyDescent="0.25">
      <c r="A1511" s="6">
        <v>6845</v>
      </c>
      <c r="B1511" s="6">
        <v>48772</v>
      </c>
      <c r="C1511" s="19">
        <v>39945</v>
      </c>
      <c r="D1511" s="6" t="s">
        <v>16</v>
      </c>
      <c r="E1511" s="6">
        <f>IF((ISBLANK($B$1)),"",Sheet1!Q1518)</f>
        <v>3950</v>
      </c>
      <c r="F1511" s="20" t="s">
        <v>26</v>
      </c>
      <c r="G1511" s="53">
        <f t="shared" si="24"/>
        <v>-1.0064047814038573</v>
      </c>
      <c r="H1511" s="35"/>
      <c r="P1511" s="6"/>
    </row>
    <row r="1512" spans="1:16" ht="14.4" x14ac:dyDescent="0.25">
      <c r="A1512" s="6">
        <v>6846</v>
      </c>
      <c r="B1512" s="6">
        <v>48772</v>
      </c>
      <c r="C1512" s="19">
        <v>39945</v>
      </c>
      <c r="D1512" s="6" t="s">
        <v>16</v>
      </c>
      <c r="E1512" s="6">
        <f>IF((ISBLANK($B$1)),"",Sheet1!Q1519)</f>
        <v>4300</v>
      </c>
      <c r="F1512" s="20" t="s">
        <v>26</v>
      </c>
      <c r="G1512" s="53">
        <f t="shared" si="24"/>
        <v>-0.52307078595551704</v>
      </c>
      <c r="H1512" s="35"/>
      <c r="P1512" s="6"/>
    </row>
    <row r="1513" spans="1:16" ht="14.4" x14ac:dyDescent="0.25">
      <c r="A1513" s="6">
        <v>6847</v>
      </c>
      <c r="B1513" s="6">
        <v>48772</v>
      </c>
      <c r="C1513" s="19">
        <v>39945</v>
      </c>
      <c r="D1513" s="6" t="s">
        <v>16</v>
      </c>
      <c r="E1513" s="6">
        <f>IF((ISBLANK($B$1)),"",Sheet1!Q1520)</f>
        <v>4000</v>
      </c>
      <c r="F1513" s="20" t="s">
        <v>26</v>
      </c>
      <c r="G1513" s="53">
        <f t="shared" si="24"/>
        <v>-0.93735706776838001</v>
      </c>
      <c r="H1513" s="35"/>
      <c r="P1513" s="6"/>
    </row>
    <row r="1514" spans="1:16" ht="14.4" x14ac:dyDescent="0.25">
      <c r="A1514" s="6">
        <v>6848</v>
      </c>
      <c r="B1514" s="6">
        <v>48772</v>
      </c>
      <c r="C1514" s="19">
        <v>39945</v>
      </c>
      <c r="D1514" s="6" t="s">
        <v>16</v>
      </c>
      <c r="E1514" s="6">
        <f>IF((ISBLANK($B$1)),"",Sheet1!Q1521)</f>
        <v>3900</v>
      </c>
      <c r="F1514" s="20" t="s">
        <v>26</v>
      </c>
      <c r="G1514" s="53">
        <f t="shared" si="24"/>
        <v>-1.0754524950393345</v>
      </c>
      <c r="H1514" s="35"/>
      <c r="P1514" s="6"/>
    </row>
    <row r="1515" spans="1:16" ht="14.4" x14ac:dyDescent="0.25">
      <c r="A1515" s="6">
        <v>6852</v>
      </c>
      <c r="B1515" s="6">
        <v>48800</v>
      </c>
      <c r="C1515" s="19">
        <v>40473</v>
      </c>
      <c r="D1515" s="6" t="s">
        <v>28</v>
      </c>
      <c r="E1515" s="6">
        <f>IF((ISBLANK($B$1)),"",Sheet1!Q1522)</f>
        <v>3800</v>
      </c>
      <c r="F1515" s="20" t="s">
        <v>27</v>
      </c>
      <c r="G1515" s="53">
        <f t="shared" si="24"/>
        <v>-1.2135479223102887</v>
      </c>
      <c r="H1515" s="35"/>
      <c r="P1515" s="6"/>
    </row>
    <row r="1516" spans="1:16" ht="14.4" x14ac:dyDescent="0.25">
      <c r="A1516" s="6">
        <v>6867</v>
      </c>
      <c r="B1516" s="6">
        <v>48931</v>
      </c>
      <c r="C1516" s="19">
        <v>39981</v>
      </c>
      <c r="D1516" s="6" t="s">
        <v>25</v>
      </c>
      <c r="E1516" s="6">
        <f>IF((ISBLANK($B$1)),"",Sheet1!Q1523)</f>
        <v>5050</v>
      </c>
      <c r="F1516" s="20" t="s">
        <v>27</v>
      </c>
      <c r="G1516" s="53">
        <f t="shared" si="24"/>
        <v>0.51264491857664052</v>
      </c>
      <c r="H1516" s="35"/>
      <c r="P1516" s="6"/>
    </row>
    <row r="1517" spans="1:16" ht="14.4" x14ac:dyDescent="0.25">
      <c r="A1517" s="6">
        <v>6868</v>
      </c>
      <c r="B1517" s="6">
        <v>48931</v>
      </c>
      <c r="C1517" s="19">
        <v>39981</v>
      </c>
      <c r="D1517" s="6" t="s">
        <v>25</v>
      </c>
      <c r="E1517" s="6">
        <f>IF((ISBLANK($B$1)),"",Sheet1!Q1524)</f>
        <v>3800</v>
      </c>
      <c r="F1517" s="20" t="s">
        <v>27</v>
      </c>
      <c r="G1517" s="53">
        <f t="shared" si="24"/>
        <v>-1.2135479223102887</v>
      </c>
      <c r="H1517" s="35"/>
      <c r="P1517" s="6"/>
    </row>
    <row r="1518" spans="1:16" ht="14.4" x14ac:dyDescent="0.25">
      <c r="A1518" s="6">
        <v>6869</v>
      </c>
      <c r="B1518" s="6">
        <v>48931</v>
      </c>
      <c r="C1518" s="19">
        <v>39981</v>
      </c>
      <c r="D1518" s="6" t="s">
        <v>25</v>
      </c>
      <c r="E1518" s="6">
        <f>IF((ISBLANK($B$1)),"",Sheet1!Q1525)</f>
        <v>5500</v>
      </c>
      <c r="F1518" s="20" t="s">
        <v>29</v>
      </c>
      <c r="G1518" s="53">
        <f t="shared" si="24"/>
        <v>1.1340743412959351</v>
      </c>
      <c r="H1518" s="35"/>
      <c r="P1518" s="6"/>
    </row>
    <row r="1519" spans="1:16" ht="14.4" x14ac:dyDescent="0.25">
      <c r="A1519" s="6">
        <v>6892</v>
      </c>
      <c r="B1519" s="6">
        <v>49126</v>
      </c>
      <c r="C1519" s="19">
        <v>40734</v>
      </c>
      <c r="D1519" s="6" t="s">
        <v>25</v>
      </c>
      <c r="E1519" s="6">
        <f>IF((ISBLANK($B$1)),"",Sheet1!Q1526)</f>
        <v>5050</v>
      </c>
      <c r="F1519" s="20" t="s">
        <v>29</v>
      </c>
      <c r="G1519" s="53">
        <f t="shared" si="24"/>
        <v>0.51264491857664052</v>
      </c>
      <c r="H1519" s="35"/>
      <c r="P1519" s="6"/>
    </row>
    <row r="1520" spans="1:16" ht="14.4" x14ac:dyDescent="0.25">
      <c r="A1520" s="6">
        <v>6908</v>
      </c>
      <c r="B1520" s="6">
        <v>49283</v>
      </c>
      <c r="C1520" s="19">
        <v>40158</v>
      </c>
      <c r="D1520" s="6" t="s">
        <v>17</v>
      </c>
      <c r="E1520" s="6">
        <f>IF((ISBLANK($B$1)),"",Sheet1!Q1527)</f>
        <v>4650</v>
      </c>
      <c r="F1520" s="20" t="s">
        <v>26</v>
      </c>
      <c r="G1520" s="53">
        <f t="shared" si="24"/>
        <v>-3.9736790507176829E-2</v>
      </c>
      <c r="H1520" s="35"/>
      <c r="P1520" s="6"/>
    </row>
    <row r="1521" spans="1:16" ht="14.4" x14ac:dyDescent="0.25">
      <c r="A1521" s="6">
        <v>6927</v>
      </c>
      <c r="B1521" s="6">
        <v>49441</v>
      </c>
      <c r="C1521" s="19">
        <v>40083</v>
      </c>
      <c r="D1521" s="6" t="s">
        <v>16</v>
      </c>
      <c r="E1521" s="6">
        <f>IF((ISBLANK($B$1)),"",Sheet1!Q1528)</f>
        <v>5850</v>
      </c>
      <c r="F1521" s="20" t="s">
        <v>29</v>
      </c>
      <c r="G1521" s="53">
        <f t="shared" si="24"/>
        <v>1.6174083367442753</v>
      </c>
      <c r="H1521" s="35"/>
      <c r="P1521" s="6"/>
    </row>
    <row r="1522" spans="1:16" ht="14.4" x14ac:dyDescent="0.25">
      <c r="A1522" s="6">
        <v>6944</v>
      </c>
      <c r="B1522" s="6">
        <v>49601</v>
      </c>
      <c r="C1522" s="19">
        <v>40569</v>
      </c>
      <c r="D1522" s="6" t="s">
        <v>25</v>
      </c>
      <c r="E1522" s="6">
        <f>IF((ISBLANK($B$1)),"",Sheet1!Q1529)</f>
        <v>4150</v>
      </c>
      <c r="F1522" s="20" t="s">
        <v>29</v>
      </c>
      <c r="G1522" s="53">
        <f t="shared" si="24"/>
        <v>-0.73021392686194853</v>
      </c>
      <c r="H1522" s="35"/>
      <c r="P1522" s="6"/>
    </row>
    <row r="1523" spans="1:16" ht="14.4" x14ac:dyDescent="0.25">
      <c r="A1523" s="6">
        <v>6960</v>
      </c>
      <c r="B1523" s="6">
        <v>49763</v>
      </c>
      <c r="C1523" s="19">
        <v>40587</v>
      </c>
      <c r="D1523" s="6" t="s">
        <v>30</v>
      </c>
      <c r="E1523" s="6">
        <f>IF((ISBLANK($B$1)),"",Sheet1!Q1530)</f>
        <v>3800</v>
      </c>
      <c r="F1523" s="20" t="s">
        <v>26</v>
      </c>
      <c r="G1523" s="53">
        <f t="shared" si="24"/>
        <v>-1.2135479223102887</v>
      </c>
      <c r="H1523" s="35"/>
      <c r="P1523" s="6"/>
    </row>
    <row r="1524" spans="1:16" ht="14.4" x14ac:dyDescent="0.25">
      <c r="A1524" s="6">
        <v>6961</v>
      </c>
      <c r="B1524" s="6">
        <v>49763</v>
      </c>
      <c r="C1524" s="19">
        <v>40587</v>
      </c>
      <c r="D1524" s="6" t="s">
        <v>30</v>
      </c>
      <c r="E1524" s="6">
        <f>IF((ISBLANK($B$1)),"",Sheet1!Q1531)</f>
        <v>3700</v>
      </c>
      <c r="F1524" s="20" t="s">
        <v>29</v>
      </c>
      <c r="G1524" s="53">
        <f t="shared" si="24"/>
        <v>-1.351643349581243</v>
      </c>
      <c r="H1524" s="35"/>
      <c r="P1524" s="6"/>
    </row>
    <row r="1525" spans="1:16" ht="14.4" x14ac:dyDescent="0.25">
      <c r="A1525" s="6">
        <v>6988</v>
      </c>
      <c r="B1525" s="6">
        <v>49927</v>
      </c>
      <c r="C1525" s="19">
        <v>41110</v>
      </c>
      <c r="D1525" s="6" t="s">
        <v>28</v>
      </c>
      <c r="E1525" s="6">
        <f>IF((ISBLANK($B$1)),"",Sheet1!Q1532)</f>
        <v>4700</v>
      </c>
      <c r="F1525" s="20" t="s">
        <v>26</v>
      </c>
      <c r="G1525" s="53">
        <f t="shared" si="24"/>
        <v>2.9310923128300338E-2</v>
      </c>
      <c r="H1525" s="35"/>
      <c r="P1525" s="6"/>
    </row>
    <row r="1526" spans="1:16" ht="14.4" x14ac:dyDescent="0.25">
      <c r="A1526" s="6">
        <v>6989</v>
      </c>
      <c r="B1526" s="6">
        <v>49927</v>
      </c>
      <c r="C1526" s="19">
        <v>41110</v>
      </c>
      <c r="D1526" s="6" t="s">
        <v>28</v>
      </c>
      <c r="E1526" s="6">
        <f>IF((ISBLANK($B$1)),"",Sheet1!Q1533)</f>
        <v>4800</v>
      </c>
      <c r="F1526" s="20" t="s">
        <v>29</v>
      </c>
      <c r="G1526" s="53">
        <f t="shared" si="24"/>
        <v>0.16740635039925467</v>
      </c>
      <c r="H1526" s="35"/>
      <c r="P1526" s="6"/>
    </row>
    <row r="1527" spans="1:16" ht="14.4" x14ac:dyDescent="0.25">
      <c r="A1527" s="6">
        <v>6990</v>
      </c>
      <c r="B1527" s="6">
        <v>49927</v>
      </c>
      <c r="C1527" s="19">
        <v>41110</v>
      </c>
      <c r="D1527" s="6" t="s">
        <v>28</v>
      </c>
      <c r="E1527" s="6">
        <f>IF((ISBLANK($B$1)),"",Sheet1!Q1534)</f>
        <v>5350</v>
      </c>
      <c r="F1527" s="20" t="s">
        <v>26</v>
      </c>
      <c r="G1527" s="53">
        <f t="shared" si="24"/>
        <v>0.92693120038950361</v>
      </c>
      <c r="H1527" s="35"/>
      <c r="P1527" s="6"/>
    </row>
    <row r="1528" spans="1:16" ht="14.4" x14ac:dyDescent="0.25">
      <c r="A1528" s="6">
        <v>7009</v>
      </c>
      <c r="B1528" s="6">
        <v>50048</v>
      </c>
      <c r="C1528" s="19">
        <v>40196</v>
      </c>
      <c r="D1528" s="6" t="s">
        <v>17</v>
      </c>
      <c r="E1528" s="6">
        <f>IF((ISBLANK($B$1)),"",Sheet1!Q1535)</f>
        <v>4100</v>
      </c>
      <c r="F1528" s="20" t="s">
        <v>26</v>
      </c>
      <c r="G1528" s="53">
        <f t="shared" si="24"/>
        <v>-0.79926164049742576</v>
      </c>
      <c r="H1528" s="35"/>
      <c r="P1528" s="6"/>
    </row>
    <row r="1529" spans="1:16" ht="14.4" x14ac:dyDescent="0.25">
      <c r="A1529" s="6">
        <v>7010</v>
      </c>
      <c r="B1529" s="6">
        <v>50048</v>
      </c>
      <c r="C1529" s="19">
        <v>40196</v>
      </c>
      <c r="D1529" s="6" t="s">
        <v>17</v>
      </c>
      <c r="E1529" s="6">
        <f>IF((ISBLANK($B$1)),"",Sheet1!Q1536)</f>
        <v>3450</v>
      </c>
      <c r="F1529" s="20" t="s">
        <v>26</v>
      </c>
      <c r="G1529" s="53">
        <f t="shared" si="24"/>
        <v>-1.696881917758629</v>
      </c>
      <c r="H1529" s="35"/>
      <c r="P1529" s="6"/>
    </row>
    <row r="1530" spans="1:16" ht="14.4" x14ac:dyDescent="0.25">
      <c r="A1530" s="6">
        <v>7075</v>
      </c>
      <c r="B1530" s="6">
        <v>50499</v>
      </c>
      <c r="C1530" s="19">
        <v>40828</v>
      </c>
      <c r="D1530" s="6" t="s">
        <v>28</v>
      </c>
      <c r="E1530" s="6">
        <f>IF((ISBLANK($B$1)),"",Sheet1!Q1537)</f>
        <v>4300</v>
      </c>
      <c r="F1530" s="20" t="s">
        <v>26</v>
      </c>
      <c r="G1530" s="53">
        <f t="shared" si="24"/>
        <v>-0.52307078595551704</v>
      </c>
      <c r="H1530" s="35"/>
      <c r="P1530" s="6"/>
    </row>
    <row r="1531" spans="1:16" ht="14.4" x14ac:dyDescent="0.25">
      <c r="A1531" s="6">
        <v>7152</v>
      </c>
      <c r="B1531" s="6">
        <v>51041</v>
      </c>
      <c r="C1531" s="19">
        <v>40388</v>
      </c>
      <c r="D1531" s="6" t="s">
        <v>17</v>
      </c>
      <c r="E1531" s="6">
        <f>IF((ISBLANK($B$1)),"",Sheet1!Q1538)</f>
        <v>5750</v>
      </c>
      <c r="F1531" s="20" t="s">
        <v>27</v>
      </c>
      <c r="G1531" s="53">
        <f t="shared" si="24"/>
        <v>1.4793129094733208</v>
      </c>
      <c r="H1531" s="35"/>
      <c r="P1531" s="6"/>
    </row>
    <row r="1532" spans="1:16" ht="14.4" x14ac:dyDescent="0.25">
      <c r="A1532" s="6">
        <v>7194</v>
      </c>
      <c r="B1532" s="6">
        <v>51328</v>
      </c>
      <c r="C1532" s="19">
        <v>40477</v>
      </c>
      <c r="D1532" s="6" t="s">
        <v>25</v>
      </c>
      <c r="E1532" s="6">
        <f>IF((ISBLANK($B$1)),"",Sheet1!Q1539)</f>
        <v>5300</v>
      </c>
      <c r="F1532" s="20" t="s">
        <v>29</v>
      </c>
      <c r="G1532" s="53">
        <f t="shared" si="24"/>
        <v>0.85788348675402637</v>
      </c>
      <c r="H1532" s="35"/>
      <c r="P1532" s="6"/>
    </row>
    <row r="1533" spans="1:16" ht="14.4" x14ac:dyDescent="0.25">
      <c r="A1533" s="6">
        <v>7195</v>
      </c>
      <c r="B1533" s="6">
        <v>51333</v>
      </c>
      <c r="C1533" s="19">
        <v>41186</v>
      </c>
      <c r="D1533" s="6" t="s">
        <v>28</v>
      </c>
      <c r="E1533" s="6">
        <f>IF((ISBLANK($B$1)),"",Sheet1!Q1540)</f>
        <v>4900</v>
      </c>
      <c r="F1533" s="20" t="s">
        <v>27</v>
      </c>
      <c r="G1533" s="53">
        <f t="shared" si="24"/>
        <v>0.30550177767020903</v>
      </c>
      <c r="H1533" s="35"/>
      <c r="P1533" s="6"/>
    </row>
    <row r="1534" spans="1:16" ht="14.4" x14ac:dyDescent="0.25">
      <c r="A1534" s="6">
        <v>7196</v>
      </c>
      <c r="B1534" s="6">
        <v>51333</v>
      </c>
      <c r="C1534" s="19">
        <v>41186</v>
      </c>
      <c r="D1534" s="6" t="s">
        <v>28</v>
      </c>
      <c r="E1534" s="6">
        <f>IF((ISBLANK($B$1)),"",Sheet1!Q1541)</f>
        <v>4650</v>
      </c>
      <c r="F1534" s="20" t="s">
        <v>26</v>
      </c>
      <c r="G1534" s="53">
        <f t="shared" si="24"/>
        <v>-3.9736790507176829E-2</v>
      </c>
      <c r="H1534" s="35"/>
      <c r="P1534" s="6"/>
    </row>
    <row r="1535" spans="1:16" ht="14.4" x14ac:dyDescent="0.25">
      <c r="A1535" s="6">
        <v>7201</v>
      </c>
      <c r="B1535" s="6">
        <v>51365</v>
      </c>
      <c r="C1535" s="19">
        <v>41128</v>
      </c>
      <c r="D1535" s="6" t="s">
        <v>17</v>
      </c>
      <c r="E1535" s="6">
        <f>IF((ISBLANK($B$1)),"",Sheet1!Q1542)</f>
        <v>5150</v>
      </c>
      <c r="F1535" s="20" t="s">
        <v>29</v>
      </c>
      <c r="G1535" s="53">
        <f t="shared" si="24"/>
        <v>0.65074034584759488</v>
      </c>
      <c r="H1535" s="35"/>
      <c r="P1535" s="6"/>
    </row>
    <row r="1536" spans="1:16" ht="14.4" x14ac:dyDescent="0.25">
      <c r="A1536" s="6">
        <v>7202</v>
      </c>
      <c r="B1536" s="6">
        <v>51365</v>
      </c>
      <c r="C1536" s="19">
        <v>41128</v>
      </c>
      <c r="D1536" s="6" t="s">
        <v>17</v>
      </c>
      <c r="E1536" s="6">
        <f>IF((ISBLANK($B$1)),"",Sheet1!Q1543)</f>
        <v>5150</v>
      </c>
      <c r="F1536" s="20" t="s">
        <v>29</v>
      </c>
      <c r="G1536" s="53">
        <f t="shared" si="24"/>
        <v>0.65074034584759488</v>
      </c>
      <c r="H1536" s="35"/>
      <c r="P1536" s="6"/>
    </row>
    <row r="1537" spans="1:16" ht="14.4" x14ac:dyDescent="0.25">
      <c r="A1537" s="6">
        <v>7253</v>
      </c>
      <c r="B1537" s="6">
        <v>51777</v>
      </c>
      <c r="C1537" s="19">
        <v>40593</v>
      </c>
      <c r="D1537" s="6" t="s">
        <v>16</v>
      </c>
      <c r="E1537" s="6">
        <f>IF((ISBLANK($B$1)),"",Sheet1!Q1544)</f>
        <v>3600</v>
      </c>
      <c r="F1537" s="20" t="s">
        <v>26</v>
      </c>
      <c r="G1537" s="53">
        <f t="shared" si="24"/>
        <v>-1.4897387768521975</v>
      </c>
      <c r="H1537" s="35"/>
      <c r="P1537" s="6"/>
    </row>
    <row r="1538" spans="1:16" ht="14.4" x14ac:dyDescent="0.25">
      <c r="A1538" s="6">
        <v>7254</v>
      </c>
      <c r="B1538" s="6">
        <v>51777</v>
      </c>
      <c r="C1538" s="19">
        <v>40593</v>
      </c>
      <c r="D1538" s="6" t="s">
        <v>16</v>
      </c>
      <c r="E1538" s="6">
        <f>IF((ISBLANK($B$1)),"",Sheet1!Q1545)</f>
        <v>4050</v>
      </c>
      <c r="F1538" s="20" t="s">
        <v>27</v>
      </c>
      <c r="G1538" s="53">
        <f t="shared" si="24"/>
        <v>-0.86830935413290289</v>
      </c>
      <c r="H1538" s="35"/>
      <c r="P1538" s="6"/>
    </row>
    <row r="1539" spans="1:16" ht="14.4" x14ac:dyDescent="0.25">
      <c r="A1539" s="6">
        <v>7263</v>
      </c>
      <c r="B1539" s="6">
        <v>51814</v>
      </c>
      <c r="C1539" s="19">
        <v>40445</v>
      </c>
      <c r="D1539" s="6" t="s">
        <v>30</v>
      </c>
      <c r="E1539" s="6">
        <f>IF((ISBLANK($B$1)),"",Sheet1!Q1546)</f>
        <v>4050</v>
      </c>
      <c r="F1539" s="20" t="s">
        <v>26</v>
      </c>
      <c r="G1539" s="53">
        <f t="shared" si="24"/>
        <v>-0.86830935413290289</v>
      </c>
      <c r="H1539" s="35"/>
      <c r="P1539" s="6"/>
    </row>
    <row r="1540" spans="1:16" ht="14.4" x14ac:dyDescent="0.25">
      <c r="A1540" s="6">
        <v>7290</v>
      </c>
      <c r="B1540" s="6">
        <v>51975</v>
      </c>
      <c r="C1540" s="19">
        <v>40165</v>
      </c>
      <c r="D1540" s="6" t="s">
        <v>25</v>
      </c>
      <c r="E1540" s="6">
        <f>IF((ISBLANK($B$1)),"",Sheet1!Q1547)</f>
        <v>4000</v>
      </c>
      <c r="F1540" s="20" t="s">
        <v>27</v>
      </c>
      <c r="G1540" s="53">
        <f t="shared" si="24"/>
        <v>-0.93735706776838001</v>
      </c>
      <c r="H1540" s="35"/>
      <c r="P1540" s="6"/>
    </row>
    <row r="1541" spans="1:16" ht="14.4" x14ac:dyDescent="0.25">
      <c r="A1541" s="6">
        <v>7328</v>
      </c>
      <c r="B1541" s="6">
        <v>52225</v>
      </c>
      <c r="C1541" s="19">
        <v>41011</v>
      </c>
      <c r="D1541" s="6" t="s">
        <v>30</v>
      </c>
      <c r="E1541" s="6">
        <f>IF((ISBLANK($B$1)),"",Sheet1!Q1548)</f>
        <v>3900</v>
      </c>
      <c r="F1541" s="20" t="s">
        <v>29</v>
      </c>
      <c r="G1541" s="53">
        <f t="shared" si="24"/>
        <v>-1.0754524950393345</v>
      </c>
      <c r="H1541" s="35"/>
      <c r="P1541" s="6"/>
    </row>
    <row r="1542" spans="1:16" ht="14.4" x14ac:dyDescent="0.25">
      <c r="A1542" s="6">
        <v>7329</v>
      </c>
      <c r="B1542" s="6">
        <v>52225</v>
      </c>
      <c r="C1542" s="19">
        <v>41011</v>
      </c>
      <c r="D1542" s="6" t="s">
        <v>30</v>
      </c>
      <c r="E1542" s="6">
        <f>IF((ISBLANK($B$1)),"",Sheet1!Q1549)</f>
        <v>5050</v>
      </c>
      <c r="F1542" s="20" t="s">
        <v>26</v>
      </c>
      <c r="G1542" s="53">
        <f t="shared" si="24"/>
        <v>0.51264491857664052</v>
      </c>
      <c r="H1542" s="35"/>
      <c r="P1542" s="6"/>
    </row>
    <row r="1543" spans="1:16" ht="14.4" x14ac:dyDescent="0.25">
      <c r="A1543" s="6">
        <v>7366</v>
      </c>
      <c r="B1543" s="6">
        <v>52487</v>
      </c>
      <c r="C1543" s="19">
        <v>39965</v>
      </c>
      <c r="D1543" s="6" t="s">
        <v>30</v>
      </c>
      <c r="E1543" s="6">
        <f>IF((ISBLANK($B$1)),"",Sheet1!Q1550)</f>
        <v>4250</v>
      </c>
      <c r="F1543" s="20" t="s">
        <v>26</v>
      </c>
      <c r="G1543" s="53">
        <f t="shared" si="24"/>
        <v>-0.59211849959099416</v>
      </c>
      <c r="H1543" s="35"/>
      <c r="P1543" s="6"/>
    </row>
    <row r="1544" spans="1:16" ht="14.4" x14ac:dyDescent="0.25">
      <c r="A1544" s="6">
        <v>7410</v>
      </c>
      <c r="B1544" s="6">
        <v>52868</v>
      </c>
      <c r="C1544" s="19">
        <v>40590</v>
      </c>
      <c r="D1544" s="6" t="s">
        <v>25</v>
      </c>
      <c r="E1544" s="6">
        <f>IF((ISBLANK($B$1)),"",Sheet1!Q1551)</f>
        <v>4350</v>
      </c>
      <c r="F1544" s="20" t="s">
        <v>27</v>
      </c>
      <c r="G1544" s="53">
        <f t="shared" ref="G1544:G1607" si="25">STANDARDIZE(E1544,$L$26,$L$35)</f>
        <v>-0.45402307232003986</v>
      </c>
      <c r="H1544" s="35"/>
      <c r="P1544" s="6"/>
    </row>
    <row r="1545" spans="1:16" ht="14.4" x14ac:dyDescent="0.25">
      <c r="A1545" s="6">
        <v>7459</v>
      </c>
      <c r="B1545" s="6">
        <v>53221</v>
      </c>
      <c r="C1545" s="19">
        <v>40965</v>
      </c>
      <c r="D1545" s="6" t="s">
        <v>28</v>
      </c>
      <c r="E1545" s="6">
        <f>IF((ISBLANK($B$1)),"",Sheet1!Q1552)</f>
        <v>4850</v>
      </c>
      <c r="F1545" s="20" t="s">
        <v>29</v>
      </c>
      <c r="G1545" s="53">
        <f t="shared" si="25"/>
        <v>0.23645406403473185</v>
      </c>
      <c r="H1545" s="35"/>
      <c r="P1545" s="6"/>
    </row>
    <row r="1546" spans="1:16" ht="14.4" x14ac:dyDescent="0.25">
      <c r="A1546" s="6">
        <v>7509</v>
      </c>
      <c r="B1546" s="6">
        <v>53600</v>
      </c>
      <c r="C1546" s="19">
        <v>41100</v>
      </c>
      <c r="D1546" s="6" t="s">
        <v>16</v>
      </c>
      <c r="E1546" s="6">
        <f>IF((ISBLANK($B$1)),"",Sheet1!Q1553)</f>
        <v>3800</v>
      </c>
      <c r="F1546" s="20" t="s">
        <v>26</v>
      </c>
      <c r="G1546" s="53">
        <f t="shared" si="25"/>
        <v>-1.2135479223102887</v>
      </c>
      <c r="H1546" s="35"/>
      <c r="P1546" s="6"/>
    </row>
    <row r="1547" spans="1:16" ht="14.4" x14ac:dyDescent="0.25">
      <c r="A1547" s="6">
        <v>7515</v>
      </c>
      <c r="B1547" s="6">
        <v>53667</v>
      </c>
      <c r="C1547" s="19">
        <v>41046</v>
      </c>
      <c r="D1547" s="6" t="s">
        <v>16</v>
      </c>
      <c r="E1547" s="6">
        <f>IF((ISBLANK($B$1)),"",Sheet1!Q1554)</f>
        <v>5050</v>
      </c>
      <c r="F1547" s="20" t="s">
        <v>26</v>
      </c>
      <c r="G1547" s="53">
        <f t="shared" si="25"/>
        <v>0.51264491857664052</v>
      </c>
      <c r="H1547" s="35"/>
      <c r="P1547" s="6"/>
    </row>
    <row r="1548" spans="1:16" ht="14.4" x14ac:dyDescent="0.25">
      <c r="A1548" s="6">
        <v>7516</v>
      </c>
      <c r="B1548" s="6">
        <v>53667</v>
      </c>
      <c r="C1548" s="19">
        <v>41046</v>
      </c>
      <c r="D1548" s="6" t="s">
        <v>16</v>
      </c>
      <c r="E1548" s="6">
        <f>IF((ISBLANK($B$1)),"",Sheet1!Q1555)</f>
        <v>4200</v>
      </c>
      <c r="F1548" s="20" t="s">
        <v>27</v>
      </c>
      <c r="G1548" s="53">
        <f t="shared" si="25"/>
        <v>-0.6611662132264714</v>
      </c>
      <c r="H1548" s="35"/>
      <c r="P1548" s="6"/>
    </row>
    <row r="1549" spans="1:16" ht="14.4" x14ac:dyDescent="0.25">
      <c r="A1549" s="6">
        <v>7535</v>
      </c>
      <c r="B1549" s="6">
        <v>53891</v>
      </c>
      <c r="C1549" s="19">
        <v>39835</v>
      </c>
      <c r="D1549" s="6" t="s">
        <v>17</v>
      </c>
      <c r="E1549" s="6">
        <f>IF((ISBLANK($B$1)),"",Sheet1!Q1556)</f>
        <v>5200</v>
      </c>
      <c r="F1549" s="20" t="s">
        <v>26</v>
      </c>
      <c r="G1549" s="53">
        <f t="shared" si="25"/>
        <v>0.71978805948307201</v>
      </c>
      <c r="H1549" s="35"/>
      <c r="P1549" s="6"/>
    </row>
    <row r="1550" spans="1:16" ht="14.4" x14ac:dyDescent="0.25">
      <c r="A1550" s="6">
        <v>7545</v>
      </c>
      <c r="B1550" s="6">
        <v>53955</v>
      </c>
      <c r="C1550" s="19">
        <v>40606</v>
      </c>
      <c r="D1550" s="6" t="s">
        <v>30</v>
      </c>
      <c r="E1550" s="6">
        <f>IF((ISBLANK($B$1)),"",Sheet1!Q1557)</f>
        <v>5550</v>
      </c>
      <c r="F1550" s="20" t="s">
        <v>29</v>
      </c>
      <c r="G1550" s="53">
        <f t="shared" si="25"/>
        <v>1.2031220549314123</v>
      </c>
      <c r="H1550" s="35"/>
      <c r="P1550" s="6"/>
    </row>
    <row r="1551" spans="1:16" ht="14.4" x14ac:dyDescent="0.25">
      <c r="A1551" s="6">
        <v>7569</v>
      </c>
      <c r="B1551" s="6">
        <v>54150</v>
      </c>
      <c r="C1551" s="19">
        <v>40716</v>
      </c>
      <c r="D1551" s="6" t="s">
        <v>30</v>
      </c>
      <c r="E1551" s="6">
        <f>IF((ISBLANK($B$1)),"",Sheet1!Q1558)</f>
        <v>4000</v>
      </c>
      <c r="F1551" s="20" t="s">
        <v>27</v>
      </c>
      <c r="G1551" s="53">
        <f t="shared" si="25"/>
        <v>-0.93735706776838001</v>
      </c>
      <c r="H1551" s="35"/>
      <c r="P1551" s="6"/>
    </row>
    <row r="1552" spans="1:16" ht="14.4" x14ac:dyDescent="0.25">
      <c r="A1552" s="6">
        <v>7742</v>
      </c>
      <c r="B1552" s="6">
        <v>55429</v>
      </c>
      <c r="C1552" s="19">
        <v>39993</v>
      </c>
      <c r="D1552" s="6" t="s">
        <v>17</v>
      </c>
      <c r="E1552" s="6">
        <f>IF((ISBLANK($B$1)),"",Sheet1!Q1559)</f>
        <v>5550</v>
      </c>
      <c r="F1552" s="20" t="s">
        <v>26</v>
      </c>
      <c r="G1552" s="53">
        <f t="shared" si="25"/>
        <v>1.2031220549314123</v>
      </c>
      <c r="H1552" s="35"/>
      <c r="P1552" s="6"/>
    </row>
    <row r="1553" spans="1:16" ht="14.4" x14ac:dyDescent="0.25">
      <c r="A1553" s="6">
        <v>7751</v>
      </c>
      <c r="B1553" s="6">
        <v>55462</v>
      </c>
      <c r="C1553" s="19">
        <v>40995</v>
      </c>
      <c r="D1553" s="6" t="s">
        <v>16</v>
      </c>
      <c r="E1553" s="6">
        <f>IF((ISBLANK($B$1)),"",Sheet1!Q1560)</f>
        <v>4050</v>
      </c>
      <c r="F1553" s="20" t="s">
        <v>26</v>
      </c>
      <c r="G1553" s="53">
        <f t="shared" si="25"/>
        <v>-0.86830935413290289</v>
      </c>
      <c r="H1553" s="35"/>
      <c r="P1553" s="6"/>
    </row>
    <row r="1554" spans="1:16" ht="14.4" x14ac:dyDescent="0.25">
      <c r="A1554" s="6">
        <v>7752</v>
      </c>
      <c r="B1554" s="6">
        <v>55462</v>
      </c>
      <c r="C1554" s="19">
        <v>40995</v>
      </c>
      <c r="D1554" s="6" t="s">
        <v>16</v>
      </c>
      <c r="E1554" s="6">
        <f>IF((ISBLANK($B$1)),"",Sheet1!Q1561)</f>
        <v>4950</v>
      </c>
      <c r="F1554" s="20" t="s">
        <v>27</v>
      </c>
      <c r="G1554" s="53">
        <f t="shared" si="25"/>
        <v>0.37454949130568621</v>
      </c>
      <c r="H1554" s="35"/>
      <c r="P1554" s="6"/>
    </row>
    <row r="1555" spans="1:16" ht="14.4" x14ac:dyDescent="0.25">
      <c r="A1555" s="6">
        <v>7753</v>
      </c>
      <c r="B1555" s="6">
        <v>55462</v>
      </c>
      <c r="C1555" s="19">
        <v>40995</v>
      </c>
      <c r="D1555" s="6" t="s">
        <v>16</v>
      </c>
      <c r="E1555" s="6">
        <f>IF((ISBLANK($B$1)),"",Sheet1!Q1562)</f>
        <v>5150</v>
      </c>
      <c r="F1555" s="20" t="s">
        <v>27</v>
      </c>
      <c r="G1555" s="53">
        <f t="shared" si="25"/>
        <v>0.65074034584759488</v>
      </c>
      <c r="H1555" s="35"/>
      <c r="P1555" s="6"/>
    </row>
    <row r="1556" spans="1:16" ht="14.4" x14ac:dyDescent="0.25">
      <c r="A1556" s="6">
        <v>7793</v>
      </c>
      <c r="B1556" s="6">
        <v>55749</v>
      </c>
      <c r="C1556" s="19">
        <v>41032</v>
      </c>
      <c r="D1556" s="6" t="s">
        <v>30</v>
      </c>
      <c r="E1556" s="6">
        <f>IF((ISBLANK($B$1)),"",Sheet1!Q1563)</f>
        <v>5500</v>
      </c>
      <c r="F1556" s="20" t="s">
        <v>26</v>
      </c>
      <c r="G1556" s="53">
        <f t="shared" si="25"/>
        <v>1.1340743412959351</v>
      </c>
      <c r="H1556" s="35"/>
      <c r="P1556" s="6"/>
    </row>
    <row r="1557" spans="1:16" ht="14.4" x14ac:dyDescent="0.25">
      <c r="A1557" s="6">
        <v>7809</v>
      </c>
      <c r="B1557" s="6">
        <v>55873</v>
      </c>
      <c r="C1557" s="19">
        <v>40866</v>
      </c>
      <c r="D1557" s="6" t="s">
        <v>25</v>
      </c>
      <c r="E1557" s="6">
        <f>IF((ISBLANK($B$1)),"",Sheet1!Q1564)</f>
        <v>5800</v>
      </c>
      <c r="F1557" s="20" t="s">
        <v>27</v>
      </c>
      <c r="G1557" s="53">
        <f t="shared" si="25"/>
        <v>1.5483606231087981</v>
      </c>
      <c r="H1557" s="35"/>
      <c r="P1557" s="6"/>
    </row>
    <row r="1558" spans="1:16" ht="14.4" x14ac:dyDescent="0.25">
      <c r="A1558" s="6">
        <v>7852</v>
      </c>
      <c r="B1558" s="6">
        <v>56135</v>
      </c>
      <c r="C1558" s="19">
        <v>40495</v>
      </c>
      <c r="D1558" s="6" t="s">
        <v>16</v>
      </c>
      <c r="E1558" s="6">
        <f>IF((ISBLANK($B$1)),"",Sheet1!Q1565)</f>
        <v>3800</v>
      </c>
      <c r="F1558" s="20" t="s">
        <v>29</v>
      </c>
      <c r="G1558" s="53">
        <f t="shared" si="25"/>
        <v>-1.2135479223102887</v>
      </c>
      <c r="H1558" s="35"/>
      <c r="P1558" s="6"/>
    </row>
    <row r="1559" spans="1:16" ht="14.4" x14ac:dyDescent="0.25">
      <c r="A1559" s="6">
        <v>7853</v>
      </c>
      <c r="B1559" s="6">
        <v>56135</v>
      </c>
      <c r="C1559" s="19">
        <v>40495</v>
      </c>
      <c r="D1559" s="6" t="s">
        <v>16</v>
      </c>
      <c r="E1559" s="6">
        <f>IF((ISBLANK($B$1)),"",Sheet1!Q1566)</f>
        <v>5800</v>
      </c>
      <c r="F1559" s="20" t="s">
        <v>26</v>
      </c>
      <c r="G1559" s="53">
        <f t="shared" si="25"/>
        <v>1.5483606231087981</v>
      </c>
      <c r="H1559" s="35"/>
      <c r="P1559" s="6"/>
    </row>
    <row r="1560" spans="1:16" ht="14.4" x14ac:dyDescent="0.25">
      <c r="A1560" s="6">
        <v>7934</v>
      </c>
      <c r="B1560" s="6">
        <v>56708</v>
      </c>
      <c r="C1560" s="19">
        <v>41245</v>
      </c>
      <c r="D1560" s="6" t="s">
        <v>28</v>
      </c>
      <c r="E1560" s="6">
        <f>IF((ISBLANK($B$1)),"",Sheet1!Q1567)</f>
        <v>5200</v>
      </c>
      <c r="F1560" s="20" t="s">
        <v>29</v>
      </c>
      <c r="G1560" s="53">
        <f t="shared" si="25"/>
        <v>0.71978805948307201</v>
      </c>
      <c r="H1560" s="35"/>
      <c r="P1560" s="6"/>
    </row>
    <row r="1561" spans="1:16" ht="14.4" x14ac:dyDescent="0.25">
      <c r="A1561" s="6">
        <v>7935</v>
      </c>
      <c r="B1561" s="6">
        <v>56708</v>
      </c>
      <c r="C1561" s="19">
        <v>41245</v>
      </c>
      <c r="D1561" s="6" t="s">
        <v>28</v>
      </c>
      <c r="E1561" s="6">
        <f>IF((ISBLANK($B$1)),"",Sheet1!Q1568)</f>
        <v>5200</v>
      </c>
      <c r="F1561" s="20" t="s">
        <v>26</v>
      </c>
      <c r="G1561" s="53">
        <f t="shared" si="25"/>
        <v>0.71978805948307201</v>
      </c>
      <c r="H1561" s="35"/>
      <c r="P1561" s="6"/>
    </row>
    <row r="1562" spans="1:16" ht="14.4" x14ac:dyDescent="0.25">
      <c r="A1562" s="6">
        <v>8120</v>
      </c>
      <c r="B1562" s="6">
        <v>57986</v>
      </c>
      <c r="C1562" s="19">
        <v>40480</v>
      </c>
      <c r="D1562" s="6" t="s">
        <v>17</v>
      </c>
      <c r="E1562" s="6">
        <f>IF((ISBLANK($B$1)),"",Sheet1!Q1569)</f>
        <v>4100</v>
      </c>
      <c r="F1562" s="20" t="s">
        <v>26</v>
      </c>
      <c r="G1562" s="53">
        <f t="shared" si="25"/>
        <v>-0.79926164049742576</v>
      </c>
      <c r="H1562" s="35"/>
      <c r="P1562" s="6"/>
    </row>
    <row r="1563" spans="1:16" ht="14.4" x14ac:dyDescent="0.25">
      <c r="A1563" s="6">
        <v>8155</v>
      </c>
      <c r="B1563" s="6">
        <v>58310</v>
      </c>
      <c r="C1563" s="19">
        <v>39867</v>
      </c>
      <c r="D1563" s="6" t="s">
        <v>30</v>
      </c>
      <c r="E1563" s="6">
        <f>IF((ISBLANK($B$1)),"",Sheet1!Q1570)</f>
        <v>4500</v>
      </c>
      <c r="F1563" s="20" t="s">
        <v>26</v>
      </c>
      <c r="G1563" s="53">
        <f t="shared" si="25"/>
        <v>-0.24687993141360834</v>
      </c>
      <c r="H1563" s="35"/>
      <c r="P1563" s="6"/>
    </row>
    <row r="1564" spans="1:16" ht="14.4" x14ac:dyDescent="0.25">
      <c r="A1564" s="6">
        <v>8215</v>
      </c>
      <c r="B1564" s="6">
        <v>58725</v>
      </c>
      <c r="C1564" s="19">
        <v>40318</v>
      </c>
      <c r="D1564" s="6" t="s">
        <v>28</v>
      </c>
      <c r="E1564" s="6">
        <f>IF((ISBLANK($B$1)),"",Sheet1!Q1571)</f>
        <v>5350</v>
      </c>
      <c r="F1564" s="20" t="s">
        <v>26</v>
      </c>
      <c r="G1564" s="53">
        <f t="shared" si="25"/>
        <v>0.92693120038950361</v>
      </c>
      <c r="H1564" s="35"/>
      <c r="P1564" s="6"/>
    </row>
    <row r="1565" spans="1:16" ht="14.4" x14ac:dyDescent="0.25">
      <c r="A1565" s="6">
        <v>142</v>
      </c>
      <c r="B1565" s="6">
        <v>902</v>
      </c>
      <c r="C1565" s="19">
        <v>40020</v>
      </c>
      <c r="D1565" s="6" t="s">
        <v>28</v>
      </c>
      <c r="E1565" s="6">
        <f>IF((ISBLANK($B$1)),"",Sheet1!Q1572)</f>
        <v>3900</v>
      </c>
      <c r="F1565" s="20" t="s">
        <v>26</v>
      </c>
      <c r="G1565" s="53">
        <f t="shared" si="25"/>
        <v>-1.0754524950393345</v>
      </c>
      <c r="H1565" s="35"/>
      <c r="P1565" s="6"/>
    </row>
    <row r="1566" spans="1:16" ht="14.4" x14ac:dyDescent="0.25">
      <c r="A1566" s="6">
        <v>309</v>
      </c>
      <c r="B1566" s="6">
        <v>2147</v>
      </c>
      <c r="C1566" s="19">
        <v>41157</v>
      </c>
      <c r="D1566" s="6" t="s">
        <v>28</v>
      </c>
      <c r="E1566" s="6">
        <f>IF((ISBLANK($B$1)),"",Sheet1!Q1573)</f>
        <v>4150</v>
      </c>
      <c r="F1566" s="20" t="s">
        <v>26</v>
      </c>
      <c r="G1566" s="53">
        <f t="shared" si="25"/>
        <v>-0.73021392686194853</v>
      </c>
      <c r="H1566" s="35"/>
      <c r="P1566" s="6"/>
    </row>
    <row r="1567" spans="1:16" ht="14.4" x14ac:dyDescent="0.25">
      <c r="A1567" s="6">
        <v>338</v>
      </c>
      <c r="B1567" s="6">
        <v>2306</v>
      </c>
      <c r="C1567" s="19">
        <v>40749</v>
      </c>
      <c r="D1567" s="6" t="s">
        <v>17</v>
      </c>
      <c r="E1567" s="6">
        <f>IF((ISBLANK($B$1)),"",Sheet1!Q1574)</f>
        <v>4150</v>
      </c>
      <c r="F1567" s="20" t="s">
        <v>26</v>
      </c>
      <c r="G1567" s="53">
        <f t="shared" si="25"/>
        <v>-0.73021392686194853</v>
      </c>
      <c r="H1567" s="35"/>
      <c r="P1567" s="6"/>
    </row>
    <row r="1568" spans="1:16" ht="14.4" x14ac:dyDescent="0.25">
      <c r="A1568" s="6">
        <v>422</v>
      </c>
      <c r="B1568" s="6">
        <v>2823</v>
      </c>
      <c r="C1568" s="19">
        <v>40794</v>
      </c>
      <c r="D1568" s="6" t="s">
        <v>17</v>
      </c>
      <c r="E1568" s="6">
        <f>IF((ISBLANK($B$1)),"",Sheet1!Q1575)</f>
        <v>4250</v>
      </c>
      <c r="F1568" s="20" t="s">
        <v>27</v>
      </c>
      <c r="G1568" s="53">
        <f t="shared" si="25"/>
        <v>-0.59211849959099416</v>
      </c>
      <c r="H1568" s="35"/>
      <c r="P1568" s="6"/>
    </row>
    <row r="1569" spans="1:16" ht="14.4" x14ac:dyDescent="0.25">
      <c r="A1569" s="6">
        <v>423</v>
      </c>
      <c r="B1569" s="6">
        <v>2823</v>
      </c>
      <c r="C1569" s="19">
        <v>40794</v>
      </c>
      <c r="D1569" s="6" t="s">
        <v>17</v>
      </c>
      <c r="E1569" s="6">
        <f>IF((ISBLANK($B$1)),"",Sheet1!Q1576)</f>
        <v>4450</v>
      </c>
      <c r="F1569" s="20" t="s">
        <v>26</v>
      </c>
      <c r="G1569" s="53">
        <f t="shared" si="25"/>
        <v>-0.31592764504908549</v>
      </c>
      <c r="H1569" s="35"/>
      <c r="P1569" s="6"/>
    </row>
    <row r="1570" spans="1:16" ht="14.4" x14ac:dyDescent="0.25">
      <c r="A1570" s="6">
        <v>460</v>
      </c>
      <c r="B1570" s="6">
        <v>3110</v>
      </c>
      <c r="C1570" s="19">
        <v>40163</v>
      </c>
      <c r="D1570" s="6" t="s">
        <v>17</v>
      </c>
      <c r="E1570" s="6">
        <f>IF((ISBLANK($B$1)),"",Sheet1!Q1577)</f>
        <v>4050</v>
      </c>
      <c r="F1570" s="20" t="s">
        <v>27</v>
      </c>
      <c r="G1570" s="53">
        <f t="shared" si="25"/>
        <v>-0.86830935413290289</v>
      </c>
      <c r="H1570" s="35"/>
      <c r="P1570" s="6"/>
    </row>
    <row r="1571" spans="1:16" ht="14.4" x14ac:dyDescent="0.25">
      <c r="A1571" s="6">
        <v>503</v>
      </c>
      <c r="B1571" s="6">
        <v>3463</v>
      </c>
      <c r="C1571" s="19">
        <v>40407</v>
      </c>
      <c r="D1571" s="6" t="s">
        <v>30</v>
      </c>
      <c r="E1571" s="6">
        <f>IF((ISBLANK($B$1)),"",Sheet1!Q1578)</f>
        <v>5550</v>
      </c>
      <c r="F1571" s="20" t="s">
        <v>26</v>
      </c>
      <c r="G1571" s="53">
        <f t="shared" si="25"/>
        <v>1.2031220549314123</v>
      </c>
      <c r="H1571" s="35"/>
      <c r="P1571" s="6"/>
    </row>
    <row r="1572" spans="1:16" ht="14.4" x14ac:dyDescent="0.25">
      <c r="A1572" s="6">
        <v>591</v>
      </c>
      <c r="B1572" s="6">
        <v>4034</v>
      </c>
      <c r="C1572" s="19">
        <v>40495</v>
      </c>
      <c r="D1572" s="6" t="s">
        <v>28</v>
      </c>
      <c r="E1572" s="6">
        <f>IF((ISBLANK($B$1)),"",Sheet1!Q1579)</f>
        <v>5600</v>
      </c>
      <c r="F1572" s="20" t="s">
        <v>29</v>
      </c>
      <c r="G1572" s="53">
        <f t="shared" si="25"/>
        <v>1.2721697685668893</v>
      </c>
      <c r="H1572" s="35"/>
      <c r="P1572" s="6"/>
    </row>
    <row r="1573" spans="1:16" ht="14.4" x14ac:dyDescent="0.25">
      <c r="A1573" s="6">
        <v>592</v>
      </c>
      <c r="B1573" s="6">
        <v>4034</v>
      </c>
      <c r="C1573" s="19">
        <v>40495</v>
      </c>
      <c r="D1573" s="6" t="s">
        <v>28</v>
      </c>
      <c r="E1573" s="6">
        <f>IF((ISBLANK($B$1)),"",Sheet1!Q1580)</f>
        <v>5250</v>
      </c>
      <c r="F1573" s="20" t="s">
        <v>29</v>
      </c>
      <c r="G1573" s="53">
        <f t="shared" si="25"/>
        <v>0.78883577311854924</v>
      </c>
      <c r="H1573" s="35"/>
      <c r="P1573" s="6"/>
    </row>
    <row r="1574" spans="1:16" ht="14.4" x14ac:dyDescent="0.25">
      <c r="A1574" s="6">
        <v>593</v>
      </c>
      <c r="B1574" s="6">
        <v>4037</v>
      </c>
      <c r="C1574" s="19">
        <v>40260</v>
      </c>
      <c r="D1574" s="6" t="s">
        <v>17</v>
      </c>
      <c r="E1574" s="6">
        <f>IF((ISBLANK($B$1)),"",Sheet1!Q1581)</f>
        <v>4750</v>
      </c>
      <c r="F1574" s="20" t="s">
        <v>26</v>
      </c>
      <c r="G1574" s="53">
        <f t="shared" si="25"/>
        <v>9.8358636763777513E-2</v>
      </c>
      <c r="H1574" s="35"/>
      <c r="P1574" s="6"/>
    </row>
    <row r="1575" spans="1:16" ht="14.4" x14ac:dyDescent="0.25">
      <c r="A1575" s="6">
        <v>775</v>
      </c>
      <c r="B1575" s="6">
        <v>5538</v>
      </c>
      <c r="C1575" s="19">
        <v>40536</v>
      </c>
      <c r="D1575" s="6" t="s">
        <v>30</v>
      </c>
      <c r="E1575" s="6">
        <f>IF((ISBLANK($B$1)),"",Sheet1!Q1582)</f>
        <v>5550</v>
      </c>
      <c r="F1575" s="20" t="s">
        <v>26</v>
      </c>
      <c r="G1575" s="53">
        <f t="shared" si="25"/>
        <v>1.2031220549314123</v>
      </c>
      <c r="H1575" s="35"/>
      <c r="P1575" s="6"/>
    </row>
    <row r="1576" spans="1:16" ht="14.4" x14ac:dyDescent="0.25">
      <c r="A1576" s="6">
        <v>776</v>
      </c>
      <c r="B1576" s="6">
        <v>5538</v>
      </c>
      <c r="C1576" s="19">
        <v>40536</v>
      </c>
      <c r="D1576" s="6" t="s">
        <v>30</v>
      </c>
      <c r="E1576" s="6">
        <f>IF((ISBLANK($B$1)),"",Sheet1!Q1583)</f>
        <v>4050</v>
      </c>
      <c r="F1576" s="20" t="s">
        <v>29</v>
      </c>
      <c r="G1576" s="53">
        <f t="shared" si="25"/>
        <v>-0.86830935413290289</v>
      </c>
      <c r="H1576" s="35"/>
      <c r="P1576" s="6"/>
    </row>
    <row r="1577" spans="1:16" ht="14.4" x14ac:dyDescent="0.25">
      <c r="A1577" s="6">
        <v>777</v>
      </c>
      <c r="B1577" s="6">
        <v>5538</v>
      </c>
      <c r="C1577" s="19">
        <v>40536</v>
      </c>
      <c r="D1577" s="6" t="s">
        <v>30</v>
      </c>
      <c r="E1577" s="6">
        <f>IF((ISBLANK($B$1)),"",Sheet1!Q1584)</f>
        <v>3600</v>
      </c>
      <c r="F1577" s="20" t="s">
        <v>27</v>
      </c>
      <c r="G1577" s="53">
        <f t="shared" si="25"/>
        <v>-1.4897387768521975</v>
      </c>
      <c r="H1577" s="35"/>
      <c r="P1577" s="6"/>
    </row>
    <row r="1578" spans="1:16" ht="14.4" x14ac:dyDescent="0.25">
      <c r="A1578" s="6">
        <v>814</v>
      </c>
      <c r="B1578" s="6">
        <v>5863</v>
      </c>
      <c r="C1578" s="19">
        <v>40503</v>
      </c>
      <c r="D1578" s="6" t="s">
        <v>16</v>
      </c>
      <c r="E1578" s="6">
        <f>IF((ISBLANK($B$1)),"",Sheet1!Q1585)</f>
        <v>5400</v>
      </c>
      <c r="F1578" s="20" t="s">
        <v>29</v>
      </c>
      <c r="G1578" s="53">
        <f t="shared" si="25"/>
        <v>0.99597891402498073</v>
      </c>
      <c r="H1578" s="35"/>
      <c r="P1578" s="6"/>
    </row>
    <row r="1579" spans="1:16" ht="14.4" x14ac:dyDescent="0.25">
      <c r="A1579" s="6">
        <v>997</v>
      </c>
      <c r="B1579" s="6">
        <v>7175</v>
      </c>
      <c r="C1579" s="19">
        <v>40216</v>
      </c>
      <c r="D1579" s="6" t="s">
        <v>30</v>
      </c>
      <c r="E1579" s="6">
        <f>IF((ISBLANK($B$1)),"",Sheet1!Q1586)</f>
        <v>3900</v>
      </c>
      <c r="F1579" s="20" t="s">
        <v>29</v>
      </c>
      <c r="G1579" s="53">
        <f t="shared" si="25"/>
        <v>-1.0754524950393345</v>
      </c>
      <c r="H1579" s="35"/>
      <c r="P1579" s="6"/>
    </row>
    <row r="1580" spans="1:16" ht="14.4" x14ac:dyDescent="0.25">
      <c r="A1580" s="6">
        <v>1008</v>
      </c>
      <c r="B1580" s="6">
        <v>7364</v>
      </c>
      <c r="C1580" s="19">
        <v>39941</v>
      </c>
      <c r="D1580" s="6" t="s">
        <v>17</v>
      </c>
      <c r="E1580" s="6">
        <f>IF((ISBLANK($B$1)),"",Sheet1!Q1587)</f>
        <v>4150</v>
      </c>
      <c r="F1580" s="20" t="s">
        <v>26</v>
      </c>
      <c r="G1580" s="53">
        <f t="shared" si="25"/>
        <v>-0.73021392686194853</v>
      </c>
      <c r="H1580" s="35"/>
      <c r="P1580" s="6"/>
    </row>
    <row r="1581" spans="1:16" ht="14.4" x14ac:dyDescent="0.25">
      <c r="A1581" s="6">
        <v>1068</v>
      </c>
      <c r="B1581" s="6">
        <v>7878</v>
      </c>
      <c r="C1581" s="19">
        <v>40664</v>
      </c>
      <c r="D1581" s="6" t="s">
        <v>30</v>
      </c>
      <c r="E1581" s="6">
        <f>IF((ISBLANK($B$1)),"",Sheet1!Q1588)</f>
        <v>5900</v>
      </c>
      <c r="F1581" s="20" t="s">
        <v>29</v>
      </c>
      <c r="G1581" s="53">
        <f t="shared" si="25"/>
        <v>1.6864560503797523</v>
      </c>
      <c r="H1581" s="35"/>
      <c r="P1581" s="6"/>
    </row>
    <row r="1582" spans="1:16" ht="14.4" x14ac:dyDescent="0.25">
      <c r="A1582" s="6">
        <v>1069</v>
      </c>
      <c r="B1582" s="6">
        <v>7878</v>
      </c>
      <c r="C1582" s="19">
        <v>40664</v>
      </c>
      <c r="D1582" s="6" t="s">
        <v>30</v>
      </c>
      <c r="E1582" s="6">
        <f>IF((ISBLANK($B$1)),"",Sheet1!Q1589)</f>
        <v>5450</v>
      </c>
      <c r="F1582" s="20" t="s">
        <v>29</v>
      </c>
      <c r="G1582" s="53">
        <f t="shared" si="25"/>
        <v>1.0650266276604579</v>
      </c>
      <c r="H1582" s="35"/>
      <c r="P1582" s="6"/>
    </row>
    <row r="1583" spans="1:16" ht="14.4" x14ac:dyDescent="0.25">
      <c r="A1583" s="6">
        <v>1070</v>
      </c>
      <c r="B1583" s="6">
        <v>7878</v>
      </c>
      <c r="C1583" s="19">
        <v>40664</v>
      </c>
      <c r="D1583" s="6" t="s">
        <v>25</v>
      </c>
      <c r="E1583" s="6">
        <f>IF((ISBLANK($B$1)),"",Sheet1!Q1590)</f>
        <v>5500</v>
      </c>
      <c r="F1583" s="20" t="s">
        <v>26</v>
      </c>
      <c r="G1583" s="53">
        <f t="shared" si="25"/>
        <v>1.1340743412959351</v>
      </c>
      <c r="H1583" s="35"/>
      <c r="P1583" s="6"/>
    </row>
    <row r="1584" spans="1:16" ht="14.4" x14ac:dyDescent="0.25">
      <c r="A1584" s="6">
        <v>1171</v>
      </c>
      <c r="B1584" s="6">
        <v>8551</v>
      </c>
      <c r="C1584" s="19">
        <v>40023</v>
      </c>
      <c r="D1584" s="6" t="s">
        <v>30</v>
      </c>
      <c r="E1584" s="6">
        <f>IF((ISBLANK($B$1)),"",Sheet1!Q1591)</f>
        <v>4650</v>
      </c>
      <c r="F1584" s="20" t="s">
        <v>26</v>
      </c>
      <c r="G1584" s="53">
        <f t="shared" si="25"/>
        <v>-3.9736790507176829E-2</v>
      </c>
      <c r="H1584" s="35"/>
      <c r="P1584" s="6"/>
    </row>
    <row r="1585" spans="1:16" ht="14.4" x14ac:dyDescent="0.25">
      <c r="A1585" s="6">
        <v>1172</v>
      </c>
      <c r="B1585" s="6">
        <v>8551</v>
      </c>
      <c r="C1585" s="19">
        <v>40023</v>
      </c>
      <c r="D1585" s="6" t="s">
        <v>30</v>
      </c>
      <c r="E1585" s="6">
        <f>IF((ISBLANK($B$1)),"",Sheet1!Q1592)</f>
        <v>5100</v>
      </c>
      <c r="F1585" s="20" t="s">
        <v>26</v>
      </c>
      <c r="G1585" s="53">
        <f t="shared" si="25"/>
        <v>0.58169263221211776</v>
      </c>
      <c r="H1585" s="35"/>
      <c r="P1585" s="6"/>
    </row>
    <row r="1586" spans="1:16" ht="14.4" x14ac:dyDescent="0.25">
      <c r="A1586" s="6">
        <v>1207</v>
      </c>
      <c r="B1586" s="6">
        <v>8834</v>
      </c>
      <c r="C1586" s="19">
        <v>40490</v>
      </c>
      <c r="D1586" s="6" t="s">
        <v>17</v>
      </c>
      <c r="E1586" s="6">
        <f>IF((ISBLANK($B$1)),"",Sheet1!Q1593)</f>
        <v>3450</v>
      </c>
      <c r="F1586" s="20" t="s">
        <v>29</v>
      </c>
      <c r="G1586" s="53">
        <f t="shared" si="25"/>
        <v>-1.696881917758629</v>
      </c>
      <c r="H1586" s="35"/>
      <c r="P1586" s="6"/>
    </row>
    <row r="1587" spans="1:16" ht="14.4" x14ac:dyDescent="0.25">
      <c r="A1587" s="6">
        <v>1261</v>
      </c>
      <c r="B1587" s="6">
        <v>9155</v>
      </c>
      <c r="C1587" s="19">
        <v>41151</v>
      </c>
      <c r="D1587" s="6" t="s">
        <v>30</v>
      </c>
      <c r="E1587" s="6">
        <f>IF((ISBLANK($B$1)),"",Sheet1!Q1594)</f>
        <v>4250</v>
      </c>
      <c r="F1587" s="20" t="s">
        <v>26</v>
      </c>
      <c r="G1587" s="53">
        <f t="shared" si="25"/>
        <v>-0.59211849959099416</v>
      </c>
      <c r="H1587" s="35"/>
      <c r="P1587" s="6"/>
    </row>
    <row r="1588" spans="1:16" ht="14.4" x14ac:dyDescent="0.25">
      <c r="A1588" s="6">
        <v>1325</v>
      </c>
      <c r="B1588" s="6">
        <v>9668</v>
      </c>
      <c r="C1588" s="19">
        <v>40062</v>
      </c>
      <c r="D1588" s="6" t="s">
        <v>25</v>
      </c>
      <c r="E1588" s="6">
        <f>IF((ISBLANK($B$1)),"",Sheet1!Q1595)</f>
        <v>3900</v>
      </c>
      <c r="F1588" s="20" t="s">
        <v>26</v>
      </c>
      <c r="G1588" s="53">
        <f t="shared" si="25"/>
        <v>-1.0754524950393345</v>
      </c>
      <c r="H1588" s="35"/>
      <c r="P1588" s="6"/>
    </row>
    <row r="1589" spans="1:16" ht="14.4" x14ac:dyDescent="0.25">
      <c r="A1589" s="6">
        <v>1408</v>
      </c>
      <c r="B1589" s="6">
        <v>10242</v>
      </c>
      <c r="C1589" s="19">
        <v>40524</v>
      </c>
      <c r="D1589" s="6" t="s">
        <v>16</v>
      </c>
      <c r="E1589" s="6">
        <f>IF((ISBLANK($B$1)),"",Sheet1!Q1596)</f>
        <v>5000</v>
      </c>
      <c r="F1589" s="20" t="s">
        <v>29</v>
      </c>
      <c r="G1589" s="53">
        <f t="shared" si="25"/>
        <v>0.44359720494116334</v>
      </c>
      <c r="H1589" s="35"/>
      <c r="P1589" s="6"/>
    </row>
    <row r="1590" spans="1:16" ht="14.4" x14ac:dyDescent="0.25">
      <c r="A1590" s="6">
        <v>1711</v>
      </c>
      <c r="B1590" s="6">
        <v>12292</v>
      </c>
      <c r="C1590" s="19">
        <v>41062</v>
      </c>
      <c r="D1590" s="6" t="s">
        <v>28</v>
      </c>
      <c r="E1590" s="6">
        <f>IF((ISBLANK($B$1)),"",Sheet1!Q1597)</f>
        <v>5000</v>
      </c>
      <c r="F1590" s="20" t="s">
        <v>27</v>
      </c>
      <c r="G1590" s="53">
        <f t="shared" si="25"/>
        <v>0.44359720494116334</v>
      </c>
      <c r="H1590" s="35"/>
      <c r="P1590" s="6"/>
    </row>
    <row r="1591" spans="1:16" ht="14.4" x14ac:dyDescent="0.25">
      <c r="A1591" s="6">
        <v>2035</v>
      </c>
      <c r="B1591" s="6">
        <v>14503</v>
      </c>
      <c r="C1591" s="19">
        <v>40579</v>
      </c>
      <c r="D1591" s="6" t="s">
        <v>28</v>
      </c>
      <c r="E1591" s="6">
        <f>IF((ISBLANK($B$1)),"",Sheet1!Q1598)</f>
        <v>4100</v>
      </c>
      <c r="F1591" s="20" t="s">
        <v>26</v>
      </c>
      <c r="G1591" s="53">
        <f t="shared" si="25"/>
        <v>-0.79926164049742576</v>
      </c>
      <c r="H1591" s="35"/>
      <c r="P1591" s="6"/>
    </row>
    <row r="1592" spans="1:16" ht="14.4" x14ac:dyDescent="0.25">
      <c r="A1592" s="6">
        <v>2118</v>
      </c>
      <c r="B1592" s="6">
        <v>15109</v>
      </c>
      <c r="C1592" s="19">
        <v>40526</v>
      </c>
      <c r="D1592" s="6" t="s">
        <v>28</v>
      </c>
      <c r="E1592" s="6">
        <f>IF((ISBLANK($B$1)),"",Sheet1!Q1599)</f>
        <v>3950</v>
      </c>
      <c r="F1592" s="20" t="s">
        <v>27</v>
      </c>
      <c r="G1592" s="53">
        <f t="shared" si="25"/>
        <v>-1.0064047814038573</v>
      </c>
      <c r="H1592" s="35"/>
      <c r="P1592" s="6"/>
    </row>
    <row r="1593" spans="1:16" ht="14.4" x14ac:dyDescent="0.25">
      <c r="A1593" s="6">
        <v>2119</v>
      </c>
      <c r="B1593" s="6">
        <v>15109</v>
      </c>
      <c r="C1593" s="19">
        <v>40526</v>
      </c>
      <c r="D1593" s="6" t="s">
        <v>28</v>
      </c>
      <c r="E1593" s="6">
        <f>IF((ISBLANK($B$1)),"",Sheet1!Q1600)</f>
        <v>5650</v>
      </c>
      <c r="F1593" s="20" t="s">
        <v>26</v>
      </c>
      <c r="G1593" s="53">
        <f t="shared" si="25"/>
        <v>1.3412174822023666</v>
      </c>
      <c r="H1593" s="35"/>
      <c r="P1593" s="6"/>
    </row>
    <row r="1594" spans="1:16" ht="14.4" x14ac:dyDescent="0.25">
      <c r="A1594" s="6">
        <v>2120</v>
      </c>
      <c r="B1594" s="6">
        <v>15109</v>
      </c>
      <c r="C1594" s="19">
        <v>40526</v>
      </c>
      <c r="D1594" s="6" t="s">
        <v>28</v>
      </c>
      <c r="E1594" s="6">
        <f>IF((ISBLANK($B$1)),"",Sheet1!Q1601)</f>
        <v>5050</v>
      </c>
      <c r="F1594" s="20" t="s">
        <v>26</v>
      </c>
      <c r="G1594" s="53">
        <f t="shared" si="25"/>
        <v>0.51264491857664052</v>
      </c>
      <c r="H1594" s="35"/>
      <c r="P1594" s="6"/>
    </row>
    <row r="1595" spans="1:16" ht="14.4" x14ac:dyDescent="0.25">
      <c r="A1595" s="6">
        <v>2121</v>
      </c>
      <c r="B1595" s="6">
        <v>15109</v>
      </c>
      <c r="C1595" s="19">
        <v>40526</v>
      </c>
      <c r="D1595" s="6" t="s">
        <v>28</v>
      </c>
      <c r="E1595" s="6">
        <f>IF((ISBLANK($B$1)),"",Sheet1!Q1602)</f>
        <v>4550</v>
      </c>
      <c r="F1595" s="20" t="s">
        <v>26</v>
      </c>
      <c r="G1595" s="53">
        <f t="shared" si="25"/>
        <v>-0.17783221777813119</v>
      </c>
      <c r="H1595" s="35"/>
      <c r="P1595" s="6"/>
    </row>
    <row r="1596" spans="1:16" ht="14.4" x14ac:dyDescent="0.25">
      <c r="A1596" s="6">
        <v>2122</v>
      </c>
      <c r="B1596" s="6">
        <v>15109</v>
      </c>
      <c r="C1596" s="19">
        <v>40526</v>
      </c>
      <c r="D1596" s="6" t="s">
        <v>28</v>
      </c>
      <c r="E1596" s="6">
        <f>IF((ISBLANK($B$1)),"",Sheet1!Q1603)</f>
        <v>3900</v>
      </c>
      <c r="F1596" s="20" t="s">
        <v>26</v>
      </c>
      <c r="G1596" s="53">
        <f t="shared" si="25"/>
        <v>-1.0754524950393345</v>
      </c>
      <c r="H1596" s="35"/>
      <c r="P1596" s="6"/>
    </row>
    <row r="1597" spans="1:16" ht="14.4" x14ac:dyDescent="0.25">
      <c r="A1597" s="6">
        <v>2126</v>
      </c>
      <c r="B1597" s="6">
        <v>15142</v>
      </c>
      <c r="C1597" s="19">
        <v>41003</v>
      </c>
      <c r="D1597" s="6" t="s">
        <v>28</v>
      </c>
      <c r="E1597" s="6">
        <f>IF((ISBLANK($B$1)),"",Sheet1!Q1604)</f>
        <v>4450</v>
      </c>
      <c r="F1597" s="20" t="s">
        <v>26</v>
      </c>
      <c r="G1597" s="53">
        <f t="shared" si="25"/>
        <v>-0.31592764504908549</v>
      </c>
      <c r="H1597" s="35"/>
      <c r="P1597" s="6"/>
    </row>
    <row r="1598" spans="1:16" ht="14.4" x14ac:dyDescent="0.25">
      <c r="A1598" s="6">
        <v>2146</v>
      </c>
      <c r="B1598" s="6">
        <v>15332</v>
      </c>
      <c r="C1598" s="19">
        <v>40328</v>
      </c>
      <c r="D1598" s="6" t="s">
        <v>28</v>
      </c>
      <c r="E1598" s="6">
        <f>IF((ISBLANK($B$1)),"",Sheet1!Q1605)</f>
        <v>3700</v>
      </c>
      <c r="F1598" s="20" t="s">
        <v>26</v>
      </c>
      <c r="G1598" s="53">
        <f t="shared" si="25"/>
        <v>-1.351643349581243</v>
      </c>
      <c r="H1598" s="35"/>
      <c r="P1598" s="6"/>
    </row>
    <row r="1599" spans="1:16" ht="14.4" x14ac:dyDescent="0.25">
      <c r="A1599" s="6">
        <v>2199</v>
      </c>
      <c r="B1599" s="6">
        <v>15872</v>
      </c>
      <c r="C1599" s="19">
        <v>41212</v>
      </c>
      <c r="D1599" s="6" t="s">
        <v>28</v>
      </c>
      <c r="E1599" s="6">
        <f>IF((ISBLANK($B$1)),"",Sheet1!Q1606)</f>
        <v>5800</v>
      </c>
      <c r="F1599" s="20" t="s">
        <v>26</v>
      </c>
      <c r="G1599" s="53">
        <f t="shared" si="25"/>
        <v>1.5483606231087981</v>
      </c>
      <c r="H1599" s="35"/>
      <c r="P1599" s="6"/>
    </row>
    <row r="1600" spans="1:16" ht="14.4" x14ac:dyDescent="0.25">
      <c r="A1600" s="6">
        <v>2200</v>
      </c>
      <c r="B1600" s="6">
        <v>15872</v>
      </c>
      <c r="C1600" s="19">
        <v>41212</v>
      </c>
      <c r="D1600" s="6" t="s">
        <v>28</v>
      </c>
      <c r="E1600" s="6">
        <f>IF((ISBLANK($B$1)),"",Sheet1!Q1607)</f>
        <v>4550</v>
      </c>
      <c r="F1600" s="20" t="s">
        <v>26</v>
      </c>
      <c r="G1600" s="53">
        <f t="shared" si="25"/>
        <v>-0.17783221777813119</v>
      </c>
      <c r="H1600" s="35"/>
      <c r="P1600" s="6"/>
    </row>
    <row r="1601" spans="1:16" ht="14.4" x14ac:dyDescent="0.25">
      <c r="A1601" s="6">
        <v>2201</v>
      </c>
      <c r="B1601" s="6">
        <v>15872</v>
      </c>
      <c r="C1601" s="19">
        <v>41212</v>
      </c>
      <c r="D1601" s="6" t="s">
        <v>28</v>
      </c>
      <c r="E1601" s="6">
        <f>IF((ISBLANK($B$1)),"",Sheet1!Q1608)</f>
        <v>4350</v>
      </c>
      <c r="F1601" s="20" t="s">
        <v>26</v>
      </c>
      <c r="G1601" s="53">
        <f t="shared" si="25"/>
        <v>-0.45402307232003986</v>
      </c>
      <c r="H1601" s="35"/>
      <c r="P1601" s="6"/>
    </row>
    <row r="1602" spans="1:16" ht="14.4" x14ac:dyDescent="0.25">
      <c r="A1602" s="6">
        <v>2216</v>
      </c>
      <c r="B1602" s="6">
        <v>16032</v>
      </c>
      <c r="C1602" s="19">
        <v>40152</v>
      </c>
      <c r="D1602" s="6" t="s">
        <v>25</v>
      </c>
      <c r="E1602" s="6">
        <f>IF((ISBLANK($B$1)),"",Sheet1!Q1609)</f>
        <v>5150</v>
      </c>
      <c r="F1602" s="20" t="s">
        <v>29</v>
      </c>
      <c r="G1602" s="53">
        <f t="shared" si="25"/>
        <v>0.65074034584759488</v>
      </c>
      <c r="H1602" s="35"/>
      <c r="P1602" s="6"/>
    </row>
    <row r="1603" spans="1:16" ht="14.4" x14ac:dyDescent="0.25">
      <c r="A1603" s="6">
        <v>2242</v>
      </c>
      <c r="B1603" s="6">
        <v>16165</v>
      </c>
      <c r="C1603" s="19">
        <v>40381</v>
      </c>
      <c r="D1603" s="6" t="s">
        <v>28</v>
      </c>
      <c r="E1603" s="6">
        <f>IF((ISBLANK($B$1)),"",Sheet1!Q1610)</f>
        <v>3600</v>
      </c>
      <c r="F1603" s="20" t="s">
        <v>27</v>
      </c>
      <c r="G1603" s="53">
        <f t="shared" si="25"/>
        <v>-1.4897387768521975</v>
      </c>
      <c r="H1603" s="35"/>
      <c r="P1603" s="6"/>
    </row>
    <row r="1604" spans="1:16" ht="14.4" x14ac:dyDescent="0.25">
      <c r="A1604" s="6">
        <v>2243</v>
      </c>
      <c r="B1604" s="6">
        <v>16165</v>
      </c>
      <c r="C1604" s="19">
        <v>40381</v>
      </c>
      <c r="D1604" s="6" t="s">
        <v>28</v>
      </c>
      <c r="E1604" s="6">
        <f>IF((ISBLANK($B$1)),"",Sheet1!Q1611)</f>
        <v>4600</v>
      </c>
      <c r="F1604" s="20" t="s">
        <v>29</v>
      </c>
      <c r="G1604" s="53">
        <f t="shared" si="25"/>
        <v>-0.108784504142654</v>
      </c>
      <c r="H1604" s="35"/>
      <c r="P1604" s="6"/>
    </row>
    <row r="1605" spans="1:16" ht="14.4" x14ac:dyDescent="0.25">
      <c r="A1605" s="6">
        <v>2244</v>
      </c>
      <c r="B1605" s="6">
        <v>16165</v>
      </c>
      <c r="C1605" s="19">
        <v>40381</v>
      </c>
      <c r="D1605" s="6" t="s">
        <v>28</v>
      </c>
      <c r="E1605" s="6">
        <f>IF((ISBLANK($B$1)),"",Sheet1!Q1612)</f>
        <v>4350</v>
      </c>
      <c r="F1605" s="20" t="s">
        <v>26</v>
      </c>
      <c r="G1605" s="53">
        <f t="shared" si="25"/>
        <v>-0.45402307232003986</v>
      </c>
      <c r="H1605" s="35"/>
      <c r="P1605" s="6"/>
    </row>
    <row r="1606" spans="1:16" ht="14.4" x14ac:dyDescent="0.25">
      <c r="A1606" s="6">
        <v>2426</v>
      </c>
      <c r="B1606" s="6">
        <v>17632</v>
      </c>
      <c r="C1606" s="19">
        <v>40230</v>
      </c>
      <c r="D1606" s="6" t="s">
        <v>16</v>
      </c>
      <c r="E1606" s="6">
        <f>IF((ISBLANK($B$1)),"",Sheet1!Q1613)</f>
        <v>5300</v>
      </c>
      <c r="F1606" s="20" t="s">
        <v>26</v>
      </c>
      <c r="G1606" s="53">
        <f t="shared" si="25"/>
        <v>0.85788348675402637</v>
      </c>
      <c r="H1606" s="35"/>
      <c r="P1606" s="6"/>
    </row>
    <row r="1607" spans="1:16" ht="14.4" x14ac:dyDescent="0.25">
      <c r="A1607" s="6">
        <v>2691</v>
      </c>
      <c r="B1607" s="6">
        <v>19492</v>
      </c>
      <c r="C1607" s="19">
        <v>40524</v>
      </c>
      <c r="D1607" s="6" t="s">
        <v>17</v>
      </c>
      <c r="E1607" s="6">
        <f>IF((ISBLANK($B$1)),"",Sheet1!Q1614)</f>
        <v>3850</v>
      </c>
      <c r="F1607" s="20" t="s">
        <v>29</v>
      </c>
      <c r="G1607" s="53">
        <f t="shared" si="25"/>
        <v>-1.1445002086748115</v>
      </c>
      <c r="H1607" s="35"/>
      <c r="P1607" s="6"/>
    </row>
    <row r="1608" spans="1:16" ht="14.4" x14ac:dyDescent="0.25">
      <c r="A1608" s="6">
        <v>2692</v>
      </c>
      <c r="B1608" s="6">
        <v>19492</v>
      </c>
      <c r="C1608" s="19">
        <v>40524</v>
      </c>
      <c r="D1608" s="6" t="s">
        <v>17</v>
      </c>
      <c r="E1608" s="6">
        <f>IF((ISBLANK($B$1)),"",Sheet1!Q1615)</f>
        <v>5050</v>
      </c>
      <c r="F1608" s="20" t="s">
        <v>26</v>
      </c>
      <c r="G1608" s="53">
        <f t="shared" ref="G1608:G1671" si="26">STANDARDIZE(E1608,$L$26,$L$35)</f>
        <v>0.51264491857664052</v>
      </c>
      <c r="H1608" s="35"/>
      <c r="P1608" s="6"/>
    </row>
    <row r="1609" spans="1:16" ht="14.4" x14ac:dyDescent="0.25">
      <c r="A1609" s="6">
        <v>2786</v>
      </c>
      <c r="B1609" s="6">
        <v>20102</v>
      </c>
      <c r="C1609" s="19">
        <v>40699</v>
      </c>
      <c r="D1609" s="6" t="s">
        <v>17</v>
      </c>
      <c r="E1609" s="6">
        <f>IF((ISBLANK($B$1)),"",Sheet1!Q1616)</f>
        <v>4150</v>
      </c>
      <c r="F1609" s="20" t="s">
        <v>27</v>
      </c>
      <c r="G1609" s="53">
        <f t="shared" si="26"/>
        <v>-0.73021392686194853</v>
      </c>
      <c r="H1609" s="35"/>
      <c r="P1609" s="6"/>
    </row>
    <row r="1610" spans="1:16" ht="14.4" x14ac:dyDescent="0.25">
      <c r="A1610" s="6">
        <v>3050</v>
      </c>
      <c r="B1610" s="6">
        <v>21863</v>
      </c>
      <c r="C1610" s="19">
        <v>40503</v>
      </c>
      <c r="D1610" s="6" t="s">
        <v>28</v>
      </c>
      <c r="E1610" s="6">
        <f>IF((ISBLANK($B$1)),"",Sheet1!Q1617)</f>
        <v>4750</v>
      </c>
      <c r="F1610" s="20" t="s">
        <v>26</v>
      </c>
      <c r="G1610" s="53">
        <f t="shared" si="26"/>
        <v>9.8358636763777513E-2</v>
      </c>
      <c r="H1610" s="35"/>
      <c r="P1610" s="6"/>
    </row>
    <row r="1611" spans="1:16" ht="14.4" x14ac:dyDescent="0.25">
      <c r="A1611" s="6">
        <v>3051</v>
      </c>
      <c r="B1611" s="6">
        <v>21863</v>
      </c>
      <c r="C1611" s="19">
        <v>40503</v>
      </c>
      <c r="D1611" s="6" t="s">
        <v>28</v>
      </c>
      <c r="E1611" s="6">
        <f>IF((ISBLANK($B$1)),"",Sheet1!Q1618)</f>
        <v>4050</v>
      </c>
      <c r="F1611" s="20" t="s">
        <v>26</v>
      </c>
      <c r="G1611" s="53">
        <f t="shared" si="26"/>
        <v>-0.86830935413290289</v>
      </c>
      <c r="H1611" s="35"/>
      <c r="P1611" s="6"/>
    </row>
    <row r="1612" spans="1:16" ht="14.4" x14ac:dyDescent="0.25">
      <c r="A1612" s="6">
        <v>3058</v>
      </c>
      <c r="B1612" s="6">
        <v>21894</v>
      </c>
      <c r="C1612" s="19">
        <v>40895</v>
      </c>
      <c r="D1612" s="6" t="s">
        <v>30</v>
      </c>
      <c r="E1612" s="6">
        <f>IF((ISBLANK($B$1)),"",Sheet1!Q1619)</f>
        <v>3700</v>
      </c>
      <c r="F1612" s="20" t="s">
        <v>26</v>
      </c>
      <c r="G1612" s="53">
        <f t="shared" si="26"/>
        <v>-1.351643349581243</v>
      </c>
      <c r="H1612" s="35"/>
      <c r="P1612" s="6"/>
    </row>
    <row r="1613" spans="1:16" ht="14.4" x14ac:dyDescent="0.25">
      <c r="A1613" s="6">
        <v>3072</v>
      </c>
      <c r="B1613" s="6">
        <v>22022</v>
      </c>
      <c r="C1613" s="19">
        <v>40271</v>
      </c>
      <c r="D1613" s="6" t="s">
        <v>30</v>
      </c>
      <c r="E1613" s="6">
        <f>IF((ISBLANK($B$1)),"",Sheet1!Q1620)</f>
        <v>3450</v>
      </c>
      <c r="F1613" s="20" t="s">
        <v>27</v>
      </c>
      <c r="G1613" s="53">
        <f t="shared" si="26"/>
        <v>-1.696881917758629</v>
      </c>
      <c r="H1613" s="35"/>
      <c r="P1613" s="6"/>
    </row>
    <row r="1614" spans="1:16" ht="14.4" x14ac:dyDescent="0.25">
      <c r="A1614" s="6">
        <v>3159</v>
      </c>
      <c r="B1614" s="6">
        <v>22663</v>
      </c>
      <c r="C1614" s="19">
        <v>40919</v>
      </c>
      <c r="D1614" s="6" t="s">
        <v>25</v>
      </c>
      <c r="E1614" s="6">
        <f>IF((ISBLANK($B$1)),"",Sheet1!Q1621)</f>
        <v>5150</v>
      </c>
      <c r="F1614" s="20" t="s">
        <v>29</v>
      </c>
      <c r="G1614" s="53">
        <f t="shared" si="26"/>
        <v>0.65074034584759488</v>
      </c>
      <c r="H1614" s="35"/>
      <c r="P1614" s="6"/>
    </row>
    <row r="1615" spans="1:16" ht="14.4" x14ac:dyDescent="0.25">
      <c r="A1615" s="6">
        <v>3160</v>
      </c>
      <c r="B1615" s="6">
        <v>22663</v>
      </c>
      <c r="C1615" s="19">
        <v>40919</v>
      </c>
      <c r="D1615" s="6" t="s">
        <v>25</v>
      </c>
      <c r="E1615" s="6">
        <f>IF((ISBLANK($B$1)),"",Sheet1!Q1622)</f>
        <v>4150</v>
      </c>
      <c r="F1615" s="20" t="s">
        <v>27</v>
      </c>
      <c r="G1615" s="53">
        <f t="shared" si="26"/>
        <v>-0.73021392686194853</v>
      </c>
      <c r="H1615" s="35"/>
      <c r="P1615" s="6"/>
    </row>
    <row r="1616" spans="1:16" ht="14.4" x14ac:dyDescent="0.25">
      <c r="A1616" s="6">
        <v>3317</v>
      </c>
      <c r="B1616" s="6">
        <v>23713</v>
      </c>
      <c r="C1616" s="19">
        <v>41241</v>
      </c>
      <c r="D1616" s="6" t="s">
        <v>28</v>
      </c>
      <c r="E1616" s="6">
        <f>IF((ISBLANK($B$1)),"",Sheet1!Q1623)</f>
        <v>5300</v>
      </c>
      <c r="F1616" s="20" t="s">
        <v>27</v>
      </c>
      <c r="G1616" s="53">
        <f t="shared" si="26"/>
        <v>0.85788348675402637</v>
      </c>
      <c r="H1616" s="35"/>
      <c r="P1616" s="6"/>
    </row>
    <row r="1617" spans="1:16" ht="14.4" x14ac:dyDescent="0.25">
      <c r="A1617" s="6">
        <v>3411</v>
      </c>
      <c r="B1617" s="6">
        <v>24358</v>
      </c>
      <c r="C1617" s="19">
        <v>39949</v>
      </c>
      <c r="D1617" s="6" t="s">
        <v>30</v>
      </c>
      <c r="E1617" s="6">
        <f>IF((ISBLANK($B$1)),"",Sheet1!Q1624)</f>
        <v>4750</v>
      </c>
      <c r="F1617" s="20" t="s">
        <v>26</v>
      </c>
      <c r="G1617" s="53">
        <f t="shared" si="26"/>
        <v>9.8358636763777513E-2</v>
      </c>
      <c r="H1617" s="35"/>
      <c r="P1617" s="6"/>
    </row>
    <row r="1618" spans="1:16" ht="14.4" x14ac:dyDescent="0.25">
      <c r="A1618" s="6">
        <v>3415</v>
      </c>
      <c r="B1618" s="6">
        <v>24386</v>
      </c>
      <c r="C1618" s="19">
        <v>41086</v>
      </c>
      <c r="D1618" s="6" t="s">
        <v>17</v>
      </c>
      <c r="E1618" s="6">
        <f>IF((ISBLANK($B$1)),"",Sheet1!Q1625)</f>
        <v>5450</v>
      </c>
      <c r="F1618" s="20" t="s">
        <v>27</v>
      </c>
      <c r="G1618" s="53">
        <f t="shared" si="26"/>
        <v>1.0650266276604579</v>
      </c>
      <c r="H1618" s="35"/>
      <c r="P1618" s="6"/>
    </row>
    <row r="1619" spans="1:16" ht="14.4" x14ac:dyDescent="0.25">
      <c r="A1619" s="6">
        <v>3416</v>
      </c>
      <c r="B1619" s="6">
        <v>24386</v>
      </c>
      <c r="C1619" s="19">
        <v>41086</v>
      </c>
      <c r="D1619" s="6" t="s">
        <v>17</v>
      </c>
      <c r="E1619" s="6">
        <f>IF((ISBLANK($B$1)),"",Sheet1!Q1626)</f>
        <v>4000</v>
      </c>
      <c r="F1619" s="20" t="s">
        <v>27</v>
      </c>
      <c r="G1619" s="53">
        <f t="shared" si="26"/>
        <v>-0.93735706776838001</v>
      </c>
      <c r="H1619" s="35"/>
      <c r="P1619" s="6"/>
    </row>
    <row r="1620" spans="1:16" ht="14.4" x14ac:dyDescent="0.25">
      <c r="A1620" s="6">
        <v>3417</v>
      </c>
      <c r="B1620" s="6">
        <v>24386</v>
      </c>
      <c r="C1620" s="19">
        <v>41086</v>
      </c>
      <c r="D1620" s="6" t="s">
        <v>17</v>
      </c>
      <c r="E1620" s="6">
        <f>IF((ISBLANK($B$1)),"",Sheet1!Q1627)</f>
        <v>4150</v>
      </c>
      <c r="F1620" s="20" t="s">
        <v>26</v>
      </c>
      <c r="G1620" s="53">
        <f t="shared" si="26"/>
        <v>-0.73021392686194853</v>
      </c>
      <c r="H1620" s="35"/>
      <c r="P1620" s="6"/>
    </row>
    <row r="1621" spans="1:16" ht="14.4" x14ac:dyDescent="0.25">
      <c r="A1621" s="6">
        <v>3494</v>
      </c>
      <c r="B1621" s="6">
        <v>24899</v>
      </c>
      <c r="C1621" s="19">
        <v>40775</v>
      </c>
      <c r="D1621" s="6" t="s">
        <v>28</v>
      </c>
      <c r="E1621" s="6">
        <f>IF((ISBLANK($B$1)),"",Sheet1!Q1628)</f>
        <v>5250</v>
      </c>
      <c r="F1621" s="20" t="s">
        <v>26</v>
      </c>
      <c r="G1621" s="53">
        <f t="shared" si="26"/>
        <v>0.78883577311854924</v>
      </c>
      <c r="H1621" s="35"/>
      <c r="P1621" s="6"/>
    </row>
    <row r="1622" spans="1:16" ht="14.4" x14ac:dyDescent="0.25">
      <c r="A1622" s="6">
        <v>3571</v>
      </c>
      <c r="B1622" s="6">
        <v>25473</v>
      </c>
      <c r="C1622" s="19">
        <v>41196</v>
      </c>
      <c r="D1622" s="6" t="s">
        <v>17</v>
      </c>
      <c r="E1622" s="6">
        <f>IF((ISBLANK($B$1)),"",Sheet1!Q1629)</f>
        <v>5200</v>
      </c>
      <c r="F1622" s="20" t="s">
        <v>27</v>
      </c>
      <c r="G1622" s="53">
        <f t="shared" si="26"/>
        <v>0.71978805948307201</v>
      </c>
      <c r="H1622" s="35"/>
      <c r="P1622" s="6"/>
    </row>
    <row r="1623" spans="1:16" ht="14.4" x14ac:dyDescent="0.25">
      <c r="A1623" s="6">
        <v>3572</v>
      </c>
      <c r="B1623" s="6">
        <v>25473</v>
      </c>
      <c r="C1623" s="19">
        <v>41196</v>
      </c>
      <c r="D1623" s="6" t="s">
        <v>17</v>
      </c>
      <c r="E1623" s="6">
        <f>IF((ISBLANK($B$1)),"",Sheet1!Q1630)</f>
        <v>4400</v>
      </c>
      <c r="F1623" s="20" t="s">
        <v>26</v>
      </c>
      <c r="G1623" s="53">
        <f t="shared" si="26"/>
        <v>-0.38497535868456267</v>
      </c>
      <c r="H1623" s="35"/>
      <c r="P1623" s="6"/>
    </row>
    <row r="1624" spans="1:16" ht="14.4" x14ac:dyDescent="0.25">
      <c r="A1624" s="6">
        <v>3596</v>
      </c>
      <c r="B1624" s="6">
        <v>25638</v>
      </c>
      <c r="C1624" s="19">
        <v>40031</v>
      </c>
      <c r="D1624" s="6" t="s">
        <v>17</v>
      </c>
      <c r="E1624" s="6">
        <f>IF((ISBLANK($B$1)),"",Sheet1!Q1631)</f>
        <v>4950</v>
      </c>
      <c r="F1624" s="20" t="s">
        <v>27</v>
      </c>
      <c r="G1624" s="53">
        <f t="shared" si="26"/>
        <v>0.37454949130568621</v>
      </c>
      <c r="H1624" s="35"/>
      <c r="P1624" s="6"/>
    </row>
    <row r="1625" spans="1:16" ht="14.4" x14ac:dyDescent="0.25">
      <c r="A1625" s="6">
        <v>3597</v>
      </c>
      <c r="B1625" s="6">
        <v>25638</v>
      </c>
      <c r="C1625" s="19">
        <v>40031</v>
      </c>
      <c r="D1625" s="6" t="s">
        <v>17</v>
      </c>
      <c r="E1625" s="6">
        <f>IF((ISBLANK($B$1)),"",Sheet1!Q1632)</f>
        <v>4000</v>
      </c>
      <c r="F1625" s="20" t="s">
        <v>26</v>
      </c>
      <c r="G1625" s="53">
        <f t="shared" si="26"/>
        <v>-0.93735706776838001</v>
      </c>
      <c r="H1625" s="35"/>
      <c r="P1625" s="6"/>
    </row>
    <row r="1626" spans="1:16" ht="14.4" x14ac:dyDescent="0.25">
      <c r="A1626" s="6">
        <v>3638</v>
      </c>
      <c r="B1626" s="6">
        <v>26016</v>
      </c>
      <c r="C1626" s="19">
        <v>40093</v>
      </c>
      <c r="D1626" s="6" t="s">
        <v>17</v>
      </c>
      <c r="E1626" s="6">
        <f>IF((ISBLANK($B$1)),"",Sheet1!Q1633)</f>
        <v>3500</v>
      </c>
      <c r="F1626" s="20" t="s">
        <v>27</v>
      </c>
      <c r="G1626" s="53">
        <f t="shared" si="26"/>
        <v>-1.6278342041231517</v>
      </c>
      <c r="H1626" s="35"/>
      <c r="P1626" s="6"/>
    </row>
    <row r="1627" spans="1:16" ht="14.4" x14ac:dyDescent="0.25">
      <c r="A1627" s="6">
        <v>3639</v>
      </c>
      <c r="B1627" s="6">
        <v>26016</v>
      </c>
      <c r="C1627" s="19">
        <v>40093</v>
      </c>
      <c r="D1627" s="6" t="s">
        <v>17</v>
      </c>
      <c r="E1627" s="6">
        <f>IF((ISBLANK($B$1)),"",Sheet1!Q1634)</f>
        <v>5600</v>
      </c>
      <c r="F1627" s="20" t="s">
        <v>27</v>
      </c>
      <c r="G1627" s="53">
        <f t="shared" si="26"/>
        <v>1.2721697685668893</v>
      </c>
      <c r="H1627" s="35"/>
      <c r="P1627" s="6"/>
    </row>
    <row r="1628" spans="1:16" ht="14.4" x14ac:dyDescent="0.25">
      <c r="A1628" s="6">
        <v>3659</v>
      </c>
      <c r="B1628" s="6">
        <v>26182</v>
      </c>
      <c r="C1628" s="19">
        <v>40194</v>
      </c>
      <c r="D1628" s="6" t="s">
        <v>28</v>
      </c>
      <c r="E1628" s="6">
        <f>IF((ISBLANK($B$1)),"",Sheet1!Q1635)</f>
        <v>3600</v>
      </c>
      <c r="F1628" s="20" t="s">
        <v>29</v>
      </c>
      <c r="G1628" s="53">
        <f t="shared" si="26"/>
        <v>-1.4897387768521975</v>
      </c>
      <c r="H1628" s="35"/>
      <c r="P1628" s="6"/>
    </row>
    <row r="1629" spans="1:16" ht="14.4" x14ac:dyDescent="0.25">
      <c r="A1629" s="6">
        <v>3735</v>
      </c>
      <c r="B1629" s="6">
        <v>26691</v>
      </c>
      <c r="C1629" s="19">
        <v>41124</v>
      </c>
      <c r="D1629" s="6" t="s">
        <v>28</v>
      </c>
      <c r="E1629" s="6">
        <f>IF((ISBLANK($B$1)),"",Sheet1!Q1636)</f>
        <v>5250</v>
      </c>
      <c r="F1629" s="20" t="s">
        <v>26</v>
      </c>
      <c r="G1629" s="53">
        <f t="shared" si="26"/>
        <v>0.78883577311854924</v>
      </c>
      <c r="H1629" s="35"/>
      <c r="P1629" s="6"/>
    </row>
    <row r="1630" spans="1:16" ht="14.4" x14ac:dyDescent="0.25">
      <c r="A1630" s="6">
        <v>3793</v>
      </c>
      <c r="B1630" s="6">
        <v>27015</v>
      </c>
      <c r="C1630" s="19">
        <v>40908</v>
      </c>
      <c r="D1630" s="6" t="s">
        <v>25</v>
      </c>
      <c r="E1630" s="6">
        <f>IF((ISBLANK($B$1)),"",Sheet1!Q1637)</f>
        <v>4600</v>
      </c>
      <c r="F1630" s="20" t="s">
        <v>26</v>
      </c>
      <c r="G1630" s="53">
        <f t="shared" si="26"/>
        <v>-0.108784504142654</v>
      </c>
      <c r="H1630" s="35"/>
      <c r="P1630" s="6"/>
    </row>
    <row r="1631" spans="1:16" ht="14.4" x14ac:dyDescent="0.25">
      <c r="A1631" s="6">
        <v>3902</v>
      </c>
      <c r="B1631" s="6">
        <v>27840</v>
      </c>
      <c r="C1631" s="19">
        <v>39997</v>
      </c>
      <c r="D1631" s="6" t="s">
        <v>17</v>
      </c>
      <c r="E1631" s="6">
        <f>IF((ISBLANK($B$1)),"",Sheet1!Q1638)</f>
        <v>3800</v>
      </c>
      <c r="F1631" s="20" t="s">
        <v>29</v>
      </c>
      <c r="G1631" s="53">
        <f t="shared" si="26"/>
        <v>-1.2135479223102887</v>
      </c>
      <c r="H1631" s="35"/>
      <c r="P1631" s="6"/>
    </row>
    <row r="1632" spans="1:16" ht="14.4" x14ac:dyDescent="0.25">
      <c r="A1632" s="6">
        <v>3945</v>
      </c>
      <c r="B1632" s="6">
        <v>28130</v>
      </c>
      <c r="C1632" s="19">
        <v>40024</v>
      </c>
      <c r="D1632" s="6" t="s">
        <v>25</v>
      </c>
      <c r="E1632" s="6">
        <f>IF((ISBLANK($B$1)),"",Sheet1!Q1639)</f>
        <v>4550</v>
      </c>
      <c r="F1632" s="20" t="s">
        <v>26</v>
      </c>
      <c r="G1632" s="53">
        <f t="shared" si="26"/>
        <v>-0.17783221777813119</v>
      </c>
      <c r="H1632" s="35"/>
      <c r="P1632" s="6"/>
    </row>
    <row r="1633" spans="1:16" ht="14.4" x14ac:dyDescent="0.25">
      <c r="A1633" s="6">
        <v>3946</v>
      </c>
      <c r="B1633" s="6">
        <v>28130</v>
      </c>
      <c r="C1633" s="19">
        <v>40024</v>
      </c>
      <c r="D1633" s="6" t="s">
        <v>25</v>
      </c>
      <c r="E1633" s="6">
        <f>IF((ISBLANK($B$1)),"",Sheet1!Q1640)</f>
        <v>5000</v>
      </c>
      <c r="F1633" s="20" t="s">
        <v>29</v>
      </c>
      <c r="G1633" s="53">
        <f t="shared" si="26"/>
        <v>0.44359720494116334</v>
      </c>
      <c r="H1633" s="35"/>
      <c r="P1633" s="6"/>
    </row>
    <row r="1634" spans="1:16" ht="14.4" x14ac:dyDescent="0.25">
      <c r="A1634" s="6">
        <v>3964</v>
      </c>
      <c r="B1634" s="6">
        <v>28290</v>
      </c>
      <c r="C1634" s="19">
        <v>39823</v>
      </c>
      <c r="D1634" s="6" t="s">
        <v>25</v>
      </c>
      <c r="E1634" s="6">
        <f>IF((ISBLANK($B$1)),"",Sheet1!Q1641)</f>
        <v>5550</v>
      </c>
      <c r="F1634" s="20" t="s">
        <v>27</v>
      </c>
      <c r="G1634" s="53">
        <f t="shared" si="26"/>
        <v>1.2031220549314123</v>
      </c>
      <c r="H1634" s="35"/>
      <c r="P1634" s="6"/>
    </row>
    <row r="1635" spans="1:16" ht="14.4" x14ac:dyDescent="0.25">
      <c r="A1635" s="6">
        <v>3965</v>
      </c>
      <c r="B1635" s="6">
        <v>28290</v>
      </c>
      <c r="C1635" s="19">
        <v>39823</v>
      </c>
      <c r="D1635" s="6" t="s">
        <v>25</v>
      </c>
      <c r="E1635" s="6">
        <f>IF((ISBLANK($B$1)),"",Sheet1!Q1642)</f>
        <v>3550</v>
      </c>
      <c r="F1635" s="20" t="s">
        <v>26</v>
      </c>
      <c r="G1635" s="53">
        <f t="shared" si="26"/>
        <v>-1.5587864904876745</v>
      </c>
      <c r="H1635" s="35"/>
      <c r="P1635" s="6"/>
    </row>
    <row r="1636" spans="1:16" ht="14.4" x14ac:dyDescent="0.25">
      <c r="A1636" s="6">
        <v>4211</v>
      </c>
      <c r="B1636" s="6">
        <v>29927</v>
      </c>
      <c r="C1636" s="19">
        <v>41220</v>
      </c>
      <c r="D1636" s="6" t="s">
        <v>17</v>
      </c>
      <c r="E1636" s="6">
        <f>IF((ISBLANK($B$1)),"",Sheet1!Q1643)</f>
        <v>4350</v>
      </c>
      <c r="F1636" s="20" t="s">
        <v>26</v>
      </c>
      <c r="G1636" s="53">
        <f t="shared" si="26"/>
        <v>-0.45402307232003986</v>
      </c>
      <c r="H1636" s="35"/>
      <c r="P1636" s="6"/>
    </row>
    <row r="1637" spans="1:16" ht="14.4" x14ac:dyDescent="0.25">
      <c r="A1637" s="6">
        <v>4212</v>
      </c>
      <c r="B1637" s="6">
        <v>29953</v>
      </c>
      <c r="C1637" s="19">
        <v>40581</v>
      </c>
      <c r="D1637" s="6" t="s">
        <v>30</v>
      </c>
      <c r="E1637" s="6">
        <f>IF((ISBLANK($B$1)),"",Sheet1!Q1644)</f>
        <v>5500</v>
      </c>
      <c r="F1637" s="20" t="s">
        <v>26</v>
      </c>
      <c r="G1637" s="53">
        <f t="shared" si="26"/>
        <v>1.1340743412959351</v>
      </c>
      <c r="H1637" s="35"/>
      <c r="P1637" s="6"/>
    </row>
    <row r="1638" spans="1:16" ht="14.4" x14ac:dyDescent="0.25">
      <c r="A1638" s="6">
        <v>4387</v>
      </c>
      <c r="B1638" s="6">
        <v>31238</v>
      </c>
      <c r="C1638" s="19">
        <v>40412</v>
      </c>
      <c r="D1638" s="6" t="s">
        <v>16</v>
      </c>
      <c r="E1638" s="6">
        <f>IF((ISBLANK($B$1)),"",Sheet1!Q1645)</f>
        <v>4450</v>
      </c>
      <c r="F1638" s="20" t="s">
        <v>26</v>
      </c>
      <c r="G1638" s="53">
        <f t="shared" si="26"/>
        <v>-0.31592764504908549</v>
      </c>
      <c r="H1638" s="35"/>
      <c r="P1638" s="6"/>
    </row>
    <row r="1639" spans="1:16" ht="14.4" x14ac:dyDescent="0.25">
      <c r="A1639" s="6">
        <v>4505</v>
      </c>
      <c r="B1639" s="6">
        <v>32067</v>
      </c>
      <c r="C1639" s="19">
        <v>40980</v>
      </c>
      <c r="D1639" s="6" t="s">
        <v>17</v>
      </c>
      <c r="E1639" s="6">
        <f>IF((ISBLANK($B$1)),"",Sheet1!Q1646)</f>
        <v>4750</v>
      </c>
      <c r="F1639" s="20" t="s">
        <v>27</v>
      </c>
      <c r="G1639" s="53">
        <f t="shared" si="26"/>
        <v>9.8358636763777513E-2</v>
      </c>
      <c r="H1639" s="35"/>
      <c r="P1639" s="6"/>
    </row>
    <row r="1640" spans="1:16" ht="14.4" x14ac:dyDescent="0.25">
      <c r="A1640" s="6">
        <v>4527</v>
      </c>
      <c r="B1640" s="6">
        <v>32198</v>
      </c>
      <c r="C1640" s="19">
        <v>40856</v>
      </c>
      <c r="D1640" s="6" t="s">
        <v>16</v>
      </c>
      <c r="E1640" s="6">
        <f>IF((ISBLANK($B$1)),"",Sheet1!Q1647)</f>
        <v>4950</v>
      </c>
      <c r="F1640" s="20" t="s">
        <v>27</v>
      </c>
      <c r="G1640" s="53">
        <f t="shared" si="26"/>
        <v>0.37454949130568621</v>
      </c>
      <c r="H1640" s="35"/>
      <c r="P1640" s="6"/>
    </row>
    <row r="1641" spans="1:16" ht="14.4" x14ac:dyDescent="0.25">
      <c r="A1641" s="6">
        <v>4535</v>
      </c>
      <c r="B1641" s="6">
        <v>32231</v>
      </c>
      <c r="C1641" s="19">
        <v>41214</v>
      </c>
      <c r="D1641" s="6" t="s">
        <v>25</v>
      </c>
      <c r="E1641" s="6">
        <f>IF((ISBLANK($B$1)),"",Sheet1!Q1648)</f>
        <v>5600</v>
      </c>
      <c r="F1641" s="20" t="s">
        <v>26</v>
      </c>
      <c r="G1641" s="53">
        <f t="shared" si="26"/>
        <v>1.2721697685668893</v>
      </c>
      <c r="H1641" s="35"/>
      <c r="P1641" s="6"/>
    </row>
    <row r="1642" spans="1:16" ht="14.4" x14ac:dyDescent="0.25">
      <c r="A1642" s="6">
        <v>4563</v>
      </c>
      <c r="B1642" s="6">
        <v>32452</v>
      </c>
      <c r="C1642" s="19">
        <v>40742</v>
      </c>
      <c r="D1642" s="6" t="s">
        <v>16</v>
      </c>
      <c r="E1642" s="6">
        <f>IF((ISBLANK($B$1)),"",Sheet1!Q1649)</f>
        <v>3550</v>
      </c>
      <c r="F1642" s="20" t="s">
        <v>26</v>
      </c>
      <c r="G1642" s="53">
        <f t="shared" si="26"/>
        <v>-1.5587864904876745</v>
      </c>
      <c r="H1642" s="35"/>
      <c r="P1642" s="6"/>
    </row>
    <row r="1643" spans="1:16" ht="14.4" x14ac:dyDescent="0.25">
      <c r="A1643" s="6">
        <v>4637</v>
      </c>
      <c r="B1643" s="6">
        <v>32998</v>
      </c>
      <c r="C1643" s="19">
        <v>40450</v>
      </c>
      <c r="D1643" s="6" t="s">
        <v>28</v>
      </c>
      <c r="E1643" s="6">
        <f>IF((ISBLANK($B$1)),"",Sheet1!Q1650)</f>
        <v>4050</v>
      </c>
      <c r="F1643" s="20" t="s">
        <v>29</v>
      </c>
      <c r="G1643" s="53">
        <f t="shared" si="26"/>
        <v>-0.86830935413290289</v>
      </c>
      <c r="H1643" s="35"/>
      <c r="P1643" s="6"/>
    </row>
    <row r="1644" spans="1:16" ht="14.4" x14ac:dyDescent="0.25">
      <c r="A1644" s="6">
        <v>4647</v>
      </c>
      <c r="B1644" s="6">
        <v>33091</v>
      </c>
      <c r="C1644" s="19">
        <v>40568</v>
      </c>
      <c r="D1644" s="6" t="s">
        <v>17</v>
      </c>
      <c r="E1644" s="6">
        <f>IF((ISBLANK($B$1)),"",Sheet1!Q1651)</f>
        <v>4600</v>
      </c>
      <c r="F1644" s="20" t="s">
        <v>26</v>
      </c>
      <c r="G1644" s="53">
        <f t="shared" si="26"/>
        <v>-0.108784504142654</v>
      </c>
      <c r="H1644" s="35"/>
      <c r="P1644" s="6"/>
    </row>
    <row r="1645" spans="1:16" ht="14.4" x14ac:dyDescent="0.25">
      <c r="A1645" s="6">
        <v>4672</v>
      </c>
      <c r="B1645" s="6">
        <v>33250</v>
      </c>
      <c r="C1645" s="19">
        <v>39989</v>
      </c>
      <c r="D1645" s="6" t="s">
        <v>28</v>
      </c>
      <c r="E1645" s="6">
        <f>IF((ISBLANK($B$1)),"",Sheet1!Q1652)</f>
        <v>5400</v>
      </c>
      <c r="F1645" s="20" t="s">
        <v>26</v>
      </c>
      <c r="G1645" s="53">
        <f t="shared" si="26"/>
        <v>0.99597891402498073</v>
      </c>
      <c r="H1645" s="35"/>
      <c r="P1645" s="6"/>
    </row>
    <row r="1646" spans="1:16" ht="14.4" x14ac:dyDescent="0.25">
      <c r="A1646" s="6">
        <v>4689</v>
      </c>
      <c r="B1646" s="6">
        <v>33378</v>
      </c>
      <c r="C1646" s="19">
        <v>41026</v>
      </c>
      <c r="D1646" s="6" t="s">
        <v>17</v>
      </c>
      <c r="E1646" s="6">
        <f>IF((ISBLANK($B$1)),"",Sheet1!Q1653)</f>
        <v>4650</v>
      </c>
      <c r="F1646" s="20" t="s">
        <v>26</v>
      </c>
      <c r="G1646" s="53">
        <f t="shared" si="26"/>
        <v>-3.9736790507176829E-2</v>
      </c>
      <c r="H1646" s="35"/>
      <c r="P1646" s="6"/>
    </row>
    <row r="1647" spans="1:16" ht="14.4" x14ac:dyDescent="0.25">
      <c r="A1647" s="6">
        <v>4766</v>
      </c>
      <c r="B1647" s="6">
        <v>33889</v>
      </c>
      <c r="C1647" s="19">
        <v>40488</v>
      </c>
      <c r="D1647" s="6" t="s">
        <v>25</v>
      </c>
      <c r="E1647" s="6">
        <f>IF((ISBLANK($B$1)),"",Sheet1!Q1654)</f>
        <v>5700</v>
      </c>
      <c r="F1647" s="20" t="s">
        <v>26</v>
      </c>
      <c r="G1647" s="53">
        <f t="shared" si="26"/>
        <v>1.4102651958378438</v>
      </c>
      <c r="H1647" s="35"/>
      <c r="P1647" s="6"/>
    </row>
    <row r="1648" spans="1:16" ht="14.4" x14ac:dyDescent="0.25">
      <c r="A1648" s="6">
        <v>4767</v>
      </c>
      <c r="B1648" s="6">
        <v>33889</v>
      </c>
      <c r="C1648" s="19">
        <v>40488</v>
      </c>
      <c r="D1648" s="6" t="s">
        <v>25</v>
      </c>
      <c r="E1648" s="6">
        <f>IF((ISBLANK($B$1)),"",Sheet1!Q1655)</f>
        <v>5550</v>
      </c>
      <c r="F1648" s="20" t="s">
        <v>26</v>
      </c>
      <c r="G1648" s="53">
        <f t="shared" si="26"/>
        <v>1.2031220549314123</v>
      </c>
      <c r="H1648" s="35"/>
      <c r="P1648" s="6"/>
    </row>
    <row r="1649" spans="1:16" ht="14.4" x14ac:dyDescent="0.25">
      <c r="A1649" s="6">
        <v>4768</v>
      </c>
      <c r="B1649" s="6">
        <v>33889</v>
      </c>
      <c r="C1649" s="19">
        <v>40488</v>
      </c>
      <c r="D1649" s="6" t="s">
        <v>25</v>
      </c>
      <c r="E1649" s="6">
        <f>IF((ISBLANK($B$1)),"",Sheet1!Q1656)</f>
        <v>4750</v>
      </c>
      <c r="F1649" s="20" t="s">
        <v>26</v>
      </c>
      <c r="G1649" s="53">
        <f t="shared" si="26"/>
        <v>9.8358636763777513E-2</v>
      </c>
      <c r="H1649" s="35"/>
      <c r="P1649" s="6"/>
    </row>
    <row r="1650" spans="1:16" ht="14.4" x14ac:dyDescent="0.25">
      <c r="A1650" s="6">
        <v>4769</v>
      </c>
      <c r="B1650" s="6">
        <v>33889</v>
      </c>
      <c r="C1650" s="19">
        <v>40488</v>
      </c>
      <c r="D1650" s="6" t="s">
        <v>25</v>
      </c>
      <c r="E1650" s="6">
        <f>IF((ISBLANK($B$1)),"",Sheet1!Q1657)</f>
        <v>5350</v>
      </c>
      <c r="F1650" s="20" t="s">
        <v>26</v>
      </c>
      <c r="G1650" s="53">
        <f t="shared" si="26"/>
        <v>0.92693120038950361</v>
      </c>
      <c r="H1650" s="35"/>
      <c r="P1650" s="6"/>
    </row>
    <row r="1651" spans="1:16" ht="14.4" x14ac:dyDescent="0.25">
      <c r="A1651" s="6">
        <v>4858</v>
      </c>
      <c r="B1651" s="6">
        <v>34567</v>
      </c>
      <c r="C1651" s="19">
        <v>39929</v>
      </c>
      <c r="D1651" s="6" t="s">
        <v>25</v>
      </c>
      <c r="E1651" s="6">
        <f>IF((ISBLANK($B$1)),"",Sheet1!Q1658)</f>
        <v>4300</v>
      </c>
      <c r="F1651" s="20" t="s">
        <v>29</v>
      </c>
      <c r="G1651" s="53">
        <f t="shared" si="26"/>
        <v>-0.52307078595551704</v>
      </c>
      <c r="H1651" s="35"/>
      <c r="P1651" s="6"/>
    </row>
    <row r="1652" spans="1:16" ht="14.4" x14ac:dyDescent="0.25">
      <c r="A1652" s="6">
        <v>5078</v>
      </c>
      <c r="B1652" s="6">
        <v>36163</v>
      </c>
      <c r="C1652" s="19">
        <v>41218</v>
      </c>
      <c r="D1652" s="6" t="s">
        <v>25</v>
      </c>
      <c r="E1652" s="6">
        <f>IF((ISBLANK($B$1)),"",Sheet1!Q1659)</f>
        <v>5000</v>
      </c>
      <c r="F1652" s="20" t="s">
        <v>26</v>
      </c>
      <c r="G1652" s="53">
        <f t="shared" si="26"/>
        <v>0.44359720494116334</v>
      </c>
      <c r="H1652" s="35"/>
      <c r="P1652" s="6"/>
    </row>
    <row r="1653" spans="1:16" ht="14.4" x14ac:dyDescent="0.25">
      <c r="A1653" s="6">
        <v>5114</v>
      </c>
      <c r="B1653" s="6">
        <v>36449</v>
      </c>
      <c r="C1653" s="19">
        <v>40426</v>
      </c>
      <c r="D1653" s="6" t="s">
        <v>28</v>
      </c>
      <c r="E1653" s="6">
        <f>IF((ISBLANK($B$1)),"",Sheet1!Q1660)</f>
        <v>3700</v>
      </c>
      <c r="F1653" s="20" t="s">
        <v>29</v>
      </c>
      <c r="G1653" s="53">
        <f t="shared" si="26"/>
        <v>-1.351643349581243</v>
      </c>
      <c r="H1653" s="35"/>
      <c r="P1653" s="6"/>
    </row>
    <row r="1654" spans="1:16" ht="14.4" x14ac:dyDescent="0.25">
      <c r="A1654" s="6">
        <v>5144</v>
      </c>
      <c r="B1654" s="6">
        <v>36675</v>
      </c>
      <c r="C1654" s="19">
        <v>40727</v>
      </c>
      <c r="D1654" s="6" t="s">
        <v>17</v>
      </c>
      <c r="E1654" s="6">
        <f>IF((ISBLANK($B$1)),"",Sheet1!Q1661)</f>
        <v>5350</v>
      </c>
      <c r="F1654" s="20" t="s">
        <v>26</v>
      </c>
      <c r="G1654" s="53">
        <f t="shared" si="26"/>
        <v>0.92693120038950361</v>
      </c>
      <c r="H1654" s="35"/>
      <c r="P1654" s="6"/>
    </row>
    <row r="1655" spans="1:16" ht="14.4" x14ac:dyDescent="0.25">
      <c r="A1655" s="6">
        <v>5327</v>
      </c>
      <c r="B1655" s="6">
        <v>37862</v>
      </c>
      <c r="C1655" s="19">
        <v>39825</v>
      </c>
      <c r="D1655" s="6" t="s">
        <v>28</v>
      </c>
      <c r="E1655" s="6">
        <f>IF((ISBLANK($B$1)),"",Sheet1!Q1662)</f>
        <v>4750</v>
      </c>
      <c r="F1655" s="20" t="s">
        <v>26</v>
      </c>
      <c r="G1655" s="53">
        <f t="shared" si="26"/>
        <v>9.8358636763777513E-2</v>
      </c>
      <c r="H1655" s="35"/>
      <c r="P1655" s="6"/>
    </row>
    <row r="1656" spans="1:16" ht="14.4" x14ac:dyDescent="0.25">
      <c r="A1656" s="6">
        <v>5379</v>
      </c>
      <c r="B1656" s="6">
        <v>38240</v>
      </c>
      <c r="C1656" s="19">
        <v>40166</v>
      </c>
      <c r="D1656" s="6" t="s">
        <v>17</v>
      </c>
      <c r="E1656" s="6">
        <f>IF((ISBLANK($B$1)),"",Sheet1!Q1663)</f>
        <v>3600</v>
      </c>
      <c r="F1656" s="20" t="s">
        <v>26</v>
      </c>
      <c r="G1656" s="53">
        <f t="shared" si="26"/>
        <v>-1.4897387768521975</v>
      </c>
      <c r="H1656" s="35"/>
      <c r="P1656" s="6"/>
    </row>
    <row r="1657" spans="1:16" ht="14.4" x14ac:dyDescent="0.25">
      <c r="A1657" s="6">
        <v>5450</v>
      </c>
      <c r="B1657" s="6">
        <v>38693</v>
      </c>
      <c r="C1657" s="19">
        <v>40708</v>
      </c>
      <c r="D1657" s="6" t="s">
        <v>25</v>
      </c>
      <c r="E1657" s="6">
        <f>IF((ISBLANK($B$1)),"",Sheet1!Q1664)</f>
        <v>3550</v>
      </c>
      <c r="F1657" s="20" t="s">
        <v>27</v>
      </c>
      <c r="G1657" s="53">
        <f t="shared" si="26"/>
        <v>-1.5587864904876745</v>
      </c>
      <c r="H1657" s="35"/>
      <c r="P1657" s="6"/>
    </row>
    <row r="1658" spans="1:16" ht="14.4" x14ac:dyDescent="0.25">
      <c r="A1658" s="6">
        <v>5483</v>
      </c>
      <c r="B1658" s="6">
        <v>38917</v>
      </c>
      <c r="C1658" s="19">
        <v>40503</v>
      </c>
      <c r="D1658" s="6" t="s">
        <v>25</v>
      </c>
      <c r="E1658" s="6">
        <f>IF((ISBLANK($B$1)),"",Sheet1!Q1665)</f>
        <v>3950</v>
      </c>
      <c r="F1658" s="20" t="s">
        <v>27</v>
      </c>
      <c r="G1658" s="53">
        <f t="shared" si="26"/>
        <v>-1.0064047814038573</v>
      </c>
      <c r="H1658" s="35"/>
      <c r="P1658" s="6"/>
    </row>
    <row r="1659" spans="1:16" ht="14.4" x14ac:dyDescent="0.25">
      <c r="A1659" s="6">
        <v>5501</v>
      </c>
      <c r="B1659" s="6">
        <v>39015</v>
      </c>
      <c r="C1659" s="19">
        <v>40153</v>
      </c>
      <c r="D1659" s="6" t="s">
        <v>16</v>
      </c>
      <c r="E1659" s="6">
        <f>IF((ISBLANK($B$1)),"",Sheet1!Q1666)</f>
        <v>4050</v>
      </c>
      <c r="F1659" s="20" t="s">
        <v>27</v>
      </c>
      <c r="G1659" s="53">
        <f t="shared" si="26"/>
        <v>-0.86830935413290289</v>
      </c>
      <c r="H1659" s="35"/>
      <c r="P1659" s="6"/>
    </row>
    <row r="1660" spans="1:16" ht="14.4" x14ac:dyDescent="0.25">
      <c r="A1660" s="6">
        <v>5502</v>
      </c>
      <c r="B1660" s="6">
        <v>39015</v>
      </c>
      <c r="C1660" s="19">
        <v>40153</v>
      </c>
      <c r="D1660" s="6" t="s">
        <v>16</v>
      </c>
      <c r="E1660" s="6">
        <f>IF((ISBLANK($B$1)),"",Sheet1!Q1667)</f>
        <v>3950</v>
      </c>
      <c r="F1660" s="20" t="s">
        <v>26</v>
      </c>
      <c r="G1660" s="53">
        <f t="shared" si="26"/>
        <v>-1.0064047814038573</v>
      </c>
      <c r="H1660" s="35"/>
      <c r="P1660" s="6"/>
    </row>
    <row r="1661" spans="1:16" ht="14.4" x14ac:dyDescent="0.25">
      <c r="A1661" s="6">
        <v>5539</v>
      </c>
      <c r="B1661" s="6">
        <v>39265</v>
      </c>
      <c r="C1661" s="19">
        <v>40305</v>
      </c>
      <c r="D1661" s="6" t="s">
        <v>30</v>
      </c>
      <c r="E1661" s="6">
        <f>IF((ISBLANK($B$1)),"",Sheet1!Q1668)</f>
        <v>5750</v>
      </c>
      <c r="F1661" s="20" t="s">
        <v>26</v>
      </c>
      <c r="G1661" s="53">
        <f t="shared" si="26"/>
        <v>1.4793129094733208</v>
      </c>
      <c r="H1661" s="35"/>
      <c r="P1661" s="6"/>
    </row>
    <row r="1662" spans="1:16" ht="14.4" x14ac:dyDescent="0.25">
      <c r="A1662" s="6">
        <v>5770</v>
      </c>
      <c r="B1662" s="6">
        <v>40962</v>
      </c>
      <c r="C1662" s="19">
        <v>40594</v>
      </c>
      <c r="D1662" s="6" t="s">
        <v>30</v>
      </c>
      <c r="E1662" s="6">
        <f>IF((ISBLANK($B$1)),"",Sheet1!Q1669)</f>
        <v>4800</v>
      </c>
      <c r="F1662" s="20" t="s">
        <v>26</v>
      </c>
      <c r="G1662" s="53">
        <f t="shared" si="26"/>
        <v>0.16740635039925467</v>
      </c>
      <c r="H1662" s="35"/>
      <c r="P1662" s="6"/>
    </row>
    <row r="1663" spans="1:16" ht="14.4" x14ac:dyDescent="0.25">
      <c r="A1663" s="6">
        <v>5771</v>
      </c>
      <c r="B1663" s="6">
        <v>40962</v>
      </c>
      <c r="C1663" s="19">
        <v>40594</v>
      </c>
      <c r="D1663" s="6" t="s">
        <v>30</v>
      </c>
      <c r="E1663" s="6">
        <f>IF((ISBLANK($B$1)),"",Sheet1!Q1670)</f>
        <v>4900</v>
      </c>
      <c r="F1663" s="20" t="s">
        <v>27</v>
      </c>
      <c r="G1663" s="53">
        <f t="shared" si="26"/>
        <v>0.30550177767020903</v>
      </c>
      <c r="H1663" s="35"/>
      <c r="P1663" s="6"/>
    </row>
    <row r="1664" spans="1:16" ht="14.4" x14ac:dyDescent="0.25">
      <c r="A1664" s="6">
        <v>5786</v>
      </c>
      <c r="B1664" s="6">
        <v>41059</v>
      </c>
      <c r="C1664" s="19">
        <v>40435</v>
      </c>
      <c r="D1664" s="6" t="s">
        <v>16</v>
      </c>
      <c r="E1664" s="6">
        <f>IF((ISBLANK($B$1)),"",Sheet1!Q1671)</f>
        <v>4700</v>
      </c>
      <c r="F1664" s="20" t="s">
        <v>26</v>
      </c>
      <c r="G1664" s="53">
        <f t="shared" si="26"/>
        <v>2.9310923128300338E-2</v>
      </c>
      <c r="H1664" s="35"/>
      <c r="P1664" s="6"/>
    </row>
    <row r="1665" spans="1:16" ht="14.4" x14ac:dyDescent="0.25">
      <c r="A1665" s="6">
        <v>5787</v>
      </c>
      <c r="B1665" s="6">
        <v>41059</v>
      </c>
      <c r="C1665" s="19">
        <v>40435</v>
      </c>
      <c r="D1665" s="6" t="s">
        <v>16</v>
      </c>
      <c r="E1665" s="6">
        <f>IF((ISBLANK($B$1)),"",Sheet1!Q1672)</f>
        <v>5650</v>
      </c>
      <c r="F1665" s="20" t="s">
        <v>27</v>
      </c>
      <c r="G1665" s="53">
        <f t="shared" si="26"/>
        <v>1.3412174822023666</v>
      </c>
      <c r="H1665" s="35"/>
      <c r="P1665" s="6"/>
    </row>
    <row r="1666" spans="1:16" ht="14.4" x14ac:dyDescent="0.25">
      <c r="A1666" s="6">
        <v>5788</v>
      </c>
      <c r="B1666" s="6">
        <v>41059</v>
      </c>
      <c r="C1666" s="19">
        <v>40435</v>
      </c>
      <c r="D1666" s="6" t="s">
        <v>16</v>
      </c>
      <c r="E1666" s="6">
        <f>IF((ISBLANK($B$1)),"",Sheet1!Q1673)</f>
        <v>4450</v>
      </c>
      <c r="F1666" s="20" t="s">
        <v>26</v>
      </c>
      <c r="G1666" s="53">
        <f t="shared" si="26"/>
        <v>-0.31592764504908549</v>
      </c>
      <c r="H1666" s="35"/>
      <c r="P1666" s="6"/>
    </row>
    <row r="1667" spans="1:16" ht="14.4" x14ac:dyDescent="0.25">
      <c r="A1667" s="6">
        <v>5789</v>
      </c>
      <c r="B1667" s="6">
        <v>41059</v>
      </c>
      <c r="C1667" s="19">
        <v>40435</v>
      </c>
      <c r="D1667" s="6" t="s">
        <v>16</v>
      </c>
      <c r="E1667" s="6">
        <f>IF((ISBLANK($B$1)),"",Sheet1!Q1674)</f>
        <v>5650</v>
      </c>
      <c r="F1667" s="20" t="s">
        <v>29</v>
      </c>
      <c r="G1667" s="53">
        <f t="shared" si="26"/>
        <v>1.3412174822023666</v>
      </c>
      <c r="H1667" s="35"/>
      <c r="P1667" s="6"/>
    </row>
    <row r="1668" spans="1:16" ht="14.4" x14ac:dyDescent="0.25">
      <c r="A1668" s="6">
        <v>5872</v>
      </c>
      <c r="B1668" s="6">
        <v>41664</v>
      </c>
      <c r="C1668" s="19">
        <v>40881</v>
      </c>
      <c r="D1668" s="6" t="s">
        <v>30</v>
      </c>
      <c r="E1668" s="6">
        <f>IF((ISBLANK($B$1)),"",Sheet1!Q1675)</f>
        <v>3650</v>
      </c>
      <c r="F1668" s="20" t="s">
        <v>27</v>
      </c>
      <c r="G1668" s="53">
        <f t="shared" si="26"/>
        <v>-1.4206910632167202</v>
      </c>
      <c r="H1668" s="35"/>
      <c r="P1668" s="6"/>
    </row>
    <row r="1669" spans="1:16" ht="14.4" x14ac:dyDescent="0.25">
      <c r="A1669" s="6">
        <v>5873</v>
      </c>
      <c r="B1669" s="6">
        <v>41664</v>
      </c>
      <c r="C1669" s="19">
        <v>40881</v>
      </c>
      <c r="D1669" s="6" t="s">
        <v>30</v>
      </c>
      <c r="E1669" s="6">
        <f>IF((ISBLANK($B$1)),"",Sheet1!Q1676)</f>
        <v>5400</v>
      </c>
      <c r="F1669" s="20" t="s">
        <v>26</v>
      </c>
      <c r="G1669" s="53">
        <f t="shared" si="26"/>
        <v>0.99597891402498073</v>
      </c>
      <c r="H1669" s="35"/>
      <c r="P1669" s="6"/>
    </row>
    <row r="1670" spans="1:16" ht="14.4" x14ac:dyDescent="0.25">
      <c r="A1670" s="6">
        <v>6012</v>
      </c>
      <c r="B1670" s="6">
        <v>42596</v>
      </c>
      <c r="C1670" s="19">
        <v>41135</v>
      </c>
      <c r="D1670" s="6" t="s">
        <v>16</v>
      </c>
      <c r="E1670" s="6">
        <f>IF((ISBLANK($B$1)),"",Sheet1!Q1677)</f>
        <v>3850</v>
      </c>
      <c r="F1670" s="20" t="s">
        <v>26</v>
      </c>
      <c r="G1670" s="53">
        <f t="shared" si="26"/>
        <v>-1.1445002086748115</v>
      </c>
      <c r="H1670" s="35"/>
      <c r="P1670" s="6"/>
    </row>
    <row r="1671" spans="1:16" ht="14.4" x14ac:dyDescent="0.25">
      <c r="A1671" s="6">
        <v>6135</v>
      </c>
      <c r="B1671" s="6">
        <v>43424</v>
      </c>
      <c r="C1671" s="19">
        <v>40773</v>
      </c>
      <c r="D1671" s="6" t="s">
        <v>28</v>
      </c>
      <c r="E1671" s="6">
        <f>IF((ISBLANK($B$1)),"",Sheet1!Q1678)</f>
        <v>5100</v>
      </c>
      <c r="F1671" s="20" t="s">
        <v>26</v>
      </c>
      <c r="G1671" s="53">
        <f t="shared" si="26"/>
        <v>0.58169263221211776</v>
      </c>
      <c r="H1671" s="35"/>
      <c r="P1671" s="6"/>
    </row>
    <row r="1672" spans="1:16" ht="14.4" x14ac:dyDescent="0.25">
      <c r="A1672" s="6">
        <v>6179</v>
      </c>
      <c r="B1672" s="6">
        <v>43808</v>
      </c>
      <c r="C1672" s="19">
        <v>40549</v>
      </c>
      <c r="D1672" s="6" t="s">
        <v>25</v>
      </c>
      <c r="E1672" s="6">
        <f>IF((ISBLANK($B$1)),"",Sheet1!Q1679)</f>
        <v>4200</v>
      </c>
      <c r="F1672" s="20" t="s">
        <v>29</v>
      </c>
      <c r="G1672" s="53">
        <f t="shared" ref="G1672:G1735" si="27">STANDARDIZE(E1672,$L$26,$L$35)</f>
        <v>-0.6611662132264714</v>
      </c>
      <c r="H1672" s="35"/>
      <c r="P1672" s="6"/>
    </row>
    <row r="1673" spans="1:16" ht="14.4" x14ac:dyDescent="0.25">
      <c r="A1673" s="6">
        <v>6373</v>
      </c>
      <c r="B1673" s="6">
        <v>45218</v>
      </c>
      <c r="C1673" s="19">
        <v>39943</v>
      </c>
      <c r="D1673" s="6" t="s">
        <v>25</v>
      </c>
      <c r="E1673" s="6">
        <f>IF((ISBLANK($B$1)),"",Sheet1!Q1680)</f>
        <v>5850</v>
      </c>
      <c r="F1673" s="20" t="s">
        <v>27</v>
      </c>
      <c r="G1673" s="53">
        <f t="shared" si="27"/>
        <v>1.6174083367442753</v>
      </c>
      <c r="H1673" s="35"/>
      <c r="P1673" s="6"/>
    </row>
    <row r="1674" spans="1:16" ht="14.4" x14ac:dyDescent="0.25">
      <c r="A1674" s="6">
        <v>6470</v>
      </c>
      <c r="B1674" s="6">
        <v>46050</v>
      </c>
      <c r="C1674" s="19">
        <v>40182</v>
      </c>
      <c r="D1674" s="6" t="s">
        <v>17</v>
      </c>
      <c r="E1674" s="6">
        <f>IF((ISBLANK($B$1)),"",Sheet1!Q1681)</f>
        <v>3550</v>
      </c>
      <c r="F1674" s="20" t="s">
        <v>26</v>
      </c>
      <c r="G1674" s="53">
        <f t="shared" si="27"/>
        <v>-1.5587864904876745</v>
      </c>
      <c r="H1674" s="35"/>
      <c r="P1674" s="6"/>
    </row>
    <row r="1675" spans="1:16" ht="14.4" x14ac:dyDescent="0.25">
      <c r="A1675" s="6">
        <v>6479</v>
      </c>
      <c r="B1675" s="6">
        <v>46117</v>
      </c>
      <c r="C1675" s="19">
        <v>40685</v>
      </c>
      <c r="D1675" s="6" t="s">
        <v>25</v>
      </c>
      <c r="E1675" s="6">
        <f>IF((ISBLANK($B$1)),"",Sheet1!Q1682)</f>
        <v>4500</v>
      </c>
      <c r="F1675" s="20" t="s">
        <v>29</v>
      </c>
      <c r="G1675" s="53">
        <f t="shared" si="27"/>
        <v>-0.24687993141360834</v>
      </c>
      <c r="H1675" s="35"/>
      <c r="P1675" s="6"/>
    </row>
    <row r="1676" spans="1:16" ht="14.4" x14ac:dyDescent="0.25">
      <c r="A1676" s="6">
        <v>6494</v>
      </c>
      <c r="B1676" s="6">
        <v>46243</v>
      </c>
      <c r="C1676" s="19">
        <v>40932</v>
      </c>
      <c r="D1676" s="6" t="s">
        <v>25</v>
      </c>
      <c r="E1676" s="6">
        <f>IF((ISBLANK($B$1)),"",Sheet1!Q1683)</f>
        <v>4950</v>
      </c>
      <c r="F1676" s="20" t="s">
        <v>26</v>
      </c>
      <c r="G1676" s="53">
        <f t="shared" si="27"/>
        <v>0.37454949130568621</v>
      </c>
      <c r="H1676" s="35"/>
      <c r="P1676" s="6"/>
    </row>
    <row r="1677" spans="1:16" ht="14.4" x14ac:dyDescent="0.25">
      <c r="A1677" s="6">
        <v>6495</v>
      </c>
      <c r="B1677" s="6">
        <v>46243</v>
      </c>
      <c r="C1677" s="19">
        <v>40932</v>
      </c>
      <c r="D1677" s="6" t="s">
        <v>25</v>
      </c>
      <c r="E1677" s="6">
        <f>IF((ISBLANK($B$1)),"",Sheet1!Q1684)</f>
        <v>3450</v>
      </c>
      <c r="F1677" s="20" t="s">
        <v>26</v>
      </c>
      <c r="G1677" s="53">
        <f t="shared" si="27"/>
        <v>-1.696881917758629</v>
      </c>
      <c r="H1677" s="35"/>
      <c r="P1677" s="6"/>
    </row>
    <row r="1678" spans="1:16" ht="14.4" x14ac:dyDescent="0.25">
      <c r="A1678" s="6">
        <v>6496</v>
      </c>
      <c r="B1678" s="6">
        <v>46243</v>
      </c>
      <c r="C1678" s="19">
        <v>40932</v>
      </c>
      <c r="D1678" s="6" t="s">
        <v>25</v>
      </c>
      <c r="E1678" s="6">
        <f>IF((ISBLANK($B$1)),"",Sheet1!Q1685)</f>
        <v>4950</v>
      </c>
      <c r="F1678" s="20" t="s">
        <v>26</v>
      </c>
      <c r="G1678" s="53">
        <f t="shared" si="27"/>
        <v>0.37454949130568621</v>
      </c>
      <c r="H1678" s="35"/>
      <c r="P1678" s="6"/>
    </row>
    <row r="1679" spans="1:16" ht="14.4" x14ac:dyDescent="0.25">
      <c r="A1679" s="6">
        <v>6504</v>
      </c>
      <c r="B1679" s="6">
        <v>46310</v>
      </c>
      <c r="C1679" s="19">
        <v>40380</v>
      </c>
      <c r="D1679" s="6" t="s">
        <v>17</v>
      </c>
      <c r="E1679" s="6">
        <f>IF((ISBLANK($B$1)),"",Sheet1!Q1686)</f>
        <v>4850</v>
      </c>
      <c r="F1679" s="20" t="s">
        <v>26</v>
      </c>
      <c r="G1679" s="53">
        <f t="shared" si="27"/>
        <v>0.23645406403473185</v>
      </c>
      <c r="H1679" s="35"/>
      <c r="P1679" s="6"/>
    </row>
    <row r="1680" spans="1:16" ht="14.4" x14ac:dyDescent="0.25">
      <c r="A1680" s="6">
        <v>6505</v>
      </c>
      <c r="B1680" s="6">
        <v>46310</v>
      </c>
      <c r="C1680" s="19">
        <v>40380</v>
      </c>
      <c r="D1680" s="6" t="s">
        <v>17</v>
      </c>
      <c r="E1680" s="6">
        <f>IF((ISBLANK($B$1)),"",Sheet1!Q1687)</f>
        <v>4050</v>
      </c>
      <c r="F1680" s="20" t="s">
        <v>26</v>
      </c>
      <c r="G1680" s="53">
        <f t="shared" si="27"/>
        <v>-0.86830935413290289</v>
      </c>
      <c r="H1680" s="35"/>
      <c r="P1680" s="6"/>
    </row>
    <row r="1681" spans="1:16" ht="14.4" x14ac:dyDescent="0.25">
      <c r="A1681" s="6">
        <v>6506</v>
      </c>
      <c r="B1681" s="6">
        <v>46310</v>
      </c>
      <c r="C1681" s="19">
        <v>40380</v>
      </c>
      <c r="D1681" s="6" t="s">
        <v>17</v>
      </c>
      <c r="E1681" s="6">
        <f>IF((ISBLANK($B$1)),"",Sheet1!Q1688)</f>
        <v>5500</v>
      </c>
      <c r="F1681" s="20" t="s">
        <v>26</v>
      </c>
      <c r="G1681" s="53">
        <f t="shared" si="27"/>
        <v>1.1340743412959351</v>
      </c>
      <c r="H1681" s="35"/>
      <c r="P1681" s="6"/>
    </row>
    <row r="1682" spans="1:16" ht="14.4" x14ac:dyDescent="0.25">
      <c r="A1682" s="6">
        <v>6537</v>
      </c>
      <c r="B1682" s="6">
        <v>46503</v>
      </c>
      <c r="C1682" s="19">
        <v>40853</v>
      </c>
      <c r="D1682" s="6" t="s">
        <v>28</v>
      </c>
      <c r="E1682" s="6">
        <f>IF((ISBLANK($B$1)),"",Sheet1!Q1689)</f>
        <v>4700</v>
      </c>
      <c r="F1682" s="20" t="s">
        <v>27</v>
      </c>
      <c r="G1682" s="53">
        <f t="shared" si="27"/>
        <v>2.9310923128300338E-2</v>
      </c>
      <c r="H1682" s="35"/>
      <c r="P1682" s="6"/>
    </row>
    <row r="1683" spans="1:16" ht="14.4" x14ac:dyDescent="0.25">
      <c r="A1683" s="6">
        <v>6572</v>
      </c>
      <c r="B1683" s="6">
        <v>46726</v>
      </c>
      <c r="C1683" s="19">
        <v>41095</v>
      </c>
      <c r="D1683" s="6" t="s">
        <v>28</v>
      </c>
      <c r="E1683" s="6">
        <f>IF((ISBLANK($B$1)),"",Sheet1!Q1690)</f>
        <v>5700</v>
      </c>
      <c r="F1683" s="20" t="s">
        <v>26</v>
      </c>
      <c r="G1683" s="53">
        <f t="shared" si="27"/>
        <v>1.4102651958378438</v>
      </c>
      <c r="H1683" s="35"/>
      <c r="P1683" s="6"/>
    </row>
    <row r="1684" spans="1:16" ht="14.4" x14ac:dyDescent="0.25">
      <c r="A1684" s="6">
        <v>6573</v>
      </c>
      <c r="B1684" s="6">
        <v>46726</v>
      </c>
      <c r="C1684" s="19">
        <v>41095</v>
      </c>
      <c r="D1684" s="6" t="s">
        <v>28</v>
      </c>
      <c r="E1684" s="6">
        <f>IF((ISBLANK($B$1)),"",Sheet1!Q1691)</f>
        <v>3900</v>
      </c>
      <c r="F1684" s="20" t="s">
        <v>26</v>
      </c>
      <c r="G1684" s="53">
        <f t="shared" si="27"/>
        <v>-1.0754524950393345</v>
      </c>
      <c r="H1684" s="35"/>
      <c r="P1684" s="6"/>
    </row>
    <row r="1685" spans="1:16" ht="14.4" x14ac:dyDescent="0.25">
      <c r="A1685" s="6">
        <v>6613</v>
      </c>
      <c r="B1685" s="6">
        <v>47042</v>
      </c>
      <c r="C1685" s="19">
        <v>40970</v>
      </c>
      <c r="D1685" s="6" t="s">
        <v>30</v>
      </c>
      <c r="E1685" s="6">
        <f>IF((ISBLANK($B$1)),"",Sheet1!Q1692)</f>
        <v>5650</v>
      </c>
      <c r="F1685" s="20" t="s">
        <v>27</v>
      </c>
      <c r="G1685" s="53">
        <f t="shared" si="27"/>
        <v>1.3412174822023666</v>
      </c>
      <c r="H1685" s="35"/>
      <c r="P1685" s="6"/>
    </row>
    <row r="1686" spans="1:16" ht="14.4" x14ac:dyDescent="0.25">
      <c r="A1686" s="6">
        <v>6635</v>
      </c>
      <c r="B1686" s="6">
        <v>47174</v>
      </c>
      <c r="C1686" s="19">
        <v>40802</v>
      </c>
      <c r="D1686" s="6" t="s">
        <v>30</v>
      </c>
      <c r="E1686" s="6">
        <f>IF((ISBLANK($B$1)),"",Sheet1!Q1693)</f>
        <v>5500</v>
      </c>
      <c r="F1686" s="20" t="s">
        <v>27</v>
      </c>
      <c r="G1686" s="53">
        <f t="shared" si="27"/>
        <v>1.1340743412959351</v>
      </c>
      <c r="H1686" s="35"/>
      <c r="P1686" s="6"/>
    </row>
    <row r="1687" spans="1:16" ht="14.4" x14ac:dyDescent="0.25">
      <c r="A1687" s="6">
        <v>6746</v>
      </c>
      <c r="B1687" s="6">
        <v>48034</v>
      </c>
      <c r="C1687" s="19">
        <v>40008</v>
      </c>
      <c r="D1687" s="6" t="s">
        <v>28</v>
      </c>
      <c r="E1687" s="6">
        <f>IF((ISBLANK($B$1)),"",Sheet1!Q1694)</f>
        <v>5750</v>
      </c>
      <c r="F1687" s="20" t="s">
        <v>26</v>
      </c>
      <c r="G1687" s="53">
        <f t="shared" si="27"/>
        <v>1.4793129094733208</v>
      </c>
      <c r="H1687" s="35"/>
      <c r="P1687" s="6"/>
    </row>
    <row r="1688" spans="1:16" ht="14.4" x14ac:dyDescent="0.25">
      <c r="A1688" s="6">
        <v>6747</v>
      </c>
      <c r="B1688" s="6">
        <v>48034</v>
      </c>
      <c r="C1688" s="19">
        <v>40008</v>
      </c>
      <c r="D1688" s="6" t="s">
        <v>28</v>
      </c>
      <c r="E1688" s="6">
        <f>IF((ISBLANK($B$1)),"",Sheet1!Q1695)</f>
        <v>4000</v>
      </c>
      <c r="F1688" s="20" t="s">
        <v>29</v>
      </c>
      <c r="G1688" s="53">
        <f t="shared" si="27"/>
        <v>-0.93735706776838001</v>
      </c>
      <c r="H1688" s="35"/>
      <c r="P1688" s="6"/>
    </row>
    <row r="1689" spans="1:16" ht="14.4" x14ac:dyDescent="0.25">
      <c r="A1689" s="6">
        <v>6760</v>
      </c>
      <c r="B1689" s="6">
        <v>48164</v>
      </c>
      <c r="C1689" s="19">
        <v>40845</v>
      </c>
      <c r="D1689" s="6" t="s">
        <v>17</v>
      </c>
      <c r="E1689" s="6">
        <f>IF((ISBLANK($B$1)),"",Sheet1!Q1696)</f>
        <v>5050</v>
      </c>
      <c r="F1689" s="20" t="s">
        <v>26</v>
      </c>
      <c r="G1689" s="53">
        <f t="shared" si="27"/>
        <v>0.51264491857664052</v>
      </c>
      <c r="H1689" s="35"/>
      <c r="P1689" s="6"/>
    </row>
    <row r="1690" spans="1:16" ht="14.4" x14ac:dyDescent="0.25">
      <c r="A1690" s="6">
        <v>6896</v>
      </c>
      <c r="B1690" s="6">
        <v>49189</v>
      </c>
      <c r="C1690" s="19">
        <v>40558</v>
      </c>
      <c r="D1690" s="6" t="s">
        <v>30</v>
      </c>
      <c r="E1690" s="6">
        <f>IF((ISBLANK($B$1)),"",Sheet1!Q1697)</f>
        <v>5000</v>
      </c>
      <c r="F1690" s="20" t="s">
        <v>26</v>
      </c>
      <c r="G1690" s="53">
        <f t="shared" si="27"/>
        <v>0.44359720494116334</v>
      </c>
      <c r="H1690" s="35"/>
      <c r="P1690" s="6"/>
    </row>
    <row r="1691" spans="1:16" ht="14.4" x14ac:dyDescent="0.25">
      <c r="A1691" s="6">
        <v>6997</v>
      </c>
      <c r="B1691" s="6">
        <v>49986</v>
      </c>
      <c r="C1691" s="19">
        <v>40465</v>
      </c>
      <c r="D1691" s="6" t="s">
        <v>30</v>
      </c>
      <c r="E1691" s="6">
        <f>IF((ISBLANK($B$1)),"",Sheet1!Q1698)</f>
        <v>5350</v>
      </c>
      <c r="F1691" s="20" t="s">
        <v>26</v>
      </c>
      <c r="G1691" s="53">
        <f t="shared" si="27"/>
        <v>0.92693120038950361</v>
      </c>
      <c r="H1691" s="35"/>
      <c r="P1691" s="6"/>
    </row>
    <row r="1692" spans="1:16" ht="14.4" x14ac:dyDescent="0.25">
      <c r="A1692" s="6">
        <v>7054</v>
      </c>
      <c r="B1692" s="6">
        <v>50336</v>
      </c>
      <c r="C1692" s="19">
        <v>40121</v>
      </c>
      <c r="D1692" s="6" t="s">
        <v>28</v>
      </c>
      <c r="E1692" s="6">
        <f>IF((ISBLANK($B$1)),"",Sheet1!Q1699)</f>
        <v>3850</v>
      </c>
      <c r="F1692" s="20" t="s">
        <v>26</v>
      </c>
      <c r="G1692" s="53">
        <f t="shared" si="27"/>
        <v>-1.1445002086748115</v>
      </c>
      <c r="H1692" s="35"/>
      <c r="P1692" s="6"/>
    </row>
    <row r="1693" spans="1:16" ht="14.4" x14ac:dyDescent="0.25">
      <c r="A1693" s="6">
        <v>7059</v>
      </c>
      <c r="B1693" s="6">
        <v>50373</v>
      </c>
      <c r="C1693" s="19">
        <v>39996</v>
      </c>
      <c r="D1693" s="6" t="s">
        <v>30</v>
      </c>
      <c r="E1693" s="6">
        <f>IF((ISBLANK($B$1)),"",Sheet1!Q1700)</f>
        <v>3850</v>
      </c>
      <c r="F1693" s="20" t="s">
        <v>26</v>
      </c>
      <c r="G1693" s="53">
        <f t="shared" si="27"/>
        <v>-1.1445002086748115</v>
      </c>
      <c r="H1693" s="35"/>
      <c r="P1693" s="6"/>
    </row>
    <row r="1694" spans="1:16" ht="14.4" x14ac:dyDescent="0.25">
      <c r="A1694" s="6">
        <v>7086</v>
      </c>
      <c r="B1694" s="6">
        <v>50564</v>
      </c>
      <c r="C1694" s="19">
        <v>40970</v>
      </c>
      <c r="D1694" s="6" t="s">
        <v>17</v>
      </c>
      <c r="E1694" s="6">
        <f>IF((ISBLANK($B$1)),"",Sheet1!Q1701)</f>
        <v>4900</v>
      </c>
      <c r="F1694" s="20" t="s">
        <v>26</v>
      </c>
      <c r="G1694" s="53">
        <f t="shared" si="27"/>
        <v>0.30550177767020903</v>
      </c>
      <c r="H1694" s="35"/>
      <c r="P1694" s="6"/>
    </row>
    <row r="1695" spans="1:16" ht="14.4" x14ac:dyDescent="0.25">
      <c r="A1695" s="6">
        <v>7139</v>
      </c>
      <c r="B1695" s="6">
        <v>50949</v>
      </c>
      <c r="C1695" s="19">
        <v>40578</v>
      </c>
      <c r="D1695" s="6" t="s">
        <v>16</v>
      </c>
      <c r="E1695" s="6">
        <f>IF((ISBLANK($B$1)),"",Sheet1!Q1702)</f>
        <v>5000</v>
      </c>
      <c r="F1695" s="20" t="s">
        <v>26</v>
      </c>
      <c r="G1695" s="53">
        <f t="shared" si="27"/>
        <v>0.44359720494116334</v>
      </c>
      <c r="H1695" s="35"/>
      <c r="P1695" s="6"/>
    </row>
    <row r="1696" spans="1:16" ht="14.4" x14ac:dyDescent="0.25">
      <c r="A1696" s="6">
        <v>7140</v>
      </c>
      <c r="B1696" s="6">
        <v>50949</v>
      </c>
      <c r="C1696" s="19">
        <v>40578</v>
      </c>
      <c r="D1696" s="6" t="s">
        <v>16</v>
      </c>
      <c r="E1696" s="6">
        <f>IF((ISBLANK($B$1)),"",Sheet1!Q1703)</f>
        <v>5700</v>
      </c>
      <c r="F1696" s="20" t="s">
        <v>27</v>
      </c>
      <c r="G1696" s="53">
        <f t="shared" si="27"/>
        <v>1.4102651958378438</v>
      </c>
      <c r="H1696" s="35"/>
      <c r="P1696" s="6"/>
    </row>
    <row r="1697" spans="1:16" ht="14.4" x14ac:dyDescent="0.25">
      <c r="A1697" s="6">
        <v>7198</v>
      </c>
      <c r="B1697" s="6">
        <v>51361</v>
      </c>
      <c r="C1697" s="19">
        <v>40620</v>
      </c>
      <c r="D1697" s="6" t="s">
        <v>25</v>
      </c>
      <c r="E1697" s="6">
        <f>IF((ISBLANK($B$1)),"",Sheet1!Q1704)</f>
        <v>4100</v>
      </c>
      <c r="F1697" s="20" t="s">
        <v>26</v>
      </c>
      <c r="G1697" s="53">
        <f t="shared" si="27"/>
        <v>-0.79926164049742576</v>
      </c>
      <c r="H1697" s="35"/>
      <c r="P1697" s="6"/>
    </row>
    <row r="1698" spans="1:16" ht="14.4" x14ac:dyDescent="0.25">
      <c r="A1698" s="6">
        <v>7199</v>
      </c>
      <c r="B1698" s="6">
        <v>51361</v>
      </c>
      <c r="C1698" s="19">
        <v>40620</v>
      </c>
      <c r="D1698" s="6" t="s">
        <v>30</v>
      </c>
      <c r="E1698" s="6">
        <f>IF((ISBLANK($B$1)),"",Sheet1!Q1705)</f>
        <v>5900</v>
      </c>
      <c r="F1698" s="20" t="s">
        <v>29</v>
      </c>
      <c r="G1698" s="53">
        <f t="shared" si="27"/>
        <v>1.6864560503797523</v>
      </c>
      <c r="H1698" s="35"/>
      <c r="P1698" s="6"/>
    </row>
    <row r="1699" spans="1:16" ht="14.4" x14ac:dyDescent="0.25">
      <c r="A1699" s="6">
        <v>7258</v>
      </c>
      <c r="B1699" s="6">
        <v>51780</v>
      </c>
      <c r="C1699" s="19">
        <v>40383</v>
      </c>
      <c r="D1699" s="6" t="s">
        <v>25</v>
      </c>
      <c r="E1699" s="6">
        <f>IF((ISBLANK($B$1)),"",Sheet1!Q1706)</f>
        <v>5500</v>
      </c>
      <c r="F1699" s="20" t="s">
        <v>26</v>
      </c>
      <c r="G1699" s="53">
        <f t="shared" si="27"/>
        <v>1.1340743412959351</v>
      </c>
      <c r="H1699" s="35"/>
      <c r="P1699" s="6"/>
    </row>
    <row r="1700" spans="1:16" ht="14.4" x14ac:dyDescent="0.25">
      <c r="A1700" s="6">
        <v>7278</v>
      </c>
      <c r="B1700" s="6">
        <v>51940</v>
      </c>
      <c r="C1700" s="19">
        <v>41199</v>
      </c>
      <c r="D1700" s="6" t="s">
        <v>17</v>
      </c>
      <c r="E1700" s="6">
        <f>IF((ISBLANK($B$1)),"",Sheet1!Q1707)</f>
        <v>3950</v>
      </c>
      <c r="F1700" s="20" t="s">
        <v>27</v>
      </c>
      <c r="G1700" s="53">
        <f t="shared" si="27"/>
        <v>-1.0064047814038573</v>
      </c>
      <c r="H1700" s="35"/>
      <c r="P1700" s="6"/>
    </row>
    <row r="1701" spans="1:16" ht="14.4" x14ac:dyDescent="0.25">
      <c r="A1701" s="6">
        <v>7305</v>
      </c>
      <c r="B1701" s="6">
        <v>52071</v>
      </c>
      <c r="C1701" s="19">
        <v>40874</v>
      </c>
      <c r="D1701" s="6" t="s">
        <v>28</v>
      </c>
      <c r="E1701" s="6">
        <f>IF((ISBLANK($B$1)),"",Sheet1!Q1708)</f>
        <v>4100</v>
      </c>
      <c r="F1701" s="20" t="s">
        <v>26</v>
      </c>
      <c r="G1701" s="53">
        <f t="shared" si="27"/>
        <v>-0.79926164049742576</v>
      </c>
      <c r="H1701" s="35"/>
      <c r="P1701" s="6"/>
    </row>
    <row r="1702" spans="1:16" ht="14.4" x14ac:dyDescent="0.25">
      <c r="A1702" s="6">
        <v>7306</v>
      </c>
      <c r="B1702" s="6">
        <v>52071</v>
      </c>
      <c r="C1702" s="19">
        <v>40874</v>
      </c>
      <c r="D1702" s="6" t="s">
        <v>28</v>
      </c>
      <c r="E1702" s="6">
        <f>IF((ISBLANK($B$1)),"",Sheet1!Q1709)</f>
        <v>3450</v>
      </c>
      <c r="F1702" s="20" t="s">
        <v>29</v>
      </c>
      <c r="G1702" s="53">
        <f t="shared" si="27"/>
        <v>-1.696881917758629</v>
      </c>
      <c r="H1702" s="35"/>
      <c r="P1702" s="6"/>
    </row>
    <row r="1703" spans="1:16" ht="14.4" x14ac:dyDescent="0.25">
      <c r="A1703" s="6">
        <v>7449</v>
      </c>
      <c r="B1703" s="6">
        <v>53152</v>
      </c>
      <c r="C1703" s="19">
        <v>39877</v>
      </c>
      <c r="D1703" s="6" t="s">
        <v>16</v>
      </c>
      <c r="E1703" s="6">
        <f>IF((ISBLANK($B$1)),"",Sheet1!Q1710)</f>
        <v>3650</v>
      </c>
      <c r="F1703" s="20" t="s">
        <v>27</v>
      </c>
      <c r="G1703" s="53">
        <f t="shared" si="27"/>
        <v>-1.4206910632167202</v>
      </c>
      <c r="H1703" s="35"/>
      <c r="P1703" s="6"/>
    </row>
    <row r="1704" spans="1:16" ht="14.4" x14ac:dyDescent="0.25">
      <c r="A1704" s="6">
        <v>7450</v>
      </c>
      <c r="B1704" s="6">
        <v>53152</v>
      </c>
      <c r="C1704" s="19">
        <v>39877</v>
      </c>
      <c r="D1704" s="6" t="s">
        <v>16</v>
      </c>
      <c r="E1704" s="6">
        <f>IF((ISBLANK($B$1)),"",Sheet1!Q1711)</f>
        <v>3850</v>
      </c>
      <c r="F1704" s="20" t="s">
        <v>29</v>
      </c>
      <c r="G1704" s="53">
        <f t="shared" si="27"/>
        <v>-1.1445002086748115</v>
      </c>
      <c r="H1704" s="35"/>
      <c r="P1704" s="6"/>
    </row>
    <row r="1705" spans="1:16" ht="14.4" x14ac:dyDescent="0.25">
      <c r="A1705" s="6">
        <v>7451</v>
      </c>
      <c r="B1705" s="6">
        <v>53152</v>
      </c>
      <c r="C1705" s="19">
        <v>39877</v>
      </c>
      <c r="D1705" s="6" t="s">
        <v>16</v>
      </c>
      <c r="E1705" s="6">
        <f>IF((ISBLANK($B$1)),"",Sheet1!Q1712)</f>
        <v>3850</v>
      </c>
      <c r="F1705" s="20" t="s">
        <v>26</v>
      </c>
      <c r="G1705" s="53">
        <f t="shared" si="27"/>
        <v>-1.1445002086748115</v>
      </c>
      <c r="H1705" s="35"/>
      <c r="P1705" s="6"/>
    </row>
    <row r="1706" spans="1:16" ht="14.4" x14ac:dyDescent="0.25">
      <c r="A1706" s="6">
        <v>7573</v>
      </c>
      <c r="B1706" s="6">
        <v>54177</v>
      </c>
      <c r="C1706" s="19">
        <v>40933</v>
      </c>
      <c r="D1706" s="6" t="s">
        <v>30</v>
      </c>
      <c r="E1706" s="6">
        <f>IF((ISBLANK($B$1)),"",Sheet1!Q1713)</f>
        <v>4000</v>
      </c>
      <c r="F1706" s="20" t="s">
        <v>26</v>
      </c>
      <c r="G1706" s="53">
        <f t="shared" si="27"/>
        <v>-0.93735706776838001</v>
      </c>
      <c r="H1706" s="35"/>
      <c r="P1706" s="6"/>
    </row>
    <row r="1707" spans="1:16" ht="14.4" x14ac:dyDescent="0.25">
      <c r="A1707" s="6">
        <v>7574</v>
      </c>
      <c r="B1707" s="6">
        <v>54177</v>
      </c>
      <c r="C1707" s="19">
        <v>40933</v>
      </c>
      <c r="D1707" s="6" t="s">
        <v>30</v>
      </c>
      <c r="E1707" s="6">
        <f>IF((ISBLANK($B$1)),"",Sheet1!Q1714)</f>
        <v>4650</v>
      </c>
      <c r="F1707" s="20" t="s">
        <v>26</v>
      </c>
      <c r="G1707" s="53">
        <f t="shared" si="27"/>
        <v>-3.9736790507176829E-2</v>
      </c>
      <c r="H1707" s="35"/>
      <c r="P1707" s="6"/>
    </row>
    <row r="1708" spans="1:16" ht="14.4" x14ac:dyDescent="0.25">
      <c r="A1708" s="6">
        <v>7688</v>
      </c>
      <c r="B1708" s="6">
        <v>55107</v>
      </c>
      <c r="C1708" s="19">
        <v>40306</v>
      </c>
      <c r="D1708" s="6" t="s">
        <v>25</v>
      </c>
      <c r="E1708" s="6">
        <f>IF((ISBLANK($B$1)),"",Sheet1!Q1715)</f>
        <v>5000</v>
      </c>
      <c r="F1708" s="20" t="s">
        <v>26</v>
      </c>
      <c r="G1708" s="53">
        <f t="shared" si="27"/>
        <v>0.44359720494116334</v>
      </c>
      <c r="H1708" s="35"/>
      <c r="P1708" s="6"/>
    </row>
    <row r="1709" spans="1:16" ht="14.4" x14ac:dyDescent="0.25">
      <c r="A1709" s="6">
        <v>7750</v>
      </c>
      <c r="B1709" s="6">
        <v>55461</v>
      </c>
      <c r="C1709" s="19">
        <v>40084</v>
      </c>
      <c r="D1709" s="6" t="s">
        <v>16</v>
      </c>
      <c r="E1709" s="6">
        <f>IF((ISBLANK($B$1)),"",Sheet1!Q1716)</f>
        <v>4200</v>
      </c>
      <c r="F1709" s="20" t="s">
        <v>29</v>
      </c>
      <c r="G1709" s="53">
        <f t="shared" si="27"/>
        <v>-0.6611662132264714</v>
      </c>
      <c r="H1709" s="35"/>
      <c r="P1709" s="6"/>
    </row>
    <row r="1710" spans="1:16" ht="14.4" x14ac:dyDescent="0.25">
      <c r="A1710" s="6">
        <v>7760</v>
      </c>
      <c r="B1710" s="6">
        <v>55526</v>
      </c>
      <c r="C1710" s="19">
        <v>41092</v>
      </c>
      <c r="D1710" s="6" t="s">
        <v>17</v>
      </c>
      <c r="E1710" s="6">
        <f>IF((ISBLANK($B$1)),"",Sheet1!Q1717)</f>
        <v>4550</v>
      </c>
      <c r="F1710" s="20" t="s">
        <v>26</v>
      </c>
      <c r="G1710" s="53">
        <f t="shared" si="27"/>
        <v>-0.17783221777813119</v>
      </c>
      <c r="H1710" s="35"/>
      <c r="P1710" s="6"/>
    </row>
    <row r="1711" spans="1:16" ht="14.4" x14ac:dyDescent="0.25">
      <c r="A1711" s="6">
        <v>7829</v>
      </c>
      <c r="B1711" s="6">
        <v>55969</v>
      </c>
      <c r="C1711" s="19">
        <v>40455</v>
      </c>
      <c r="D1711" s="6" t="s">
        <v>16</v>
      </c>
      <c r="E1711" s="6">
        <f>IF((ISBLANK($B$1)),"",Sheet1!Q1718)</f>
        <v>5250</v>
      </c>
      <c r="F1711" s="20" t="s">
        <v>26</v>
      </c>
      <c r="G1711" s="53">
        <f t="shared" si="27"/>
        <v>0.78883577311854924</v>
      </c>
      <c r="H1711" s="35"/>
      <c r="P1711" s="6"/>
    </row>
    <row r="1712" spans="1:16" ht="14.4" x14ac:dyDescent="0.25">
      <c r="A1712" s="6">
        <v>7996</v>
      </c>
      <c r="B1712" s="6">
        <v>57153</v>
      </c>
      <c r="C1712" s="19">
        <v>39959</v>
      </c>
      <c r="D1712" s="6" t="s">
        <v>30</v>
      </c>
      <c r="E1712" s="6">
        <f>IF((ISBLANK($B$1)),"",Sheet1!Q1719)</f>
        <v>3850</v>
      </c>
      <c r="F1712" s="20" t="s">
        <v>26</v>
      </c>
      <c r="G1712" s="53">
        <f t="shared" si="27"/>
        <v>-1.1445002086748115</v>
      </c>
      <c r="H1712" s="35"/>
      <c r="P1712" s="6"/>
    </row>
    <row r="1713" spans="1:16" ht="14.4" x14ac:dyDescent="0.25">
      <c r="A1713" s="6">
        <v>7997</v>
      </c>
      <c r="B1713" s="6">
        <v>57153</v>
      </c>
      <c r="C1713" s="19">
        <v>39959</v>
      </c>
      <c r="D1713" s="6" t="s">
        <v>30</v>
      </c>
      <c r="E1713" s="6">
        <f>IF((ISBLANK($B$1)),"",Sheet1!Q1720)</f>
        <v>5650</v>
      </c>
      <c r="F1713" s="20" t="s">
        <v>26</v>
      </c>
      <c r="G1713" s="53">
        <f t="shared" si="27"/>
        <v>1.3412174822023666</v>
      </c>
      <c r="H1713" s="35"/>
      <c r="P1713" s="6"/>
    </row>
    <row r="1714" spans="1:16" ht="14.4" x14ac:dyDescent="0.25">
      <c r="A1714" s="6">
        <v>8065</v>
      </c>
      <c r="B1714" s="6">
        <v>57538</v>
      </c>
      <c r="C1714" s="19">
        <v>40229</v>
      </c>
      <c r="D1714" s="6" t="s">
        <v>30</v>
      </c>
      <c r="E1714" s="6">
        <f>IF((ISBLANK($B$1)),"",Sheet1!Q1721)</f>
        <v>5400</v>
      </c>
      <c r="F1714" s="20" t="s">
        <v>29</v>
      </c>
      <c r="G1714" s="53">
        <f t="shared" si="27"/>
        <v>0.99597891402498073</v>
      </c>
      <c r="H1714" s="35"/>
      <c r="P1714" s="6"/>
    </row>
    <row r="1715" spans="1:16" ht="14.4" x14ac:dyDescent="0.25">
      <c r="A1715" s="6">
        <v>8201</v>
      </c>
      <c r="B1715" s="6">
        <v>58656</v>
      </c>
      <c r="C1715" s="19">
        <v>40516</v>
      </c>
      <c r="D1715" s="6" t="s">
        <v>17</v>
      </c>
      <c r="E1715" s="6">
        <f>IF((ISBLANK($B$1)),"",Sheet1!Q1722)</f>
        <v>3650</v>
      </c>
      <c r="F1715" s="20" t="s">
        <v>26</v>
      </c>
      <c r="G1715" s="53">
        <f t="shared" si="27"/>
        <v>-1.4206910632167202</v>
      </c>
      <c r="H1715" s="35"/>
      <c r="P1715" s="6"/>
    </row>
    <row r="1716" spans="1:16" ht="14.4" x14ac:dyDescent="0.25">
      <c r="A1716" s="6">
        <v>8202</v>
      </c>
      <c r="B1716" s="6">
        <v>58656</v>
      </c>
      <c r="C1716" s="19">
        <v>40516</v>
      </c>
      <c r="D1716" s="6" t="s">
        <v>17</v>
      </c>
      <c r="E1716" s="6">
        <f>IF((ISBLANK($B$1)),"",Sheet1!Q1723)</f>
        <v>3550</v>
      </c>
      <c r="F1716" s="20" t="s">
        <v>29</v>
      </c>
      <c r="G1716" s="53">
        <f t="shared" si="27"/>
        <v>-1.5587864904876745</v>
      </c>
      <c r="H1716" s="35"/>
      <c r="P1716" s="6"/>
    </row>
    <row r="1717" spans="1:16" ht="14.4" x14ac:dyDescent="0.25">
      <c r="A1717" s="6">
        <v>8226</v>
      </c>
      <c r="B1717" s="6">
        <v>58789</v>
      </c>
      <c r="C1717" s="19">
        <v>40395</v>
      </c>
      <c r="D1717" s="6" t="s">
        <v>25</v>
      </c>
      <c r="E1717" s="6">
        <f>IF((ISBLANK($B$1)),"",Sheet1!Q1724)</f>
        <v>4700</v>
      </c>
      <c r="F1717" s="20" t="s">
        <v>26</v>
      </c>
      <c r="G1717" s="53">
        <f t="shared" si="27"/>
        <v>2.9310923128300338E-2</v>
      </c>
      <c r="H1717" s="35"/>
      <c r="P1717" s="6"/>
    </row>
    <row r="1718" spans="1:16" ht="14.4" x14ac:dyDescent="0.25">
      <c r="A1718" s="6">
        <v>8227</v>
      </c>
      <c r="B1718" s="6">
        <v>58789</v>
      </c>
      <c r="C1718" s="19">
        <v>40395</v>
      </c>
      <c r="D1718" s="6" t="s">
        <v>25</v>
      </c>
      <c r="E1718" s="6">
        <f>IF((ISBLANK($B$1)),"",Sheet1!Q1725)</f>
        <v>5300</v>
      </c>
      <c r="F1718" s="20" t="s">
        <v>29</v>
      </c>
      <c r="G1718" s="53">
        <f t="shared" si="27"/>
        <v>0.85788348675402637</v>
      </c>
      <c r="H1718" s="35"/>
      <c r="P1718" s="6"/>
    </row>
    <row r="1719" spans="1:16" ht="14.4" x14ac:dyDescent="0.25">
      <c r="A1719" s="6">
        <v>8280</v>
      </c>
      <c r="B1719" s="6">
        <v>59200</v>
      </c>
      <c r="C1719" s="19">
        <v>40886</v>
      </c>
      <c r="D1719" s="6" t="s">
        <v>16</v>
      </c>
      <c r="E1719" s="6">
        <f>IF((ISBLANK($B$1)),"",Sheet1!Q1726)</f>
        <v>3600</v>
      </c>
      <c r="F1719" s="20" t="s">
        <v>26</v>
      </c>
      <c r="G1719" s="53">
        <f t="shared" si="27"/>
        <v>-1.4897387768521975</v>
      </c>
      <c r="H1719" s="35"/>
      <c r="P1719" s="6"/>
    </row>
    <row r="1720" spans="1:16" ht="14.4" x14ac:dyDescent="0.25">
      <c r="A1720" s="6">
        <v>8281</v>
      </c>
      <c r="B1720" s="6">
        <v>59200</v>
      </c>
      <c r="C1720" s="19">
        <v>40886</v>
      </c>
      <c r="D1720" s="6" t="s">
        <v>16</v>
      </c>
      <c r="E1720" s="6">
        <f>IF((ISBLANK($B$1)),"",Sheet1!Q1727)</f>
        <v>4800</v>
      </c>
      <c r="F1720" s="20" t="s">
        <v>26</v>
      </c>
      <c r="G1720" s="53">
        <f t="shared" si="27"/>
        <v>0.16740635039925467</v>
      </c>
      <c r="H1720" s="35"/>
      <c r="P1720" s="6"/>
    </row>
    <row r="1721" spans="1:16" ht="14.4" x14ac:dyDescent="0.25">
      <c r="A1721" s="6">
        <v>8321</v>
      </c>
      <c r="B1721" s="6">
        <v>59459</v>
      </c>
      <c r="C1721" s="19">
        <v>39848</v>
      </c>
      <c r="D1721" s="6" t="s">
        <v>16</v>
      </c>
      <c r="E1721" s="6">
        <f>IF((ISBLANK($B$1)),"",Sheet1!Q1728)</f>
        <v>5400</v>
      </c>
      <c r="F1721" s="20" t="s">
        <v>27</v>
      </c>
      <c r="G1721" s="53">
        <f t="shared" si="27"/>
        <v>0.99597891402498073</v>
      </c>
      <c r="H1721" s="35"/>
      <c r="P1721" s="6"/>
    </row>
    <row r="1722" spans="1:16" ht="14.4" x14ac:dyDescent="0.25">
      <c r="A1722" s="6">
        <v>8379</v>
      </c>
      <c r="B1722" s="6">
        <v>59878</v>
      </c>
      <c r="C1722" s="19">
        <v>41057</v>
      </c>
      <c r="D1722" s="6" t="s">
        <v>17</v>
      </c>
      <c r="E1722" s="6">
        <f>IF((ISBLANK($B$1)),"",Sheet1!Q1729)</f>
        <v>3700</v>
      </c>
      <c r="F1722" s="20" t="s">
        <v>27</v>
      </c>
      <c r="G1722" s="53">
        <f t="shared" si="27"/>
        <v>-1.351643349581243</v>
      </c>
      <c r="H1722" s="35"/>
      <c r="P1722" s="6"/>
    </row>
    <row r="1723" spans="1:16" ht="14.4" x14ac:dyDescent="0.25">
      <c r="A1723" s="6">
        <v>8380</v>
      </c>
      <c r="B1723" s="6">
        <v>59878</v>
      </c>
      <c r="C1723" s="19">
        <v>41057</v>
      </c>
      <c r="D1723" s="6" t="s">
        <v>17</v>
      </c>
      <c r="E1723" s="6">
        <f>IF((ISBLANK($B$1)),"",Sheet1!Q1730)</f>
        <v>4550</v>
      </c>
      <c r="F1723" s="20" t="s">
        <v>26</v>
      </c>
      <c r="G1723" s="53">
        <f t="shared" si="27"/>
        <v>-0.17783221777813119</v>
      </c>
      <c r="H1723" s="35"/>
      <c r="P1723" s="6"/>
    </row>
    <row r="1724" spans="1:16" ht="14.4" x14ac:dyDescent="0.25">
      <c r="A1724" s="6">
        <v>8386</v>
      </c>
      <c r="B1724" s="6">
        <v>59909</v>
      </c>
      <c r="C1724" s="19">
        <v>41126</v>
      </c>
      <c r="D1724" s="6" t="s">
        <v>25</v>
      </c>
      <c r="E1724" s="6">
        <f>IF((ISBLANK($B$1)),"",Sheet1!Q1731)</f>
        <v>3950</v>
      </c>
      <c r="F1724" s="20" t="s">
        <v>27</v>
      </c>
      <c r="G1724" s="53">
        <f t="shared" si="27"/>
        <v>-1.0064047814038573</v>
      </c>
      <c r="H1724" s="35"/>
      <c r="P1724" s="6"/>
    </row>
    <row r="1725" spans="1:16" ht="14.4" x14ac:dyDescent="0.25">
      <c r="A1725" s="6">
        <v>8387</v>
      </c>
      <c r="B1725" s="6">
        <v>59909</v>
      </c>
      <c r="C1725" s="19">
        <v>41126</v>
      </c>
      <c r="D1725" s="6" t="s">
        <v>25</v>
      </c>
      <c r="E1725" s="6">
        <f>IF((ISBLANK($B$1)),"",Sheet1!Q1732)</f>
        <v>5700</v>
      </c>
      <c r="F1725" s="20" t="s">
        <v>26</v>
      </c>
      <c r="G1725" s="53">
        <f t="shared" si="27"/>
        <v>1.4102651958378438</v>
      </c>
      <c r="H1725" s="35"/>
      <c r="P1725" s="6"/>
    </row>
    <row r="1726" spans="1:16" ht="14.4" x14ac:dyDescent="0.25">
      <c r="A1726" s="6">
        <v>184</v>
      </c>
      <c r="B1726" s="6">
        <v>1218</v>
      </c>
      <c r="C1726" s="19">
        <v>39983</v>
      </c>
      <c r="D1726" s="6" t="s">
        <v>28</v>
      </c>
      <c r="E1726" s="6">
        <f>IF((ISBLANK($B$1)),"",Sheet1!Q1733)</f>
        <v>3550</v>
      </c>
      <c r="F1726" s="20" t="s">
        <v>26</v>
      </c>
      <c r="G1726" s="53">
        <f t="shared" si="27"/>
        <v>-1.5587864904876745</v>
      </c>
      <c r="H1726" s="35"/>
      <c r="P1726" s="6"/>
    </row>
    <row r="1727" spans="1:16" ht="14.4" x14ac:dyDescent="0.25">
      <c r="A1727" s="6">
        <v>237</v>
      </c>
      <c r="B1727" s="6">
        <v>1600</v>
      </c>
      <c r="C1727" s="19">
        <v>40239</v>
      </c>
      <c r="D1727" s="6" t="s">
        <v>16</v>
      </c>
      <c r="E1727" s="6">
        <f>IF((ISBLANK($B$1)),"",Sheet1!Q1734)</f>
        <v>5000</v>
      </c>
      <c r="F1727" s="20" t="s">
        <v>29</v>
      </c>
      <c r="G1727" s="53">
        <f t="shared" si="27"/>
        <v>0.44359720494116334</v>
      </c>
      <c r="H1727" s="35"/>
      <c r="P1727" s="6"/>
    </row>
    <row r="1728" spans="1:16" ht="14.4" x14ac:dyDescent="0.25">
      <c r="A1728" s="6">
        <v>238</v>
      </c>
      <c r="B1728" s="6">
        <v>1600</v>
      </c>
      <c r="C1728" s="19">
        <v>40239</v>
      </c>
      <c r="D1728" s="6" t="s">
        <v>16</v>
      </c>
      <c r="E1728" s="6">
        <f>IF((ISBLANK($B$1)),"",Sheet1!Q1735)</f>
        <v>5200</v>
      </c>
      <c r="F1728" s="20" t="s">
        <v>26</v>
      </c>
      <c r="G1728" s="53">
        <f t="shared" si="27"/>
        <v>0.71978805948307201</v>
      </c>
      <c r="H1728" s="35"/>
      <c r="P1728" s="6"/>
    </row>
    <row r="1729" spans="1:16" ht="14.4" x14ac:dyDescent="0.25">
      <c r="A1729" s="6">
        <v>347</v>
      </c>
      <c r="B1729" s="6">
        <v>2373</v>
      </c>
      <c r="C1729" s="19">
        <v>39883</v>
      </c>
      <c r="D1729" s="6" t="s">
        <v>28</v>
      </c>
      <c r="E1729" s="6">
        <f>IF((ISBLANK($B$1)),"",Sheet1!Q1736)</f>
        <v>5200</v>
      </c>
      <c r="F1729" s="20" t="s">
        <v>26</v>
      </c>
      <c r="G1729" s="53">
        <f t="shared" si="27"/>
        <v>0.71978805948307201</v>
      </c>
      <c r="H1729" s="35"/>
      <c r="P1729" s="6"/>
    </row>
    <row r="1730" spans="1:16" ht="14.4" x14ac:dyDescent="0.25">
      <c r="A1730" s="6">
        <v>377</v>
      </c>
      <c r="B1730" s="6">
        <v>2626</v>
      </c>
      <c r="C1730" s="19">
        <v>40793</v>
      </c>
      <c r="D1730" s="6" t="s">
        <v>28</v>
      </c>
      <c r="E1730" s="6">
        <f>IF((ISBLANK($B$1)),"",Sheet1!Q1737)</f>
        <v>4200</v>
      </c>
      <c r="F1730" s="20" t="s">
        <v>26</v>
      </c>
      <c r="G1730" s="53">
        <f t="shared" si="27"/>
        <v>-0.6611662132264714</v>
      </c>
      <c r="H1730" s="35"/>
      <c r="P1730" s="6"/>
    </row>
    <row r="1731" spans="1:16" ht="14.4" x14ac:dyDescent="0.25">
      <c r="A1731" s="6">
        <v>458</v>
      </c>
      <c r="B1731" s="6">
        <v>3109</v>
      </c>
      <c r="C1731" s="19">
        <v>40382</v>
      </c>
      <c r="D1731" s="6" t="s">
        <v>25</v>
      </c>
      <c r="E1731" s="6">
        <f>IF((ISBLANK($B$1)),"",Sheet1!Q1738)</f>
        <v>5750</v>
      </c>
      <c r="F1731" s="20" t="s">
        <v>29</v>
      </c>
      <c r="G1731" s="53">
        <f t="shared" si="27"/>
        <v>1.4793129094733208</v>
      </c>
      <c r="H1731" s="35"/>
      <c r="P1731" s="6"/>
    </row>
    <row r="1732" spans="1:16" ht="14.4" x14ac:dyDescent="0.25">
      <c r="A1732" s="6">
        <v>459</v>
      </c>
      <c r="B1732" s="6">
        <v>3109</v>
      </c>
      <c r="C1732" s="19">
        <v>40382</v>
      </c>
      <c r="D1732" s="6" t="s">
        <v>25</v>
      </c>
      <c r="E1732" s="6">
        <f>IF((ISBLANK($B$1)),"",Sheet1!Q1739)</f>
        <v>5250</v>
      </c>
      <c r="F1732" s="20" t="s">
        <v>27</v>
      </c>
      <c r="G1732" s="53">
        <f t="shared" si="27"/>
        <v>0.78883577311854924</v>
      </c>
      <c r="H1732" s="35"/>
      <c r="P1732" s="6"/>
    </row>
    <row r="1733" spans="1:16" ht="14.4" x14ac:dyDescent="0.25">
      <c r="A1733" s="6">
        <v>555</v>
      </c>
      <c r="B1733" s="6">
        <v>3777</v>
      </c>
      <c r="C1733" s="19">
        <v>39910</v>
      </c>
      <c r="D1733" s="6" t="s">
        <v>16</v>
      </c>
      <c r="E1733" s="6">
        <f>IF((ISBLANK($B$1)),"",Sheet1!Q1740)</f>
        <v>4100</v>
      </c>
      <c r="F1733" s="20" t="s">
        <v>29</v>
      </c>
      <c r="G1733" s="53">
        <f t="shared" si="27"/>
        <v>-0.79926164049742576</v>
      </c>
      <c r="H1733" s="35"/>
      <c r="P1733" s="6"/>
    </row>
    <row r="1734" spans="1:16" ht="14.4" x14ac:dyDescent="0.25">
      <c r="A1734" s="6">
        <v>583</v>
      </c>
      <c r="B1734" s="6">
        <v>3973</v>
      </c>
      <c r="C1734" s="19">
        <v>40991</v>
      </c>
      <c r="D1734" s="6" t="s">
        <v>28</v>
      </c>
      <c r="E1734" s="6">
        <f>IF((ISBLANK($B$1)),"",Sheet1!Q1741)</f>
        <v>4450</v>
      </c>
      <c r="F1734" s="20" t="s">
        <v>29</v>
      </c>
      <c r="G1734" s="53">
        <f t="shared" si="27"/>
        <v>-0.31592764504908549</v>
      </c>
      <c r="H1734" s="35"/>
      <c r="P1734" s="6"/>
    </row>
    <row r="1735" spans="1:16" ht="14.4" x14ac:dyDescent="0.25">
      <c r="A1735" s="6">
        <v>704</v>
      </c>
      <c r="B1735" s="6">
        <v>4932</v>
      </c>
      <c r="C1735" s="19">
        <v>40399</v>
      </c>
      <c r="D1735" s="6" t="s">
        <v>30</v>
      </c>
      <c r="E1735" s="6">
        <f>IF((ISBLANK($B$1)),"",Sheet1!Q1742)</f>
        <v>3950</v>
      </c>
      <c r="F1735" s="20" t="s">
        <v>26</v>
      </c>
      <c r="G1735" s="53">
        <f t="shared" si="27"/>
        <v>-1.0064047814038573</v>
      </c>
      <c r="H1735" s="35"/>
      <c r="P1735" s="6"/>
    </row>
    <row r="1736" spans="1:16" ht="14.4" x14ac:dyDescent="0.25">
      <c r="A1736" s="6">
        <v>999</v>
      </c>
      <c r="B1736" s="6">
        <v>7239</v>
      </c>
      <c r="C1736" s="19">
        <v>40723</v>
      </c>
      <c r="D1736" s="6" t="s">
        <v>16</v>
      </c>
      <c r="E1736" s="6">
        <f>IF((ISBLANK($B$1)),"",Sheet1!Q1743)</f>
        <v>5900</v>
      </c>
      <c r="F1736" s="20" t="s">
        <v>26</v>
      </c>
      <c r="G1736" s="53">
        <f t="shared" ref="G1736:G1799" si="28">STANDARDIZE(E1736,$L$26,$L$35)</f>
        <v>1.6864560503797523</v>
      </c>
      <c r="H1736" s="35"/>
      <c r="P1736" s="6"/>
    </row>
    <row r="1737" spans="1:16" ht="14.4" x14ac:dyDescent="0.25">
      <c r="A1737" s="6">
        <v>1246</v>
      </c>
      <c r="B1737" s="6">
        <v>9088</v>
      </c>
      <c r="C1737" s="19">
        <v>39986</v>
      </c>
      <c r="D1737" s="6" t="s">
        <v>30</v>
      </c>
      <c r="E1737" s="6">
        <f>IF((ISBLANK($B$1)),"",Sheet1!Q1744)</f>
        <v>5900</v>
      </c>
      <c r="F1737" s="20" t="s">
        <v>26</v>
      </c>
      <c r="G1737" s="53">
        <f t="shared" si="28"/>
        <v>1.6864560503797523</v>
      </c>
      <c r="H1737" s="35"/>
      <c r="P1737" s="6"/>
    </row>
    <row r="1738" spans="1:16" ht="14.4" x14ac:dyDescent="0.25">
      <c r="A1738" s="6">
        <v>1247</v>
      </c>
      <c r="B1738" s="6">
        <v>9088</v>
      </c>
      <c r="C1738" s="19">
        <v>39986</v>
      </c>
      <c r="D1738" s="6" t="s">
        <v>30</v>
      </c>
      <c r="E1738" s="6">
        <f>IF((ISBLANK($B$1)),"",Sheet1!Q1745)</f>
        <v>4950</v>
      </c>
      <c r="F1738" s="20" t="s">
        <v>27</v>
      </c>
      <c r="G1738" s="53">
        <f t="shared" si="28"/>
        <v>0.37454949130568621</v>
      </c>
      <c r="H1738" s="35"/>
      <c r="P1738" s="6"/>
    </row>
    <row r="1739" spans="1:16" ht="14.4" x14ac:dyDescent="0.25">
      <c r="A1739" s="6">
        <v>1584</v>
      </c>
      <c r="B1739" s="6">
        <v>11428</v>
      </c>
      <c r="C1739" s="19">
        <v>40929</v>
      </c>
      <c r="D1739" s="6" t="s">
        <v>16</v>
      </c>
      <c r="E1739" s="6">
        <f>IF((ISBLANK($B$1)),"",Sheet1!Q1746)</f>
        <v>4200</v>
      </c>
      <c r="F1739" s="20" t="s">
        <v>26</v>
      </c>
      <c r="G1739" s="53">
        <f t="shared" si="28"/>
        <v>-0.6611662132264714</v>
      </c>
      <c r="H1739" s="35"/>
      <c r="P1739" s="6"/>
    </row>
    <row r="1740" spans="1:16" ht="14.4" x14ac:dyDescent="0.25">
      <c r="A1740" s="6">
        <v>1736</v>
      </c>
      <c r="B1740" s="6">
        <v>12452</v>
      </c>
      <c r="C1740" s="19">
        <v>40519</v>
      </c>
      <c r="D1740" s="6" t="s">
        <v>16</v>
      </c>
      <c r="E1740" s="6">
        <f>IF((ISBLANK($B$1)),"",Sheet1!Q1747)</f>
        <v>3450</v>
      </c>
      <c r="F1740" s="20" t="s">
        <v>26</v>
      </c>
      <c r="G1740" s="53">
        <f t="shared" si="28"/>
        <v>-1.696881917758629</v>
      </c>
      <c r="H1740" s="35"/>
      <c r="P1740" s="6"/>
    </row>
    <row r="1741" spans="1:16" ht="14.4" x14ac:dyDescent="0.25">
      <c r="A1741" s="6">
        <v>1737</v>
      </c>
      <c r="B1741" s="6">
        <v>12452</v>
      </c>
      <c r="C1741" s="19">
        <v>40519</v>
      </c>
      <c r="D1741" s="6" t="s">
        <v>16</v>
      </c>
      <c r="E1741" s="6">
        <f>IF((ISBLANK($B$1)),"",Sheet1!Q1748)</f>
        <v>4250</v>
      </c>
      <c r="F1741" s="20" t="s">
        <v>27</v>
      </c>
      <c r="G1741" s="53">
        <f t="shared" si="28"/>
        <v>-0.59211849959099416</v>
      </c>
      <c r="H1741" s="35"/>
      <c r="P1741" s="6"/>
    </row>
    <row r="1742" spans="1:16" ht="14.4" x14ac:dyDescent="0.25">
      <c r="A1742" s="6">
        <v>1738</v>
      </c>
      <c r="B1742" s="6">
        <v>12452</v>
      </c>
      <c r="C1742" s="19">
        <v>40519</v>
      </c>
      <c r="D1742" s="6" t="s">
        <v>16</v>
      </c>
      <c r="E1742" s="6">
        <f>IF((ISBLANK($B$1)),"",Sheet1!Q1749)</f>
        <v>5300</v>
      </c>
      <c r="F1742" s="20" t="s">
        <v>26</v>
      </c>
      <c r="G1742" s="53">
        <f t="shared" si="28"/>
        <v>0.85788348675402637</v>
      </c>
      <c r="H1742" s="35"/>
      <c r="P1742" s="6"/>
    </row>
    <row r="1743" spans="1:16" ht="14.4" x14ac:dyDescent="0.25">
      <c r="A1743" s="6">
        <v>1853</v>
      </c>
      <c r="B1743" s="6">
        <v>13345</v>
      </c>
      <c r="C1743" s="19">
        <v>41154</v>
      </c>
      <c r="D1743" s="6" t="s">
        <v>28</v>
      </c>
      <c r="E1743" s="6">
        <f>IF((ISBLANK($B$1)),"",Sheet1!Q1750)</f>
        <v>4600</v>
      </c>
      <c r="F1743" s="20" t="s">
        <v>27</v>
      </c>
      <c r="G1743" s="53">
        <f t="shared" si="28"/>
        <v>-0.108784504142654</v>
      </c>
      <c r="H1743" s="35"/>
      <c r="P1743" s="6"/>
    </row>
    <row r="1744" spans="1:16" ht="14.4" x14ac:dyDescent="0.25">
      <c r="A1744" s="6">
        <v>1854</v>
      </c>
      <c r="B1744" s="6">
        <v>13345</v>
      </c>
      <c r="C1744" s="19">
        <v>41154</v>
      </c>
      <c r="D1744" s="6" t="s">
        <v>28</v>
      </c>
      <c r="E1744" s="6">
        <f>IF((ISBLANK($B$1)),"",Sheet1!Q1751)</f>
        <v>5650</v>
      </c>
      <c r="F1744" s="20" t="s">
        <v>26</v>
      </c>
      <c r="G1744" s="53">
        <f t="shared" si="28"/>
        <v>1.3412174822023666</v>
      </c>
      <c r="H1744" s="35"/>
      <c r="P1744" s="6"/>
    </row>
    <row r="1745" spans="1:16" ht="14.4" x14ac:dyDescent="0.25">
      <c r="A1745" s="6">
        <v>1864</v>
      </c>
      <c r="B1745" s="6">
        <v>13410</v>
      </c>
      <c r="C1745" s="19">
        <v>40335</v>
      </c>
      <c r="D1745" s="6" t="s">
        <v>28</v>
      </c>
      <c r="E1745" s="6">
        <f>IF((ISBLANK($B$1)),"",Sheet1!Q1752)</f>
        <v>3600</v>
      </c>
      <c r="F1745" s="20" t="s">
        <v>27</v>
      </c>
      <c r="G1745" s="53">
        <f t="shared" si="28"/>
        <v>-1.4897387768521975</v>
      </c>
      <c r="H1745" s="35"/>
      <c r="P1745" s="6"/>
    </row>
    <row r="1746" spans="1:16" ht="14.4" x14ac:dyDescent="0.25">
      <c r="A1746" s="6">
        <v>1865</v>
      </c>
      <c r="B1746" s="6">
        <v>13410</v>
      </c>
      <c r="C1746" s="19">
        <v>40335</v>
      </c>
      <c r="D1746" s="6" t="s">
        <v>28</v>
      </c>
      <c r="E1746" s="6">
        <f>IF((ISBLANK($B$1)),"",Sheet1!Q1753)</f>
        <v>4850</v>
      </c>
      <c r="F1746" s="20" t="s">
        <v>27</v>
      </c>
      <c r="G1746" s="53">
        <f t="shared" si="28"/>
        <v>0.23645406403473185</v>
      </c>
      <c r="H1746" s="35"/>
      <c r="P1746" s="6"/>
    </row>
    <row r="1747" spans="1:16" ht="14.4" x14ac:dyDescent="0.25">
      <c r="A1747" s="6">
        <v>2193</v>
      </c>
      <c r="B1747" s="6">
        <v>15808</v>
      </c>
      <c r="C1747" s="19">
        <v>40526</v>
      </c>
      <c r="D1747" s="6" t="s">
        <v>30</v>
      </c>
      <c r="E1747" s="6">
        <f>IF((ISBLANK($B$1)),"",Sheet1!Q1754)</f>
        <v>5050</v>
      </c>
      <c r="F1747" s="20" t="s">
        <v>29</v>
      </c>
      <c r="G1747" s="53">
        <f t="shared" si="28"/>
        <v>0.51264491857664052</v>
      </c>
      <c r="H1747" s="35"/>
      <c r="P1747" s="6"/>
    </row>
    <row r="1748" spans="1:16" ht="14.4" x14ac:dyDescent="0.25">
      <c r="A1748" s="6">
        <v>2194</v>
      </c>
      <c r="B1748" s="6">
        <v>15808</v>
      </c>
      <c r="C1748" s="19">
        <v>40526</v>
      </c>
      <c r="D1748" s="6" t="s">
        <v>30</v>
      </c>
      <c r="E1748" s="6">
        <f>IF((ISBLANK($B$1)),"",Sheet1!Q1755)</f>
        <v>5500</v>
      </c>
      <c r="F1748" s="20" t="s">
        <v>26</v>
      </c>
      <c r="G1748" s="53">
        <f t="shared" si="28"/>
        <v>1.1340743412959351</v>
      </c>
      <c r="H1748" s="35"/>
      <c r="P1748" s="6"/>
    </row>
    <row r="1749" spans="1:16" ht="14.4" x14ac:dyDescent="0.25">
      <c r="A1749" s="6">
        <v>2195</v>
      </c>
      <c r="B1749" s="6">
        <v>15808</v>
      </c>
      <c r="C1749" s="19">
        <v>40526</v>
      </c>
      <c r="D1749" s="6" t="s">
        <v>30</v>
      </c>
      <c r="E1749" s="6">
        <f>IF((ISBLANK($B$1)),"",Sheet1!Q1756)</f>
        <v>5650</v>
      </c>
      <c r="F1749" s="20" t="s">
        <v>27</v>
      </c>
      <c r="G1749" s="53">
        <f t="shared" si="28"/>
        <v>1.3412174822023666</v>
      </c>
      <c r="H1749" s="35"/>
      <c r="P1749" s="6"/>
    </row>
    <row r="1750" spans="1:16" ht="14.4" x14ac:dyDescent="0.25">
      <c r="A1750" s="6">
        <v>2196</v>
      </c>
      <c r="B1750" s="6">
        <v>15808</v>
      </c>
      <c r="C1750" s="19">
        <v>40526</v>
      </c>
      <c r="D1750" s="6" t="s">
        <v>30</v>
      </c>
      <c r="E1750" s="6">
        <f>IF((ISBLANK($B$1)),"",Sheet1!Q1757)</f>
        <v>3550</v>
      </c>
      <c r="F1750" s="20" t="s">
        <v>27</v>
      </c>
      <c r="G1750" s="53">
        <f t="shared" si="28"/>
        <v>-1.5587864904876745</v>
      </c>
      <c r="H1750" s="35"/>
      <c r="P1750" s="6"/>
    </row>
    <row r="1751" spans="1:16" ht="14.4" x14ac:dyDescent="0.25">
      <c r="A1751" s="6">
        <v>2271</v>
      </c>
      <c r="B1751" s="6">
        <v>16326</v>
      </c>
      <c r="C1751" s="19">
        <v>40308</v>
      </c>
      <c r="D1751" s="6" t="s">
        <v>17</v>
      </c>
      <c r="E1751" s="6">
        <f>IF((ISBLANK($B$1)),"",Sheet1!Q1758)</f>
        <v>5350</v>
      </c>
      <c r="F1751" s="20" t="s">
        <v>27</v>
      </c>
      <c r="G1751" s="53">
        <f t="shared" si="28"/>
        <v>0.92693120038950361</v>
      </c>
      <c r="H1751" s="35"/>
      <c r="P1751" s="6"/>
    </row>
    <row r="1752" spans="1:16" ht="14.4" x14ac:dyDescent="0.25">
      <c r="A1752" s="6">
        <v>2272</v>
      </c>
      <c r="B1752" s="6">
        <v>16326</v>
      </c>
      <c r="C1752" s="19">
        <v>40308</v>
      </c>
      <c r="D1752" s="6" t="s">
        <v>17</v>
      </c>
      <c r="E1752" s="6">
        <f>IF((ISBLANK($B$1)),"",Sheet1!Q1759)</f>
        <v>5350</v>
      </c>
      <c r="F1752" s="20" t="s">
        <v>26</v>
      </c>
      <c r="G1752" s="53">
        <f t="shared" si="28"/>
        <v>0.92693120038950361</v>
      </c>
      <c r="H1752" s="35"/>
      <c r="P1752" s="6"/>
    </row>
    <row r="1753" spans="1:16" ht="14.4" x14ac:dyDescent="0.25">
      <c r="A1753" s="6">
        <v>2474</v>
      </c>
      <c r="B1753" s="6">
        <v>17985</v>
      </c>
      <c r="C1753" s="19">
        <v>40645</v>
      </c>
      <c r="D1753" s="6" t="s">
        <v>16</v>
      </c>
      <c r="E1753" s="6">
        <f>IF((ISBLANK($B$1)),"",Sheet1!Q1760)</f>
        <v>3600</v>
      </c>
      <c r="F1753" s="20" t="s">
        <v>29</v>
      </c>
      <c r="G1753" s="53">
        <f t="shared" si="28"/>
        <v>-1.4897387768521975</v>
      </c>
      <c r="H1753" s="35"/>
      <c r="P1753" s="6"/>
    </row>
    <row r="1754" spans="1:16" ht="14.4" x14ac:dyDescent="0.25">
      <c r="A1754" s="6">
        <v>2475</v>
      </c>
      <c r="B1754" s="6">
        <v>17985</v>
      </c>
      <c r="C1754" s="19">
        <v>40645</v>
      </c>
      <c r="D1754" s="6" t="s">
        <v>16</v>
      </c>
      <c r="E1754" s="6">
        <f>IF((ISBLANK($B$1)),"",Sheet1!Q1761)</f>
        <v>5900</v>
      </c>
      <c r="F1754" s="20" t="s">
        <v>27</v>
      </c>
      <c r="G1754" s="53">
        <f t="shared" si="28"/>
        <v>1.6864560503797523</v>
      </c>
      <c r="H1754" s="35"/>
      <c r="P1754" s="6"/>
    </row>
    <row r="1755" spans="1:16" ht="14.4" x14ac:dyDescent="0.25">
      <c r="A1755" s="6">
        <v>2841</v>
      </c>
      <c r="B1755" s="6">
        <v>20480</v>
      </c>
      <c r="C1755" s="19">
        <v>39842</v>
      </c>
      <c r="D1755" s="6" t="s">
        <v>16</v>
      </c>
      <c r="E1755" s="6">
        <f>IF((ISBLANK($B$1)),"",Sheet1!Q1762)</f>
        <v>3600</v>
      </c>
      <c r="F1755" s="20" t="s">
        <v>29</v>
      </c>
      <c r="G1755" s="53">
        <f t="shared" si="28"/>
        <v>-1.4897387768521975</v>
      </c>
      <c r="H1755" s="35"/>
      <c r="P1755" s="6"/>
    </row>
    <row r="1756" spans="1:16" ht="14.4" x14ac:dyDescent="0.25">
      <c r="A1756" s="6">
        <v>2919</v>
      </c>
      <c r="B1756" s="6">
        <v>21091</v>
      </c>
      <c r="C1756" s="19">
        <v>40159</v>
      </c>
      <c r="D1756" s="6" t="s">
        <v>17</v>
      </c>
      <c r="E1756" s="6">
        <f>IF((ISBLANK($B$1)),"",Sheet1!Q1763)</f>
        <v>5000</v>
      </c>
      <c r="F1756" s="20" t="s">
        <v>26</v>
      </c>
      <c r="G1756" s="53">
        <f t="shared" si="28"/>
        <v>0.44359720494116334</v>
      </c>
      <c r="H1756" s="35"/>
      <c r="P1756" s="6"/>
    </row>
    <row r="1757" spans="1:16" ht="14.4" x14ac:dyDescent="0.25">
      <c r="A1757" s="6">
        <v>3748</v>
      </c>
      <c r="B1757" s="6">
        <v>26759</v>
      </c>
      <c r="C1757" s="19">
        <v>40933</v>
      </c>
      <c r="D1757" s="6" t="s">
        <v>28</v>
      </c>
      <c r="E1757" s="6">
        <f>IF((ISBLANK($B$1)),"",Sheet1!Q1764)</f>
        <v>4900</v>
      </c>
      <c r="F1757" s="20" t="s">
        <v>26</v>
      </c>
      <c r="G1757" s="53">
        <f t="shared" si="28"/>
        <v>0.30550177767020903</v>
      </c>
      <c r="H1757" s="35"/>
      <c r="P1757" s="6"/>
    </row>
    <row r="1758" spans="1:16" ht="14.4" x14ac:dyDescent="0.25">
      <c r="A1758" s="6">
        <v>3759</v>
      </c>
      <c r="B1758" s="6">
        <v>26853</v>
      </c>
      <c r="C1758" s="19">
        <v>41072</v>
      </c>
      <c r="D1758" s="6" t="s">
        <v>25</v>
      </c>
      <c r="E1758" s="6">
        <f>IF((ISBLANK($B$1)),"",Sheet1!Q1765)</f>
        <v>4450</v>
      </c>
      <c r="F1758" s="20" t="s">
        <v>26</v>
      </c>
      <c r="G1758" s="53">
        <f t="shared" si="28"/>
        <v>-0.31592764504908549</v>
      </c>
      <c r="H1758" s="35"/>
      <c r="P1758" s="6"/>
    </row>
    <row r="1759" spans="1:16" ht="14.4" x14ac:dyDescent="0.25">
      <c r="A1759" s="6">
        <v>3768</v>
      </c>
      <c r="B1759" s="6">
        <v>26918</v>
      </c>
      <c r="C1759" s="19">
        <v>39909</v>
      </c>
      <c r="D1759" s="6" t="s">
        <v>25</v>
      </c>
      <c r="E1759" s="6">
        <f>IF((ISBLANK($B$1)),"",Sheet1!Q1766)</f>
        <v>4200</v>
      </c>
      <c r="F1759" s="20" t="s">
        <v>26</v>
      </c>
      <c r="G1759" s="53">
        <f t="shared" si="28"/>
        <v>-0.6611662132264714</v>
      </c>
      <c r="H1759" s="35"/>
      <c r="P1759" s="6"/>
    </row>
    <row r="1760" spans="1:16" ht="14.4" x14ac:dyDescent="0.25">
      <c r="A1760" s="6">
        <v>3847</v>
      </c>
      <c r="B1760" s="6">
        <v>27456</v>
      </c>
      <c r="C1760" s="19">
        <v>39913</v>
      </c>
      <c r="D1760" s="6" t="s">
        <v>28</v>
      </c>
      <c r="E1760" s="6">
        <f>IF((ISBLANK($B$1)),"",Sheet1!Q1767)</f>
        <v>4850</v>
      </c>
      <c r="F1760" s="20" t="s">
        <v>26</v>
      </c>
      <c r="G1760" s="53">
        <f t="shared" si="28"/>
        <v>0.23645406403473185</v>
      </c>
      <c r="H1760" s="35"/>
      <c r="P1760" s="6"/>
    </row>
    <row r="1761" spans="1:16" ht="14.4" x14ac:dyDescent="0.25">
      <c r="A1761" s="6">
        <v>3980</v>
      </c>
      <c r="B1761" s="6">
        <v>28420</v>
      </c>
      <c r="C1761" s="19">
        <v>40080</v>
      </c>
      <c r="D1761" s="6" t="s">
        <v>25</v>
      </c>
      <c r="E1761" s="6">
        <f>IF((ISBLANK($B$1)),"",Sheet1!Q1768)</f>
        <v>3500</v>
      </c>
      <c r="F1761" s="20" t="s">
        <v>26</v>
      </c>
      <c r="G1761" s="53">
        <f t="shared" si="28"/>
        <v>-1.6278342041231517</v>
      </c>
      <c r="H1761" s="35"/>
      <c r="P1761" s="6"/>
    </row>
    <row r="1762" spans="1:16" ht="14.4" x14ac:dyDescent="0.25">
      <c r="A1762" s="6">
        <v>4123</v>
      </c>
      <c r="B1762" s="6">
        <v>29318</v>
      </c>
      <c r="C1762" s="19">
        <v>40724</v>
      </c>
      <c r="D1762" s="6" t="s">
        <v>28</v>
      </c>
      <c r="E1762" s="6">
        <f>IF((ISBLANK($B$1)),"",Sheet1!Q1769)</f>
        <v>4450</v>
      </c>
      <c r="F1762" s="20" t="s">
        <v>26</v>
      </c>
      <c r="G1762" s="53">
        <f t="shared" si="28"/>
        <v>-0.31592764504908549</v>
      </c>
      <c r="H1762" s="35"/>
      <c r="P1762" s="6"/>
    </row>
    <row r="1763" spans="1:16" ht="14.4" x14ac:dyDescent="0.25">
      <c r="A1763" s="6">
        <v>4124</v>
      </c>
      <c r="B1763" s="6">
        <v>29318</v>
      </c>
      <c r="C1763" s="19">
        <v>40724</v>
      </c>
      <c r="D1763" s="6" t="s">
        <v>28</v>
      </c>
      <c r="E1763" s="6">
        <f>IF((ISBLANK($B$1)),"",Sheet1!Q1770)</f>
        <v>5100</v>
      </c>
      <c r="F1763" s="20" t="s">
        <v>27</v>
      </c>
      <c r="G1763" s="53">
        <f t="shared" si="28"/>
        <v>0.58169263221211776</v>
      </c>
      <c r="H1763" s="35"/>
      <c r="P1763" s="6"/>
    </row>
    <row r="1764" spans="1:16" ht="14.4" x14ac:dyDescent="0.25">
      <c r="A1764" s="6">
        <v>4223</v>
      </c>
      <c r="B1764" s="6">
        <v>30016</v>
      </c>
      <c r="C1764" s="19">
        <v>39816</v>
      </c>
      <c r="D1764" s="6" t="s">
        <v>30</v>
      </c>
      <c r="E1764" s="6">
        <f>IF((ISBLANK($B$1)),"",Sheet1!Q1771)</f>
        <v>4150</v>
      </c>
      <c r="F1764" s="20" t="s">
        <v>26</v>
      </c>
      <c r="G1764" s="53">
        <f t="shared" si="28"/>
        <v>-0.73021392686194853</v>
      </c>
      <c r="H1764" s="35"/>
      <c r="P1764" s="6"/>
    </row>
    <row r="1765" spans="1:16" ht="14.4" x14ac:dyDescent="0.25">
      <c r="A1765" s="6">
        <v>4224</v>
      </c>
      <c r="B1765" s="6">
        <v>30016</v>
      </c>
      <c r="C1765" s="19">
        <v>39816</v>
      </c>
      <c r="D1765" s="6" t="s">
        <v>30</v>
      </c>
      <c r="E1765" s="6">
        <f>IF((ISBLANK($B$1)),"",Sheet1!Q1772)</f>
        <v>3800</v>
      </c>
      <c r="F1765" s="20" t="s">
        <v>27</v>
      </c>
      <c r="G1765" s="53">
        <f t="shared" si="28"/>
        <v>-1.2135479223102887</v>
      </c>
      <c r="H1765" s="35"/>
      <c r="P1765" s="6"/>
    </row>
    <row r="1766" spans="1:16" ht="14.4" x14ac:dyDescent="0.25">
      <c r="A1766" s="6">
        <v>4676</v>
      </c>
      <c r="B1766" s="6">
        <v>33255</v>
      </c>
      <c r="C1766" s="19">
        <v>40353</v>
      </c>
      <c r="D1766" s="6" t="s">
        <v>30</v>
      </c>
      <c r="E1766" s="6">
        <f>IF((ISBLANK($B$1)),"",Sheet1!Q1773)</f>
        <v>4350</v>
      </c>
      <c r="F1766" s="20" t="s">
        <v>26</v>
      </c>
      <c r="G1766" s="53">
        <f t="shared" si="28"/>
        <v>-0.45402307232003986</v>
      </c>
      <c r="H1766" s="35"/>
      <c r="P1766" s="6"/>
    </row>
    <row r="1767" spans="1:16" ht="14.4" x14ac:dyDescent="0.25">
      <c r="A1767" s="6">
        <v>4933</v>
      </c>
      <c r="B1767" s="6">
        <v>35104</v>
      </c>
      <c r="C1767" s="19">
        <v>41021</v>
      </c>
      <c r="D1767" s="6" t="s">
        <v>17</v>
      </c>
      <c r="E1767" s="6">
        <f>IF((ISBLANK($B$1)),"",Sheet1!Q1774)</f>
        <v>3450</v>
      </c>
      <c r="F1767" s="20" t="s">
        <v>27</v>
      </c>
      <c r="G1767" s="53">
        <f t="shared" si="28"/>
        <v>-1.696881917758629</v>
      </c>
      <c r="H1767" s="35"/>
      <c r="P1767" s="6"/>
    </row>
    <row r="1768" spans="1:16" ht="14.4" x14ac:dyDescent="0.25">
      <c r="A1768" s="6">
        <v>4934</v>
      </c>
      <c r="B1768" s="6">
        <v>35104</v>
      </c>
      <c r="C1768" s="19">
        <v>41021</v>
      </c>
      <c r="D1768" s="6" t="s">
        <v>17</v>
      </c>
      <c r="E1768" s="6">
        <f>IF((ISBLANK($B$1)),"",Sheet1!Q1775)</f>
        <v>4300</v>
      </c>
      <c r="F1768" s="20" t="s">
        <v>29</v>
      </c>
      <c r="G1768" s="53">
        <f t="shared" si="28"/>
        <v>-0.52307078595551704</v>
      </c>
      <c r="H1768" s="35"/>
      <c r="P1768" s="6"/>
    </row>
    <row r="1769" spans="1:16" ht="14.4" x14ac:dyDescent="0.25">
      <c r="A1769" s="6">
        <v>4946</v>
      </c>
      <c r="B1769" s="6">
        <v>35142</v>
      </c>
      <c r="C1769" s="19">
        <v>40290</v>
      </c>
      <c r="D1769" s="6" t="s">
        <v>25</v>
      </c>
      <c r="E1769" s="6">
        <f>IF((ISBLANK($B$1)),"",Sheet1!Q1776)</f>
        <v>3950</v>
      </c>
      <c r="F1769" s="20" t="s">
        <v>29</v>
      </c>
      <c r="G1769" s="53">
        <f t="shared" si="28"/>
        <v>-1.0064047814038573</v>
      </c>
      <c r="H1769" s="35"/>
      <c r="P1769" s="6"/>
    </row>
    <row r="1770" spans="1:16" ht="14.4" x14ac:dyDescent="0.25">
      <c r="A1770" s="6">
        <v>4997</v>
      </c>
      <c r="B1770" s="6">
        <v>35584</v>
      </c>
      <c r="C1770" s="19">
        <v>40666</v>
      </c>
      <c r="D1770" s="6" t="s">
        <v>16</v>
      </c>
      <c r="E1770" s="6">
        <f>IF((ISBLANK($B$1)),"",Sheet1!Q1777)</f>
        <v>4150</v>
      </c>
      <c r="F1770" s="20" t="s">
        <v>26</v>
      </c>
      <c r="G1770" s="53">
        <f t="shared" si="28"/>
        <v>-0.73021392686194853</v>
      </c>
      <c r="H1770" s="35"/>
      <c r="P1770" s="6"/>
    </row>
    <row r="1771" spans="1:16" ht="14.4" x14ac:dyDescent="0.25">
      <c r="A1771" s="6">
        <v>5037</v>
      </c>
      <c r="B1771" s="6">
        <v>35908</v>
      </c>
      <c r="C1771" s="19">
        <v>40524</v>
      </c>
      <c r="D1771" s="6" t="s">
        <v>28</v>
      </c>
      <c r="E1771" s="6">
        <f>IF((ISBLANK($B$1)),"",Sheet1!Q1778)</f>
        <v>5400</v>
      </c>
      <c r="F1771" s="20" t="s">
        <v>26</v>
      </c>
      <c r="G1771" s="53">
        <f t="shared" si="28"/>
        <v>0.99597891402498073</v>
      </c>
      <c r="H1771" s="35"/>
      <c r="P1771" s="6"/>
    </row>
    <row r="1772" spans="1:16" ht="14.4" x14ac:dyDescent="0.25">
      <c r="A1772" s="6">
        <v>5038</v>
      </c>
      <c r="B1772" s="6">
        <v>35908</v>
      </c>
      <c r="C1772" s="19">
        <v>40524</v>
      </c>
      <c r="D1772" s="6" t="s">
        <v>28</v>
      </c>
      <c r="E1772" s="6">
        <f>IF((ISBLANK($B$1)),"",Sheet1!Q1779)</f>
        <v>5650</v>
      </c>
      <c r="F1772" s="20" t="s">
        <v>26</v>
      </c>
      <c r="G1772" s="53">
        <f t="shared" si="28"/>
        <v>1.3412174822023666</v>
      </c>
      <c r="H1772" s="35"/>
      <c r="P1772" s="6"/>
    </row>
    <row r="1773" spans="1:16" ht="14.4" x14ac:dyDescent="0.25">
      <c r="A1773" s="6">
        <v>5152</v>
      </c>
      <c r="B1773" s="6">
        <v>36706</v>
      </c>
      <c r="C1773" s="19">
        <v>39914</v>
      </c>
      <c r="D1773" s="6" t="s">
        <v>28</v>
      </c>
      <c r="E1773" s="6">
        <f>IF((ISBLANK($B$1)),"",Sheet1!Q1780)</f>
        <v>5750</v>
      </c>
      <c r="F1773" s="20" t="s">
        <v>26</v>
      </c>
      <c r="G1773" s="53">
        <f t="shared" si="28"/>
        <v>1.4793129094733208</v>
      </c>
      <c r="H1773" s="35"/>
      <c r="P1773" s="6"/>
    </row>
    <row r="1774" spans="1:16" ht="14.4" x14ac:dyDescent="0.25">
      <c r="A1774" s="6">
        <v>5153</v>
      </c>
      <c r="B1774" s="6">
        <v>36706</v>
      </c>
      <c r="C1774" s="19">
        <v>39914</v>
      </c>
      <c r="D1774" s="6" t="s">
        <v>28</v>
      </c>
      <c r="E1774" s="6">
        <f>IF((ISBLANK($B$1)),"",Sheet1!Q1781)</f>
        <v>3750</v>
      </c>
      <c r="F1774" s="20" t="s">
        <v>26</v>
      </c>
      <c r="G1774" s="53">
        <f t="shared" si="28"/>
        <v>-1.282595635945766</v>
      </c>
      <c r="H1774" s="35"/>
      <c r="P1774" s="6"/>
    </row>
    <row r="1775" spans="1:16" ht="14.4" x14ac:dyDescent="0.25">
      <c r="A1775" s="6">
        <v>5214</v>
      </c>
      <c r="B1775" s="6">
        <v>37121</v>
      </c>
      <c r="C1775" s="19">
        <v>40617</v>
      </c>
      <c r="D1775" s="6" t="s">
        <v>28</v>
      </c>
      <c r="E1775" s="6">
        <f>IF((ISBLANK($B$1)),"",Sheet1!Q1782)</f>
        <v>5600</v>
      </c>
      <c r="F1775" s="20" t="s">
        <v>29</v>
      </c>
      <c r="G1775" s="53">
        <f t="shared" si="28"/>
        <v>1.2721697685668893</v>
      </c>
      <c r="H1775" s="35"/>
      <c r="P1775" s="6"/>
    </row>
    <row r="1776" spans="1:16" ht="14.4" x14ac:dyDescent="0.25">
      <c r="A1776" s="6">
        <v>5420</v>
      </c>
      <c r="B1776" s="6">
        <v>38528</v>
      </c>
      <c r="C1776" s="19">
        <v>40897</v>
      </c>
      <c r="D1776" s="6" t="s">
        <v>30</v>
      </c>
      <c r="E1776" s="6">
        <f>IF((ISBLANK($B$1)),"",Sheet1!Q1783)</f>
        <v>5200</v>
      </c>
      <c r="F1776" s="20" t="s">
        <v>27</v>
      </c>
      <c r="G1776" s="53">
        <f t="shared" si="28"/>
        <v>0.71978805948307201</v>
      </c>
      <c r="H1776" s="35"/>
      <c r="P1776" s="6"/>
    </row>
    <row r="1777" spans="1:16" ht="14.4" x14ac:dyDescent="0.25">
      <c r="A1777" s="6">
        <v>5469</v>
      </c>
      <c r="B1777" s="6">
        <v>38853</v>
      </c>
      <c r="C1777" s="19">
        <v>40991</v>
      </c>
      <c r="D1777" s="6" t="s">
        <v>25</v>
      </c>
      <c r="E1777" s="6">
        <f>IF((ISBLANK($B$1)),"",Sheet1!Q1784)</f>
        <v>4050</v>
      </c>
      <c r="F1777" s="20" t="s">
        <v>27</v>
      </c>
      <c r="G1777" s="53">
        <f t="shared" si="28"/>
        <v>-0.86830935413290289</v>
      </c>
      <c r="H1777" s="35"/>
      <c r="P1777" s="6"/>
    </row>
    <row r="1778" spans="1:16" ht="14.4" x14ac:dyDescent="0.25">
      <c r="A1778" s="6">
        <v>5585</v>
      </c>
      <c r="B1778" s="6">
        <v>39590</v>
      </c>
      <c r="C1778" s="19">
        <v>40677</v>
      </c>
      <c r="D1778" s="6" t="s">
        <v>25</v>
      </c>
      <c r="E1778" s="6">
        <f>IF((ISBLANK($B$1)),"",Sheet1!Q1785)</f>
        <v>3850</v>
      </c>
      <c r="F1778" s="20" t="s">
        <v>26</v>
      </c>
      <c r="G1778" s="53">
        <f t="shared" si="28"/>
        <v>-1.1445002086748115</v>
      </c>
      <c r="H1778" s="35"/>
      <c r="P1778" s="6"/>
    </row>
    <row r="1779" spans="1:16" ht="14.4" x14ac:dyDescent="0.25">
      <c r="A1779" s="6">
        <v>5735</v>
      </c>
      <c r="B1779" s="6">
        <v>40707</v>
      </c>
      <c r="C1779" s="19">
        <v>39975</v>
      </c>
      <c r="D1779" s="6" t="s">
        <v>17</v>
      </c>
      <c r="E1779" s="6">
        <f>IF((ISBLANK($B$1)),"",Sheet1!Q1786)</f>
        <v>4700</v>
      </c>
      <c r="F1779" s="20" t="s">
        <v>27</v>
      </c>
      <c r="G1779" s="53">
        <f t="shared" si="28"/>
        <v>2.9310923128300338E-2</v>
      </c>
      <c r="H1779" s="35"/>
      <c r="P1779" s="6"/>
    </row>
    <row r="1780" spans="1:16" ht="14.4" x14ac:dyDescent="0.25">
      <c r="A1780" s="6">
        <v>5769</v>
      </c>
      <c r="B1780" s="6">
        <v>40961</v>
      </c>
      <c r="C1780" s="19">
        <v>40632</v>
      </c>
      <c r="D1780" s="6" t="s">
        <v>16</v>
      </c>
      <c r="E1780" s="6">
        <f>IF((ISBLANK($B$1)),"",Sheet1!Q1787)</f>
        <v>3750</v>
      </c>
      <c r="F1780" s="20" t="s">
        <v>26</v>
      </c>
      <c r="G1780" s="53">
        <f t="shared" si="28"/>
        <v>-1.282595635945766</v>
      </c>
      <c r="H1780" s="35"/>
      <c r="P1780" s="6"/>
    </row>
    <row r="1781" spans="1:16" ht="14.4" x14ac:dyDescent="0.25">
      <c r="A1781" s="6">
        <v>5783</v>
      </c>
      <c r="B1781" s="6">
        <v>41026</v>
      </c>
      <c r="C1781" s="19">
        <v>40652</v>
      </c>
      <c r="D1781" s="6" t="s">
        <v>16</v>
      </c>
      <c r="E1781" s="6">
        <f>IF((ISBLANK($B$1)),"",Sheet1!Q1788)</f>
        <v>3800</v>
      </c>
      <c r="F1781" s="20" t="s">
        <v>29</v>
      </c>
      <c r="G1781" s="53">
        <f t="shared" si="28"/>
        <v>-1.2135479223102887</v>
      </c>
      <c r="H1781" s="35"/>
      <c r="P1781" s="6"/>
    </row>
    <row r="1782" spans="1:16" ht="14.4" x14ac:dyDescent="0.25">
      <c r="A1782" s="6">
        <v>5784</v>
      </c>
      <c r="B1782" s="6">
        <v>41026</v>
      </c>
      <c r="C1782" s="19">
        <v>40652</v>
      </c>
      <c r="D1782" s="6" t="s">
        <v>16</v>
      </c>
      <c r="E1782" s="6">
        <f>IF((ISBLANK($B$1)),"",Sheet1!Q1789)</f>
        <v>4350</v>
      </c>
      <c r="F1782" s="20" t="s">
        <v>26</v>
      </c>
      <c r="G1782" s="53">
        <f t="shared" si="28"/>
        <v>-0.45402307232003986</v>
      </c>
      <c r="H1782" s="35"/>
      <c r="P1782" s="6"/>
    </row>
    <row r="1783" spans="1:16" ht="14.4" x14ac:dyDescent="0.25">
      <c r="A1783" s="6">
        <v>5853</v>
      </c>
      <c r="B1783" s="6">
        <v>41543</v>
      </c>
      <c r="C1783" s="19">
        <v>39850</v>
      </c>
      <c r="D1783" s="6" t="s">
        <v>25</v>
      </c>
      <c r="E1783" s="6">
        <f>IF((ISBLANK($B$1)),"",Sheet1!Q1790)</f>
        <v>5650</v>
      </c>
      <c r="F1783" s="20" t="s">
        <v>29</v>
      </c>
      <c r="G1783" s="53">
        <f t="shared" si="28"/>
        <v>1.3412174822023666</v>
      </c>
      <c r="H1783" s="35"/>
      <c r="P1783" s="6"/>
    </row>
    <row r="1784" spans="1:16" ht="14.4" x14ac:dyDescent="0.25">
      <c r="A1784" s="6">
        <v>5854</v>
      </c>
      <c r="B1784" s="6">
        <v>41543</v>
      </c>
      <c r="C1784" s="19">
        <v>39850</v>
      </c>
      <c r="D1784" s="6" t="s">
        <v>25</v>
      </c>
      <c r="E1784" s="6">
        <f>IF((ISBLANK($B$1)),"",Sheet1!Q1791)</f>
        <v>4600</v>
      </c>
      <c r="F1784" s="20" t="s">
        <v>27</v>
      </c>
      <c r="G1784" s="53">
        <f t="shared" si="28"/>
        <v>-0.108784504142654</v>
      </c>
      <c r="H1784" s="35"/>
      <c r="P1784" s="6"/>
    </row>
    <row r="1785" spans="1:16" ht="14.4" x14ac:dyDescent="0.25">
      <c r="A1785" s="6">
        <v>5862</v>
      </c>
      <c r="B1785" s="6">
        <v>41606</v>
      </c>
      <c r="C1785" s="19">
        <v>39987</v>
      </c>
      <c r="D1785" s="6" t="s">
        <v>17</v>
      </c>
      <c r="E1785" s="6">
        <f>IF((ISBLANK($B$1)),"",Sheet1!Q1792)</f>
        <v>4550</v>
      </c>
      <c r="F1785" s="20" t="s">
        <v>29</v>
      </c>
      <c r="G1785" s="53">
        <f t="shared" si="28"/>
        <v>-0.17783221777813119</v>
      </c>
      <c r="H1785" s="35"/>
      <c r="P1785" s="6"/>
    </row>
    <row r="1786" spans="1:16" ht="14.4" x14ac:dyDescent="0.25">
      <c r="A1786" s="6">
        <v>5863</v>
      </c>
      <c r="B1786" s="6">
        <v>41606</v>
      </c>
      <c r="C1786" s="19">
        <v>39987</v>
      </c>
      <c r="D1786" s="6" t="s">
        <v>17</v>
      </c>
      <c r="E1786" s="6">
        <f>IF((ISBLANK($B$1)),"",Sheet1!Q1793)</f>
        <v>4900</v>
      </c>
      <c r="F1786" s="20" t="s">
        <v>26</v>
      </c>
      <c r="G1786" s="53">
        <f t="shared" si="28"/>
        <v>0.30550177767020903</v>
      </c>
      <c r="H1786" s="35"/>
      <c r="P1786" s="6"/>
    </row>
    <row r="1787" spans="1:16" ht="14.4" x14ac:dyDescent="0.25">
      <c r="A1787" s="6">
        <v>5913</v>
      </c>
      <c r="B1787" s="6">
        <v>41926</v>
      </c>
      <c r="C1787" s="19">
        <v>40579</v>
      </c>
      <c r="D1787" s="6" t="s">
        <v>17</v>
      </c>
      <c r="E1787" s="6">
        <f>IF((ISBLANK($B$1)),"",Sheet1!Q1794)</f>
        <v>4250</v>
      </c>
      <c r="F1787" s="20" t="s">
        <v>26</v>
      </c>
      <c r="G1787" s="53">
        <f t="shared" si="28"/>
        <v>-0.59211849959099416</v>
      </c>
      <c r="H1787" s="35"/>
      <c r="P1787" s="6"/>
    </row>
    <row r="1788" spans="1:16" ht="14.4" x14ac:dyDescent="0.25">
      <c r="A1788" s="6">
        <v>5914</v>
      </c>
      <c r="B1788" s="6">
        <v>41926</v>
      </c>
      <c r="C1788" s="19">
        <v>40579</v>
      </c>
      <c r="D1788" s="6" t="s">
        <v>17</v>
      </c>
      <c r="E1788" s="6">
        <f>IF((ISBLANK($B$1)),"",Sheet1!Q1795)</f>
        <v>5550</v>
      </c>
      <c r="F1788" s="20" t="s">
        <v>26</v>
      </c>
      <c r="G1788" s="53">
        <f t="shared" si="28"/>
        <v>1.2031220549314123</v>
      </c>
      <c r="H1788" s="35"/>
      <c r="P1788" s="6"/>
    </row>
    <row r="1789" spans="1:16" ht="14.4" x14ac:dyDescent="0.25">
      <c r="A1789" s="6">
        <v>7082</v>
      </c>
      <c r="B1789" s="6">
        <v>50533</v>
      </c>
      <c r="C1789" s="19">
        <v>40694</v>
      </c>
      <c r="D1789" s="6" t="s">
        <v>28</v>
      </c>
      <c r="E1789" s="6">
        <f>IF((ISBLANK($B$1)),"",Sheet1!Q1796)</f>
        <v>5000</v>
      </c>
      <c r="F1789" s="20" t="s">
        <v>26</v>
      </c>
      <c r="G1789" s="53">
        <f t="shared" si="28"/>
        <v>0.44359720494116334</v>
      </c>
      <c r="H1789" s="35"/>
      <c r="P1789" s="6"/>
    </row>
    <row r="1790" spans="1:16" ht="14.4" x14ac:dyDescent="0.25">
      <c r="A1790" s="6">
        <v>7083</v>
      </c>
      <c r="B1790" s="6">
        <v>50533</v>
      </c>
      <c r="C1790" s="19">
        <v>40694</v>
      </c>
      <c r="D1790" s="6" t="s">
        <v>28</v>
      </c>
      <c r="E1790" s="6">
        <f>IF((ISBLANK($B$1)),"",Sheet1!Q1797)</f>
        <v>3550</v>
      </c>
      <c r="F1790" s="20" t="s">
        <v>29</v>
      </c>
      <c r="G1790" s="53">
        <f t="shared" si="28"/>
        <v>-1.5587864904876745</v>
      </c>
      <c r="H1790" s="35"/>
      <c r="P1790" s="6"/>
    </row>
    <row r="1791" spans="1:16" ht="14.4" x14ac:dyDescent="0.25">
      <c r="A1791" s="6">
        <v>7252</v>
      </c>
      <c r="B1791" s="6">
        <v>51747</v>
      </c>
      <c r="C1791" s="19">
        <v>41095</v>
      </c>
      <c r="D1791" s="6" t="s">
        <v>16</v>
      </c>
      <c r="E1791" s="6">
        <f>IF((ISBLANK($B$1)),"",Sheet1!Q1798)</f>
        <v>3550</v>
      </c>
      <c r="F1791" s="20" t="s">
        <v>26</v>
      </c>
      <c r="G1791" s="53">
        <f t="shared" si="28"/>
        <v>-1.5587864904876745</v>
      </c>
      <c r="H1791" s="35"/>
      <c r="P1791" s="6"/>
    </row>
    <row r="1792" spans="1:16" ht="14.4" x14ac:dyDescent="0.25">
      <c r="A1792" s="6">
        <v>7469</v>
      </c>
      <c r="B1792" s="6">
        <v>53314</v>
      </c>
      <c r="C1792" s="19">
        <v>40440</v>
      </c>
      <c r="D1792" s="6" t="s">
        <v>17</v>
      </c>
      <c r="E1792" s="6">
        <f>IF((ISBLANK($B$1)),"",Sheet1!Q1799)</f>
        <v>5050</v>
      </c>
      <c r="F1792" s="20" t="s">
        <v>29</v>
      </c>
      <c r="G1792" s="53">
        <f t="shared" si="28"/>
        <v>0.51264491857664052</v>
      </c>
      <c r="H1792" s="35"/>
      <c r="P1792" s="6"/>
    </row>
    <row r="1793" spans="1:16" ht="14.4" x14ac:dyDescent="0.25">
      <c r="A1793" s="6">
        <v>7470</v>
      </c>
      <c r="B1793" s="6">
        <v>53314</v>
      </c>
      <c r="C1793" s="19">
        <v>40440</v>
      </c>
      <c r="D1793" s="6" t="s">
        <v>17</v>
      </c>
      <c r="E1793" s="6">
        <f>IF((ISBLANK($B$1)),"",Sheet1!Q1800)</f>
        <v>4150</v>
      </c>
      <c r="F1793" s="20" t="s">
        <v>29</v>
      </c>
      <c r="G1793" s="53">
        <f t="shared" si="28"/>
        <v>-0.73021392686194853</v>
      </c>
      <c r="H1793" s="35"/>
      <c r="P1793" s="6"/>
    </row>
    <row r="1794" spans="1:16" ht="14.4" x14ac:dyDescent="0.25">
      <c r="A1794" s="6">
        <v>7648</v>
      </c>
      <c r="B1794" s="6">
        <v>54791</v>
      </c>
      <c r="C1794" s="19">
        <v>41263</v>
      </c>
      <c r="D1794" s="6" t="s">
        <v>17</v>
      </c>
      <c r="E1794" s="6">
        <f>IF((ISBLANK($B$1)),"",Sheet1!Q1801)</f>
        <v>5650</v>
      </c>
      <c r="F1794" s="20" t="s">
        <v>29</v>
      </c>
      <c r="G1794" s="53">
        <f t="shared" si="28"/>
        <v>1.3412174822023666</v>
      </c>
      <c r="H1794" s="35"/>
      <c r="P1794" s="6"/>
    </row>
    <row r="1795" spans="1:16" ht="14.4" x14ac:dyDescent="0.25">
      <c r="A1795" s="6">
        <v>7657</v>
      </c>
      <c r="B1795" s="6">
        <v>54912</v>
      </c>
      <c r="C1795" s="19">
        <v>40745</v>
      </c>
      <c r="D1795" s="6" t="s">
        <v>25</v>
      </c>
      <c r="E1795" s="6">
        <f>IF((ISBLANK($B$1)),"",Sheet1!Q1802)</f>
        <v>4250</v>
      </c>
      <c r="F1795" s="20" t="s">
        <v>26</v>
      </c>
      <c r="G1795" s="53">
        <f t="shared" si="28"/>
        <v>-0.59211849959099416</v>
      </c>
      <c r="H1795" s="35"/>
      <c r="P1795" s="6"/>
    </row>
    <row r="1796" spans="1:16" ht="14.4" x14ac:dyDescent="0.25">
      <c r="A1796" s="6">
        <v>7711</v>
      </c>
      <c r="B1796" s="6">
        <v>55269</v>
      </c>
      <c r="C1796" s="19">
        <v>40244</v>
      </c>
      <c r="D1796" s="6" t="s">
        <v>16</v>
      </c>
      <c r="E1796" s="6">
        <f>IF((ISBLANK($B$1)),"",Sheet1!Q1803)</f>
        <v>3450</v>
      </c>
      <c r="F1796" s="20" t="s">
        <v>26</v>
      </c>
      <c r="G1796" s="53">
        <f t="shared" si="28"/>
        <v>-1.696881917758629</v>
      </c>
      <c r="H1796" s="35"/>
      <c r="P1796" s="6"/>
    </row>
    <row r="1797" spans="1:16" ht="14.4" x14ac:dyDescent="0.25">
      <c r="A1797" s="6">
        <v>7845</v>
      </c>
      <c r="B1797" s="6">
        <v>56101</v>
      </c>
      <c r="C1797" s="19">
        <v>40378</v>
      </c>
      <c r="D1797" s="6" t="s">
        <v>28</v>
      </c>
      <c r="E1797" s="6">
        <f>IF((ISBLANK($B$1)),"",Sheet1!Q1804)</f>
        <v>3450</v>
      </c>
      <c r="F1797" s="20" t="s">
        <v>26</v>
      </c>
      <c r="G1797" s="53">
        <f t="shared" si="28"/>
        <v>-1.696881917758629</v>
      </c>
      <c r="H1797" s="35"/>
      <c r="P1797" s="6"/>
    </row>
    <row r="1798" spans="1:16" ht="14.4" x14ac:dyDescent="0.25">
      <c r="A1798" s="6">
        <v>7846</v>
      </c>
      <c r="B1798" s="6">
        <v>56101</v>
      </c>
      <c r="C1798" s="19">
        <v>40378</v>
      </c>
      <c r="D1798" s="6" t="s">
        <v>28</v>
      </c>
      <c r="E1798" s="6">
        <f>IF((ISBLANK($B$1)),"",Sheet1!Q1805)</f>
        <v>5600</v>
      </c>
      <c r="F1798" s="20" t="s">
        <v>26</v>
      </c>
      <c r="G1798" s="53">
        <f t="shared" si="28"/>
        <v>1.2721697685668893</v>
      </c>
      <c r="H1798" s="35"/>
      <c r="P1798" s="6"/>
    </row>
    <row r="1799" spans="1:16" ht="14.4" x14ac:dyDescent="0.25">
      <c r="A1799" s="6">
        <v>7917</v>
      </c>
      <c r="B1799" s="6">
        <v>56582</v>
      </c>
      <c r="C1799" s="19">
        <v>39976</v>
      </c>
      <c r="D1799" s="6" t="s">
        <v>25</v>
      </c>
      <c r="E1799" s="6">
        <f>IF((ISBLANK($B$1)),"",Sheet1!Q1806)</f>
        <v>5200</v>
      </c>
      <c r="F1799" s="20" t="s">
        <v>29</v>
      </c>
      <c r="G1799" s="53">
        <f t="shared" si="28"/>
        <v>0.71978805948307201</v>
      </c>
      <c r="H1799" s="35"/>
      <c r="P1799" s="6"/>
    </row>
    <row r="1800" spans="1:16" ht="14.4" x14ac:dyDescent="0.25">
      <c r="A1800" s="6">
        <v>7932</v>
      </c>
      <c r="B1800" s="6">
        <v>56677</v>
      </c>
      <c r="C1800" s="19">
        <v>39914</v>
      </c>
      <c r="D1800" s="6" t="s">
        <v>17</v>
      </c>
      <c r="E1800" s="6">
        <f>IF((ISBLANK($B$1)),"",Sheet1!Q1807)</f>
        <v>5150</v>
      </c>
      <c r="F1800" s="20" t="s">
        <v>29</v>
      </c>
      <c r="G1800" s="53">
        <f t="shared" ref="G1800:G1863" si="29">STANDARDIZE(E1800,$L$26,$L$35)</f>
        <v>0.65074034584759488</v>
      </c>
      <c r="H1800" s="35"/>
      <c r="P1800" s="6"/>
    </row>
    <row r="1801" spans="1:16" ht="14.4" x14ac:dyDescent="0.25">
      <c r="A1801" s="6">
        <v>8214</v>
      </c>
      <c r="B1801" s="6">
        <v>58725</v>
      </c>
      <c r="C1801" s="19">
        <v>40318</v>
      </c>
      <c r="D1801" s="6" t="s">
        <v>28</v>
      </c>
      <c r="E1801" s="6">
        <f>IF((ISBLANK($B$1)),"",Sheet1!Q1808)</f>
        <v>4400</v>
      </c>
      <c r="F1801" s="20" t="s">
        <v>26</v>
      </c>
      <c r="G1801" s="53">
        <f t="shared" si="29"/>
        <v>-0.38497535868456267</v>
      </c>
      <c r="H1801" s="35"/>
      <c r="P1801" s="6"/>
    </row>
    <row r="1802" spans="1:16" ht="14.4" x14ac:dyDescent="0.25">
      <c r="A1802" s="6">
        <v>8349</v>
      </c>
      <c r="B1802" s="6">
        <v>59683</v>
      </c>
      <c r="C1802" s="19">
        <v>41195</v>
      </c>
      <c r="D1802" s="6" t="s">
        <v>28</v>
      </c>
      <c r="E1802" s="6">
        <f>IF((ISBLANK($B$1)),"",Sheet1!Q1809)</f>
        <v>5250</v>
      </c>
      <c r="F1802" s="20" t="s">
        <v>26</v>
      </c>
      <c r="G1802" s="53">
        <f t="shared" si="29"/>
        <v>0.78883577311854924</v>
      </c>
      <c r="H1802" s="35"/>
      <c r="P1802" s="6"/>
    </row>
    <row r="1803" spans="1:16" ht="14.4" x14ac:dyDescent="0.25">
      <c r="A1803" s="6">
        <v>133</v>
      </c>
      <c r="B1803" s="6">
        <v>837</v>
      </c>
      <c r="C1803" s="19">
        <v>39978</v>
      </c>
      <c r="D1803" s="6" t="s">
        <v>28</v>
      </c>
      <c r="E1803" s="6">
        <f>IF((ISBLANK($B$1)),"",Sheet1!Q1810)</f>
        <v>3950</v>
      </c>
      <c r="F1803" s="20" t="s">
        <v>26</v>
      </c>
      <c r="G1803" s="53">
        <f t="shared" si="29"/>
        <v>-1.0064047814038573</v>
      </c>
      <c r="H1803" s="35"/>
      <c r="P1803" s="6"/>
    </row>
    <row r="1804" spans="1:16" ht="14.4" x14ac:dyDescent="0.25">
      <c r="A1804" s="6">
        <v>169</v>
      </c>
      <c r="B1804" s="6">
        <v>1059</v>
      </c>
      <c r="C1804" s="19">
        <v>39870</v>
      </c>
      <c r="D1804" s="6" t="s">
        <v>30</v>
      </c>
      <c r="E1804" s="6">
        <f>IF((ISBLANK($B$1)),"",Sheet1!Q1811)</f>
        <v>4500</v>
      </c>
      <c r="F1804" s="20" t="s">
        <v>26</v>
      </c>
      <c r="G1804" s="53">
        <f t="shared" si="29"/>
        <v>-0.24687993141360834</v>
      </c>
      <c r="H1804" s="35"/>
      <c r="P1804" s="6"/>
    </row>
    <row r="1805" spans="1:16" ht="14.4" x14ac:dyDescent="0.25">
      <c r="A1805" s="6">
        <v>170</v>
      </c>
      <c r="B1805" s="6">
        <v>1059</v>
      </c>
      <c r="C1805" s="19">
        <v>39870</v>
      </c>
      <c r="D1805" s="6" t="s">
        <v>30</v>
      </c>
      <c r="E1805" s="6">
        <f>IF((ISBLANK($B$1)),"",Sheet1!Q1812)</f>
        <v>4600</v>
      </c>
      <c r="F1805" s="20" t="s">
        <v>26</v>
      </c>
      <c r="G1805" s="53">
        <f t="shared" si="29"/>
        <v>-0.108784504142654</v>
      </c>
      <c r="H1805" s="35"/>
      <c r="P1805" s="6"/>
    </row>
    <row r="1806" spans="1:16" ht="14.4" x14ac:dyDescent="0.25">
      <c r="A1806" s="6">
        <v>264</v>
      </c>
      <c r="B1806" s="6">
        <v>1826</v>
      </c>
      <c r="C1806" s="19">
        <v>41014</v>
      </c>
      <c r="D1806" s="6" t="s">
        <v>28</v>
      </c>
      <c r="E1806" s="6">
        <f>IF((ISBLANK($B$1)),"",Sheet1!Q1813)</f>
        <v>3650</v>
      </c>
      <c r="F1806" s="20" t="s">
        <v>26</v>
      </c>
      <c r="G1806" s="53">
        <f t="shared" si="29"/>
        <v>-1.4206910632167202</v>
      </c>
      <c r="H1806" s="35"/>
      <c r="P1806" s="6"/>
    </row>
    <row r="1807" spans="1:16" ht="14.4" x14ac:dyDescent="0.25">
      <c r="A1807" s="6">
        <v>288</v>
      </c>
      <c r="B1807" s="6">
        <v>2020</v>
      </c>
      <c r="C1807" s="19">
        <v>40349</v>
      </c>
      <c r="D1807" s="6" t="s">
        <v>16</v>
      </c>
      <c r="E1807" s="6">
        <f>IF((ISBLANK($B$1)),"",Sheet1!Q1814)</f>
        <v>5500</v>
      </c>
      <c r="F1807" s="20" t="s">
        <v>27</v>
      </c>
      <c r="G1807" s="53">
        <f t="shared" si="29"/>
        <v>1.1340743412959351</v>
      </c>
      <c r="H1807" s="35"/>
      <c r="P1807" s="6"/>
    </row>
    <row r="1808" spans="1:16" ht="14.4" x14ac:dyDescent="0.25">
      <c r="A1808" s="6">
        <v>1428</v>
      </c>
      <c r="B1808" s="6">
        <v>10340</v>
      </c>
      <c r="C1808" s="19">
        <v>40716</v>
      </c>
      <c r="D1808" s="6" t="s">
        <v>17</v>
      </c>
      <c r="E1808" s="6">
        <f>IF((ISBLANK($B$1)),"",Sheet1!Q1815)</f>
        <v>4600</v>
      </c>
      <c r="F1808" s="20" t="s">
        <v>29</v>
      </c>
      <c r="G1808" s="53">
        <f t="shared" si="29"/>
        <v>-0.108784504142654</v>
      </c>
      <c r="H1808" s="35"/>
      <c r="P1808" s="6"/>
    </row>
    <row r="1809" spans="1:16" ht="14.4" x14ac:dyDescent="0.25">
      <c r="A1809" s="6">
        <v>1429</v>
      </c>
      <c r="B1809" s="6">
        <v>10340</v>
      </c>
      <c r="C1809" s="19">
        <v>40716</v>
      </c>
      <c r="D1809" s="6" t="s">
        <v>17</v>
      </c>
      <c r="E1809" s="6">
        <f>IF((ISBLANK($B$1)),"",Sheet1!Q1816)</f>
        <v>3500</v>
      </c>
      <c r="F1809" s="20" t="s">
        <v>29</v>
      </c>
      <c r="G1809" s="53">
        <f t="shared" si="29"/>
        <v>-1.6278342041231517</v>
      </c>
      <c r="H1809" s="35"/>
      <c r="P1809" s="6"/>
    </row>
    <row r="1810" spans="1:16" ht="14.4" x14ac:dyDescent="0.25">
      <c r="A1810" s="6">
        <v>1430</v>
      </c>
      <c r="B1810" s="6">
        <v>10340</v>
      </c>
      <c r="C1810" s="19">
        <v>40716</v>
      </c>
      <c r="D1810" s="6" t="s">
        <v>17</v>
      </c>
      <c r="E1810" s="6">
        <f>IF((ISBLANK($B$1)),"",Sheet1!Q1817)</f>
        <v>4150</v>
      </c>
      <c r="F1810" s="20" t="s">
        <v>26</v>
      </c>
      <c r="G1810" s="53">
        <f t="shared" si="29"/>
        <v>-0.73021392686194853</v>
      </c>
      <c r="H1810" s="35"/>
      <c r="P1810" s="6"/>
    </row>
    <row r="1811" spans="1:16" ht="14.4" x14ac:dyDescent="0.25">
      <c r="A1811" s="6">
        <v>1849</v>
      </c>
      <c r="B1811" s="6">
        <v>13313</v>
      </c>
      <c r="C1811" s="19">
        <v>40010</v>
      </c>
      <c r="D1811" s="6" t="s">
        <v>28</v>
      </c>
      <c r="E1811" s="6">
        <f>IF((ISBLANK($B$1)),"",Sheet1!Q1819)</f>
        <v>4300</v>
      </c>
      <c r="F1811" s="20" t="s">
        <v>29</v>
      </c>
      <c r="G1811" s="53">
        <f t="shared" si="29"/>
        <v>-0.52307078595551704</v>
      </c>
      <c r="H1811" s="35"/>
      <c r="P1811" s="6"/>
    </row>
    <row r="1812" spans="1:16" ht="14.4" x14ac:dyDescent="0.25">
      <c r="A1812" s="6">
        <v>1850</v>
      </c>
      <c r="B1812" s="6">
        <v>13313</v>
      </c>
      <c r="C1812" s="19">
        <v>40010</v>
      </c>
      <c r="D1812" s="6" t="s">
        <v>28</v>
      </c>
      <c r="E1812" s="6">
        <f>IF((ISBLANK($B$1)),"",Sheet1!Q1820)</f>
        <v>4500</v>
      </c>
      <c r="F1812" s="20" t="s">
        <v>26</v>
      </c>
      <c r="G1812" s="53">
        <f t="shared" si="29"/>
        <v>-0.24687993141360834</v>
      </c>
      <c r="H1812" s="35"/>
      <c r="P1812" s="6"/>
    </row>
    <row r="1813" spans="1:16" ht="14.4" x14ac:dyDescent="0.25">
      <c r="A1813" s="6">
        <v>1851</v>
      </c>
      <c r="B1813" s="6">
        <v>13313</v>
      </c>
      <c r="C1813" s="19">
        <v>40010</v>
      </c>
      <c r="D1813" s="6" t="s">
        <v>28</v>
      </c>
      <c r="E1813" s="6">
        <f>IF((ISBLANK($B$1)),"",Sheet1!Q1821)</f>
        <v>5650</v>
      </c>
      <c r="F1813" s="20" t="s">
        <v>26</v>
      </c>
      <c r="G1813" s="53">
        <f t="shared" si="29"/>
        <v>1.3412174822023666</v>
      </c>
      <c r="H1813" s="35"/>
      <c r="P1813" s="6"/>
    </row>
    <row r="1814" spans="1:16" ht="14.4" x14ac:dyDescent="0.25">
      <c r="A1814" s="6">
        <v>2182</v>
      </c>
      <c r="B1814" s="6">
        <v>15718</v>
      </c>
      <c r="C1814" s="19">
        <v>39840</v>
      </c>
      <c r="D1814" s="6" t="s">
        <v>30</v>
      </c>
      <c r="E1814" s="6">
        <f>IF((ISBLANK($B$1)),"",Sheet1!Q1822)</f>
        <v>5200</v>
      </c>
      <c r="F1814" s="20" t="s">
        <v>26</v>
      </c>
      <c r="G1814" s="53">
        <f t="shared" si="29"/>
        <v>0.71978805948307201</v>
      </c>
      <c r="H1814" s="35"/>
      <c r="P1814" s="6"/>
    </row>
    <row r="1815" spans="1:16" ht="14.4" x14ac:dyDescent="0.25">
      <c r="A1815" s="6">
        <v>2410</v>
      </c>
      <c r="B1815" s="6">
        <v>17506</v>
      </c>
      <c r="C1815" s="19">
        <v>40237</v>
      </c>
      <c r="D1815" s="6" t="s">
        <v>25</v>
      </c>
      <c r="E1815" s="6">
        <f>IF((ISBLANK($B$1)),"",Sheet1!Q1823)</f>
        <v>5050</v>
      </c>
      <c r="F1815" s="20" t="s">
        <v>26</v>
      </c>
      <c r="G1815" s="53">
        <f t="shared" si="29"/>
        <v>0.51264491857664052</v>
      </c>
      <c r="H1815" s="35"/>
      <c r="P1815" s="6"/>
    </row>
    <row r="1816" spans="1:16" ht="14.4" x14ac:dyDescent="0.25">
      <c r="A1816" s="6">
        <v>2766</v>
      </c>
      <c r="B1816" s="6">
        <v>20003</v>
      </c>
      <c r="C1816" s="19">
        <v>40938</v>
      </c>
      <c r="D1816" s="6" t="s">
        <v>16</v>
      </c>
      <c r="E1816" s="6">
        <f>IF((ISBLANK($B$1)),"",Sheet1!Q1824)</f>
        <v>5350</v>
      </c>
      <c r="F1816" s="20" t="s">
        <v>27</v>
      </c>
      <c r="G1816" s="53">
        <f t="shared" si="29"/>
        <v>0.92693120038950361</v>
      </c>
      <c r="H1816" s="35"/>
      <c r="P1816" s="6"/>
    </row>
    <row r="1817" spans="1:16" ht="14.4" x14ac:dyDescent="0.25">
      <c r="A1817" s="6">
        <v>2882</v>
      </c>
      <c r="B1817" s="6">
        <v>20805</v>
      </c>
      <c r="C1817" s="19">
        <v>40553</v>
      </c>
      <c r="D1817" s="6" t="s">
        <v>17</v>
      </c>
      <c r="E1817" s="6">
        <f>IF((ISBLANK($B$1)),"",Sheet1!Q1825)</f>
        <v>4000</v>
      </c>
      <c r="F1817" s="20" t="s">
        <v>26</v>
      </c>
      <c r="G1817" s="53">
        <f t="shared" si="29"/>
        <v>-0.93735706776838001</v>
      </c>
      <c r="H1817" s="35"/>
      <c r="P1817" s="6"/>
    </row>
    <row r="1818" spans="1:16" ht="14.4" x14ac:dyDescent="0.25">
      <c r="A1818" s="6">
        <v>2883</v>
      </c>
      <c r="B1818" s="6">
        <v>20805</v>
      </c>
      <c r="C1818" s="19">
        <v>40553</v>
      </c>
      <c r="D1818" s="6" t="s">
        <v>17</v>
      </c>
      <c r="E1818" s="6">
        <f>IF((ISBLANK($B$1)),"",Sheet1!Q1826)</f>
        <v>5150</v>
      </c>
      <c r="F1818" s="20" t="s">
        <v>29</v>
      </c>
      <c r="G1818" s="53">
        <f t="shared" si="29"/>
        <v>0.65074034584759488</v>
      </c>
      <c r="H1818" s="35"/>
      <c r="P1818" s="6"/>
    </row>
    <row r="1819" spans="1:16" ht="14.4" x14ac:dyDescent="0.25">
      <c r="A1819" s="6">
        <v>2884</v>
      </c>
      <c r="B1819" s="6">
        <v>20805</v>
      </c>
      <c r="C1819" s="19">
        <v>40553</v>
      </c>
      <c r="D1819" s="6" t="s">
        <v>17</v>
      </c>
      <c r="E1819" s="6">
        <f>IF((ISBLANK($B$1)),"",Sheet1!Q1827)</f>
        <v>3550</v>
      </c>
      <c r="F1819" s="20" t="s">
        <v>26</v>
      </c>
      <c r="G1819" s="53">
        <f t="shared" si="29"/>
        <v>-1.5587864904876745</v>
      </c>
      <c r="H1819" s="35"/>
      <c r="P1819" s="6"/>
    </row>
    <row r="1820" spans="1:16" ht="14.4" x14ac:dyDescent="0.25">
      <c r="A1820" s="6">
        <v>2885</v>
      </c>
      <c r="B1820" s="6">
        <v>20805</v>
      </c>
      <c r="C1820" s="19">
        <v>40553</v>
      </c>
      <c r="D1820" s="6" t="s">
        <v>17</v>
      </c>
      <c r="E1820" s="6">
        <f>IF((ISBLANK($B$1)),"",Sheet1!Q1828)</f>
        <v>4000</v>
      </c>
      <c r="F1820" s="20" t="s">
        <v>26</v>
      </c>
      <c r="G1820" s="53">
        <f t="shared" si="29"/>
        <v>-0.93735706776838001</v>
      </c>
      <c r="H1820" s="35"/>
      <c r="P1820" s="6"/>
    </row>
    <row r="1821" spans="1:16" ht="14.4" x14ac:dyDescent="0.25">
      <c r="A1821" s="6">
        <v>3290</v>
      </c>
      <c r="B1821" s="6">
        <v>23524</v>
      </c>
      <c r="C1821" s="19">
        <v>39931</v>
      </c>
      <c r="D1821" s="6" t="s">
        <v>17</v>
      </c>
      <c r="E1821" s="6">
        <f>IF((ISBLANK($B$1)),"",Sheet1!Q1829)</f>
        <v>4800</v>
      </c>
      <c r="F1821" s="20" t="s">
        <v>26</v>
      </c>
      <c r="G1821" s="53">
        <f t="shared" si="29"/>
        <v>0.16740635039925467</v>
      </c>
      <c r="H1821" s="35"/>
      <c r="P1821" s="6"/>
    </row>
    <row r="1822" spans="1:16" ht="14.4" x14ac:dyDescent="0.25">
      <c r="A1822" s="6">
        <v>3291</v>
      </c>
      <c r="B1822" s="6">
        <v>23524</v>
      </c>
      <c r="C1822" s="19">
        <v>39931</v>
      </c>
      <c r="D1822" s="6" t="s">
        <v>17</v>
      </c>
      <c r="E1822" s="6">
        <f>IF((ISBLANK($B$1)),"",Sheet1!Q1830)</f>
        <v>5700</v>
      </c>
      <c r="F1822" s="20" t="s">
        <v>26</v>
      </c>
      <c r="G1822" s="53">
        <f t="shared" si="29"/>
        <v>1.4102651958378438</v>
      </c>
      <c r="H1822" s="35"/>
      <c r="P1822" s="6"/>
    </row>
    <row r="1823" spans="1:16" ht="14.4" x14ac:dyDescent="0.25">
      <c r="A1823" s="6">
        <v>4201</v>
      </c>
      <c r="B1823" s="6">
        <v>29860</v>
      </c>
      <c r="C1823" s="19">
        <v>40069</v>
      </c>
      <c r="D1823" s="6" t="s">
        <v>30</v>
      </c>
      <c r="E1823" s="6">
        <f>IF((ISBLANK($B$1)),"",Sheet1!Q1831)</f>
        <v>5800</v>
      </c>
      <c r="F1823" s="20" t="s">
        <v>26</v>
      </c>
      <c r="G1823" s="53">
        <f t="shared" si="29"/>
        <v>1.5483606231087981</v>
      </c>
      <c r="H1823" s="35"/>
      <c r="P1823" s="6"/>
    </row>
    <row r="1824" spans="1:16" ht="14.4" x14ac:dyDescent="0.25">
      <c r="A1824" s="6">
        <v>4325</v>
      </c>
      <c r="B1824" s="6">
        <v>30787</v>
      </c>
      <c r="C1824" s="19">
        <v>40813</v>
      </c>
      <c r="D1824" s="6" t="s">
        <v>17</v>
      </c>
      <c r="E1824" s="6">
        <f>IF((ISBLANK($B$1)),"",Sheet1!Q1832)</f>
        <v>5550</v>
      </c>
      <c r="F1824" s="20" t="s">
        <v>27</v>
      </c>
      <c r="G1824" s="53">
        <f t="shared" si="29"/>
        <v>1.2031220549314123</v>
      </c>
      <c r="H1824" s="35"/>
      <c r="P1824" s="6"/>
    </row>
    <row r="1825" spans="1:16" ht="14.4" x14ac:dyDescent="0.25">
      <c r="A1825" s="6">
        <v>5258</v>
      </c>
      <c r="B1825" s="6">
        <v>37440</v>
      </c>
      <c r="C1825" s="19">
        <v>40352</v>
      </c>
      <c r="D1825" s="6" t="s">
        <v>28</v>
      </c>
      <c r="E1825" s="6">
        <f>IF((ISBLANK($B$1)),"",Sheet1!Q1833)</f>
        <v>4950</v>
      </c>
      <c r="F1825" s="20" t="s">
        <v>29</v>
      </c>
      <c r="G1825" s="53">
        <f t="shared" si="29"/>
        <v>0.37454949130568621</v>
      </c>
      <c r="H1825" s="35"/>
      <c r="P1825" s="6"/>
    </row>
    <row r="1826" spans="1:16" ht="14.4" x14ac:dyDescent="0.25">
      <c r="A1826" s="6">
        <v>5633</v>
      </c>
      <c r="B1826" s="6">
        <v>39872</v>
      </c>
      <c r="C1826" s="19">
        <v>40231</v>
      </c>
      <c r="D1826" s="6" t="s">
        <v>30</v>
      </c>
      <c r="E1826" s="6">
        <f>IF((ISBLANK($B$1)),"",Sheet1!Q1834)</f>
        <v>3650</v>
      </c>
      <c r="F1826" s="20" t="s">
        <v>26</v>
      </c>
      <c r="G1826" s="53">
        <f t="shared" si="29"/>
        <v>-1.4206910632167202</v>
      </c>
      <c r="H1826" s="35"/>
      <c r="P1826" s="6"/>
    </row>
    <row r="1827" spans="1:16" ht="14.4" x14ac:dyDescent="0.25">
      <c r="A1827" s="6">
        <v>5646</v>
      </c>
      <c r="B1827" s="6">
        <v>39943</v>
      </c>
      <c r="C1827" s="19">
        <v>41067</v>
      </c>
      <c r="D1827" s="6" t="s">
        <v>17</v>
      </c>
      <c r="E1827" s="6">
        <f>IF((ISBLANK($B$1)),"",Sheet1!Q1835)</f>
        <v>4200</v>
      </c>
      <c r="F1827" s="20" t="s">
        <v>27</v>
      </c>
      <c r="G1827" s="53">
        <f t="shared" si="29"/>
        <v>-0.6611662132264714</v>
      </c>
      <c r="H1827" s="35"/>
      <c r="P1827" s="6"/>
    </row>
    <row r="1828" spans="1:16" ht="14.4" x14ac:dyDescent="0.25">
      <c r="A1828" s="6">
        <v>5647</v>
      </c>
      <c r="B1828" s="6">
        <v>39943</v>
      </c>
      <c r="C1828" s="19">
        <v>41067</v>
      </c>
      <c r="D1828" s="6" t="s">
        <v>17</v>
      </c>
      <c r="E1828" s="6">
        <f>IF((ISBLANK($B$1)),"",Sheet1!Q1836)</f>
        <v>4000</v>
      </c>
      <c r="F1828" s="20" t="s">
        <v>27</v>
      </c>
      <c r="G1828" s="53">
        <f t="shared" si="29"/>
        <v>-0.93735706776838001</v>
      </c>
      <c r="H1828" s="35"/>
      <c r="P1828" s="6"/>
    </row>
    <row r="1829" spans="1:16" ht="14.4" x14ac:dyDescent="0.25">
      <c r="A1829" s="6">
        <v>5985</v>
      </c>
      <c r="B1829" s="6">
        <v>42405</v>
      </c>
      <c r="C1829" s="19">
        <v>40199</v>
      </c>
      <c r="D1829" s="6" t="s">
        <v>17</v>
      </c>
      <c r="E1829" s="6">
        <f>IF((ISBLANK($B$1)),"",Sheet1!Q1837)</f>
        <v>4050</v>
      </c>
      <c r="F1829" s="20" t="s">
        <v>26</v>
      </c>
      <c r="G1829" s="53">
        <f t="shared" si="29"/>
        <v>-0.86830935413290289</v>
      </c>
      <c r="H1829" s="35"/>
      <c r="P1829" s="6"/>
    </row>
    <row r="1830" spans="1:16" ht="14.4" x14ac:dyDescent="0.25">
      <c r="A1830" s="6">
        <v>6631</v>
      </c>
      <c r="B1830" s="6">
        <v>47171</v>
      </c>
      <c r="C1830" s="19">
        <v>40185</v>
      </c>
      <c r="D1830" s="6" t="s">
        <v>16</v>
      </c>
      <c r="E1830" s="6">
        <f>IF((ISBLANK($B$1)),"",Sheet1!Q1838)</f>
        <v>4450</v>
      </c>
      <c r="F1830" s="20" t="s">
        <v>26</v>
      </c>
      <c r="G1830" s="53">
        <f t="shared" si="29"/>
        <v>-0.31592764504908549</v>
      </c>
      <c r="H1830" s="35"/>
      <c r="P1830" s="6"/>
    </row>
    <row r="1831" spans="1:16" ht="14.4" x14ac:dyDescent="0.25">
      <c r="A1831" s="6">
        <v>6632</v>
      </c>
      <c r="B1831" s="6">
        <v>47171</v>
      </c>
      <c r="C1831" s="19">
        <v>40185</v>
      </c>
      <c r="D1831" s="6" t="s">
        <v>16</v>
      </c>
      <c r="E1831" s="6">
        <f>IF((ISBLANK($B$1)),"",Sheet1!Q1839)</f>
        <v>4350</v>
      </c>
      <c r="F1831" s="20" t="s">
        <v>26</v>
      </c>
      <c r="G1831" s="53">
        <f t="shared" si="29"/>
        <v>-0.45402307232003986</v>
      </c>
      <c r="H1831" s="35"/>
      <c r="P1831" s="6"/>
    </row>
    <row r="1832" spans="1:16" ht="14.4" x14ac:dyDescent="0.25">
      <c r="A1832" s="6">
        <v>6633</v>
      </c>
      <c r="B1832" s="6">
        <v>47171</v>
      </c>
      <c r="C1832" s="19">
        <v>40185</v>
      </c>
      <c r="D1832" s="6" t="s">
        <v>16</v>
      </c>
      <c r="E1832" s="6">
        <f>IF((ISBLANK($B$1)),"",Sheet1!Q1840)</f>
        <v>5000</v>
      </c>
      <c r="F1832" s="20" t="s">
        <v>29</v>
      </c>
      <c r="G1832" s="53">
        <f t="shared" si="29"/>
        <v>0.44359720494116334</v>
      </c>
      <c r="H1832" s="35"/>
      <c r="P1832" s="6"/>
    </row>
    <row r="1833" spans="1:16" ht="14.4" x14ac:dyDescent="0.25">
      <c r="A1833" s="6">
        <v>6820</v>
      </c>
      <c r="B1833" s="6">
        <v>48576</v>
      </c>
      <c r="C1833" s="19">
        <v>41244</v>
      </c>
      <c r="D1833" s="6" t="s">
        <v>28</v>
      </c>
      <c r="E1833" s="6">
        <f>IF((ISBLANK($B$1)),"",Sheet1!Q1841)</f>
        <v>4250</v>
      </c>
      <c r="F1833" s="20" t="s">
        <v>26</v>
      </c>
      <c r="G1833" s="53">
        <f t="shared" si="29"/>
        <v>-0.59211849959099416</v>
      </c>
      <c r="H1833" s="35"/>
      <c r="P1833" s="6"/>
    </row>
    <row r="1834" spans="1:16" ht="14.4" x14ac:dyDescent="0.25">
      <c r="A1834" s="6">
        <v>6821</v>
      </c>
      <c r="B1834" s="6">
        <v>48576</v>
      </c>
      <c r="C1834" s="19">
        <v>41244</v>
      </c>
      <c r="D1834" s="6" t="s">
        <v>28</v>
      </c>
      <c r="E1834" s="6">
        <f>IF((ISBLANK($B$1)),"",Sheet1!Q1842)</f>
        <v>5750</v>
      </c>
      <c r="F1834" s="20" t="s">
        <v>26</v>
      </c>
      <c r="G1834" s="53">
        <f t="shared" si="29"/>
        <v>1.4793129094733208</v>
      </c>
      <c r="H1834" s="35"/>
      <c r="P1834" s="6"/>
    </row>
    <row r="1835" spans="1:16" ht="14.4" x14ac:dyDescent="0.25">
      <c r="A1835" s="6">
        <v>7547</v>
      </c>
      <c r="B1835" s="6">
        <v>53984</v>
      </c>
      <c r="C1835" s="19">
        <v>41253</v>
      </c>
      <c r="D1835" s="6" t="s">
        <v>16</v>
      </c>
      <c r="E1835" s="6">
        <f>IF((ISBLANK($B$1)),"",Sheet1!Q1843)</f>
        <v>4550</v>
      </c>
      <c r="F1835" s="20" t="s">
        <v>26</v>
      </c>
      <c r="G1835" s="53">
        <f t="shared" si="29"/>
        <v>-0.17783221777813119</v>
      </c>
      <c r="H1835" s="35"/>
      <c r="P1835" s="6"/>
    </row>
    <row r="1836" spans="1:16" ht="14.4" x14ac:dyDescent="0.25">
      <c r="A1836" s="6">
        <v>18</v>
      </c>
      <c r="B1836" s="6">
        <v>129</v>
      </c>
      <c r="C1836" s="19">
        <v>41231</v>
      </c>
      <c r="D1836" s="6" t="s">
        <v>25</v>
      </c>
      <c r="E1836" s="6">
        <f>IF((ISBLANK($B$1)),"",Sheet1!Q1844)</f>
        <v>3600</v>
      </c>
      <c r="F1836" s="20" t="s">
        <v>26</v>
      </c>
      <c r="G1836" s="53">
        <f t="shared" si="29"/>
        <v>-1.4897387768521975</v>
      </c>
      <c r="H1836" s="35"/>
      <c r="P1836" s="6"/>
    </row>
    <row r="1837" spans="1:16" ht="14.4" x14ac:dyDescent="0.25">
      <c r="A1837" s="6">
        <v>68</v>
      </c>
      <c r="B1837" s="6">
        <v>388</v>
      </c>
      <c r="C1837" s="19">
        <v>41258</v>
      </c>
      <c r="D1837" s="6" t="s">
        <v>28</v>
      </c>
      <c r="E1837" s="6">
        <f>IF((ISBLANK($B$1)),"",Sheet1!Q1845)</f>
        <v>5700</v>
      </c>
      <c r="F1837" s="20" t="s">
        <v>26</v>
      </c>
      <c r="G1837" s="53">
        <f t="shared" si="29"/>
        <v>1.4102651958378438</v>
      </c>
      <c r="H1837" s="35"/>
      <c r="P1837" s="6"/>
    </row>
    <row r="1838" spans="1:16" ht="14.4" x14ac:dyDescent="0.25">
      <c r="A1838" s="6">
        <v>205</v>
      </c>
      <c r="B1838" s="6">
        <v>1345</v>
      </c>
      <c r="C1838" s="19">
        <v>41209</v>
      </c>
      <c r="D1838" s="6" t="s">
        <v>25</v>
      </c>
      <c r="E1838" s="6">
        <f>IF((ISBLANK($B$1)),"",Sheet1!Q1846)</f>
        <v>4600</v>
      </c>
      <c r="F1838" s="20" t="s">
        <v>29</v>
      </c>
      <c r="G1838" s="53">
        <f t="shared" si="29"/>
        <v>-0.108784504142654</v>
      </c>
      <c r="H1838" s="35"/>
      <c r="P1838" s="6"/>
    </row>
    <row r="1839" spans="1:16" ht="14.4" x14ac:dyDescent="0.25">
      <c r="A1839" s="6">
        <v>257</v>
      </c>
      <c r="B1839" s="6">
        <v>1793</v>
      </c>
      <c r="C1839" s="19">
        <v>41101</v>
      </c>
      <c r="D1839" s="6" t="s">
        <v>28</v>
      </c>
      <c r="E1839" s="6">
        <f>IF((ISBLANK($B$1)),"",Sheet1!Q1847)</f>
        <v>5200</v>
      </c>
      <c r="F1839" s="20" t="s">
        <v>26</v>
      </c>
      <c r="G1839" s="53">
        <f t="shared" si="29"/>
        <v>0.71978805948307201</v>
      </c>
      <c r="H1839" s="35"/>
      <c r="P1839" s="6"/>
    </row>
    <row r="1840" spans="1:16" ht="14.4" x14ac:dyDescent="0.25">
      <c r="A1840" s="6">
        <v>316</v>
      </c>
      <c r="B1840" s="6">
        <v>2209</v>
      </c>
      <c r="C1840" s="19">
        <v>41099</v>
      </c>
      <c r="D1840" s="6" t="s">
        <v>17</v>
      </c>
      <c r="E1840" s="6">
        <f>IF((ISBLANK($B$1)),"",Sheet1!Q1848)</f>
        <v>4750</v>
      </c>
      <c r="F1840" s="20" t="s">
        <v>29</v>
      </c>
      <c r="G1840" s="53">
        <f t="shared" si="29"/>
        <v>9.8358636763777513E-2</v>
      </c>
      <c r="H1840" s="35"/>
      <c r="P1840" s="6"/>
    </row>
    <row r="1841" spans="1:16" ht="14.4" x14ac:dyDescent="0.25">
      <c r="A1841" s="6">
        <v>317</v>
      </c>
      <c r="B1841" s="6">
        <v>2209</v>
      </c>
      <c r="C1841" s="19">
        <v>41099</v>
      </c>
      <c r="D1841" s="6" t="s">
        <v>17</v>
      </c>
      <c r="E1841" s="6">
        <f>IF((ISBLANK($B$1)),"",Sheet1!Q1849)</f>
        <v>3450</v>
      </c>
      <c r="F1841" s="20" t="s">
        <v>26</v>
      </c>
      <c r="G1841" s="53">
        <f t="shared" si="29"/>
        <v>-1.696881917758629</v>
      </c>
      <c r="H1841" s="35"/>
      <c r="P1841" s="6"/>
    </row>
    <row r="1842" spans="1:16" ht="14.4" x14ac:dyDescent="0.25">
      <c r="A1842" s="6">
        <v>318</v>
      </c>
      <c r="B1842" s="6">
        <v>2209</v>
      </c>
      <c r="C1842" s="19">
        <v>41099</v>
      </c>
      <c r="D1842" s="6" t="s">
        <v>17</v>
      </c>
      <c r="E1842" s="6">
        <f>IF((ISBLANK($B$1)),"",Sheet1!Q1850)</f>
        <v>5500</v>
      </c>
      <c r="F1842" s="20" t="s">
        <v>26</v>
      </c>
      <c r="G1842" s="53">
        <f t="shared" si="29"/>
        <v>1.1340743412959351</v>
      </c>
      <c r="H1842" s="35"/>
      <c r="P1842" s="6"/>
    </row>
    <row r="1843" spans="1:16" ht="14.4" x14ac:dyDescent="0.25">
      <c r="A1843" s="6">
        <v>319</v>
      </c>
      <c r="B1843" s="6">
        <v>2209</v>
      </c>
      <c r="C1843" s="19">
        <v>41099</v>
      </c>
      <c r="D1843" s="6" t="s">
        <v>17</v>
      </c>
      <c r="E1843" s="6">
        <f>IF((ISBLANK($B$1)),"",Sheet1!Q1851)</f>
        <v>4050</v>
      </c>
      <c r="F1843" s="20" t="s">
        <v>27</v>
      </c>
      <c r="G1843" s="53">
        <f t="shared" si="29"/>
        <v>-0.86830935413290289</v>
      </c>
      <c r="H1843" s="35"/>
      <c r="P1843" s="6"/>
    </row>
    <row r="1844" spans="1:16" ht="14.4" x14ac:dyDescent="0.25">
      <c r="A1844" s="6">
        <v>439</v>
      </c>
      <c r="B1844" s="6">
        <v>2947</v>
      </c>
      <c r="C1844" s="19">
        <v>40658</v>
      </c>
      <c r="D1844" s="6" t="s">
        <v>30</v>
      </c>
      <c r="E1844" s="6">
        <f>IF((ISBLANK($B$1)),"",Sheet1!Q1852)</f>
        <v>3800</v>
      </c>
      <c r="F1844" s="20" t="s">
        <v>26</v>
      </c>
      <c r="G1844" s="53">
        <f t="shared" si="29"/>
        <v>-1.2135479223102887</v>
      </c>
      <c r="H1844" s="35"/>
      <c r="P1844" s="6"/>
    </row>
    <row r="1845" spans="1:16" ht="14.4" x14ac:dyDescent="0.25">
      <c r="A1845" s="6">
        <v>474</v>
      </c>
      <c r="B1845" s="6">
        <v>3271</v>
      </c>
      <c r="C1845" s="19">
        <v>40908</v>
      </c>
      <c r="D1845" s="6" t="s">
        <v>30</v>
      </c>
      <c r="E1845" s="6">
        <f>IF((ISBLANK($B$1)),"",Sheet1!Q1853)</f>
        <v>5650</v>
      </c>
      <c r="F1845" s="20" t="s">
        <v>27</v>
      </c>
      <c r="G1845" s="53">
        <f t="shared" si="29"/>
        <v>1.3412174822023666</v>
      </c>
      <c r="H1845" s="35"/>
      <c r="P1845" s="6"/>
    </row>
    <row r="1846" spans="1:16" ht="14.4" x14ac:dyDescent="0.25">
      <c r="A1846" s="6">
        <v>475</v>
      </c>
      <c r="B1846" s="6">
        <v>3271</v>
      </c>
      <c r="C1846" s="19">
        <v>40908</v>
      </c>
      <c r="D1846" s="6" t="s">
        <v>30</v>
      </c>
      <c r="E1846" s="6">
        <f>IF((ISBLANK($B$1)),"",Sheet1!Q1854)</f>
        <v>4300</v>
      </c>
      <c r="F1846" s="20" t="s">
        <v>26</v>
      </c>
      <c r="G1846" s="53">
        <f t="shared" si="29"/>
        <v>-0.52307078595551704</v>
      </c>
      <c r="H1846" s="35"/>
      <c r="P1846" s="6"/>
    </row>
    <row r="1847" spans="1:16" ht="14.4" x14ac:dyDescent="0.25">
      <c r="A1847" s="6">
        <v>623</v>
      </c>
      <c r="B1847" s="6">
        <v>4321</v>
      </c>
      <c r="C1847" s="19">
        <v>40011</v>
      </c>
      <c r="D1847" s="6" t="s">
        <v>16</v>
      </c>
      <c r="E1847" s="6">
        <f>IF((ISBLANK($B$1)),"",Sheet1!Q1855)</f>
        <v>5750</v>
      </c>
      <c r="F1847" s="20" t="s">
        <v>26</v>
      </c>
      <c r="G1847" s="53">
        <f t="shared" si="29"/>
        <v>1.4793129094733208</v>
      </c>
      <c r="H1847" s="35"/>
      <c r="P1847" s="6"/>
    </row>
    <row r="1848" spans="1:16" ht="14.4" x14ac:dyDescent="0.25">
      <c r="A1848" s="6">
        <v>643</v>
      </c>
      <c r="B1848" s="6">
        <v>4545</v>
      </c>
      <c r="C1848" s="19">
        <v>40194</v>
      </c>
      <c r="D1848" s="6" t="s">
        <v>28</v>
      </c>
      <c r="E1848" s="6">
        <f>IF((ISBLANK($B$1)),"",Sheet1!Q1856)</f>
        <v>5050</v>
      </c>
      <c r="F1848" s="20" t="s">
        <v>26</v>
      </c>
      <c r="G1848" s="53">
        <f t="shared" si="29"/>
        <v>0.51264491857664052</v>
      </c>
      <c r="H1848" s="35"/>
      <c r="P1848" s="6"/>
    </row>
    <row r="1849" spans="1:16" ht="14.4" x14ac:dyDescent="0.25">
      <c r="A1849" s="6">
        <v>644</v>
      </c>
      <c r="B1849" s="6">
        <v>4545</v>
      </c>
      <c r="C1849" s="19">
        <v>40194</v>
      </c>
      <c r="D1849" s="6" t="s">
        <v>28</v>
      </c>
      <c r="E1849" s="6">
        <f>IF((ISBLANK($B$1)),"",Sheet1!Q1857)</f>
        <v>3600</v>
      </c>
      <c r="F1849" s="20" t="s">
        <v>26</v>
      </c>
      <c r="G1849" s="53">
        <f t="shared" si="29"/>
        <v>-1.4897387768521975</v>
      </c>
      <c r="H1849" s="35"/>
      <c r="P1849" s="6"/>
    </row>
    <row r="1850" spans="1:16" ht="14.4" x14ac:dyDescent="0.25">
      <c r="A1850" s="6">
        <v>783</v>
      </c>
      <c r="B1850" s="6">
        <v>5572</v>
      </c>
      <c r="C1850" s="19">
        <v>40010</v>
      </c>
      <c r="D1850" s="6" t="s">
        <v>17</v>
      </c>
      <c r="E1850" s="6">
        <f>IF((ISBLANK($B$1)),"",Sheet1!Q1858)</f>
        <v>5250</v>
      </c>
      <c r="F1850" s="20" t="s">
        <v>27</v>
      </c>
      <c r="G1850" s="53">
        <f t="shared" si="29"/>
        <v>0.78883577311854924</v>
      </c>
      <c r="H1850" s="35"/>
      <c r="P1850" s="6"/>
    </row>
    <row r="1851" spans="1:16" ht="14.4" x14ac:dyDescent="0.25">
      <c r="A1851" s="6">
        <v>800</v>
      </c>
      <c r="B1851" s="6">
        <v>5703</v>
      </c>
      <c r="C1851" s="19">
        <v>40313</v>
      </c>
      <c r="D1851" s="6" t="s">
        <v>16</v>
      </c>
      <c r="E1851" s="6">
        <f>IF((ISBLANK($B$1)),"",Sheet1!Q1859)</f>
        <v>4850</v>
      </c>
      <c r="F1851" s="20" t="s">
        <v>26</v>
      </c>
      <c r="G1851" s="53">
        <f t="shared" si="29"/>
        <v>0.23645406403473185</v>
      </c>
      <c r="H1851" s="35"/>
      <c r="P1851" s="6"/>
    </row>
    <row r="1852" spans="1:16" ht="14.4" x14ac:dyDescent="0.25">
      <c r="A1852" s="6">
        <v>819</v>
      </c>
      <c r="B1852" s="6">
        <v>5920</v>
      </c>
      <c r="C1852" s="19">
        <v>40136</v>
      </c>
      <c r="D1852" s="6" t="s">
        <v>17</v>
      </c>
      <c r="E1852" s="6">
        <f>IF((ISBLANK($B$1)),"",Sheet1!Q1860)</f>
        <v>3600</v>
      </c>
      <c r="F1852" s="20" t="s">
        <v>26</v>
      </c>
      <c r="G1852" s="53">
        <f t="shared" si="29"/>
        <v>-1.4897387768521975</v>
      </c>
      <c r="H1852" s="35"/>
      <c r="P1852" s="6"/>
    </row>
    <row r="1853" spans="1:16" ht="14.4" x14ac:dyDescent="0.25">
      <c r="A1853" s="6">
        <v>880</v>
      </c>
      <c r="B1853" s="6">
        <v>6311</v>
      </c>
      <c r="C1853" s="19">
        <v>40219</v>
      </c>
      <c r="D1853" s="6" t="s">
        <v>16</v>
      </c>
      <c r="E1853" s="6">
        <f>IF((ISBLANK($B$1)),"",Sheet1!Q1861)</f>
        <v>4300</v>
      </c>
      <c r="F1853" s="20" t="s">
        <v>27</v>
      </c>
      <c r="G1853" s="53">
        <f t="shared" si="29"/>
        <v>-0.52307078595551704</v>
      </c>
      <c r="H1853" s="35"/>
      <c r="P1853" s="6"/>
    </row>
    <row r="1854" spans="1:16" ht="14.4" x14ac:dyDescent="0.25">
      <c r="A1854" s="6">
        <v>1125</v>
      </c>
      <c r="B1854" s="6">
        <v>8231</v>
      </c>
      <c r="C1854" s="19">
        <v>41200</v>
      </c>
      <c r="D1854" s="6" t="s">
        <v>30</v>
      </c>
      <c r="E1854" s="6">
        <f>IF((ISBLANK($B$1)),"",Sheet1!Q1862)</f>
        <v>4750</v>
      </c>
      <c r="F1854" s="20" t="s">
        <v>26</v>
      </c>
      <c r="G1854" s="53">
        <f t="shared" si="29"/>
        <v>9.8358636763777513E-2</v>
      </c>
      <c r="H1854" s="35"/>
      <c r="P1854" s="6"/>
    </row>
    <row r="1855" spans="1:16" ht="14.4" x14ac:dyDescent="0.25">
      <c r="A1855" s="6">
        <v>1126</v>
      </c>
      <c r="B1855" s="6">
        <v>8231</v>
      </c>
      <c r="C1855" s="19">
        <v>41200</v>
      </c>
      <c r="D1855" s="6" t="s">
        <v>30</v>
      </c>
      <c r="E1855" s="6">
        <f>IF((ISBLANK($B$1)),"",Sheet1!Q1863)</f>
        <v>3650</v>
      </c>
      <c r="F1855" s="20" t="s">
        <v>29</v>
      </c>
      <c r="G1855" s="53">
        <f t="shared" si="29"/>
        <v>-1.4206910632167202</v>
      </c>
      <c r="H1855" s="35"/>
      <c r="P1855" s="6"/>
    </row>
    <row r="1856" spans="1:16" ht="14.4" x14ac:dyDescent="0.25">
      <c r="A1856" s="6">
        <v>1191</v>
      </c>
      <c r="B1856" s="6">
        <v>8709</v>
      </c>
      <c r="C1856" s="19">
        <v>39880</v>
      </c>
      <c r="D1856" s="6" t="s">
        <v>17</v>
      </c>
      <c r="E1856" s="6">
        <f>IF((ISBLANK($B$1)),"",Sheet1!Q1864)</f>
        <v>5900</v>
      </c>
      <c r="F1856" s="20" t="s">
        <v>27</v>
      </c>
      <c r="G1856" s="53">
        <f t="shared" si="29"/>
        <v>1.6864560503797523</v>
      </c>
      <c r="H1856" s="35"/>
      <c r="P1856" s="6"/>
    </row>
    <row r="1857" spans="1:16" ht="14.4" x14ac:dyDescent="0.25">
      <c r="A1857" s="6">
        <v>1192</v>
      </c>
      <c r="B1857" s="6">
        <v>8709</v>
      </c>
      <c r="C1857" s="19">
        <v>39880</v>
      </c>
      <c r="D1857" s="6" t="s">
        <v>17</v>
      </c>
      <c r="E1857" s="6">
        <f>IF((ISBLANK($B$1)),"",Sheet1!Q1865)</f>
        <v>3950</v>
      </c>
      <c r="F1857" s="20" t="s">
        <v>27</v>
      </c>
      <c r="G1857" s="53">
        <f t="shared" si="29"/>
        <v>-1.0064047814038573</v>
      </c>
      <c r="H1857" s="35"/>
      <c r="P1857" s="6"/>
    </row>
    <row r="1858" spans="1:16" ht="14.4" x14ac:dyDescent="0.25">
      <c r="A1858" s="6">
        <v>1338</v>
      </c>
      <c r="B1858" s="6">
        <v>9765</v>
      </c>
      <c r="C1858" s="19">
        <v>41194</v>
      </c>
      <c r="D1858" s="6" t="s">
        <v>25</v>
      </c>
      <c r="E1858" s="6">
        <f>IF((ISBLANK($B$1)),"",Sheet1!Q1866)</f>
        <v>4700</v>
      </c>
      <c r="F1858" s="20" t="s">
        <v>29</v>
      </c>
      <c r="G1858" s="53">
        <f t="shared" si="29"/>
        <v>2.9310923128300338E-2</v>
      </c>
      <c r="H1858" s="35"/>
      <c r="P1858" s="6"/>
    </row>
    <row r="1859" spans="1:16" ht="14.4" x14ac:dyDescent="0.25">
      <c r="A1859" s="6">
        <v>1399</v>
      </c>
      <c r="B1859" s="6">
        <v>10147</v>
      </c>
      <c r="C1859" s="19">
        <v>40460</v>
      </c>
      <c r="D1859" s="6" t="s">
        <v>17</v>
      </c>
      <c r="E1859" s="6">
        <f>IF((ISBLANK($B$1)),"",Sheet1!Q1867)</f>
        <v>4500</v>
      </c>
      <c r="F1859" s="20" t="s">
        <v>26</v>
      </c>
      <c r="G1859" s="53">
        <f t="shared" si="29"/>
        <v>-0.24687993141360834</v>
      </c>
      <c r="H1859" s="35"/>
      <c r="P1859" s="6"/>
    </row>
    <row r="1860" spans="1:16" ht="14.4" x14ac:dyDescent="0.25">
      <c r="A1860" s="6">
        <v>1645</v>
      </c>
      <c r="B1860" s="6">
        <v>11876</v>
      </c>
      <c r="C1860" s="19">
        <v>40727</v>
      </c>
      <c r="D1860" s="6" t="s">
        <v>17</v>
      </c>
      <c r="E1860" s="6">
        <f>IF((ISBLANK($B$1)),"",Sheet1!Q1868)</f>
        <v>5750</v>
      </c>
      <c r="F1860" s="20" t="s">
        <v>29</v>
      </c>
      <c r="G1860" s="53">
        <f t="shared" si="29"/>
        <v>1.4793129094733208</v>
      </c>
      <c r="H1860" s="35"/>
      <c r="P1860" s="6"/>
    </row>
    <row r="1861" spans="1:16" ht="14.4" x14ac:dyDescent="0.25">
      <c r="A1861" s="6">
        <v>1692</v>
      </c>
      <c r="B1861" s="6">
        <v>12224</v>
      </c>
      <c r="C1861" s="19">
        <v>40159</v>
      </c>
      <c r="D1861" s="6" t="s">
        <v>17</v>
      </c>
      <c r="E1861" s="6">
        <f>IF((ISBLANK($B$1)),"",Sheet1!Q1869)</f>
        <v>3500</v>
      </c>
      <c r="F1861" s="20" t="s">
        <v>29</v>
      </c>
      <c r="G1861" s="53">
        <f t="shared" si="29"/>
        <v>-1.6278342041231517</v>
      </c>
      <c r="H1861" s="35"/>
      <c r="P1861" s="6"/>
    </row>
    <row r="1862" spans="1:16" ht="14.4" x14ac:dyDescent="0.25">
      <c r="A1862" s="6">
        <v>1693</v>
      </c>
      <c r="B1862" s="6">
        <v>12224</v>
      </c>
      <c r="C1862" s="19">
        <v>40159</v>
      </c>
      <c r="D1862" s="6" t="s">
        <v>17</v>
      </c>
      <c r="E1862" s="6">
        <f>IF((ISBLANK($B$1)),"",Sheet1!Q1870)</f>
        <v>4850</v>
      </c>
      <c r="F1862" s="20" t="s">
        <v>27</v>
      </c>
      <c r="G1862" s="53">
        <f t="shared" si="29"/>
        <v>0.23645406403473185</v>
      </c>
      <c r="H1862" s="35"/>
      <c r="P1862" s="6"/>
    </row>
    <row r="1863" spans="1:16" ht="14.4" x14ac:dyDescent="0.25">
      <c r="A1863" s="6">
        <v>1696</v>
      </c>
      <c r="B1863" s="6">
        <v>12256</v>
      </c>
      <c r="C1863" s="19">
        <v>41261</v>
      </c>
      <c r="D1863" s="6" t="s">
        <v>16</v>
      </c>
      <c r="E1863" s="6">
        <f>IF((ISBLANK($B$1)),"",Sheet1!Q1871)</f>
        <v>5600</v>
      </c>
      <c r="F1863" s="20" t="s">
        <v>26</v>
      </c>
      <c r="G1863" s="53">
        <f t="shared" si="29"/>
        <v>1.2721697685668893</v>
      </c>
      <c r="H1863" s="35"/>
      <c r="P1863" s="6"/>
    </row>
    <row r="1864" spans="1:16" ht="14.4" x14ac:dyDescent="0.25">
      <c r="A1864" s="6">
        <v>1703</v>
      </c>
      <c r="B1864" s="6">
        <v>12261</v>
      </c>
      <c r="C1864" s="19">
        <v>40474</v>
      </c>
      <c r="D1864" s="6" t="s">
        <v>25</v>
      </c>
      <c r="E1864" s="6">
        <f>IF((ISBLANK($B$1)),"",Sheet1!Q1872)</f>
        <v>4000</v>
      </c>
      <c r="F1864" s="20" t="s">
        <v>29</v>
      </c>
      <c r="G1864" s="53">
        <f t="shared" ref="G1864:G1927" si="30">STANDARDIZE(E1864,$L$26,$L$35)</f>
        <v>-0.93735706776838001</v>
      </c>
      <c r="H1864" s="35"/>
      <c r="P1864" s="6"/>
    </row>
    <row r="1865" spans="1:16" ht="14.4" x14ac:dyDescent="0.25">
      <c r="A1865" s="6">
        <v>1704</v>
      </c>
      <c r="B1865" s="6">
        <v>12261</v>
      </c>
      <c r="C1865" s="19">
        <v>40474</v>
      </c>
      <c r="D1865" s="6" t="s">
        <v>25</v>
      </c>
      <c r="E1865" s="6">
        <f>IF((ISBLANK($B$1)),"",Sheet1!Q1873)</f>
        <v>3600</v>
      </c>
      <c r="F1865" s="20" t="s">
        <v>26</v>
      </c>
      <c r="G1865" s="53">
        <f t="shared" si="30"/>
        <v>-1.4897387768521975</v>
      </c>
      <c r="H1865" s="35"/>
      <c r="P1865" s="6"/>
    </row>
    <row r="1866" spans="1:16" ht="14.4" x14ac:dyDescent="0.25">
      <c r="A1866" s="6">
        <v>1705</v>
      </c>
      <c r="B1866" s="6">
        <v>12261</v>
      </c>
      <c r="C1866" s="19">
        <v>40474</v>
      </c>
      <c r="D1866" s="6" t="s">
        <v>25</v>
      </c>
      <c r="E1866" s="6">
        <f>IF((ISBLANK($B$1)),"",Sheet1!Q1874)</f>
        <v>4350</v>
      </c>
      <c r="F1866" s="20" t="s">
        <v>26</v>
      </c>
      <c r="G1866" s="53">
        <f t="shared" si="30"/>
        <v>-0.45402307232003986</v>
      </c>
      <c r="H1866" s="35"/>
      <c r="P1866" s="6"/>
    </row>
    <row r="1867" spans="1:16" ht="14.4" x14ac:dyDescent="0.25">
      <c r="A1867" s="6">
        <v>1706</v>
      </c>
      <c r="B1867" s="6">
        <v>12261</v>
      </c>
      <c r="C1867" s="19">
        <v>40474</v>
      </c>
      <c r="D1867" s="6" t="s">
        <v>25</v>
      </c>
      <c r="E1867" s="6">
        <f>IF((ISBLANK($B$1)),"",Sheet1!Q1875)</f>
        <v>4550</v>
      </c>
      <c r="F1867" s="20" t="s">
        <v>26</v>
      </c>
      <c r="G1867" s="53">
        <f t="shared" si="30"/>
        <v>-0.17783221777813119</v>
      </c>
      <c r="H1867" s="35"/>
      <c r="P1867" s="6"/>
    </row>
    <row r="1868" spans="1:16" ht="14.4" x14ac:dyDescent="0.25">
      <c r="A1868" s="6">
        <v>1707</v>
      </c>
      <c r="B1868" s="6">
        <v>12261</v>
      </c>
      <c r="C1868" s="19">
        <v>40474</v>
      </c>
      <c r="D1868" s="6" t="s">
        <v>25</v>
      </c>
      <c r="E1868" s="6">
        <f>IF((ISBLANK($B$1)),"",Sheet1!Q1876)</f>
        <v>4150</v>
      </c>
      <c r="F1868" s="20" t="s">
        <v>26</v>
      </c>
      <c r="G1868" s="53">
        <f t="shared" si="30"/>
        <v>-0.73021392686194853</v>
      </c>
      <c r="H1868" s="35"/>
      <c r="P1868" s="6"/>
    </row>
    <row r="1869" spans="1:16" ht="14.4" x14ac:dyDescent="0.25">
      <c r="A1869" s="6">
        <v>1863</v>
      </c>
      <c r="B1869" s="6">
        <v>13408</v>
      </c>
      <c r="C1869" s="19">
        <v>39858</v>
      </c>
      <c r="D1869" s="6" t="s">
        <v>25</v>
      </c>
      <c r="E1869" s="6">
        <f>IF((ISBLANK($B$1)),"",Sheet1!Q1877)</f>
        <v>3600</v>
      </c>
      <c r="F1869" s="20" t="s">
        <v>29</v>
      </c>
      <c r="G1869" s="53">
        <f t="shared" si="30"/>
        <v>-1.4897387768521975</v>
      </c>
      <c r="H1869" s="35"/>
      <c r="P1869" s="6"/>
    </row>
    <row r="1870" spans="1:16" ht="14.4" x14ac:dyDescent="0.25">
      <c r="A1870" s="6">
        <v>1868</v>
      </c>
      <c r="B1870" s="6">
        <v>13444</v>
      </c>
      <c r="C1870" s="19">
        <v>40913</v>
      </c>
      <c r="D1870" s="6" t="s">
        <v>17</v>
      </c>
      <c r="E1870" s="6">
        <f>IF((ISBLANK($B$1)),"",Sheet1!Q1878)</f>
        <v>5050</v>
      </c>
      <c r="F1870" s="20" t="s">
        <v>26</v>
      </c>
      <c r="G1870" s="53">
        <f t="shared" si="30"/>
        <v>0.51264491857664052</v>
      </c>
      <c r="H1870" s="35"/>
      <c r="P1870" s="6"/>
    </row>
    <row r="1871" spans="1:16" ht="14.4" x14ac:dyDescent="0.25">
      <c r="A1871" s="6">
        <v>1893</v>
      </c>
      <c r="B1871" s="6">
        <v>13601</v>
      </c>
      <c r="C1871" s="19">
        <v>41137</v>
      </c>
      <c r="D1871" s="6" t="s">
        <v>25</v>
      </c>
      <c r="E1871" s="6">
        <f>IF((ISBLANK($B$1)),"",Sheet1!Q1879)</f>
        <v>4250</v>
      </c>
      <c r="F1871" s="20" t="s">
        <v>26</v>
      </c>
      <c r="G1871" s="53">
        <f t="shared" si="30"/>
        <v>-0.59211849959099416</v>
      </c>
      <c r="H1871" s="35"/>
      <c r="P1871" s="6"/>
    </row>
    <row r="1872" spans="1:16" ht="14.4" x14ac:dyDescent="0.25">
      <c r="A1872" s="6">
        <v>1938</v>
      </c>
      <c r="B1872" s="6">
        <v>13894</v>
      </c>
      <c r="C1872" s="19">
        <v>41009</v>
      </c>
      <c r="D1872" s="6" t="s">
        <v>16</v>
      </c>
      <c r="E1872" s="6">
        <f>IF((ISBLANK($B$1)),"",Sheet1!Q1880)</f>
        <v>4950</v>
      </c>
      <c r="F1872" s="20" t="s">
        <v>26</v>
      </c>
      <c r="G1872" s="53">
        <f t="shared" si="30"/>
        <v>0.37454949130568621</v>
      </c>
      <c r="H1872" s="35"/>
      <c r="P1872" s="6"/>
    </row>
    <row r="1873" spans="1:16" ht="14.4" x14ac:dyDescent="0.25">
      <c r="A1873" s="6">
        <v>1939</v>
      </c>
      <c r="B1873" s="6">
        <v>13894</v>
      </c>
      <c r="C1873" s="19">
        <v>41009</v>
      </c>
      <c r="D1873" s="6" t="s">
        <v>16</v>
      </c>
      <c r="E1873" s="6">
        <f>IF((ISBLANK($B$1)),"",Sheet1!Q1881)</f>
        <v>5900</v>
      </c>
      <c r="F1873" s="20" t="s">
        <v>27</v>
      </c>
      <c r="G1873" s="53">
        <f t="shared" si="30"/>
        <v>1.6864560503797523</v>
      </c>
      <c r="H1873" s="35"/>
      <c r="P1873" s="6"/>
    </row>
    <row r="1874" spans="1:16" ht="14.4" x14ac:dyDescent="0.25">
      <c r="A1874" s="6">
        <v>2286</v>
      </c>
      <c r="B1874" s="6">
        <v>16480</v>
      </c>
      <c r="C1874" s="19">
        <v>40153</v>
      </c>
      <c r="D1874" s="6" t="s">
        <v>28</v>
      </c>
      <c r="E1874" s="6">
        <f>IF((ISBLANK($B$1)),"",Sheet1!Q1882)</f>
        <v>4100</v>
      </c>
      <c r="F1874" s="20" t="s">
        <v>26</v>
      </c>
      <c r="G1874" s="53">
        <f t="shared" si="30"/>
        <v>-0.79926164049742576</v>
      </c>
      <c r="H1874" s="35"/>
      <c r="P1874" s="6"/>
    </row>
    <row r="1875" spans="1:16" ht="14.4" x14ac:dyDescent="0.25">
      <c r="A1875" s="6">
        <v>2455</v>
      </c>
      <c r="B1875" s="6">
        <v>17858</v>
      </c>
      <c r="C1875" s="19">
        <v>40446</v>
      </c>
      <c r="D1875" s="6" t="s">
        <v>16</v>
      </c>
      <c r="E1875" s="6">
        <f>IF((ISBLANK($B$1)),"",Sheet1!Q1883)</f>
        <v>4450</v>
      </c>
      <c r="F1875" s="20" t="s">
        <v>27</v>
      </c>
      <c r="G1875" s="53">
        <f t="shared" si="30"/>
        <v>-0.31592764504908549</v>
      </c>
      <c r="H1875" s="35"/>
      <c r="P1875" s="6"/>
    </row>
    <row r="1876" spans="1:16" ht="14.4" x14ac:dyDescent="0.25">
      <c r="A1876" s="6">
        <v>2456</v>
      </c>
      <c r="B1876" s="6">
        <v>17858</v>
      </c>
      <c r="C1876" s="19">
        <v>40446</v>
      </c>
      <c r="D1876" s="6" t="s">
        <v>16</v>
      </c>
      <c r="E1876" s="6">
        <f>IF((ISBLANK($B$1)),"",Sheet1!Q1884)</f>
        <v>4000</v>
      </c>
      <c r="F1876" s="20" t="s">
        <v>27</v>
      </c>
      <c r="G1876" s="53">
        <f t="shared" si="30"/>
        <v>-0.93735706776838001</v>
      </c>
      <c r="H1876" s="35"/>
      <c r="P1876" s="6"/>
    </row>
    <row r="1877" spans="1:16" ht="14.4" x14ac:dyDescent="0.25">
      <c r="A1877" s="6">
        <v>2457</v>
      </c>
      <c r="B1877" s="6">
        <v>17858</v>
      </c>
      <c r="C1877" s="19">
        <v>40446</v>
      </c>
      <c r="D1877" s="6" t="s">
        <v>16</v>
      </c>
      <c r="E1877" s="6">
        <f>IF((ISBLANK($B$1)),"",Sheet1!Q1885)</f>
        <v>5700</v>
      </c>
      <c r="F1877" s="20" t="s">
        <v>29</v>
      </c>
      <c r="G1877" s="53">
        <f t="shared" si="30"/>
        <v>1.4102651958378438</v>
      </c>
      <c r="H1877" s="35"/>
      <c r="P1877" s="6"/>
    </row>
    <row r="1878" spans="1:16" ht="14.4" x14ac:dyDescent="0.25">
      <c r="A1878" s="6">
        <v>2571</v>
      </c>
      <c r="B1878" s="6">
        <v>18561</v>
      </c>
      <c r="C1878" s="19">
        <v>39822</v>
      </c>
      <c r="D1878" s="6" t="s">
        <v>28</v>
      </c>
      <c r="E1878" s="6">
        <f>IF((ISBLANK($B$1)),"",Sheet1!Q1886)</f>
        <v>3850</v>
      </c>
      <c r="F1878" s="20" t="s">
        <v>26</v>
      </c>
      <c r="G1878" s="53">
        <f t="shared" si="30"/>
        <v>-1.1445002086748115</v>
      </c>
      <c r="H1878" s="35"/>
      <c r="P1878" s="6"/>
    </row>
    <row r="1879" spans="1:16" ht="14.4" x14ac:dyDescent="0.25">
      <c r="A1879" s="6">
        <v>2739</v>
      </c>
      <c r="B1879" s="6">
        <v>19777</v>
      </c>
      <c r="C1879" s="19">
        <v>41201</v>
      </c>
      <c r="D1879" s="6" t="s">
        <v>28</v>
      </c>
      <c r="E1879" s="6">
        <f>IF((ISBLANK($B$1)),"",Sheet1!Q1887)</f>
        <v>4500</v>
      </c>
      <c r="F1879" s="20" t="s">
        <v>26</v>
      </c>
      <c r="G1879" s="53">
        <f t="shared" si="30"/>
        <v>-0.24687993141360834</v>
      </c>
      <c r="H1879" s="35"/>
      <c r="P1879" s="6"/>
    </row>
    <row r="1880" spans="1:16" ht="14.4" x14ac:dyDescent="0.25">
      <c r="A1880" s="6">
        <v>2740</v>
      </c>
      <c r="B1880" s="6">
        <v>19777</v>
      </c>
      <c r="C1880" s="19">
        <v>41201</v>
      </c>
      <c r="D1880" s="6" t="s">
        <v>28</v>
      </c>
      <c r="E1880" s="6">
        <f>IF((ISBLANK($B$1)),"",Sheet1!Q1888)</f>
        <v>3500</v>
      </c>
      <c r="F1880" s="20" t="s">
        <v>26</v>
      </c>
      <c r="G1880" s="53">
        <f t="shared" si="30"/>
        <v>-1.6278342041231517</v>
      </c>
      <c r="H1880" s="35"/>
      <c r="P1880" s="6"/>
    </row>
    <row r="1881" spans="1:16" ht="14.4" x14ac:dyDescent="0.25">
      <c r="A1881" s="6">
        <v>2741</v>
      </c>
      <c r="B1881" s="6">
        <v>19777</v>
      </c>
      <c r="C1881" s="19">
        <v>41201</v>
      </c>
      <c r="D1881" s="6" t="s">
        <v>28</v>
      </c>
      <c r="E1881" s="6">
        <f>IF((ISBLANK($B$1)),"",Sheet1!Q1889)</f>
        <v>4600</v>
      </c>
      <c r="F1881" s="20" t="s">
        <v>27</v>
      </c>
      <c r="G1881" s="53">
        <f t="shared" si="30"/>
        <v>-0.108784504142654</v>
      </c>
      <c r="H1881" s="35"/>
      <c r="P1881" s="6"/>
    </row>
    <row r="1882" spans="1:16" ht="14.4" x14ac:dyDescent="0.25">
      <c r="A1882" s="6">
        <v>2992</v>
      </c>
      <c r="B1882" s="6">
        <v>21601</v>
      </c>
      <c r="C1882" s="19">
        <v>40639</v>
      </c>
      <c r="D1882" s="6" t="s">
        <v>25</v>
      </c>
      <c r="E1882" s="6">
        <f>IF((ISBLANK($B$1)),"",Sheet1!Q1890)</f>
        <v>4400</v>
      </c>
      <c r="F1882" s="20" t="s">
        <v>26</v>
      </c>
      <c r="G1882" s="53">
        <f t="shared" si="30"/>
        <v>-0.38497535868456267</v>
      </c>
      <c r="H1882" s="35"/>
      <c r="P1882" s="6"/>
    </row>
    <row r="1883" spans="1:16" ht="14.4" x14ac:dyDescent="0.25">
      <c r="A1883" s="6">
        <v>3013</v>
      </c>
      <c r="B1883" s="6">
        <v>21670</v>
      </c>
      <c r="C1883" s="19">
        <v>40554</v>
      </c>
      <c r="D1883" s="6" t="s">
        <v>17</v>
      </c>
      <c r="E1883" s="6">
        <f>IF((ISBLANK($B$1)),"",Sheet1!Q1891)</f>
        <v>4600</v>
      </c>
      <c r="F1883" s="20" t="s">
        <v>29</v>
      </c>
      <c r="G1883" s="53">
        <f t="shared" si="30"/>
        <v>-0.108784504142654</v>
      </c>
      <c r="H1883" s="35"/>
      <c r="P1883" s="6"/>
    </row>
    <row r="1884" spans="1:16" ht="14.4" x14ac:dyDescent="0.25">
      <c r="A1884" s="6">
        <v>3285</v>
      </c>
      <c r="B1884" s="6">
        <v>23489</v>
      </c>
      <c r="C1884" s="19">
        <v>41149</v>
      </c>
      <c r="D1884" s="6" t="s">
        <v>17</v>
      </c>
      <c r="E1884" s="6">
        <f>IF((ISBLANK($B$1)),"",Sheet1!Q1892)</f>
        <v>5500</v>
      </c>
      <c r="F1884" s="20" t="s">
        <v>27</v>
      </c>
      <c r="G1884" s="53">
        <f t="shared" si="30"/>
        <v>1.1340743412959351</v>
      </c>
      <c r="H1884" s="35"/>
      <c r="P1884" s="6"/>
    </row>
    <row r="1885" spans="1:16" ht="14.4" x14ac:dyDescent="0.25">
      <c r="A1885" s="6">
        <v>3432</v>
      </c>
      <c r="B1885" s="6">
        <v>24486</v>
      </c>
      <c r="C1885" s="19">
        <v>40655</v>
      </c>
      <c r="D1885" s="6" t="s">
        <v>16</v>
      </c>
      <c r="E1885" s="6">
        <f>IF((ISBLANK($B$1)),"",Sheet1!Q1893)</f>
        <v>3550</v>
      </c>
      <c r="F1885" s="20" t="s">
        <v>27</v>
      </c>
      <c r="G1885" s="53">
        <f t="shared" si="30"/>
        <v>-1.5587864904876745</v>
      </c>
      <c r="H1885" s="35"/>
      <c r="P1885" s="6"/>
    </row>
    <row r="1886" spans="1:16" ht="14.4" x14ac:dyDescent="0.25">
      <c r="A1886" s="6">
        <v>3433</v>
      </c>
      <c r="B1886" s="6">
        <v>24486</v>
      </c>
      <c r="C1886" s="19">
        <v>40655</v>
      </c>
      <c r="D1886" s="6" t="s">
        <v>16</v>
      </c>
      <c r="E1886" s="6">
        <f>IF((ISBLANK($B$1)),"",Sheet1!Q1894)</f>
        <v>4100</v>
      </c>
      <c r="F1886" s="20" t="s">
        <v>26</v>
      </c>
      <c r="G1886" s="53">
        <f t="shared" si="30"/>
        <v>-0.79926164049742576</v>
      </c>
      <c r="H1886" s="35"/>
      <c r="P1886" s="6"/>
    </row>
    <row r="1887" spans="1:16" ht="14.4" x14ac:dyDescent="0.25">
      <c r="A1887" s="6">
        <v>3490</v>
      </c>
      <c r="B1887" s="6">
        <v>24869</v>
      </c>
      <c r="C1887" s="19">
        <v>39974</v>
      </c>
      <c r="D1887" s="6" t="s">
        <v>28</v>
      </c>
      <c r="E1887" s="6">
        <f>IF((ISBLANK($B$1)),"",Sheet1!Q1895)</f>
        <v>4100</v>
      </c>
      <c r="F1887" s="20" t="s">
        <v>26</v>
      </c>
      <c r="G1887" s="53">
        <f t="shared" si="30"/>
        <v>-0.79926164049742576</v>
      </c>
      <c r="H1887" s="35"/>
      <c r="P1887" s="6"/>
    </row>
    <row r="1888" spans="1:16" ht="14.4" x14ac:dyDescent="0.25">
      <c r="A1888" s="6">
        <v>3601</v>
      </c>
      <c r="B1888" s="6">
        <v>25697</v>
      </c>
      <c r="C1888" s="19">
        <v>40659</v>
      </c>
      <c r="D1888" s="6" t="s">
        <v>25</v>
      </c>
      <c r="E1888" s="6">
        <f>IF((ISBLANK($B$1)),"",Sheet1!Q1896)</f>
        <v>5700</v>
      </c>
      <c r="F1888" s="20" t="s">
        <v>27</v>
      </c>
      <c r="G1888" s="53">
        <f t="shared" si="30"/>
        <v>1.4102651958378438</v>
      </c>
      <c r="H1888" s="35"/>
      <c r="P1888" s="6"/>
    </row>
    <row r="1889" spans="1:16" ht="14.4" x14ac:dyDescent="0.25">
      <c r="A1889" s="6">
        <v>3854</v>
      </c>
      <c r="B1889" s="6">
        <v>27490</v>
      </c>
      <c r="C1889" s="19">
        <v>40982</v>
      </c>
      <c r="D1889" s="6" t="s">
        <v>28</v>
      </c>
      <c r="E1889" s="6">
        <f>IF((ISBLANK($B$1)),"",Sheet1!Q1897)</f>
        <v>4300</v>
      </c>
      <c r="F1889" s="20" t="s">
        <v>26</v>
      </c>
      <c r="G1889" s="53">
        <f t="shared" si="30"/>
        <v>-0.52307078595551704</v>
      </c>
      <c r="H1889" s="35"/>
      <c r="P1889" s="6"/>
    </row>
    <row r="1890" spans="1:16" ht="14.4" x14ac:dyDescent="0.25">
      <c r="A1890" s="6">
        <v>3906</v>
      </c>
      <c r="B1890" s="6">
        <v>27844</v>
      </c>
      <c r="C1890" s="19">
        <v>40723</v>
      </c>
      <c r="D1890" s="6" t="s">
        <v>25</v>
      </c>
      <c r="E1890" s="6">
        <f>IF((ISBLANK($B$1)),"",Sheet1!Q1898)</f>
        <v>4750</v>
      </c>
      <c r="F1890" s="20" t="s">
        <v>26</v>
      </c>
      <c r="G1890" s="53">
        <f t="shared" si="30"/>
        <v>9.8358636763777513E-2</v>
      </c>
      <c r="H1890" s="35"/>
      <c r="P1890" s="6"/>
    </row>
    <row r="1891" spans="1:16" ht="14.4" x14ac:dyDescent="0.25">
      <c r="A1891" s="6">
        <v>3981</v>
      </c>
      <c r="B1891" s="6">
        <v>28451</v>
      </c>
      <c r="C1891" s="19">
        <v>39818</v>
      </c>
      <c r="D1891" s="6" t="s">
        <v>30</v>
      </c>
      <c r="E1891" s="6">
        <f>IF((ISBLANK($B$1)),"",Sheet1!Q1899)</f>
        <v>4450</v>
      </c>
      <c r="F1891" s="20" t="s">
        <v>29</v>
      </c>
      <c r="G1891" s="53">
        <f t="shared" si="30"/>
        <v>-0.31592764504908549</v>
      </c>
      <c r="H1891" s="35"/>
      <c r="P1891" s="6"/>
    </row>
    <row r="1892" spans="1:16" ht="14.4" x14ac:dyDescent="0.25">
      <c r="A1892" s="6">
        <v>3982</v>
      </c>
      <c r="B1892" s="6">
        <v>28451</v>
      </c>
      <c r="C1892" s="19">
        <v>39818</v>
      </c>
      <c r="D1892" s="6" t="s">
        <v>30</v>
      </c>
      <c r="E1892" s="6">
        <f>IF((ISBLANK($B$1)),"",Sheet1!Q1900)</f>
        <v>5450</v>
      </c>
      <c r="F1892" s="20" t="s">
        <v>29</v>
      </c>
      <c r="G1892" s="53">
        <f t="shared" si="30"/>
        <v>1.0650266276604579</v>
      </c>
      <c r="H1892" s="35"/>
      <c r="P1892" s="6"/>
    </row>
    <row r="1893" spans="1:16" ht="14.4" x14ac:dyDescent="0.25">
      <c r="A1893" s="6">
        <v>3983</v>
      </c>
      <c r="B1893" s="6">
        <v>28451</v>
      </c>
      <c r="C1893" s="19">
        <v>39818</v>
      </c>
      <c r="D1893" s="6" t="s">
        <v>30</v>
      </c>
      <c r="E1893" s="6">
        <f>IF((ISBLANK($B$1)),"",Sheet1!Q1901)</f>
        <v>5050</v>
      </c>
      <c r="F1893" s="20" t="s">
        <v>27</v>
      </c>
      <c r="G1893" s="53">
        <f t="shared" si="30"/>
        <v>0.51264491857664052</v>
      </c>
      <c r="H1893" s="35"/>
      <c r="P1893" s="6"/>
    </row>
    <row r="1894" spans="1:16" ht="14.4" x14ac:dyDescent="0.25">
      <c r="A1894" s="6">
        <v>3989</v>
      </c>
      <c r="B1894" s="6">
        <v>28482</v>
      </c>
      <c r="C1894" s="19">
        <v>40245</v>
      </c>
      <c r="D1894" s="6" t="s">
        <v>30</v>
      </c>
      <c r="E1894" s="6">
        <f>IF((ISBLANK($B$1)),"",Sheet1!Q1902)</f>
        <v>4500</v>
      </c>
      <c r="F1894" s="20" t="s">
        <v>29</v>
      </c>
      <c r="G1894" s="53">
        <f t="shared" si="30"/>
        <v>-0.24687993141360834</v>
      </c>
      <c r="H1894" s="35"/>
      <c r="P1894" s="6"/>
    </row>
    <row r="1895" spans="1:16" ht="14.4" x14ac:dyDescent="0.25">
      <c r="A1895" s="6">
        <v>3990</v>
      </c>
      <c r="B1895" s="6">
        <v>28482</v>
      </c>
      <c r="C1895" s="19">
        <v>40245</v>
      </c>
      <c r="D1895" s="6" t="s">
        <v>30</v>
      </c>
      <c r="E1895" s="6">
        <f>IF((ISBLANK($B$1)),"",Sheet1!Q1903)</f>
        <v>5400</v>
      </c>
      <c r="F1895" s="20" t="s">
        <v>26</v>
      </c>
      <c r="G1895" s="53">
        <f t="shared" si="30"/>
        <v>0.99597891402498073</v>
      </c>
      <c r="H1895" s="35"/>
      <c r="P1895" s="6"/>
    </row>
    <row r="1896" spans="1:16" ht="14.4" x14ac:dyDescent="0.25">
      <c r="A1896" s="6">
        <v>4012</v>
      </c>
      <c r="B1896" s="6">
        <v>28642</v>
      </c>
      <c r="C1896" s="19">
        <v>40561</v>
      </c>
      <c r="D1896" s="6" t="s">
        <v>17</v>
      </c>
      <c r="E1896" s="6">
        <f>IF((ISBLANK($B$1)),"",Sheet1!Q1904)</f>
        <v>5450</v>
      </c>
      <c r="F1896" s="20" t="s">
        <v>26</v>
      </c>
      <c r="G1896" s="53">
        <f t="shared" si="30"/>
        <v>1.0650266276604579</v>
      </c>
      <c r="H1896" s="35"/>
      <c r="P1896" s="6"/>
    </row>
    <row r="1897" spans="1:16" ht="14.4" x14ac:dyDescent="0.25">
      <c r="A1897" s="6">
        <v>4013</v>
      </c>
      <c r="B1897" s="6">
        <v>28642</v>
      </c>
      <c r="C1897" s="19">
        <v>40561</v>
      </c>
      <c r="D1897" s="6" t="s">
        <v>17</v>
      </c>
      <c r="E1897" s="6">
        <f>IF((ISBLANK($B$1)),"",Sheet1!Q1905)</f>
        <v>4750</v>
      </c>
      <c r="F1897" s="20" t="s">
        <v>27</v>
      </c>
      <c r="G1897" s="53">
        <f t="shared" si="30"/>
        <v>9.8358636763777513E-2</v>
      </c>
      <c r="H1897" s="35"/>
      <c r="P1897" s="6"/>
    </row>
    <row r="1898" spans="1:16" ht="14.4" x14ac:dyDescent="0.25">
      <c r="A1898" s="6">
        <v>4136</v>
      </c>
      <c r="B1898" s="6">
        <v>29380</v>
      </c>
      <c r="C1898" s="19">
        <v>39930</v>
      </c>
      <c r="D1898" s="6" t="s">
        <v>28</v>
      </c>
      <c r="E1898" s="6">
        <f>IF((ISBLANK($B$1)),"",Sheet1!Q1906)</f>
        <v>4050</v>
      </c>
      <c r="F1898" s="20" t="s">
        <v>26</v>
      </c>
      <c r="G1898" s="53">
        <f t="shared" si="30"/>
        <v>-0.86830935413290289</v>
      </c>
      <c r="H1898" s="35"/>
      <c r="P1898" s="6"/>
    </row>
    <row r="1899" spans="1:16" ht="14.4" x14ac:dyDescent="0.25">
      <c r="A1899" s="6">
        <v>4499</v>
      </c>
      <c r="B1899" s="6">
        <v>32036</v>
      </c>
      <c r="C1899" s="19">
        <v>40821</v>
      </c>
      <c r="D1899" s="6" t="s">
        <v>16</v>
      </c>
      <c r="E1899" s="6">
        <f>IF((ISBLANK($B$1)),"",Sheet1!Q1907)</f>
        <v>3700</v>
      </c>
      <c r="F1899" s="20" t="s">
        <v>26</v>
      </c>
      <c r="G1899" s="53">
        <f t="shared" si="30"/>
        <v>-1.351643349581243</v>
      </c>
      <c r="H1899" s="35"/>
      <c r="P1899" s="6"/>
    </row>
    <row r="1900" spans="1:16" ht="14.4" x14ac:dyDescent="0.25">
      <c r="A1900" s="6">
        <v>4500</v>
      </c>
      <c r="B1900" s="6">
        <v>32036</v>
      </c>
      <c r="C1900" s="19">
        <v>40821</v>
      </c>
      <c r="D1900" s="6" t="s">
        <v>16</v>
      </c>
      <c r="E1900" s="6">
        <f>IF((ISBLANK($B$1)),"",Sheet1!Q1908)</f>
        <v>4650</v>
      </c>
      <c r="F1900" s="20" t="s">
        <v>26</v>
      </c>
      <c r="G1900" s="53">
        <f t="shared" si="30"/>
        <v>-3.9736790507176829E-2</v>
      </c>
      <c r="H1900" s="35"/>
      <c r="P1900" s="6"/>
    </row>
    <row r="1901" spans="1:16" ht="14.4" x14ac:dyDescent="0.25">
      <c r="A1901" s="6">
        <v>4540</v>
      </c>
      <c r="B1901" s="6">
        <v>32295</v>
      </c>
      <c r="C1901" s="19">
        <v>39820</v>
      </c>
      <c r="D1901" s="6" t="s">
        <v>17</v>
      </c>
      <c r="E1901" s="6">
        <f>IF((ISBLANK($B$1)),"",Sheet1!Q1909)</f>
        <v>3950</v>
      </c>
      <c r="F1901" s="20" t="s">
        <v>27</v>
      </c>
      <c r="G1901" s="53">
        <f t="shared" si="30"/>
        <v>-1.0064047814038573</v>
      </c>
      <c r="H1901" s="35"/>
      <c r="P1901" s="6"/>
    </row>
    <row r="1902" spans="1:16" ht="14.4" x14ac:dyDescent="0.25">
      <c r="A1902" s="6">
        <v>4702</v>
      </c>
      <c r="B1902" s="6">
        <v>33505</v>
      </c>
      <c r="C1902" s="19">
        <v>40446</v>
      </c>
      <c r="D1902" s="6" t="s">
        <v>25</v>
      </c>
      <c r="E1902" s="6">
        <f>IF((ISBLANK($B$1)),"",Sheet1!Q1910)</f>
        <v>5000</v>
      </c>
      <c r="F1902" s="20" t="s">
        <v>26</v>
      </c>
      <c r="G1902" s="53">
        <f t="shared" si="30"/>
        <v>0.44359720494116334</v>
      </c>
      <c r="H1902" s="35"/>
      <c r="P1902" s="6"/>
    </row>
    <row r="1903" spans="1:16" ht="14.4" x14ac:dyDescent="0.25">
      <c r="A1903" s="6">
        <v>4703</v>
      </c>
      <c r="B1903" s="6">
        <v>33505</v>
      </c>
      <c r="C1903" s="19">
        <v>40446</v>
      </c>
      <c r="D1903" s="6" t="s">
        <v>25</v>
      </c>
      <c r="E1903" s="6">
        <f>IF((ISBLANK($B$1)),"",Sheet1!Q1911)</f>
        <v>5150</v>
      </c>
      <c r="F1903" s="20" t="s">
        <v>27</v>
      </c>
      <c r="G1903" s="53">
        <f t="shared" si="30"/>
        <v>0.65074034584759488</v>
      </c>
      <c r="H1903" s="35"/>
      <c r="P1903" s="6"/>
    </row>
    <row r="1904" spans="1:16" ht="14.4" x14ac:dyDescent="0.25">
      <c r="A1904" s="6">
        <v>4797</v>
      </c>
      <c r="B1904" s="6">
        <v>34086</v>
      </c>
      <c r="C1904" s="19">
        <v>41028</v>
      </c>
      <c r="D1904" s="6" t="s">
        <v>17</v>
      </c>
      <c r="E1904" s="6">
        <f>IF((ISBLANK($B$1)),"",Sheet1!Q1912)</f>
        <v>5450</v>
      </c>
      <c r="F1904" s="20" t="s">
        <v>27</v>
      </c>
      <c r="G1904" s="53">
        <f t="shared" si="30"/>
        <v>1.0650266276604579</v>
      </c>
      <c r="H1904" s="35"/>
      <c r="P1904" s="6"/>
    </row>
    <row r="1905" spans="1:16" ht="14.4" x14ac:dyDescent="0.25">
      <c r="A1905" s="6">
        <v>4809</v>
      </c>
      <c r="B1905" s="6">
        <v>34209</v>
      </c>
      <c r="C1905" s="19">
        <v>40414</v>
      </c>
      <c r="D1905" s="6" t="s">
        <v>17</v>
      </c>
      <c r="E1905" s="6">
        <f>IF((ISBLANK($B$1)),"",Sheet1!Q1913)</f>
        <v>5800</v>
      </c>
      <c r="F1905" s="20" t="s">
        <v>29</v>
      </c>
      <c r="G1905" s="53">
        <f t="shared" si="30"/>
        <v>1.5483606231087981</v>
      </c>
      <c r="H1905" s="35"/>
      <c r="P1905" s="6"/>
    </row>
    <row r="1906" spans="1:16" ht="14.4" x14ac:dyDescent="0.25">
      <c r="A1906" s="6">
        <v>4810</v>
      </c>
      <c r="B1906" s="6">
        <v>34209</v>
      </c>
      <c r="C1906" s="19">
        <v>40414</v>
      </c>
      <c r="D1906" s="6" t="s">
        <v>17</v>
      </c>
      <c r="E1906" s="6">
        <f>IF((ISBLANK($B$1)),"",Sheet1!Q1914)</f>
        <v>4850</v>
      </c>
      <c r="F1906" s="20" t="s">
        <v>26</v>
      </c>
      <c r="G1906" s="53">
        <f t="shared" si="30"/>
        <v>0.23645406403473185</v>
      </c>
      <c r="H1906" s="35"/>
      <c r="P1906" s="6"/>
    </row>
    <row r="1907" spans="1:16" ht="14.4" x14ac:dyDescent="0.25">
      <c r="A1907" s="6">
        <v>5176</v>
      </c>
      <c r="B1907" s="6">
        <v>36807</v>
      </c>
      <c r="C1907" s="19">
        <v>39888</v>
      </c>
      <c r="D1907" s="6" t="s">
        <v>16</v>
      </c>
      <c r="E1907" s="6">
        <f>IF((ISBLANK($B$1)),"",Sheet1!Q1915)</f>
        <v>4100</v>
      </c>
      <c r="F1907" s="20" t="s">
        <v>26</v>
      </c>
      <c r="G1907" s="53">
        <f t="shared" si="30"/>
        <v>-0.79926164049742576</v>
      </c>
      <c r="H1907" s="35"/>
      <c r="P1907" s="6"/>
    </row>
    <row r="1908" spans="1:16" ht="14.4" x14ac:dyDescent="0.25">
      <c r="A1908" s="6">
        <v>5247</v>
      </c>
      <c r="B1908" s="6">
        <v>37318</v>
      </c>
      <c r="C1908" s="19">
        <v>40283</v>
      </c>
      <c r="D1908" s="6" t="s">
        <v>16</v>
      </c>
      <c r="E1908" s="6">
        <f>IF((ISBLANK($B$1)),"",Sheet1!Q1916)</f>
        <v>5000</v>
      </c>
      <c r="F1908" s="20" t="s">
        <v>29</v>
      </c>
      <c r="G1908" s="53">
        <f t="shared" si="30"/>
        <v>0.44359720494116334</v>
      </c>
      <c r="H1908" s="35"/>
      <c r="P1908" s="6"/>
    </row>
    <row r="1909" spans="1:16" ht="14.4" x14ac:dyDescent="0.25">
      <c r="A1909" s="6">
        <v>5412</v>
      </c>
      <c r="B1909" s="6">
        <v>38496</v>
      </c>
      <c r="C1909" s="19">
        <v>40229</v>
      </c>
      <c r="D1909" s="6" t="s">
        <v>30</v>
      </c>
      <c r="E1909" s="6">
        <f>IF((ISBLANK($B$1)),"",Sheet1!Q1917)</f>
        <v>4550</v>
      </c>
      <c r="F1909" s="20" t="s">
        <v>26</v>
      </c>
      <c r="G1909" s="53">
        <f t="shared" si="30"/>
        <v>-0.17783221777813119</v>
      </c>
      <c r="H1909" s="35"/>
      <c r="P1909" s="6"/>
    </row>
    <row r="1910" spans="1:16" ht="14.4" x14ac:dyDescent="0.25">
      <c r="A1910" s="6">
        <v>5878</v>
      </c>
      <c r="B1910" s="6">
        <v>41702</v>
      </c>
      <c r="C1910" s="19">
        <v>40534</v>
      </c>
      <c r="D1910" s="6" t="s">
        <v>28</v>
      </c>
      <c r="E1910" s="6">
        <f>IF((ISBLANK($B$1)),"",Sheet1!Q1918)</f>
        <v>4450</v>
      </c>
      <c r="F1910" s="20" t="s">
        <v>27</v>
      </c>
      <c r="G1910" s="53">
        <f t="shared" si="30"/>
        <v>-0.31592764504908549</v>
      </c>
      <c r="H1910" s="35"/>
      <c r="P1910" s="6"/>
    </row>
    <row r="1911" spans="1:16" ht="14.4" x14ac:dyDescent="0.25">
      <c r="A1911" s="6">
        <v>5879</v>
      </c>
      <c r="B1911" s="6">
        <v>41702</v>
      </c>
      <c r="C1911" s="19">
        <v>40534</v>
      </c>
      <c r="D1911" s="6" t="s">
        <v>28</v>
      </c>
      <c r="E1911" s="6">
        <f>IF((ISBLANK($B$1)),"",Sheet1!Q1919)</f>
        <v>3650</v>
      </c>
      <c r="F1911" s="20" t="s">
        <v>26</v>
      </c>
      <c r="G1911" s="53">
        <f t="shared" si="30"/>
        <v>-1.4206910632167202</v>
      </c>
      <c r="H1911" s="35"/>
      <c r="P1911" s="6"/>
    </row>
    <row r="1912" spans="1:16" ht="14.4" x14ac:dyDescent="0.25">
      <c r="A1912" s="6">
        <v>6317</v>
      </c>
      <c r="B1912" s="6">
        <v>44706</v>
      </c>
      <c r="C1912" s="19">
        <v>40267</v>
      </c>
      <c r="D1912" s="6" t="s">
        <v>25</v>
      </c>
      <c r="E1912" s="6">
        <f>IF((ISBLANK($B$1)),"",Sheet1!Q1920)</f>
        <v>4300</v>
      </c>
      <c r="F1912" s="20" t="s">
        <v>29</v>
      </c>
      <c r="G1912" s="53">
        <f t="shared" si="30"/>
        <v>-0.52307078595551704</v>
      </c>
      <c r="H1912" s="35"/>
      <c r="P1912" s="6"/>
    </row>
    <row r="1913" spans="1:16" ht="14.4" x14ac:dyDescent="0.25">
      <c r="A1913" s="6">
        <v>6318</v>
      </c>
      <c r="B1913" s="6">
        <v>44706</v>
      </c>
      <c r="C1913" s="19">
        <v>40267</v>
      </c>
      <c r="D1913" s="6" t="s">
        <v>25</v>
      </c>
      <c r="E1913" s="6">
        <f>IF((ISBLANK($B$1)),"",Sheet1!Q1921)</f>
        <v>5050</v>
      </c>
      <c r="F1913" s="20" t="s">
        <v>26</v>
      </c>
      <c r="G1913" s="53">
        <f t="shared" si="30"/>
        <v>0.51264491857664052</v>
      </c>
      <c r="H1913" s="35"/>
      <c r="P1913" s="6"/>
    </row>
    <row r="1914" spans="1:16" ht="14.4" x14ac:dyDescent="0.25">
      <c r="A1914" s="6">
        <v>6383</v>
      </c>
      <c r="B1914" s="6">
        <v>45347</v>
      </c>
      <c r="C1914" s="19">
        <v>40450</v>
      </c>
      <c r="D1914" s="6" t="s">
        <v>16</v>
      </c>
      <c r="E1914" s="6">
        <f>IF((ISBLANK($B$1)),"",Sheet1!Q1922)</f>
        <v>3900</v>
      </c>
      <c r="F1914" s="20" t="s">
        <v>29</v>
      </c>
      <c r="G1914" s="53">
        <f t="shared" si="30"/>
        <v>-1.0754524950393345</v>
      </c>
      <c r="H1914" s="35"/>
      <c r="P1914" s="6"/>
    </row>
    <row r="1915" spans="1:16" ht="14.4" x14ac:dyDescent="0.25">
      <c r="A1915" s="6">
        <v>6384</v>
      </c>
      <c r="B1915" s="6">
        <v>45347</v>
      </c>
      <c r="C1915" s="19">
        <v>40450</v>
      </c>
      <c r="D1915" s="6" t="s">
        <v>16</v>
      </c>
      <c r="E1915" s="6">
        <f>IF((ISBLANK($B$1)),"",Sheet1!Q1923)</f>
        <v>5450</v>
      </c>
      <c r="F1915" s="20" t="s">
        <v>27</v>
      </c>
      <c r="G1915" s="53">
        <f t="shared" si="30"/>
        <v>1.0650266276604579</v>
      </c>
      <c r="H1915" s="35"/>
      <c r="P1915" s="6"/>
    </row>
    <row r="1916" spans="1:16" ht="14.4" x14ac:dyDescent="0.25">
      <c r="A1916" s="6">
        <v>6559</v>
      </c>
      <c r="B1916" s="6">
        <v>46627</v>
      </c>
      <c r="C1916" s="19">
        <v>39975</v>
      </c>
      <c r="D1916" s="6" t="s">
        <v>30</v>
      </c>
      <c r="E1916" s="6">
        <f>IF((ISBLANK($B$1)),"",Sheet1!Q1924)</f>
        <v>3550</v>
      </c>
      <c r="F1916" s="20" t="s">
        <v>26</v>
      </c>
      <c r="G1916" s="53">
        <f t="shared" si="30"/>
        <v>-1.5587864904876745</v>
      </c>
      <c r="H1916" s="35"/>
      <c r="P1916" s="6"/>
    </row>
    <row r="1917" spans="1:16" ht="14.4" x14ac:dyDescent="0.25">
      <c r="A1917" s="6">
        <v>6560</v>
      </c>
      <c r="B1917" s="6">
        <v>46627</v>
      </c>
      <c r="C1917" s="19">
        <v>39975</v>
      </c>
      <c r="D1917" s="6" t="s">
        <v>30</v>
      </c>
      <c r="E1917" s="6">
        <f>IF((ISBLANK($B$1)),"",Sheet1!Q1925)</f>
        <v>4600</v>
      </c>
      <c r="F1917" s="20" t="s">
        <v>27</v>
      </c>
      <c r="G1917" s="53">
        <f t="shared" si="30"/>
        <v>-0.108784504142654</v>
      </c>
      <c r="H1917" s="35"/>
      <c r="P1917" s="6"/>
    </row>
    <row r="1918" spans="1:16" ht="14.4" x14ac:dyDescent="0.25">
      <c r="A1918" s="6">
        <v>6628</v>
      </c>
      <c r="B1918" s="6">
        <v>47168</v>
      </c>
      <c r="C1918" s="19">
        <v>39985</v>
      </c>
      <c r="D1918" s="6" t="s">
        <v>28</v>
      </c>
      <c r="E1918" s="6">
        <f>IF((ISBLANK($B$1)),"",Sheet1!Q1926)</f>
        <v>4600</v>
      </c>
      <c r="F1918" s="20" t="s">
        <v>27</v>
      </c>
      <c r="G1918" s="53">
        <f t="shared" si="30"/>
        <v>-0.108784504142654</v>
      </c>
      <c r="H1918" s="35"/>
      <c r="P1918" s="6"/>
    </row>
    <row r="1919" spans="1:16" ht="14.4" x14ac:dyDescent="0.25">
      <c r="A1919" s="6">
        <v>6629</v>
      </c>
      <c r="B1919" s="6">
        <v>47168</v>
      </c>
      <c r="C1919" s="19">
        <v>39985</v>
      </c>
      <c r="D1919" s="6" t="s">
        <v>28</v>
      </c>
      <c r="E1919" s="6">
        <f>IF((ISBLANK($B$1)),"",Sheet1!Q1927)</f>
        <v>5500</v>
      </c>
      <c r="F1919" s="20" t="s">
        <v>26</v>
      </c>
      <c r="G1919" s="53">
        <f t="shared" si="30"/>
        <v>1.1340743412959351</v>
      </c>
      <c r="H1919" s="35"/>
      <c r="P1919" s="6"/>
    </row>
    <row r="1920" spans="1:16" ht="14.4" x14ac:dyDescent="0.25">
      <c r="A1920" s="6">
        <v>7011</v>
      </c>
      <c r="B1920" s="6">
        <v>50051</v>
      </c>
      <c r="C1920" s="19">
        <v>40090</v>
      </c>
      <c r="D1920" s="6" t="s">
        <v>16</v>
      </c>
      <c r="E1920" s="6">
        <f>IF((ISBLANK($B$1)),"",Sheet1!Q1928)</f>
        <v>4250</v>
      </c>
      <c r="F1920" s="20" t="s">
        <v>26</v>
      </c>
      <c r="G1920" s="53">
        <f t="shared" si="30"/>
        <v>-0.59211849959099416</v>
      </c>
      <c r="H1920" s="35"/>
      <c r="P1920" s="6"/>
    </row>
    <row r="1921" spans="1:16" ht="14.4" x14ac:dyDescent="0.25">
      <c r="A1921" s="6">
        <v>7012</v>
      </c>
      <c r="B1921" s="6">
        <v>50051</v>
      </c>
      <c r="C1921" s="19">
        <v>40090</v>
      </c>
      <c r="D1921" s="6" t="s">
        <v>16</v>
      </c>
      <c r="E1921" s="6">
        <f>IF((ISBLANK($B$1)),"",Sheet1!Q1929)</f>
        <v>3600</v>
      </c>
      <c r="F1921" s="20" t="s">
        <v>29</v>
      </c>
      <c r="G1921" s="53">
        <f t="shared" si="30"/>
        <v>-1.4897387768521975</v>
      </c>
      <c r="H1921" s="35"/>
      <c r="P1921" s="6"/>
    </row>
    <row r="1922" spans="1:16" ht="14.4" x14ac:dyDescent="0.25">
      <c r="A1922" s="6">
        <v>7068</v>
      </c>
      <c r="B1922" s="6">
        <v>50433</v>
      </c>
      <c r="C1922" s="19">
        <v>40927</v>
      </c>
      <c r="D1922" s="6" t="s">
        <v>30</v>
      </c>
      <c r="E1922" s="6">
        <f>IF((ISBLANK($B$1)),"",Sheet1!Q1930)</f>
        <v>5900</v>
      </c>
      <c r="F1922" s="20" t="s">
        <v>27</v>
      </c>
      <c r="G1922" s="53">
        <f t="shared" si="30"/>
        <v>1.6864560503797523</v>
      </c>
      <c r="H1922" s="35"/>
      <c r="P1922" s="6"/>
    </row>
    <row r="1923" spans="1:16" ht="14.4" x14ac:dyDescent="0.25">
      <c r="A1923" s="6">
        <v>7106</v>
      </c>
      <c r="B1923" s="6">
        <v>50721</v>
      </c>
      <c r="C1923" s="19">
        <v>40966</v>
      </c>
      <c r="D1923" s="6" t="s">
        <v>17</v>
      </c>
      <c r="E1923" s="6">
        <f>IF((ISBLANK($B$1)),"",Sheet1!Q1931)</f>
        <v>5050</v>
      </c>
      <c r="F1923" s="20" t="s">
        <v>26</v>
      </c>
      <c r="G1923" s="53">
        <f t="shared" si="30"/>
        <v>0.51264491857664052</v>
      </c>
      <c r="H1923" s="35"/>
      <c r="P1923" s="6"/>
    </row>
    <row r="1924" spans="1:16" ht="14.4" x14ac:dyDescent="0.25">
      <c r="A1924" s="6">
        <v>7114</v>
      </c>
      <c r="B1924" s="6">
        <v>50758</v>
      </c>
      <c r="C1924" s="19">
        <v>41102</v>
      </c>
      <c r="D1924" s="6" t="s">
        <v>16</v>
      </c>
      <c r="E1924" s="6">
        <f>IF((ISBLANK($B$1)),"",Sheet1!Q1932)</f>
        <v>4250</v>
      </c>
      <c r="F1924" s="20" t="s">
        <v>26</v>
      </c>
      <c r="G1924" s="53">
        <f t="shared" si="30"/>
        <v>-0.59211849959099416</v>
      </c>
      <c r="H1924" s="35"/>
      <c r="P1924" s="6"/>
    </row>
    <row r="1925" spans="1:16" ht="14.4" x14ac:dyDescent="0.25">
      <c r="A1925" s="6">
        <v>7135</v>
      </c>
      <c r="B1925" s="6">
        <v>50883</v>
      </c>
      <c r="C1925" s="19">
        <v>41061</v>
      </c>
      <c r="D1925" s="6" t="s">
        <v>25</v>
      </c>
      <c r="E1925" s="6">
        <f>IF((ISBLANK($B$1)),"",Sheet1!Q1933)</f>
        <v>5150</v>
      </c>
      <c r="F1925" s="20" t="s">
        <v>29</v>
      </c>
      <c r="G1925" s="53">
        <f t="shared" si="30"/>
        <v>0.65074034584759488</v>
      </c>
      <c r="H1925" s="35"/>
      <c r="P1925" s="6"/>
    </row>
    <row r="1926" spans="1:16" ht="14.4" x14ac:dyDescent="0.25">
      <c r="A1926" s="6">
        <v>7219</v>
      </c>
      <c r="B1926" s="6">
        <v>51524</v>
      </c>
      <c r="C1926" s="19">
        <v>40251</v>
      </c>
      <c r="D1926" s="6" t="s">
        <v>16</v>
      </c>
      <c r="E1926" s="6">
        <f>IF((ISBLANK($B$1)),"",Sheet1!Q1934)</f>
        <v>4200</v>
      </c>
      <c r="F1926" s="20" t="s">
        <v>26</v>
      </c>
      <c r="G1926" s="53">
        <f t="shared" si="30"/>
        <v>-0.6611662132264714</v>
      </c>
      <c r="H1926" s="35"/>
      <c r="P1926" s="6"/>
    </row>
    <row r="1927" spans="1:16" ht="14.4" x14ac:dyDescent="0.25">
      <c r="A1927" s="6">
        <v>7220</v>
      </c>
      <c r="B1927" s="6">
        <v>51524</v>
      </c>
      <c r="C1927" s="19">
        <v>40251</v>
      </c>
      <c r="D1927" s="6" t="s">
        <v>16</v>
      </c>
      <c r="E1927" s="6">
        <f>IF((ISBLANK($B$1)),"",Sheet1!Q1935)</f>
        <v>4400</v>
      </c>
      <c r="F1927" s="20" t="s">
        <v>27</v>
      </c>
      <c r="G1927" s="53">
        <f t="shared" si="30"/>
        <v>-0.38497535868456267</v>
      </c>
      <c r="H1927" s="35"/>
      <c r="P1927" s="6"/>
    </row>
    <row r="1928" spans="1:16" ht="14.4" x14ac:dyDescent="0.25">
      <c r="A1928" s="6">
        <v>7345</v>
      </c>
      <c r="B1928" s="6">
        <v>52322</v>
      </c>
      <c r="C1928" s="19">
        <v>40211</v>
      </c>
      <c r="D1928" s="6" t="s">
        <v>25</v>
      </c>
      <c r="E1928" s="6">
        <f>IF((ISBLANK($B$1)),"",Sheet1!Q1936)</f>
        <v>3450</v>
      </c>
      <c r="F1928" s="20" t="s">
        <v>26</v>
      </c>
      <c r="G1928" s="53">
        <f t="shared" ref="G1928:G1991" si="31">STANDARDIZE(E1928,$L$26,$L$35)</f>
        <v>-1.696881917758629</v>
      </c>
      <c r="H1928" s="35"/>
      <c r="P1928" s="6"/>
    </row>
    <row r="1929" spans="1:16" ht="14.4" x14ac:dyDescent="0.25">
      <c r="A1929" s="6">
        <v>7427</v>
      </c>
      <c r="B1929" s="6">
        <v>52932</v>
      </c>
      <c r="C1929" s="19">
        <v>41041</v>
      </c>
      <c r="D1929" s="6" t="s">
        <v>25</v>
      </c>
      <c r="E1929" s="6">
        <f>IF((ISBLANK($B$1)),"",Sheet1!Q1937)</f>
        <v>3550</v>
      </c>
      <c r="F1929" s="20" t="s">
        <v>26</v>
      </c>
      <c r="G1929" s="53">
        <f t="shared" si="31"/>
        <v>-1.5587864904876745</v>
      </c>
      <c r="H1929" s="35"/>
      <c r="P1929" s="6"/>
    </row>
    <row r="1930" spans="1:16" ht="14.4" x14ac:dyDescent="0.25">
      <c r="A1930" s="6">
        <v>7431</v>
      </c>
      <c r="B1930" s="6">
        <v>52995</v>
      </c>
      <c r="C1930" s="19">
        <v>40983</v>
      </c>
      <c r="D1930" s="6" t="s">
        <v>28</v>
      </c>
      <c r="E1930" s="6">
        <f>IF((ISBLANK($B$1)),"",Sheet1!Q1938)</f>
        <v>3800</v>
      </c>
      <c r="F1930" s="20" t="s">
        <v>26</v>
      </c>
      <c r="G1930" s="53">
        <f t="shared" si="31"/>
        <v>-1.2135479223102887</v>
      </c>
      <c r="H1930" s="35"/>
      <c r="P1930" s="6"/>
    </row>
    <row r="1931" spans="1:16" ht="14.4" x14ac:dyDescent="0.25">
      <c r="A1931" s="6">
        <v>7435</v>
      </c>
      <c r="B1931" s="6">
        <v>53024</v>
      </c>
      <c r="C1931" s="19">
        <v>41041</v>
      </c>
      <c r="D1931" s="6" t="s">
        <v>28</v>
      </c>
      <c r="E1931" s="6">
        <f>IF((ISBLANK($B$1)),"",Sheet1!Q1939)</f>
        <v>3850</v>
      </c>
      <c r="F1931" s="20" t="s">
        <v>29</v>
      </c>
      <c r="G1931" s="53">
        <f t="shared" si="31"/>
        <v>-1.1445002086748115</v>
      </c>
      <c r="H1931" s="35"/>
      <c r="P1931" s="6"/>
    </row>
    <row r="1932" spans="1:16" ht="14.4" x14ac:dyDescent="0.25">
      <c r="A1932" s="6">
        <v>7436</v>
      </c>
      <c r="B1932" s="6">
        <v>53024</v>
      </c>
      <c r="C1932" s="19">
        <v>41041</v>
      </c>
      <c r="D1932" s="6" t="s">
        <v>28</v>
      </c>
      <c r="E1932" s="6">
        <f>IF((ISBLANK($B$1)),"",Sheet1!Q1940)</f>
        <v>5700</v>
      </c>
      <c r="F1932" s="20" t="s">
        <v>27</v>
      </c>
      <c r="G1932" s="53">
        <f t="shared" si="31"/>
        <v>1.4102651958378438</v>
      </c>
      <c r="H1932" s="35"/>
      <c r="P1932" s="6"/>
    </row>
    <row r="1933" spans="1:16" ht="14.4" x14ac:dyDescent="0.25">
      <c r="A1933" s="6">
        <v>7567</v>
      </c>
      <c r="B1933" s="6">
        <v>54145</v>
      </c>
      <c r="C1933" s="19">
        <v>40180</v>
      </c>
      <c r="D1933" s="6" t="s">
        <v>25</v>
      </c>
      <c r="E1933" s="6">
        <f>IF((ISBLANK($B$1)),"",Sheet1!Q1941)</f>
        <v>5100</v>
      </c>
      <c r="F1933" s="20" t="s">
        <v>29</v>
      </c>
      <c r="G1933" s="53">
        <f t="shared" si="31"/>
        <v>0.58169263221211776</v>
      </c>
      <c r="H1933" s="35"/>
      <c r="P1933" s="6"/>
    </row>
    <row r="1934" spans="1:16" ht="14.4" x14ac:dyDescent="0.25">
      <c r="A1934" s="6">
        <v>7804</v>
      </c>
      <c r="B1934" s="6">
        <v>55840</v>
      </c>
      <c r="C1934" s="19">
        <v>40042</v>
      </c>
      <c r="D1934" s="6" t="s">
        <v>16</v>
      </c>
      <c r="E1934" s="6">
        <f>IF((ISBLANK($B$1)),"",Sheet1!Q1942)</f>
        <v>3950</v>
      </c>
      <c r="F1934" s="20" t="s">
        <v>26</v>
      </c>
      <c r="G1934" s="53">
        <f t="shared" si="31"/>
        <v>-1.0064047814038573</v>
      </c>
      <c r="H1934" s="35"/>
      <c r="P1934" s="6"/>
    </row>
    <row r="1935" spans="1:16" ht="14.4" x14ac:dyDescent="0.25">
      <c r="A1935" s="6">
        <v>7964</v>
      </c>
      <c r="B1935" s="6">
        <v>56930</v>
      </c>
      <c r="C1935" s="19">
        <v>41138</v>
      </c>
      <c r="D1935" s="6" t="s">
        <v>25</v>
      </c>
      <c r="E1935" s="6">
        <f>IF((ISBLANK($B$1)),"",Sheet1!Q1943)</f>
        <v>3900</v>
      </c>
      <c r="F1935" s="20" t="s">
        <v>26</v>
      </c>
      <c r="G1935" s="53">
        <f t="shared" si="31"/>
        <v>-1.0754524950393345</v>
      </c>
      <c r="H1935" s="35"/>
      <c r="P1935" s="6"/>
    </row>
    <row r="1936" spans="1:16" ht="14.4" x14ac:dyDescent="0.25">
      <c r="A1936" s="6">
        <v>8068</v>
      </c>
      <c r="B1936" s="6">
        <v>57570</v>
      </c>
      <c r="C1936" s="19">
        <v>41180</v>
      </c>
      <c r="D1936" s="6" t="s">
        <v>17</v>
      </c>
      <c r="E1936" s="6">
        <f>IF((ISBLANK($B$1)),"",Sheet1!Q1944)</f>
        <v>4750</v>
      </c>
      <c r="F1936" s="20" t="s">
        <v>29</v>
      </c>
      <c r="G1936" s="53">
        <f t="shared" si="31"/>
        <v>9.8358636763777513E-2</v>
      </c>
      <c r="H1936" s="35"/>
      <c r="P1936" s="6"/>
    </row>
    <row r="1937" spans="1:16" ht="14.4" x14ac:dyDescent="0.25">
      <c r="A1937" s="6">
        <v>8121</v>
      </c>
      <c r="B1937" s="6">
        <v>58051</v>
      </c>
      <c r="C1937" s="19">
        <v>40988</v>
      </c>
      <c r="D1937" s="6" t="s">
        <v>17</v>
      </c>
      <c r="E1937" s="6">
        <f>IF((ISBLANK($B$1)),"",Sheet1!Q1945)</f>
        <v>3700</v>
      </c>
      <c r="F1937" s="20" t="s">
        <v>27</v>
      </c>
      <c r="G1937" s="53">
        <f t="shared" si="31"/>
        <v>-1.351643349581243</v>
      </c>
      <c r="H1937" s="35"/>
      <c r="P1937" s="6"/>
    </row>
    <row r="1938" spans="1:16" ht="14.4" x14ac:dyDescent="0.25">
      <c r="A1938" s="6">
        <v>8311</v>
      </c>
      <c r="B1938" s="6">
        <v>59392</v>
      </c>
      <c r="C1938" s="19">
        <v>40355</v>
      </c>
      <c r="D1938" s="6" t="s">
        <v>16</v>
      </c>
      <c r="E1938" s="6">
        <f>IF((ISBLANK($B$1)),"",Sheet1!Q1946)</f>
        <v>4350</v>
      </c>
      <c r="F1938" s="20" t="s">
        <v>27</v>
      </c>
      <c r="G1938" s="53">
        <f t="shared" si="31"/>
        <v>-0.45402307232003986</v>
      </c>
      <c r="H1938" s="35"/>
      <c r="P1938" s="6"/>
    </row>
    <row r="1939" spans="1:16" ht="14.4" x14ac:dyDescent="0.25">
      <c r="A1939" s="6">
        <v>8312</v>
      </c>
      <c r="B1939" s="6">
        <v>59392</v>
      </c>
      <c r="C1939" s="19">
        <v>40355</v>
      </c>
      <c r="D1939" s="6" t="s">
        <v>16</v>
      </c>
      <c r="E1939" s="6">
        <f>IF((ISBLANK($B$1)),"",Sheet1!Q1947)</f>
        <v>5650</v>
      </c>
      <c r="F1939" s="20" t="s">
        <v>27</v>
      </c>
      <c r="G1939" s="53">
        <f t="shared" si="31"/>
        <v>1.3412174822023666</v>
      </c>
      <c r="H1939" s="35"/>
      <c r="P1939" s="6"/>
    </row>
    <row r="1940" spans="1:16" ht="14.4" x14ac:dyDescent="0.25">
      <c r="A1940" s="6">
        <v>461</v>
      </c>
      <c r="B1940" s="6">
        <v>3136</v>
      </c>
      <c r="C1940" s="19">
        <v>40034</v>
      </c>
      <c r="D1940" s="6" t="s">
        <v>28</v>
      </c>
      <c r="E1940" s="6">
        <f>IF((ISBLANK($B$1)),"",Sheet1!Q1948)</f>
        <v>3800</v>
      </c>
      <c r="F1940" s="20" t="s">
        <v>26</v>
      </c>
      <c r="G1940" s="53">
        <f t="shared" si="31"/>
        <v>-1.2135479223102887</v>
      </c>
      <c r="H1940" s="35"/>
      <c r="P1940" s="6"/>
    </row>
    <row r="1941" spans="1:16" ht="14.4" x14ac:dyDescent="0.25">
      <c r="A1941" s="6">
        <v>534</v>
      </c>
      <c r="B1941" s="6">
        <v>3648</v>
      </c>
      <c r="C1941" s="19">
        <v>40345</v>
      </c>
      <c r="D1941" s="6" t="s">
        <v>25</v>
      </c>
      <c r="E1941" s="6">
        <f>IF((ISBLANK($B$1)),"",Sheet1!Q1949)</f>
        <v>5700</v>
      </c>
      <c r="F1941" s="20" t="s">
        <v>26</v>
      </c>
      <c r="G1941" s="53">
        <f t="shared" si="31"/>
        <v>1.4102651958378438</v>
      </c>
      <c r="H1941" s="35"/>
      <c r="P1941" s="6"/>
    </row>
    <row r="1942" spans="1:16" ht="14.4" x14ac:dyDescent="0.25">
      <c r="A1942" s="6">
        <v>535</v>
      </c>
      <c r="B1942" s="6">
        <v>3648</v>
      </c>
      <c r="C1942" s="19">
        <v>40345</v>
      </c>
      <c r="D1942" s="6" t="s">
        <v>25</v>
      </c>
      <c r="E1942" s="6">
        <f>IF((ISBLANK($B$1)),"",Sheet1!Q1950)</f>
        <v>5100</v>
      </c>
      <c r="F1942" s="20" t="s">
        <v>27</v>
      </c>
      <c r="G1942" s="53">
        <f t="shared" si="31"/>
        <v>0.58169263221211776</v>
      </c>
      <c r="H1942" s="35"/>
      <c r="P1942" s="6"/>
    </row>
    <row r="1943" spans="1:16" ht="14.4" x14ac:dyDescent="0.25">
      <c r="A1943" s="6">
        <v>870</v>
      </c>
      <c r="B1943" s="6">
        <v>6246</v>
      </c>
      <c r="C1943" s="19">
        <v>40107</v>
      </c>
      <c r="D1943" s="6" t="s">
        <v>28</v>
      </c>
      <c r="E1943" s="6">
        <f>IF((ISBLANK($B$1)),"",Sheet1!Q1951)</f>
        <v>4050</v>
      </c>
      <c r="F1943" s="20" t="s">
        <v>26</v>
      </c>
      <c r="G1943" s="53">
        <f t="shared" si="31"/>
        <v>-0.86830935413290289</v>
      </c>
      <c r="H1943" s="35"/>
      <c r="P1943" s="6"/>
    </row>
    <row r="1944" spans="1:16" ht="14.4" x14ac:dyDescent="0.25">
      <c r="A1944" s="6">
        <v>1242</v>
      </c>
      <c r="B1944" s="6">
        <v>9028</v>
      </c>
      <c r="C1944" s="19">
        <v>40533</v>
      </c>
      <c r="D1944" s="6" t="s">
        <v>25</v>
      </c>
      <c r="E1944" s="6">
        <f>IF((ISBLANK($B$1)),"",Sheet1!Q1952)</f>
        <v>5800</v>
      </c>
      <c r="F1944" s="20" t="s">
        <v>27</v>
      </c>
      <c r="G1944" s="53">
        <f t="shared" si="31"/>
        <v>1.5483606231087981</v>
      </c>
      <c r="H1944" s="35"/>
      <c r="P1944" s="6"/>
    </row>
    <row r="1945" spans="1:16" ht="14.4" x14ac:dyDescent="0.25">
      <c r="A1945" s="6">
        <v>1294</v>
      </c>
      <c r="B1945" s="6">
        <v>9478</v>
      </c>
      <c r="C1945" s="19">
        <v>39900</v>
      </c>
      <c r="D1945" s="6" t="s">
        <v>17</v>
      </c>
      <c r="E1945" s="6">
        <f>IF((ISBLANK($B$1)),"",Sheet1!Q1953)</f>
        <v>5800</v>
      </c>
      <c r="F1945" s="20" t="s">
        <v>29</v>
      </c>
      <c r="G1945" s="53">
        <f t="shared" si="31"/>
        <v>1.5483606231087981</v>
      </c>
      <c r="H1945" s="35"/>
      <c r="P1945" s="6"/>
    </row>
    <row r="1946" spans="1:16" ht="14.4" x14ac:dyDescent="0.25">
      <c r="A1946" s="6">
        <v>1295</v>
      </c>
      <c r="B1946" s="6">
        <v>9478</v>
      </c>
      <c r="C1946" s="19">
        <v>39900</v>
      </c>
      <c r="D1946" s="6" t="s">
        <v>17</v>
      </c>
      <c r="E1946" s="6">
        <f>IF((ISBLANK($B$1)),"",Sheet1!Q1954)</f>
        <v>5800</v>
      </c>
      <c r="F1946" s="20" t="s">
        <v>26</v>
      </c>
      <c r="G1946" s="53">
        <f t="shared" si="31"/>
        <v>1.5483606231087981</v>
      </c>
      <c r="H1946" s="35"/>
      <c r="P1946" s="6"/>
    </row>
    <row r="1947" spans="1:16" ht="14.4" x14ac:dyDescent="0.25">
      <c r="A1947" s="6">
        <v>1715</v>
      </c>
      <c r="B1947" s="6">
        <v>12323</v>
      </c>
      <c r="C1947" s="19">
        <v>40635</v>
      </c>
      <c r="D1947" s="6" t="s">
        <v>28</v>
      </c>
      <c r="E1947" s="6">
        <f>IF((ISBLANK($B$1)),"",Sheet1!Q1955)</f>
        <v>5000</v>
      </c>
      <c r="F1947" s="20" t="s">
        <v>26</v>
      </c>
      <c r="G1947" s="53">
        <f t="shared" si="31"/>
        <v>0.44359720494116334</v>
      </c>
      <c r="H1947" s="35"/>
      <c r="P1947" s="6"/>
    </row>
    <row r="1948" spans="1:16" ht="14.4" x14ac:dyDescent="0.25">
      <c r="A1948" s="6">
        <v>1716</v>
      </c>
      <c r="B1948" s="6">
        <v>12323</v>
      </c>
      <c r="C1948" s="19">
        <v>40635</v>
      </c>
      <c r="D1948" s="6" t="s">
        <v>28</v>
      </c>
      <c r="E1948" s="6">
        <f>IF((ISBLANK($B$1)),"",Sheet1!Q1956)</f>
        <v>3600</v>
      </c>
      <c r="F1948" s="20" t="s">
        <v>29</v>
      </c>
      <c r="G1948" s="53">
        <f t="shared" si="31"/>
        <v>-1.4897387768521975</v>
      </c>
      <c r="H1948" s="35"/>
      <c r="P1948" s="6"/>
    </row>
    <row r="1949" spans="1:16" ht="14.4" x14ac:dyDescent="0.25">
      <c r="A1949" s="6">
        <v>1934</v>
      </c>
      <c r="B1949" s="6">
        <v>13830</v>
      </c>
      <c r="C1949" s="19">
        <v>40168</v>
      </c>
      <c r="D1949" s="6" t="s">
        <v>17</v>
      </c>
      <c r="E1949" s="6">
        <f>IF((ISBLANK($B$1)),"",Sheet1!Q1957)</f>
        <v>4750</v>
      </c>
      <c r="F1949" s="20" t="s">
        <v>26</v>
      </c>
      <c r="G1949" s="53">
        <f t="shared" si="31"/>
        <v>9.8358636763777513E-2</v>
      </c>
      <c r="H1949" s="35"/>
      <c r="P1949" s="6"/>
    </row>
    <row r="1950" spans="1:16" ht="14.4" x14ac:dyDescent="0.25">
      <c r="A1950" s="6">
        <v>2069</v>
      </c>
      <c r="B1950" s="6">
        <v>14791</v>
      </c>
      <c r="C1950" s="19">
        <v>40223</v>
      </c>
      <c r="D1950" s="6" t="s">
        <v>16</v>
      </c>
      <c r="E1950" s="6">
        <f>IF((ISBLANK($B$1)),"",Sheet1!Q1958)</f>
        <v>4850</v>
      </c>
      <c r="F1950" s="20" t="s">
        <v>27</v>
      </c>
      <c r="G1950" s="53">
        <f t="shared" si="31"/>
        <v>0.23645406403473185</v>
      </c>
      <c r="H1950" s="35"/>
      <c r="P1950" s="6"/>
    </row>
    <row r="1951" spans="1:16" ht="14.4" x14ac:dyDescent="0.25">
      <c r="A1951" s="6">
        <v>2484</v>
      </c>
      <c r="B1951" s="6">
        <v>18085</v>
      </c>
      <c r="C1951" s="19">
        <v>40811</v>
      </c>
      <c r="D1951" s="6" t="s">
        <v>17</v>
      </c>
      <c r="E1951" s="6">
        <f>IF((ISBLANK($B$1)),"",Sheet1!Q1959)</f>
        <v>4550</v>
      </c>
      <c r="F1951" s="20" t="s">
        <v>29</v>
      </c>
      <c r="G1951" s="53">
        <f t="shared" si="31"/>
        <v>-0.17783221777813119</v>
      </c>
      <c r="H1951" s="35"/>
      <c r="P1951" s="6"/>
    </row>
    <row r="1952" spans="1:16" ht="14.4" x14ac:dyDescent="0.25">
      <c r="A1952" s="6">
        <v>2485</v>
      </c>
      <c r="B1952" s="6">
        <v>18085</v>
      </c>
      <c r="C1952" s="19">
        <v>40811</v>
      </c>
      <c r="D1952" s="6" t="s">
        <v>17</v>
      </c>
      <c r="E1952" s="6">
        <f>IF((ISBLANK($B$1)),"",Sheet1!Q1960)</f>
        <v>5050</v>
      </c>
      <c r="F1952" s="20" t="s">
        <v>27</v>
      </c>
      <c r="G1952" s="53">
        <f t="shared" si="31"/>
        <v>0.51264491857664052</v>
      </c>
      <c r="H1952" s="35"/>
      <c r="P1952" s="6"/>
    </row>
    <row r="1953" spans="1:16" ht="14.4" x14ac:dyDescent="0.25">
      <c r="A1953" s="6">
        <v>2863</v>
      </c>
      <c r="B1953" s="6">
        <v>20674</v>
      </c>
      <c r="C1953" s="19">
        <v>40520</v>
      </c>
      <c r="D1953" s="6" t="s">
        <v>17</v>
      </c>
      <c r="E1953" s="6">
        <f>IF((ISBLANK($B$1)),"",Sheet1!Q1961)</f>
        <v>5250</v>
      </c>
      <c r="F1953" s="20" t="s">
        <v>27</v>
      </c>
      <c r="G1953" s="53">
        <f t="shared" si="31"/>
        <v>0.78883577311854924</v>
      </c>
      <c r="H1953" s="35"/>
      <c r="P1953" s="6"/>
    </row>
    <row r="1954" spans="1:16" ht="14.4" x14ac:dyDescent="0.25">
      <c r="A1954" s="6">
        <v>3496</v>
      </c>
      <c r="B1954" s="6">
        <v>24903</v>
      </c>
      <c r="C1954" s="19">
        <v>40470</v>
      </c>
      <c r="D1954" s="6" t="s">
        <v>25</v>
      </c>
      <c r="E1954" s="6">
        <f>IF((ISBLANK($B$1)),"",Sheet1!Q1962)</f>
        <v>5050</v>
      </c>
      <c r="F1954" s="20" t="s">
        <v>26</v>
      </c>
      <c r="G1954" s="53">
        <f t="shared" si="31"/>
        <v>0.51264491857664052</v>
      </c>
      <c r="H1954" s="35"/>
      <c r="P1954" s="6"/>
    </row>
    <row r="1955" spans="1:16" ht="14.4" x14ac:dyDescent="0.25">
      <c r="A1955" s="6">
        <v>3603</v>
      </c>
      <c r="B1955" s="6">
        <v>25735</v>
      </c>
      <c r="C1955" s="19">
        <v>40542</v>
      </c>
      <c r="D1955" s="6" t="s">
        <v>28</v>
      </c>
      <c r="E1955" s="6">
        <f>IF((ISBLANK($B$1)),"",Sheet1!Q1963)</f>
        <v>5650</v>
      </c>
      <c r="F1955" s="20" t="s">
        <v>26</v>
      </c>
      <c r="G1955" s="53">
        <f t="shared" si="31"/>
        <v>1.3412174822023666</v>
      </c>
      <c r="H1955" s="35"/>
      <c r="P1955" s="6"/>
    </row>
    <row r="1956" spans="1:16" ht="14.4" x14ac:dyDescent="0.25">
      <c r="A1956" s="6">
        <v>4188</v>
      </c>
      <c r="B1956" s="6">
        <v>29762</v>
      </c>
      <c r="C1956" s="19">
        <v>40393</v>
      </c>
      <c r="D1956" s="6" t="s">
        <v>30</v>
      </c>
      <c r="E1956" s="6">
        <f>IF((ISBLANK($B$1)),"",Sheet1!Q1964)</f>
        <v>5050</v>
      </c>
      <c r="F1956" s="20" t="s">
        <v>29</v>
      </c>
      <c r="G1956" s="53">
        <f t="shared" si="31"/>
        <v>0.51264491857664052</v>
      </c>
      <c r="H1956" s="35"/>
      <c r="P1956" s="6"/>
    </row>
    <row r="1957" spans="1:16" ht="14.4" x14ac:dyDescent="0.25">
      <c r="A1957" s="6">
        <v>4199</v>
      </c>
      <c r="B1957" s="6">
        <v>29856</v>
      </c>
      <c r="C1957" s="19">
        <v>41068</v>
      </c>
      <c r="D1957" s="6" t="s">
        <v>16</v>
      </c>
      <c r="E1957" s="6">
        <f>IF((ISBLANK($B$1)),"",Sheet1!Q1965)</f>
        <v>4600</v>
      </c>
      <c r="F1957" s="20" t="s">
        <v>26</v>
      </c>
      <c r="G1957" s="53">
        <f t="shared" si="31"/>
        <v>-0.108784504142654</v>
      </c>
      <c r="H1957" s="35"/>
      <c r="P1957" s="6"/>
    </row>
    <row r="1958" spans="1:16" ht="14.4" x14ac:dyDescent="0.25">
      <c r="A1958" s="6">
        <v>4574</v>
      </c>
      <c r="B1958" s="6">
        <v>32580</v>
      </c>
      <c r="C1958" s="19">
        <v>40801</v>
      </c>
      <c r="D1958" s="6" t="s">
        <v>17</v>
      </c>
      <c r="E1958" s="6">
        <f>IF((ISBLANK($B$1)),"",Sheet1!Q1966)</f>
        <v>4550</v>
      </c>
      <c r="F1958" s="20" t="s">
        <v>26</v>
      </c>
      <c r="G1958" s="53">
        <f t="shared" si="31"/>
        <v>-0.17783221777813119</v>
      </c>
      <c r="H1958" s="35"/>
      <c r="P1958" s="6"/>
    </row>
    <row r="1959" spans="1:16" ht="14.4" x14ac:dyDescent="0.25">
      <c r="A1959" s="6">
        <v>4575</v>
      </c>
      <c r="B1959" s="6">
        <v>32580</v>
      </c>
      <c r="C1959" s="19">
        <v>40801</v>
      </c>
      <c r="D1959" s="6" t="s">
        <v>17</v>
      </c>
      <c r="E1959" s="6">
        <f>IF((ISBLANK($B$1)),"",Sheet1!Q1967)</f>
        <v>5300</v>
      </c>
      <c r="F1959" s="20" t="s">
        <v>26</v>
      </c>
      <c r="G1959" s="53">
        <f t="shared" si="31"/>
        <v>0.85788348675402637</v>
      </c>
      <c r="H1959" s="35"/>
      <c r="P1959" s="6"/>
    </row>
    <row r="1960" spans="1:16" ht="14.4" x14ac:dyDescent="0.25">
      <c r="A1960" s="6">
        <v>4788</v>
      </c>
      <c r="B1960" s="6">
        <v>34017</v>
      </c>
      <c r="C1960" s="19">
        <v>39895</v>
      </c>
      <c r="D1960" s="6" t="s">
        <v>17</v>
      </c>
      <c r="E1960" s="6">
        <f>IF((ISBLANK($B$1)),"",Sheet1!Q1968)</f>
        <v>4400</v>
      </c>
      <c r="F1960" s="20" t="s">
        <v>26</v>
      </c>
      <c r="G1960" s="53">
        <f t="shared" si="31"/>
        <v>-0.38497535868456267</v>
      </c>
      <c r="H1960" s="35"/>
      <c r="P1960" s="6"/>
    </row>
    <row r="1961" spans="1:16" ht="14.4" x14ac:dyDescent="0.25">
      <c r="A1961" s="6">
        <v>4789</v>
      </c>
      <c r="B1961" s="6">
        <v>34017</v>
      </c>
      <c r="C1961" s="19">
        <v>39895</v>
      </c>
      <c r="D1961" s="6" t="s">
        <v>17</v>
      </c>
      <c r="E1961" s="6">
        <f>IF((ISBLANK($B$1)),"",Sheet1!Q1969)</f>
        <v>4800</v>
      </c>
      <c r="F1961" s="20" t="s">
        <v>26</v>
      </c>
      <c r="G1961" s="53">
        <f t="shared" si="31"/>
        <v>0.16740635039925467</v>
      </c>
      <c r="H1961" s="35"/>
      <c r="P1961" s="6"/>
    </row>
    <row r="1962" spans="1:16" ht="14.4" x14ac:dyDescent="0.25">
      <c r="A1962" s="6">
        <v>6013</v>
      </c>
      <c r="B1962" s="6">
        <v>42597</v>
      </c>
      <c r="C1962" s="19">
        <v>40262</v>
      </c>
      <c r="D1962" s="6" t="s">
        <v>16</v>
      </c>
      <c r="E1962" s="6">
        <f>IF((ISBLANK($B$1)),"",Sheet1!Q1970)</f>
        <v>3650</v>
      </c>
      <c r="F1962" s="20" t="s">
        <v>27</v>
      </c>
      <c r="G1962" s="53">
        <f t="shared" si="31"/>
        <v>-1.4206910632167202</v>
      </c>
      <c r="H1962" s="35"/>
      <c r="P1962" s="6"/>
    </row>
    <row r="1963" spans="1:16" ht="14.4" x14ac:dyDescent="0.25">
      <c r="A1963" s="6">
        <v>6587</v>
      </c>
      <c r="B1963" s="6">
        <v>46884</v>
      </c>
      <c r="C1963" s="19">
        <v>39830</v>
      </c>
      <c r="D1963" s="6" t="s">
        <v>16</v>
      </c>
      <c r="E1963" s="6">
        <f>IF((ISBLANK($B$1)),"",Sheet1!Q1971)</f>
        <v>4650</v>
      </c>
      <c r="F1963" s="20" t="s">
        <v>26</v>
      </c>
      <c r="G1963" s="53">
        <f t="shared" si="31"/>
        <v>-3.9736790507176829E-2</v>
      </c>
      <c r="H1963" s="35"/>
      <c r="P1963" s="6"/>
    </row>
    <row r="1964" spans="1:16" ht="14.4" x14ac:dyDescent="0.25">
      <c r="A1964" s="6">
        <v>7347</v>
      </c>
      <c r="B1964" s="6">
        <v>52325</v>
      </c>
      <c r="C1964" s="19">
        <v>41104</v>
      </c>
      <c r="D1964" s="6" t="s">
        <v>28</v>
      </c>
      <c r="E1964" s="6">
        <f>IF((ISBLANK($B$1)),"",Sheet1!Q1972)</f>
        <v>4550</v>
      </c>
      <c r="F1964" s="20" t="s">
        <v>26</v>
      </c>
      <c r="G1964" s="53">
        <f t="shared" si="31"/>
        <v>-0.17783221777813119</v>
      </c>
      <c r="H1964" s="35"/>
      <c r="P1964" s="6"/>
    </row>
    <row r="1965" spans="1:16" ht="14.4" x14ac:dyDescent="0.25">
      <c r="A1965" s="6">
        <v>7478</v>
      </c>
      <c r="B1965" s="6">
        <v>53382</v>
      </c>
      <c r="C1965" s="19">
        <v>40174</v>
      </c>
      <c r="D1965" s="6" t="s">
        <v>28</v>
      </c>
      <c r="E1965" s="6">
        <f>IF((ISBLANK($B$1)),"",Sheet1!Q1973)</f>
        <v>4050</v>
      </c>
      <c r="F1965" s="20" t="s">
        <v>26</v>
      </c>
      <c r="G1965" s="53">
        <f t="shared" si="31"/>
        <v>-0.86830935413290289</v>
      </c>
      <c r="H1965" s="35"/>
      <c r="P1965" s="6"/>
    </row>
    <row r="1966" spans="1:16" ht="14.4" x14ac:dyDescent="0.25">
      <c r="A1966" s="6">
        <v>7479</v>
      </c>
      <c r="B1966" s="6">
        <v>53382</v>
      </c>
      <c r="C1966" s="19">
        <v>40174</v>
      </c>
      <c r="D1966" s="6" t="s">
        <v>28</v>
      </c>
      <c r="E1966" s="6">
        <f>IF((ISBLANK($B$1)),"",Sheet1!Q1974)</f>
        <v>4150</v>
      </c>
      <c r="F1966" s="20" t="s">
        <v>29</v>
      </c>
      <c r="G1966" s="53">
        <f t="shared" si="31"/>
        <v>-0.73021392686194853</v>
      </c>
      <c r="H1966" s="35"/>
      <c r="P1966" s="6"/>
    </row>
    <row r="1967" spans="1:16" ht="14.4" x14ac:dyDescent="0.25">
      <c r="A1967" s="6">
        <v>7523</v>
      </c>
      <c r="B1967" s="6">
        <v>53728</v>
      </c>
      <c r="C1967" s="19">
        <v>40838</v>
      </c>
      <c r="D1967" s="6" t="s">
        <v>17</v>
      </c>
      <c r="E1967" s="6">
        <f>IF((ISBLANK($B$1)),"",Sheet1!Q1975)</f>
        <v>4750</v>
      </c>
      <c r="F1967" s="20" t="s">
        <v>26</v>
      </c>
      <c r="G1967" s="53">
        <f t="shared" si="31"/>
        <v>9.8358636763777513E-2</v>
      </c>
      <c r="H1967" s="35"/>
      <c r="P1967" s="6"/>
    </row>
    <row r="1968" spans="1:16" ht="14.4" x14ac:dyDescent="0.25">
      <c r="A1968" s="6">
        <v>10</v>
      </c>
      <c r="B1968" s="6">
        <v>65</v>
      </c>
      <c r="C1968" s="19">
        <v>40619</v>
      </c>
      <c r="D1968" s="6" t="s">
        <v>30</v>
      </c>
      <c r="E1968" s="6">
        <f>IF((ISBLANK($B$1)),"",Sheet1!Q1976)</f>
        <v>5000</v>
      </c>
      <c r="F1968" s="20" t="s">
        <v>27</v>
      </c>
      <c r="G1968" s="53">
        <f t="shared" si="31"/>
        <v>0.44359720494116334</v>
      </c>
      <c r="H1968" s="35"/>
      <c r="P1968" s="6"/>
    </row>
    <row r="1969" spans="1:16" ht="14.4" x14ac:dyDescent="0.25">
      <c r="A1969" s="6">
        <v>39</v>
      </c>
      <c r="B1969" s="6">
        <v>230</v>
      </c>
      <c r="C1969" s="19">
        <v>40477</v>
      </c>
      <c r="D1969" s="6" t="s">
        <v>30</v>
      </c>
      <c r="E1969" s="6">
        <f>IF((ISBLANK($B$1)),"",Sheet1!Q1977)</f>
        <v>5750</v>
      </c>
      <c r="F1969" s="20" t="s">
        <v>26</v>
      </c>
      <c r="G1969" s="53">
        <f t="shared" si="31"/>
        <v>1.4793129094733208</v>
      </c>
      <c r="H1969" s="35"/>
      <c r="P1969" s="6"/>
    </row>
    <row r="1970" spans="1:16" ht="14.4" x14ac:dyDescent="0.25">
      <c r="A1970" s="6">
        <v>40</v>
      </c>
      <c r="B1970" s="6">
        <v>230</v>
      </c>
      <c r="C1970" s="19">
        <v>40477</v>
      </c>
      <c r="D1970" s="6" t="s">
        <v>30</v>
      </c>
      <c r="E1970" s="6">
        <f>IF((ISBLANK($B$1)),"",Sheet1!Q1978)</f>
        <v>3950</v>
      </c>
      <c r="F1970" s="20" t="s">
        <v>27</v>
      </c>
      <c r="G1970" s="53">
        <f t="shared" si="31"/>
        <v>-1.0064047814038573</v>
      </c>
      <c r="H1970" s="35"/>
      <c r="P1970" s="6"/>
    </row>
    <row r="1971" spans="1:16" ht="14.4" x14ac:dyDescent="0.25">
      <c r="A1971" s="6">
        <v>61</v>
      </c>
      <c r="B1971" s="6">
        <v>355</v>
      </c>
      <c r="C1971" s="19">
        <v>39977</v>
      </c>
      <c r="D1971" s="6" t="s">
        <v>25</v>
      </c>
      <c r="E1971" s="6">
        <f>IF((ISBLANK($B$1)),"",Sheet1!Q1979)</f>
        <v>4200</v>
      </c>
      <c r="F1971" s="20" t="s">
        <v>27</v>
      </c>
      <c r="G1971" s="53">
        <f t="shared" si="31"/>
        <v>-0.6611662132264714</v>
      </c>
      <c r="H1971" s="35"/>
      <c r="P1971" s="6"/>
    </row>
    <row r="1972" spans="1:16" ht="14.4" x14ac:dyDescent="0.25">
      <c r="A1972" s="6">
        <v>75</v>
      </c>
      <c r="B1972" s="6">
        <v>449</v>
      </c>
      <c r="C1972" s="19">
        <v>40743</v>
      </c>
      <c r="D1972" s="6" t="s">
        <v>17</v>
      </c>
      <c r="E1972" s="6">
        <f>IF((ISBLANK($B$1)),"",Sheet1!Q1980)</f>
        <v>5650</v>
      </c>
      <c r="F1972" s="20" t="s">
        <v>29</v>
      </c>
      <c r="G1972" s="53">
        <f t="shared" si="31"/>
        <v>1.3412174822023666</v>
      </c>
      <c r="H1972" s="35"/>
      <c r="P1972" s="6"/>
    </row>
    <row r="1973" spans="1:16" ht="14.4" x14ac:dyDescent="0.25">
      <c r="A1973" s="6">
        <v>101</v>
      </c>
      <c r="B1973" s="6">
        <v>640</v>
      </c>
      <c r="C1973" s="19">
        <v>40200</v>
      </c>
      <c r="D1973" s="6" t="s">
        <v>17</v>
      </c>
      <c r="E1973" s="6">
        <f>IF((ISBLANK($B$1)),"",Sheet1!Q1981)</f>
        <v>5350</v>
      </c>
      <c r="F1973" s="20" t="s">
        <v>29</v>
      </c>
      <c r="G1973" s="53">
        <f t="shared" si="31"/>
        <v>0.92693120038950361</v>
      </c>
      <c r="H1973" s="35"/>
      <c r="P1973" s="6"/>
    </row>
    <row r="1974" spans="1:16" ht="14.4" x14ac:dyDescent="0.25">
      <c r="A1974" s="6">
        <v>102</v>
      </c>
      <c r="B1974" s="6">
        <v>640</v>
      </c>
      <c r="C1974" s="19">
        <v>40200</v>
      </c>
      <c r="D1974" s="6" t="s">
        <v>17</v>
      </c>
      <c r="E1974" s="6">
        <f>IF((ISBLANK($B$1)),"",Sheet1!Q1982)</f>
        <v>4600</v>
      </c>
      <c r="F1974" s="20" t="s">
        <v>26</v>
      </c>
      <c r="G1974" s="53">
        <f t="shared" si="31"/>
        <v>-0.108784504142654</v>
      </c>
      <c r="H1974" s="35"/>
      <c r="P1974" s="6"/>
    </row>
    <row r="1975" spans="1:16" ht="14.4" x14ac:dyDescent="0.25">
      <c r="A1975" s="6">
        <v>106</v>
      </c>
      <c r="B1975" s="6">
        <v>646</v>
      </c>
      <c r="C1975" s="19">
        <v>40138</v>
      </c>
      <c r="D1975" s="6" t="s">
        <v>17</v>
      </c>
      <c r="E1975" s="6">
        <f>IF((ISBLANK($B$1)),"",Sheet1!Q1983)</f>
        <v>4300</v>
      </c>
      <c r="F1975" s="20" t="s">
        <v>26</v>
      </c>
      <c r="G1975" s="53">
        <f t="shared" si="31"/>
        <v>-0.52307078595551704</v>
      </c>
      <c r="H1975" s="35"/>
      <c r="P1975" s="6"/>
    </row>
    <row r="1976" spans="1:16" ht="14.4" x14ac:dyDescent="0.25">
      <c r="A1976" s="6">
        <v>132</v>
      </c>
      <c r="B1976" s="6">
        <v>835</v>
      </c>
      <c r="C1976" s="19">
        <v>40823</v>
      </c>
      <c r="D1976" s="6" t="s">
        <v>28</v>
      </c>
      <c r="E1976" s="6">
        <f>IF((ISBLANK($B$1)),"",Sheet1!Q1984)</f>
        <v>4300</v>
      </c>
      <c r="F1976" s="20" t="s">
        <v>26</v>
      </c>
      <c r="G1976" s="53">
        <f t="shared" si="31"/>
        <v>-0.52307078595551704</v>
      </c>
      <c r="H1976" s="35"/>
      <c r="P1976" s="6"/>
    </row>
    <row r="1977" spans="1:16" ht="14.4" x14ac:dyDescent="0.25">
      <c r="A1977" s="6">
        <v>138</v>
      </c>
      <c r="B1977" s="6">
        <v>896</v>
      </c>
      <c r="C1977" s="19">
        <v>40245</v>
      </c>
      <c r="D1977" s="6" t="s">
        <v>30</v>
      </c>
      <c r="E1977" s="6">
        <f>IF((ISBLANK($B$1)),"",Sheet1!Q1985)</f>
        <v>5900</v>
      </c>
      <c r="F1977" s="20" t="s">
        <v>26</v>
      </c>
      <c r="G1977" s="53">
        <f t="shared" si="31"/>
        <v>1.6864560503797523</v>
      </c>
      <c r="H1977" s="35"/>
      <c r="P1977" s="6"/>
    </row>
    <row r="1978" spans="1:16" ht="14.4" x14ac:dyDescent="0.25">
      <c r="A1978" s="6">
        <v>159</v>
      </c>
      <c r="B1978" s="6">
        <v>994</v>
      </c>
      <c r="C1978" s="19">
        <v>39922</v>
      </c>
      <c r="D1978" s="6" t="s">
        <v>25</v>
      </c>
      <c r="E1978" s="6">
        <f>IF((ISBLANK($B$1)),"",Sheet1!Q1986)</f>
        <v>5300</v>
      </c>
      <c r="F1978" s="20" t="s">
        <v>26</v>
      </c>
      <c r="G1978" s="53">
        <f t="shared" si="31"/>
        <v>0.85788348675402637</v>
      </c>
      <c r="H1978" s="35"/>
      <c r="P1978" s="6"/>
    </row>
    <row r="1979" spans="1:16" ht="14.4" x14ac:dyDescent="0.25">
      <c r="A1979" s="6">
        <v>167</v>
      </c>
      <c r="B1979" s="6">
        <v>1057</v>
      </c>
      <c r="C1979" s="19">
        <v>40958</v>
      </c>
      <c r="D1979" s="6" t="s">
        <v>30</v>
      </c>
      <c r="E1979" s="6">
        <f>IF((ISBLANK($B$1)),"",Sheet1!Q1987)</f>
        <v>5450</v>
      </c>
      <c r="F1979" s="20" t="s">
        <v>27</v>
      </c>
      <c r="G1979" s="53">
        <f t="shared" si="31"/>
        <v>1.0650266276604579</v>
      </c>
      <c r="H1979" s="35"/>
      <c r="P1979" s="6"/>
    </row>
    <row r="1980" spans="1:16" ht="14.4" x14ac:dyDescent="0.25">
      <c r="A1980" s="6">
        <v>228</v>
      </c>
      <c r="B1980" s="6">
        <v>1538</v>
      </c>
      <c r="C1980" s="19">
        <v>40711</v>
      </c>
      <c r="D1980" s="6" t="s">
        <v>28</v>
      </c>
      <c r="E1980" s="6">
        <f>IF((ISBLANK($B$1)),"",Sheet1!Q1988)</f>
        <v>4150</v>
      </c>
      <c r="F1980" s="20" t="s">
        <v>27</v>
      </c>
      <c r="G1980" s="53">
        <f t="shared" si="31"/>
        <v>-0.73021392686194853</v>
      </c>
      <c r="H1980" s="35"/>
      <c r="P1980" s="6"/>
    </row>
    <row r="1981" spans="1:16" ht="14.4" x14ac:dyDescent="0.25">
      <c r="A1981" s="6">
        <v>247</v>
      </c>
      <c r="B1981" s="6">
        <v>1701</v>
      </c>
      <c r="C1981" s="19">
        <v>41047</v>
      </c>
      <c r="D1981" s="6" t="s">
        <v>17</v>
      </c>
      <c r="E1981" s="6">
        <f>IF((ISBLANK($B$1)),"",Sheet1!Q1989)</f>
        <v>5850</v>
      </c>
      <c r="F1981" s="20" t="s">
        <v>27</v>
      </c>
      <c r="G1981" s="53">
        <f t="shared" si="31"/>
        <v>1.6174083367442753</v>
      </c>
      <c r="H1981" s="35"/>
      <c r="P1981" s="6"/>
    </row>
    <row r="1982" spans="1:16" ht="14.4" x14ac:dyDescent="0.25">
      <c r="A1982" s="6">
        <v>248</v>
      </c>
      <c r="B1982" s="6">
        <v>1701</v>
      </c>
      <c r="C1982" s="19">
        <v>41047</v>
      </c>
      <c r="D1982" s="6" t="s">
        <v>17</v>
      </c>
      <c r="E1982" s="6">
        <f>IF((ISBLANK($B$1)),"",Sheet1!Q1990)</f>
        <v>3450</v>
      </c>
      <c r="F1982" s="20" t="s">
        <v>29</v>
      </c>
      <c r="G1982" s="53">
        <f t="shared" si="31"/>
        <v>-1.696881917758629</v>
      </c>
      <c r="H1982" s="35"/>
      <c r="P1982" s="6"/>
    </row>
    <row r="1983" spans="1:16" ht="14.4" x14ac:dyDescent="0.25">
      <c r="A1983" s="6">
        <v>274</v>
      </c>
      <c r="B1983" s="6">
        <v>1891</v>
      </c>
      <c r="C1983" s="19">
        <v>40161</v>
      </c>
      <c r="D1983" s="6" t="s">
        <v>25</v>
      </c>
      <c r="E1983" s="6">
        <f>IF((ISBLANK($B$1)),"",Sheet1!Q1991)</f>
        <v>3550</v>
      </c>
      <c r="F1983" s="20" t="s">
        <v>29</v>
      </c>
      <c r="G1983" s="53">
        <f t="shared" si="31"/>
        <v>-1.5587864904876745</v>
      </c>
      <c r="H1983" s="35"/>
      <c r="P1983" s="6"/>
    </row>
    <row r="1984" spans="1:16" ht="14.4" x14ac:dyDescent="0.25">
      <c r="A1984" s="6">
        <v>289</v>
      </c>
      <c r="B1984" s="6">
        <v>2022</v>
      </c>
      <c r="C1984" s="19">
        <v>40982</v>
      </c>
      <c r="D1984" s="6" t="s">
        <v>30</v>
      </c>
      <c r="E1984" s="6">
        <f>IF((ISBLANK($B$1)),"",Sheet1!Q1992)</f>
        <v>5650</v>
      </c>
      <c r="F1984" s="20" t="s">
        <v>26</v>
      </c>
      <c r="G1984" s="53">
        <f t="shared" si="31"/>
        <v>1.3412174822023666</v>
      </c>
      <c r="H1984" s="35"/>
      <c r="P1984" s="6"/>
    </row>
    <row r="1985" spans="1:16" ht="14.4" x14ac:dyDescent="0.25">
      <c r="A1985" s="6">
        <v>312</v>
      </c>
      <c r="B1985" s="6">
        <v>2181</v>
      </c>
      <c r="C1985" s="19">
        <v>40798</v>
      </c>
      <c r="D1985" s="6" t="s">
        <v>16</v>
      </c>
      <c r="E1985" s="6">
        <f>IF((ISBLANK($B$1)),"",Sheet1!Q1993)</f>
        <v>5400</v>
      </c>
      <c r="F1985" s="20" t="s">
        <v>26</v>
      </c>
      <c r="G1985" s="53">
        <f t="shared" si="31"/>
        <v>0.99597891402498073</v>
      </c>
      <c r="H1985" s="35"/>
      <c r="P1985" s="6"/>
    </row>
    <row r="1986" spans="1:16" ht="14.4" x14ac:dyDescent="0.25">
      <c r="A1986" s="6">
        <v>313</v>
      </c>
      <c r="B1986" s="6">
        <v>2181</v>
      </c>
      <c r="C1986" s="19">
        <v>40798</v>
      </c>
      <c r="D1986" s="6" t="s">
        <v>16</v>
      </c>
      <c r="E1986" s="6">
        <f>IF((ISBLANK($B$1)),"",Sheet1!Q1994)</f>
        <v>3550</v>
      </c>
      <c r="F1986" s="20" t="s">
        <v>26</v>
      </c>
      <c r="G1986" s="53">
        <f t="shared" si="31"/>
        <v>-1.5587864904876745</v>
      </c>
      <c r="H1986" s="35"/>
      <c r="P1986" s="6"/>
    </row>
    <row r="1987" spans="1:16" ht="14.4" x14ac:dyDescent="0.25">
      <c r="A1987" s="6">
        <v>378</v>
      </c>
      <c r="B1987" s="6">
        <v>2628</v>
      </c>
      <c r="C1987" s="19">
        <v>40472</v>
      </c>
      <c r="D1987" s="6" t="s">
        <v>25</v>
      </c>
      <c r="E1987" s="6">
        <f>IF((ISBLANK($B$1)),"",Sheet1!Q1995)</f>
        <v>4100</v>
      </c>
      <c r="F1987" s="20" t="s">
        <v>26</v>
      </c>
      <c r="G1987" s="53">
        <f t="shared" si="31"/>
        <v>-0.79926164049742576</v>
      </c>
      <c r="H1987" s="35"/>
      <c r="P1987" s="6"/>
    </row>
    <row r="1988" spans="1:16" ht="14.4" x14ac:dyDescent="0.25">
      <c r="A1988" s="6">
        <v>379</v>
      </c>
      <c r="B1988" s="6">
        <v>2628</v>
      </c>
      <c r="C1988" s="19">
        <v>40472</v>
      </c>
      <c r="D1988" s="6" t="s">
        <v>25</v>
      </c>
      <c r="E1988" s="6">
        <f>IF((ISBLANK($B$1)),"",Sheet1!Q1996)</f>
        <v>4850</v>
      </c>
      <c r="F1988" s="20" t="s">
        <v>29</v>
      </c>
      <c r="G1988" s="53">
        <f t="shared" si="31"/>
        <v>0.23645406403473185</v>
      </c>
      <c r="H1988" s="35"/>
      <c r="P1988" s="6"/>
    </row>
    <row r="1989" spans="1:16" ht="14.4" x14ac:dyDescent="0.25">
      <c r="A1989" s="6">
        <v>392</v>
      </c>
      <c r="B1989" s="6">
        <v>2691</v>
      </c>
      <c r="C1989" s="19">
        <v>41028</v>
      </c>
      <c r="D1989" s="6" t="s">
        <v>25</v>
      </c>
      <c r="E1989" s="6">
        <f>IF((ISBLANK($B$1)),"",Sheet1!Q1997)</f>
        <v>4100</v>
      </c>
      <c r="F1989" s="20" t="s">
        <v>29</v>
      </c>
      <c r="G1989" s="53">
        <f t="shared" si="31"/>
        <v>-0.79926164049742576</v>
      </c>
      <c r="H1989" s="35"/>
      <c r="P1989" s="6"/>
    </row>
    <row r="1990" spans="1:16" ht="14.4" x14ac:dyDescent="0.25">
      <c r="A1990" s="6">
        <v>434</v>
      </c>
      <c r="B1990" s="6">
        <v>2912</v>
      </c>
      <c r="C1990" s="19">
        <v>40979</v>
      </c>
      <c r="D1990" s="6" t="s">
        <v>25</v>
      </c>
      <c r="E1990" s="6">
        <f>IF((ISBLANK($B$1)),"",Sheet1!Q1998)</f>
        <v>3750</v>
      </c>
      <c r="F1990" s="20" t="s">
        <v>27</v>
      </c>
      <c r="G1990" s="53">
        <f t="shared" si="31"/>
        <v>-1.282595635945766</v>
      </c>
      <c r="H1990" s="35"/>
      <c r="P1990" s="6"/>
    </row>
    <row r="1991" spans="1:16" ht="14.4" x14ac:dyDescent="0.25">
      <c r="A1991" s="6">
        <v>435</v>
      </c>
      <c r="B1991" s="6">
        <v>2912</v>
      </c>
      <c r="C1991" s="19">
        <v>40979</v>
      </c>
      <c r="D1991" s="6" t="s">
        <v>25</v>
      </c>
      <c r="E1991" s="6">
        <f>IF((ISBLANK($B$1)),"",Sheet1!Q1999)</f>
        <v>3850</v>
      </c>
      <c r="F1991" s="20" t="s">
        <v>26</v>
      </c>
      <c r="G1991" s="53">
        <f t="shared" si="31"/>
        <v>-1.1445002086748115</v>
      </c>
      <c r="H1991" s="35"/>
      <c r="P1991" s="6"/>
    </row>
    <row r="1992" spans="1:16" ht="14.4" x14ac:dyDescent="0.25">
      <c r="A1992" s="6">
        <v>472</v>
      </c>
      <c r="B1992" s="6">
        <v>3235</v>
      </c>
      <c r="C1992" s="19">
        <v>40861</v>
      </c>
      <c r="D1992" s="6" t="s">
        <v>25</v>
      </c>
      <c r="E1992" s="6">
        <f>IF((ISBLANK($B$1)),"",Sheet1!Q2000)</f>
        <v>4950</v>
      </c>
      <c r="F1992" s="20" t="s">
        <v>26</v>
      </c>
      <c r="G1992" s="53">
        <f t="shared" ref="G1992:G2055" si="32">STANDARDIZE(E1992,$L$26,$L$35)</f>
        <v>0.37454949130568621</v>
      </c>
      <c r="H1992" s="35"/>
      <c r="P1992" s="6"/>
    </row>
    <row r="1993" spans="1:16" ht="14.4" x14ac:dyDescent="0.25">
      <c r="A1993" s="6">
        <v>473</v>
      </c>
      <c r="B1993" s="6">
        <v>3266</v>
      </c>
      <c r="C1993" s="19">
        <v>40618</v>
      </c>
      <c r="D1993" s="6" t="s">
        <v>25</v>
      </c>
      <c r="E1993" s="6">
        <f>IF((ISBLANK($B$1)),"",Sheet1!Q2001)</f>
        <v>3600</v>
      </c>
      <c r="F1993" s="20" t="s">
        <v>26</v>
      </c>
      <c r="G1993" s="53">
        <f t="shared" si="32"/>
        <v>-1.4897387768521975</v>
      </c>
      <c r="H1993" s="35"/>
      <c r="P1993" s="6"/>
    </row>
    <row r="1994" spans="1:16" ht="14.4" x14ac:dyDescent="0.25">
      <c r="A1994" s="6">
        <v>487</v>
      </c>
      <c r="B1994" s="6">
        <v>3363</v>
      </c>
      <c r="C1994" s="19">
        <v>40808</v>
      </c>
      <c r="D1994" s="6" t="s">
        <v>17</v>
      </c>
      <c r="E1994" s="6">
        <f>IF((ISBLANK($B$1)),"",Sheet1!Q2002)</f>
        <v>4450</v>
      </c>
      <c r="F1994" s="20" t="s">
        <v>26</v>
      </c>
      <c r="G1994" s="53">
        <f t="shared" si="32"/>
        <v>-0.31592764504908549</v>
      </c>
      <c r="H1994" s="35"/>
      <c r="P1994" s="6"/>
    </row>
    <row r="1995" spans="1:16" ht="14.4" x14ac:dyDescent="0.25">
      <c r="A1995" s="6">
        <v>521</v>
      </c>
      <c r="B1995" s="6">
        <v>3585</v>
      </c>
      <c r="C1995" s="19">
        <v>40139</v>
      </c>
      <c r="D1995" s="6" t="s">
        <v>17</v>
      </c>
      <c r="E1995" s="6">
        <f>IF((ISBLANK($B$1)),"",Sheet1!Q2003)</f>
        <v>4750</v>
      </c>
      <c r="F1995" s="20" t="s">
        <v>26</v>
      </c>
      <c r="G1995" s="53">
        <f t="shared" si="32"/>
        <v>9.8358636763777513E-2</v>
      </c>
      <c r="H1995" s="35"/>
      <c r="P1995" s="6"/>
    </row>
    <row r="1996" spans="1:16" ht="14.4" x14ac:dyDescent="0.25">
      <c r="A1996" s="6">
        <v>522</v>
      </c>
      <c r="B1996" s="6">
        <v>3585</v>
      </c>
      <c r="C1996" s="19">
        <v>40139</v>
      </c>
      <c r="D1996" s="6" t="s">
        <v>17</v>
      </c>
      <c r="E1996" s="6">
        <f>IF((ISBLANK($B$1)),"",Sheet1!Q2004)</f>
        <v>5100</v>
      </c>
      <c r="F1996" s="20" t="s">
        <v>26</v>
      </c>
      <c r="G1996" s="53">
        <f t="shared" si="32"/>
        <v>0.58169263221211776</v>
      </c>
      <c r="H1996" s="35"/>
      <c r="P1996" s="6"/>
    </row>
    <row r="1997" spans="1:16" ht="14.4" x14ac:dyDescent="0.25">
      <c r="A1997" s="6">
        <v>550</v>
      </c>
      <c r="B1997" s="6">
        <v>3745</v>
      </c>
      <c r="C1997" s="19">
        <v>40449</v>
      </c>
      <c r="D1997" s="6" t="s">
        <v>25</v>
      </c>
      <c r="E1997" s="6">
        <f>IF((ISBLANK($B$1)),"",Sheet1!Q2005)</f>
        <v>5300</v>
      </c>
      <c r="F1997" s="20" t="s">
        <v>29</v>
      </c>
      <c r="G1997" s="53">
        <f t="shared" si="32"/>
        <v>0.85788348675402637</v>
      </c>
      <c r="H1997" s="35"/>
      <c r="P1997" s="6"/>
    </row>
    <row r="1998" spans="1:16" ht="14.4" x14ac:dyDescent="0.25">
      <c r="A1998" s="6">
        <v>605</v>
      </c>
      <c r="B1998" s="6">
        <v>4128</v>
      </c>
      <c r="C1998" s="19">
        <v>40822</v>
      </c>
      <c r="D1998" s="6" t="s">
        <v>28</v>
      </c>
      <c r="E1998" s="6">
        <f>IF((ISBLANK($B$1)),"",Sheet1!Q2006)</f>
        <v>5300</v>
      </c>
      <c r="F1998" s="20" t="s">
        <v>26</v>
      </c>
      <c r="G1998" s="53">
        <f t="shared" si="32"/>
        <v>0.85788348675402637</v>
      </c>
      <c r="H1998" s="35"/>
      <c r="P1998" s="6"/>
    </row>
    <row r="1999" spans="1:16" ht="14.4" x14ac:dyDescent="0.25">
      <c r="A1999" s="6">
        <v>625</v>
      </c>
      <c r="B1999" s="6">
        <v>4354</v>
      </c>
      <c r="C1999" s="19">
        <v>40085</v>
      </c>
      <c r="D1999" s="6" t="s">
        <v>28</v>
      </c>
      <c r="E1999" s="6">
        <f>IF((ISBLANK($B$1)),"",Sheet1!Q2007)</f>
        <v>3700</v>
      </c>
      <c r="F1999" s="20" t="s">
        <v>29</v>
      </c>
      <c r="G1999" s="53">
        <f t="shared" si="32"/>
        <v>-1.351643349581243</v>
      </c>
      <c r="H1999" s="35"/>
      <c r="P1999" s="6"/>
    </row>
    <row r="2000" spans="1:16" ht="14.4" x14ac:dyDescent="0.25">
      <c r="A2000" s="6">
        <v>645</v>
      </c>
      <c r="B2000" s="6">
        <v>4550</v>
      </c>
      <c r="C2000" s="19">
        <v>40175</v>
      </c>
      <c r="D2000" s="6" t="s">
        <v>17</v>
      </c>
      <c r="E2000" s="6">
        <f>IF((ISBLANK($B$1)),"",Sheet1!Q2008)</f>
        <v>5000</v>
      </c>
      <c r="F2000" s="20" t="s">
        <v>27</v>
      </c>
      <c r="G2000" s="53">
        <f t="shared" si="32"/>
        <v>0.44359720494116334</v>
      </c>
      <c r="H2000" s="35"/>
      <c r="P2000" s="6"/>
    </row>
    <row r="2001" spans="1:16" ht="14.4" x14ac:dyDescent="0.25">
      <c r="A2001" s="6">
        <v>680</v>
      </c>
      <c r="B2001" s="6">
        <v>4743</v>
      </c>
      <c r="C2001" s="19">
        <v>40267</v>
      </c>
      <c r="D2001" s="6" t="s">
        <v>25</v>
      </c>
      <c r="E2001" s="6">
        <f>IF((ISBLANK($B$1)),"",Sheet1!Q2009)</f>
        <v>4850</v>
      </c>
      <c r="F2001" s="20" t="s">
        <v>26</v>
      </c>
      <c r="G2001" s="53">
        <f t="shared" si="32"/>
        <v>0.23645406403473185</v>
      </c>
      <c r="H2001" s="35"/>
      <c r="P2001" s="6"/>
    </row>
    <row r="2002" spans="1:16" ht="14.4" x14ac:dyDescent="0.25">
      <c r="A2002" s="6">
        <v>681</v>
      </c>
      <c r="B2002" s="6">
        <v>4743</v>
      </c>
      <c r="C2002" s="19">
        <v>40267</v>
      </c>
      <c r="D2002" s="6" t="s">
        <v>25</v>
      </c>
      <c r="E2002" s="6">
        <f>IF((ISBLANK($B$1)),"",Sheet1!Q2010)</f>
        <v>5000</v>
      </c>
      <c r="F2002" s="20" t="s">
        <v>26</v>
      </c>
      <c r="G2002" s="53">
        <f t="shared" si="32"/>
        <v>0.44359720494116334</v>
      </c>
      <c r="H2002" s="35"/>
      <c r="P2002" s="6"/>
    </row>
    <row r="2003" spans="1:16" ht="14.4" x14ac:dyDescent="0.25">
      <c r="A2003" s="6">
        <v>729</v>
      </c>
      <c r="B2003" s="6">
        <v>5251</v>
      </c>
      <c r="C2003" s="19">
        <v>40644</v>
      </c>
      <c r="D2003" s="6" t="s">
        <v>16</v>
      </c>
      <c r="E2003" s="6">
        <f>IF((ISBLANK($B$1)),"",Sheet1!Q2011)</f>
        <v>5300</v>
      </c>
      <c r="F2003" s="20" t="s">
        <v>27</v>
      </c>
      <c r="G2003" s="53">
        <f t="shared" si="32"/>
        <v>0.85788348675402637</v>
      </c>
      <c r="H2003" s="35"/>
      <c r="P2003" s="6"/>
    </row>
    <row r="2004" spans="1:16" ht="14.4" x14ac:dyDescent="0.25">
      <c r="A2004" s="6">
        <v>733</v>
      </c>
      <c r="B2004" s="6">
        <v>5283</v>
      </c>
      <c r="C2004" s="19">
        <v>39967</v>
      </c>
      <c r="D2004" s="6" t="s">
        <v>16</v>
      </c>
      <c r="E2004" s="6">
        <f>IF((ISBLANK($B$1)),"",Sheet1!Q2012)</f>
        <v>4550</v>
      </c>
      <c r="F2004" s="20" t="s">
        <v>27</v>
      </c>
      <c r="G2004" s="53">
        <f t="shared" si="32"/>
        <v>-0.17783221777813119</v>
      </c>
      <c r="H2004" s="35"/>
      <c r="P2004" s="6"/>
    </row>
    <row r="2005" spans="1:16" ht="14.4" x14ac:dyDescent="0.25">
      <c r="A2005" s="6">
        <v>750</v>
      </c>
      <c r="B2005" s="6">
        <v>5381</v>
      </c>
      <c r="C2005" s="19">
        <v>40206</v>
      </c>
      <c r="D2005" s="6" t="s">
        <v>25</v>
      </c>
      <c r="E2005" s="6">
        <f>IF((ISBLANK($B$1)),"",Sheet1!Q2013)</f>
        <v>5750</v>
      </c>
      <c r="F2005" s="20" t="s">
        <v>29</v>
      </c>
      <c r="G2005" s="53">
        <f t="shared" si="32"/>
        <v>1.4793129094733208</v>
      </c>
      <c r="H2005" s="35"/>
      <c r="P2005" s="6"/>
    </row>
    <row r="2006" spans="1:16" ht="14.4" x14ac:dyDescent="0.25">
      <c r="A2006" s="6">
        <v>751</v>
      </c>
      <c r="B2006" s="6">
        <v>5381</v>
      </c>
      <c r="C2006" s="19">
        <v>40206</v>
      </c>
      <c r="D2006" s="6" t="s">
        <v>25</v>
      </c>
      <c r="E2006" s="6">
        <f>IF((ISBLANK($B$1)),"",Sheet1!Q2014)</f>
        <v>4750</v>
      </c>
      <c r="F2006" s="20" t="s">
        <v>26</v>
      </c>
      <c r="G2006" s="53">
        <f t="shared" si="32"/>
        <v>9.8358636763777513E-2</v>
      </c>
      <c r="H2006" s="35"/>
      <c r="P2006" s="6"/>
    </row>
    <row r="2007" spans="1:16" ht="14.4" x14ac:dyDescent="0.25">
      <c r="A2007" s="6">
        <v>759</v>
      </c>
      <c r="B2007" s="6">
        <v>5444</v>
      </c>
      <c r="C2007" s="19">
        <v>40619</v>
      </c>
      <c r="D2007" s="6" t="s">
        <v>30</v>
      </c>
      <c r="E2007" s="6">
        <f>IF((ISBLANK($B$1)),"",Sheet1!Q2015)</f>
        <v>3500</v>
      </c>
      <c r="F2007" s="20" t="s">
        <v>27</v>
      </c>
      <c r="G2007" s="53">
        <f t="shared" si="32"/>
        <v>-1.6278342041231517</v>
      </c>
      <c r="H2007" s="35"/>
      <c r="P2007" s="6"/>
    </row>
    <row r="2008" spans="1:16" ht="14.4" x14ac:dyDescent="0.25">
      <c r="A2008" s="6">
        <v>785</v>
      </c>
      <c r="B2008" s="6">
        <v>5601</v>
      </c>
      <c r="C2008" s="19">
        <v>40913</v>
      </c>
      <c r="D2008" s="6" t="s">
        <v>17</v>
      </c>
      <c r="E2008" s="6">
        <f>IF((ISBLANK($B$1)),"",Sheet1!Q2016)</f>
        <v>3900</v>
      </c>
      <c r="F2008" s="20" t="s">
        <v>29</v>
      </c>
      <c r="G2008" s="53">
        <f t="shared" si="32"/>
        <v>-1.0754524950393345</v>
      </c>
      <c r="H2008" s="35"/>
      <c r="P2008" s="6"/>
    </row>
    <row r="2009" spans="1:16" ht="14.4" x14ac:dyDescent="0.25">
      <c r="A2009" s="6">
        <v>802</v>
      </c>
      <c r="B2009" s="6">
        <v>5760</v>
      </c>
      <c r="C2009" s="19">
        <v>39957</v>
      </c>
      <c r="D2009" s="6" t="s">
        <v>28</v>
      </c>
      <c r="E2009" s="6">
        <f>IF((ISBLANK($B$1)),"",Sheet1!Q2017)</f>
        <v>5100</v>
      </c>
      <c r="F2009" s="20" t="s">
        <v>29</v>
      </c>
      <c r="G2009" s="53">
        <f t="shared" si="32"/>
        <v>0.58169263221211776</v>
      </c>
      <c r="H2009" s="35"/>
      <c r="P2009" s="6"/>
    </row>
    <row r="2010" spans="1:16" ht="14.4" x14ac:dyDescent="0.25">
      <c r="A2010" s="6">
        <v>896</v>
      </c>
      <c r="B2010" s="6">
        <v>6438</v>
      </c>
      <c r="C2010" s="19">
        <v>40314</v>
      </c>
      <c r="D2010" s="6" t="s">
        <v>28</v>
      </c>
      <c r="E2010" s="6">
        <f>IF((ISBLANK($B$1)),"",Sheet1!Q2018)</f>
        <v>3750</v>
      </c>
      <c r="F2010" s="20" t="s">
        <v>29</v>
      </c>
      <c r="G2010" s="53">
        <f t="shared" si="32"/>
        <v>-1.282595635945766</v>
      </c>
      <c r="H2010" s="35"/>
      <c r="P2010" s="6"/>
    </row>
    <row r="2011" spans="1:16" ht="14.4" x14ac:dyDescent="0.25">
      <c r="A2011" s="6">
        <v>897</v>
      </c>
      <c r="B2011" s="6">
        <v>6438</v>
      </c>
      <c r="C2011" s="19">
        <v>40314</v>
      </c>
      <c r="D2011" s="6" t="s">
        <v>28</v>
      </c>
      <c r="E2011" s="6">
        <f>IF((ISBLANK($B$1)),"",Sheet1!Q2019)</f>
        <v>5300</v>
      </c>
      <c r="F2011" s="20" t="s">
        <v>26</v>
      </c>
      <c r="G2011" s="53">
        <f t="shared" si="32"/>
        <v>0.85788348675402637</v>
      </c>
      <c r="H2011" s="35"/>
      <c r="P2011" s="6"/>
    </row>
    <row r="2012" spans="1:16" ht="14.4" x14ac:dyDescent="0.25">
      <c r="A2012" s="6">
        <v>917</v>
      </c>
      <c r="B2012" s="6">
        <v>6592</v>
      </c>
      <c r="C2012" s="19">
        <v>40148</v>
      </c>
      <c r="D2012" s="6" t="s">
        <v>25</v>
      </c>
      <c r="E2012" s="6">
        <f>IF((ISBLANK($B$1)),"",Sheet1!Q2020)</f>
        <v>4850</v>
      </c>
      <c r="F2012" s="20" t="s">
        <v>26</v>
      </c>
      <c r="G2012" s="53">
        <f t="shared" si="32"/>
        <v>0.23645406403473185</v>
      </c>
      <c r="H2012" s="35"/>
      <c r="P2012" s="6"/>
    </row>
    <row r="2013" spans="1:16" ht="14.4" x14ac:dyDescent="0.25">
      <c r="A2013" s="6">
        <v>918</v>
      </c>
      <c r="B2013" s="6">
        <v>6592</v>
      </c>
      <c r="C2013" s="19">
        <v>40148</v>
      </c>
      <c r="D2013" s="6" t="s">
        <v>25</v>
      </c>
      <c r="E2013" s="6">
        <f>IF((ISBLANK($B$1)),"",Sheet1!Q2021)</f>
        <v>5050</v>
      </c>
      <c r="F2013" s="20" t="s">
        <v>26</v>
      </c>
      <c r="G2013" s="53">
        <f t="shared" si="32"/>
        <v>0.51264491857664052</v>
      </c>
      <c r="H2013" s="35"/>
      <c r="P2013" s="6"/>
    </row>
    <row r="2014" spans="1:16" ht="14.4" x14ac:dyDescent="0.25">
      <c r="A2014" s="6">
        <v>933</v>
      </c>
      <c r="B2014" s="6">
        <v>6755</v>
      </c>
      <c r="C2014" s="19">
        <v>40664</v>
      </c>
      <c r="D2014" s="6" t="s">
        <v>17</v>
      </c>
      <c r="E2014" s="6">
        <f>IF((ISBLANK($B$1)),"",Sheet1!Q2022)</f>
        <v>4400</v>
      </c>
      <c r="F2014" s="20" t="s">
        <v>26</v>
      </c>
      <c r="G2014" s="53">
        <f t="shared" si="32"/>
        <v>-0.38497535868456267</v>
      </c>
      <c r="H2014" s="35"/>
      <c r="P2014" s="6"/>
    </row>
    <row r="2015" spans="1:16" ht="14.4" x14ac:dyDescent="0.25">
      <c r="A2015" s="6">
        <v>957</v>
      </c>
      <c r="B2015" s="6">
        <v>6918</v>
      </c>
      <c r="C2015" s="19">
        <v>40725</v>
      </c>
      <c r="D2015" s="6" t="s">
        <v>30</v>
      </c>
      <c r="E2015" s="6">
        <f>IF((ISBLANK($B$1)),"",Sheet1!Q2023)</f>
        <v>5300</v>
      </c>
      <c r="F2015" s="20" t="s">
        <v>27</v>
      </c>
      <c r="G2015" s="53">
        <f t="shared" si="32"/>
        <v>0.85788348675402637</v>
      </c>
      <c r="H2015" s="35"/>
      <c r="P2015" s="6"/>
    </row>
    <row r="2016" spans="1:16" ht="14.4" x14ac:dyDescent="0.25">
      <c r="A2016" s="6">
        <v>1060</v>
      </c>
      <c r="B2016" s="6">
        <v>7841</v>
      </c>
      <c r="C2016" s="19">
        <v>41049</v>
      </c>
      <c r="D2016" s="6" t="s">
        <v>28</v>
      </c>
      <c r="E2016" s="6">
        <f>IF((ISBLANK($B$1)),"",Sheet1!Q2024)</f>
        <v>4450</v>
      </c>
      <c r="F2016" s="20" t="s">
        <v>29</v>
      </c>
      <c r="G2016" s="53">
        <f t="shared" si="32"/>
        <v>-0.31592764504908549</v>
      </c>
      <c r="H2016" s="35"/>
      <c r="P2016" s="6"/>
    </row>
    <row r="2017" spans="1:16" ht="14.4" x14ac:dyDescent="0.25">
      <c r="A2017" s="6">
        <v>1061</v>
      </c>
      <c r="B2017" s="6">
        <v>7841</v>
      </c>
      <c r="C2017" s="19">
        <v>41049</v>
      </c>
      <c r="D2017" s="6" t="s">
        <v>28</v>
      </c>
      <c r="E2017" s="6">
        <f>IF((ISBLANK($B$1)),"",Sheet1!Q2025)</f>
        <v>4250</v>
      </c>
      <c r="F2017" s="20" t="s">
        <v>29</v>
      </c>
      <c r="G2017" s="53">
        <f t="shared" si="32"/>
        <v>-0.59211849959099416</v>
      </c>
      <c r="H2017" s="35"/>
      <c r="P2017" s="6"/>
    </row>
    <row r="2018" spans="1:16" ht="14.4" x14ac:dyDescent="0.25">
      <c r="A2018" s="6">
        <v>1104</v>
      </c>
      <c r="B2018" s="6">
        <v>8103</v>
      </c>
      <c r="C2018" s="19">
        <v>40119</v>
      </c>
      <c r="D2018" s="6" t="s">
        <v>25</v>
      </c>
      <c r="E2018" s="6">
        <f>IF((ISBLANK($B$1)),"",Sheet1!Q2026)</f>
        <v>4200</v>
      </c>
      <c r="F2018" s="20" t="s">
        <v>26</v>
      </c>
      <c r="G2018" s="53">
        <f t="shared" si="32"/>
        <v>-0.6611662132264714</v>
      </c>
      <c r="H2018" s="35"/>
      <c r="P2018" s="6"/>
    </row>
    <row r="2019" spans="1:16" ht="14.4" x14ac:dyDescent="0.25">
      <c r="A2019" s="6">
        <v>1130</v>
      </c>
      <c r="B2019" s="6">
        <v>8258</v>
      </c>
      <c r="C2019" s="19">
        <v>39873</v>
      </c>
      <c r="D2019" s="6" t="s">
        <v>17</v>
      </c>
      <c r="E2019" s="6">
        <f>IF((ISBLANK($B$1)),"",Sheet1!Q2027)</f>
        <v>5250</v>
      </c>
      <c r="F2019" s="20" t="s">
        <v>26</v>
      </c>
      <c r="G2019" s="53">
        <f t="shared" si="32"/>
        <v>0.78883577311854924</v>
      </c>
      <c r="H2019" s="35"/>
      <c r="P2019" s="6"/>
    </row>
    <row r="2020" spans="1:16" ht="14.4" x14ac:dyDescent="0.25">
      <c r="A2020" s="6">
        <v>1162</v>
      </c>
      <c r="B2020" s="6">
        <v>8454</v>
      </c>
      <c r="C2020" s="19">
        <v>41136</v>
      </c>
      <c r="D2020" s="6" t="s">
        <v>16</v>
      </c>
      <c r="E2020" s="6">
        <f>IF((ISBLANK($B$1)),"",Sheet1!Q2028)</f>
        <v>5300</v>
      </c>
      <c r="F2020" s="20" t="s">
        <v>26</v>
      </c>
      <c r="G2020" s="53">
        <f t="shared" si="32"/>
        <v>0.85788348675402637</v>
      </c>
      <c r="H2020" s="35"/>
      <c r="P2020" s="6"/>
    </row>
    <row r="2021" spans="1:16" ht="14.4" x14ac:dyDescent="0.25">
      <c r="A2021" s="6">
        <v>1193</v>
      </c>
      <c r="B2021" s="6">
        <v>8710</v>
      </c>
      <c r="C2021" s="19">
        <v>39817</v>
      </c>
      <c r="D2021" s="6" t="s">
        <v>30</v>
      </c>
      <c r="E2021" s="6">
        <f>IF((ISBLANK($B$1)),"",Sheet1!Q2029)</f>
        <v>4250</v>
      </c>
      <c r="F2021" s="20" t="s">
        <v>26</v>
      </c>
      <c r="G2021" s="53">
        <f t="shared" si="32"/>
        <v>-0.59211849959099416</v>
      </c>
      <c r="H2021" s="35"/>
      <c r="P2021" s="6"/>
    </row>
    <row r="2022" spans="1:16" ht="14.4" x14ac:dyDescent="0.25">
      <c r="A2022" s="6">
        <v>1194</v>
      </c>
      <c r="B2022" s="6">
        <v>8710</v>
      </c>
      <c r="C2022" s="19">
        <v>39817</v>
      </c>
      <c r="D2022" s="6" t="s">
        <v>30</v>
      </c>
      <c r="E2022" s="6">
        <f>IF((ISBLANK($B$1)),"",Sheet1!Q2030)</f>
        <v>5500</v>
      </c>
      <c r="F2022" s="20" t="s">
        <v>26</v>
      </c>
      <c r="G2022" s="53">
        <f t="shared" si="32"/>
        <v>1.1340743412959351</v>
      </c>
      <c r="H2022" s="35"/>
      <c r="P2022" s="6"/>
    </row>
    <row r="2023" spans="1:16" ht="14.4" x14ac:dyDescent="0.25">
      <c r="A2023" s="6">
        <v>1208</v>
      </c>
      <c r="B2023" s="6">
        <v>8835</v>
      </c>
      <c r="C2023" s="19">
        <v>40099</v>
      </c>
      <c r="D2023" s="6" t="s">
        <v>30</v>
      </c>
      <c r="E2023" s="6">
        <f>IF((ISBLANK($B$1)),"",Sheet1!Q2031)</f>
        <v>4000</v>
      </c>
      <c r="F2023" s="20" t="s">
        <v>29</v>
      </c>
      <c r="G2023" s="53">
        <f t="shared" si="32"/>
        <v>-0.93735706776838001</v>
      </c>
      <c r="H2023" s="35"/>
      <c r="P2023" s="6"/>
    </row>
    <row r="2024" spans="1:16" ht="14.4" x14ac:dyDescent="0.25">
      <c r="A2024" s="6">
        <v>1217</v>
      </c>
      <c r="B2024" s="6">
        <v>8960</v>
      </c>
      <c r="C2024" s="19">
        <v>40334</v>
      </c>
      <c r="D2024" s="6" t="s">
        <v>16</v>
      </c>
      <c r="E2024" s="6">
        <f>IF((ISBLANK($B$1)),"",Sheet1!Q2032)</f>
        <v>5700</v>
      </c>
      <c r="F2024" s="20" t="s">
        <v>27</v>
      </c>
      <c r="G2024" s="53">
        <f t="shared" si="32"/>
        <v>1.4102651958378438</v>
      </c>
      <c r="H2024" s="35"/>
      <c r="P2024" s="6"/>
    </row>
    <row r="2025" spans="1:16" ht="14.4" x14ac:dyDescent="0.25">
      <c r="A2025" s="6">
        <v>1218</v>
      </c>
      <c r="B2025" s="6">
        <v>8960</v>
      </c>
      <c r="C2025" s="19">
        <v>40334</v>
      </c>
      <c r="D2025" s="6" t="s">
        <v>16</v>
      </c>
      <c r="E2025" s="6">
        <f>IF((ISBLANK($B$1)),"",Sheet1!Q2033)</f>
        <v>4150</v>
      </c>
      <c r="F2025" s="20" t="s">
        <v>27</v>
      </c>
      <c r="G2025" s="53">
        <f t="shared" si="32"/>
        <v>-0.73021392686194853</v>
      </c>
      <c r="H2025" s="35"/>
      <c r="P2025" s="6"/>
    </row>
    <row r="2026" spans="1:16" ht="14.4" x14ac:dyDescent="0.25">
      <c r="A2026" s="6">
        <v>1277</v>
      </c>
      <c r="B2026" s="6">
        <v>9281</v>
      </c>
      <c r="C2026" s="19">
        <v>40962</v>
      </c>
      <c r="D2026" s="6" t="s">
        <v>30</v>
      </c>
      <c r="E2026" s="6">
        <f>IF((ISBLANK($B$1)),"",Sheet1!Q2034)</f>
        <v>4950</v>
      </c>
      <c r="F2026" s="20" t="s">
        <v>26</v>
      </c>
      <c r="G2026" s="53">
        <f t="shared" si="32"/>
        <v>0.37454949130568621</v>
      </c>
      <c r="H2026" s="35"/>
      <c r="P2026" s="6"/>
    </row>
    <row r="2027" spans="1:16" ht="14.4" x14ac:dyDescent="0.25">
      <c r="A2027" s="6">
        <v>1278</v>
      </c>
      <c r="B2027" s="6">
        <v>9281</v>
      </c>
      <c r="C2027" s="19">
        <v>40962</v>
      </c>
      <c r="D2027" s="6" t="s">
        <v>30</v>
      </c>
      <c r="E2027" s="6">
        <f>IF((ISBLANK($B$1)),"",Sheet1!Q2035)</f>
        <v>4600</v>
      </c>
      <c r="F2027" s="20" t="s">
        <v>26</v>
      </c>
      <c r="G2027" s="53">
        <f t="shared" si="32"/>
        <v>-0.108784504142654</v>
      </c>
      <c r="H2027" s="35"/>
      <c r="P2027" s="6"/>
    </row>
    <row r="2028" spans="1:16" ht="14.4" x14ac:dyDescent="0.25">
      <c r="A2028" s="6">
        <v>1285</v>
      </c>
      <c r="B2028" s="6">
        <v>9350</v>
      </c>
      <c r="C2028" s="19">
        <v>41213</v>
      </c>
      <c r="D2028" s="6" t="s">
        <v>30</v>
      </c>
      <c r="E2028" s="6">
        <f>IF((ISBLANK($B$1)),"",Sheet1!Q2036)</f>
        <v>4050</v>
      </c>
      <c r="F2028" s="20" t="s">
        <v>29</v>
      </c>
      <c r="G2028" s="53">
        <f t="shared" si="32"/>
        <v>-0.86830935413290289</v>
      </c>
      <c r="H2028" s="35"/>
      <c r="P2028" s="6"/>
    </row>
    <row r="2029" spans="1:16" ht="14.4" x14ac:dyDescent="0.25">
      <c r="A2029" s="6">
        <v>1286</v>
      </c>
      <c r="B2029" s="6">
        <v>9350</v>
      </c>
      <c r="C2029" s="19">
        <v>41213</v>
      </c>
      <c r="D2029" s="6" t="s">
        <v>30</v>
      </c>
      <c r="E2029" s="6">
        <f>IF((ISBLANK($B$1)),"",Sheet1!Q2037)</f>
        <v>3500</v>
      </c>
      <c r="F2029" s="20" t="s">
        <v>29</v>
      </c>
      <c r="G2029" s="53">
        <f t="shared" si="32"/>
        <v>-1.6278342041231517</v>
      </c>
      <c r="H2029" s="35"/>
      <c r="P2029" s="6"/>
    </row>
    <row r="2030" spans="1:16" ht="14.4" x14ac:dyDescent="0.25">
      <c r="A2030" s="6">
        <v>1322</v>
      </c>
      <c r="B2030" s="6">
        <v>9665</v>
      </c>
      <c r="C2030" s="19">
        <v>39926</v>
      </c>
      <c r="D2030" s="6" t="s">
        <v>25</v>
      </c>
      <c r="E2030" s="6">
        <f>IF((ISBLANK($B$1)),"",Sheet1!Q2038)</f>
        <v>5900</v>
      </c>
      <c r="F2030" s="20" t="s">
        <v>26</v>
      </c>
      <c r="G2030" s="53">
        <f t="shared" si="32"/>
        <v>1.6864560503797523</v>
      </c>
      <c r="H2030" s="35"/>
      <c r="P2030" s="6"/>
    </row>
    <row r="2031" spans="1:16" ht="14.4" x14ac:dyDescent="0.25">
      <c r="A2031" s="6">
        <v>1323</v>
      </c>
      <c r="B2031" s="6">
        <v>9665</v>
      </c>
      <c r="C2031" s="19">
        <v>39926</v>
      </c>
      <c r="D2031" s="6" t="s">
        <v>25</v>
      </c>
      <c r="E2031" s="6">
        <f>IF((ISBLANK($B$1)),"",Sheet1!Q2039)</f>
        <v>4350</v>
      </c>
      <c r="F2031" s="20" t="s">
        <v>29</v>
      </c>
      <c r="G2031" s="53">
        <f t="shared" si="32"/>
        <v>-0.45402307232003986</v>
      </c>
      <c r="H2031" s="35"/>
      <c r="P2031" s="6"/>
    </row>
    <row r="2032" spans="1:16" ht="14.4" x14ac:dyDescent="0.25">
      <c r="A2032" s="6">
        <v>1324</v>
      </c>
      <c r="B2032" s="6">
        <v>9665</v>
      </c>
      <c r="C2032" s="19">
        <v>39926</v>
      </c>
      <c r="D2032" s="6" t="s">
        <v>25</v>
      </c>
      <c r="E2032" s="6">
        <f>IF((ISBLANK($B$1)),"",Sheet1!Q2040)</f>
        <v>5850</v>
      </c>
      <c r="F2032" s="20" t="s">
        <v>29</v>
      </c>
      <c r="G2032" s="53">
        <f t="shared" si="32"/>
        <v>1.6174083367442753</v>
      </c>
      <c r="H2032" s="35"/>
      <c r="P2032" s="6"/>
    </row>
    <row r="2033" spans="1:16" ht="14.4" x14ac:dyDescent="0.25">
      <c r="A2033" s="6">
        <v>1357</v>
      </c>
      <c r="B2033" s="6">
        <v>9893</v>
      </c>
      <c r="C2033" s="19">
        <v>40041</v>
      </c>
      <c r="D2033" s="6" t="s">
        <v>16</v>
      </c>
      <c r="E2033" s="6">
        <f>IF((ISBLANK($B$1)),"",Sheet1!Q2041)</f>
        <v>3450</v>
      </c>
      <c r="F2033" s="20" t="s">
        <v>29</v>
      </c>
      <c r="G2033" s="53">
        <f t="shared" si="32"/>
        <v>-1.696881917758629</v>
      </c>
      <c r="H2033" s="35"/>
      <c r="P2033" s="6"/>
    </row>
    <row r="2034" spans="1:16" ht="14.4" x14ac:dyDescent="0.25">
      <c r="A2034" s="6">
        <v>1401</v>
      </c>
      <c r="B2034" s="6">
        <v>10183</v>
      </c>
      <c r="C2034" s="19">
        <v>40141</v>
      </c>
      <c r="D2034" s="6" t="s">
        <v>30</v>
      </c>
      <c r="E2034" s="6">
        <f>IF((ISBLANK($B$1)),"",Sheet1!Q2042)</f>
        <v>5800</v>
      </c>
      <c r="F2034" s="20" t="s">
        <v>29</v>
      </c>
      <c r="G2034" s="53">
        <f t="shared" si="32"/>
        <v>1.5483606231087981</v>
      </c>
      <c r="H2034" s="35"/>
      <c r="P2034" s="6"/>
    </row>
    <row r="2035" spans="1:16" ht="14.4" x14ac:dyDescent="0.25">
      <c r="A2035" s="6">
        <v>1413</v>
      </c>
      <c r="B2035" s="6">
        <v>10247</v>
      </c>
      <c r="C2035" s="19">
        <v>40188</v>
      </c>
      <c r="D2035" s="6" t="s">
        <v>16</v>
      </c>
      <c r="E2035" s="6">
        <f>IF((ISBLANK($B$1)),"",Sheet1!Q2043)</f>
        <v>4450</v>
      </c>
      <c r="F2035" s="20" t="s">
        <v>26</v>
      </c>
      <c r="G2035" s="53">
        <f t="shared" si="32"/>
        <v>-0.31592764504908549</v>
      </c>
      <c r="H2035" s="35"/>
      <c r="P2035" s="6"/>
    </row>
    <row r="2036" spans="1:16" ht="14.4" x14ac:dyDescent="0.25">
      <c r="A2036" s="6">
        <v>1414</v>
      </c>
      <c r="B2036" s="6">
        <v>10247</v>
      </c>
      <c r="C2036" s="19">
        <v>40188</v>
      </c>
      <c r="D2036" s="6" t="s">
        <v>16</v>
      </c>
      <c r="E2036" s="6">
        <f>IF((ISBLANK($B$1)),"",Sheet1!Q2044)</f>
        <v>4600</v>
      </c>
      <c r="F2036" s="20" t="s">
        <v>27</v>
      </c>
      <c r="G2036" s="53">
        <f t="shared" si="32"/>
        <v>-0.108784504142654</v>
      </c>
      <c r="H2036" s="35"/>
      <c r="P2036" s="6"/>
    </row>
    <row r="2037" spans="1:16" ht="14.4" x14ac:dyDescent="0.25">
      <c r="A2037" s="6">
        <v>1438</v>
      </c>
      <c r="B2037" s="6">
        <v>10371</v>
      </c>
      <c r="C2037" s="19">
        <v>40072</v>
      </c>
      <c r="D2037" s="6" t="s">
        <v>17</v>
      </c>
      <c r="E2037" s="6">
        <f>IF((ISBLANK($B$1)),"",Sheet1!Q2045)</f>
        <v>3900</v>
      </c>
      <c r="F2037" s="20" t="s">
        <v>26</v>
      </c>
      <c r="G2037" s="53">
        <f t="shared" si="32"/>
        <v>-1.0754524950393345</v>
      </c>
      <c r="H2037" s="35"/>
      <c r="P2037" s="6"/>
    </row>
    <row r="2038" spans="1:16" ht="14.4" x14ac:dyDescent="0.25">
      <c r="A2038" s="6">
        <v>1456</v>
      </c>
      <c r="B2038" s="6">
        <v>10498</v>
      </c>
      <c r="C2038" s="19">
        <v>40474</v>
      </c>
      <c r="D2038" s="6" t="s">
        <v>25</v>
      </c>
      <c r="E2038" s="6">
        <f>IF((ISBLANK($B$1)),"",Sheet1!Q2046)</f>
        <v>5750</v>
      </c>
      <c r="F2038" s="20" t="s">
        <v>26</v>
      </c>
      <c r="G2038" s="53">
        <f t="shared" si="32"/>
        <v>1.4793129094733208</v>
      </c>
      <c r="H2038" s="35"/>
      <c r="P2038" s="6"/>
    </row>
    <row r="2039" spans="1:16" ht="14.4" x14ac:dyDescent="0.25">
      <c r="A2039" s="6">
        <v>1470</v>
      </c>
      <c r="B2039" s="6">
        <v>10624</v>
      </c>
      <c r="C2039" s="19">
        <v>40167</v>
      </c>
      <c r="D2039" s="6" t="s">
        <v>30</v>
      </c>
      <c r="E2039" s="6">
        <f>IF((ISBLANK($B$1)),"",Sheet1!Q2047)</f>
        <v>4550</v>
      </c>
      <c r="F2039" s="20" t="s">
        <v>27</v>
      </c>
      <c r="G2039" s="53">
        <f t="shared" si="32"/>
        <v>-0.17783221777813119</v>
      </c>
      <c r="H2039" s="35"/>
      <c r="P2039" s="6"/>
    </row>
    <row r="2040" spans="1:16" ht="14.4" x14ac:dyDescent="0.25">
      <c r="A2040" s="6">
        <v>1579</v>
      </c>
      <c r="B2040" s="6">
        <v>11425</v>
      </c>
      <c r="C2040" s="19">
        <v>40716</v>
      </c>
      <c r="D2040" s="6" t="s">
        <v>30</v>
      </c>
      <c r="E2040" s="6">
        <f>IF((ISBLANK($B$1)),"",Sheet1!Q2048)</f>
        <v>4850</v>
      </c>
      <c r="F2040" s="20" t="s">
        <v>26</v>
      </c>
      <c r="G2040" s="53">
        <f t="shared" si="32"/>
        <v>0.23645406403473185</v>
      </c>
      <c r="H2040" s="35"/>
      <c r="P2040" s="6"/>
    </row>
    <row r="2041" spans="1:16" ht="14.4" x14ac:dyDescent="0.25">
      <c r="A2041" s="6">
        <v>1580</v>
      </c>
      <c r="B2041" s="6">
        <v>11425</v>
      </c>
      <c r="C2041" s="19">
        <v>40716</v>
      </c>
      <c r="D2041" s="6" t="s">
        <v>30</v>
      </c>
      <c r="E2041" s="6">
        <f>IF((ISBLANK($B$1)),"",Sheet1!Q2049)</f>
        <v>4550</v>
      </c>
      <c r="F2041" s="20" t="s">
        <v>27</v>
      </c>
      <c r="G2041" s="53">
        <f t="shared" si="32"/>
        <v>-0.17783221777813119</v>
      </c>
      <c r="H2041" s="35"/>
      <c r="P2041" s="6"/>
    </row>
    <row r="2042" spans="1:16" ht="14.4" x14ac:dyDescent="0.25">
      <c r="A2042" s="6">
        <v>1591</v>
      </c>
      <c r="B2042" s="6">
        <v>11491</v>
      </c>
      <c r="C2042" s="19">
        <v>40407</v>
      </c>
      <c r="D2042" s="6" t="s">
        <v>25</v>
      </c>
      <c r="E2042" s="6">
        <f>IF((ISBLANK($B$1)),"",Sheet1!Q2050)</f>
        <v>4700</v>
      </c>
      <c r="F2042" s="20" t="s">
        <v>27</v>
      </c>
      <c r="G2042" s="53">
        <f t="shared" si="32"/>
        <v>2.9310923128300338E-2</v>
      </c>
      <c r="H2042" s="35"/>
      <c r="P2042" s="6"/>
    </row>
    <row r="2043" spans="1:16" ht="14.4" x14ac:dyDescent="0.25">
      <c r="A2043" s="6">
        <v>1592</v>
      </c>
      <c r="B2043" s="6">
        <v>11491</v>
      </c>
      <c r="C2043" s="19">
        <v>40407</v>
      </c>
      <c r="D2043" s="6" t="s">
        <v>25</v>
      </c>
      <c r="E2043" s="6">
        <f>IF((ISBLANK($B$1)),"",Sheet1!Q2051)</f>
        <v>5300</v>
      </c>
      <c r="F2043" s="20" t="s">
        <v>29</v>
      </c>
      <c r="G2043" s="53">
        <f t="shared" si="32"/>
        <v>0.85788348675402637</v>
      </c>
      <c r="H2043" s="35"/>
      <c r="P2043" s="6"/>
    </row>
    <row r="2044" spans="1:16" ht="14.4" x14ac:dyDescent="0.25">
      <c r="A2044" s="6">
        <v>1636</v>
      </c>
      <c r="B2044" s="6">
        <v>11841</v>
      </c>
      <c r="C2044" s="19">
        <v>40288</v>
      </c>
      <c r="D2044" s="6" t="s">
        <v>16</v>
      </c>
      <c r="E2044" s="6">
        <f>IF((ISBLANK($B$1)),"",Sheet1!Q2052)</f>
        <v>5600</v>
      </c>
      <c r="F2044" s="20" t="s">
        <v>26</v>
      </c>
      <c r="G2044" s="53">
        <f t="shared" si="32"/>
        <v>1.2721697685668893</v>
      </c>
      <c r="H2044" s="35"/>
      <c r="P2044" s="6"/>
    </row>
    <row r="2045" spans="1:16" ht="14.4" x14ac:dyDescent="0.25">
      <c r="A2045" s="6">
        <v>1637</v>
      </c>
      <c r="B2045" s="6">
        <v>11841</v>
      </c>
      <c r="C2045" s="19">
        <v>40288</v>
      </c>
      <c r="D2045" s="6" t="s">
        <v>16</v>
      </c>
      <c r="E2045" s="6">
        <f>IF((ISBLANK($B$1)),"",Sheet1!Q2053)</f>
        <v>5700</v>
      </c>
      <c r="F2045" s="20" t="s">
        <v>26</v>
      </c>
      <c r="G2045" s="53">
        <f t="shared" si="32"/>
        <v>1.4102651958378438</v>
      </c>
      <c r="H2045" s="35"/>
      <c r="P2045" s="6"/>
    </row>
    <row r="2046" spans="1:16" ht="14.4" x14ac:dyDescent="0.25">
      <c r="A2046" s="6">
        <v>1648</v>
      </c>
      <c r="B2046" s="6">
        <v>11878</v>
      </c>
      <c r="C2046" s="19">
        <v>40233</v>
      </c>
      <c r="D2046" s="6" t="s">
        <v>28</v>
      </c>
      <c r="E2046" s="6">
        <f>IF((ISBLANK($B$1)),"",Sheet1!Q2054)</f>
        <v>4300</v>
      </c>
      <c r="F2046" s="20" t="s">
        <v>26</v>
      </c>
      <c r="G2046" s="53">
        <f t="shared" si="32"/>
        <v>-0.52307078595551704</v>
      </c>
      <c r="H2046" s="35"/>
      <c r="P2046" s="6"/>
    </row>
    <row r="2047" spans="1:16" ht="14.4" x14ac:dyDescent="0.25">
      <c r="A2047" s="6">
        <v>1649</v>
      </c>
      <c r="B2047" s="6">
        <v>11878</v>
      </c>
      <c r="C2047" s="19">
        <v>40233</v>
      </c>
      <c r="D2047" s="6" t="s">
        <v>28</v>
      </c>
      <c r="E2047" s="6">
        <f>IF((ISBLANK($B$1)),"",Sheet1!Q2055)</f>
        <v>4150</v>
      </c>
      <c r="F2047" s="20" t="s">
        <v>26</v>
      </c>
      <c r="G2047" s="53">
        <f t="shared" si="32"/>
        <v>-0.73021392686194853</v>
      </c>
      <c r="H2047" s="35"/>
      <c r="P2047" s="6"/>
    </row>
    <row r="2048" spans="1:16" ht="14.4" x14ac:dyDescent="0.25">
      <c r="A2048" s="6">
        <v>1682</v>
      </c>
      <c r="B2048" s="6">
        <v>12130</v>
      </c>
      <c r="C2048" s="19">
        <v>40886</v>
      </c>
      <c r="D2048" s="6" t="s">
        <v>28</v>
      </c>
      <c r="E2048" s="6">
        <f>IF((ISBLANK($B$1)),"",Sheet1!Q2056)</f>
        <v>5250</v>
      </c>
      <c r="F2048" s="20" t="s">
        <v>29</v>
      </c>
      <c r="G2048" s="53">
        <f t="shared" si="32"/>
        <v>0.78883577311854924</v>
      </c>
      <c r="H2048" s="35"/>
      <c r="P2048" s="6"/>
    </row>
    <row r="2049" spans="1:16" ht="14.4" x14ac:dyDescent="0.25">
      <c r="A2049" s="6">
        <v>1683</v>
      </c>
      <c r="B2049" s="6">
        <v>12130</v>
      </c>
      <c r="C2049" s="19">
        <v>40886</v>
      </c>
      <c r="D2049" s="6" t="s">
        <v>28</v>
      </c>
      <c r="E2049" s="6">
        <f>IF((ISBLANK($B$1)),"",Sheet1!Q2057)</f>
        <v>5500</v>
      </c>
      <c r="F2049" s="20" t="s">
        <v>27</v>
      </c>
      <c r="G2049" s="53">
        <f t="shared" si="32"/>
        <v>1.1340743412959351</v>
      </c>
      <c r="H2049" s="35"/>
      <c r="P2049" s="6"/>
    </row>
    <row r="2050" spans="1:16" ht="14.4" x14ac:dyDescent="0.25">
      <c r="A2050" s="6">
        <v>1684</v>
      </c>
      <c r="B2050" s="6">
        <v>12160</v>
      </c>
      <c r="C2050" s="19">
        <v>40524</v>
      </c>
      <c r="D2050" s="6" t="s">
        <v>25</v>
      </c>
      <c r="E2050" s="6">
        <f>IF((ISBLANK($B$1)),"",Sheet1!Q2058)</f>
        <v>5800</v>
      </c>
      <c r="F2050" s="20" t="s">
        <v>29</v>
      </c>
      <c r="G2050" s="53">
        <f t="shared" si="32"/>
        <v>1.5483606231087981</v>
      </c>
      <c r="H2050" s="35"/>
      <c r="P2050" s="6"/>
    </row>
    <row r="2051" spans="1:16" ht="14.4" x14ac:dyDescent="0.25">
      <c r="A2051" s="6">
        <v>1685</v>
      </c>
      <c r="B2051" s="6">
        <v>12160</v>
      </c>
      <c r="C2051" s="19">
        <v>40524</v>
      </c>
      <c r="D2051" s="6" t="s">
        <v>25</v>
      </c>
      <c r="E2051" s="6">
        <f>IF((ISBLANK($B$1)),"",Sheet1!Q2059)</f>
        <v>3500</v>
      </c>
      <c r="F2051" s="20" t="s">
        <v>29</v>
      </c>
      <c r="G2051" s="53">
        <f t="shared" si="32"/>
        <v>-1.6278342041231517</v>
      </c>
      <c r="H2051" s="35"/>
      <c r="P2051" s="6"/>
    </row>
    <row r="2052" spans="1:16" ht="14.4" x14ac:dyDescent="0.25">
      <c r="A2052" s="6">
        <v>1686</v>
      </c>
      <c r="B2052" s="6">
        <v>12160</v>
      </c>
      <c r="C2052" s="19">
        <v>40524</v>
      </c>
      <c r="D2052" s="6" t="s">
        <v>25</v>
      </c>
      <c r="E2052" s="6">
        <f>IF((ISBLANK($B$1)),"",Sheet1!Q2060)</f>
        <v>3850</v>
      </c>
      <c r="F2052" s="20" t="s">
        <v>29</v>
      </c>
      <c r="G2052" s="53">
        <f t="shared" si="32"/>
        <v>-1.1445002086748115</v>
      </c>
      <c r="H2052" s="35"/>
      <c r="P2052" s="6"/>
    </row>
    <row r="2053" spans="1:16" ht="14.4" x14ac:dyDescent="0.25">
      <c r="A2053" s="6">
        <v>1697</v>
      </c>
      <c r="B2053" s="6">
        <v>12258</v>
      </c>
      <c r="C2053" s="19">
        <v>40147</v>
      </c>
      <c r="D2053" s="6" t="s">
        <v>25</v>
      </c>
      <c r="E2053" s="6">
        <f>IF((ISBLANK($B$1)),"",Sheet1!Q2061)</f>
        <v>3550</v>
      </c>
      <c r="F2053" s="20" t="s">
        <v>29</v>
      </c>
      <c r="G2053" s="53">
        <f t="shared" si="32"/>
        <v>-1.5587864904876745</v>
      </c>
      <c r="H2053" s="35"/>
      <c r="P2053" s="6"/>
    </row>
    <row r="2054" spans="1:16" ht="14.4" x14ac:dyDescent="0.25">
      <c r="A2054" s="6">
        <v>1698</v>
      </c>
      <c r="B2054" s="6">
        <v>12258</v>
      </c>
      <c r="C2054" s="19">
        <v>40147</v>
      </c>
      <c r="D2054" s="6" t="s">
        <v>25</v>
      </c>
      <c r="E2054" s="6">
        <f>IF((ISBLANK($B$1)),"",Sheet1!Q2062)</f>
        <v>3500</v>
      </c>
      <c r="F2054" s="20" t="s">
        <v>26</v>
      </c>
      <c r="G2054" s="53">
        <f t="shared" si="32"/>
        <v>-1.6278342041231517</v>
      </c>
      <c r="H2054" s="35"/>
      <c r="P2054" s="6"/>
    </row>
    <row r="2055" spans="1:16" ht="14.4" x14ac:dyDescent="0.25">
      <c r="A2055" s="6">
        <v>1699</v>
      </c>
      <c r="B2055" s="6">
        <v>12258</v>
      </c>
      <c r="C2055" s="19">
        <v>40147</v>
      </c>
      <c r="D2055" s="6" t="s">
        <v>25</v>
      </c>
      <c r="E2055" s="6">
        <f>IF((ISBLANK($B$1)),"",Sheet1!Q2063)</f>
        <v>4500</v>
      </c>
      <c r="F2055" s="20" t="s">
        <v>29</v>
      </c>
      <c r="G2055" s="53">
        <f t="shared" si="32"/>
        <v>-0.24687993141360834</v>
      </c>
      <c r="H2055" s="35"/>
      <c r="P2055" s="6"/>
    </row>
    <row r="2056" spans="1:16" ht="14.4" x14ac:dyDescent="0.25">
      <c r="A2056" s="6">
        <v>1700</v>
      </c>
      <c r="B2056" s="6">
        <v>12258</v>
      </c>
      <c r="C2056" s="19">
        <v>40147</v>
      </c>
      <c r="D2056" s="6" t="s">
        <v>25</v>
      </c>
      <c r="E2056" s="6">
        <f>IF((ISBLANK($B$1)),"",Sheet1!Q2064)</f>
        <v>4750</v>
      </c>
      <c r="F2056" s="20" t="s">
        <v>26</v>
      </c>
      <c r="G2056" s="53">
        <f t="shared" ref="G2056:G2119" si="33">STANDARDIZE(E2056,$L$26,$L$35)</f>
        <v>9.8358636763777513E-2</v>
      </c>
      <c r="H2056" s="35"/>
      <c r="P2056" s="6"/>
    </row>
    <row r="2057" spans="1:16" ht="14.4" x14ac:dyDescent="0.25">
      <c r="A2057" s="6">
        <v>1709</v>
      </c>
      <c r="B2057" s="6">
        <v>12263</v>
      </c>
      <c r="C2057" s="19">
        <v>40730</v>
      </c>
      <c r="D2057" s="6" t="s">
        <v>17</v>
      </c>
      <c r="E2057" s="6">
        <f>IF((ISBLANK($B$1)),"",Sheet1!Q2065)</f>
        <v>4000</v>
      </c>
      <c r="F2057" s="20" t="s">
        <v>26</v>
      </c>
      <c r="G2057" s="53">
        <f t="shared" si="33"/>
        <v>-0.93735706776838001</v>
      </c>
      <c r="H2057" s="35"/>
      <c r="P2057" s="6"/>
    </row>
    <row r="2058" spans="1:16" ht="14.4" x14ac:dyDescent="0.25">
      <c r="A2058" s="6">
        <v>1752</v>
      </c>
      <c r="B2058" s="6">
        <v>12551</v>
      </c>
      <c r="C2058" s="19">
        <v>41071</v>
      </c>
      <c r="D2058" s="6" t="s">
        <v>25</v>
      </c>
      <c r="E2058" s="6">
        <f>IF((ISBLANK($B$1)),"",Sheet1!Q2066)</f>
        <v>5700</v>
      </c>
      <c r="F2058" s="20" t="s">
        <v>27</v>
      </c>
      <c r="G2058" s="53">
        <f t="shared" si="33"/>
        <v>1.4102651958378438</v>
      </c>
      <c r="H2058" s="35"/>
      <c r="P2058" s="6"/>
    </row>
    <row r="2059" spans="1:16" ht="14.4" x14ac:dyDescent="0.25">
      <c r="A2059" s="6">
        <v>1778</v>
      </c>
      <c r="B2059" s="6">
        <v>12736</v>
      </c>
      <c r="C2059" s="19">
        <v>40245</v>
      </c>
      <c r="D2059" s="6" t="s">
        <v>25</v>
      </c>
      <c r="E2059" s="6">
        <f>IF((ISBLANK($B$1)),"",Sheet1!Q2067)</f>
        <v>3500</v>
      </c>
      <c r="F2059" s="20" t="s">
        <v>29</v>
      </c>
      <c r="G2059" s="53">
        <f t="shared" si="33"/>
        <v>-1.6278342041231517</v>
      </c>
      <c r="H2059" s="35"/>
      <c r="P2059" s="6"/>
    </row>
    <row r="2060" spans="1:16" ht="14.4" x14ac:dyDescent="0.25">
      <c r="A2060" s="6">
        <v>1780</v>
      </c>
      <c r="B2060" s="6">
        <v>12768</v>
      </c>
      <c r="C2060" s="19">
        <v>39911</v>
      </c>
      <c r="D2060" s="6" t="s">
        <v>30</v>
      </c>
      <c r="E2060" s="6">
        <f>IF((ISBLANK($B$1)),"",Sheet1!Q2068)</f>
        <v>5100</v>
      </c>
      <c r="F2060" s="20" t="s">
        <v>26</v>
      </c>
      <c r="G2060" s="53">
        <f t="shared" si="33"/>
        <v>0.58169263221211776</v>
      </c>
      <c r="H2060" s="35"/>
      <c r="P2060" s="6"/>
    </row>
    <row r="2061" spans="1:16" ht="14.4" x14ac:dyDescent="0.25">
      <c r="A2061" s="6">
        <v>1792</v>
      </c>
      <c r="B2061" s="6">
        <v>12837</v>
      </c>
      <c r="C2061" s="19">
        <v>41245</v>
      </c>
      <c r="D2061" s="6" t="s">
        <v>16</v>
      </c>
      <c r="E2061" s="6">
        <f>IF((ISBLANK($B$1)),"",Sheet1!Q2069)</f>
        <v>4500</v>
      </c>
      <c r="F2061" s="20" t="s">
        <v>26</v>
      </c>
      <c r="G2061" s="53">
        <f t="shared" si="33"/>
        <v>-0.24687993141360834</v>
      </c>
      <c r="H2061" s="35"/>
      <c r="P2061" s="6"/>
    </row>
    <row r="2062" spans="1:16" ht="14.4" x14ac:dyDescent="0.25">
      <c r="A2062" s="6">
        <v>1799</v>
      </c>
      <c r="B2062" s="6">
        <v>12897</v>
      </c>
      <c r="C2062" s="19">
        <v>40742</v>
      </c>
      <c r="D2062" s="6" t="s">
        <v>28</v>
      </c>
      <c r="E2062" s="6">
        <f>IF((ISBLANK($B$1)),"",Sheet1!Q2070)</f>
        <v>5350</v>
      </c>
      <c r="F2062" s="20" t="s">
        <v>26</v>
      </c>
      <c r="G2062" s="53">
        <f t="shared" si="33"/>
        <v>0.92693120038950361</v>
      </c>
      <c r="H2062" s="35"/>
      <c r="P2062" s="6"/>
    </row>
    <row r="2063" spans="1:16" ht="14.4" x14ac:dyDescent="0.25">
      <c r="A2063" s="6">
        <v>1800</v>
      </c>
      <c r="B2063" s="6">
        <v>12897</v>
      </c>
      <c r="C2063" s="19">
        <v>40742</v>
      </c>
      <c r="D2063" s="6" t="s">
        <v>28</v>
      </c>
      <c r="E2063" s="6">
        <f>IF((ISBLANK($B$1)),"",Sheet1!Q2071)</f>
        <v>4950</v>
      </c>
      <c r="F2063" s="20" t="s">
        <v>26</v>
      </c>
      <c r="G2063" s="53">
        <f t="shared" si="33"/>
        <v>0.37454949130568621</v>
      </c>
      <c r="H2063" s="35"/>
      <c r="P2063" s="6"/>
    </row>
    <row r="2064" spans="1:16" ht="14.4" x14ac:dyDescent="0.25">
      <c r="A2064" s="6">
        <v>1817</v>
      </c>
      <c r="B2064" s="6">
        <v>13030</v>
      </c>
      <c r="C2064" s="19">
        <v>40016</v>
      </c>
      <c r="D2064" s="6" t="s">
        <v>16</v>
      </c>
      <c r="E2064" s="6">
        <f>IF((ISBLANK($B$1)),"",Sheet1!Q2072)</f>
        <v>5000</v>
      </c>
      <c r="F2064" s="20" t="s">
        <v>26</v>
      </c>
      <c r="G2064" s="53">
        <f t="shared" si="33"/>
        <v>0.44359720494116334</v>
      </c>
      <c r="H2064" s="35"/>
      <c r="P2064" s="6"/>
    </row>
    <row r="2065" spans="1:16" ht="14.4" x14ac:dyDescent="0.25">
      <c r="A2065" s="6">
        <v>1823</v>
      </c>
      <c r="B2065" s="6">
        <v>13091</v>
      </c>
      <c r="C2065" s="19">
        <v>40132</v>
      </c>
      <c r="D2065" s="6" t="s">
        <v>16</v>
      </c>
      <c r="E2065" s="6">
        <f>IF((ISBLANK($B$1)),"",Sheet1!Q2073)</f>
        <v>4000</v>
      </c>
      <c r="F2065" s="20" t="s">
        <v>26</v>
      </c>
      <c r="G2065" s="53">
        <f t="shared" si="33"/>
        <v>-0.93735706776838001</v>
      </c>
      <c r="H2065" s="35"/>
      <c r="P2065" s="6"/>
    </row>
    <row r="2066" spans="1:16" ht="14.4" x14ac:dyDescent="0.25">
      <c r="A2066" s="6">
        <v>1824</v>
      </c>
      <c r="B2066" s="6">
        <v>13091</v>
      </c>
      <c r="C2066" s="19">
        <v>40132</v>
      </c>
      <c r="D2066" s="6" t="s">
        <v>16</v>
      </c>
      <c r="E2066" s="6">
        <f>IF((ISBLANK($B$1)),"",Sheet1!Q2074)</f>
        <v>5350</v>
      </c>
      <c r="F2066" s="20" t="s">
        <v>26</v>
      </c>
      <c r="G2066" s="53">
        <f t="shared" si="33"/>
        <v>0.92693120038950361</v>
      </c>
      <c r="H2066" s="35"/>
      <c r="P2066" s="6"/>
    </row>
    <row r="2067" spans="1:16" ht="14.4" x14ac:dyDescent="0.25">
      <c r="A2067" s="6">
        <v>1862</v>
      </c>
      <c r="B2067" s="6">
        <v>13383</v>
      </c>
      <c r="C2067" s="19">
        <v>41075</v>
      </c>
      <c r="D2067" s="6" t="s">
        <v>28</v>
      </c>
      <c r="E2067" s="6">
        <f>IF((ISBLANK($B$1)),"",Sheet1!Q2075)</f>
        <v>5150</v>
      </c>
      <c r="F2067" s="20" t="s">
        <v>26</v>
      </c>
      <c r="G2067" s="53">
        <f t="shared" si="33"/>
        <v>0.65074034584759488</v>
      </c>
      <c r="H2067" s="35"/>
      <c r="P2067" s="6"/>
    </row>
    <row r="2068" spans="1:16" ht="14.4" x14ac:dyDescent="0.25">
      <c r="A2068" s="6">
        <v>1867</v>
      </c>
      <c r="B2068" s="6">
        <v>13440</v>
      </c>
      <c r="C2068" s="19">
        <v>40464</v>
      </c>
      <c r="D2068" s="6" t="s">
        <v>28</v>
      </c>
      <c r="E2068" s="6">
        <f>IF((ISBLANK($B$1)),"",Sheet1!Q2076)</f>
        <v>4500</v>
      </c>
      <c r="F2068" s="20" t="s">
        <v>27</v>
      </c>
      <c r="G2068" s="53">
        <f t="shared" si="33"/>
        <v>-0.24687993141360834</v>
      </c>
      <c r="H2068" s="35"/>
      <c r="P2068" s="6"/>
    </row>
    <row r="2069" spans="1:16" ht="14.4" x14ac:dyDescent="0.25">
      <c r="A2069" s="6">
        <v>1874</v>
      </c>
      <c r="B2069" s="6">
        <v>13479</v>
      </c>
      <c r="C2069" s="19">
        <v>40151</v>
      </c>
      <c r="D2069" s="6" t="s">
        <v>17</v>
      </c>
      <c r="E2069" s="6">
        <f>IF((ISBLANK($B$1)),"",Sheet1!Q2077)</f>
        <v>3550</v>
      </c>
      <c r="F2069" s="20" t="s">
        <v>27</v>
      </c>
      <c r="G2069" s="53">
        <f t="shared" si="33"/>
        <v>-1.5587864904876745</v>
      </c>
      <c r="H2069" s="35"/>
      <c r="P2069" s="6"/>
    </row>
    <row r="2070" spans="1:16" ht="14.4" x14ac:dyDescent="0.25">
      <c r="A2070" s="6">
        <v>1875</v>
      </c>
      <c r="B2070" s="6">
        <v>13479</v>
      </c>
      <c r="C2070" s="19">
        <v>40151</v>
      </c>
      <c r="D2070" s="6" t="s">
        <v>17</v>
      </c>
      <c r="E2070" s="6">
        <f>IF((ISBLANK($B$1)),"",Sheet1!Q2078)</f>
        <v>4050</v>
      </c>
      <c r="F2070" s="20" t="s">
        <v>27</v>
      </c>
      <c r="G2070" s="53">
        <f t="shared" si="33"/>
        <v>-0.86830935413290289</v>
      </c>
      <c r="H2070" s="35"/>
      <c r="P2070" s="6"/>
    </row>
    <row r="2071" spans="1:16" ht="14.4" x14ac:dyDescent="0.25">
      <c r="A2071" s="6">
        <v>1903</v>
      </c>
      <c r="B2071" s="6">
        <v>13633</v>
      </c>
      <c r="C2071" s="19">
        <v>41002</v>
      </c>
      <c r="D2071" s="6" t="s">
        <v>28</v>
      </c>
      <c r="E2071" s="6">
        <f>IF((ISBLANK($B$1)),"",Sheet1!Q2079)</f>
        <v>4300</v>
      </c>
      <c r="F2071" s="20" t="s">
        <v>29</v>
      </c>
      <c r="G2071" s="53">
        <f t="shared" si="33"/>
        <v>-0.52307078595551704</v>
      </c>
      <c r="H2071" s="35"/>
      <c r="P2071" s="6"/>
    </row>
    <row r="2072" spans="1:16" ht="14.4" x14ac:dyDescent="0.25">
      <c r="A2072" s="6">
        <v>1904</v>
      </c>
      <c r="B2072" s="6">
        <v>13633</v>
      </c>
      <c r="C2072" s="19">
        <v>41002</v>
      </c>
      <c r="D2072" s="6" t="s">
        <v>28</v>
      </c>
      <c r="E2072" s="6">
        <f>IF((ISBLANK($B$1)),"",Sheet1!Q2080)</f>
        <v>5350</v>
      </c>
      <c r="F2072" s="20" t="s">
        <v>26</v>
      </c>
      <c r="G2072" s="53">
        <f t="shared" si="33"/>
        <v>0.92693120038950361</v>
      </c>
      <c r="H2072" s="35"/>
      <c r="P2072" s="6"/>
    </row>
    <row r="2073" spans="1:16" ht="14.4" x14ac:dyDescent="0.25">
      <c r="A2073" s="6">
        <v>1917</v>
      </c>
      <c r="B2073" s="6">
        <v>13735</v>
      </c>
      <c r="C2073" s="19">
        <v>39954</v>
      </c>
      <c r="D2073" s="6" t="s">
        <v>16</v>
      </c>
      <c r="E2073" s="6">
        <f>IF((ISBLANK($B$1)),"",Sheet1!Q2081)</f>
        <v>5200</v>
      </c>
      <c r="F2073" s="20" t="s">
        <v>26</v>
      </c>
      <c r="G2073" s="53">
        <f t="shared" si="33"/>
        <v>0.71978805948307201</v>
      </c>
      <c r="H2073" s="35"/>
      <c r="P2073" s="6"/>
    </row>
    <row r="2074" spans="1:16" ht="14.4" x14ac:dyDescent="0.25">
      <c r="A2074" s="6">
        <v>1935</v>
      </c>
      <c r="B2074" s="6">
        <v>13861</v>
      </c>
      <c r="C2074" s="19">
        <v>40401</v>
      </c>
      <c r="D2074" s="6" t="s">
        <v>17</v>
      </c>
      <c r="E2074" s="6">
        <f>IF((ISBLANK($B$1)),"",Sheet1!Q2082)</f>
        <v>3750</v>
      </c>
      <c r="F2074" s="20" t="s">
        <v>26</v>
      </c>
      <c r="G2074" s="53">
        <f t="shared" si="33"/>
        <v>-1.282595635945766</v>
      </c>
      <c r="H2074" s="35"/>
      <c r="P2074" s="6"/>
    </row>
    <row r="2075" spans="1:16" ht="14.4" x14ac:dyDescent="0.25">
      <c r="A2075" s="6">
        <v>1937</v>
      </c>
      <c r="B2075" s="6">
        <v>13892</v>
      </c>
      <c r="C2075" s="19">
        <v>41026</v>
      </c>
      <c r="D2075" s="6" t="s">
        <v>17</v>
      </c>
      <c r="E2075" s="6">
        <f>IF((ISBLANK($B$1)),"",Sheet1!Q2083)</f>
        <v>5750</v>
      </c>
      <c r="F2075" s="20" t="s">
        <v>27</v>
      </c>
      <c r="G2075" s="53">
        <f t="shared" si="33"/>
        <v>1.4793129094733208</v>
      </c>
      <c r="H2075" s="35"/>
      <c r="P2075" s="6"/>
    </row>
    <row r="2076" spans="1:16" ht="14.4" x14ac:dyDescent="0.25">
      <c r="A2076" s="6">
        <v>1962</v>
      </c>
      <c r="B2076" s="6">
        <v>14023</v>
      </c>
      <c r="C2076" s="19">
        <v>40229</v>
      </c>
      <c r="D2076" s="6" t="s">
        <v>28</v>
      </c>
      <c r="E2076" s="6">
        <f>IF((ISBLANK($B$1)),"",Sheet1!Q2084)</f>
        <v>5200</v>
      </c>
      <c r="F2076" s="20" t="s">
        <v>26</v>
      </c>
      <c r="G2076" s="53">
        <f t="shared" si="33"/>
        <v>0.71978805948307201</v>
      </c>
      <c r="H2076" s="35"/>
      <c r="P2076" s="6"/>
    </row>
    <row r="2077" spans="1:16" ht="14.4" x14ac:dyDescent="0.25">
      <c r="A2077" s="6">
        <v>1963</v>
      </c>
      <c r="B2077" s="6">
        <v>14023</v>
      </c>
      <c r="C2077" s="19">
        <v>40229</v>
      </c>
      <c r="D2077" s="6" t="s">
        <v>28</v>
      </c>
      <c r="E2077" s="6">
        <f>IF((ISBLANK($B$1)),"",Sheet1!Q2085)</f>
        <v>5800</v>
      </c>
      <c r="F2077" s="20" t="s">
        <v>26</v>
      </c>
      <c r="G2077" s="53">
        <f t="shared" si="33"/>
        <v>1.5483606231087981</v>
      </c>
      <c r="H2077" s="35"/>
      <c r="P2077" s="6"/>
    </row>
    <row r="2078" spans="1:16" ht="14.4" x14ac:dyDescent="0.25">
      <c r="A2078" s="6">
        <v>1976</v>
      </c>
      <c r="B2078" s="6">
        <v>14115</v>
      </c>
      <c r="C2078" s="19">
        <v>40039</v>
      </c>
      <c r="D2078" s="6" t="s">
        <v>28</v>
      </c>
      <c r="E2078" s="6">
        <f>IF((ISBLANK($B$1)),"",Sheet1!Q2086)</f>
        <v>4600</v>
      </c>
      <c r="F2078" s="20" t="s">
        <v>29</v>
      </c>
      <c r="G2078" s="53">
        <f t="shared" si="33"/>
        <v>-0.108784504142654</v>
      </c>
      <c r="H2078" s="35"/>
      <c r="P2078" s="6"/>
    </row>
    <row r="2079" spans="1:16" ht="14.4" x14ac:dyDescent="0.25">
      <c r="A2079" s="6">
        <v>1977</v>
      </c>
      <c r="B2079" s="6">
        <v>14115</v>
      </c>
      <c r="C2079" s="19">
        <v>40039</v>
      </c>
      <c r="D2079" s="6" t="s">
        <v>28</v>
      </c>
      <c r="E2079" s="6">
        <f>IF((ISBLANK($B$1)),"",Sheet1!Q2087)</f>
        <v>5700</v>
      </c>
      <c r="F2079" s="20" t="s">
        <v>27</v>
      </c>
      <c r="G2079" s="53">
        <f t="shared" si="33"/>
        <v>1.4102651958378438</v>
      </c>
      <c r="H2079" s="35"/>
      <c r="P2079" s="6"/>
    </row>
    <row r="2080" spans="1:16" ht="14.4" x14ac:dyDescent="0.25">
      <c r="A2080" s="6">
        <v>1984</v>
      </c>
      <c r="B2080" s="6">
        <v>14147</v>
      </c>
      <c r="C2080" s="19">
        <v>40244</v>
      </c>
      <c r="D2080" s="6" t="s">
        <v>28</v>
      </c>
      <c r="E2080" s="6">
        <f>IF((ISBLANK($B$1)),"",Sheet1!Q2088)</f>
        <v>3800</v>
      </c>
      <c r="F2080" s="20" t="s">
        <v>26</v>
      </c>
      <c r="G2080" s="53">
        <f t="shared" si="33"/>
        <v>-1.2135479223102887</v>
      </c>
      <c r="H2080" s="35"/>
      <c r="P2080" s="6"/>
    </row>
    <row r="2081" spans="1:16" ht="14.4" x14ac:dyDescent="0.25">
      <c r="A2081" s="6">
        <v>1985</v>
      </c>
      <c r="B2081" s="6">
        <v>14147</v>
      </c>
      <c r="C2081" s="19">
        <v>40244</v>
      </c>
      <c r="D2081" s="6" t="s">
        <v>28</v>
      </c>
      <c r="E2081" s="6">
        <f>IF((ISBLANK($B$1)),"",Sheet1!Q2089)</f>
        <v>4200</v>
      </c>
      <c r="F2081" s="20" t="s">
        <v>26</v>
      </c>
      <c r="G2081" s="53">
        <f t="shared" si="33"/>
        <v>-0.6611662132264714</v>
      </c>
      <c r="H2081" s="35"/>
      <c r="P2081" s="6"/>
    </row>
    <row r="2082" spans="1:16" ht="14.4" x14ac:dyDescent="0.25">
      <c r="A2082" s="6">
        <v>1986</v>
      </c>
      <c r="B2082" s="6">
        <v>14147</v>
      </c>
      <c r="C2082" s="19">
        <v>40244</v>
      </c>
      <c r="D2082" s="6" t="s">
        <v>28</v>
      </c>
      <c r="E2082" s="6">
        <f>IF((ISBLANK($B$1)),"",Sheet1!Q2090)</f>
        <v>5650</v>
      </c>
      <c r="F2082" s="20" t="s">
        <v>26</v>
      </c>
      <c r="G2082" s="53">
        <f t="shared" si="33"/>
        <v>1.3412174822023666</v>
      </c>
      <c r="H2082" s="35"/>
      <c r="P2082" s="6"/>
    </row>
    <row r="2083" spans="1:16" ht="14.4" x14ac:dyDescent="0.25">
      <c r="A2083" s="6">
        <v>1990</v>
      </c>
      <c r="B2083" s="6">
        <v>14211</v>
      </c>
      <c r="C2083" s="19">
        <v>39856</v>
      </c>
      <c r="D2083" s="6" t="s">
        <v>28</v>
      </c>
      <c r="E2083" s="6">
        <f>IF((ISBLANK($B$1)),"",Sheet1!Q2091)</f>
        <v>4500</v>
      </c>
      <c r="F2083" s="20" t="s">
        <v>27</v>
      </c>
      <c r="G2083" s="53">
        <f t="shared" si="33"/>
        <v>-0.24687993141360834</v>
      </c>
      <c r="H2083" s="35"/>
      <c r="P2083" s="6"/>
    </row>
    <row r="2084" spans="1:16" ht="14.4" x14ac:dyDescent="0.25">
      <c r="A2084" s="6">
        <v>1991</v>
      </c>
      <c r="B2084" s="6">
        <v>14211</v>
      </c>
      <c r="C2084" s="19">
        <v>39856</v>
      </c>
      <c r="D2084" s="6" t="s">
        <v>28</v>
      </c>
      <c r="E2084" s="6">
        <f>IF((ISBLANK($B$1)),"",Sheet1!Q2092)</f>
        <v>4100</v>
      </c>
      <c r="F2084" s="20" t="s">
        <v>26</v>
      </c>
      <c r="G2084" s="53">
        <f t="shared" si="33"/>
        <v>-0.79926164049742576</v>
      </c>
      <c r="H2084" s="35"/>
      <c r="P2084" s="6"/>
    </row>
    <row r="2085" spans="1:16" ht="14.4" x14ac:dyDescent="0.25">
      <c r="A2085" s="6">
        <v>2011</v>
      </c>
      <c r="B2085" s="6">
        <v>14368</v>
      </c>
      <c r="C2085" s="19">
        <v>40796</v>
      </c>
      <c r="D2085" s="6" t="s">
        <v>17</v>
      </c>
      <c r="E2085" s="6">
        <f>IF((ISBLANK($B$1)),"",Sheet1!Q2093)</f>
        <v>3650</v>
      </c>
      <c r="F2085" s="20" t="s">
        <v>29</v>
      </c>
      <c r="G2085" s="53">
        <f t="shared" si="33"/>
        <v>-1.4206910632167202</v>
      </c>
      <c r="H2085" s="35"/>
      <c r="P2085" s="6"/>
    </row>
    <row r="2086" spans="1:16" ht="14.4" x14ac:dyDescent="0.25">
      <c r="A2086" s="6">
        <v>2012</v>
      </c>
      <c r="B2086" s="6">
        <v>14368</v>
      </c>
      <c r="C2086" s="19">
        <v>40796</v>
      </c>
      <c r="D2086" s="6" t="s">
        <v>17</v>
      </c>
      <c r="E2086" s="6">
        <f>IF((ISBLANK($B$1)),"",Sheet1!Q2094)</f>
        <v>5250</v>
      </c>
      <c r="F2086" s="20" t="s">
        <v>26</v>
      </c>
      <c r="G2086" s="53">
        <f t="shared" si="33"/>
        <v>0.78883577311854924</v>
      </c>
      <c r="H2086" s="35"/>
      <c r="P2086" s="6"/>
    </row>
    <row r="2087" spans="1:16" ht="14.4" x14ac:dyDescent="0.25">
      <c r="A2087" s="6">
        <v>2045</v>
      </c>
      <c r="B2087" s="6">
        <v>14596</v>
      </c>
      <c r="C2087" s="19">
        <v>39823</v>
      </c>
      <c r="D2087" s="6" t="s">
        <v>30</v>
      </c>
      <c r="E2087" s="6">
        <f>IF((ISBLANK($B$1)),"",Sheet1!Q2095)</f>
        <v>4600</v>
      </c>
      <c r="F2087" s="20" t="s">
        <v>29</v>
      </c>
      <c r="G2087" s="53">
        <f t="shared" si="33"/>
        <v>-0.108784504142654</v>
      </c>
      <c r="H2087" s="35"/>
      <c r="P2087" s="6"/>
    </row>
    <row r="2088" spans="1:16" ht="14.4" x14ac:dyDescent="0.25">
      <c r="A2088" s="6">
        <v>2046</v>
      </c>
      <c r="B2088" s="6">
        <v>14596</v>
      </c>
      <c r="C2088" s="19">
        <v>39823</v>
      </c>
      <c r="D2088" s="6" t="s">
        <v>30</v>
      </c>
      <c r="E2088" s="6">
        <f>IF((ISBLANK($B$1)),"",Sheet1!Q2096)</f>
        <v>4350</v>
      </c>
      <c r="F2088" s="20" t="s">
        <v>26</v>
      </c>
      <c r="G2088" s="53">
        <f t="shared" si="33"/>
        <v>-0.45402307232003986</v>
      </c>
      <c r="H2088" s="35"/>
      <c r="P2088" s="6"/>
    </row>
    <row r="2089" spans="1:16" ht="14.4" x14ac:dyDescent="0.25">
      <c r="A2089" s="6">
        <v>2055</v>
      </c>
      <c r="B2089" s="6">
        <v>14693</v>
      </c>
      <c r="C2089" s="19">
        <v>40552</v>
      </c>
      <c r="D2089" s="6" t="s">
        <v>30</v>
      </c>
      <c r="E2089" s="6">
        <f>IF((ISBLANK($B$1)),"",Sheet1!Q2097)</f>
        <v>5350</v>
      </c>
      <c r="F2089" s="20" t="s">
        <v>26</v>
      </c>
      <c r="G2089" s="53">
        <f t="shared" si="33"/>
        <v>0.92693120038950361</v>
      </c>
      <c r="H2089" s="35"/>
      <c r="P2089" s="6"/>
    </row>
    <row r="2090" spans="1:16" ht="14.4" x14ac:dyDescent="0.25">
      <c r="A2090" s="6">
        <v>2056</v>
      </c>
      <c r="B2090" s="6">
        <v>14693</v>
      </c>
      <c r="C2090" s="19">
        <v>40552</v>
      </c>
      <c r="D2090" s="6" t="s">
        <v>30</v>
      </c>
      <c r="E2090" s="6">
        <f>IF((ISBLANK($B$1)),"",Sheet1!Q2098)</f>
        <v>5300</v>
      </c>
      <c r="F2090" s="20" t="s">
        <v>26</v>
      </c>
      <c r="G2090" s="53">
        <f t="shared" si="33"/>
        <v>0.85788348675402637</v>
      </c>
      <c r="H2090" s="35"/>
      <c r="P2090" s="6"/>
    </row>
    <row r="2091" spans="1:16" ht="14.4" x14ac:dyDescent="0.25">
      <c r="A2091" s="6">
        <v>2057</v>
      </c>
      <c r="B2091" s="6">
        <v>14695</v>
      </c>
      <c r="C2091" s="19">
        <v>41157</v>
      </c>
      <c r="D2091" s="6" t="s">
        <v>17</v>
      </c>
      <c r="E2091" s="6">
        <f>IF((ISBLANK($B$1)),"",Sheet1!Q2099)</f>
        <v>5400</v>
      </c>
      <c r="F2091" s="20" t="s">
        <v>29</v>
      </c>
      <c r="G2091" s="53">
        <f t="shared" si="33"/>
        <v>0.99597891402498073</v>
      </c>
      <c r="H2091" s="35"/>
      <c r="P2091" s="6"/>
    </row>
    <row r="2092" spans="1:16" ht="14.4" x14ac:dyDescent="0.25">
      <c r="A2092" s="6">
        <v>2073</v>
      </c>
      <c r="B2092" s="6">
        <v>14823</v>
      </c>
      <c r="C2092" s="19">
        <v>39856</v>
      </c>
      <c r="D2092" s="6" t="s">
        <v>25</v>
      </c>
      <c r="E2092" s="6">
        <f>IF((ISBLANK($B$1)),"",Sheet1!Q2100)</f>
        <v>4150</v>
      </c>
      <c r="F2092" s="20" t="s">
        <v>26</v>
      </c>
      <c r="G2092" s="53">
        <f t="shared" si="33"/>
        <v>-0.73021392686194853</v>
      </c>
      <c r="H2092" s="35"/>
      <c r="P2092" s="6"/>
    </row>
    <row r="2093" spans="1:16" ht="14.4" x14ac:dyDescent="0.25">
      <c r="A2093" s="6">
        <v>2074</v>
      </c>
      <c r="B2093" s="6">
        <v>14823</v>
      </c>
      <c r="C2093" s="19">
        <v>39856</v>
      </c>
      <c r="D2093" s="6" t="s">
        <v>25</v>
      </c>
      <c r="E2093" s="6">
        <f>IF((ISBLANK($B$1)),"",Sheet1!Q2101)</f>
        <v>4400</v>
      </c>
      <c r="F2093" s="20" t="s">
        <v>26</v>
      </c>
      <c r="G2093" s="53">
        <f t="shared" si="33"/>
        <v>-0.38497535868456267</v>
      </c>
      <c r="H2093" s="35"/>
      <c r="P2093" s="6"/>
    </row>
    <row r="2094" spans="1:16" ht="14.4" x14ac:dyDescent="0.25">
      <c r="A2094" s="6">
        <v>2101</v>
      </c>
      <c r="B2094" s="6">
        <v>15014</v>
      </c>
      <c r="C2094" s="19">
        <v>40219</v>
      </c>
      <c r="D2094" s="6" t="s">
        <v>16</v>
      </c>
      <c r="E2094" s="6">
        <f>IF((ISBLANK($B$1)),"",Sheet1!Q2102)</f>
        <v>3900</v>
      </c>
      <c r="F2094" s="20" t="s">
        <v>29</v>
      </c>
      <c r="G2094" s="53">
        <f t="shared" si="33"/>
        <v>-1.0754524950393345</v>
      </c>
      <c r="H2094" s="35"/>
      <c r="P2094" s="6"/>
    </row>
    <row r="2095" spans="1:16" ht="14.4" x14ac:dyDescent="0.25">
      <c r="A2095" s="6">
        <v>2213</v>
      </c>
      <c r="B2095" s="6">
        <v>15972</v>
      </c>
      <c r="C2095" s="19">
        <v>40764</v>
      </c>
      <c r="D2095" s="6" t="s">
        <v>28</v>
      </c>
      <c r="E2095" s="6">
        <f>IF((ISBLANK($B$1)),"",Sheet1!Q2103)</f>
        <v>3550</v>
      </c>
      <c r="F2095" s="20" t="s">
        <v>26</v>
      </c>
      <c r="G2095" s="53">
        <f t="shared" si="33"/>
        <v>-1.5587864904876745</v>
      </c>
      <c r="H2095" s="35"/>
      <c r="P2095" s="6"/>
    </row>
    <row r="2096" spans="1:16" ht="14.4" x14ac:dyDescent="0.25">
      <c r="A2096" s="6">
        <v>2214</v>
      </c>
      <c r="B2096" s="6">
        <v>15972</v>
      </c>
      <c r="C2096" s="19">
        <v>40764</v>
      </c>
      <c r="D2096" s="6" t="s">
        <v>28</v>
      </c>
      <c r="E2096" s="6">
        <f>IF((ISBLANK($B$1)),"",Sheet1!Q2104)</f>
        <v>3500</v>
      </c>
      <c r="F2096" s="20" t="s">
        <v>26</v>
      </c>
      <c r="G2096" s="53">
        <f t="shared" si="33"/>
        <v>-1.6278342041231517</v>
      </c>
      <c r="H2096" s="35"/>
      <c r="P2096" s="6"/>
    </row>
    <row r="2097" spans="1:16" ht="14.4" x14ac:dyDescent="0.25">
      <c r="A2097" s="6">
        <v>2222</v>
      </c>
      <c r="B2097" s="6">
        <v>16065</v>
      </c>
      <c r="C2097" s="19">
        <v>40379</v>
      </c>
      <c r="D2097" s="6" t="s">
        <v>17</v>
      </c>
      <c r="E2097" s="6">
        <f>IF((ISBLANK($B$1)),"",Sheet1!Q2105)</f>
        <v>4150</v>
      </c>
      <c r="F2097" s="20" t="s">
        <v>27</v>
      </c>
      <c r="G2097" s="53">
        <f t="shared" si="33"/>
        <v>-0.73021392686194853</v>
      </c>
      <c r="H2097" s="35"/>
      <c r="P2097" s="6"/>
    </row>
    <row r="2098" spans="1:16" ht="14.4" x14ac:dyDescent="0.25">
      <c r="A2098" s="6">
        <v>2223</v>
      </c>
      <c r="B2098" s="6">
        <v>16065</v>
      </c>
      <c r="C2098" s="19">
        <v>40379</v>
      </c>
      <c r="D2098" s="6" t="s">
        <v>17</v>
      </c>
      <c r="E2098" s="6">
        <f>IF((ISBLANK($B$1)),"",Sheet1!Q2106)</f>
        <v>4100</v>
      </c>
      <c r="F2098" s="20" t="s">
        <v>26</v>
      </c>
      <c r="G2098" s="53">
        <f t="shared" si="33"/>
        <v>-0.79926164049742576</v>
      </c>
      <c r="H2098" s="35"/>
      <c r="P2098" s="6"/>
    </row>
    <row r="2099" spans="1:16" ht="14.4" x14ac:dyDescent="0.25">
      <c r="A2099" s="6">
        <v>2224</v>
      </c>
      <c r="B2099" s="6">
        <v>16096</v>
      </c>
      <c r="C2099" s="19">
        <v>40562</v>
      </c>
      <c r="D2099" s="6" t="s">
        <v>17</v>
      </c>
      <c r="E2099" s="6">
        <f>IF((ISBLANK($B$1)),"",Sheet1!Q2107)</f>
        <v>3850</v>
      </c>
      <c r="F2099" s="20" t="s">
        <v>26</v>
      </c>
      <c r="G2099" s="53">
        <f t="shared" si="33"/>
        <v>-1.1445002086748115</v>
      </c>
      <c r="H2099" s="35"/>
      <c r="P2099" s="6"/>
    </row>
    <row r="2100" spans="1:16" ht="14.4" x14ac:dyDescent="0.25">
      <c r="A2100" s="6">
        <v>2236</v>
      </c>
      <c r="B2100" s="6">
        <v>16160</v>
      </c>
      <c r="C2100" s="19">
        <v>40747</v>
      </c>
      <c r="D2100" s="6" t="s">
        <v>30</v>
      </c>
      <c r="E2100" s="6">
        <f>IF((ISBLANK($B$1)),"",Sheet1!Q2108)</f>
        <v>5900</v>
      </c>
      <c r="F2100" s="20" t="s">
        <v>26</v>
      </c>
      <c r="G2100" s="53">
        <f t="shared" si="33"/>
        <v>1.6864560503797523</v>
      </c>
      <c r="H2100" s="35"/>
      <c r="P2100" s="6"/>
    </row>
    <row r="2101" spans="1:16" ht="14.4" x14ac:dyDescent="0.25">
      <c r="A2101" s="6">
        <v>2249</v>
      </c>
      <c r="B2101" s="6">
        <v>16196</v>
      </c>
      <c r="C2101" s="19">
        <v>40106</v>
      </c>
      <c r="D2101" s="6" t="s">
        <v>17</v>
      </c>
      <c r="E2101" s="6">
        <f>IF((ISBLANK($B$1)),"",Sheet1!Q2109)</f>
        <v>5600</v>
      </c>
      <c r="F2101" s="20" t="s">
        <v>29</v>
      </c>
      <c r="G2101" s="53">
        <f t="shared" si="33"/>
        <v>1.2721697685668893</v>
      </c>
      <c r="H2101" s="35"/>
      <c r="P2101" s="6"/>
    </row>
    <row r="2102" spans="1:16" ht="14.4" x14ac:dyDescent="0.25">
      <c r="A2102" s="6">
        <v>2250</v>
      </c>
      <c r="B2102" s="6">
        <v>16196</v>
      </c>
      <c r="C2102" s="19">
        <v>40106</v>
      </c>
      <c r="D2102" s="6" t="s">
        <v>17</v>
      </c>
      <c r="E2102" s="6">
        <f>IF((ISBLANK($B$1)),"",Sheet1!Q2110)</f>
        <v>5350</v>
      </c>
      <c r="F2102" s="20" t="s">
        <v>27</v>
      </c>
      <c r="G2102" s="53">
        <f t="shared" si="33"/>
        <v>0.92693120038950361</v>
      </c>
      <c r="H2102" s="35"/>
      <c r="P2102" s="6"/>
    </row>
    <row r="2103" spans="1:16" ht="14.4" x14ac:dyDescent="0.25">
      <c r="A2103" s="6">
        <v>2268</v>
      </c>
      <c r="B2103" s="6">
        <v>16291</v>
      </c>
      <c r="C2103" s="19">
        <v>40641</v>
      </c>
      <c r="D2103" s="6" t="s">
        <v>28</v>
      </c>
      <c r="E2103" s="6">
        <f>IF((ISBLANK($B$1)),"",Sheet1!Q2111)</f>
        <v>4950</v>
      </c>
      <c r="F2103" s="20" t="s">
        <v>29</v>
      </c>
      <c r="G2103" s="53">
        <f t="shared" si="33"/>
        <v>0.37454949130568621</v>
      </c>
      <c r="H2103" s="35"/>
      <c r="P2103" s="6"/>
    </row>
    <row r="2104" spans="1:16" ht="14.4" x14ac:dyDescent="0.25">
      <c r="A2104" s="6">
        <v>2292</v>
      </c>
      <c r="B2104" s="6">
        <v>16519</v>
      </c>
      <c r="C2104" s="19">
        <v>40704</v>
      </c>
      <c r="D2104" s="6" t="s">
        <v>16</v>
      </c>
      <c r="E2104" s="6">
        <f>IF((ISBLANK($B$1)),"",Sheet1!Q2112)</f>
        <v>5350</v>
      </c>
      <c r="F2104" s="20" t="s">
        <v>26</v>
      </c>
      <c r="G2104" s="53">
        <f t="shared" si="33"/>
        <v>0.92693120038950361</v>
      </c>
      <c r="H2104" s="35"/>
      <c r="P2104" s="6"/>
    </row>
    <row r="2105" spans="1:16" ht="14.4" x14ac:dyDescent="0.25">
      <c r="A2105" s="6">
        <v>2293</v>
      </c>
      <c r="B2105" s="6">
        <v>16519</v>
      </c>
      <c r="C2105" s="19">
        <v>40704</v>
      </c>
      <c r="D2105" s="6" t="s">
        <v>16</v>
      </c>
      <c r="E2105" s="6">
        <f>IF((ISBLANK($B$1)),"",Sheet1!Q2113)</f>
        <v>5850</v>
      </c>
      <c r="F2105" s="20" t="s">
        <v>26</v>
      </c>
      <c r="G2105" s="53">
        <f t="shared" si="33"/>
        <v>1.6174083367442753</v>
      </c>
      <c r="H2105" s="35"/>
      <c r="P2105" s="6"/>
    </row>
    <row r="2106" spans="1:16" ht="14.4" x14ac:dyDescent="0.25">
      <c r="A2106" s="6">
        <v>2298</v>
      </c>
      <c r="B2106" s="6">
        <v>16548</v>
      </c>
      <c r="C2106" s="19">
        <v>40944</v>
      </c>
      <c r="D2106" s="6" t="s">
        <v>28</v>
      </c>
      <c r="E2106" s="6">
        <f>IF((ISBLANK($B$1)),"",Sheet1!Q2114)</f>
        <v>4500</v>
      </c>
      <c r="F2106" s="20" t="s">
        <v>29</v>
      </c>
      <c r="G2106" s="53">
        <f t="shared" si="33"/>
        <v>-0.24687993141360834</v>
      </c>
      <c r="H2106" s="35"/>
      <c r="P2106" s="6"/>
    </row>
    <row r="2107" spans="1:16" ht="14.4" x14ac:dyDescent="0.25">
      <c r="A2107" s="6">
        <v>2306</v>
      </c>
      <c r="B2107" s="6">
        <v>16613</v>
      </c>
      <c r="C2107" s="19">
        <v>40536</v>
      </c>
      <c r="D2107" s="6" t="s">
        <v>17</v>
      </c>
      <c r="E2107" s="6">
        <f>IF((ISBLANK($B$1)),"",Sheet1!Q2115)</f>
        <v>4800</v>
      </c>
      <c r="F2107" s="20" t="s">
        <v>29</v>
      </c>
      <c r="G2107" s="53">
        <f t="shared" si="33"/>
        <v>0.16740635039925467</v>
      </c>
      <c r="H2107" s="35"/>
      <c r="P2107" s="6"/>
    </row>
    <row r="2108" spans="1:16" ht="14.4" x14ac:dyDescent="0.25">
      <c r="A2108" s="6">
        <v>2326</v>
      </c>
      <c r="B2108" s="6">
        <v>16771</v>
      </c>
      <c r="C2108" s="19">
        <v>40084</v>
      </c>
      <c r="D2108" s="6" t="s">
        <v>17</v>
      </c>
      <c r="E2108" s="6">
        <f>IF((ISBLANK($B$1)),"",Sheet1!Q2116)</f>
        <v>5500</v>
      </c>
      <c r="F2108" s="20" t="s">
        <v>29</v>
      </c>
      <c r="G2108" s="53">
        <f t="shared" si="33"/>
        <v>1.1340743412959351</v>
      </c>
      <c r="H2108" s="35"/>
      <c r="P2108" s="6"/>
    </row>
    <row r="2109" spans="1:16" ht="14.4" x14ac:dyDescent="0.25">
      <c r="A2109" s="6">
        <v>2331</v>
      </c>
      <c r="B2109" s="6">
        <v>16804</v>
      </c>
      <c r="C2109" s="19">
        <v>40978</v>
      </c>
      <c r="D2109" s="6" t="s">
        <v>17</v>
      </c>
      <c r="E2109" s="6">
        <f>IF((ISBLANK($B$1)),"",Sheet1!Q2117)</f>
        <v>5700</v>
      </c>
      <c r="F2109" s="20" t="s">
        <v>26</v>
      </c>
      <c r="G2109" s="53">
        <f t="shared" si="33"/>
        <v>1.4102651958378438</v>
      </c>
      <c r="H2109" s="35"/>
      <c r="P2109" s="6"/>
    </row>
    <row r="2110" spans="1:16" ht="14.4" x14ac:dyDescent="0.25">
      <c r="A2110" s="6">
        <v>2332</v>
      </c>
      <c r="B2110" s="6">
        <v>16804</v>
      </c>
      <c r="C2110" s="19">
        <v>40978</v>
      </c>
      <c r="D2110" s="6" t="s">
        <v>17</v>
      </c>
      <c r="E2110" s="6">
        <f>IF((ISBLANK($B$1)),"",Sheet1!Q2118)</f>
        <v>5200</v>
      </c>
      <c r="F2110" s="20" t="s">
        <v>26</v>
      </c>
      <c r="G2110" s="53">
        <f t="shared" si="33"/>
        <v>0.71978805948307201</v>
      </c>
      <c r="H2110" s="35"/>
      <c r="P2110" s="6"/>
    </row>
    <row r="2111" spans="1:16" ht="14.4" x14ac:dyDescent="0.25">
      <c r="A2111" s="6">
        <v>2358</v>
      </c>
      <c r="B2111" s="6">
        <v>17024</v>
      </c>
      <c r="C2111" s="19">
        <v>40099</v>
      </c>
      <c r="D2111" s="6" t="s">
        <v>16</v>
      </c>
      <c r="E2111" s="6">
        <f>IF((ISBLANK($B$1)),"",Sheet1!Q2119)</f>
        <v>4950</v>
      </c>
      <c r="F2111" s="20" t="s">
        <v>26</v>
      </c>
      <c r="G2111" s="53">
        <f t="shared" si="33"/>
        <v>0.37454949130568621</v>
      </c>
      <c r="H2111" s="35"/>
      <c r="P2111" s="6"/>
    </row>
    <row r="2112" spans="1:16" ht="14.4" x14ac:dyDescent="0.25">
      <c r="A2112" s="6">
        <v>2361</v>
      </c>
      <c r="B2112" s="6">
        <v>17061</v>
      </c>
      <c r="C2112" s="19">
        <v>41212</v>
      </c>
      <c r="D2112" s="6" t="s">
        <v>30</v>
      </c>
      <c r="E2112" s="6">
        <f>IF((ISBLANK($B$1)),"",Sheet1!Q2120)</f>
        <v>4800</v>
      </c>
      <c r="F2112" s="20" t="s">
        <v>26</v>
      </c>
      <c r="G2112" s="53">
        <f t="shared" si="33"/>
        <v>0.16740635039925467</v>
      </c>
      <c r="H2112" s="35"/>
      <c r="P2112" s="6"/>
    </row>
    <row r="2113" spans="1:16" ht="14.4" x14ac:dyDescent="0.25">
      <c r="A2113" s="6">
        <v>2367</v>
      </c>
      <c r="B2113" s="6">
        <v>17152</v>
      </c>
      <c r="C2113" s="19">
        <v>40980</v>
      </c>
      <c r="D2113" s="6" t="s">
        <v>17</v>
      </c>
      <c r="E2113" s="6">
        <f>IF((ISBLANK($B$1)),"",Sheet1!Q2121)</f>
        <v>5000</v>
      </c>
      <c r="F2113" s="20" t="s">
        <v>26</v>
      </c>
      <c r="G2113" s="53">
        <f t="shared" si="33"/>
        <v>0.44359720494116334</v>
      </c>
      <c r="H2113" s="35"/>
      <c r="P2113" s="6"/>
    </row>
    <row r="2114" spans="1:16" ht="14.4" x14ac:dyDescent="0.25">
      <c r="A2114" s="6">
        <v>2373</v>
      </c>
      <c r="B2114" s="6">
        <v>17187</v>
      </c>
      <c r="C2114" s="19">
        <v>41175</v>
      </c>
      <c r="D2114" s="6" t="s">
        <v>17</v>
      </c>
      <c r="E2114" s="6">
        <f>IF((ISBLANK($B$1)),"",Sheet1!Q2122)</f>
        <v>3600</v>
      </c>
      <c r="F2114" s="20" t="s">
        <v>27</v>
      </c>
      <c r="G2114" s="53">
        <f t="shared" si="33"/>
        <v>-1.4897387768521975</v>
      </c>
      <c r="H2114" s="35"/>
      <c r="P2114" s="6"/>
    </row>
    <row r="2115" spans="1:16" ht="14.4" x14ac:dyDescent="0.25">
      <c r="A2115" s="6">
        <v>2378</v>
      </c>
      <c r="B2115" s="6">
        <v>17252</v>
      </c>
      <c r="C2115" s="19">
        <v>40662</v>
      </c>
      <c r="D2115" s="6" t="s">
        <v>28</v>
      </c>
      <c r="E2115" s="6">
        <f>IF((ISBLANK($B$1)),"",Sheet1!Q2123)</f>
        <v>5800</v>
      </c>
      <c r="F2115" s="20" t="s">
        <v>26</v>
      </c>
      <c r="G2115" s="53">
        <f t="shared" si="33"/>
        <v>1.5483606231087981</v>
      </c>
      <c r="H2115" s="35"/>
      <c r="P2115" s="6"/>
    </row>
    <row r="2116" spans="1:16" ht="14.4" x14ac:dyDescent="0.25">
      <c r="A2116" s="6">
        <v>2379</v>
      </c>
      <c r="B2116" s="6">
        <v>17252</v>
      </c>
      <c r="C2116" s="19">
        <v>40662</v>
      </c>
      <c r="D2116" s="6" t="s">
        <v>28</v>
      </c>
      <c r="E2116" s="6">
        <f>IF((ISBLANK($B$1)),"",Sheet1!Q2124)</f>
        <v>5850</v>
      </c>
      <c r="F2116" s="20" t="s">
        <v>29</v>
      </c>
      <c r="G2116" s="53">
        <f t="shared" si="33"/>
        <v>1.6174083367442753</v>
      </c>
      <c r="H2116" s="35"/>
      <c r="P2116" s="6"/>
    </row>
    <row r="2117" spans="1:16" ht="14.4" x14ac:dyDescent="0.25">
      <c r="A2117" s="6">
        <v>2388</v>
      </c>
      <c r="B2117" s="6">
        <v>17312</v>
      </c>
      <c r="C2117" s="19">
        <v>40683</v>
      </c>
      <c r="D2117" s="6" t="s">
        <v>28</v>
      </c>
      <c r="E2117" s="6">
        <f>IF((ISBLANK($B$1)),"",Sheet1!Q2125)</f>
        <v>5250</v>
      </c>
      <c r="F2117" s="20" t="s">
        <v>26</v>
      </c>
      <c r="G2117" s="53">
        <f t="shared" si="33"/>
        <v>0.78883577311854924</v>
      </c>
      <c r="H2117" s="35"/>
      <c r="P2117" s="6"/>
    </row>
    <row r="2118" spans="1:16" ht="14.4" x14ac:dyDescent="0.25">
      <c r="A2118" s="6">
        <v>2389</v>
      </c>
      <c r="B2118" s="6">
        <v>17312</v>
      </c>
      <c r="C2118" s="19">
        <v>40683</v>
      </c>
      <c r="D2118" s="6" t="s">
        <v>28</v>
      </c>
      <c r="E2118" s="6">
        <f>IF((ISBLANK($B$1)),"",Sheet1!Q2126)</f>
        <v>5450</v>
      </c>
      <c r="F2118" s="20" t="s">
        <v>27</v>
      </c>
      <c r="G2118" s="53">
        <f t="shared" si="33"/>
        <v>1.0650266276604579</v>
      </c>
      <c r="H2118" s="35"/>
      <c r="P2118" s="6"/>
    </row>
    <row r="2119" spans="1:16" ht="14.4" x14ac:dyDescent="0.25">
      <c r="A2119" s="6">
        <v>2396</v>
      </c>
      <c r="B2119" s="6">
        <v>17377</v>
      </c>
      <c r="C2119" s="19">
        <v>40844</v>
      </c>
      <c r="D2119" s="6" t="s">
        <v>25</v>
      </c>
      <c r="E2119" s="6">
        <f>IF((ISBLANK($B$1)),"",Sheet1!Q2127)</f>
        <v>5350</v>
      </c>
      <c r="F2119" s="20" t="s">
        <v>26</v>
      </c>
      <c r="G2119" s="53">
        <f t="shared" si="33"/>
        <v>0.92693120038950361</v>
      </c>
      <c r="H2119" s="35"/>
      <c r="P2119" s="6"/>
    </row>
    <row r="2120" spans="1:16" ht="14.4" x14ac:dyDescent="0.25">
      <c r="A2120" s="6">
        <v>2427</v>
      </c>
      <c r="B2120" s="6">
        <v>17634</v>
      </c>
      <c r="C2120" s="19">
        <v>41111</v>
      </c>
      <c r="D2120" s="6" t="s">
        <v>17</v>
      </c>
      <c r="E2120" s="6">
        <f>IF((ISBLANK($B$1)),"",Sheet1!Q2128)</f>
        <v>3650</v>
      </c>
      <c r="F2120" s="20" t="s">
        <v>29</v>
      </c>
      <c r="G2120" s="53">
        <f t="shared" ref="G2120:G2183" si="34">STANDARDIZE(E2120,$L$26,$L$35)</f>
        <v>-1.4206910632167202</v>
      </c>
      <c r="H2120" s="35"/>
      <c r="P2120" s="6"/>
    </row>
    <row r="2121" spans="1:16" ht="14.4" x14ac:dyDescent="0.25">
      <c r="A2121" s="6">
        <v>2431</v>
      </c>
      <c r="B2121" s="6">
        <v>17668</v>
      </c>
      <c r="C2121" s="19">
        <v>40142</v>
      </c>
      <c r="D2121" s="6" t="s">
        <v>16</v>
      </c>
      <c r="E2121" s="6">
        <f>IF((ISBLANK($B$1)),"",Sheet1!Q2129)</f>
        <v>5850</v>
      </c>
      <c r="F2121" s="20" t="s">
        <v>27</v>
      </c>
      <c r="G2121" s="53">
        <f t="shared" si="34"/>
        <v>1.6174083367442753</v>
      </c>
      <c r="H2121" s="35"/>
      <c r="P2121" s="6"/>
    </row>
    <row r="2122" spans="1:16" ht="14.4" x14ac:dyDescent="0.25">
      <c r="A2122" s="6">
        <v>2432</v>
      </c>
      <c r="B2122" s="6">
        <v>17668</v>
      </c>
      <c r="C2122" s="19">
        <v>40142</v>
      </c>
      <c r="D2122" s="6" t="s">
        <v>16</v>
      </c>
      <c r="E2122" s="6">
        <f>IF((ISBLANK($B$1)),"",Sheet1!Q2130)</f>
        <v>4600</v>
      </c>
      <c r="F2122" s="20" t="s">
        <v>27</v>
      </c>
      <c r="G2122" s="53">
        <f t="shared" si="34"/>
        <v>-0.108784504142654</v>
      </c>
      <c r="H2122" s="35"/>
      <c r="P2122" s="6"/>
    </row>
    <row r="2123" spans="1:16" ht="14.4" x14ac:dyDescent="0.25">
      <c r="A2123" s="6">
        <v>2433</v>
      </c>
      <c r="B2123" s="6">
        <v>17668</v>
      </c>
      <c r="C2123" s="19">
        <v>40142</v>
      </c>
      <c r="D2123" s="6" t="s">
        <v>16</v>
      </c>
      <c r="E2123" s="6">
        <f>IF((ISBLANK($B$1)),"",Sheet1!Q2131)</f>
        <v>4050</v>
      </c>
      <c r="F2123" s="20" t="s">
        <v>27</v>
      </c>
      <c r="G2123" s="53">
        <f t="shared" si="34"/>
        <v>-0.86830935413290289</v>
      </c>
      <c r="H2123" s="35"/>
      <c r="P2123" s="6"/>
    </row>
    <row r="2124" spans="1:16" ht="14.4" x14ac:dyDescent="0.25">
      <c r="A2124" s="6">
        <v>2443</v>
      </c>
      <c r="B2124" s="6">
        <v>17735</v>
      </c>
      <c r="C2124" s="19">
        <v>41102</v>
      </c>
      <c r="D2124" s="6" t="s">
        <v>25</v>
      </c>
      <c r="E2124" s="6">
        <f>IF((ISBLANK($B$1)),"",Sheet1!Q2132)</f>
        <v>5650</v>
      </c>
      <c r="F2124" s="20" t="s">
        <v>26</v>
      </c>
      <c r="G2124" s="53">
        <f t="shared" si="34"/>
        <v>1.3412174822023666</v>
      </c>
      <c r="H2124" s="35"/>
      <c r="P2124" s="6"/>
    </row>
    <row r="2125" spans="1:16" ht="14.4" x14ac:dyDescent="0.25">
      <c r="A2125" s="6">
        <v>2444</v>
      </c>
      <c r="B2125" s="6">
        <v>17735</v>
      </c>
      <c r="C2125" s="19">
        <v>41102</v>
      </c>
      <c r="D2125" s="6" t="s">
        <v>25</v>
      </c>
      <c r="E2125" s="6">
        <f>IF((ISBLANK($B$1)),"",Sheet1!Q2133)</f>
        <v>4800</v>
      </c>
      <c r="F2125" s="20" t="s">
        <v>26</v>
      </c>
      <c r="G2125" s="53">
        <f t="shared" si="34"/>
        <v>0.16740635039925467</v>
      </c>
      <c r="H2125" s="35"/>
      <c r="P2125" s="6"/>
    </row>
    <row r="2126" spans="1:16" ht="14.4" x14ac:dyDescent="0.25">
      <c r="A2126" s="6">
        <v>2451</v>
      </c>
      <c r="B2126" s="6">
        <v>17825</v>
      </c>
      <c r="C2126" s="19">
        <v>40191</v>
      </c>
      <c r="D2126" s="6" t="s">
        <v>28</v>
      </c>
      <c r="E2126" s="6">
        <f>IF((ISBLANK($B$1)),"",Sheet1!Q2134)</f>
        <v>4700</v>
      </c>
      <c r="F2126" s="20" t="s">
        <v>26</v>
      </c>
      <c r="G2126" s="53">
        <f t="shared" si="34"/>
        <v>2.9310923128300338E-2</v>
      </c>
      <c r="H2126" s="35"/>
      <c r="P2126" s="6"/>
    </row>
    <row r="2127" spans="1:16" ht="14.4" x14ac:dyDescent="0.25">
      <c r="A2127" s="6">
        <v>2469</v>
      </c>
      <c r="B2127" s="6">
        <v>17956</v>
      </c>
      <c r="C2127" s="19">
        <v>40395</v>
      </c>
      <c r="D2127" s="6" t="s">
        <v>30</v>
      </c>
      <c r="E2127" s="6">
        <f>IF((ISBLANK($B$1)),"",Sheet1!Q2135)</f>
        <v>5400</v>
      </c>
      <c r="F2127" s="20" t="s">
        <v>26</v>
      </c>
      <c r="G2127" s="53">
        <f t="shared" si="34"/>
        <v>0.99597891402498073</v>
      </c>
      <c r="H2127" s="35"/>
      <c r="P2127" s="6"/>
    </row>
    <row r="2128" spans="1:16" ht="14.4" x14ac:dyDescent="0.25">
      <c r="A2128" s="6">
        <v>2470</v>
      </c>
      <c r="B2128" s="6">
        <v>17956</v>
      </c>
      <c r="C2128" s="19">
        <v>40395</v>
      </c>
      <c r="D2128" s="6" t="s">
        <v>30</v>
      </c>
      <c r="E2128" s="6">
        <f>IF((ISBLANK($B$1)),"",Sheet1!Q2136)</f>
        <v>4250</v>
      </c>
      <c r="F2128" s="20" t="s">
        <v>26</v>
      </c>
      <c r="G2128" s="53">
        <f t="shared" si="34"/>
        <v>-0.59211849959099416</v>
      </c>
      <c r="H2128" s="35"/>
      <c r="P2128" s="6"/>
    </row>
    <row r="2129" spans="1:16" ht="14.4" x14ac:dyDescent="0.25">
      <c r="A2129" s="6">
        <v>2476</v>
      </c>
      <c r="B2129" s="6">
        <v>17986</v>
      </c>
      <c r="C2129" s="19">
        <v>41004</v>
      </c>
      <c r="D2129" s="6" t="s">
        <v>28</v>
      </c>
      <c r="E2129" s="6">
        <f>IF((ISBLANK($B$1)),"",Sheet1!Q2137)</f>
        <v>5550</v>
      </c>
      <c r="F2129" s="20" t="s">
        <v>26</v>
      </c>
      <c r="G2129" s="53">
        <f t="shared" si="34"/>
        <v>1.2031220549314123</v>
      </c>
      <c r="H2129" s="35"/>
      <c r="P2129" s="6"/>
    </row>
    <row r="2130" spans="1:16" ht="14.4" x14ac:dyDescent="0.25">
      <c r="A2130" s="6">
        <v>2486</v>
      </c>
      <c r="B2130" s="6">
        <v>18112</v>
      </c>
      <c r="C2130" s="19">
        <v>40984</v>
      </c>
      <c r="D2130" s="6" t="s">
        <v>28</v>
      </c>
      <c r="E2130" s="6">
        <f>IF((ISBLANK($B$1)),"",Sheet1!Q2138)</f>
        <v>4050</v>
      </c>
      <c r="F2130" s="20" t="s">
        <v>26</v>
      </c>
      <c r="G2130" s="53">
        <f t="shared" si="34"/>
        <v>-0.86830935413290289</v>
      </c>
      <c r="H2130" s="35"/>
      <c r="P2130" s="6"/>
    </row>
    <row r="2131" spans="1:16" ht="14.4" x14ac:dyDescent="0.25">
      <c r="A2131" s="6">
        <v>2496</v>
      </c>
      <c r="B2131" s="6">
        <v>18178</v>
      </c>
      <c r="C2131" s="19">
        <v>40119</v>
      </c>
      <c r="D2131" s="6" t="s">
        <v>25</v>
      </c>
      <c r="E2131" s="6">
        <f>IF((ISBLANK($B$1)),"",Sheet1!Q2139)</f>
        <v>5550</v>
      </c>
      <c r="F2131" s="20" t="s">
        <v>26</v>
      </c>
      <c r="G2131" s="53">
        <f t="shared" si="34"/>
        <v>1.2031220549314123</v>
      </c>
      <c r="H2131" s="35"/>
      <c r="P2131" s="6"/>
    </row>
    <row r="2132" spans="1:16" ht="14.4" x14ac:dyDescent="0.25">
      <c r="A2132" s="6">
        <v>2497</v>
      </c>
      <c r="B2132" s="6">
        <v>18178</v>
      </c>
      <c r="C2132" s="19">
        <v>40119</v>
      </c>
      <c r="D2132" s="6" t="s">
        <v>25</v>
      </c>
      <c r="E2132" s="6">
        <f>IF((ISBLANK($B$1)),"",Sheet1!Q2140)</f>
        <v>3900</v>
      </c>
      <c r="F2132" s="20" t="s">
        <v>29</v>
      </c>
      <c r="G2132" s="53">
        <f t="shared" si="34"/>
        <v>-1.0754524950393345</v>
      </c>
      <c r="H2132" s="35"/>
      <c r="P2132" s="6"/>
    </row>
    <row r="2133" spans="1:16" ht="14.4" x14ac:dyDescent="0.25">
      <c r="A2133" s="6">
        <v>2501</v>
      </c>
      <c r="B2133" s="6">
        <v>18182</v>
      </c>
      <c r="C2133" s="19">
        <v>40643</v>
      </c>
      <c r="D2133" s="6" t="s">
        <v>16</v>
      </c>
      <c r="E2133" s="6">
        <f>IF((ISBLANK($B$1)),"",Sheet1!Q2141)</f>
        <v>5650</v>
      </c>
      <c r="F2133" s="20" t="s">
        <v>27</v>
      </c>
      <c r="G2133" s="53">
        <f t="shared" si="34"/>
        <v>1.3412174822023666</v>
      </c>
      <c r="H2133" s="35"/>
      <c r="P2133" s="6"/>
    </row>
    <row r="2134" spans="1:16" ht="14.4" x14ac:dyDescent="0.25">
      <c r="A2134" s="6">
        <v>2502</v>
      </c>
      <c r="B2134" s="6">
        <v>18182</v>
      </c>
      <c r="C2134" s="19">
        <v>40643</v>
      </c>
      <c r="D2134" s="6" t="s">
        <v>16</v>
      </c>
      <c r="E2134" s="6">
        <f>IF((ISBLANK($B$1)),"",Sheet1!Q2142)</f>
        <v>5650</v>
      </c>
      <c r="F2134" s="20" t="s">
        <v>29</v>
      </c>
      <c r="G2134" s="53">
        <f t="shared" si="34"/>
        <v>1.3412174822023666</v>
      </c>
      <c r="H2134" s="35"/>
      <c r="P2134" s="6"/>
    </row>
    <row r="2135" spans="1:16" ht="14.4" x14ac:dyDescent="0.25">
      <c r="A2135" s="6">
        <v>2503</v>
      </c>
      <c r="B2135" s="6">
        <v>18182</v>
      </c>
      <c r="C2135" s="19">
        <v>40643</v>
      </c>
      <c r="D2135" s="6" t="s">
        <v>16</v>
      </c>
      <c r="E2135" s="6">
        <f>IF((ISBLANK($B$1)),"",Sheet1!Q2143)</f>
        <v>4000</v>
      </c>
      <c r="F2135" s="20" t="s">
        <v>26</v>
      </c>
      <c r="G2135" s="53">
        <f t="shared" si="34"/>
        <v>-0.93735706776838001</v>
      </c>
      <c r="H2135" s="35"/>
      <c r="P2135" s="6"/>
    </row>
    <row r="2136" spans="1:16" ht="14.4" x14ac:dyDescent="0.25">
      <c r="A2136" s="6">
        <v>2538</v>
      </c>
      <c r="B2136" s="6">
        <v>18405</v>
      </c>
      <c r="C2136" s="19">
        <v>39820</v>
      </c>
      <c r="D2136" s="6" t="s">
        <v>16</v>
      </c>
      <c r="E2136" s="6">
        <f>IF((ISBLANK($B$1)),"",Sheet1!Q2144)</f>
        <v>4900</v>
      </c>
      <c r="F2136" s="20" t="s">
        <v>26</v>
      </c>
      <c r="G2136" s="53">
        <f t="shared" si="34"/>
        <v>0.30550177767020903</v>
      </c>
      <c r="H2136" s="35"/>
      <c r="P2136" s="6"/>
    </row>
    <row r="2137" spans="1:16" ht="14.4" x14ac:dyDescent="0.25">
      <c r="A2137" s="6">
        <v>2539</v>
      </c>
      <c r="B2137" s="6">
        <v>18405</v>
      </c>
      <c r="C2137" s="19">
        <v>39820</v>
      </c>
      <c r="D2137" s="6" t="s">
        <v>16</v>
      </c>
      <c r="E2137" s="6">
        <f>IF((ISBLANK($B$1)),"",Sheet1!Q2145)</f>
        <v>3500</v>
      </c>
      <c r="F2137" s="20" t="s">
        <v>27</v>
      </c>
      <c r="G2137" s="53">
        <f t="shared" si="34"/>
        <v>-1.6278342041231517</v>
      </c>
      <c r="H2137" s="35"/>
      <c r="P2137" s="6"/>
    </row>
    <row r="2138" spans="1:16" ht="14.4" x14ac:dyDescent="0.25">
      <c r="A2138" s="6">
        <v>2565</v>
      </c>
      <c r="B2138" s="6">
        <v>18531</v>
      </c>
      <c r="C2138" s="19">
        <v>41211</v>
      </c>
      <c r="D2138" s="6" t="s">
        <v>30</v>
      </c>
      <c r="E2138" s="6">
        <f>IF((ISBLANK($B$1)),"",Sheet1!Q2146)</f>
        <v>5900</v>
      </c>
      <c r="F2138" s="20" t="s">
        <v>29</v>
      </c>
      <c r="G2138" s="53">
        <f t="shared" si="34"/>
        <v>1.6864560503797523</v>
      </c>
      <c r="H2138" s="35"/>
      <c r="P2138" s="6"/>
    </row>
    <row r="2139" spans="1:16" ht="14.4" x14ac:dyDescent="0.25">
      <c r="A2139" s="6">
        <v>2568</v>
      </c>
      <c r="B2139" s="6">
        <v>18533</v>
      </c>
      <c r="C2139" s="19">
        <v>40123</v>
      </c>
      <c r="D2139" s="6" t="s">
        <v>28</v>
      </c>
      <c r="E2139" s="6">
        <f>IF((ISBLANK($B$1)),"",Sheet1!Q2147)</f>
        <v>4750</v>
      </c>
      <c r="F2139" s="20" t="s">
        <v>26</v>
      </c>
      <c r="G2139" s="53">
        <f t="shared" si="34"/>
        <v>9.8358636763777513E-2</v>
      </c>
      <c r="H2139" s="35"/>
      <c r="P2139" s="6"/>
    </row>
    <row r="2140" spans="1:16" ht="14.4" x14ac:dyDescent="0.25">
      <c r="A2140" s="6">
        <v>2569</v>
      </c>
      <c r="B2140" s="6">
        <v>18533</v>
      </c>
      <c r="C2140" s="19">
        <v>40123</v>
      </c>
      <c r="D2140" s="6" t="s">
        <v>28</v>
      </c>
      <c r="E2140" s="6">
        <f>IF((ISBLANK($B$1)),"",Sheet1!Q2148)</f>
        <v>3650</v>
      </c>
      <c r="F2140" s="20" t="s">
        <v>27</v>
      </c>
      <c r="G2140" s="53">
        <f t="shared" si="34"/>
        <v>-1.4206910632167202</v>
      </c>
      <c r="H2140" s="35"/>
      <c r="P2140" s="6"/>
    </row>
    <row r="2141" spans="1:16" ht="14.4" x14ac:dyDescent="0.25">
      <c r="A2141" s="6">
        <v>2584</v>
      </c>
      <c r="B2141" s="6">
        <v>18661</v>
      </c>
      <c r="C2141" s="19">
        <v>41160</v>
      </c>
      <c r="D2141" s="6" t="s">
        <v>25</v>
      </c>
      <c r="E2141" s="6">
        <f>IF((ISBLANK($B$1)),"",Sheet1!Q2149)</f>
        <v>4000</v>
      </c>
      <c r="F2141" s="20" t="s">
        <v>29</v>
      </c>
      <c r="G2141" s="53">
        <f t="shared" si="34"/>
        <v>-0.93735706776838001</v>
      </c>
      <c r="H2141" s="35"/>
      <c r="P2141" s="6"/>
    </row>
    <row r="2142" spans="1:16" ht="14.4" x14ac:dyDescent="0.25">
      <c r="A2142" s="6">
        <v>2585</v>
      </c>
      <c r="B2142" s="6">
        <v>18661</v>
      </c>
      <c r="C2142" s="19">
        <v>41160</v>
      </c>
      <c r="D2142" s="6" t="s">
        <v>25</v>
      </c>
      <c r="E2142" s="6">
        <f>IF((ISBLANK($B$1)),"",Sheet1!Q2150)</f>
        <v>3950</v>
      </c>
      <c r="F2142" s="20" t="s">
        <v>29</v>
      </c>
      <c r="G2142" s="53">
        <f t="shared" si="34"/>
        <v>-1.0064047814038573</v>
      </c>
      <c r="H2142" s="35"/>
      <c r="P2142" s="6"/>
    </row>
    <row r="2143" spans="1:16" ht="14.4" x14ac:dyDescent="0.25">
      <c r="A2143" s="6">
        <v>2591</v>
      </c>
      <c r="B2143" s="6">
        <v>18723</v>
      </c>
      <c r="C2143" s="19">
        <v>40037</v>
      </c>
      <c r="D2143" s="6" t="s">
        <v>16</v>
      </c>
      <c r="E2143" s="6">
        <f>IF((ISBLANK($B$1)),"",Sheet1!Q2151)</f>
        <v>3450</v>
      </c>
      <c r="F2143" s="20" t="s">
        <v>27</v>
      </c>
      <c r="G2143" s="53">
        <f t="shared" si="34"/>
        <v>-1.696881917758629</v>
      </c>
      <c r="H2143" s="35"/>
      <c r="P2143" s="6"/>
    </row>
    <row r="2144" spans="1:16" ht="14.4" x14ac:dyDescent="0.25">
      <c r="A2144" s="6">
        <v>2592</v>
      </c>
      <c r="B2144" s="6">
        <v>18753</v>
      </c>
      <c r="C2144" s="19">
        <v>40025</v>
      </c>
      <c r="D2144" s="6" t="s">
        <v>16</v>
      </c>
      <c r="E2144" s="6">
        <f>IF((ISBLANK($B$1)),"",Sheet1!Q2152)</f>
        <v>4950</v>
      </c>
      <c r="F2144" s="20" t="s">
        <v>29</v>
      </c>
      <c r="G2144" s="53">
        <f t="shared" si="34"/>
        <v>0.37454949130568621</v>
      </c>
      <c r="H2144" s="35"/>
      <c r="P2144" s="6"/>
    </row>
    <row r="2145" spans="1:16" ht="14.4" x14ac:dyDescent="0.25">
      <c r="A2145" s="6">
        <v>2593</v>
      </c>
      <c r="B2145" s="6">
        <v>18753</v>
      </c>
      <c r="C2145" s="19">
        <v>40025</v>
      </c>
      <c r="D2145" s="6" t="s">
        <v>16</v>
      </c>
      <c r="E2145" s="6">
        <f>IF((ISBLANK($B$1)),"",Sheet1!Q2153)</f>
        <v>5050</v>
      </c>
      <c r="F2145" s="20" t="s">
        <v>29</v>
      </c>
      <c r="G2145" s="53">
        <f t="shared" si="34"/>
        <v>0.51264491857664052</v>
      </c>
      <c r="H2145" s="35"/>
      <c r="P2145" s="6"/>
    </row>
    <row r="2146" spans="1:16" ht="14.4" x14ac:dyDescent="0.25">
      <c r="A2146" s="6">
        <v>2653</v>
      </c>
      <c r="B2146" s="6">
        <v>19204</v>
      </c>
      <c r="C2146" s="19">
        <v>40074</v>
      </c>
      <c r="D2146" s="6" t="s">
        <v>16</v>
      </c>
      <c r="E2146" s="6">
        <f>IF((ISBLANK($B$1)),"",Sheet1!Q2154)</f>
        <v>4750</v>
      </c>
      <c r="F2146" s="20" t="s">
        <v>29</v>
      </c>
      <c r="G2146" s="53">
        <f t="shared" si="34"/>
        <v>9.8358636763777513E-2</v>
      </c>
      <c r="H2146" s="35"/>
      <c r="P2146" s="6"/>
    </row>
    <row r="2147" spans="1:16" ht="14.4" x14ac:dyDescent="0.25">
      <c r="A2147" s="6">
        <v>2654</v>
      </c>
      <c r="B2147" s="6">
        <v>19204</v>
      </c>
      <c r="C2147" s="19">
        <v>40074</v>
      </c>
      <c r="D2147" s="6" t="s">
        <v>16</v>
      </c>
      <c r="E2147" s="6">
        <f>IF((ISBLANK($B$1)),"",Sheet1!Q2155)</f>
        <v>4800</v>
      </c>
      <c r="F2147" s="20" t="s">
        <v>26</v>
      </c>
      <c r="G2147" s="53">
        <f t="shared" si="34"/>
        <v>0.16740635039925467</v>
      </c>
      <c r="H2147" s="35"/>
      <c r="P2147" s="6"/>
    </row>
    <row r="2148" spans="1:16" ht="14.4" x14ac:dyDescent="0.25">
      <c r="A2148" s="6">
        <v>2680</v>
      </c>
      <c r="B2148" s="6">
        <v>19394</v>
      </c>
      <c r="C2148" s="19">
        <v>41268</v>
      </c>
      <c r="D2148" s="6" t="s">
        <v>16</v>
      </c>
      <c r="E2148" s="6">
        <f>IF((ISBLANK($B$1)),"",Sheet1!Q2156)</f>
        <v>4200</v>
      </c>
      <c r="F2148" s="20" t="s">
        <v>27</v>
      </c>
      <c r="G2148" s="53">
        <f t="shared" si="34"/>
        <v>-0.6611662132264714</v>
      </c>
      <c r="H2148" s="35"/>
      <c r="P2148" s="6"/>
    </row>
    <row r="2149" spans="1:16" ht="14.4" x14ac:dyDescent="0.25">
      <c r="A2149" s="6">
        <v>2681</v>
      </c>
      <c r="B2149" s="6">
        <v>19394</v>
      </c>
      <c r="C2149" s="19">
        <v>41268</v>
      </c>
      <c r="D2149" s="6" t="s">
        <v>16</v>
      </c>
      <c r="E2149" s="6">
        <f>IF((ISBLANK($B$1)),"",Sheet1!Q2157)</f>
        <v>3650</v>
      </c>
      <c r="F2149" s="20" t="s">
        <v>27</v>
      </c>
      <c r="G2149" s="53">
        <f t="shared" si="34"/>
        <v>-1.4206910632167202</v>
      </c>
      <c r="H2149" s="35"/>
      <c r="P2149" s="6"/>
    </row>
    <row r="2150" spans="1:16" ht="14.4" x14ac:dyDescent="0.25">
      <c r="A2150" s="6">
        <v>2724</v>
      </c>
      <c r="B2150" s="6">
        <v>19653</v>
      </c>
      <c r="C2150" s="19">
        <v>41163</v>
      </c>
      <c r="D2150" s="6" t="s">
        <v>28</v>
      </c>
      <c r="E2150" s="6">
        <f>IF((ISBLANK($B$1)),"",Sheet1!Q2158)</f>
        <v>5100</v>
      </c>
      <c r="F2150" s="20" t="s">
        <v>26</v>
      </c>
      <c r="G2150" s="53">
        <f t="shared" si="34"/>
        <v>0.58169263221211776</v>
      </c>
      <c r="H2150" s="35"/>
      <c r="P2150" s="6"/>
    </row>
    <row r="2151" spans="1:16" ht="14.4" x14ac:dyDescent="0.25">
      <c r="A2151" s="6">
        <v>2729</v>
      </c>
      <c r="B2151" s="6">
        <v>19687</v>
      </c>
      <c r="C2151" s="19">
        <v>40403</v>
      </c>
      <c r="D2151" s="6" t="s">
        <v>16</v>
      </c>
      <c r="E2151" s="6">
        <f>IF((ISBLANK($B$1)),"",Sheet1!Q2159)</f>
        <v>5050</v>
      </c>
      <c r="F2151" s="20" t="s">
        <v>26</v>
      </c>
      <c r="G2151" s="53">
        <f t="shared" si="34"/>
        <v>0.51264491857664052</v>
      </c>
      <c r="H2151" s="35"/>
      <c r="P2151" s="6"/>
    </row>
    <row r="2152" spans="1:16" ht="14.4" x14ac:dyDescent="0.25">
      <c r="A2152" s="6">
        <v>2730</v>
      </c>
      <c r="B2152" s="6">
        <v>19687</v>
      </c>
      <c r="C2152" s="19">
        <v>40403</v>
      </c>
      <c r="D2152" s="6" t="s">
        <v>16</v>
      </c>
      <c r="E2152" s="6">
        <f>IF((ISBLANK($B$1)),"",Sheet1!Q2160)</f>
        <v>4550</v>
      </c>
      <c r="F2152" s="20" t="s">
        <v>27</v>
      </c>
      <c r="G2152" s="53">
        <f t="shared" si="34"/>
        <v>-0.17783221777813119</v>
      </c>
      <c r="H2152" s="35"/>
      <c r="P2152" s="6"/>
    </row>
    <row r="2153" spans="1:16" ht="14.4" x14ac:dyDescent="0.25">
      <c r="A2153" s="6">
        <v>2731</v>
      </c>
      <c r="B2153" s="6">
        <v>19716</v>
      </c>
      <c r="C2153" s="19">
        <v>40085</v>
      </c>
      <c r="D2153" s="6" t="s">
        <v>25</v>
      </c>
      <c r="E2153" s="6">
        <f>IF((ISBLANK($B$1)),"",Sheet1!Q2161)</f>
        <v>3650</v>
      </c>
      <c r="F2153" s="20" t="s">
        <v>27</v>
      </c>
      <c r="G2153" s="53">
        <f t="shared" si="34"/>
        <v>-1.4206910632167202</v>
      </c>
      <c r="H2153" s="35"/>
      <c r="P2153" s="6"/>
    </row>
    <row r="2154" spans="1:16" ht="14.4" x14ac:dyDescent="0.25">
      <c r="A2154" s="6">
        <v>2742</v>
      </c>
      <c r="B2154" s="6">
        <v>19782</v>
      </c>
      <c r="C2154" s="19">
        <v>41200</v>
      </c>
      <c r="D2154" s="6" t="s">
        <v>25</v>
      </c>
      <c r="E2154" s="6">
        <f>IF((ISBLANK($B$1)),"",Sheet1!Q2162)</f>
        <v>4300</v>
      </c>
      <c r="F2154" s="20" t="s">
        <v>26</v>
      </c>
      <c r="G2154" s="53">
        <f t="shared" si="34"/>
        <v>-0.52307078595551704</v>
      </c>
      <c r="H2154" s="35"/>
      <c r="P2154" s="6"/>
    </row>
    <row r="2155" spans="1:16" ht="14.4" x14ac:dyDescent="0.25">
      <c r="A2155" s="6">
        <v>2792</v>
      </c>
      <c r="B2155" s="6">
        <v>20134</v>
      </c>
      <c r="C2155" s="19">
        <v>40614</v>
      </c>
      <c r="D2155" s="6" t="s">
        <v>25</v>
      </c>
      <c r="E2155" s="6">
        <f>IF((ISBLANK($B$1)),"",Sheet1!Q2163)</f>
        <v>4700</v>
      </c>
      <c r="F2155" s="20" t="s">
        <v>27</v>
      </c>
      <c r="G2155" s="53">
        <f t="shared" si="34"/>
        <v>2.9310923128300338E-2</v>
      </c>
      <c r="H2155" s="35"/>
      <c r="P2155" s="6"/>
    </row>
    <row r="2156" spans="1:16" ht="14.4" x14ac:dyDescent="0.25">
      <c r="A2156" s="6">
        <v>2793</v>
      </c>
      <c r="B2156" s="6">
        <v>20134</v>
      </c>
      <c r="C2156" s="19">
        <v>40614</v>
      </c>
      <c r="D2156" s="6" t="s">
        <v>25</v>
      </c>
      <c r="E2156" s="6">
        <f>IF((ISBLANK($B$1)),"",Sheet1!Q2164)</f>
        <v>5750</v>
      </c>
      <c r="F2156" s="20" t="s">
        <v>26</v>
      </c>
      <c r="G2156" s="53">
        <f t="shared" si="34"/>
        <v>1.4793129094733208</v>
      </c>
      <c r="H2156" s="35"/>
      <c r="P2156" s="6"/>
    </row>
    <row r="2157" spans="1:16" ht="14.4" x14ac:dyDescent="0.25">
      <c r="A2157" s="6">
        <v>2806</v>
      </c>
      <c r="B2157" s="6">
        <v>20259</v>
      </c>
      <c r="C2157" s="19">
        <v>40687</v>
      </c>
      <c r="D2157" s="6" t="s">
        <v>30</v>
      </c>
      <c r="E2157" s="6">
        <f>IF((ISBLANK($B$1)),"",Sheet1!Q2165)</f>
        <v>5500</v>
      </c>
      <c r="F2157" s="20" t="s">
        <v>26</v>
      </c>
      <c r="G2157" s="53">
        <f t="shared" si="34"/>
        <v>1.1340743412959351</v>
      </c>
      <c r="H2157" s="35"/>
      <c r="P2157" s="6"/>
    </row>
    <row r="2158" spans="1:16" ht="14.4" x14ac:dyDescent="0.25">
      <c r="A2158" s="6">
        <v>2807</v>
      </c>
      <c r="B2158" s="6">
        <v>20261</v>
      </c>
      <c r="C2158" s="19">
        <v>39953</v>
      </c>
      <c r="D2158" s="6" t="s">
        <v>16</v>
      </c>
      <c r="E2158" s="6">
        <f>IF((ISBLANK($B$1)),"",Sheet1!Q2166)</f>
        <v>4650</v>
      </c>
      <c r="F2158" s="20" t="s">
        <v>26</v>
      </c>
      <c r="G2158" s="53">
        <f t="shared" si="34"/>
        <v>-3.9736790507176829E-2</v>
      </c>
      <c r="H2158" s="35"/>
      <c r="P2158" s="6"/>
    </row>
    <row r="2159" spans="1:16" ht="14.4" x14ac:dyDescent="0.25">
      <c r="A2159" s="6">
        <v>2808</v>
      </c>
      <c r="B2159" s="6">
        <v>20261</v>
      </c>
      <c r="C2159" s="19">
        <v>39953</v>
      </c>
      <c r="D2159" s="6" t="s">
        <v>16</v>
      </c>
      <c r="E2159" s="6">
        <f>IF((ISBLANK($B$1)),"",Sheet1!Q2167)</f>
        <v>5200</v>
      </c>
      <c r="F2159" s="20" t="s">
        <v>26</v>
      </c>
      <c r="G2159" s="53">
        <f t="shared" si="34"/>
        <v>0.71978805948307201</v>
      </c>
      <c r="H2159" s="35"/>
      <c r="P2159" s="6"/>
    </row>
    <row r="2160" spans="1:16" ht="14.4" x14ac:dyDescent="0.25">
      <c r="A2160" s="6">
        <v>2809</v>
      </c>
      <c r="B2160" s="6">
        <v>20261</v>
      </c>
      <c r="C2160" s="19">
        <v>39953</v>
      </c>
      <c r="D2160" s="6" t="s">
        <v>16</v>
      </c>
      <c r="E2160" s="6">
        <f>IF((ISBLANK($B$1)),"",Sheet1!Q2168)</f>
        <v>4450</v>
      </c>
      <c r="F2160" s="20" t="s">
        <v>27</v>
      </c>
      <c r="G2160" s="53">
        <f t="shared" si="34"/>
        <v>-0.31592764504908549</v>
      </c>
      <c r="H2160" s="35"/>
      <c r="P2160" s="6"/>
    </row>
    <row r="2161" spans="1:16" ht="14.4" x14ac:dyDescent="0.25">
      <c r="A2161" s="6">
        <v>2837</v>
      </c>
      <c r="B2161" s="6">
        <v>20453</v>
      </c>
      <c r="C2161" s="19">
        <v>40612</v>
      </c>
      <c r="D2161" s="6" t="s">
        <v>16</v>
      </c>
      <c r="E2161" s="6">
        <f>IF((ISBLANK($B$1)),"",Sheet1!Q2169)</f>
        <v>4550</v>
      </c>
      <c r="F2161" s="20" t="s">
        <v>29</v>
      </c>
      <c r="G2161" s="53">
        <f t="shared" si="34"/>
        <v>-0.17783221777813119</v>
      </c>
      <c r="H2161" s="35"/>
      <c r="P2161" s="6"/>
    </row>
    <row r="2162" spans="1:16" ht="14.4" x14ac:dyDescent="0.25">
      <c r="A2162" s="6">
        <v>2838</v>
      </c>
      <c r="B2162" s="6">
        <v>20453</v>
      </c>
      <c r="C2162" s="19">
        <v>40612</v>
      </c>
      <c r="D2162" s="6" t="s">
        <v>16</v>
      </c>
      <c r="E2162" s="6">
        <f>IF((ISBLANK($B$1)),"",Sheet1!Q2170)</f>
        <v>4250</v>
      </c>
      <c r="F2162" s="20" t="s">
        <v>27</v>
      </c>
      <c r="G2162" s="53">
        <f t="shared" si="34"/>
        <v>-0.59211849959099416</v>
      </c>
      <c r="H2162" s="35"/>
      <c r="P2162" s="6"/>
    </row>
    <row r="2163" spans="1:16" ht="14.4" x14ac:dyDescent="0.25">
      <c r="A2163" s="6">
        <v>2858</v>
      </c>
      <c r="B2163" s="6">
        <v>20614</v>
      </c>
      <c r="C2163" s="19">
        <v>39951</v>
      </c>
      <c r="D2163" s="6" t="s">
        <v>28</v>
      </c>
      <c r="E2163" s="6">
        <f>IF((ISBLANK($B$1)),"",Sheet1!Q2171)</f>
        <v>5750</v>
      </c>
      <c r="F2163" s="20" t="s">
        <v>27</v>
      </c>
      <c r="G2163" s="53">
        <f t="shared" si="34"/>
        <v>1.4793129094733208</v>
      </c>
      <c r="H2163" s="35"/>
      <c r="P2163" s="6"/>
    </row>
    <row r="2164" spans="1:16" ht="14.4" x14ac:dyDescent="0.25">
      <c r="A2164" s="6">
        <v>2870</v>
      </c>
      <c r="B2164" s="6">
        <v>20709</v>
      </c>
      <c r="C2164" s="19">
        <v>40036</v>
      </c>
      <c r="D2164" s="6" t="s">
        <v>17</v>
      </c>
      <c r="E2164" s="6">
        <f>IF((ISBLANK($B$1)),"",Sheet1!Q2172)</f>
        <v>3600</v>
      </c>
      <c r="F2164" s="20" t="s">
        <v>26</v>
      </c>
      <c r="G2164" s="53">
        <f t="shared" si="34"/>
        <v>-1.4897387768521975</v>
      </c>
      <c r="H2164" s="35"/>
      <c r="P2164" s="6"/>
    </row>
    <row r="2165" spans="1:16" ht="14.4" x14ac:dyDescent="0.25">
      <c r="A2165" s="6">
        <v>2871</v>
      </c>
      <c r="B2165" s="6">
        <v>20709</v>
      </c>
      <c r="C2165" s="19">
        <v>40036</v>
      </c>
      <c r="D2165" s="6" t="s">
        <v>17</v>
      </c>
      <c r="E2165" s="6">
        <f>IF((ISBLANK($B$1)),"",Sheet1!Q2173)</f>
        <v>3650</v>
      </c>
      <c r="F2165" s="20" t="s">
        <v>26</v>
      </c>
      <c r="G2165" s="53">
        <f t="shared" si="34"/>
        <v>-1.4206910632167202</v>
      </c>
      <c r="H2165" s="35"/>
      <c r="P2165" s="6"/>
    </row>
    <row r="2166" spans="1:16" ht="14.4" x14ac:dyDescent="0.25">
      <c r="A2166" s="6">
        <v>2913</v>
      </c>
      <c r="B2166" s="6">
        <v>21025</v>
      </c>
      <c r="C2166" s="19">
        <v>40432</v>
      </c>
      <c r="D2166" s="6" t="s">
        <v>28</v>
      </c>
      <c r="E2166" s="6">
        <f>IF((ISBLANK($B$1)),"",Sheet1!Q2174)</f>
        <v>5300</v>
      </c>
      <c r="F2166" s="20" t="s">
        <v>27</v>
      </c>
      <c r="G2166" s="53">
        <f t="shared" si="34"/>
        <v>0.85788348675402637</v>
      </c>
      <c r="H2166" s="35"/>
      <c r="P2166" s="6"/>
    </row>
    <row r="2167" spans="1:16" ht="14.4" x14ac:dyDescent="0.25">
      <c r="A2167" s="6">
        <v>2914</v>
      </c>
      <c r="B2167" s="6">
        <v>21028</v>
      </c>
      <c r="C2167" s="19">
        <v>41067</v>
      </c>
      <c r="D2167" s="6" t="s">
        <v>30</v>
      </c>
      <c r="E2167" s="6">
        <f>IF((ISBLANK($B$1)),"",Sheet1!Q2175)</f>
        <v>5300</v>
      </c>
      <c r="F2167" s="20" t="s">
        <v>26</v>
      </c>
      <c r="G2167" s="53">
        <f t="shared" si="34"/>
        <v>0.85788348675402637</v>
      </c>
      <c r="H2167" s="35"/>
      <c r="P2167" s="6"/>
    </row>
    <row r="2168" spans="1:16" ht="14.4" x14ac:dyDescent="0.25">
      <c r="A2168" s="6">
        <v>2921</v>
      </c>
      <c r="B2168" s="6">
        <v>21125</v>
      </c>
      <c r="C2168" s="19">
        <v>40600</v>
      </c>
      <c r="D2168" s="6" t="s">
        <v>28</v>
      </c>
      <c r="E2168" s="6">
        <f>IF((ISBLANK($B$1)),"",Sheet1!Q2176)</f>
        <v>4250</v>
      </c>
      <c r="F2168" s="20" t="s">
        <v>26</v>
      </c>
      <c r="G2168" s="53">
        <f t="shared" si="34"/>
        <v>-0.59211849959099416</v>
      </c>
      <c r="H2168" s="35"/>
      <c r="P2168" s="6"/>
    </row>
    <row r="2169" spans="1:16" ht="14.4" x14ac:dyDescent="0.25">
      <c r="A2169" s="6">
        <v>2955</v>
      </c>
      <c r="B2169" s="6">
        <v>21382</v>
      </c>
      <c r="C2169" s="19">
        <v>40920</v>
      </c>
      <c r="D2169" s="6" t="s">
        <v>30</v>
      </c>
      <c r="E2169" s="6">
        <f>IF((ISBLANK($B$1)),"",Sheet1!Q2177)</f>
        <v>4750</v>
      </c>
      <c r="F2169" s="20" t="s">
        <v>26</v>
      </c>
      <c r="G2169" s="53">
        <f t="shared" si="34"/>
        <v>9.8358636763777513E-2</v>
      </c>
      <c r="H2169" s="35"/>
      <c r="P2169" s="6"/>
    </row>
    <row r="2170" spans="1:16" ht="14.4" x14ac:dyDescent="0.25">
      <c r="A2170" s="6">
        <v>2994</v>
      </c>
      <c r="B2170" s="6">
        <v>21604</v>
      </c>
      <c r="C2170" s="19">
        <v>41000</v>
      </c>
      <c r="D2170" s="6" t="s">
        <v>16</v>
      </c>
      <c r="E2170" s="6">
        <f>IF((ISBLANK($B$1)),"",Sheet1!Q2178)</f>
        <v>3700</v>
      </c>
      <c r="F2170" s="20" t="s">
        <v>26</v>
      </c>
      <c r="G2170" s="53">
        <f t="shared" si="34"/>
        <v>-1.351643349581243</v>
      </c>
      <c r="H2170" s="35"/>
      <c r="P2170" s="6"/>
    </row>
    <row r="2171" spans="1:16" ht="14.4" x14ac:dyDescent="0.25">
      <c r="A2171" s="6">
        <v>3037</v>
      </c>
      <c r="B2171" s="6">
        <v>21824</v>
      </c>
      <c r="C2171" s="19">
        <v>40581</v>
      </c>
      <c r="D2171" s="6" t="s">
        <v>25</v>
      </c>
      <c r="E2171" s="6">
        <f>IF((ISBLANK($B$1)),"",Sheet1!Q2179)</f>
        <v>5250</v>
      </c>
      <c r="F2171" s="20" t="s">
        <v>29</v>
      </c>
      <c r="G2171" s="53">
        <f t="shared" si="34"/>
        <v>0.78883577311854924</v>
      </c>
      <c r="H2171" s="35"/>
      <c r="P2171" s="6"/>
    </row>
    <row r="2172" spans="1:16" ht="14.4" x14ac:dyDescent="0.25">
      <c r="A2172" s="6">
        <v>3057</v>
      </c>
      <c r="B2172" s="6">
        <v>21893</v>
      </c>
      <c r="C2172" s="19">
        <v>40840</v>
      </c>
      <c r="D2172" s="6" t="s">
        <v>30</v>
      </c>
      <c r="E2172" s="6">
        <f>IF((ISBLANK($B$1)),"",Sheet1!Q2180)</f>
        <v>4900</v>
      </c>
      <c r="F2172" s="20" t="s">
        <v>26</v>
      </c>
      <c r="G2172" s="53">
        <f t="shared" si="34"/>
        <v>0.30550177767020903</v>
      </c>
      <c r="H2172" s="35"/>
      <c r="P2172" s="6"/>
    </row>
    <row r="2173" spans="1:16" ht="14.4" x14ac:dyDescent="0.25">
      <c r="A2173" s="6">
        <v>3075</v>
      </c>
      <c r="B2173" s="6">
        <v>22054</v>
      </c>
      <c r="C2173" s="19">
        <v>40388</v>
      </c>
      <c r="D2173" s="6" t="s">
        <v>16</v>
      </c>
      <c r="E2173" s="6">
        <f>IF((ISBLANK($B$1)),"",Sheet1!Q2181)</f>
        <v>5000</v>
      </c>
      <c r="F2173" s="20" t="s">
        <v>29</v>
      </c>
      <c r="G2173" s="53">
        <f t="shared" si="34"/>
        <v>0.44359720494116334</v>
      </c>
      <c r="H2173" s="35"/>
      <c r="P2173" s="6"/>
    </row>
    <row r="2174" spans="1:16" ht="14.4" x14ac:dyDescent="0.25">
      <c r="A2174" s="6">
        <v>3091</v>
      </c>
      <c r="B2174" s="6">
        <v>22181</v>
      </c>
      <c r="C2174" s="19">
        <v>40823</v>
      </c>
      <c r="D2174" s="6" t="s">
        <v>25</v>
      </c>
      <c r="E2174" s="6">
        <f>IF((ISBLANK($B$1)),"",Sheet1!Q2182)</f>
        <v>5450</v>
      </c>
      <c r="F2174" s="20" t="s">
        <v>26</v>
      </c>
      <c r="G2174" s="53">
        <f t="shared" si="34"/>
        <v>1.0650266276604579</v>
      </c>
      <c r="H2174" s="35"/>
      <c r="P2174" s="6"/>
    </row>
    <row r="2175" spans="1:16" ht="14.4" x14ac:dyDescent="0.25">
      <c r="A2175" s="6">
        <v>3104</v>
      </c>
      <c r="B2175" s="6">
        <v>22272</v>
      </c>
      <c r="C2175" s="19">
        <v>41035</v>
      </c>
      <c r="D2175" s="6" t="s">
        <v>17</v>
      </c>
      <c r="E2175" s="6">
        <f>IF((ISBLANK($B$1)),"",Sheet1!Q2183)</f>
        <v>5250</v>
      </c>
      <c r="F2175" s="20" t="s">
        <v>27</v>
      </c>
      <c r="G2175" s="53">
        <f t="shared" si="34"/>
        <v>0.78883577311854924</v>
      </c>
      <c r="H2175" s="35"/>
      <c r="P2175" s="6"/>
    </row>
    <row r="2176" spans="1:16" ht="14.4" x14ac:dyDescent="0.25">
      <c r="A2176" s="6">
        <v>3105</v>
      </c>
      <c r="B2176" s="6">
        <v>22272</v>
      </c>
      <c r="C2176" s="19">
        <v>41035</v>
      </c>
      <c r="D2176" s="6" t="s">
        <v>17</v>
      </c>
      <c r="E2176" s="6">
        <f>IF((ISBLANK($B$1)),"",Sheet1!Q2184)</f>
        <v>4900</v>
      </c>
      <c r="F2176" s="20" t="s">
        <v>27</v>
      </c>
      <c r="G2176" s="53">
        <f t="shared" si="34"/>
        <v>0.30550177767020903</v>
      </c>
      <c r="H2176" s="35"/>
      <c r="P2176" s="6"/>
    </row>
    <row r="2177" spans="1:16" ht="14.4" x14ac:dyDescent="0.25">
      <c r="A2177" s="6">
        <v>3115</v>
      </c>
      <c r="B2177" s="6">
        <v>22373</v>
      </c>
      <c r="C2177" s="19">
        <v>40996</v>
      </c>
      <c r="D2177" s="6" t="s">
        <v>17</v>
      </c>
      <c r="E2177" s="6">
        <f>IF((ISBLANK($B$1)),"",Sheet1!Q2185)</f>
        <v>4700</v>
      </c>
      <c r="F2177" s="20" t="s">
        <v>26</v>
      </c>
      <c r="G2177" s="53">
        <f t="shared" si="34"/>
        <v>2.9310923128300338E-2</v>
      </c>
      <c r="H2177" s="35"/>
      <c r="P2177" s="6"/>
    </row>
    <row r="2178" spans="1:16" ht="14.4" x14ac:dyDescent="0.25">
      <c r="A2178" s="6">
        <v>3125</v>
      </c>
      <c r="B2178" s="6">
        <v>22434</v>
      </c>
      <c r="C2178" s="19">
        <v>41150</v>
      </c>
      <c r="D2178" s="6" t="s">
        <v>30</v>
      </c>
      <c r="E2178" s="6">
        <f>IF((ISBLANK($B$1)),"",Sheet1!Q2186)</f>
        <v>3550</v>
      </c>
      <c r="F2178" s="20" t="s">
        <v>26</v>
      </c>
      <c r="G2178" s="53">
        <f t="shared" si="34"/>
        <v>-1.5587864904876745</v>
      </c>
      <c r="H2178" s="35"/>
      <c r="P2178" s="6"/>
    </row>
    <row r="2179" spans="1:16" ht="14.4" x14ac:dyDescent="0.25">
      <c r="A2179" s="6">
        <v>3126</v>
      </c>
      <c r="B2179" s="6">
        <v>22434</v>
      </c>
      <c r="C2179" s="19">
        <v>41150</v>
      </c>
      <c r="D2179" s="6" t="s">
        <v>30</v>
      </c>
      <c r="E2179" s="6">
        <f>IF((ISBLANK($B$1)),"",Sheet1!Q2187)</f>
        <v>5350</v>
      </c>
      <c r="F2179" s="20" t="s">
        <v>26</v>
      </c>
      <c r="G2179" s="53">
        <f t="shared" si="34"/>
        <v>0.92693120038950361</v>
      </c>
      <c r="H2179" s="35"/>
      <c r="P2179" s="6"/>
    </row>
    <row r="2180" spans="1:16" ht="14.4" x14ac:dyDescent="0.25">
      <c r="A2180" s="6">
        <v>3179</v>
      </c>
      <c r="B2180" s="6">
        <v>22849</v>
      </c>
      <c r="C2180" s="19">
        <v>40588</v>
      </c>
      <c r="D2180" s="6" t="s">
        <v>28</v>
      </c>
      <c r="E2180" s="6">
        <f>IF((ISBLANK($B$1)),"",Sheet1!Q2188)</f>
        <v>4750</v>
      </c>
      <c r="F2180" s="20" t="s">
        <v>26</v>
      </c>
      <c r="G2180" s="53">
        <f t="shared" si="34"/>
        <v>9.8358636763777513E-2</v>
      </c>
      <c r="H2180" s="35"/>
      <c r="P2180" s="6"/>
    </row>
    <row r="2181" spans="1:16" ht="14.4" x14ac:dyDescent="0.25">
      <c r="A2181" s="6">
        <v>3180</v>
      </c>
      <c r="B2181" s="6">
        <v>22849</v>
      </c>
      <c r="C2181" s="19">
        <v>40588</v>
      </c>
      <c r="D2181" s="6" t="s">
        <v>28</v>
      </c>
      <c r="E2181" s="6">
        <f>IF((ISBLANK($B$1)),"",Sheet1!Q2189)</f>
        <v>5100</v>
      </c>
      <c r="F2181" s="20" t="s">
        <v>26</v>
      </c>
      <c r="G2181" s="53">
        <f t="shared" si="34"/>
        <v>0.58169263221211776</v>
      </c>
      <c r="H2181" s="35"/>
      <c r="P2181" s="6"/>
    </row>
    <row r="2182" spans="1:16" ht="14.4" x14ac:dyDescent="0.25">
      <c r="A2182" s="6">
        <v>3181</v>
      </c>
      <c r="B2182" s="6">
        <v>22849</v>
      </c>
      <c r="C2182" s="19">
        <v>40588</v>
      </c>
      <c r="D2182" s="6" t="s">
        <v>28</v>
      </c>
      <c r="E2182" s="6">
        <f>IF((ISBLANK($B$1)),"",Sheet1!Q2190)</f>
        <v>4750</v>
      </c>
      <c r="F2182" s="20" t="s">
        <v>26</v>
      </c>
      <c r="G2182" s="53">
        <f t="shared" si="34"/>
        <v>9.8358636763777513E-2</v>
      </c>
      <c r="H2182" s="35"/>
      <c r="P2182" s="6"/>
    </row>
    <row r="2183" spans="1:16" ht="14.4" x14ac:dyDescent="0.25">
      <c r="A2183" s="6">
        <v>3182</v>
      </c>
      <c r="B2183" s="6">
        <v>22849</v>
      </c>
      <c r="C2183" s="19">
        <v>40588</v>
      </c>
      <c r="D2183" s="6" t="s">
        <v>28</v>
      </c>
      <c r="E2183" s="6">
        <f>IF((ISBLANK($B$1)),"",Sheet1!Q2191)</f>
        <v>4650</v>
      </c>
      <c r="F2183" s="20" t="s">
        <v>27</v>
      </c>
      <c r="G2183" s="53">
        <f t="shared" si="34"/>
        <v>-3.9736790507176829E-2</v>
      </c>
      <c r="H2183" s="35"/>
      <c r="P2183" s="6"/>
    </row>
    <row r="2184" spans="1:16" ht="14.4" x14ac:dyDescent="0.25">
      <c r="A2184" s="6">
        <v>3188</v>
      </c>
      <c r="B2184" s="6">
        <v>22881</v>
      </c>
      <c r="C2184" s="19">
        <v>40274</v>
      </c>
      <c r="D2184" s="6" t="s">
        <v>16</v>
      </c>
      <c r="E2184" s="6">
        <f>IF((ISBLANK($B$1)),"",Sheet1!Q2192)</f>
        <v>5050</v>
      </c>
      <c r="F2184" s="20" t="s">
        <v>26</v>
      </c>
      <c r="G2184" s="53">
        <f t="shared" ref="G2184:G2247" si="35">STANDARDIZE(E2184,$L$26,$L$35)</f>
        <v>0.51264491857664052</v>
      </c>
      <c r="H2184" s="35"/>
      <c r="P2184" s="6"/>
    </row>
    <row r="2185" spans="1:16" ht="14.4" x14ac:dyDescent="0.25">
      <c r="A2185" s="6">
        <v>3201</v>
      </c>
      <c r="B2185" s="6">
        <v>22950</v>
      </c>
      <c r="C2185" s="19">
        <v>40898</v>
      </c>
      <c r="D2185" s="6" t="s">
        <v>25</v>
      </c>
      <c r="E2185" s="6">
        <f>IF((ISBLANK($B$1)),"",Sheet1!Q2193)</f>
        <v>4850</v>
      </c>
      <c r="F2185" s="20" t="s">
        <v>26</v>
      </c>
      <c r="G2185" s="53">
        <f t="shared" si="35"/>
        <v>0.23645406403473185</v>
      </c>
      <c r="H2185" s="35"/>
      <c r="P2185" s="6"/>
    </row>
    <row r="2186" spans="1:16" ht="14.4" x14ac:dyDescent="0.25">
      <c r="A2186" s="6">
        <v>3206</v>
      </c>
      <c r="B2186" s="6">
        <v>23008</v>
      </c>
      <c r="C2186" s="19">
        <v>40095</v>
      </c>
      <c r="D2186" s="6" t="s">
        <v>30</v>
      </c>
      <c r="E2186" s="6">
        <f>IF((ISBLANK($B$1)),"",Sheet1!Q2194)</f>
        <v>3900</v>
      </c>
      <c r="F2186" s="20" t="s">
        <v>26</v>
      </c>
      <c r="G2186" s="53">
        <f t="shared" si="35"/>
        <v>-1.0754524950393345</v>
      </c>
      <c r="H2186" s="35"/>
      <c r="P2186" s="6"/>
    </row>
    <row r="2187" spans="1:16" ht="14.4" x14ac:dyDescent="0.25">
      <c r="A2187" s="6">
        <v>3207</v>
      </c>
      <c r="B2187" s="6">
        <v>23008</v>
      </c>
      <c r="C2187" s="19">
        <v>40095</v>
      </c>
      <c r="D2187" s="6" t="s">
        <v>30</v>
      </c>
      <c r="E2187" s="6">
        <f>IF((ISBLANK($B$1)),"",Sheet1!Q2195)</f>
        <v>3500</v>
      </c>
      <c r="F2187" s="20" t="s">
        <v>27</v>
      </c>
      <c r="G2187" s="53">
        <f t="shared" si="35"/>
        <v>-1.6278342041231517</v>
      </c>
      <c r="H2187" s="35"/>
      <c r="P2187" s="6"/>
    </row>
    <row r="2188" spans="1:16" ht="14.4" x14ac:dyDescent="0.25">
      <c r="A2188" s="6">
        <v>3233</v>
      </c>
      <c r="B2188" s="6">
        <v>23202</v>
      </c>
      <c r="C2188" s="19">
        <v>40754</v>
      </c>
      <c r="D2188" s="6" t="s">
        <v>17</v>
      </c>
      <c r="E2188" s="6">
        <f>IF((ISBLANK($B$1)),"",Sheet1!Q2196)</f>
        <v>5350</v>
      </c>
      <c r="F2188" s="20" t="s">
        <v>26</v>
      </c>
      <c r="G2188" s="53">
        <f t="shared" si="35"/>
        <v>0.92693120038950361</v>
      </c>
      <c r="H2188" s="35"/>
      <c r="P2188" s="6"/>
    </row>
    <row r="2189" spans="1:16" ht="14.4" x14ac:dyDescent="0.25">
      <c r="A2189" s="6">
        <v>3234</v>
      </c>
      <c r="B2189" s="6">
        <v>23202</v>
      </c>
      <c r="C2189" s="19">
        <v>40754</v>
      </c>
      <c r="D2189" s="6" t="s">
        <v>17</v>
      </c>
      <c r="E2189" s="6">
        <f>IF((ISBLANK($B$1)),"",Sheet1!Q2197)</f>
        <v>5800</v>
      </c>
      <c r="F2189" s="20" t="s">
        <v>26</v>
      </c>
      <c r="G2189" s="53">
        <f t="shared" si="35"/>
        <v>1.5483606231087981</v>
      </c>
      <c r="H2189" s="35"/>
      <c r="P2189" s="6"/>
    </row>
    <row r="2190" spans="1:16" ht="14.4" x14ac:dyDescent="0.25">
      <c r="A2190" s="6">
        <v>3276</v>
      </c>
      <c r="B2190" s="6">
        <v>23426</v>
      </c>
      <c r="C2190" s="19">
        <v>40590</v>
      </c>
      <c r="D2190" s="6" t="s">
        <v>30</v>
      </c>
      <c r="E2190" s="6">
        <f>IF((ISBLANK($B$1)),"",Sheet1!Q2198)</f>
        <v>5650</v>
      </c>
      <c r="F2190" s="20" t="s">
        <v>27</v>
      </c>
      <c r="G2190" s="53">
        <f t="shared" si="35"/>
        <v>1.3412174822023666</v>
      </c>
      <c r="H2190" s="35"/>
      <c r="P2190" s="6"/>
    </row>
    <row r="2191" spans="1:16" ht="14.4" x14ac:dyDescent="0.25">
      <c r="A2191" s="6">
        <v>3277</v>
      </c>
      <c r="B2191" s="6">
        <v>23426</v>
      </c>
      <c r="C2191" s="19">
        <v>40590</v>
      </c>
      <c r="D2191" s="6" t="s">
        <v>30</v>
      </c>
      <c r="E2191" s="6">
        <f>IF((ISBLANK($B$1)),"",Sheet1!Q2199)</f>
        <v>4000</v>
      </c>
      <c r="F2191" s="20" t="s">
        <v>26</v>
      </c>
      <c r="G2191" s="53">
        <f t="shared" si="35"/>
        <v>-0.93735706776838001</v>
      </c>
      <c r="H2191" s="35"/>
      <c r="P2191" s="6"/>
    </row>
    <row r="2192" spans="1:16" ht="14.4" x14ac:dyDescent="0.25">
      <c r="A2192" s="6">
        <v>3311</v>
      </c>
      <c r="B2192" s="6">
        <v>23649</v>
      </c>
      <c r="C2192" s="19">
        <v>41157</v>
      </c>
      <c r="D2192" s="6" t="s">
        <v>28</v>
      </c>
      <c r="E2192" s="6">
        <f>IF((ISBLANK($B$1)),"",Sheet1!Q2200)</f>
        <v>4900</v>
      </c>
      <c r="F2192" s="20" t="s">
        <v>27</v>
      </c>
      <c r="G2192" s="53">
        <f t="shared" si="35"/>
        <v>0.30550177767020903</v>
      </c>
      <c r="H2192" s="35"/>
      <c r="P2192" s="6"/>
    </row>
    <row r="2193" spans="1:16" ht="14.4" x14ac:dyDescent="0.25">
      <c r="A2193" s="6">
        <v>3312</v>
      </c>
      <c r="B2193" s="6">
        <v>23649</v>
      </c>
      <c r="C2193" s="19">
        <v>41157</v>
      </c>
      <c r="D2193" s="6" t="s">
        <v>28</v>
      </c>
      <c r="E2193" s="6">
        <f>IF((ISBLANK($B$1)),"",Sheet1!Q2201)</f>
        <v>5500</v>
      </c>
      <c r="F2193" s="20" t="s">
        <v>27</v>
      </c>
      <c r="G2193" s="53">
        <f t="shared" si="35"/>
        <v>1.1340743412959351</v>
      </c>
      <c r="H2193" s="35"/>
      <c r="P2193" s="6"/>
    </row>
    <row r="2194" spans="1:16" ht="14.4" x14ac:dyDescent="0.25">
      <c r="A2194" s="6">
        <v>3322</v>
      </c>
      <c r="B2194" s="6">
        <v>23748</v>
      </c>
      <c r="C2194" s="19">
        <v>41131</v>
      </c>
      <c r="D2194" s="6" t="s">
        <v>17</v>
      </c>
      <c r="E2194" s="6">
        <f>IF((ISBLANK($B$1)),"",Sheet1!Q2202)</f>
        <v>4700</v>
      </c>
      <c r="F2194" s="20" t="s">
        <v>26</v>
      </c>
      <c r="G2194" s="53">
        <f t="shared" si="35"/>
        <v>2.9310923128300338E-2</v>
      </c>
      <c r="H2194" s="35"/>
      <c r="P2194" s="6"/>
    </row>
    <row r="2195" spans="1:16" ht="14.4" x14ac:dyDescent="0.25">
      <c r="A2195" s="6">
        <v>3337</v>
      </c>
      <c r="B2195" s="6">
        <v>23847</v>
      </c>
      <c r="C2195" s="19">
        <v>41222</v>
      </c>
      <c r="D2195" s="6" t="s">
        <v>28</v>
      </c>
      <c r="E2195" s="6">
        <f>IF((ISBLANK($B$1)),"",Sheet1!Q2203)</f>
        <v>3750</v>
      </c>
      <c r="F2195" s="20" t="s">
        <v>27</v>
      </c>
      <c r="G2195" s="53">
        <f t="shared" si="35"/>
        <v>-1.282595635945766</v>
      </c>
      <c r="H2195" s="35"/>
      <c r="P2195" s="6"/>
    </row>
    <row r="2196" spans="1:16" ht="14.4" x14ac:dyDescent="0.25">
      <c r="A2196" s="6">
        <v>3350</v>
      </c>
      <c r="B2196" s="6">
        <v>23971</v>
      </c>
      <c r="C2196" s="19">
        <v>40138</v>
      </c>
      <c r="D2196" s="6" t="s">
        <v>30</v>
      </c>
      <c r="E2196" s="6">
        <f>IF((ISBLANK($B$1)),"",Sheet1!Q2204)</f>
        <v>3650</v>
      </c>
      <c r="F2196" s="20" t="s">
        <v>26</v>
      </c>
      <c r="G2196" s="53">
        <f t="shared" si="35"/>
        <v>-1.4206910632167202</v>
      </c>
      <c r="H2196" s="35"/>
      <c r="P2196" s="6"/>
    </row>
    <row r="2197" spans="1:16" ht="14.4" x14ac:dyDescent="0.25">
      <c r="A2197" s="6">
        <v>3388</v>
      </c>
      <c r="B2197" s="6">
        <v>24135</v>
      </c>
      <c r="C2197" s="19">
        <v>40200</v>
      </c>
      <c r="D2197" s="6" t="s">
        <v>25</v>
      </c>
      <c r="E2197" s="6">
        <f>IF((ISBLANK($B$1)),"",Sheet1!Q2205)</f>
        <v>4000</v>
      </c>
      <c r="F2197" s="20" t="s">
        <v>26</v>
      </c>
      <c r="G2197" s="53">
        <f t="shared" si="35"/>
        <v>-0.93735706776838001</v>
      </c>
      <c r="H2197" s="35"/>
      <c r="P2197" s="6"/>
    </row>
    <row r="2198" spans="1:16" ht="14.4" x14ac:dyDescent="0.25">
      <c r="A2198" s="6">
        <v>3395</v>
      </c>
      <c r="B2198" s="6">
        <v>24196</v>
      </c>
      <c r="C2198" s="19">
        <v>40389</v>
      </c>
      <c r="D2198" s="6" t="s">
        <v>17</v>
      </c>
      <c r="E2198" s="6">
        <f>IF((ISBLANK($B$1)),"",Sheet1!Q2206)</f>
        <v>3500</v>
      </c>
      <c r="F2198" s="20" t="s">
        <v>26</v>
      </c>
      <c r="G2198" s="53">
        <f t="shared" si="35"/>
        <v>-1.6278342041231517</v>
      </c>
      <c r="H2198" s="35"/>
      <c r="P2198" s="6"/>
    </row>
    <row r="2199" spans="1:16" ht="14.4" x14ac:dyDescent="0.25">
      <c r="A2199" s="6">
        <v>3396</v>
      </c>
      <c r="B2199" s="6">
        <v>24196</v>
      </c>
      <c r="C2199" s="19">
        <v>40389</v>
      </c>
      <c r="D2199" s="6" t="s">
        <v>17</v>
      </c>
      <c r="E2199" s="6">
        <f>IF((ISBLANK($B$1)),"",Sheet1!Q2207)</f>
        <v>4600</v>
      </c>
      <c r="F2199" s="20" t="s">
        <v>26</v>
      </c>
      <c r="G2199" s="53">
        <f t="shared" si="35"/>
        <v>-0.108784504142654</v>
      </c>
      <c r="H2199" s="35"/>
      <c r="P2199" s="6"/>
    </row>
    <row r="2200" spans="1:16" ht="14.4" x14ac:dyDescent="0.25">
      <c r="A2200" s="6">
        <v>3397</v>
      </c>
      <c r="B2200" s="6">
        <v>24197</v>
      </c>
      <c r="C2200" s="19">
        <v>40212</v>
      </c>
      <c r="D2200" s="6" t="s">
        <v>25</v>
      </c>
      <c r="E2200" s="6">
        <f>IF((ISBLANK($B$1)),"",Sheet1!Q2208)</f>
        <v>5450</v>
      </c>
      <c r="F2200" s="20" t="s">
        <v>27</v>
      </c>
      <c r="G2200" s="53">
        <f t="shared" si="35"/>
        <v>1.0650266276604579</v>
      </c>
      <c r="H2200" s="35"/>
      <c r="P2200" s="6"/>
    </row>
    <row r="2201" spans="1:16" ht="14.4" x14ac:dyDescent="0.25">
      <c r="A2201" s="6">
        <v>3398</v>
      </c>
      <c r="B2201" s="6">
        <v>24197</v>
      </c>
      <c r="C2201" s="19">
        <v>40212</v>
      </c>
      <c r="D2201" s="6" t="s">
        <v>25</v>
      </c>
      <c r="E2201" s="6">
        <f>IF((ISBLANK($B$1)),"",Sheet1!Q2209)</f>
        <v>3500</v>
      </c>
      <c r="F2201" s="20" t="s">
        <v>27</v>
      </c>
      <c r="G2201" s="53">
        <f t="shared" si="35"/>
        <v>-1.6278342041231517</v>
      </c>
      <c r="H2201" s="35"/>
      <c r="P2201" s="6"/>
    </row>
    <row r="2202" spans="1:16" ht="14.4" x14ac:dyDescent="0.25">
      <c r="A2202" s="6">
        <v>3435</v>
      </c>
      <c r="B2202" s="6">
        <v>24519</v>
      </c>
      <c r="C2202" s="19">
        <v>40705</v>
      </c>
      <c r="D2202" s="6" t="s">
        <v>30</v>
      </c>
      <c r="E2202" s="6">
        <f>IF((ISBLANK($B$1)),"",Sheet1!Q2210)</f>
        <v>4500</v>
      </c>
      <c r="F2202" s="20" t="s">
        <v>26</v>
      </c>
      <c r="G2202" s="53">
        <f t="shared" si="35"/>
        <v>-0.24687993141360834</v>
      </c>
      <c r="H2202" s="35"/>
      <c r="P2202" s="6"/>
    </row>
    <row r="2203" spans="1:16" ht="14.4" x14ac:dyDescent="0.25">
      <c r="A2203" s="6">
        <v>3439</v>
      </c>
      <c r="B2203" s="6">
        <v>24546</v>
      </c>
      <c r="C2203" s="19">
        <v>40994</v>
      </c>
      <c r="D2203" s="6" t="s">
        <v>30</v>
      </c>
      <c r="E2203" s="6">
        <f>IF((ISBLANK($B$1)),"",Sheet1!Q2211)</f>
        <v>3750</v>
      </c>
      <c r="F2203" s="20" t="s">
        <v>26</v>
      </c>
      <c r="G2203" s="53">
        <f t="shared" si="35"/>
        <v>-1.282595635945766</v>
      </c>
      <c r="H2203" s="35"/>
      <c r="P2203" s="6"/>
    </row>
    <row r="2204" spans="1:16" ht="14.4" x14ac:dyDescent="0.25">
      <c r="A2204" s="6">
        <v>3444</v>
      </c>
      <c r="B2204" s="6">
        <v>24579</v>
      </c>
      <c r="C2204" s="19">
        <v>41231</v>
      </c>
      <c r="D2204" s="6" t="s">
        <v>17</v>
      </c>
      <c r="E2204" s="6">
        <f>IF((ISBLANK($B$1)),"",Sheet1!Q2212)</f>
        <v>5650</v>
      </c>
      <c r="F2204" s="20" t="s">
        <v>26</v>
      </c>
      <c r="G2204" s="53">
        <f t="shared" si="35"/>
        <v>1.3412174822023666</v>
      </c>
      <c r="H2204" s="35"/>
      <c r="P2204" s="6"/>
    </row>
    <row r="2205" spans="1:16" ht="14.4" x14ac:dyDescent="0.25">
      <c r="A2205" s="6">
        <v>3445</v>
      </c>
      <c r="B2205" s="6">
        <v>24579</v>
      </c>
      <c r="C2205" s="19">
        <v>41231</v>
      </c>
      <c r="D2205" s="6" t="s">
        <v>17</v>
      </c>
      <c r="E2205" s="6">
        <f>IF((ISBLANK($B$1)),"",Sheet1!Q2213)</f>
        <v>5400</v>
      </c>
      <c r="F2205" s="20" t="s">
        <v>26</v>
      </c>
      <c r="G2205" s="53">
        <f t="shared" si="35"/>
        <v>0.99597891402498073</v>
      </c>
      <c r="H2205" s="35"/>
      <c r="P2205" s="6"/>
    </row>
    <row r="2206" spans="1:16" ht="14.4" x14ac:dyDescent="0.25">
      <c r="A2206" s="6">
        <v>3448</v>
      </c>
      <c r="B2206" s="6">
        <v>24581</v>
      </c>
      <c r="C2206" s="19">
        <v>40277</v>
      </c>
      <c r="D2206" s="6" t="s">
        <v>17</v>
      </c>
      <c r="E2206" s="6">
        <f>IF((ISBLANK($B$1)),"",Sheet1!Q2214)</f>
        <v>3800</v>
      </c>
      <c r="F2206" s="20" t="s">
        <v>26</v>
      </c>
      <c r="G2206" s="53">
        <f t="shared" si="35"/>
        <v>-1.2135479223102887</v>
      </c>
      <c r="H2206" s="35"/>
      <c r="P2206" s="6"/>
    </row>
    <row r="2207" spans="1:16" ht="14.4" x14ac:dyDescent="0.25">
      <c r="A2207" s="6">
        <v>3473</v>
      </c>
      <c r="B2207" s="6">
        <v>24710</v>
      </c>
      <c r="C2207" s="19">
        <v>40451</v>
      </c>
      <c r="D2207" s="6" t="s">
        <v>25</v>
      </c>
      <c r="E2207" s="6">
        <f>IF((ISBLANK($B$1)),"",Sheet1!Q2215)</f>
        <v>3550</v>
      </c>
      <c r="F2207" s="20" t="s">
        <v>26</v>
      </c>
      <c r="G2207" s="53">
        <f t="shared" si="35"/>
        <v>-1.5587864904876745</v>
      </c>
      <c r="H2207" s="35"/>
      <c r="P2207" s="6"/>
    </row>
    <row r="2208" spans="1:16" ht="14.4" x14ac:dyDescent="0.25">
      <c r="A2208" s="6">
        <v>3500</v>
      </c>
      <c r="B2208" s="6">
        <v>24960</v>
      </c>
      <c r="C2208" s="19">
        <v>40570</v>
      </c>
      <c r="D2208" s="6" t="s">
        <v>17</v>
      </c>
      <c r="E2208" s="6">
        <f>IF((ISBLANK($B$1)),"",Sheet1!Q2216)</f>
        <v>5800</v>
      </c>
      <c r="F2208" s="20" t="s">
        <v>27</v>
      </c>
      <c r="G2208" s="53">
        <f t="shared" si="35"/>
        <v>1.5483606231087981</v>
      </c>
      <c r="H2208" s="35"/>
      <c r="P2208" s="6"/>
    </row>
    <row r="2209" spans="1:16" ht="14.4" x14ac:dyDescent="0.25">
      <c r="A2209" s="6">
        <v>3501</v>
      </c>
      <c r="B2209" s="6">
        <v>24960</v>
      </c>
      <c r="C2209" s="19">
        <v>40570</v>
      </c>
      <c r="D2209" s="6" t="s">
        <v>17</v>
      </c>
      <c r="E2209" s="6">
        <f>IF((ISBLANK($B$1)),"",Sheet1!Q2217)</f>
        <v>5250</v>
      </c>
      <c r="F2209" s="20" t="s">
        <v>26</v>
      </c>
      <c r="G2209" s="53">
        <f t="shared" si="35"/>
        <v>0.78883577311854924</v>
      </c>
      <c r="H2209" s="35"/>
      <c r="P2209" s="6"/>
    </row>
    <row r="2210" spans="1:16" ht="14.4" x14ac:dyDescent="0.25">
      <c r="A2210" s="6">
        <v>3502</v>
      </c>
      <c r="B2210" s="6">
        <v>24960</v>
      </c>
      <c r="C2210" s="19">
        <v>40570</v>
      </c>
      <c r="D2210" s="6" t="s">
        <v>17</v>
      </c>
      <c r="E2210" s="6">
        <f>IF((ISBLANK($B$1)),"",Sheet1!Q2218)</f>
        <v>4300</v>
      </c>
      <c r="F2210" s="20" t="s">
        <v>26</v>
      </c>
      <c r="G2210" s="53">
        <f t="shared" si="35"/>
        <v>-0.52307078595551704</v>
      </c>
      <c r="H2210" s="35"/>
      <c r="P2210" s="6"/>
    </row>
    <row r="2211" spans="1:16" ht="14.4" x14ac:dyDescent="0.25">
      <c r="A2211" s="6">
        <v>3503</v>
      </c>
      <c r="B2211" s="6">
        <v>24960</v>
      </c>
      <c r="C2211" s="19">
        <v>40570</v>
      </c>
      <c r="D2211" s="6" t="s">
        <v>17</v>
      </c>
      <c r="E2211" s="6">
        <f>IF((ISBLANK($B$1)),"",Sheet1!Q2219)</f>
        <v>5150</v>
      </c>
      <c r="F2211" s="20" t="s">
        <v>27</v>
      </c>
      <c r="G2211" s="53">
        <f t="shared" si="35"/>
        <v>0.65074034584759488</v>
      </c>
      <c r="H2211" s="35"/>
      <c r="P2211" s="6"/>
    </row>
    <row r="2212" spans="1:16" ht="14.4" x14ac:dyDescent="0.25">
      <c r="A2212" s="6">
        <v>3519</v>
      </c>
      <c r="B2212" s="6">
        <v>25061</v>
      </c>
      <c r="C2212" s="19">
        <v>40895</v>
      </c>
      <c r="D2212" s="6" t="s">
        <v>16</v>
      </c>
      <c r="E2212" s="6">
        <f>IF((ISBLANK($B$1)),"",Sheet1!Q2220)</f>
        <v>4400</v>
      </c>
      <c r="F2212" s="20" t="s">
        <v>26</v>
      </c>
      <c r="G2212" s="53">
        <f t="shared" si="35"/>
        <v>-0.38497535868456267</v>
      </c>
      <c r="H2212" s="35"/>
      <c r="P2212" s="6"/>
    </row>
    <row r="2213" spans="1:16" ht="14.4" x14ac:dyDescent="0.25">
      <c r="A2213" s="6">
        <v>3527</v>
      </c>
      <c r="B2213" s="6">
        <v>25095</v>
      </c>
      <c r="C2213" s="19">
        <v>40568</v>
      </c>
      <c r="D2213" s="6" t="s">
        <v>25</v>
      </c>
      <c r="E2213" s="6">
        <f>IF((ISBLANK($B$1)),"",Sheet1!Q2221)</f>
        <v>4300</v>
      </c>
      <c r="F2213" s="20" t="s">
        <v>26</v>
      </c>
      <c r="G2213" s="53">
        <f t="shared" si="35"/>
        <v>-0.52307078595551704</v>
      </c>
      <c r="H2213" s="35"/>
      <c r="P2213" s="6"/>
    </row>
    <row r="2214" spans="1:16" ht="14.4" x14ac:dyDescent="0.25">
      <c r="A2214" s="6">
        <v>3528</v>
      </c>
      <c r="B2214" s="6">
        <v>25095</v>
      </c>
      <c r="C2214" s="19">
        <v>40568</v>
      </c>
      <c r="D2214" s="6" t="s">
        <v>25</v>
      </c>
      <c r="E2214" s="6">
        <f>IF((ISBLANK($B$1)),"",Sheet1!Q2222)</f>
        <v>5450</v>
      </c>
      <c r="F2214" s="20" t="s">
        <v>27</v>
      </c>
      <c r="G2214" s="53">
        <f t="shared" si="35"/>
        <v>1.0650266276604579</v>
      </c>
      <c r="H2214" s="35"/>
      <c r="P2214" s="6"/>
    </row>
    <row r="2215" spans="1:16" ht="14.4" x14ac:dyDescent="0.25">
      <c r="A2215" s="6">
        <v>3544</v>
      </c>
      <c r="B2215" s="6">
        <v>25254</v>
      </c>
      <c r="C2215" s="19">
        <v>40438</v>
      </c>
      <c r="D2215" s="6" t="s">
        <v>30</v>
      </c>
      <c r="E2215" s="6">
        <f>IF((ISBLANK($B$1)),"",Sheet1!Q2223)</f>
        <v>5150</v>
      </c>
      <c r="F2215" s="20" t="s">
        <v>26</v>
      </c>
      <c r="G2215" s="53">
        <f t="shared" si="35"/>
        <v>0.65074034584759488</v>
      </c>
      <c r="H2215" s="35"/>
      <c r="P2215" s="6"/>
    </row>
    <row r="2216" spans="1:16" ht="14.4" x14ac:dyDescent="0.25">
      <c r="A2216" s="6">
        <v>3583</v>
      </c>
      <c r="B2216" s="6">
        <v>25542</v>
      </c>
      <c r="C2216" s="19">
        <v>41273</v>
      </c>
      <c r="D2216" s="6" t="s">
        <v>25</v>
      </c>
      <c r="E2216" s="6">
        <f>IF((ISBLANK($B$1)),"",Sheet1!Q2224)</f>
        <v>5250</v>
      </c>
      <c r="F2216" s="20" t="s">
        <v>26</v>
      </c>
      <c r="G2216" s="53">
        <f t="shared" si="35"/>
        <v>0.78883577311854924</v>
      </c>
      <c r="H2216" s="35"/>
      <c r="P2216" s="6"/>
    </row>
    <row r="2217" spans="1:16" ht="14.4" x14ac:dyDescent="0.25">
      <c r="A2217" s="6">
        <v>3584</v>
      </c>
      <c r="B2217" s="6">
        <v>25569</v>
      </c>
      <c r="C2217" s="19">
        <v>41099</v>
      </c>
      <c r="D2217" s="6" t="s">
        <v>17</v>
      </c>
      <c r="E2217" s="6">
        <f>IF((ISBLANK($B$1)),"",Sheet1!Q2225)</f>
        <v>4750</v>
      </c>
      <c r="F2217" s="20" t="s">
        <v>26</v>
      </c>
      <c r="G2217" s="53">
        <f t="shared" si="35"/>
        <v>9.8358636763777513E-2</v>
      </c>
      <c r="H2217" s="35"/>
      <c r="P2217" s="6"/>
    </row>
    <row r="2218" spans="1:16" ht="14.4" x14ac:dyDescent="0.25">
      <c r="A2218" s="6">
        <v>3624</v>
      </c>
      <c r="B2218" s="6">
        <v>25863</v>
      </c>
      <c r="C2218" s="19">
        <v>40655</v>
      </c>
      <c r="D2218" s="6" t="s">
        <v>28</v>
      </c>
      <c r="E2218" s="6">
        <f>IF((ISBLANK($B$1)),"",Sheet1!Q2226)</f>
        <v>4300</v>
      </c>
      <c r="F2218" s="20" t="s">
        <v>27</v>
      </c>
      <c r="G2218" s="53">
        <f t="shared" si="35"/>
        <v>-0.52307078595551704</v>
      </c>
      <c r="H2218" s="35"/>
      <c r="P2218" s="6"/>
    </row>
    <row r="2219" spans="1:16" ht="14.4" x14ac:dyDescent="0.25">
      <c r="A2219" s="6">
        <v>3626</v>
      </c>
      <c r="B2219" s="6">
        <v>25895</v>
      </c>
      <c r="C2219" s="19">
        <v>41016</v>
      </c>
      <c r="D2219" s="6" t="s">
        <v>16</v>
      </c>
      <c r="E2219" s="6">
        <f>IF((ISBLANK($B$1)),"",Sheet1!Q2227)</f>
        <v>5250</v>
      </c>
      <c r="F2219" s="20" t="s">
        <v>26</v>
      </c>
      <c r="G2219" s="53">
        <f t="shared" si="35"/>
        <v>0.78883577311854924</v>
      </c>
      <c r="H2219" s="35"/>
      <c r="P2219" s="6"/>
    </row>
    <row r="2220" spans="1:16" ht="14.4" x14ac:dyDescent="0.25">
      <c r="A2220" s="6">
        <v>3642</v>
      </c>
      <c r="B2220" s="6">
        <v>26050</v>
      </c>
      <c r="C2220" s="19">
        <v>40710</v>
      </c>
      <c r="D2220" s="6" t="s">
        <v>17</v>
      </c>
      <c r="E2220" s="6">
        <f>IF((ISBLANK($B$1)),"",Sheet1!Q2228)</f>
        <v>5600</v>
      </c>
      <c r="F2220" s="20" t="s">
        <v>26</v>
      </c>
      <c r="G2220" s="53">
        <f t="shared" si="35"/>
        <v>1.2721697685668893</v>
      </c>
      <c r="H2220" s="35"/>
      <c r="P2220" s="6"/>
    </row>
    <row r="2221" spans="1:16" ht="14.4" x14ac:dyDescent="0.25">
      <c r="A2221" s="6">
        <v>3651</v>
      </c>
      <c r="B2221" s="6">
        <v>26145</v>
      </c>
      <c r="C2221" s="19">
        <v>40728</v>
      </c>
      <c r="D2221" s="6" t="s">
        <v>25</v>
      </c>
      <c r="E2221" s="6">
        <f>IF((ISBLANK($B$1)),"",Sheet1!Q2229)</f>
        <v>4300</v>
      </c>
      <c r="F2221" s="20" t="s">
        <v>26</v>
      </c>
      <c r="G2221" s="53">
        <f t="shared" si="35"/>
        <v>-0.52307078595551704</v>
      </c>
      <c r="H2221" s="35"/>
      <c r="P2221" s="6"/>
    </row>
    <row r="2222" spans="1:16" ht="14.4" x14ac:dyDescent="0.25">
      <c r="A2222" s="6">
        <v>3652</v>
      </c>
      <c r="B2222" s="6">
        <v>26145</v>
      </c>
      <c r="C2222" s="19">
        <v>40728</v>
      </c>
      <c r="D2222" s="6" t="s">
        <v>25</v>
      </c>
      <c r="E2222" s="6">
        <f>IF((ISBLANK($B$1)),"",Sheet1!Q2230)</f>
        <v>5850</v>
      </c>
      <c r="F2222" s="20" t="s">
        <v>29</v>
      </c>
      <c r="G2222" s="53">
        <f t="shared" si="35"/>
        <v>1.6174083367442753</v>
      </c>
      <c r="H2222" s="35"/>
      <c r="P2222" s="6"/>
    </row>
    <row r="2223" spans="1:16" ht="14.4" x14ac:dyDescent="0.25">
      <c r="A2223" s="6">
        <v>3653</v>
      </c>
      <c r="B2223" s="6">
        <v>26145</v>
      </c>
      <c r="C2223" s="19">
        <v>40728</v>
      </c>
      <c r="D2223" s="6" t="s">
        <v>25</v>
      </c>
      <c r="E2223" s="6">
        <f>IF((ISBLANK($B$1)),"",Sheet1!Q2231)</f>
        <v>4750</v>
      </c>
      <c r="F2223" s="20" t="s">
        <v>29</v>
      </c>
      <c r="G2223" s="53">
        <f t="shared" si="35"/>
        <v>9.8358636763777513E-2</v>
      </c>
      <c r="H2223" s="35"/>
      <c r="P2223" s="6"/>
    </row>
    <row r="2224" spans="1:16" ht="14.4" x14ac:dyDescent="0.25">
      <c r="A2224" s="6">
        <v>3671</v>
      </c>
      <c r="B2224" s="6">
        <v>26279</v>
      </c>
      <c r="C2224" s="19">
        <v>40024</v>
      </c>
      <c r="D2224" s="6" t="s">
        <v>28</v>
      </c>
      <c r="E2224" s="6">
        <f>IF((ISBLANK($B$1)),"",Sheet1!Q2232)</f>
        <v>3750</v>
      </c>
      <c r="F2224" s="20" t="s">
        <v>27</v>
      </c>
      <c r="G2224" s="53">
        <f t="shared" si="35"/>
        <v>-1.282595635945766</v>
      </c>
      <c r="H2224" s="35"/>
      <c r="P2224" s="6"/>
    </row>
    <row r="2225" spans="1:16" ht="14.4" x14ac:dyDescent="0.25">
      <c r="A2225" s="6">
        <v>3694</v>
      </c>
      <c r="B2225" s="6">
        <v>26406</v>
      </c>
      <c r="C2225" s="19">
        <v>40645</v>
      </c>
      <c r="D2225" s="6" t="s">
        <v>28</v>
      </c>
      <c r="E2225" s="6">
        <f>IF((ISBLANK($B$1)),"",Sheet1!Q2233)</f>
        <v>5400</v>
      </c>
      <c r="F2225" s="20" t="s">
        <v>26</v>
      </c>
      <c r="G2225" s="53">
        <f t="shared" si="35"/>
        <v>0.99597891402498073</v>
      </c>
      <c r="H2225" s="35"/>
      <c r="P2225" s="6"/>
    </row>
    <row r="2226" spans="1:16" ht="14.4" x14ac:dyDescent="0.25">
      <c r="A2226" s="6">
        <v>3717</v>
      </c>
      <c r="B2226" s="6">
        <v>26535</v>
      </c>
      <c r="C2226" s="19">
        <v>40988</v>
      </c>
      <c r="D2226" s="6" t="s">
        <v>28</v>
      </c>
      <c r="E2226" s="6">
        <f>IF((ISBLANK($B$1)),"",Sheet1!Q2234)</f>
        <v>5050</v>
      </c>
      <c r="F2226" s="20" t="s">
        <v>26</v>
      </c>
      <c r="G2226" s="53">
        <f t="shared" si="35"/>
        <v>0.51264491857664052</v>
      </c>
      <c r="H2226" s="35"/>
      <c r="P2226" s="6"/>
    </row>
    <row r="2227" spans="1:16" ht="14.4" x14ac:dyDescent="0.25">
      <c r="A2227" s="6">
        <v>3731</v>
      </c>
      <c r="B2227" s="6">
        <v>26661</v>
      </c>
      <c r="C2227" s="19">
        <v>41262</v>
      </c>
      <c r="D2227" s="6" t="s">
        <v>16</v>
      </c>
      <c r="E2227" s="6">
        <f>IF((ISBLANK($B$1)),"",Sheet1!Q2235)</f>
        <v>4950</v>
      </c>
      <c r="F2227" s="20" t="s">
        <v>27</v>
      </c>
      <c r="G2227" s="53">
        <f t="shared" si="35"/>
        <v>0.37454949130568621</v>
      </c>
      <c r="H2227" s="35"/>
      <c r="P2227" s="6"/>
    </row>
    <row r="2228" spans="1:16" ht="14.4" x14ac:dyDescent="0.25">
      <c r="A2228" s="6">
        <v>3761</v>
      </c>
      <c r="B2228" s="6">
        <v>26855</v>
      </c>
      <c r="C2228" s="19">
        <v>39887</v>
      </c>
      <c r="D2228" s="6" t="s">
        <v>17</v>
      </c>
      <c r="E2228" s="6">
        <f>IF((ISBLANK($B$1)),"",Sheet1!Q2236)</f>
        <v>4050</v>
      </c>
      <c r="F2228" s="20" t="s">
        <v>29</v>
      </c>
      <c r="G2228" s="53">
        <f t="shared" si="35"/>
        <v>-0.86830935413290289</v>
      </c>
      <c r="H2228" s="35"/>
      <c r="P2228" s="6"/>
    </row>
    <row r="2229" spans="1:16" ht="14.4" x14ac:dyDescent="0.25">
      <c r="A2229" s="6">
        <v>3794</v>
      </c>
      <c r="B2229" s="6">
        <v>27047</v>
      </c>
      <c r="C2229" s="19">
        <v>40504</v>
      </c>
      <c r="D2229" s="6" t="s">
        <v>17</v>
      </c>
      <c r="E2229" s="6">
        <f>IF((ISBLANK($B$1)),"",Sheet1!Q2237)</f>
        <v>4650</v>
      </c>
      <c r="F2229" s="20" t="s">
        <v>27</v>
      </c>
      <c r="G2229" s="53">
        <f t="shared" si="35"/>
        <v>-3.9736790507176829E-2</v>
      </c>
      <c r="H2229" s="35"/>
      <c r="P2229" s="6"/>
    </row>
    <row r="2230" spans="1:16" ht="14.4" x14ac:dyDescent="0.25">
      <c r="A2230" s="6">
        <v>3795</v>
      </c>
      <c r="B2230" s="6">
        <v>27047</v>
      </c>
      <c r="C2230" s="19">
        <v>40504</v>
      </c>
      <c r="D2230" s="6" t="s">
        <v>17</v>
      </c>
      <c r="E2230" s="6">
        <f>IF((ISBLANK($B$1)),"",Sheet1!Q2238)</f>
        <v>5300</v>
      </c>
      <c r="F2230" s="20" t="s">
        <v>26</v>
      </c>
      <c r="G2230" s="53">
        <f t="shared" si="35"/>
        <v>0.85788348675402637</v>
      </c>
      <c r="H2230" s="35"/>
      <c r="P2230" s="6"/>
    </row>
    <row r="2231" spans="1:16" ht="14.4" x14ac:dyDescent="0.25">
      <c r="A2231" s="6">
        <v>3796</v>
      </c>
      <c r="B2231" s="6">
        <v>27077</v>
      </c>
      <c r="C2231" s="19">
        <v>40252</v>
      </c>
      <c r="D2231" s="6" t="s">
        <v>30</v>
      </c>
      <c r="E2231" s="6">
        <f>IF((ISBLANK($B$1)),"",Sheet1!Q2239)</f>
        <v>3950</v>
      </c>
      <c r="F2231" s="20" t="s">
        <v>27</v>
      </c>
      <c r="G2231" s="53">
        <f t="shared" si="35"/>
        <v>-1.0064047814038573</v>
      </c>
      <c r="H2231" s="35"/>
      <c r="P2231" s="6"/>
    </row>
    <row r="2232" spans="1:16" ht="14.4" x14ac:dyDescent="0.25">
      <c r="A2232" s="6">
        <v>3820</v>
      </c>
      <c r="B2232" s="6">
        <v>27236</v>
      </c>
      <c r="C2232" s="19">
        <v>40239</v>
      </c>
      <c r="D2232" s="6" t="s">
        <v>17</v>
      </c>
      <c r="E2232" s="6">
        <f>IF((ISBLANK($B$1)),"",Sheet1!Q2240)</f>
        <v>4400</v>
      </c>
      <c r="F2232" s="20" t="s">
        <v>26</v>
      </c>
      <c r="G2232" s="53">
        <f t="shared" si="35"/>
        <v>-0.38497535868456267</v>
      </c>
      <c r="H2232" s="35"/>
      <c r="P2232" s="6"/>
    </row>
    <row r="2233" spans="1:16" ht="14.4" x14ac:dyDescent="0.25">
      <c r="A2233" s="6">
        <v>3867</v>
      </c>
      <c r="B2233" s="6">
        <v>27589</v>
      </c>
      <c r="C2233" s="19">
        <v>40801</v>
      </c>
      <c r="D2233" s="6" t="s">
        <v>16</v>
      </c>
      <c r="E2233" s="6">
        <f>IF((ISBLANK($B$1)),"",Sheet1!Q2241)</f>
        <v>4400</v>
      </c>
      <c r="F2233" s="20" t="s">
        <v>27</v>
      </c>
      <c r="G2233" s="53">
        <f t="shared" si="35"/>
        <v>-0.38497535868456267</v>
      </c>
      <c r="H2233" s="35"/>
      <c r="P2233" s="6"/>
    </row>
    <row r="2234" spans="1:16" ht="14.4" x14ac:dyDescent="0.25">
      <c r="A2234" s="6">
        <v>3868</v>
      </c>
      <c r="B2234" s="6">
        <v>27589</v>
      </c>
      <c r="C2234" s="19">
        <v>40801</v>
      </c>
      <c r="D2234" s="6" t="s">
        <v>16</v>
      </c>
      <c r="E2234" s="6">
        <f>IF((ISBLANK($B$1)),"",Sheet1!Q2242)</f>
        <v>4650</v>
      </c>
      <c r="F2234" s="20" t="s">
        <v>29</v>
      </c>
      <c r="G2234" s="53">
        <f t="shared" si="35"/>
        <v>-3.9736790507176829E-2</v>
      </c>
      <c r="H2234" s="35"/>
      <c r="P2234" s="6"/>
    </row>
    <row r="2235" spans="1:16" ht="14.4" x14ac:dyDescent="0.25">
      <c r="A2235" s="6">
        <v>3869</v>
      </c>
      <c r="B2235" s="6">
        <v>27589</v>
      </c>
      <c r="C2235" s="19">
        <v>40801</v>
      </c>
      <c r="D2235" s="6" t="s">
        <v>16</v>
      </c>
      <c r="E2235" s="6">
        <f>IF((ISBLANK($B$1)),"",Sheet1!Q2243)</f>
        <v>5200</v>
      </c>
      <c r="F2235" s="20" t="s">
        <v>29</v>
      </c>
      <c r="G2235" s="53">
        <f t="shared" si="35"/>
        <v>0.71978805948307201</v>
      </c>
      <c r="H2235" s="35"/>
      <c r="P2235" s="6"/>
    </row>
    <row r="2236" spans="1:16" ht="14.4" x14ac:dyDescent="0.25">
      <c r="A2236" s="6">
        <v>3875</v>
      </c>
      <c r="B2236" s="6">
        <v>27681</v>
      </c>
      <c r="C2236" s="19">
        <v>40506</v>
      </c>
      <c r="D2236" s="6" t="s">
        <v>16</v>
      </c>
      <c r="E2236" s="6">
        <f>IF((ISBLANK($B$1)),"",Sheet1!Q2244)</f>
        <v>3750</v>
      </c>
      <c r="F2236" s="20" t="s">
        <v>26</v>
      </c>
      <c r="G2236" s="53">
        <f t="shared" si="35"/>
        <v>-1.282595635945766</v>
      </c>
      <c r="H2236" s="35"/>
      <c r="P2236" s="6"/>
    </row>
    <row r="2237" spans="1:16" ht="14.4" x14ac:dyDescent="0.25">
      <c r="A2237" s="6">
        <v>3876</v>
      </c>
      <c r="B2237" s="6">
        <v>27681</v>
      </c>
      <c r="C2237" s="19">
        <v>40506</v>
      </c>
      <c r="D2237" s="6" t="s">
        <v>16</v>
      </c>
      <c r="E2237" s="6">
        <f>IF((ISBLANK($B$1)),"",Sheet1!Q2245)</f>
        <v>4900</v>
      </c>
      <c r="F2237" s="20" t="s">
        <v>26</v>
      </c>
      <c r="G2237" s="53">
        <f t="shared" si="35"/>
        <v>0.30550177767020903</v>
      </c>
      <c r="H2237" s="35"/>
      <c r="P2237" s="6"/>
    </row>
    <row r="2238" spans="1:16" ht="14.4" x14ac:dyDescent="0.25">
      <c r="A2238" s="6">
        <v>3933</v>
      </c>
      <c r="B2238" s="6">
        <v>28033</v>
      </c>
      <c r="C2238" s="19">
        <v>40435</v>
      </c>
      <c r="D2238" s="6" t="s">
        <v>17</v>
      </c>
      <c r="E2238" s="6">
        <f>IF((ISBLANK($B$1)),"",Sheet1!Q2246)</f>
        <v>4200</v>
      </c>
      <c r="F2238" s="20" t="s">
        <v>29</v>
      </c>
      <c r="G2238" s="53">
        <f t="shared" si="35"/>
        <v>-0.6611662132264714</v>
      </c>
      <c r="H2238" s="35"/>
      <c r="P2238" s="6"/>
    </row>
    <row r="2239" spans="1:16" ht="14.4" x14ac:dyDescent="0.25">
      <c r="A2239" s="6">
        <v>3934</v>
      </c>
      <c r="B2239" s="6">
        <v>28033</v>
      </c>
      <c r="C2239" s="19">
        <v>40435</v>
      </c>
      <c r="D2239" s="6" t="s">
        <v>17</v>
      </c>
      <c r="E2239" s="6">
        <f>IF((ISBLANK($B$1)),"",Sheet1!Q2247)</f>
        <v>5250</v>
      </c>
      <c r="F2239" s="20" t="s">
        <v>29</v>
      </c>
      <c r="G2239" s="53">
        <f t="shared" si="35"/>
        <v>0.78883577311854924</v>
      </c>
      <c r="H2239" s="35"/>
      <c r="P2239" s="6"/>
    </row>
    <row r="2240" spans="1:16" ht="14.4" x14ac:dyDescent="0.25">
      <c r="A2240" s="6">
        <v>3935</v>
      </c>
      <c r="B2240" s="6">
        <v>28033</v>
      </c>
      <c r="C2240" s="19">
        <v>40435</v>
      </c>
      <c r="D2240" s="6" t="s">
        <v>17</v>
      </c>
      <c r="E2240" s="6">
        <f>IF((ISBLANK($B$1)),"",Sheet1!Q2248)</f>
        <v>4300</v>
      </c>
      <c r="F2240" s="20" t="s">
        <v>27</v>
      </c>
      <c r="G2240" s="53">
        <f t="shared" si="35"/>
        <v>-0.52307078595551704</v>
      </c>
      <c r="H2240" s="35"/>
      <c r="P2240" s="6"/>
    </row>
    <row r="2241" spans="1:16" ht="14.4" x14ac:dyDescent="0.25">
      <c r="A2241" s="6">
        <v>3969</v>
      </c>
      <c r="B2241" s="6">
        <v>28324</v>
      </c>
      <c r="C2241" s="19">
        <v>40762</v>
      </c>
      <c r="D2241" s="6" t="s">
        <v>17</v>
      </c>
      <c r="E2241" s="6">
        <f>IF((ISBLANK($B$1)),"",Sheet1!Q2249)</f>
        <v>5800</v>
      </c>
      <c r="F2241" s="20" t="s">
        <v>26</v>
      </c>
      <c r="G2241" s="53">
        <f t="shared" si="35"/>
        <v>1.5483606231087981</v>
      </c>
      <c r="H2241" s="35"/>
      <c r="P2241" s="6"/>
    </row>
    <row r="2242" spans="1:16" ht="14.4" x14ac:dyDescent="0.25">
      <c r="A2242" s="6">
        <v>4035</v>
      </c>
      <c r="B2242" s="6">
        <v>28805</v>
      </c>
      <c r="C2242" s="19">
        <v>40635</v>
      </c>
      <c r="D2242" s="6" t="s">
        <v>16</v>
      </c>
      <c r="E2242" s="6">
        <f>IF((ISBLANK($B$1)),"",Sheet1!Q2250)</f>
        <v>4100</v>
      </c>
      <c r="F2242" s="20" t="s">
        <v>26</v>
      </c>
      <c r="G2242" s="53">
        <f t="shared" si="35"/>
        <v>-0.79926164049742576</v>
      </c>
      <c r="H2242" s="35"/>
      <c r="P2242" s="6"/>
    </row>
    <row r="2243" spans="1:16" ht="14.4" x14ac:dyDescent="0.25">
      <c r="A2243" s="6">
        <v>4036</v>
      </c>
      <c r="B2243" s="6">
        <v>28805</v>
      </c>
      <c r="C2243" s="19">
        <v>40635</v>
      </c>
      <c r="D2243" s="6" t="s">
        <v>16</v>
      </c>
      <c r="E2243" s="6">
        <f>IF((ISBLANK($B$1)),"",Sheet1!Q2251)</f>
        <v>3600</v>
      </c>
      <c r="F2243" s="20" t="s">
        <v>26</v>
      </c>
      <c r="G2243" s="53">
        <f t="shared" si="35"/>
        <v>-1.4897387768521975</v>
      </c>
      <c r="H2243" s="35"/>
      <c r="P2243" s="6"/>
    </row>
    <row r="2244" spans="1:16" ht="14.4" x14ac:dyDescent="0.25">
      <c r="A2244" s="6">
        <v>4037</v>
      </c>
      <c r="B2244" s="6">
        <v>28805</v>
      </c>
      <c r="C2244" s="19">
        <v>40635</v>
      </c>
      <c r="D2244" s="6" t="s">
        <v>16</v>
      </c>
      <c r="E2244" s="6">
        <f>IF((ISBLANK($B$1)),"",Sheet1!Q2252)</f>
        <v>5700</v>
      </c>
      <c r="F2244" s="20" t="s">
        <v>26</v>
      </c>
      <c r="G2244" s="53">
        <f t="shared" si="35"/>
        <v>1.4102651958378438</v>
      </c>
      <c r="H2244" s="35"/>
      <c r="P2244" s="6"/>
    </row>
    <row r="2245" spans="1:16" ht="14.4" x14ac:dyDescent="0.25">
      <c r="A2245" s="6">
        <v>4052</v>
      </c>
      <c r="B2245" s="6">
        <v>28897</v>
      </c>
      <c r="C2245" s="19">
        <v>40049</v>
      </c>
      <c r="D2245" s="6" t="s">
        <v>16</v>
      </c>
      <c r="E2245" s="6">
        <f>IF((ISBLANK($B$1)),"",Sheet1!Q2253)</f>
        <v>5150</v>
      </c>
      <c r="F2245" s="20" t="s">
        <v>26</v>
      </c>
      <c r="G2245" s="53">
        <f t="shared" si="35"/>
        <v>0.65074034584759488</v>
      </c>
      <c r="H2245" s="35"/>
      <c r="P2245" s="6"/>
    </row>
    <row r="2246" spans="1:16" ht="14.4" x14ac:dyDescent="0.25">
      <c r="A2246" s="6">
        <v>4053</v>
      </c>
      <c r="B2246" s="6">
        <v>28897</v>
      </c>
      <c r="C2246" s="19">
        <v>40049</v>
      </c>
      <c r="D2246" s="6" t="s">
        <v>16</v>
      </c>
      <c r="E2246" s="6">
        <f>IF((ISBLANK($B$1)),"",Sheet1!Q2254)</f>
        <v>4100</v>
      </c>
      <c r="F2246" s="20" t="s">
        <v>26</v>
      </c>
      <c r="G2246" s="53">
        <f t="shared" si="35"/>
        <v>-0.79926164049742576</v>
      </c>
      <c r="H2246" s="35"/>
      <c r="P2246" s="6"/>
    </row>
    <row r="2247" spans="1:16" ht="14.4" x14ac:dyDescent="0.25">
      <c r="A2247" s="6">
        <v>4062</v>
      </c>
      <c r="B2247" s="6">
        <v>28932</v>
      </c>
      <c r="C2247" s="19">
        <v>40380</v>
      </c>
      <c r="D2247" s="6" t="s">
        <v>25</v>
      </c>
      <c r="E2247" s="6">
        <f>IF((ISBLANK($B$1)),"",Sheet1!Q2255)</f>
        <v>4600</v>
      </c>
      <c r="F2247" s="20" t="s">
        <v>29</v>
      </c>
      <c r="G2247" s="53">
        <f t="shared" si="35"/>
        <v>-0.108784504142654</v>
      </c>
      <c r="H2247" s="35"/>
      <c r="P2247" s="6"/>
    </row>
    <row r="2248" spans="1:16" ht="14.4" x14ac:dyDescent="0.25">
      <c r="A2248" s="6">
        <v>4063</v>
      </c>
      <c r="B2248" s="6">
        <v>28932</v>
      </c>
      <c r="C2248" s="19">
        <v>40380</v>
      </c>
      <c r="D2248" s="6" t="s">
        <v>25</v>
      </c>
      <c r="E2248" s="6">
        <f>IF((ISBLANK($B$1)),"",Sheet1!Q2256)</f>
        <v>4300</v>
      </c>
      <c r="F2248" s="20" t="s">
        <v>26</v>
      </c>
      <c r="G2248" s="53">
        <f t="shared" ref="G2248:G2311" si="36">STANDARDIZE(E2248,$L$26,$L$35)</f>
        <v>-0.52307078595551704</v>
      </c>
      <c r="H2248" s="35"/>
      <c r="P2248" s="6"/>
    </row>
    <row r="2249" spans="1:16" ht="14.4" x14ac:dyDescent="0.25">
      <c r="A2249" s="6">
        <v>4105</v>
      </c>
      <c r="B2249" s="6">
        <v>29219</v>
      </c>
      <c r="C2249" s="19">
        <v>39913</v>
      </c>
      <c r="D2249" s="6" t="s">
        <v>28</v>
      </c>
      <c r="E2249" s="6">
        <f>IF((ISBLANK($B$1)),"",Sheet1!Q2257)</f>
        <v>4850</v>
      </c>
      <c r="F2249" s="20" t="s">
        <v>26</v>
      </c>
      <c r="G2249" s="53">
        <f t="shared" si="36"/>
        <v>0.23645406403473185</v>
      </c>
      <c r="H2249" s="35"/>
      <c r="P2249" s="6"/>
    </row>
    <row r="2250" spans="1:16" ht="14.4" x14ac:dyDescent="0.25">
      <c r="A2250" s="6">
        <v>4145</v>
      </c>
      <c r="B2250" s="6">
        <v>29410</v>
      </c>
      <c r="C2250" s="19">
        <v>40073</v>
      </c>
      <c r="D2250" s="6" t="s">
        <v>30</v>
      </c>
      <c r="E2250" s="6">
        <f>IF((ISBLANK($B$1)),"",Sheet1!Q2258)</f>
        <v>5150</v>
      </c>
      <c r="F2250" s="20" t="s">
        <v>27</v>
      </c>
      <c r="G2250" s="53">
        <f t="shared" si="36"/>
        <v>0.65074034584759488</v>
      </c>
      <c r="H2250" s="35"/>
      <c r="P2250" s="6"/>
    </row>
    <row r="2251" spans="1:16" ht="14.4" x14ac:dyDescent="0.25">
      <c r="A2251" s="6">
        <v>4146</v>
      </c>
      <c r="B2251" s="6">
        <v>29410</v>
      </c>
      <c r="C2251" s="19">
        <v>40073</v>
      </c>
      <c r="D2251" s="6" t="s">
        <v>30</v>
      </c>
      <c r="E2251" s="6">
        <f>IF((ISBLANK($B$1)),"",Sheet1!Q2259)</f>
        <v>5200</v>
      </c>
      <c r="F2251" s="20" t="s">
        <v>27</v>
      </c>
      <c r="G2251" s="53">
        <f t="shared" si="36"/>
        <v>0.71978805948307201</v>
      </c>
      <c r="H2251" s="35"/>
      <c r="P2251" s="6"/>
    </row>
    <row r="2252" spans="1:16" ht="14.4" x14ac:dyDescent="0.25">
      <c r="A2252" s="6">
        <v>4147</v>
      </c>
      <c r="B2252" s="6">
        <v>29411</v>
      </c>
      <c r="C2252" s="19">
        <v>41005</v>
      </c>
      <c r="D2252" s="6" t="s">
        <v>17</v>
      </c>
      <c r="E2252" s="6">
        <f>IF((ISBLANK($B$1)),"",Sheet1!Q2260)</f>
        <v>4850</v>
      </c>
      <c r="F2252" s="20" t="s">
        <v>26</v>
      </c>
      <c r="G2252" s="53">
        <f t="shared" si="36"/>
        <v>0.23645406403473185</v>
      </c>
      <c r="H2252" s="35"/>
      <c r="P2252" s="6"/>
    </row>
    <row r="2253" spans="1:16" ht="14.4" x14ac:dyDescent="0.25">
      <c r="A2253" s="6">
        <v>4148</v>
      </c>
      <c r="B2253" s="6">
        <v>29411</v>
      </c>
      <c r="C2253" s="19">
        <v>41005</v>
      </c>
      <c r="D2253" s="6" t="s">
        <v>17</v>
      </c>
      <c r="E2253" s="6">
        <f>IF((ISBLANK($B$1)),"",Sheet1!Q2261)</f>
        <v>5050</v>
      </c>
      <c r="F2253" s="20" t="s">
        <v>26</v>
      </c>
      <c r="G2253" s="53">
        <f t="shared" si="36"/>
        <v>0.51264491857664052</v>
      </c>
      <c r="H2253" s="35"/>
      <c r="P2253" s="6"/>
    </row>
    <row r="2254" spans="1:16" ht="14.4" x14ac:dyDescent="0.25">
      <c r="A2254" s="6">
        <v>4149</v>
      </c>
      <c r="B2254" s="6">
        <v>29411</v>
      </c>
      <c r="C2254" s="19">
        <v>41005</v>
      </c>
      <c r="D2254" s="6" t="s">
        <v>17</v>
      </c>
      <c r="E2254" s="6">
        <f>IF((ISBLANK($B$1)),"",Sheet1!Q2262)</f>
        <v>5300</v>
      </c>
      <c r="F2254" s="20" t="s">
        <v>27</v>
      </c>
      <c r="G2254" s="53">
        <f t="shared" si="36"/>
        <v>0.85788348675402637</v>
      </c>
      <c r="H2254" s="35"/>
      <c r="P2254" s="6"/>
    </row>
    <row r="2255" spans="1:16" ht="14.4" x14ac:dyDescent="0.25">
      <c r="A2255" s="6">
        <v>4150</v>
      </c>
      <c r="B2255" s="6">
        <v>29411</v>
      </c>
      <c r="C2255" s="19">
        <v>41005</v>
      </c>
      <c r="D2255" s="6" t="s">
        <v>17</v>
      </c>
      <c r="E2255" s="6">
        <f>IF((ISBLANK($B$1)),"",Sheet1!Q2263)</f>
        <v>5650</v>
      </c>
      <c r="F2255" s="20" t="s">
        <v>27</v>
      </c>
      <c r="G2255" s="53">
        <f t="shared" si="36"/>
        <v>1.3412174822023666</v>
      </c>
      <c r="H2255" s="35"/>
      <c r="P2255" s="6"/>
    </row>
    <row r="2256" spans="1:16" ht="14.4" x14ac:dyDescent="0.25">
      <c r="A2256" s="6">
        <v>4154</v>
      </c>
      <c r="B2256" s="6">
        <v>29475</v>
      </c>
      <c r="C2256" s="19">
        <v>40231</v>
      </c>
      <c r="D2256" s="6" t="s">
        <v>17</v>
      </c>
      <c r="E2256" s="6">
        <f>IF((ISBLANK($B$1)),"",Sheet1!Q2264)</f>
        <v>5850</v>
      </c>
      <c r="F2256" s="20" t="s">
        <v>29</v>
      </c>
      <c r="G2256" s="53">
        <f t="shared" si="36"/>
        <v>1.6174083367442753</v>
      </c>
      <c r="H2256" s="35"/>
      <c r="P2256" s="6"/>
    </row>
    <row r="2257" spans="1:16" ht="14.4" x14ac:dyDescent="0.25">
      <c r="A2257" s="6">
        <v>4155</v>
      </c>
      <c r="B2257" s="6">
        <v>29475</v>
      </c>
      <c r="C2257" s="19">
        <v>40231</v>
      </c>
      <c r="D2257" s="6" t="s">
        <v>17</v>
      </c>
      <c r="E2257" s="6">
        <f>IF((ISBLANK($B$1)),"",Sheet1!Q2265)</f>
        <v>3500</v>
      </c>
      <c r="F2257" s="20" t="s">
        <v>29</v>
      </c>
      <c r="G2257" s="53">
        <f t="shared" si="36"/>
        <v>-1.6278342041231517</v>
      </c>
      <c r="H2257" s="35"/>
      <c r="P2257" s="6"/>
    </row>
    <row r="2258" spans="1:16" ht="14.4" x14ac:dyDescent="0.25">
      <c r="A2258" s="6">
        <v>4168</v>
      </c>
      <c r="B2258" s="6">
        <v>29537</v>
      </c>
      <c r="C2258" s="19">
        <v>41171</v>
      </c>
      <c r="D2258" s="6" t="s">
        <v>25</v>
      </c>
      <c r="E2258" s="6">
        <f>IF((ISBLANK($B$1)),"",Sheet1!Q2266)</f>
        <v>4900</v>
      </c>
      <c r="F2258" s="20" t="s">
        <v>26</v>
      </c>
      <c r="G2258" s="53">
        <f t="shared" si="36"/>
        <v>0.30550177767020903</v>
      </c>
      <c r="H2258" s="35"/>
      <c r="P2258" s="6"/>
    </row>
    <row r="2259" spans="1:16" ht="14.4" x14ac:dyDescent="0.25">
      <c r="A2259" s="6">
        <v>4181</v>
      </c>
      <c r="B2259" s="6">
        <v>29671</v>
      </c>
      <c r="C2259" s="19">
        <v>40259</v>
      </c>
      <c r="D2259" s="6" t="s">
        <v>30</v>
      </c>
      <c r="E2259" s="6">
        <f>IF((ISBLANK($B$1)),"",Sheet1!Q2267)</f>
        <v>5550</v>
      </c>
      <c r="F2259" s="20" t="s">
        <v>26</v>
      </c>
      <c r="G2259" s="53">
        <f t="shared" si="36"/>
        <v>1.2031220549314123</v>
      </c>
      <c r="H2259" s="35"/>
      <c r="P2259" s="6"/>
    </row>
    <row r="2260" spans="1:16" ht="14.4" x14ac:dyDescent="0.25">
      <c r="A2260" s="6">
        <v>4208</v>
      </c>
      <c r="B2260" s="6">
        <v>29895</v>
      </c>
      <c r="C2260" s="19">
        <v>40471</v>
      </c>
      <c r="D2260" s="6" t="s">
        <v>16</v>
      </c>
      <c r="E2260" s="6">
        <f>IF((ISBLANK($B$1)),"",Sheet1!Q2268)</f>
        <v>5550</v>
      </c>
      <c r="F2260" s="20" t="s">
        <v>29</v>
      </c>
      <c r="G2260" s="53">
        <f t="shared" si="36"/>
        <v>1.2031220549314123</v>
      </c>
      <c r="H2260" s="35"/>
      <c r="P2260" s="6"/>
    </row>
    <row r="2261" spans="1:16" ht="14.4" x14ac:dyDescent="0.25">
      <c r="A2261" s="6">
        <v>4256</v>
      </c>
      <c r="B2261" s="6">
        <v>30308</v>
      </c>
      <c r="C2261" s="19">
        <v>40258</v>
      </c>
      <c r="D2261" s="6" t="s">
        <v>16</v>
      </c>
      <c r="E2261" s="6">
        <f>IF((ISBLANK($B$1)),"",Sheet1!Q2269)</f>
        <v>4150</v>
      </c>
      <c r="F2261" s="20" t="s">
        <v>26</v>
      </c>
      <c r="G2261" s="53">
        <f t="shared" si="36"/>
        <v>-0.73021392686194853</v>
      </c>
      <c r="H2261" s="35"/>
      <c r="P2261" s="6"/>
    </row>
    <row r="2262" spans="1:16" ht="14.4" x14ac:dyDescent="0.25">
      <c r="A2262" s="6">
        <v>4277</v>
      </c>
      <c r="B2262" s="6">
        <v>30436</v>
      </c>
      <c r="C2262" s="19">
        <v>41097</v>
      </c>
      <c r="D2262" s="6" t="s">
        <v>25</v>
      </c>
      <c r="E2262" s="6">
        <f>IF((ISBLANK($B$1)),"",Sheet1!Q2270)</f>
        <v>4900</v>
      </c>
      <c r="F2262" s="20" t="s">
        <v>26</v>
      </c>
      <c r="G2262" s="53">
        <f t="shared" si="36"/>
        <v>0.30550177767020903</v>
      </c>
      <c r="H2262" s="35"/>
      <c r="P2262" s="6"/>
    </row>
    <row r="2263" spans="1:16" ht="14.4" x14ac:dyDescent="0.25">
      <c r="A2263" s="6">
        <v>4326</v>
      </c>
      <c r="B2263" s="6">
        <v>30820</v>
      </c>
      <c r="C2263" s="19">
        <v>40642</v>
      </c>
      <c r="D2263" s="6" t="s">
        <v>30</v>
      </c>
      <c r="E2263" s="6">
        <f>IF((ISBLANK($B$1)),"",Sheet1!Q2271)</f>
        <v>4450</v>
      </c>
      <c r="F2263" s="20" t="s">
        <v>26</v>
      </c>
      <c r="G2263" s="53">
        <f t="shared" si="36"/>
        <v>-0.31592764504908549</v>
      </c>
      <c r="H2263" s="35"/>
      <c r="P2263" s="6"/>
    </row>
    <row r="2264" spans="1:16" ht="14.4" x14ac:dyDescent="0.25">
      <c r="A2264" s="6">
        <v>4357</v>
      </c>
      <c r="B2264" s="6">
        <v>31046</v>
      </c>
      <c r="C2264" s="19">
        <v>40581</v>
      </c>
      <c r="D2264" s="6" t="s">
        <v>30</v>
      </c>
      <c r="E2264" s="6">
        <f>IF((ISBLANK($B$1)),"",Sheet1!Q2272)</f>
        <v>5500</v>
      </c>
      <c r="F2264" s="20" t="s">
        <v>27</v>
      </c>
      <c r="G2264" s="53">
        <f t="shared" si="36"/>
        <v>1.1340743412959351</v>
      </c>
      <c r="H2264" s="35"/>
      <c r="P2264" s="6"/>
    </row>
    <row r="2265" spans="1:16" ht="14.4" x14ac:dyDescent="0.25">
      <c r="A2265" s="6">
        <v>4358</v>
      </c>
      <c r="B2265" s="6">
        <v>31046</v>
      </c>
      <c r="C2265" s="19">
        <v>40581</v>
      </c>
      <c r="D2265" s="6" t="s">
        <v>30</v>
      </c>
      <c r="E2265" s="6">
        <f>IF((ISBLANK($B$1)),"",Sheet1!Q2273)</f>
        <v>5150</v>
      </c>
      <c r="F2265" s="20" t="s">
        <v>26</v>
      </c>
      <c r="G2265" s="53">
        <f t="shared" si="36"/>
        <v>0.65074034584759488</v>
      </c>
      <c r="H2265" s="35"/>
      <c r="P2265" s="6"/>
    </row>
    <row r="2266" spans="1:16" ht="14.4" x14ac:dyDescent="0.25">
      <c r="A2266" s="6">
        <v>4396</v>
      </c>
      <c r="B2266" s="6">
        <v>31301</v>
      </c>
      <c r="C2266" s="19">
        <v>40469</v>
      </c>
      <c r="D2266" s="6" t="s">
        <v>25</v>
      </c>
      <c r="E2266" s="6">
        <f>IF((ISBLANK($B$1)),"",Sheet1!Q2274)</f>
        <v>4950</v>
      </c>
      <c r="F2266" s="20" t="s">
        <v>26</v>
      </c>
      <c r="G2266" s="53">
        <f t="shared" si="36"/>
        <v>0.37454949130568621</v>
      </c>
      <c r="H2266" s="35"/>
      <c r="P2266" s="6"/>
    </row>
    <row r="2267" spans="1:16" ht="14.4" x14ac:dyDescent="0.25">
      <c r="A2267" s="6">
        <v>4415</v>
      </c>
      <c r="B2267" s="6">
        <v>31495</v>
      </c>
      <c r="C2267" s="19">
        <v>40394</v>
      </c>
      <c r="D2267" s="6" t="s">
        <v>25</v>
      </c>
      <c r="E2267" s="6">
        <f>IF((ISBLANK($B$1)),"",Sheet1!Q2275)</f>
        <v>4400</v>
      </c>
      <c r="F2267" s="20" t="s">
        <v>26</v>
      </c>
      <c r="G2267" s="53">
        <f t="shared" si="36"/>
        <v>-0.38497535868456267</v>
      </c>
      <c r="H2267" s="35"/>
      <c r="P2267" s="6"/>
    </row>
    <row r="2268" spans="1:16" ht="14.4" x14ac:dyDescent="0.25">
      <c r="A2268" s="6">
        <v>4416</v>
      </c>
      <c r="B2268" s="6">
        <v>31495</v>
      </c>
      <c r="C2268" s="19">
        <v>40394</v>
      </c>
      <c r="D2268" s="6" t="s">
        <v>25</v>
      </c>
      <c r="E2268" s="6">
        <f>IF((ISBLANK($B$1)),"",Sheet1!Q2276)</f>
        <v>5100</v>
      </c>
      <c r="F2268" s="20" t="s">
        <v>26</v>
      </c>
      <c r="G2268" s="53">
        <f t="shared" si="36"/>
        <v>0.58169263221211776</v>
      </c>
      <c r="H2268" s="35"/>
      <c r="P2268" s="6"/>
    </row>
    <row r="2269" spans="1:16" ht="14.4" x14ac:dyDescent="0.25">
      <c r="A2269" s="6">
        <v>4420</v>
      </c>
      <c r="B2269" s="6">
        <v>31523</v>
      </c>
      <c r="C2269" s="19">
        <v>40976</v>
      </c>
      <c r="D2269" s="6" t="s">
        <v>25</v>
      </c>
      <c r="E2269" s="6">
        <f>IF((ISBLANK($B$1)),"",Sheet1!Q2277)</f>
        <v>4250</v>
      </c>
      <c r="F2269" s="20" t="s">
        <v>27</v>
      </c>
      <c r="G2269" s="53">
        <f t="shared" si="36"/>
        <v>-0.59211849959099416</v>
      </c>
      <c r="H2269" s="35"/>
      <c r="P2269" s="6"/>
    </row>
    <row r="2270" spans="1:16" ht="14.4" x14ac:dyDescent="0.25">
      <c r="A2270" s="6">
        <v>4421</v>
      </c>
      <c r="B2270" s="6">
        <v>31523</v>
      </c>
      <c r="C2270" s="19">
        <v>40976</v>
      </c>
      <c r="D2270" s="6" t="s">
        <v>25</v>
      </c>
      <c r="E2270" s="6">
        <f>IF((ISBLANK($B$1)),"",Sheet1!Q2278)</f>
        <v>4350</v>
      </c>
      <c r="F2270" s="20" t="s">
        <v>26</v>
      </c>
      <c r="G2270" s="53">
        <f t="shared" si="36"/>
        <v>-0.45402307232003986</v>
      </c>
      <c r="H2270" s="35"/>
      <c r="P2270" s="6"/>
    </row>
    <row r="2271" spans="1:16" ht="14.4" x14ac:dyDescent="0.25">
      <c r="A2271" s="6">
        <v>4423</v>
      </c>
      <c r="B2271" s="6">
        <v>31552</v>
      </c>
      <c r="C2271" s="19">
        <v>41224</v>
      </c>
      <c r="D2271" s="6" t="s">
        <v>17</v>
      </c>
      <c r="E2271" s="6">
        <f>IF((ISBLANK($B$1)),"",Sheet1!Q2279)</f>
        <v>4250</v>
      </c>
      <c r="F2271" s="20" t="s">
        <v>27</v>
      </c>
      <c r="G2271" s="53">
        <f t="shared" si="36"/>
        <v>-0.59211849959099416</v>
      </c>
      <c r="H2271" s="35"/>
      <c r="P2271" s="6"/>
    </row>
    <row r="2272" spans="1:16" ht="14.4" x14ac:dyDescent="0.25">
      <c r="A2272" s="6">
        <v>4424</v>
      </c>
      <c r="B2272" s="6">
        <v>31552</v>
      </c>
      <c r="C2272" s="19">
        <v>41224</v>
      </c>
      <c r="D2272" s="6" t="s">
        <v>17</v>
      </c>
      <c r="E2272" s="6">
        <f>IF((ISBLANK($B$1)),"",Sheet1!Q2280)</f>
        <v>4600</v>
      </c>
      <c r="F2272" s="20" t="s">
        <v>27</v>
      </c>
      <c r="G2272" s="53">
        <f t="shared" si="36"/>
        <v>-0.108784504142654</v>
      </c>
      <c r="H2272" s="35"/>
      <c r="P2272" s="6"/>
    </row>
    <row r="2273" spans="1:16" ht="14.4" x14ac:dyDescent="0.25">
      <c r="A2273" s="6">
        <v>4480</v>
      </c>
      <c r="B2273" s="6">
        <v>31877</v>
      </c>
      <c r="C2273" s="19">
        <v>39993</v>
      </c>
      <c r="D2273" s="6" t="s">
        <v>16</v>
      </c>
      <c r="E2273" s="6">
        <f>IF((ISBLANK($B$1)),"",Sheet1!Q2281)</f>
        <v>5100</v>
      </c>
      <c r="F2273" s="20" t="s">
        <v>29</v>
      </c>
      <c r="G2273" s="53">
        <f t="shared" si="36"/>
        <v>0.58169263221211776</v>
      </c>
      <c r="H2273" s="35"/>
      <c r="P2273" s="6"/>
    </row>
    <row r="2274" spans="1:16" ht="14.4" x14ac:dyDescent="0.25">
      <c r="A2274" s="6">
        <v>4501</v>
      </c>
      <c r="B2274" s="6">
        <v>32037</v>
      </c>
      <c r="C2274" s="19">
        <v>39860</v>
      </c>
      <c r="D2274" s="6" t="s">
        <v>25</v>
      </c>
      <c r="E2274" s="6">
        <f>IF((ISBLANK($B$1)),"",Sheet1!Q2282)</f>
        <v>5250</v>
      </c>
      <c r="F2274" s="20" t="s">
        <v>26</v>
      </c>
      <c r="G2274" s="53">
        <f t="shared" si="36"/>
        <v>0.78883577311854924</v>
      </c>
      <c r="H2274" s="35"/>
      <c r="P2274" s="6"/>
    </row>
    <row r="2275" spans="1:16" ht="14.4" x14ac:dyDescent="0.25">
      <c r="A2275" s="6">
        <v>4502</v>
      </c>
      <c r="B2275" s="6">
        <v>32037</v>
      </c>
      <c r="C2275" s="19">
        <v>39860</v>
      </c>
      <c r="D2275" s="6" t="s">
        <v>25</v>
      </c>
      <c r="E2275" s="6">
        <f>IF((ISBLANK($B$1)),"",Sheet1!Q2283)</f>
        <v>4150</v>
      </c>
      <c r="F2275" s="20" t="s">
        <v>27</v>
      </c>
      <c r="G2275" s="53">
        <f t="shared" si="36"/>
        <v>-0.73021392686194853</v>
      </c>
      <c r="H2275" s="35"/>
      <c r="P2275" s="6"/>
    </row>
    <row r="2276" spans="1:16" ht="14.4" x14ac:dyDescent="0.25">
      <c r="A2276" s="6">
        <v>4515</v>
      </c>
      <c r="B2276" s="6">
        <v>32131</v>
      </c>
      <c r="C2276" s="19">
        <v>40539</v>
      </c>
      <c r="D2276" s="6" t="s">
        <v>30</v>
      </c>
      <c r="E2276" s="6">
        <f>IF((ISBLANK($B$1)),"",Sheet1!Q2284)</f>
        <v>5100</v>
      </c>
      <c r="F2276" s="20" t="s">
        <v>26</v>
      </c>
      <c r="G2276" s="53">
        <f t="shared" si="36"/>
        <v>0.58169263221211776</v>
      </c>
      <c r="H2276" s="35"/>
      <c r="P2276" s="6"/>
    </row>
    <row r="2277" spans="1:16" ht="14.4" x14ac:dyDescent="0.25">
      <c r="A2277" s="6">
        <v>4516</v>
      </c>
      <c r="B2277" s="6">
        <v>32135</v>
      </c>
      <c r="C2277" s="19">
        <v>40507</v>
      </c>
      <c r="D2277" s="6" t="s">
        <v>17</v>
      </c>
      <c r="E2277" s="6">
        <f>IF((ISBLANK($B$1)),"",Sheet1!Q2285)</f>
        <v>5250</v>
      </c>
      <c r="F2277" s="20" t="s">
        <v>27</v>
      </c>
      <c r="G2277" s="53">
        <f t="shared" si="36"/>
        <v>0.78883577311854924</v>
      </c>
      <c r="H2277" s="35"/>
      <c r="P2277" s="6"/>
    </row>
    <row r="2278" spans="1:16" ht="14.4" x14ac:dyDescent="0.25">
      <c r="A2278" s="6">
        <v>4517</v>
      </c>
      <c r="B2278" s="6">
        <v>32135</v>
      </c>
      <c r="C2278" s="19">
        <v>40507</v>
      </c>
      <c r="D2278" s="6" t="s">
        <v>17</v>
      </c>
      <c r="E2278" s="6">
        <f>IF((ISBLANK($B$1)),"",Sheet1!Q2286)</f>
        <v>4200</v>
      </c>
      <c r="F2278" s="20" t="s">
        <v>27</v>
      </c>
      <c r="G2278" s="53">
        <f t="shared" si="36"/>
        <v>-0.6611662132264714</v>
      </c>
      <c r="H2278" s="35"/>
      <c r="P2278" s="6"/>
    </row>
    <row r="2279" spans="1:16" ht="14.4" x14ac:dyDescent="0.25">
      <c r="A2279" s="6">
        <v>4526</v>
      </c>
      <c r="B2279" s="6">
        <v>32195</v>
      </c>
      <c r="C2279" s="19">
        <v>40142</v>
      </c>
      <c r="D2279" s="6" t="s">
        <v>16</v>
      </c>
      <c r="E2279" s="6">
        <f>IF((ISBLANK($B$1)),"",Sheet1!Q2287)</f>
        <v>3750</v>
      </c>
      <c r="F2279" s="20" t="s">
        <v>26</v>
      </c>
      <c r="G2279" s="53">
        <f t="shared" si="36"/>
        <v>-1.282595635945766</v>
      </c>
      <c r="H2279" s="35"/>
      <c r="P2279" s="6"/>
    </row>
    <row r="2280" spans="1:16" ht="14.4" x14ac:dyDescent="0.25">
      <c r="A2280" s="6">
        <v>4534</v>
      </c>
      <c r="B2280" s="6">
        <v>32230</v>
      </c>
      <c r="C2280" s="19">
        <v>41140</v>
      </c>
      <c r="D2280" s="6" t="s">
        <v>17</v>
      </c>
      <c r="E2280" s="6">
        <f>IF((ISBLANK($B$1)),"",Sheet1!Q2288)</f>
        <v>5700</v>
      </c>
      <c r="F2280" s="20" t="s">
        <v>29</v>
      </c>
      <c r="G2280" s="53">
        <f t="shared" si="36"/>
        <v>1.4102651958378438</v>
      </c>
      <c r="H2280" s="35"/>
      <c r="P2280" s="6"/>
    </row>
    <row r="2281" spans="1:16" ht="14.4" x14ac:dyDescent="0.25">
      <c r="A2281" s="6">
        <v>4562</v>
      </c>
      <c r="B2281" s="6">
        <v>32451</v>
      </c>
      <c r="C2281" s="19">
        <v>39896</v>
      </c>
      <c r="D2281" s="6" t="s">
        <v>28</v>
      </c>
      <c r="E2281" s="6">
        <f>IF((ISBLANK($B$1)),"",Sheet1!Q2289)</f>
        <v>5500</v>
      </c>
      <c r="F2281" s="20" t="s">
        <v>26</v>
      </c>
      <c r="G2281" s="53">
        <f t="shared" si="36"/>
        <v>1.1340743412959351</v>
      </c>
      <c r="H2281" s="35"/>
      <c r="P2281" s="6"/>
    </row>
    <row r="2282" spans="1:16" ht="14.4" x14ac:dyDescent="0.25">
      <c r="A2282" s="6">
        <v>4590</v>
      </c>
      <c r="B2282" s="6">
        <v>32642</v>
      </c>
      <c r="C2282" s="19">
        <v>40997</v>
      </c>
      <c r="D2282" s="6" t="s">
        <v>16</v>
      </c>
      <c r="E2282" s="6">
        <f>IF((ISBLANK($B$1)),"",Sheet1!Q2290)</f>
        <v>5900</v>
      </c>
      <c r="F2282" s="20" t="s">
        <v>27</v>
      </c>
      <c r="G2282" s="53">
        <f t="shared" si="36"/>
        <v>1.6864560503797523</v>
      </c>
      <c r="H2282" s="35"/>
      <c r="P2282" s="6"/>
    </row>
    <row r="2283" spans="1:16" ht="14.4" x14ac:dyDescent="0.25">
      <c r="A2283" s="6">
        <v>4603</v>
      </c>
      <c r="B2283" s="6">
        <v>32803</v>
      </c>
      <c r="C2283" s="19">
        <v>40893</v>
      </c>
      <c r="D2283" s="6" t="s">
        <v>16</v>
      </c>
      <c r="E2283" s="6">
        <f>IF((ISBLANK($B$1)),"",Sheet1!Q2291)</f>
        <v>5850</v>
      </c>
      <c r="F2283" s="20" t="s">
        <v>26</v>
      </c>
      <c r="G2283" s="53">
        <f t="shared" si="36"/>
        <v>1.6174083367442753</v>
      </c>
      <c r="H2283" s="35"/>
      <c r="P2283" s="6"/>
    </row>
    <row r="2284" spans="1:16" ht="14.4" x14ac:dyDescent="0.25">
      <c r="A2284" s="6">
        <v>4604</v>
      </c>
      <c r="B2284" s="6">
        <v>32803</v>
      </c>
      <c r="C2284" s="19">
        <v>40893</v>
      </c>
      <c r="D2284" s="6" t="s">
        <v>16</v>
      </c>
      <c r="E2284" s="6">
        <f>IF((ISBLANK($B$1)),"",Sheet1!Q2292)</f>
        <v>4500</v>
      </c>
      <c r="F2284" s="20" t="s">
        <v>26</v>
      </c>
      <c r="G2284" s="53">
        <f t="shared" si="36"/>
        <v>-0.24687993141360834</v>
      </c>
      <c r="H2284" s="35"/>
      <c r="P2284" s="6"/>
    </row>
    <row r="2285" spans="1:16" ht="14.4" x14ac:dyDescent="0.25">
      <c r="A2285" s="6">
        <v>4610</v>
      </c>
      <c r="B2285" s="6">
        <v>32834</v>
      </c>
      <c r="C2285" s="19">
        <v>40417</v>
      </c>
      <c r="D2285" s="6" t="s">
        <v>30</v>
      </c>
      <c r="E2285" s="6">
        <f>IF((ISBLANK($B$1)),"",Sheet1!Q2293)</f>
        <v>5350</v>
      </c>
      <c r="F2285" s="20" t="s">
        <v>27</v>
      </c>
      <c r="G2285" s="53">
        <f t="shared" si="36"/>
        <v>0.92693120038950361</v>
      </c>
      <c r="H2285" s="35"/>
      <c r="P2285" s="6"/>
    </row>
    <row r="2286" spans="1:16" ht="14.4" x14ac:dyDescent="0.25">
      <c r="A2286" s="6">
        <v>4666</v>
      </c>
      <c r="B2286" s="6">
        <v>33219</v>
      </c>
      <c r="C2286" s="19">
        <v>40887</v>
      </c>
      <c r="D2286" s="6" t="s">
        <v>17</v>
      </c>
      <c r="E2286" s="6">
        <f>IF((ISBLANK($B$1)),"",Sheet1!Q2294)</f>
        <v>5000</v>
      </c>
      <c r="F2286" s="20" t="s">
        <v>29</v>
      </c>
      <c r="G2286" s="53">
        <f t="shared" si="36"/>
        <v>0.44359720494116334</v>
      </c>
      <c r="H2286" s="35"/>
      <c r="P2286" s="6"/>
    </row>
    <row r="2287" spans="1:16" ht="14.4" x14ac:dyDescent="0.25">
      <c r="A2287" s="6">
        <v>4697</v>
      </c>
      <c r="B2287" s="6">
        <v>33477</v>
      </c>
      <c r="C2287" s="19">
        <v>41201</v>
      </c>
      <c r="D2287" s="6" t="s">
        <v>17</v>
      </c>
      <c r="E2287" s="6">
        <f>IF((ISBLANK($B$1)),"",Sheet1!Q2295)</f>
        <v>4800</v>
      </c>
      <c r="F2287" s="20" t="s">
        <v>26</v>
      </c>
      <c r="G2287" s="53">
        <f t="shared" si="36"/>
        <v>0.16740635039925467</v>
      </c>
      <c r="H2287" s="35"/>
      <c r="P2287" s="6"/>
    </row>
    <row r="2288" spans="1:16" ht="14.4" x14ac:dyDescent="0.25">
      <c r="A2288" s="6">
        <v>4793</v>
      </c>
      <c r="B2288" s="6">
        <v>34082</v>
      </c>
      <c r="C2288" s="19">
        <v>40844</v>
      </c>
      <c r="D2288" s="6" t="s">
        <v>28</v>
      </c>
      <c r="E2288" s="6">
        <f>IF((ISBLANK($B$1)),"",Sheet1!Q2296)</f>
        <v>4350</v>
      </c>
      <c r="F2288" s="20" t="s">
        <v>26</v>
      </c>
      <c r="G2288" s="53">
        <f t="shared" si="36"/>
        <v>-0.45402307232003986</v>
      </c>
      <c r="H2288" s="35"/>
      <c r="P2288" s="6"/>
    </row>
    <row r="2289" spans="1:16" ht="14.4" x14ac:dyDescent="0.25">
      <c r="A2289" s="6">
        <v>4794</v>
      </c>
      <c r="B2289" s="6">
        <v>34082</v>
      </c>
      <c r="C2289" s="19">
        <v>40844</v>
      </c>
      <c r="D2289" s="6" t="s">
        <v>28</v>
      </c>
      <c r="E2289" s="6">
        <f>IF((ISBLANK($B$1)),"",Sheet1!Q2297)</f>
        <v>4400</v>
      </c>
      <c r="F2289" s="20" t="s">
        <v>26</v>
      </c>
      <c r="G2289" s="53">
        <f t="shared" si="36"/>
        <v>-0.38497535868456267</v>
      </c>
      <c r="H2289" s="35"/>
      <c r="P2289" s="6"/>
    </row>
    <row r="2290" spans="1:16" ht="14.4" x14ac:dyDescent="0.25">
      <c r="A2290" s="6">
        <v>4795</v>
      </c>
      <c r="B2290" s="6">
        <v>34082</v>
      </c>
      <c r="C2290" s="19">
        <v>40844</v>
      </c>
      <c r="D2290" s="6" t="s">
        <v>28</v>
      </c>
      <c r="E2290" s="6">
        <f>IF((ISBLANK($B$1)),"",Sheet1!Q2298)</f>
        <v>5150</v>
      </c>
      <c r="F2290" s="20" t="s">
        <v>26</v>
      </c>
      <c r="G2290" s="53">
        <f t="shared" si="36"/>
        <v>0.65074034584759488</v>
      </c>
      <c r="H2290" s="35"/>
      <c r="P2290" s="6"/>
    </row>
    <row r="2291" spans="1:16" ht="14.4" x14ac:dyDescent="0.25">
      <c r="A2291" s="6">
        <v>4811</v>
      </c>
      <c r="B2291" s="6">
        <v>34211</v>
      </c>
      <c r="C2291" s="19">
        <v>40952</v>
      </c>
      <c r="D2291" s="6" t="s">
        <v>28</v>
      </c>
      <c r="E2291" s="6">
        <f>IF((ISBLANK($B$1)),"",Sheet1!Q2299)</f>
        <v>4150</v>
      </c>
      <c r="F2291" s="20" t="s">
        <v>26</v>
      </c>
      <c r="G2291" s="53">
        <f t="shared" si="36"/>
        <v>-0.73021392686194853</v>
      </c>
      <c r="H2291" s="35"/>
      <c r="P2291" s="6"/>
    </row>
    <row r="2292" spans="1:16" ht="14.4" x14ac:dyDescent="0.25">
      <c r="A2292" s="6">
        <v>4817</v>
      </c>
      <c r="B2292" s="6">
        <v>34244</v>
      </c>
      <c r="C2292" s="19">
        <v>40450</v>
      </c>
      <c r="D2292" s="6" t="s">
        <v>25</v>
      </c>
      <c r="E2292" s="6">
        <f>IF((ISBLANK($B$1)),"",Sheet1!Q2300)</f>
        <v>4650</v>
      </c>
      <c r="F2292" s="20" t="s">
        <v>27</v>
      </c>
      <c r="G2292" s="53">
        <f t="shared" si="36"/>
        <v>-3.9736790507176829E-2</v>
      </c>
      <c r="H2292" s="35"/>
      <c r="P2292" s="6"/>
    </row>
    <row r="2293" spans="1:16" ht="14.4" x14ac:dyDescent="0.25">
      <c r="A2293" s="6">
        <v>4818</v>
      </c>
      <c r="B2293" s="6">
        <v>34244</v>
      </c>
      <c r="C2293" s="19">
        <v>40450</v>
      </c>
      <c r="D2293" s="6" t="s">
        <v>25</v>
      </c>
      <c r="E2293" s="6">
        <f>IF((ISBLANK($B$1)),"",Sheet1!Q2301)</f>
        <v>3600</v>
      </c>
      <c r="F2293" s="20" t="s">
        <v>27</v>
      </c>
      <c r="G2293" s="53">
        <f t="shared" si="36"/>
        <v>-1.4897387768521975</v>
      </c>
      <c r="H2293" s="35"/>
      <c r="P2293" s="6"/>
    </row>
    <row r="2294" spans="1:16" ht="14.4" x14ac:dyDescent="0.25">
      <c r="A2294" s="6">
        <v>4867</v>
      </c>
      <c r="B2294" s="6">
        <v>34658</v>
      </c>
      <c r="C2294" s="19">
        <v>40500</v>
      </c>
      <c r="D2294" s="6" t="s">
        <v>16</v>
      </c>
      <c r="E2294" s="6">
        <f>IF((ISBLANK($B$1)),"",Sheet1!Q2302)</f>
        <v>5050</v>
      </c>
      <c r="F2294" s="20" t="s">
        <v>29</v>
      </c>
      <c r="G2294" s="53">
        <f t="shared" si="36"/>
        <v>0.51264491857664052</v>
      </c>
      <c r="H2294" s="35"/>
      <c r="P2294" s="6"/>
    </row>
    <row r="2295" spans="1:16" ht="14.4" x14ac:dyDescent="0.25">
      <c r="A2295" s="6">
        <v>4890</v>
      </c>
      <c r="B2295" s="6">
        <v>34788</v>
      </c>
      <c r="C2295" s="19">
        <v>40126</v>
      </c>
      <c r="D2295" s="6" t="s">
        <v>17</v>
      </c>
      <c r="E2295" s="6">
        <f>IF((ISBLANK($B$1)),"",Sheet1!Q2303)</f>
        <v>3600</v>
      </c>
      <c r="F2295" s="20" t="s">
        <v>26</v>
      </c>
      <c r="G2295" s="53">
        <f t="shared" si="36"/>
        <v>-1.4897387768521975</v>
      </c>
      <c r="H2295" s="35"/>
      <c r="P2295" s="6"/>
    </row>
    <row r="2296" spans="1:16" ht="14.4" x14ac:dyDescent="0.25">
      <c r="A2296" s="6">
        <v>4907</v>
      </c>
      <c r="B2296" s="6">
        <v>34918</v>
      </c>
      <c r="C2296" s="19">
        <v>40109</v>
      </c>
      <c r="D2296" s="6" t="s">
        <v>16</v>
      </c>
      <c r="E2296" s="6">
        <f>IF((ISBLANK($B$1)),"",Sheet1!Q2304)</f>
        <v>4000</v>
      </c>
      <c r="F2296" s="20" t="s">
        <v>29</v>
      </c>
      <c r="G2296" s="53">
        <f t="shared" si="36"/>
        <v>-0.93735706776838001</v>
      </c>
      <c r="H2296" s="35"/>
      <c r="P2296" s="6"/>
    </row>
    <row r="2297" spans="1:16" ht="14.4" x14ac:dyDescent="0.25">
      <c r="A2297" s="6">
        <v>4908</v>
      </c>
      <c r="B2297" s="6">
        <v>34918</v>
      </c>
      <c r="C2297" s="19">
        <v>40109</v>
      </c>
      <c r="D2297" s="6" t="s">
        <v>16</v>
      </c>
      <c r="E2297" s="6">
        <f>IF((ISBLANK($B$1)),"",Sheet1!Q2305)</f>
        <v>4650</v>
      </c>
      <c r="F2297" s="20" t="s">
        <v>29</v>
      </c>
      <c r="G2297" s="53">
        <f t="shared" si="36"/>
        <v>-3.9736790507176829E-2</v>
      </c>
      <c r="H2297" s="35"/>
      <c r="P2297" s="6"/>
    </row>
    <row r="2298" spans="1:16" ht="14.4" x14ac:dyDescent="0.25">
      <c r="A2298" s="6">
        <v>4931</v>
      </c>
      <c r="B2298" s="6">
        <v>35079</v>
      </c>
      <c r="C2298" s="19">
        <v>40404</v>
      </c>
      <c r="D2298" s="6" t="s">
        <v>17</v>
      </c>
      <c r="E2298" s="6">
        <f>IF((ISBLANK($B$1)),"",Sheet1!Q2306)</f>
        <v>4050</v>
      </c>
      <c r="F2298" s="20" t="s">
        <v>29</v>
      </c>
      <c r="G2298" s="53">
        <f t="shared" si="36"/>
        <v>-0.86830935413290289</v>
      </c>
      <c r="H2298" s="35"/>
      <c r="P2298" s="6"/>
    </row>
    <row r="2299" spans="1:16" ht="14.4" x14ac:dyDescent="0.25">
      <c r="A2299" s="6">
        <v>4932</v>
      </c>
      <c r="B2299" s="6">
        <v>35079</v>
      </c>
      <c r="C2299" s="19">
        <v>40404</v>
      </c>
      <c r="D2299" s="6" t="s">
        <v>17</v>
      </c>
      <c r="E2299" s="6">
        <f>IF((ISBLANK($B$1)),"",Sheet1!Q2307)</f>
        <v>5000</v>
      </c>
      <c r="F2299" s="20" t="s">
        <v>29</v>
      </c>
      <c r="G2299" s="53">
        <f t="shared" si="36"/>
        <v>0.44359720494116334</v>
      </c>
      <c r="H2299" s="35"/>
      <c r="P2299" s="6"/>
    </row>
    <row r="2300" spans="1:16" ht="14.4" x14ac:dyDescent="0.25">
      <c r="A2300" s="6">
        <v>4935</v>
      </c>
      <c r="B2300" s="6">
        <v>35110</v>
      </c>
      <c r="C2300" s="19">
        <v>40834</v>
      </c>
      <c r="D2300" s="6" t="s">
        <v>17</v>
      </c>
      <c r="E2300" s="6">
        <f>IF((ISBLANK($B$1)),"",Sheet1!Q2308)</f>
        <v>4100</v>
      </c>
      <c r="F2300" s="20" t="s">
        <v>26</v>
      </c>
      <c r="G2300" s="53">
        <f t="shared" si="36"/>
        <v>-0.79926164049742576</v>
      </c>
      <c r="H2300" s="35"/>
      <c r="P2300" s="6"/>
    </row>
    <row r="2301" spans="1:16" ht="14.4" x14ac:dyDescent="0.25">
      <c r="A2301" s="6">
        <v>4936</v>
      </c>
      <c r="B2301" s="6">
        <v>35110</v>
      </c>
      <c r="C2301" s="19">
        <v>40834</v>
      </c>
      <c r="D2301" s="6" t="s">
        <v>17</v>
      </c>
      <c r="E2301" s="6">
        <f>IF((ISBLANK($B$1)),"",Sheet1!Q2309)</f>
        <v>5850</v>
      </c>
      <c r="F2301" s="20" t="s">
        <v>27</v>
      </c>
      <c r="G2301" s="53">
        <f t="shared" si="36"/>
        <v>1.6174083367442753</v>
      </c>
      <c r="H2301" s="35"/>
      <c r="P2301" s="6"/>
    </row>
    <row r="2302" spans="1:16" ht="14.4" x14ac:dyDescent="0.25">
      <c r="A2302" s="6">
        <v>4992</v>
      </c>
      <c r="B2302" s="6">
        <v>35554</v>
      </c>
      <c r="C2302" s="19">
        <v>41176</v>
      </c>
      <c r="D2302" s="6" t="s">
        <v>28</v>
      </c>
      <c r="E2302" s="6">
        <f>IF((ISBLANK($B$1)),"",Sheet1!Q2310)</f>
        <v>5100</v>
      </c>
      <c r="F2302" s="20" t="s">
        <v>29</v>
      </c>
      <c r="G2302" s="53">
        <f t="shared" si="36"/>
        <v>0.58169263221211776</v>
      </c>
      <c r="H2302" s="35"/>
      <c r="P2302" s="6"/>
    </row>
    <row r="2303" spans="1:16" ht="14.4" x14ac:dyDescent="0.25">
      <c r="A2303" s="6">
        <v>4993</v>
      </c>
      <c r="B2303" s="6">
        <v>35555</v>
      </c>
      <c r="C2303" s="19">
        <v>40606</v>
      </c>
      <c r="D2303" s="6" t="s">
        <v>16</v>
      </c>
      <c r="E2303" s="6">
        <f>IF((ISBLANK($B$1)),"",Sheet1!Q2311)</f>
        <v>5900</v>
      </c>
      <c r="F2303" s="20" t="s">
        <v>29</v>
      </c>
      <c r="G2303" s="53">
        <f t="shared" si="36"/>
        <v>1.6864560503797523</v>
      </c>
      <c r="H2303" s="35"/>
      <c r="P2303" s="6"/>
    </row>
    <row r="2304" spans="1:16" ht="14.4" x14ac:dyDescent="0.25">
      <c r="A2304" s="6">
        <v>4994</v>
      </c>
      <c r="B2304" s="6">
        <v>35555</v>
      </c>
      <c r="C2304" s="19">
        <v>40606</v>
      </c>
      <c r="D2304" s="6" t="s">
        <v>16</v>
      </c>
      <c r="E2304" s="6">
        <f>IF((ISBLANK($B$1)),"",Sheet1!Q2312)</f>
        <v>4150</v>
      </c>
      <c r="F2304" s="20" t="s">
        <v>27</v>
      </c>
      <c r="G2304" s="53">
        <f t="shared" si="36"/>
        <v>-0.73021392686194853</v>
      </c>
      <c r="H2304" s="35"/>
      <c r="P2304" s="6"/>
    </row>
    <row r="2305" spans="1:16" ht="14.4" x14ac:dyDescent="0.25">
      <c r="A2305" s="6">
        <v>4995</v>
      </c>
      <c r="B2305" s="6">
        <v>35555</v>
      </c>
      <c r="C2305" s="19">
        <v>40606</v>
      </c>
      <c r="D2305" s="6" t="s">
        <v>16</v>
      </c>
      <c r="E2305" s="6">
        <f>IF((ISBLANK($B$1)),"",Sheet1!Q2313)</f>
        <v>3500</v>
      </c>
      <c r="F2305" s="20" t="s">
        <v>26</v>
      </c>
      <c r="G2305" s="53">
        <f t="shared" si="36"/>
        <v>-1.6278342041231517</v>
      </c>
      <c r="H2305" s="35"/>
      <c r="P2305" s="6"/>
    </row>
    <row r="2306" spans="1:16" ht="14.4" x14ac:dyDescent="0.25">
      <c r="A2306" s="6">
        <v>5033</v>
      </c>
      <c r="B2306" s="6">
        <v>35877</v>
      </c>
      <c r="C2306" s="19">
        <v>40323</v>
      </c>
      <c r="D2306" s="6" t="s">
        <v>17</v>
      </c>
      <c r="E2306" s="6">
        <f>IF((ISBLANK($B$1)),"",Sheet1!Q2314)</f>
        <v>4900</v>
      </c>
      <c r="F2306" s="20" t="s">
        <v>26</v>
      </c>
      <c r="G2306" s="53">
        <f t="shared" si="36"/>
        <v>0.30550177767020903</v>
      </c>
      <c r="H2306" s="35"/>
      <c r="P2306" s="6"/>
    </row>
    <row r="2307" spans="1:16" ht="14.4" x14ac:dyDescent="0.25">
      <c r="A2307" s="6">
        <v>5035</v>
      </c>
      <c r="B2307" s="6">
        <v>35878</v>
      </c>
      <c r="C2307" s="19">
        <v>40403</v>
      </c>
      <c r="D2307" s="6" t="s">
        <v>16</v>
      </c>
      <c r="E2307" s="6">
        <f>IF((ISBLANK($B$1)),"",Sheet1!Q2315)</f>
        <v>5650</v>
      </c>
      <c r="F2307" s="20" t="s">
        <v>26</v>
      </c>
      <c r="G2307" s="53">
        <f t="shared" si="36"/>
        <v>1.3412174822023666</v>
      </c>
      <c r="H2307" s="35"/>
      <c r="P2307" s="6"/>
    </row>
    <row r="2308" spans="1:16" ht="14.4" x14ac:dyDescent="0.25">
      <c r="A2308" s="6">
        <v>5112</v>
      </c>
      <c r="B2308" s="6">
        <v>36448</v>
      </c>
      <c r="C2308" s="19">
        <v>40431</v>
      </c>
      <c r="D2308" s="6" t="s">
        <v>16</v>
      </c>
      <c r="E2308" s="6">
        <f>IF((ISBLANK($B$1)),"",Sheet1!Q2316)</f>
        <v>3700</v>
      </c>
      <c r="F2308" s="20" t="s">
        <v>26</v>
      </c>
      <c r="G2308" s="53">
        <f t="shared" si="36"/>
        <v>-1.351643349581243</v>
      </c>
      <c r="H2308" s="35"/>
      <c r="P2308" s="6"/>
    </row>
    <row r="2309" spans="1:16" ht="14.4" x14ac:dyDescent="0.25">
      <c r="A2309" s="6">
        <v>5113</v>
      </c>
      <c r="B2309" s="6">
        <v>36448</v>
      </c>
      <c r="C2309" s="19">
        <v>40431</v>
      </c>
      <c r="D2309" s="6" t="s">
        <v>16</v>
      </c>
      <c r="E2309" s="6">
        <f>IF((ISBLANK($B$1)),"",Sheet1!Q2317)</f>
        <v>5600</v>
      </c>
      <c r="F2309" s="20" t="s">
        <v>26</v>
      </c>
      <c r="G2309" s="53">
        <f t="shared" si="36"/>
        <v>1.2721697685668893</v>
      </c>
      <c r="H2309" s="35"/>
      <c r="P2309" s="6"/>
    </row>
    <row r="2310" spans="1:16" ht="14.4" x14ac:dyDescent="0.25">
      <c r="A2310" s="6">
        <v>5117</v>
      </c>
      <c r="B2310" s="6">
        <v>36452</v>
      </c>
      <c r="C2310" s="19">
        <v>39908</v>
      </c>
      <c r="D2310" s="6" t="s">
        <v>17</v>
      </c>
      <c r="E2310" s="6">
        <f>IF((ISBLANK($B$1)),"",Sheet1!Q2318)</f>
        <v>4700</v>
      </c>
      <c r="F2310" s="20" t="s">
        <v>26</v>
      </c>
      <c r="G2310" s="53">
        <f t="shared" si="36"/>
        <v>2.9310923128300338E-2</v>
      </c>
      <c r="H2310" s="35"/>
      <c r="P2310" s="6"/>
    </row>
    <row r="2311" spans="1:16" ht="14.4" x14ac:dyDescent="0.25">
      <c r="A2311" s="6">
        <v>5118</v>
      </c>
      <c r="B2311" s="6">
        <v>36452</v>
      </c>
      <c r="C2311" s="19">
        <v>39908</v>
      </c>
      <c r="D2311" s="6" t="s">
        <v>17</v>
      </c>
      <c r="E2311" s="6">
        <f>IF((ISBLANK($B$1)),"",Sheet1!Q2319)</f>
        <v>4300</v>
      </c>
      <c r="F2311" s="20" t="s">
        <v>29</v>
      </c>
      <c r="G2311" s="53">
        <f t="shared" si="36"/>
        <v>-0.52307078595551704</v>
      </c>
      <c r="H2311" s="35"/>
      <c r="P2311" s="6"/>
    </row>
    <row r="2312" spans="1:16" ht="14.4" x14ac:dyDescent="0.25">
      <c r="A2312" s="6">
        <v>5125</v>
      </c>
      <c r="B2312" s="6">
        <v>36484</v>
      </c>
      <c r="C2312" s="19">
        <v>40936</v>
      </c>
      <c r="D2312" s="6" t="s">
        <v>30</v>
      </c>
      <c r="E2312" s="6">
        <f>IF((ISBLANK($B$1)),"",Sheet1!Q2320)</f>
        <v>5450</v>
      </c>
      <c r="F2312" s="20" t="s">
        <v>27</v>
      </c>
      <c r="G2312" s="53">
        <f t="shared" ref="G2312:G2375" si="37">STANDARDIZE(E2312,$L$26,$L$35)</f>
        <v>1.0650266276604579</v>
      </c>
      <c r="H2312" s="35"/>
      <c r="P2312" s="6"/>
    </row>
    <row r="2313" spans="1:16" ht="14.4" x14ac:dyDescent="0.25">
      <c r="A2313" s="6">
        <v>5136</v>
      </c>
      <c r="B2313" s="6">
        <v>36643</v>
      </c>
      <c r="C2313" s="19">
        <v>39867</v>
      </c>
      <c r="D2313" s="6" t="s">
        <v>30</v>
      </c>
      <c r="E2313" s="6">
        <f>IF((ISBLANK($B$1)),"",Sheet1!Q2321)</f>
        <v>4250</v>
      </c>
      <c r="F2313" s="20" t="s">
        <v>29</v>
      </c>
      <c r="G2313" s="53">
        <f t="shared" si="37"/>
        <v>-0.59211849959099416</v>
      </c>
      <c r="H2313" s="35"/>
      <c r="P2313" s="6"/>
    </row>
    <row r="2314" spans="1:16" ht="14.4" x14ac:dyDescent="0.25">
      <c r="A2314" s="6">
        <v>5137</v>
      </c>
      <c r="B2314" s="6">
        <v>36643</v>
      </c>
      <c r="C2314" s="19">
        <v>39867</v>
      </c>
      <c r="D2314" s="6" t="s">
        <v>30</v>
      </c>
      <c r="E2314" s="6">
        <f>IF((ISBLANK($B$1)),"",Sheet1!Q2322)</f>
        <v>4900</v>
      </c>
      <c r="F2314" s="20" t="s">
        <v>26</v>
      </c>
      <c r="G2314" s="53">
        <f t="shared" si="37"/>
        <v>0.30550177767020903</v>
      </c>
      <c r="H2314" s="35"/>
      <c r="P2314" s="6"/>
    </row>
    <row r="2315" spans="1:16" ht="14.4" x14ac:dyDescent="0.25">
      <c r="A2315" s="6">
        <v>5148</v>
      </c>
      <c r="B2315" s="6">
        <v>36679</v>
      </c>
      <c r="C2315" s="19">
        <v>40785</v>
      </c>
      <c r="D2315" s="6" t="s">
        <v>30</v>
      </c>
      <c r="E2315" s="6">
        <f>IF((ISBLANK($B$1)),"",Sheet1!Q2323)</f>
        <v>4800</v>
      </c>
      <c r="F2315" s="20" t="s">
        <v>27</v>
      </c>
      <c r="G2315" s="53">
        <f t="shared" si="37"/>
        <v>0.16740635039925467</v>
      </c>
      <c r="H2315" s="35"/>
      <c r="P2315" s="6"/>
    </row>
    <row r="2316" spans="1:16" ht="14.4" x14ac:dyDescent="0.25">
      <c r="A2316" s="6">
        <v>5163</v>
      </c>
      <c r="B2316" s="6">
        <v>36741</v>
      </c>
      <c r="C2316" s="19">
        <v>40531</v>
      </c>
      <c r="D2316" s="6" t="s">
        <v>30</v>
      </c>
      <c r="E2316" s="6">
        <f>IF((ISBLANK($B$1)),"",Sheet1!Q2324)</f>
        <v>4700</v>
      </c>
      <c r="F2316" s="20" t="s">
        <v>26</v>
      </c>
      <c r="G2316" s="53">
        <f t="shared" si="37"/>
        <v>2.9310923128300338E-2</v>
      </c>
      <c r="H2316" s="35"/>
      <c r="P2316" s="6"/>
    </row>
    <row r="2317" spans="1:16" ht="14.4" x14ac:dyDescent="0.25">
      <c r="A2317" s="6">
        <v>5164</v>
      </c>
      <c r="B2317" s="6">
        <v>36741</v>
      </c>
      <c r="C2317" s="19">
        <v>40531</v>
      </c>
      <c r="D2317" s="6" t="s">
        <v>30</v>
      </c>
      <c r="E2317" s="6">
        <f>IF((ISBLANK($B$1)),"",Sheet1!Q2325)</f>
        <v>3700</v>
      </c>
      <c r="F2317" s="20" t="s">
        <v>27</v>
      </c>
      <c r="G2317" s="53">
        <f t="shared" si="37"/>
        <v>-1.351643349581243</v>
      </c>
      <c r="H2317" s="35"/>
      <c r="P2317" s="6"/>
    </row>
    <row r="2318" spans="1:16" ht="14.4" x14ac:dyDescent="0.25">
      <c r="A2318" s="6">
        <v>5187</v>
      </c>
      <c r="B2318" s="6">
        <v>36866</v>
      </c>
      <c r="C2318" s="19">
        <v>40261</v>
      </c>
      <c r="D2318" s="6" t="s">
        <v>25</v>
      </c>
      <c r="E2318" s="6">
        <f>IF((ISBLANK($B$1)),"",Sheet1!Q2326)</f>
        <v>5000</v>
      </c>
      <c r="F2318" s="20" t="s">
        <v>26</v>
      </c>
      <c r="G2318" s="53">
        <f t="shared" si="37"/>
        <v>0.44359720494116334</v>
      </c>
      <c r="H2318" s="35"/>
      <c r="P2318" s="6"/>
    </row>
    <row r="2319" spans="1:16" ht="14.4" x14ac:dyDescent="0.25">
      <c r="A2319" s="6">
        <v>5194</v>
      </c>
      <c r="B2319" s="6">
        <v>36929</v>
      </c>
      <c r="C2319" s="19">
        <v>41054</v>
      </c>
      <c r="D2319" s="6" t="s">
        <v>25</v>
      </c>
      <c r="E2319" s="6">
        <f>IF((ISBLANK($B$1)),"",Sheet1!Q2327)</f>
        <v>5650</v>
      </c>
      <c r="F2319" s="20" t="s">
        <v>26</v>
      </c>
      <c r="G2319" s="53">
        <f t="shared" si="37"/>
        <v>1.3412174822023666</v>
      </c>
      <c r="H2319" s="35"/>
      <c r="P2319" s="6"/>
    </row>
    <row r="2320" spans="1:16" ht="14.4" x14ac:dyDescent="0.25">
      <c r="A2320" s="6">
        <v>5195</v>
      </c>
      <c r="B2320" s="6">
        <v>36929</v>
      </c>
      <c r="C2320" s="19">
        <v>41054</v>
      </c>
      <c r="D2320" s="6" t="s">
        <v>25</v>
      </c>
      <c r="E2320" s="6">
        <f>IF((ISBLANK($B$1)),"",Sheet1!Q2328)</f>
        <v>5250</v>
      </c>
      <c r="F2320" s="20" t="s">
        <v>26</v>
      </c>
      <c r="G2320" s="53">
        <f t="shared" si="37"/>
        <v>0.78883577311854924</v>
      </c>
      <c r="H2320" s="35"/>
      <c r="P2320" s="6"/>
    </row>
    <row r="2321" spans="1:16" ht="14.4" x14ac:dyDescent="0.25">
      <c r="A2321" s="6">
        <v>5209</v>
      </c>
      <c r="B2321" s="6">
        <v>36999</v>
      </c>
      <c r="C2321" s="19">
        <v>40159</v>
      </c>
      <c r="D2321" s="6" t="s">
        <v>16</v>
      </c>
      <c r="E2321" s="6">
        <f>IF((ISBLANK($B$1)),"",Sheet1!Q2329)</f>
        <v>4800</v>
      </c>
      <c r="F2321" s="20" t="s">
        <v>27</v>
      </c>
      <c r="G2321" s="53">
        <f t="shared" si="37"/>
        <v>0.16740635039925467</v>
      </c>
      <c r="H2321" s="35"/>
      <c r="P2321" s="6"/>
    </row>
    <row r="2322" spans="1:16" ht="14.4" x14ac:dyDescent="0.25">
      <c r="A2322" s="6">
        <v>5210</v>
      </c>
      <c r="B2322" s="6">
        <v>36999</v>
      </c>
      <c r="C2322" s="19">
        <v>40159</v>
      </c>
      <c r="D2322" s="6" t="s">
        <v>16</v>
      </c>
      <c r="E2322" s="6">
        <f>IF((ISBLANK($B$1)),"",Sheet1!Q2330)</f>
        <v>3550</v>
      </c>
      <c r="F2322" s="20" t="s">
        <v>27</v>
      </c>
      <c r="G2322" s="53">
        <f t="shared" si="37"/>
        <v>-1.5587864904876745</v>
      </c>
      <c r="H2322" s="35"/>
      <c r="P2322" s="6"/>
    </row>
    <row r="2323" spans="1:16" ht="14.4" x14ac:dyDescent="0.25">
      <c r="A2323" s="6">
        <v>5225</v>
      </c>
      <c r="B2323" s="6">
        <v>37216</v>
      </c>
      <c r="C2323" s="19">
        <v>40512</v>
      </c>
      <c r="D2323" s="6" t="s">
        <v>17</v>
      </c>
      <c r="E2323" s="6">
        <f>IF((ISBLANK($B$1)),"",Sheet1!Q2331)</f>
        <v>4600</v>
      </c>
      <c r="F2323" s="20" t="s">
        <v>26</v>
      </c>
      <c r="G2323" s="53">
        <f t="shared" si="37"/>
        <v>-0.108784504142654</v>
      </c>
      <c r="H2323" s="35"/>
      <c r="P2323" s="6"/>
    </row>
    <row r="2324" spans="1:16" ht="14.4" x14ac:dyDescent="0.25">
      <c r="A2324" s="6">
        <v>5244</v>
      </c>
      <c r="B2324" s="6">
        <v>37314</v>
      </c>
      <c r="C2324" s="19">
        <v>40667</v>
      </c>
      <c r="D2324" s="6" t="s">
        <v>16</v>
      </c>
      <c r="E2324" s="6">
        <f>IF((ISBLANK($B$1)),"",Sheet1!Q2332)</f>
        <v>4450</v>
      </c>
      <c r="F2324" s="20" t="s">
        <v>29</v>
      </c>
      <c r="G2324" s="53">
        <f t="shared" si="37"/>
        <v>-0.31592764504908549</v>
      </c>
      <c r="H2324" s="35"/>
      <c r="P2324" s="6"/>
    </row>
    <row r="2325" spans="1:16" ht="14.4" x14ac:dyDescent="0.25">
      <c r="A2325" s="6">
        <v>5250</v>
      </c>
      <c r="B2325" s="6">
        <v>37349</v>
      </c>
      <c r="C2325" s="19">
        <v>40224</v>
      </c>
      <c r="D2325" s="6" t="s">
        <v>30</v>
      </c>
      <c r="E2325" s="6">
        <f>IF((ISBLANK($B$1)),"",Sheet1!Q2333)</f>
        <v>3800</v>
      </c>
      <c r="F2325" s="20" t="s">
        <v>29</v>
      </c>
      <c r="G2325" s="53">
        <f t="shared" si="37"/>
        <v>-1.2135479223102887</v>
      </c>
      <c r="H2325" s="35"/>
      <c r="P2325" s="6"/>
    </row>
    <row r="2326" spans="1:16" ht="14.4" x14ac:dyDescent="0.25">
      <c r="A2326" s="6">
        <v>5319</v>
      </c>
      <c r="B2326" s="6">
        <v>37828</v>
      </c>
      <c r="C2326" s="19">
        <v>40653</v>
      </c>
      <c r="D2326" s="6" t="s">
        <v>25</v>
      </c>
      <c r="E2326" s="6">
        <f>IF((ISBLANK($B$1)),"",Sheet1!Q2334)</f>
        <v>4550</v>
      </c>
      <c r="F2326" s="20" t="s">
        <v>27</v>
      </c>
      <c r="G2326" s="53">
        <f t="shared" si="37"/>
        <v>-0.17783221777813119</v>
      </c>
      <c r="H2326" s="35"/>
      <c r="P2326" s="6"/>
    </row>
    <row r="2327" spans="1:16" ht="14.4" x14ac:dyDescent="0.25">
      <c r="A2327" s="6">
        <v>5320</v>
      </c>
      <c r="B2327" s="6">
        <v>37828</v>
      </c>
      <c r="C2327" s="19">
        <v>40653</v>
      </c>
      <c r="D2327" s="6" t="s">
        <v>25</v>
      </c>
      <c r="E2327" s="6">
        <f>IF((ISBLANK($B$1)),"",Sheet1!Q2335)</f>
        <v>5500</v>
      </c>
      <c r="F2327" s="20" t="s">
        <v>26</v>
      </c>
      <c r="G2327" s="53">
        <f t="shared" si="37"/>
        <v>1.1340743412959351</v>
      </c>
      <c r="H2327" s="35"/>
      <c r="P2327" s="6"/>
    </row>
    <row r="2328" spans="1:16" ht="14.4" x14ac:dyDescent="0.25">
      <c r="A2328" s="6">
        <v>5336</v>
      </c>
      <c r="B2328" s="6">
        <v>37920</v>
      </c>
      <c r="C2328" s="19">
        <v>40373</v>
      </c>
      <c r="D2328" s="6" t="s">
        <v>30</v>
      </c>
      <c r="E2328" s="6">
        <f>IF((ISBLANK($B$1)),"",Sheet1!Q2336)</f>
        <v>5800</v>
      </c>
      <c r="F2328" s="20" t="s">
        <v>27</v>
      </c>
      <c r="G2328" s="53">
        <f t="shared" si="37"/>
        <v>1.5483606231087981</v>
      </c>
      <c r="H2328" s="35"/>
      <c r="P2328" s="6"/>
    </row>
    <row r="2329" spans="1:16" ht="14.4" x14ac:dyDescent="0.25">
      <c r="A2329" s="6">
        <v>5357</v>
      </c>
      <c r="B2329" s="6">
        <v>38052</v>
      </c>
      <c r="C2329" s="19">
        <v>40954</v>
      </c>
      <c r="D2329" s="6" t="s">
        <v>25</v>
      </c>
      <c r="E2329" s="6">
        <f>IF((ISBLANK($B$1)),"",Sheet1!Q2337)</f>
        <v>4050</v>
      </c>
      <c r="F2329" s="20" t="s">
        <v>27</v>
      </c>
      <c r="G2329" s="53">
        <f t="shared" si="37"/>
        <v>-0.86830935413290289</v>
      </c>
      <c r="H2329" s="35"/>
      <c r="P2329" s="6"/>
    </row>
    <row r="2330" spans="1:16" ht="14.4" x14ac:dyDescent="0.25">
      <c r="A2330" s="6">
        <v>5358</v>
      </c>
      <c r="B2330" s="6">
        <v>38080</v>
      </c>
      <c r="C2330" s="19">
        <v>40070</v>
      </c>
      <c r="D2330" s="6" t="s">
        <v>28</v>
      </c>
      <c r="E2330" s="6">
        <f>IF((ISBLANK($B$1)),"",Sheet1!Q2338)</f>
        <v>4700</v>
      </c>
      <c r="F2330" s="20" t="s">
        <v>26</v>
      </c>
      <c r="G2330" s="53">
        <f t="shared" si="37"/>
        <v>2.9310923128300338E-2</v>
      </c>
      <c r="H2330" s="35"/>
      <c r="P2330" s="6"/>
    </row>
    <row r="2331" spans="1:16" ht="14.4" x14ac:dyDescent="0.25">
      <c r="A2331" s="6">
        <v>5364</v>
      </c>
      <c r="B2331" s="6">
        <v>38145</v>
      </c>
      <c r="C2331" s="19">
        <v>40068</v>
      </c>
      <c r="D2331" s="6" t="s">
        <v>28</v>
      </c>
      <c r="E2331" s="6">
        <f>IF((ISBLANK($B$1)),"",Sheet1!Q2339)</f>
        <v>5050</v>
      </c>
      <c r="F2331" s="20" t="s">
        <v>26</v>
      </c>
      <c r="G2331" s="53">
        <f t="shared" si="37"/>
        <v>0.51264491857664052</v>
      </c>
      <c r="H2331" s="35"/>
      <c r="P2331" s="6"/>
    </row>
    <row r="2332" spans="1:16" ht="14.4" x14ac:dyDescent="0.25">
      <c r="A2332" s="6">
        <v>5365</v>
      </c>
      <c r="B2332" s="6">
        <v>38145</v>
      </c>
      <c r="C2332" s="19">
        <v>40068</v>
      </c>
      <c r="D2332" s="6" t="s">
        <v>28</v>
      </c>
      <c r="E2332" s="6">
        <f>IF((ISBLANK($B$1)),"",Sheet1!Q2340)</f>
        <v>3800</v>
      </c>
      <c r="F2332" s="20" t="s">
        <v>29</v>
      </c>
      <c r="G2332" s="53">
        <f t="shared" si="37"/>
        <v>-1.2135479223102887</v>
      </c>
      <c r="H2332" s="35"/>
      <c r="P2332" s="6"/>
    </row>
    <row r="2333" spans="1:16" ht="14.4" x14ac:dyDescent="0.25">
      <c r="A2333" s="6">
        <v>5405</v>
      </c>
      <c r="B2333" s="6">
        <v>38437</v>
      </c>
      <c r="C2333" s="19">
        <v>41037</v>
      </c>
      <c r="D2333" s="6" t="s">
        <v>30</v>
      </c>
      <c r="E2333" s="6">
        <f>IF((ISBLANK($B$1)),"",Sheet1!Q2341)</f>
        <v>4350</v>
      </c>
      <c r="F2333" s="20" t="s">
        <v>29</v>
      </c>
      <c r="G2333" s="53">
        <f t="shared" si="37"/>
        <v>-0.45402307232003986</v>
      </c>
      <c r="H2333" s="35"/>
      <c r="P2333" s="6"/>
    </row>
    <row r="2334" spans="1:16" ht="14.4" x14ac:dyDescent="0.25">
      <c r="A2334" s="6">
        <v>5406</v>
      </c>
      <c r="B2334" s="6">
        <v>38437</v>
      </c>
      <c r="C2334" s="19">
        <v>41037</v>
      </c>
      <c r="D2334" s="6" t="s">
        <v>30</v>
      </c>
      <c r="E2334" s="6">
        <f>IF((ISBLANK($B$1)),"",Sheet1!Q2342)</f>
        <v>4250</v>
      </c>
      <c r="F2334" s="20" t="s">
        <v>26</v>
      </c>
      <c r="G2334" s="53">
        <f t="shared" si="37"/>
        <v>-0.59211849959099416</v>
      </c>
      <c r="H2334" s="35"/>
      <c r="P2334" s="6"/>
    </row>
    <row r="2335" spans="1:16" ht="14.4" x14ac:dyDescent="0.25">
      <c r="A2335" s="6">
        <v>5416</v>
      </c>
      <c r="B2335" s="6">
        <v>38503</v>
      </c>
      <c r="C2335" s="19">
        <v>39938</v>
      </c>
      <c r="D2335" s="6" t="s">
        <v>25</v>
      </c>
      <c r="E2335" s="6">
        <f>IF((ISBLANK($B$1)),"",Sheet1!Q2343)</f>
        <v>5750</v>
      </c>
      <c r="F2335" s="20" t="s">
        <v>26</v>
      </c>
      <c r="G2335" s="53">
        <f t="shared" si="37"/>
        <v>1.4793129094733208</v>
      </c>
      <c r="H2335" s="35"/>
      <c r="P2335" s="6"/>
    </row>
    <row r="2336" spans="1:16" ht="14.4" x14ac:dyDescent="0.25">
      <c r="A2336" s="6">
        <v>5417</v>
      </c>
      <c r="B2336" s="6">
        <v>38503</v>
      </c>
      <c r="C2336" s="19">
        <v>39938</v>
      </c>
      <c r="D2336" s="6" t="s">
        <v>25</v>
      </c>
      <c r="E2336" s="6">
        <f>IF((ISBLANK($B$1)),"",Sheet1!Q2344)</f>
        <v>3900</v>
      </c>
      <c r="F2336" s="20" t="s">
        <v>27</v>
      </c>
      <c r="G2336" s="53">
        <f t="shared" si="37"/>
        <v>-1.0754524950393345</v>
      </c>
      <c r="H2336" s="35"/>
      <c r="P2336" s="6"/>
    </row>
    <row r="2337" spans="1:16" ht="14.4" x14ac:dyDescent="0.25">
      <c r="A2337" s="6">
        <v>5418</v>
      </c>
      <c r="B2337" s="6">
        <v>38503</v>
      </c>
      <c r="C2337" s="19">
        <v>39938</v>
      </c>
      <c r="D2337" s="6" t="s">
        <v>25</v>
      </c>
      <c r="E2337" s="6">
        <f>IF((ISBLANK($B$1)),"",Sheet1!Q2345)</f>
        <v>5000</v>
      </c>
      <c r="F2337" s="20" t="s">
        <v>29</v>
      </c>
      <c r="G2337" s="53">
        <f t="shared" si="37"/>
        <v>0.44359720494116334</v>
      </c>
      <c r="H2337" s="35"/>
      <c r="P2337" s="6"/>
    </row>
    <row r="2338" spans="1:16" ht="14.4" x14ac:dyDescent="0.25">
      <c r="A2338" s="6">
        <v>5422</v>
      </c>
      <c r="B2338" s="6">
        <v>38530</v>
      </c>
      <c r="C2338" s="19">
        <v>40650</v>
      </c>
      <c r="D2338" s="6" t="s">
        <v>30</v>
      </c>
      <c r="E2338" s="6">
        <f>IF((ISBLANK($B$1)),"",Sheet1!Q2346)</f>
        <v>5750</v>
      </c>
      <c r="F2338" s="20" t="s">
        <v>26</v>
      </c>
      <c r="G2338" s="53">
        <f t="shared" si="37"/>
        <v>1.4793129094733208</v>
      </c>
      <c r="H2338" s="35"/>
      <c r="P2338" s="6"/>
    </row>
    <row r="2339" spans="1:16" ht="14.4" x14ac:dyDescent="0.25">
      <c r="A2339" s="6">
        <v>5423</v>
      </c>
      <c r="B2339" s="6">
        <v>38530</v>
      </c>
      <c r="C2339" s="19">
        <v>40650</v>
      </c>
      <c r="D2339" s="6" t="s">
        <v>30</v>
      </c>
      <c r="E2339" s="6">
        <f>IF((ISBLANK($B$1)),"",Sheet1!Q2347)</f>
        <v>4050</v>
      </c>
      <c r="F2339" s="20" t="s">
        <v>26</v>
      </c>
      <c r="G2339" s="53">
        <f t="shared" si="37"/>
        <v>-0.86830935413290289</v>
      </c>
      <c r="H2339" s="35"/>
      <c r="P2339" s="6"/>
    </row>
    <row r="2340" spans="1:16" ht="14.4" x14ac:dyDescent="0.25">
      <c r="A2340" s="6">
        <v>5455</v>
      </c>
      <c r="B2340" s="6">
        <v>38726</v>
      </c>
      <c r="C2340" s="19">
        <v>39954</v>
      </c>
      <c r="D2340" s="6" t="s">
        <v>16</v>
      </c>
      <c r="E2340" s="6">
        <f>IF((ISBLANK($B$1)),"",Sheet1!Q2348)</f>
        <v>5600</v>
      </c>
      <c r="F2340" s="20" t="s">
        <v>26</v>
      </c>
      <c r="G2340" s="53">
        <f t="shared" si="37"/>
        <v>1.2721697685668893</v>
      </c>
      <c r="H2340" s="35"/>
      <c r="P2340" s="6"/>
    </row>
    <row r="2341" spans="1:16" ht="14.4" x14ac:dyDescent="0.25">
      <c r="A2341" s="6">
        <v>5531</v>
      </c>
      <c r="B2341" s="6">
        <v>39172</v>
      </c>
      <c r="C2341" s="19">
        <v>40354</v>
      </c>
      <c r="D2341" s="6" t="s">
        <v>25</v>
      </c>
      <c r="E2341" s="6">
        <f>IF((ISBLANK($B$1)),"",Sheet1!Q2349)</f>
        <v>5300</v>
      </c>
      <c r="F2341" s="20" t="s">
        <v>26</v>
      </c>
      <c r="G2341" s="53">
        <f t="shared" si="37"/>
        <v>0.85788348675402637</v>
      </c>
      <c r="H2341" s="35"/>
      <c r="P2341" s="6"/>
    </row>
    <row r="2342" spans="1:16" ht="14.4" x14ac:dyDescent="0.25">
      <c r="A2342" s="6">
        <v>5532</v>
      </c>
      <c r="B2342" s="6">
        <v>39172</v>
      </c>
      <c r="C2342" s="19">
        <v>40354</v>
      </c>
      <c r="D2342" s="6" t="s">
        <v>25</v>
      </c>
      <c r="E2342" s="6">
        <f>IF((ISBLANK($B$1)),"",Sheet1!Q2350)</f>
        <v>4700</v>
      </c>
      <c r="F2342" s="20" t="s">
        <v>26</v>
      </c>
      <c r="G2342" s="53">
        <f t="shared" si="37"/>
        <v>2.9310923128300338E-2</v>
      </c>
      <c r="H2342" s="35"/>
      <c r="P2342" s="6"/>
    </row>
    <row r="2343" spans="1:16" ht="14.4" x14ac:dyDescent="0.25">
      <c r="A2343" s="6">
        <v>5547</v>
      </c>
      <c r="B2343" s="6">
        <v>39269</v>
      </c>
      <c r="C2343" s="19">
        <v>41208</v>
      </c>
      <c r="D2343" s="6" t="s">
        <v>25</v>
      </c>
      <c r="E2343" s="6">
        <f>IF((ISBLANK($B$1)),"",Sheet1!Q2351)</f>
        <v>4200</v>
      </c>
      <c r="F2343" s="20" t="s">
        <v>27</v>
      </c>
      <c r="G2343" s="53">
        <f t="shared" si="37"/>
        <v>-0.6611662132264714</v>
      </c>
      <c r="H2343" s="35"/>
      <c r="P2343" s="6"/>
    </row>
    <row r="2344" spans="1:16" ht="14.4" x14ac:dyDescent="0.25">
      <c r="A2344" s="6">
        <v>5552</v>
      </c>
      <c r="B2344" s="6">
        <v>39330</v>
      </c>
      <c r="C2344" s="19">
        <v>40376</v>
      </c>
      <c r="D2344" s="6" t="s">
        <v>30</v>
      </c>
      <c r="E2344" s="6">
        <f>IF((ISBLANK($B$1)),"",Sheet1!Q2352)</f>
        <v>4850</v>
      </c>
      <c r="F2344" s="20" t="s">
        <v>26</v>
      </c>
      <c r="G2344" s="53">
        <f t="shared" si="37"/>
        <v>0.23645406403473185</v>
      </c>
      <c r="H2344" s="35"/>
      <c r="P2344" s="6"/>
    </row>
    <row r="2345" spans="1:16" ht="14.4" x14ac:dyDescent="0.25">
      <c r="A2345" s="6">
        <v>5561</v>
      </c>
      <c r="B2345" s="6">
        <v>39365</v>
      </c>
      <c r="C2345" s="19">
        <v>41043</v>
      </c>
      <c r="D2345" s="6" t="s">
        <v>17</v>
      </c>
      <c r="E2345" s="6">
        <f>IF((ISBLANK($B$1)),"",Sheet1!Q2353)</f>
        <v>5000</v>
      </c>
      <c r="F2345" s="20" t="s">
        <v>27</v>
      </c>
      <c r="G2345" s="53">
        <f t="shared" si="37"/>
        <v>0.44359720494116334</v>
      </c>
      <c r="H2345" s="35"/>
      <c r="P2345" s="6"/>
    </row>
    <row r="2346" spans="1:16" ht="14.4" x14ac:dyDescent="0.25">
      <c r="A2346" s="6">
        <v>5568</v>
      </c>
      <c r="B2346" s="6">
        <v>39430</v>
      </c>
      <c r="C2346" s="19">
        <v>39977</v>
      </c>
      <c r="D2346" s="6" t="s">
        <v>25</v>
      </c>
      <c r="E2346" s="6">
        <f>IF((ISBLANK($B$1)),"",Sheet1!Q2354)</f>
        <v>4850</v>
      </c>
      <c r="F2346" s="20" t="s">
        <v>27</v>
      </c>
      <c r="G2346" s="53">
        <f t="shared" si="37"/>
        <v>0.23645406403473185</v>
      </c>
      <c r="H2346" s="35"/>
      <c r="P2346" s="6"/>
    </row>
    <row r="2347" spans="1:16" ht="14.4" x14ac:dyDescent="0.25">
      <c r="A2347" s="6">
        <v>5580</v>
      </c>
      <c r="B2347" s="6">
        <v>39555</v>
      </c>
      <c r="C2347" s="19">
        <v>41156</v>
      </c>
      <c r="D2347" s="6" t="s">
        <v>25</v>
      </c>
      <c r="E2347" s="6">
        <f>IF((ISBLANK($B$1)),"",Sheet1!Q2355)</f>
        <v>5300</v>
      </c>
      <c r="F2347" s="20" t="s">
        <v>26</v>
      </c>
      <c r="G2347" s="53">
        <f t="shared" si="37"/>
        <v>0.85788348675402637</v>
      </c>
      <c r="H2347" s="35"/>
      <c r="P2347" s="6"/>
    </row>
    <row r="2348" spans="1:16" ht="14.4" x14ac:dyDescent="0.25">
      <c r="A2348" s="6">
        <v>5609</v>
      </c>
      <c r="B2348" s="6">
        <v>39749</v>
      </c>
      <c r="C2348" s="19">
        <v>40356</v>
      </c>
      <c r="D2348" s="6" t="s">
        <v>17</v>
      </c>
      <c r="E2348" s="6">
        <f>IF((ISBLANK($B$1)),"",Sheet1!Q2356)</f>
        <v>4100</v>
      </c>
      <c r="F2348" s="20" t="s">
        <v>29</v>
      </c>
      <c r="G2348" s="53">
        <f t="shared" si="37"/>
        <v>-0.79926164049742576</v>
      </c>
      <c r="H2348" s="35"/>
      <c r="P2348" s="6"/>
    </row>
    <row r="2349" spans="1:16" ht="14.4" x14ac:dyDescent="0.25">
      <c r="A2349" s="6">
        <v>5610</v>
      </c>
      <c r="B2349" s="6">
        <v>39749</v>
      </c>
      <c r="C2349" s="19">
        <v>40356</v>
      </c>
      <c r="D2349" s="6" t="s">
        <v>17</v>
      </c>
      <c r="E2349" s="6">
        <f>IF((ISBLANK($B$1)),"",Sheet1!Q2357)</f>
        <v>5650</v>
      </c>
      <c r="F2349" s="20" t="s">
        <v>27</v>
      </c>
      <c r="G2349" s="53">
        <f t="shared" si="37"/>
        <v>1.3412174822023666</v>
      </c>
      <c r="H2349" s="35"/>
      <c r="P2349" s="6"/>
    </row>
    <row r="2350" spans="1:16" ht="14.4" x14ac:dyDescent="0.25">
      <c r="A2350" s="6">
        <v>5611</v>
      </c>
      <c r="B2350" s="6">
        <v>39749</v>
      </c>
      <c r="C2350" s="19">
        <v>40356</v>
      </c>
      <c r="D2350" s="6" t="s">
        <v>17</v>
      </c>
      <c r="E2350" s="6">
        <f>IF((ISBLANK($B$1)),"",Sheet1!Q2358)</f>
        <v>5550</v>
      </c>
      <c r="F2350" s="20" t="s">
        <v>26</v>
      </c>
      <c r="G2350" s="53">
        <f t="shared" si="37"/>
        <v>1.2031220549314123</v>
      </c>
      <c r="H2350" s="35"/>
      <c r="P2350" s="6"/>
    </row>
    <row r="2351" spans="1:16" ht="14.4" x14ac:dyDescent="0.25">
      <c r="A2351" s="6">
        <v>5622</v>
      </c>
      <c r="B2351" s="6">
        <v>39815</v>
      </c>
      <c r="C2351" s="19">
        <v>39912</v>
      </c>
      <c r="D2351" s="6" t="s">
        <v>25</v>
      </c>
      <c r="E2351" s="6">
        <f>IF((ISBLANK($B$1)),"",Sheet1!Q2359)</f>
        <v>5550</v>
      </c>
      <c r="F2351" s="20" t="s">
        <v>27</v>
      </c>
      <c r="G2351" s="53">
        <f t="shared" si="37"/>
        <v>1.2031220549314123</v>
      </c>
      <c r="H2351" s="35"/>
      <c r="P2351" s="6"/>
    </row>
    <row r="2352" spans="1:16" ht="14.4" x14ac:dyDescent="0.25">
      <c r="A2352" s="6">
        <v>5651</v>
      </c>
      <c r="B2352" s="6">
        <v>40001</v>
      </c>
      <c r="C2352" s="19">
        <v>40598</v>
      </c>
      <c r="D2352" s="6" t="s">
        <v>16</v>
      </c>
      <c r="E2352" s="6">
        <f>IF((ISBLANK($B$1)),"",Sheet1!Q2360)</f>
        <v>5700</v>
      </c>
      <c r="F2352" s="20" t="s">
        <v>26</v>
      </c>
      <c r="G2352" s="53">
        <f t="shared" si="37"/>
        <v>1.4102651958378438</v>
      </c>
      <c r="H2352" s="35"/>
      <c r="P2352" s="6"/>
    </row>
    <row r="2353" spans="1:16" ht="14.4" x14ac:dyDescent="0.25">
      <c r="A2353" s="6">
        <v>5708</v>
      </c>
      <c r="B2353" s="6">
        <v>40386</v>
      </c>
      <c r="C2353" s="19">
        <v>40592</v>
      </c>
      <c r="D2353" s="6" t="s">
        <v>17</v>
      </c>
      <c r="E2353" s="6">
        <f>IF((ISBLANK($B$1)),"",Sheet1!Q2361)</f>
        <v>4800</v>
      </c>
      <c r="F2353" s="20" t="s">
        <v>26</v>
      </c>
      <c r="G2353" s="53">
        <f t="shared" si="37"/>
        <v>0.16740635039925467</v>
      </c>
      <c r="H2353" s="35"/>
      <c r="P2353" s="6"/>
    </row>
    <row r="2354" spans="1:16" ht="14.4" x14ac:dyDescent="0.25">
      <c r="A2354" s="6">
        <v>5729</v>
      </c>
      <c r="B2354" s="6">
        <v>40647</v>
      </c>
      <c r="C2354" s="19">
        <v>40042</v>
      </c>
      <c r="D2354" s="6" t="s">
        <v>17</v>
      </c>
      <c r="E2354" s="6">
        <f>IF((ISBLANK($B$1)),"",Sheet1!Q2362)</f>
        <v>5750</v>
      </c>
      <c r="F2354" s="20" t="s">
        <v>26</v>
      </c>
      <c r="G2354" s="53">
        <f t="shared" si="37"/>
        <v>1.4793129094733208</v>
      </c>
      <c r="H2354" s="35"/>
      <c r="P2354" s="6"/>
    </row>
    <row r="2355" spans="1:16" ht="14.4" x14ac:dyDescent="0.25">
      <c r="A2355" s="6">
        <v>5796</v>
      </c>
      <c r="B2355" s="6">
        <v>41120</v>
      </c>
      <c r="C2355" s="19">
        <v>41097</v>
      </c>
      <c r="D2355" s="6" t="s">
        <v>25</v>
      </c>
      <c r="E2355" s="6">
        <f>IF((ISBLANK($B$1)),"",Sheet1!Q2363)</f>
        <v>5150</v>
      </c>
      <c r="F2355" s="20" t="s">
        <v>29</v>
      </c>
      <c r="G2355" s="53">
        <f t="shared" si="37"/>
        <v>0.65074034584759488</v>
      </c>
      <c r="H2355" s="35"/>
      <c r="P2355" s="6"/>
    </row>
    <row r="2356" spans="1:16" ht="14.4" x14ac:dyDescent="0.25">
      <c r="A2356" s="6">
        <v>5797</v>
      </c>
      <c r="B2356" s="6">
        <v>41120</v>
      </c>
      <c r="C2356" s="19">
        <v>41097</v>
      </c>
      <c r="D2356" s="6" t="s">
        <v>25</v>
      </c>
      <c r="E2356" s="6">
        <f>IF((ISBLANK($B$1)),"",Sheet1!Q2364)</f>
        <v>4050</v>
      </c>
      <c r="F2356" s="20" t="s">
        <v>29</v>
      </c>
      <c r="G2356" s="53">
        <f t="shared" si="37"/>
        <v>-0.86830935413290289</v>
      </c>
      <c r="H2356" s="35"/>
      <c r="P2356" s="6"/>
    </row>
    <row r="2357" spans="1:16" ht="14.4" x14ac:dyDescent="0.25">
      <c r="A2357" s="6">
        <v>5798</v>
      </c>
      <c r="B2357" s="6">
        <v>41122</v>
      </c>
      <c r="C2357" s="19">
        <v>40230</v>
      </c>
      <c r="D2357" s="6" t="s">
        <v>28</v>
      </c>
      <c r="E2357" s="6">
        <f>IF((ISBLANK($B$1)),"",Sheet1!Q2365)</f>
        <v>4850</v>
      </c>
      <c r="F2357" s="20" t="s">
        <v>29</v>
      </c>
      <c r="G2357" s="53">
        <f t="shared" si="37"/>
        <v>0.23645406403473185</v>
      </c>
      <c r="H2357" s="35"/>
      <c r="P2357" s="6"/>
    </row>
    <row r="2358" spans="1:16" ht="14.4" x14ac:dyDescent="0.25">
      <c r="A2358" s="6">
        <v>5809</v>
      </c>
      <c r="B2358" s="6">
        <v>41187</v>
      </c>
      <c r="C2358" s="19">
        <v>40451</v>
      </c>
      <c r="D2358" s="6" t="s">
        <v>25</v>
      </c>
      <c r="E2358" s="6">
        <f>IF((ISBLANK($B$1)),"",Sheet1!Q2366)</f>
        <v>3850</v>
      </c>
      <c r="F2358" s="20" t="s">
        <v>26</v>
      </c>
      <c r="G2358" s="53">
        <f t="shared" si="37"/>
        <v>-1.1445002086748115</v>
      </c>
      <c r="H2358" s="35"/>
      <c r="P2358" s="6"/>
    </row>
    <row r="2359" spans="1:16" ht="14.4" x14ac:dyDescent="0.25">
      <c r="A2359" s="6">
        <v>5810</v>
      </c>
      <c r="B2359" s="6">
        <v>41187</v>
      </c>
      <c r="C2359" s="19">
        <v>40451</v>
      </c>
      <c r="D2359" s="6" t="s">
        <v>25</v>
      </c>
      <c r="E2359" s="6">
        <f>IF((ISBLANK($B$1)),"",Sheet1!Q2367)</f>
        <v>4650</v>
      </c>
      <c r="F2359" s="20" t="s">
        <v>26</v>
      </c>
      <c r="G2359" s="53">
        <f t="shared" si="37"/>
        <v>-3.9736790507176829E-2</v>
      </c>
      <c r="H2359" s="35"/>
      <c r="P2359" s="6"/>
    </row>
    <row r="2360" spans="1:16" ht="14.4" x14ac:dyDescent="0.25">
      <c r="A2360" s="6">
        <v>5815</v>
      </c>
      <c r="B2360" s="6">
        <v>41221</v>
      </c>
      <c r="C2360" s="19">
        <v>40068</v>
      </c>
      <c r="D2360" s="6" t="s">
        <v>30</v>
      </c>
      <c r="E2360" s="6">
        <f>IF((ISBLANK($B$1)),"",Sheet1!Q2368)</f>
        <v>3600</v>
      </c>
      <c r="F2360" s="20" t="s">
        <v>26</v>
      </c>
      <c r="G2360" s="53">
        <f t="shared" si="37"/>
        <v>-1.4897387768521975</v>
      </c>
      <c r="H2360" s="35"/>
      <c r="P2360" s="6"/>
    </row>
    <row r="2361" spans="1:16" ht="14.4" x14ac:dyDescent="0.25">
      <c r="A2361" s="6">
        <v>5819</v>
      </c>
      <c r="B2361" s="6">
        <v>41282</v>
      </c>
      <c r="C2361" s="19">
        <v>39998</v>
      </c>
      <c r="D2361" s="6" t="s">
        <v>16</v>
      </c>
      <c r="E2361" s="6">
        <f>IF((ISBLANK($B$1)),"",Sheet1!Q2369)</f>
        <v>5350</v>
      </c>
      <c r="F2361" s="20" t="s">
        <v>26</v>
      </c>
      <c r="G2361" s="53">
        <f t="shared" si="37"/>
        <v>0.92693120038950361</v>
      </c>
      <c r="H2361" s="35"/>
      <c r="P2361" s="6"/>
    </row>
    <row r="2362" spans="1:16" ht="14.4" x14ac:dyDescent="0.25">
      <c r="A2362" s="6">
        <v>5821</v>
      </c>
      <c r="B2362" s="6">
        <v>41312</v>
      </c>
      <c r="C2362" s="19">
        <v>40939</v>
      </c>
      <c r="D2362" s="6" t="s">
        <v>28</v>
      </c>
      <c r="E2362" s="6">
        <f>IF((ISBLANK($B$1)),"",Sheet1!Q2370)</f>
        <v>4450</v>
      </c>
      <c r="F2362" s="20" t="s">
        <v>27</v>
      </c>
      <c r="G2362" s="53">
        <f t="shared" si="37"/>
        <v>-0.31592764504908549</v>
      </c>
      <c r="H2362" s="35"/>
      <c r="P2362" s="6"/>
    </row>
    <row r="2363" spans="1:16" ht="14.4" x14ac:dyDescent="0.25">
      <c r="A2363" s="6">
        <v>5824</v>
      </c>
      <c r="B2363" s="6">
        <v>41318</v>
      </c>
      <c r="C2363" s="19">
        <v>40825</v>
      </c>
      <c r="D2363" s="6" t="s">
        <v>25</v>
      </c>
      <c r="E2363" s="6">
        <f>IF((ISBLANK($B$1)),"",Sheet1!Q2371)</f>
        <v>4450</v>
      </c>
      <c r="F2363" s="20" t="s">
        <v>26</v>
      </c>
      <c r="G2363" s="53">
        <f t="shared" si="37"/>
        <v>-0.31592764504908549</v>
      </c>
      <c r="H2363" s="35"/>
      <c r="P2363" s="6"/>
    </row>
    <row r="2364" spans="1:16" ht="14.4" x14ac:dyDescent="0.25">
      <c r="A2364" s="6">
        <v>5825</v>
      </c>
      <c r="B2364" s="6">
        <v>41345</v>
      </c>
      <c r="C2364" s="19">
        <v>40941</v>
      </c>
      <c r="D2364" s="6" t="s">
        <v>16</v>
      </c>
      <c r="E2364" s="6">
        <f>IF((ISBLANK($B$1)),"",Sheet1!Q2372)</f>
        <v>5200</v>
      </c>
      <c r="F2364" s="20" t="s">
        <v>26</v>
      </c>
      <c r="G2364" s="53">
        <f t="shared" si="37"/>
        <v>0.71978805948307201</v>
      </c>
      <c r="H2364" s="35"/>
      <c r="P2364" s="6"/>
    </row>
    <row r="2365" spans="1:16" ht="14.4" x14ac:dyDescent="0.25">
      <c r="A2365" s="6">
        <v>5860</v>
      </c>
      <c r="B2365" s="6">
        <v>41604</v>
      </c>
      <c r="C2365" s="19">
        <v>39854</v>
      </c>
      <c r="D2365" s="6" t="s">
        <v>16</v>
      </c>
      <c r="E2365" s="6">
        <f>IF((ISBLANK($B$1)),"",Sheet1!Q2373)</f>
        <v>4500</v>
      </c>
      <c r="F2365" s="20" t="s">
        <v>26</v>
      </c>
      <c r="G2365" s="53">
        <f t="shared" si="37"/>
        <v>-0.24687993141360834</v>
      </c>
      <c r="H2365" s="35"/>
      <c r="P2365" s="6"/>
    </row>
    <row r="2366" spans="1:16" ht="14.4" x14ac:dyDescent="0.25">
      <c r="A2366" s="6">
        <v>5909</v>
      </c>
      <c r="B2366" s="6">
        <v>41891</v>
      </c>
      <c r="C2366" s="19">
        <v>40685</v>
      </c>
      <c r="D2366" s="6" t="s">
        <v>17</v>
      </c>
      <c r="E2366" s="6">
        <f>IF((ISBLANK($B$1)),"",Sheet1!Q2374)</f>
        <v>4500</v>
      </c>
      <c r="F2366" s="20" t="s">
        <v>29</v>
      </c>
      <c r="G2366" s="53">
        <f t="shared" si="37"/>
        <v>-0.24687993141360834</v>
      </c>
      <c r="H2366" s="35"/>
      <c r="P2366" s="6"/>
    </row>
    <row r="2367" spans="1:16" ht="14.4" x14ac:dyDescent="0.25">
      <c r="A2367" s="6">
        <v>5925</v>
      </c>
      <c r="B2367" s="6">
        <v>42022</v>
      </c>
      <c r="C2367" s="19">
        <v>40080</v>
      </c>
      <c r="D2367" s="6" t="s">
        <v>16</v>
      </c>
      <c r="E2367" s="6">
        <f>IF((ISBLANK($B$1)),"",Sheet1!Q2375)</f>
        <v>5650</v>
      </c>
      <c r="F2367" s="20" t="s">
        <v>26</v>
      </c>
      <c r="G2367" s="53">
        <f t="shared" si="37"/>
        <v>1.3412174822023666</v>
      </c>
      <c r="H2367" s="35"/>
      <c r="P2367" s="6"/>
    </row>
    <row r="2368" spans="1:16" ht="14.4" x14ac:dyDescent="0.25">
      <c r="A2368" s="6">
        <v>5926</v>
      </c>
      <c r="B2368" s="6">
        <v>42022</v>
      </c>
      <c r="C2368" s="19">
        <v>40080</v>
      </c>
      <c r="D2368" s="6" t="s">
        <v>16</v>
      </c>
      <c r="E2368" s="6">
        <f>IF((ISBLANK($B$1)),"",Sheet1!Q2376)</f>
        <v>3950</v>
      </c>
      <c r="F2368" s="20" t="s">
        <v>26</v>
      </c>
      <c r="G2368" s="53">
        <f t="shared" si="37"/>
        <v>-1.0064047814038573</v>
      </c>
      <c r="H2368" s="35"/>
      <c r="P2368" s="6"/>
    </row>
    <row r="2369" spans="1:16" ht="14.4" x14ac:dyDescent="0.25">
      <c r="A2369" s="6">
        <v>5928</v>
      </c>
      <c r="B2369" s="6">
        <v>42081</v>
      </c>
      <c r="C2369" s="19">
        <v>40553</v>
      </c>
      <c r="D2369" s="6" t="s">
        <v>25</v>
      </c>
      <c r="E2369" s="6">
        <f>IF((ISBLANK($B$1)),"",Sheet1!Q2377)</f>
        <v>5200</v>
      </c>
      <c r="F2369" s="20" t="s">
        <v>26</v>
      </c>
      <c r="G2369" s="53">
        <f t="shared" si="37"/>
        <v>0.71978805948307201</v>
      </c>
      <c r="H2369" s="35"/>
      <c r="P2369" s="6"/>
    </row>
    <row r="2370" spans="1:16" ht="14.4" x14ac:dyDescent="0.25">
      <c r="A2370" s="6">
        <v>5929</v>
      </c>
      <c r="B2370" s="6">
        <v>42081</v>
      </c>
      <c r="C2370" s="19">
        <v>40553</v>
      </c>
      <c r="D2370" s="6" t="s">
        <v>25</v>
      </c>
      <c r="E2370" s="6">
        <f>IF((ISBLANK($B$1)),"",Sheet1!Q2378)</f>
        <v>3550</v>
      </c>
      <c r="F2370" s="20" t="s">
        <v>26</v>
      </c>
      <c r="G2370" s="53">
        <f t="shared" si="37"/>
        <v>-1.5587864904876745</v>
      </c>
      <c r="H2370" s="35"/>
      <c r="P2370" s="6"/>
    </row>
    <row r="2371" spans="1:16" ht="14.4" x14ac:dyDescent="0.25">
      <c r="A2371" s="6">
        <v>5930</v>
      </c>
      <c r="B2371" s="6">
        <v>42081</v>
      </c>
      <c r="C2371" s="19">
        <v>40553</v>
      </c>
      <c r="D2371" s="6" t="s">
        <v>25</v>
      </c>
      <c r="E2371" s="6">
        <f>IF((ISBLANK($B$1)),"",Sheet1!Q2379)</f>
        <v>4700</v>
      </c>
      <c r="F2371" s="20" t="s">
        <v>27</v>
      </c>
      <c r="G2371" s="53">
        <f t="shared" si="37"/>
        <v>2.9310923128300338E-2</v>
      </c>
      <c r="H2371" s="35"/>
      <c r="P2371" s="6"/>
    </row>
    <row r="2372" spans="1:16" ht="14.4" x14ac:dyDescent="0.25">
      <c r="A2372" s="6">
        <v>5935</v>
      </c>
      <c r="B2372" s="6">
        <v>42086</v>
      </c>
      <c r="C2372" s="19">
        <v>40381</v>
      </c>
      <c r="D2372" s="6" t="s">
        <v>17</v>
      </c>
      <c r="E2372" s="6">
        <f>IF((ISBLANK($B$1)),"",Sheet1!Q2380)</f>
        <v>4300</v>
      </c>
      <c r="F2372" s="20" t="s">
        <v>26</v>
      </c>
      <c r="G2372" s="53">
        <f t="shared" si="37"/>
        <v>-0.52307078595551704</v>
      </c>
      <c r="H2372" s="35"/>
      <c r="P2372" s="6"/>
    </row>
    <row r="2373" spans="1:16" ht="14.4" x14ac:dyDescent="0.25">
      <c r="A2373" s="6">
        <v>5954</v>
      </c>
      <c r="B2373" s="6">
        <v>42246</v>
      </c>
      <c r="C2373" s="19">
        <v>41025</v>
      </c>
      <c r="D2373" s="6" t="s">
        <v>28</v>
      </c>
      <c r="E2373" s="6">
        <f>IF((ISBLANK($B$1)),"",Sheet1!Q2381)</f>
        <v>5400</v>
      </c>
      <c r="F2373" s="20" t="s">
        <v>27</v>
      </c>
      <c r="G2373" s="53">
        <f t="shared" si="37"/>
        <v>0.99597891402498073</v>
      </c>
      <c r="H2373" s="35"/>
      <c r="P2373" s="6"/>
    </row>
    <row r="2374" spans="1:16" ht="14.4" x14ac:dyDescent="0.25">
      <c r="A2374" s="6">
        <v>5955</v>
      </c>
      <c r="B2374" s="6">
        <v>42246</v>
      </c>
      <c r="C2374" s="19">
        <v>41025</v>
      </c>
      <c r="D2374" s="6" t="s">
        <v>28</v>
      </c>
      <c r="E2374" s="6">
        <f>IF((ISBLANK($B$1)),"",Sheet1!Q2382)</f>
        <v>3650</v>
      </c>
      <c r="F2374" s="20" t="s">
        <v>26</v>
      </c>
      <c r="G2374" s="53">
        <f t="shared" si="37"/>
        <v>-1.4206910632167202</v>
      </c>
      <c r="H2374" s="35"/>
      <c r="P2374" s="6"/>
    </row>
    <row r="2375" spans="1:16" ht="14.4" x14ac:dyDescent="0.25">
      <c r="A2375" s="6">
        <v>5990</v>
      </c>
      <c r="B2375" s="6">
        <v>42465</v>
      </c>
      <c r="C2375" s="19">
        <v>40533</v>
      </c>
      <c r="D2375" s="6" t="s">
        <v>16</v>
      </c>
      <c r="E2375" s="6">
        <f>IF((ISBLANK($B$1)),"",Sheet1!Q2383)</f>
        <v>4150</v>
      </c>
      <c r="F2375" s="20" t="s">
        <v>26</v>
      </c>
      <c r="G2375" s="53">
        <f t="shared" si="37"/>
        <v>-0.73021392686194853</v>
      </c>
      <c r="H2375" s="35"/>
      <c r="P2375" s="6"/>
    </row>
    <row r="2376" spans="1:16" ht="14.4" x14ac:dyDescent="0.25">
      <c r="A2376" s="6">
        <v>6020</v>
      </c>
      <c r="B2376" s="6">
        <v>42657</v>
      </c>
      <c r="C2376" s="19">
        <v>40819</v>
      </c>
      <c r="D2376" s="6" t="s">
        <v>25</v>
      </c>
      <c r="E2376" s="6">
        <f>IF((ISBLANK($B$1)),"",Sheet1!Q2384)</f>
        <v>5800</v>
      </c>
      <c r="F2376" s="20" t="s">
        <v>26</v>
      </c>
      <c r="G2376" s="53">
        <f t="shared" ref="G2376:G2439" si="38">STANDARDIZE(E2376,$L$26,$L$35)</f>
        <v>1.5483606231087981</v>
      </c>
      <c r="H2376" s="35"/>
      <c r="P2376" s="6"/>
    </row>
    <row r="2377" spans="1:16" ht="14.4" x14ac:dyDescent="0.25">
      <c r="A2377" s="6">
        <v>6040</v>
      </c>
      <c r="B2377" s="6">
        <v>42820</v>
      </c>
      <c r="C2377" s="19">
        <v>40225</v>
      </c>
      <c r="D2377" s="6" t="s">
        <v>25</v>
      </c>
      <c r="E2377" s="6">
        <f>IF((ISBLANK($B$1)),"",Sheet1!Q2385)</f>
        <v>4750</v>
      </c>
      <c r="F2377" s="20" t="s">
        <v>26</v>
      </c>
      <c r="G2377" s="53">
        <f t="shared" si="38"/>
        <v>9.8358636763777513E-2</v>
      </c>
      <c r="H2377" s="35"/>
      <c r="P2377" s="6"/>
    </row>
    <row r="2378" spans="1:16" ht="14.4" x14ac:dyDescent="0.25">
      <c r="A2378" s="6">
        <v>6042</v>
      </c>
      <c r="B2378" s="6">
        <v>42848</v>
      </c>
      <c r="C2378" s="19">
        <v>41188</v>
      </c>
      <c r="D2378" s="6" t="s">
        <v>28</v>
      </c>
      <c r="E2378" s="6">
        <f>IF((ISBLANK($B$1)),"",Sheet1!Q2386)</f>
        <v>5900</v>
      </c>
      <c r="F2378" s="20" t="s">
        <v>26</v>
      </c>
      <c r="G2378" s="53">
        <f t="shared" si="38"/>
        <v>1.6864560503797523</v>
      </c>
      <c r="H2378" s="35"/>
      <c r="P2378" s="6"/>
    </row>
    <row r="2379" spans="1:16" ht="14.4" x14ac:dyDescent="0.25">
      <c r="A2379" s="6">
        <v>6106</v>
      </c>
      <c r="B2379" s="6">
        <v>43269</v>
      </c>
      <c r="C2379" s="19">
        <v>39913</v>
      </c>
      <c r="D2379" s="6" t="s">
        <v>30</v>
      </c>
      <c r="E2379" s="6">
        <f>IF((ISBLANK($B$1)),"",Sheet1!Q2387)</f>
        <v>4200</v>
      </c>
      <c r="F2379" s="20" t="s">
        <v>26</v>
      </c>
      <c r="G2379" s="53">
        <f t="shared" si="38"/>
        <v>-0.6611662132264714</v>
      </c>
      <c r="H2379" s="35"/>
      <c r="P2379" s="6"/>
    </row>
    <row r="2380" spans="1:16" ht="14.4" x14ac:dyDescent="0.25">
      <c r="A2380" s="6">
        <v>6107</v>
      </c>
      <c r="B2380" s="6">
        <v>43269</v>
      </c>
      <c r="C2380" s="19">
        <v>39913</v>
      </c>
      <c r="D2380" s="6" t="s">
        <v>30</v>
      </c>
      <c r="E2380" s="6">
        <f>IF((ISBLANK($B$1)),"",Sheet1!Q2388)</f>
        <v>4600</v>
      </c>
      <c r="F2380" s="20" t="s">
        <v>26</v>
      </c>
      <c r="G2380" s="53">
        <f t="shared" si="38"/>
        <v>-0.108784504142654</v>
      </c>
      <c r="H2380" s="35"/>
      <c r="P2380" s="6"/>
    </row>
    <row r="2381" spans="1:16" ht="14.4" x14ac:dyDescent="0.25">
      <c r="A2381" s="6">
        <v>6126</v>
      </c>
      <c r="B2381" s="6">
        <v>43367</v>
      </c>
      <c r="C2381" s="19">
        <v>40246</v>
      </c>
      <c r="D2381" s="6" t="s">
        <v>30</v>
      </c>
      <c r="E2381" s="6">
        <f>IF((ISBLANK($B$1)),"",Sheet1!Q2389)</f>
        <v>3550</v>
      </c>
      <c r="F2381" s="20" t="s">
        <v>26</v>
      </c>
      <c r="G2381" s="53">
        <f t="shared" si="38"/>
        <v>-1.5587864904876745</v>
      </c>
      <c r="H2381" s="35"/>
      <c r="P2381" s="6"/>
    </row>
    <row r="2382" spans="1:16" ht="14.4" x14ac:dyDescent="0.25">
      <c r="A2382" s="6">
        <v>6127</v>
      </c>
      <c r="B2382" s="6">
        <v>43367</v>
      </c>
      <c r="C2382" s="19">
        <v>40246</v>
      </c>
      <c r="D2382" s="6" t="s">
        <v>30</v>
      </c>
      <c r="E2382" s="6">
        <f>IF((ISBLANK($B$1)),"",Sheet1!Q2390)</f>
        <v>4200</v>
      </c>
      <c r="F2382" s="20" t="s">
        <v>26</v>
      </c>
      <c r="G2382" s="53">
        <f t="shared" si="38"/>
        <v>-0.6611662132264714</v>
      </c>
      <c r="H2382" s="35"/>
      <c r="P2382" s="6"/>
    </row>
    <row r="2383" spans="1:16" ht="14.4" x14ac:dyDescent="0.25">
      <c r="A2383" s="6">
        <v>6128</v>
      </c>
      <c r="B2383" s="6">
        <v>43367</v>
      </c>
      <c r="C2383" s="19">
        <v>40246</v>
      </c>
      <c r="D2383" s="6" t="s">
        <v>30</v>
      </c>
      <c r="E2383" s="6">
        <f>IF((ISBLANK($B$1)),"",Sheet1!Q2391)</f>
        <v>4300</v>
      </c>
      <c r="F2383" s="20" t="s">
        <v>26</v>
      </c>
      <c r="G2383" s="53">
        <f t="shared" si="38"/>
        <v>-0.52307078595551704</v>
      </c>
      <c r="H2383" s="35"/>
      <c r="P2383" s="6"/>
    </row>
    <row r="2384" spans="1:16" ht="14.4" x14ac:dyDescent="0.25">
      <c r="A2384" s="6">
        <v>6132</v>
      </c>
      <c r="B2384" s="6">
        <v>43399</v>
      </c>
      <c r="C2384" s="19">
        <v>40024</v>
      </c>
      <c r="D2384" s="6" t="s">
        <v>17</v>
      </c>
      <c r="E2384" s="6">
        <f>IF((ISBLANK($B$1)),"",Sheet1!Q2392)</f>
        <v>5150</v>
      </c>
      <c r="F2384" s="20" t="s">
        <v>26</v>
      </c>
      <c r="G2384" s="53">
        <f t="shared" si="38"/>
        <v>0.65074034584759488</v>
      </c>
      <c r="H2384" s="35"/>
      <c r="P2384" s="6"/>
    </row>
    <row r="2385" spans="1:16" ht="14.4" x14ac:dyDescent="0.25">
      <c r="A2385" s="6">
        <v>6133</v>
      </c>
      <c r="B2385" s="6">
        <v>43399</v>
      </c>
      <c r="C2385" s="19">
        <v>40024</v>
      </c>
      <c r="D2385" s="6" t="s">
        <v>17</v>
      </c>
      <c r="E2385" s="6">
        <f>IF((ISBLANK($B$1)),"",Sheet1!Q2393)</f>
        <v>3500</v>
      </c>
      <c r="F2385" s="20" t="s">
        <v>29</v>
      </c>
      <c r="G2385" s="53">
        <f t="shared" si="38"/>
        <v>-1.6278342041231517</v>
      </c>
      <c r="H2385" s="35"/>
      <c r="P2385" s="6"/>
    </row>
    <row r="2386" spans="1:16" ht="14.4" x14ac:dyDescent="0.25">
      <c r="A2386" s="6">
        <v>6134</v>
      </c>
      <c r="B2386" s="6">
        <v>43399</v>
      </c>
      <c r="C2386" s="19">
        <v>40024</v>
      </c>
      <c r="D2386" s="6" t="s">
        <v>17</v>
      </c>
      <c r="E2386" s="6">
        <f>IF((ISBLANK($B$1)),"",Sheet1!Q2394)</f>
        <v>3800</v>
      </c>
      <c r="F2386" s="20" t="s">
        <v>26</v>
      </c>
      <c r="G2386" s="53">
        <f t="shared" si="38"/>
        <v>-1.2135479223102887</v>
      </c>
      <c r="H2386" s="35"/>
      <c r="P2386" s="6"/>
    </row>
    <row r="2387" spans="1:16" ht="14.4" x14ac:dyDescent="0.25">
      <c r="A2387" s="6">
        <v>6189</v>
      </c>
      <c r="B2387" s="6">
        <v>43875</v>
      </c>
      <c r="C2387" s="19">
        <v>40884</v>
      </c>
      <c r="D2387" s="6" t="s">
        <v>30</v>
      </c>
      <c r="E2387" s="6">
        <f>IF((ISBLANK($B$1)),"",Sheet1!Q2395)</f>
        <v>4600</v>
      </c>
      <c r="F2387" s="20" t="s">
        <v>26</v>
      </c>
      <c r="G2387" s="53">
        <f t="shared" si="38"/>
        <v>-0.108784504142654</v>
      </c>
      <c r="H2387" s="35"/>
      <c r="P2387" s="6"/>
    </row>
    <row r="2388" spans="1:16" ht="14.4" x14ac:dyDescent="0.25">
      <c r="A2388" s="6">
        <v>6190</v>
      </c>
      <c r="B2388" s="6">
        <v>43875</v>
      </c>
      <c r="C2388" s="19">
        <v>40884</v>
      </c>
      <c r="D2388" s="6" t="s">
        <v>30</v>
      </c>
      <c r="E2388" s="6">
        <f>IF((ISBLANK($B$1)),"",Sheet1!Q2396)</f>
        <v>4250</v>
      </c>
      <c r="F2388" s="20" t="s">
        <v>29</v>
      </c>
      <c r="G2388" s="53">
        <f t="shared" si="38"/>
        <v>-0.59211849959099416</v>
      </c>
      <c r="H2388" s="35"/>
      <c r="P2388" s="6"/>
    </row>
    <row r="2389" spans="1:16" ht="14.4" x14ac:dyDescent="0.25">
      <c r="A2389" s="6">
        <v>6191</v>
      </c>
      <c r="B2389" s="6">
        <v>43875</v>
      </c>
      <c r="C2389" s="19">
        <v>40884</v>
      </c>
      <c r="D2389" s="6" t="s">
        <v>30</v>
      </c>
      <c r="E2389" s="6">
        <f>IF((ISBLANK($B$1)),"",Sheet1!Q2397)</f>
        <v>5400</v>
      </c>
      <c r="F2389" s="20" t="s">
        <v>27</v>
      </c>
      <c r="G2389" s="53">
        <f t="shared" si="38"/>
        <v>0.99597891402498073</v>
      </c>
      <c r="H2389" s="35"/>
      <c r="P2389" s="6"/>
    </row>
    <row r="2390" spans="1:16" ht="14.4" x14ac:dyDescent="0.25">
      <c r="A2390" s="6">
        <v>6192</v>
      </c>
      <c r="B2390" s="6">
        <v>43875</v>
      </c>
      <c r="C2390" s="19">
        <v>40884</v>
      </c>
      <c r="D2390" s="6" t="s">
        <v>30</v>
      </c>
      <c r="E2390" s="6">
        <f>IF((ISBLANK($B$1)),"",Sheet1!Q2398)</f>
        <v>4200</v>
      </c>
      <c r="F2390" s="20" t="s">
        <v>27</v>
      </c>
      <c r="G2390" s="53">
        <f t="shared" si="38"/>
        <v>-0.6611662132264714</v>
      </c>
      <c r="H2390" s="35"/>
      <c r="P2390" s="6"/>
    </row>
    <row r="2391" spans="1:16" ht="14.4" x14ac:dyDescent="0.25">
      <c r="A2391" s="6">
        <v>6193</v>
      </c>
      <c r="B2391" s="6">
        <v>43875</v>
      </c>
      <c r="C2391" s="19">
        <v>40884</v>
      </c>
      <c r="D2391" s="6" t="s">
        <v>30</v>
      </c>
      <c r="E2391" s="6">
        <f>IF((ISBLANK($B$1)),"",Sheet1!Q2399)</f>
        <v>4650</v>
      </c>
      <c r="F2391" s="20" t="s">
        <v>27</v>
      </c>
      <c r="G2391" s="53">
        <f t="shared" si="38"/>
        <v>-3.9736790507176829E-2</v>
      </c>
      <c r="H2391" s="35"/>
      <c r="P2391" s="6"/>
    </row>
    <row r="2392" spans="1:16" ht="14.4" x14ac:dyDescent="0.25">
      <c r="A2392" s="6">
        <v>6237</v>
      </c>
      <c r="B2392" s="6">
        <v>44197</v>
      </c>
      <c r="C2392" s="19">
        <v>39833</v>
      </c>
      <c r="D2392" s="6" t="s">
        <v>17</v>
      </c>
      <c r="E2392" s="6">
        <f>IF((ISBLANK($B$1)),"",Sheet1!Q2400)</f>
        <v>4750</v>
      </c>
      <c r="F2392" s="20" t="s">
        <v>29</v>
      </c>
      <c r="G2392" s="53">
        <f t="shared" si="38"/>
        <v>9.8358636763777513E-2</v>
      </c>
      <c r="H2392" s="35"/>
      <c r="P2392" s="6"/>
    </row>
    <row r="2393" spans="1:16" ht="14.4" x14ac:dyDescent="0.25">
      <c r="A2393" s="6">
        <v>6242</v>
      </c>
      <c r="B2393" s="6">
        <v>44229</v>
      </c>
      <c r="C2393" s="19">
        <v>40312</v>
      </c>
      <c r="D2393" s="6" t="s">
        <v>16</v>
      </c>
      <c r="E2393" s="6">
        <f>IF((ISBLANK($B$1)),"",Sheet1!Q2401)</f>
        <v>5350</v>
      </c>
      <c r="F2393" s="20" t="s">
        <v>26</v>
      </c>
      <c r="G2393" s="53">
        <f t="shared" si="38"/>
        <v>0.92693120038950361</v>
      </c>
      <c r="H2393" s="35"/>
      <c r="P2393" s="6"/>
    </row>
    <row r="2394" spans="1:16" ht="14.4" x14ac:dyDescent="0.25">
      <c r="A2394" s="6">
        <v>6268</v>
      </c>
      <c r="B2394" s="6">
        <v>44386</v>
      </c>
      <c r="C2394" s="19">
        <v>41008</v>
      </c>
      <c r="D2394" s="6" t="s">
        <v>16</v>
      </c>
      <c r="E2394" s="6">
        <f>IF((ISBLANK($B$1)),"",Sheet1!Q2402)</f>
        <v>4750</v>
      </c>
      <c r="F2394" s="20" t="s">
        <v>26</v>
      </c>
      <c r="G2394" s="53">
        <f t="shared" si="38"/>
        <v>9.8358636763777513E-2</v>
      </c>
      <c r="H2394" s="35"/>
      <c r="P2394" s="6"/>
    </row>
    <row r="2395" spans="1:16" ht="14.4" x14ac:dyDescent="0.25">
      <c r="A2395" s="6">
        <v>6269</v>
      </c>
      <c r="B2395" s="6">
        <v>44386</v>
      </c>
      <c r="C2395" s="19">
        <v>41008</v>
      </c>
      <c r="D2395" s="6" t="s">
        <v>16</v>
      </c>
      <c r="E2395" s="6">
        <f>IF((ISBLANK($B$1)),"",Sheet1!Q2403)</f>
        <v>5550</v>
      </c>
      <c r="F2395" s="20" t="s">
        <v>27</v>
      </c>
      <c r="G2395" s="53">
        <f t="shared" si="38"/>
        <v>1.2031220549314123</v>
      </c>
      <c r="H2395" s="35"/>
      <c r="P2395" s="6"/>
    </row>
    <row r="2396" spans="1:16" ht="14.4" x14ac:dyDescent="0.25">
      <c r="A2396" s="6">
        <v>6272</v>
      </c>
      <c r="B2396" s="6">
        <v>44390</v>
      </c>
      <c r="C2396" s="19">
        <v>40515</v>
      </c>
      <c r="D2396" s="6" t="s">
        <v>28</v>
      </c>
      <c r="E2396" s="6">
        <f>IF((ISBLANK($B$1)),"",Sheet1!Q2404)</f>
        <v>5000</v>
      </c>
      <c r="F2396" s="20" t="s">
        <v>29</v>
      </c>
      <c r="G2396" s="53">
        <f t="shared" si="38"/>
        <v>0.44359720494116334</v>
      </c>
      <c r="H2396" s="35"/>
      <c r="P2396" s="6"/>
    </row>
    <row r="2397" spans="1:16" ht="14.4" x14ac:dyDescent="0.25">
      <c r="A2397" s="6">
        <v>6303</v>
      </c>
      <c r="B2397" s="6">
        <v>44612</v>
      </c>
      <c r="C2397" s="19">
        <v>40615</v>
      </c>
      <c r="D2397" s="6" t="s">
        <v>17</v>
      </c>
      <c r="E2397" s="6">
        <f>IF((ISBLANK($B$1)),"",Sheet1!Q2405)</f>
        <v>3700</v>
      </c>
      <c r="F2397" s="20" t="s">
        <v>27</v>
      </c>
      <c r="G2397" s="53">
        <f t="shared" si="38"/>
        <v>-1.351643349581243</v>
      </c>
      <c r="H2397" s="35"/>
      <c r="P2397" s="6"/>
    </row>
    <row r="2398" spans="1:16" ht="14.4" x14ac:dyDescent="0.25">
      <c r="A2398" s="6">
        <v>6307</v>
      </c>
      <c r="B2398" s="6">
        <v>44614</v>
      </c>
      <c r="C2398" s="19">
        <v>40343</v>
      </c>
      <c r="D2398" s="6" t="s">
        <v>25</v>
      </c>
      <c r="E2398" s="6">
        <f>IF((ISBLANK($B$1)),"",Sheet1!Q2406)</f>
        <v>4300</v>
      </c>
      <c r="F2398" s="20" t="s">
        <v>26</v>
      </c>
      <c r="G2398" s="53">
        <f t="shared" si="38"/>
        <v>-0.52307078595551704</v>
      </c>
      <c r="H2398" s="35"/>
      <c r="P2398" s="6"/>
    </row>
    <row r="2399" spans="1:16" ht="14.4" x14ac:dyDescent="0.25">
      <c r="A2399" s="6">
        <v>6308</v>
      </c>
      <c r="B2399" s="6">
        <v>44614</v>
      </c>
      <c r="C2399" s="19">
        <v>40343</v>
      </c>
      <c r="D2399" s="6" t="s">
        <v>25</v>
      </c>
      <c r="E2399" s="6">
        <f>IF((ISBLANK($B$1)),"",Sheet1!Q2407)</f>
        <v>4750</v>
      </c>
      <c r="F2399" s="20" t="s">
        <v>27</v>
      </c>
      <c r="G2399" s="53">
        <f t="shared" si="38"/>
        <v>9.8358636763777513E-2</v>
      </c>
      <c r="H2399" s="35"/>
      <c r="P2399" s="6"/>
    </row>
    <row r="2400" spans="1:16" ht="14.4" x14ac:dyDescent="0.25">
      <c r="A2400" s="6">
        <v>6309</v>
      </c>
      <c r="B2400" s="6">
        <v>44615</v>
      </c>
      <c r="C2400" s="19">
        <v>40307</v>
      </c>
      <c r="D2400" s="6" t="s">
        <v>16</v>
      </c>
      <c r="E2400" s="6">
        <f>IF((ISBLANK($B$1)),"",Sheet1!Q2408)</f>
        <v>4350</v>
      </c>
      <c r="F2400" s="20" t="s">
        <v>26</v>
      </c>
      <c r="G2400" s="53">
        <f t="shared" si="38"/>
        <v>-0.45402307232003986</v>
      </c>
      <c r="H2400" s="35"/>
      <c r="P2400" s="6"/>
    </row>
    <row r="2401" spans="1:16" ht="14.4" x14ac:dyDescent="0.25">
      <c r="A2401" s="6">
        <v>6331</v>
      </c>
      <c r="B2401" s="6">
        <v>44864</v>
      </c>
      <c r="C2401" s="19">
        <v>40346</v>
      </c>
      <c r="D2401" s="6" t="s">
        <v>25</v>
      </c>
      <c r="E2401" s="6">
        <f>IF((ISBLANK($B$1)),"",Sheet1!Q2409)</f>
        <v>4650</v>
      </c>
      <c r="F2401" s="20" t="s">
        <v>26</v>
      </c>
      <c r="G2401" s="53">
        <f t="shared" si="38"/>
        <v>-3.9736790507176829E-2</v>
      </c>
      <c r="H2401" s="35"/>
      <c r="P2401" s="6"/>
    </row>
    <row r="2402" spans="1:16" ht="14.4" x14ac:dyDescent="0.25">
      <c r="A2402" s="6">
        <v>6336</v>
      </c>
      <c r="B2402" s="6">
        <v>44900</v>
      </c>
      <c r="C2402" s="19">
        <v>40218</v>
      </c>
      <c r="D2402" s="6" t="s">
        <v>16</v>
      </c>
      <c r="E2402" s="6">
        <f>IF((ISBLANK($B$1)),"",Sheet1!Q2410)</f>
        <v>3600</v>
      </c>
      <c r="F2402" s="20" t="s">
        <v>26</v>
      </c>
      <c r="G2402" s="53">
        <f t="shared" si="38"/>
        <v>-1.4897387768521975</v>
      </c>
      <c r="H2402" s="35"/>
      <c r="P2402" s="6"/>
    </row>
    <row r="2403" spans="1:16" ht="14.4" x14ac:dyDescent="0.25">
      <c r="A2403" s="6">
        <v>6340</v>
      </c>
      <c r="B2403" s="6">
        <v>44960</v>
      </c>
      <c r="C2403" s="19">
        <v>40666</v>
      </c>
      <c r="D2403" s="6" t="s">
        <v>25</v>
      </c>
      <c r="E2403" s="6">
        <f>IF((ISBLANK($B$1)),"",Sheet1!Q2411)</f>
        <v>4200</v>
      </c>
      <c r="F2403" s="20" t="s">
        <v>26</v>
      </c>
      <c r="G2403" s="53">
        <f t="shared" si="38"/>
        <v>-0.6611662132264714</v>
      </c>
      <c r="H2403" s="35"/>
      <c r="P2403" s="6"/>
    </row>
    <row r="2404" spans="1:16" ht="14.4" x14ac:dyDescent="0.25">
      <c r="A2404" s="6">
        <v>6341</v>
      </c>
      <c r="B2404" s="6">
        <v>44960</v>
      </c>
      <c r="C2404" s="19">
        <v>40666</v>
      </c>
      <c r="D2404" s="6" t="s">
        <v>25</v>
      </c>
      <c r="E2404" s="6">
        <f>IF((ISBLANK($B$1)),"",Sheet1!Q2412)</f>
        <v>4500</v>
      </c>
      <c r="F2404" s="20" t="s">
        <v>26</v>
      </c>
      <c r="G2404" s="53">
        <f t="shared" si="38"/>
        <v>-0.24687993141360834</v>
      </c>
      <c r="H2404" s="35"/>
      <c r="P2404" s="6"/>
    </row>
    <row r="2405" spans="1:16" ht="14.4" x14ac:dyDescent="0.25">
      <c r="A2405" s="6">
        <v>6342</v>
      </c>
      <c r="B2405" s="6">
        <v>44960</v>
      </c>
      <c r="C2405" s="19">
        <v>40666</v>
      </c>
      <c r="D2405" s="6" t="s">
        <v>25</v>
      </c>
      <c r="E2405" s="6">
        <f>IF((ISBLANK($B$1)),"",Sheet1!Q2413)</f>
        <v>4250</v>
      </c>
      <c r="F2405" s="20" t="s">
        <v>27</v>
      </c>
      <c r="G2405" s="53">
        <f t="shared" si="38"/>
        <v>-0.59211849959099416</v>
      </c>
      <c r="H2405" s="35"/>
      <c r="P2405" s="6"/>
    </row>
    <row r="2406" spans="1:16" ht="14.4" x14ac:dyDescent="0.25">
      <c r="A2406" s="6">
        <v>6346</v>
      </c>
      <c r="B2406" s="6">
        <v>44992</v>
      </c>
      <c r="C2406" s="19">
        <v>41267</v>
      </c>
      <c r="D2406" s="6" t="s">
        <v>30</v>
      </c>
      <c r="E2406" s="6">
        <f>IF((ISBLANK($B$1)),"",Sheet1!Q2414)</f>
        <v>5000</v>
      </c>
      <c r="F2406" s="20" t="s">
        <v>27</v>
      </c>
      <c r="G2406" s="53">
        <f t="shared" si="38"/>
        <v>0.44359720494116334</v>
      </c>
      <c r="H2406" s="35"/>
      <c r="P2406" s="6"/>
    </row>
    <row r="2407" spans="1:16" ht="14.4" x14ac:dyDescent="0.25">
      <c r="A2407" s="6">
        <v>6347</v>
      </c>
      <c r="B2407" s="6">
        <v>44992</v>
      </c>
      <c r="C2407" s="19">
        <v>41267</v>
      </c>
      <c r="D2407" s="6" t="s">
        <v>30</v>
      </c>
      <c r="E2407" s="6">
        <f>IF((ISBLANK($B$1)),"",Sheet1!Q2415)</f>
        <v>5000</v>
      </c>
      <c r="F2407" s="20" t="s">
        <v>29</v>
      </c>
      <c r="G2407" s="53">
        <f t="shared" si="38"/>
        <v>0.44359720494116334</v>
      </c>
      <c r="H2407" s="35"/>
      <c r="P2407" s="6"/>
    </row>
    <row r="2408" spans="1:16" ht="14.4" x14ac:dyDescent="0.25">
      <c r="A2408" s="6">
        <v>6359</v>
      </c>
      <c r="B2408" s="6">
        <v>45125</v>
      </c>
      <c r="C2408" s="19">
        <v>41057</v>
      </c>
      <c r="D2408" s="6" t="s">
        <v>30</v>
      </c>
      <c r="E2408" s="6">
        <f>IF((ISBLANK($B$1)),"",Sheet1!Q2416)</f>
        <v>3700</v>
      </c>
      <c r="F2408" s="20" t="s">
        <v>29</v>
      </c>
      <c r="G2408" s="53">
        <f t="shared" si="38"/>
        <v>-1.351643349581243</v>
      </c>
      <c r="H2408" s="35"/>
      <c r="P2408" s="6"/>
    </row>
    <row r="2409" spans="1:16" ht="14.4" x14ac:dyDescent="0.25">
      <c r="A2409" s="6">
        <v>6360</v>
      </c>
      <c r="B2409" s="6">
        <v>45125</v>
      </c>
      <c r="C2409" s="19">
        <v>41057</v>
      </c>
      <c r="D2409" s="6" t="s">
        <v>30</v>
      </c>
      <c r="E2409" s="6">
        <f>IF((ISBLANK($B$1)),"",Sheet1!Q2417)</f>
        <v>5000</v>
      </c>
      <c r="F2409" s="20" t="s">
        <v>27</v>
      </c>
      <c r="G2409" s="53">
        <f t="shared" si="38"/>
        <v>0.44359720494116334</v>
      </c>
      <c r="H2409" s="35"/>
      <c r="P2409" s="6"/>
    </row>
    <row r="2410" spans="1:16" ht="14.4" x14ac:dyDescent="0.25">
      <c r="A2410" s="6">
        <v>6371</v>
      </c>
      <c r="B2410" s="6">
        <v>45190</v>
      </c>
      <c r="C2410" s="19">
        <v>40501</v>
      </c>
      <c r="D2410" s="6" t="s">
        <v>17</v>
      </c>
      <c r="E2410" s="6">
        <f>IF((ISBLANK($B$1)),"",Sheet1!Q2418)</f>
        <v>4050</v>
      </c>
      <c r="F2410" s="20" t="s">
        <v>29</v>
      </c>
      <c r="G2410" s="53">
        <f t="shared" si="38"/>
        <v>-0.86830935413290289</v>
      </c>
      <c r="H2410" s="35"/>
      <c r="P2410" s="6"/>
    </row>
    <row r="2411" spans="1:16" ht="14.4" x14ac:dyDescent="0.25">
      <c r="A2411" s="6">
        <v>6401</v>
      </c>
      <c r="B2411" s="6">
        <v>45414</v>
      </c>
      <c r="C2411" s="19">
        <v>39855</v>
      </c>
      <c r="D2411" s="6" t="s">
        <v>30</v>
      </c>
      <c r="E2411" s="6">
        <f>IF((ISBLANK($B$1)),"",Sheet1!Q2419)</f>
        <v>4250</v>
      </c>
      <c r="F2411" s="20" t="s">
        <v>26</v>
      </c>
      <c r="G2411" s="53">
        <f t="shared" si="38"/>
        <v>-0.59211849959099416</v>
      </c>
      <c r="H2411" s="35"/>
      <c r="P2411" s="6"/>
    </row>
    <row r="2412" spans="1:16" ht="14.4" x14ac:dyDescent="0.25">
      <c r="A2412" s="6">
        <v>6429</v>
      </c>
      <c r="B2412" s="6">
        <v>45700</v>
      </c>
      <c r="C2412" s="19">
        <v>41226</v>
      </c>
      <c r="D2412" s="6" t="s">
        <v>17</v>
      </c>
      <c r="E2412" s="6">
        <f>IF((ISBLANK($B$1)),"",Sheet1!Q2420)</f>
        <v>5550</v>
      </c>
      <c r="F2412" s="20" t="s">
        <v>26</v>
      </c>
      <c r="G2412" s="53">
        <f t="shared" si="38"/>
        <v>1.2031220549314123</v>
      </c>
      <c r="H2412" s="35"/>
      <c r="P2412" s="6"/>
    </row>
    <row r="2413" spans="1:16" ht="14.4" x14ac:dyDescent="0.25">
      <c r="A2413" s="6">
        <v>6443</v>
      </c>
      <c r="B2413" s="6">
        <v>45824</v>
      </c>
      <c r="C2413" s="19">
        <v>40153</v>
      </c>
      <c r="D2413" s="6" t="s">
        <v>28</v>
      </c>
      <c r="E2413" s="6">
        <f>IF((ISBLANK($B$1)),"",Sheet1!Q2421)</f>
        <v>5600</v>
      </c>
      <c r="F2413" s="20" t="s">
        <v>29</v>
      </c>
      <c r="G2413" s="53">
        <f t="shared" si="38"/>
        <v>1.2721697685668893</v>
      </c>
      <c r="H2413" s="35"/>
      <c r="P2413" s="6"/>
    </row>
    <row r="2414" spans="1:16" ht="14.4" x14ac:dyDescent="0.25">
      <c r="A2414" s="6">
        <v>6461</v>
      </c>
      <c r="B2414" s="6">
        <v>45991</v>
      </c>
      <c r="C2414" s="19">
        <v>40588</v>
      </c>
      <c r="D2414" s="6" t="s">
        <v>25</v>
      </c>
      <c r="E2414" s="6">
        <f>IF((ISBLANK($B$1)),"",Sheet1!Q2422)</f>
        <v>3450</v>
      </c>
      <c r="F2414" s="20" t="s">
        <v>29</v>
      </c>
      <c r="G2414" s="53">
        <f t="shared" si="38"/>
        <v>-1.696881917758629</v>
      </c>
      <c r="H2414" s="35"/>
      <c r="P2414" s="6"/>
    </row>
    <row r="2415" spans="1:16" ht="14.4" x14ac:dyDescent="0.25">
      <c r="A2415" s="6">
        <v>6462</v>
      </c>
      <c r="B2415" s="6">
        <v>45991</v>
      </c>
      <c r="C2415" s="19">
        <v>40588</v>
      </c>
      <c r="D2415" s="6" t="s">
        <v>25</v>
      </c>
      <c r="E2415" s="6">
        <f>IF((ISBLANK($B$1)),"",Sheet1!Q2423)</f>
        <v>5900</v>
      </c>
      <c r="F2415" s="20" t="s">
        <v>26</v>
      </c>
      <c r="G2415" s="53">
        <f t="shared" si="38"/>
        <v>1.6864560503797523</v>
      </c>
      <c r="H2415" s="35"/>
      <c r="P2415" s="6"/>
    </row>
    <row r="2416" spans="1:16" ht="14.4" x14ac:dyDescent="0.25">
      <c r="A2416" s="6">
        <v>6502</v>
      </c>
      <c r="B2416" s="6">
        <v>46307</v>
      </c>
      <c r="C2416" s="19">
        <v>40580</v>
      </c>
      <c r="D2416" s="6" t="s">
        <v>16</v>
      </c>
      <c r="E2416" s="6">
        <f>IF((ISBLANK($B$1)),"",Sheet1!Q2424)</f>
        <v>5000</v>
      </c>
      <c r="F2416" s="20" t="s">
        <v>26</v>
      </c>
      <c r="G2416" s="53">
        <f t="shared" si="38"/>
        <v>0.44359720494116334</v>
      </c>
      <c r="H2416" s="35"/>
      <c r="P2416" s="6"/>
    </row>
    <row r="2417" spans="1:16" ht="14.4" x14ac:dyDescent="0.25">
      <c r="A2417" s="6">
        <v>6503</v>
      </c>
      <c r="B2417" s="6">
        <v>46307</v>
      </c>
      <c r="C2417" s="19">
        <v>40580</v>
      </c>
      <c r="D2417" s="6" t="s">
        <v>16</v>
      </c>
      <c r="E2417" s="6">
        <f>IF((ISBLANK($B$1)),"",Sheet1!Q2425)</f>
        <v>4750</v>
      </c>
      <c r="F2417" s="20" t="s">
        <v>26</v>
      </c>
      <c r="G2417" s="53">
        <f t="shared" si="38"/>
        <v>9.8358636763777513E-2</v>
      </c>
      <c r="H2417" s="35"/>
      <c r="P2417" s="6"/>
    </row>
    <row r="2418" spans="1:16" ht="14.4" x14ac:dyDescent="0.25">
      <c r="A2418" s="6">
        <v>6524</v>
      </c>
      <c r="B2418" s="6">
        <v>46434</v>
      </c>
      <c r="C2418" s="19">
        <v>40269</v>
      </c>
      <c r="D2418" s="6" t="s">
        <v>30</v>
      </c>
      <c r="E2418" s="6">
        <f>IF((ISBLANK($B$1)),"",Sheet1!Q2426)</f>
        <v>5100</v>
      </c>
      <c r="F2418" s="20" t="s">
        <v>26</v>
      </c>
      <c r="G2418" s="53">
        <f t="shared" si="38"/>
        <v>0.58169263221211776</v>
      </c>
      <c r="H2418" s="35"/>
      <c r="P2418" s="6"/>
    </row>
    <row r="2419" spans="1:16" ht="14.4" x14ac:dyDescent="0.25">
      <c r="A2419" s="6">
        <v>6527</v>
      </c>
      <c r="B2419" s="6">
        <v>46466</v>
      </c>
      <c r="C2419" s="19">
        <v>40960</v>
      </c>
      <c r="D2419" s="6" t="s">
        <v>16</v>
      </c>
      <c r="E2419" s="6">
        <f>IF((ISBLANK($B$1)),"",Sheet1!Q2427)</f>
        <v>3750</v>
      </c>
      <c r="F2419" s="20" t="s">
        <v>29</v>
      </c>
      <c r="G2419" s="53">
        <f t="shared" si="38"/>
        <v>-1.282595635945766</v>
      </c>
      <c r="H2419" s="35"/>
      <c r="P2419" s="6"/>
    </row>
    <row r="2420" spans="1:16" ht="14.4" x14ac:dyDescent="0.25">
      <c r="A2420" s="6">
        <v>6538</v>
      </c>
      <c r="B2420" s="6">
        <v>46528</v>
      </c>
      <c r="C2420" s="19">
        <v>40153</v>
      </c>
      <c r="D2420" s="6" t="s">
        <v>16</v>
      </c>
      <c r="E2420" s="6">
        <f>IF((ISBLANK($B$1)),"",Sheet1!Q2428)</f>
        <v>5550</v>
      </c>
      <c r="F2420" s="20" t="s">
        <v>29</v>
      </c>
      <c r="G2420" s="53">
        <f t="shared" si="38"/>
        <v>1.2031220549314123</v>
      </c>
      <c r="H2420" s="35"/>
      <c r="P2420" s="6"/>
    </row>
    <row r="2421" spans="1:16" ht="14.4" x14ac:dyDescent="0.25">
      <c r="A2421" s="6">
        <v>6539</v>
      </c>
      <c r="B2421" s="6">
        <v>46528</v>
      </c>
      <c r="C2421" s="19">
        <v>40153</v>
      </c>
      <c r="D2421" s="6" t="s">
        <v>16</v>
      </c>
      <c r="E2421" s="6">
        <f>IF((ISBLANK($B$1)),"",Sheet1!Q2429)</f>
        <v>4550</v>
      </c>
      <c r="F2421" s="20" t="s">
        <v>26</v>
      </c>
      <c r="G2421" s="53">
        <f t="shared" si="38"/>
        <v>-0.17783221777813119</v>
      </c>
      <c r="H2421" s="35"/>
      <c r="P2421" s="6"/>
    </row>
    <row r="2422" spans="1:16" ht="14.4" x14ac:dyDescent="0.25">
      <c r="A2422" s="6">
        <v>6558</v>
      </c>
      <c r="B2422" s="6">
        <v>46626</v>
      </c>
      <c r="C2422" s="19">
        <v>41087</v>
      </c>
      <c r="D2422" s="6" t="s">
        <v>25</v>
      </c>
      <c r="E2422" s="6">
        <f>IF((ISBLANK($B$1)),"",Sheet1!Q2430)</f>
        <v>3800</v>
      </c>
      <c r="F2422" s="20" t="s">
        <v>29</v>
      </c>
      <c r="G2422" s="53">
        <f t="shared" si="38"/>
        <v>-1.2135479223102887</v>
      </c>
      <c r="H2422" s="35"/>
      <c r="P2422" s="6"/>
    </row>
    <row r="2423" spans="1:16" ht="14.4" x14ac:dyDescent="0.25">
      <c r="A2423" s="6">
        <v>6581</v>
      </c>
      <c r="B2423" s="6">
        <v>46853</v>
      </c>
      <c r="C2423" s="19">
        <v>39955</v>
      </c>
      <c r="D2423" s="6" t="s">
        <v>25</v>
      </c>
      <c r="E2423" s="6">
        <f>IF((ISBLANK($B$1)),"",Sheet1!Q2431)</f>
        <v>4500</v>
      </c>
      <c r="F2423" s="20" t="s">
        <v>27</v>
      </c>
      <c r="G2423" s="53">
        <f t="shared" si="38"/>
        <v>-0.24687993141360834</v>
      </c>
      <c r="H2423" s="35"/>
      <c r="P2423" s="6"/>
    </row>
    <row r="2424" spans="1:16" ht="14.4" x14ac:dyDescent="0.25">
      <c r="A2424" s="6">
        <v>6582</v>
      </c>
      <c r="B2424" s="6">
        <v>46855</v>
      </c>
      <c r="C2424" s="19">
        <v>40242</v>
      </c>
      <c r="D2424" s="6" t="s">
        <v>17</v>
      </c>
      <c r="E2424" s="6">
        <f>IF((ISBLANK($B$1)),"",Sheet1!Q2432)</f>
        <v>5000</v>
      </c>
      <c r="F2424" s="20" t="s">
        <v>29</v>
      </c>
      <c r="G2424" s="53">
        <f t="shared" si="38"/>
        <v>0.44359720494116334</v>
      </c>
      <c r="H2424" s="35"/>
      <c r="P2424" s="6"/>
    </row>
    <row r="2425" spans="1:16" ht="14.4" x14ac:dyDescent="0.25">
      <c r="A2425" s="6">
        <v>6595</v>
      </c>
      <c r="B2425" s="6">
        <v>46919</v>
      </c>
      <c r="C2425" s="19">
        <v>39982</v>
      </c>
      <c r="D2425" s="6" t="s">
        <v>25</v>
      </c>
      <c r="E2425" s="6">
        <f>IF((ISBLANK($B$1)),"",Sheet1!Q2433)</f>
        <v>4950</v>
      </c>
      <c r="F2425" s="20" t="s">
        <v>27</v>
      </c>
      <c r="G2425" s="53">
        <f t="shared" si="38"/>
        <v>0.37454949130568621</v>
      </c>
      <c r="H2425" s="35"/>
      <c r="P2425" s="6"/>
    </row>
    <row r="2426" spans="1:16" ht="14.4" x14ac:dyDescent="0.25">
      <c r="A2426" s="6">
        <v>6599</v>
      </c>
      <c r="B2426" s="6">
        <v>46977</v>
      </c>
      <c r="C2426" s="19">
        <v>41036</v>
      </c>
      <c r="D2426" s="6" t="s">
        <v>16</v>
      </c>
      <c r="E2426" s="6">
        <f>IF((ISBLANK($B$1)),"",Sheet1!Q2434)</f>
        <v>3900</v>
      </c>
      <c r="F2426" s="20" t="s">
        <v>26</v>
      </c>
      <c r="G2426" s="53">
        <f t="shared" si="38"/>
        <v>-1.0754524950393345</v>
      </c>
      <c r="H2426" s="35"/>
      <c r="P2426" s="6"/>
    </row>
    <row r="2427" spans="1:16" ht="14.4" x14ac:dyDescent="0.25">
      <c r="A2427" s="6">
        <v>6600</v>
      </c>
      <c r="B2427" s="6">
        <v>46977</v>
      </c>
      <c r="C2427" s="19">
        <v>41036</v>
      </c>
      <c r="D2427" s="6" t="s">
        <v>16</v>
      </c>
      <c r="E2427" s="6">
        <f>IF((ISBLANK($B$1)),"",Sheet1!Q2435)</f>
        <v>4350</v>
      </c>
      <c r="F2427" s="20" t="s">
        <v>27</v>
      </c>
      <c r="G2427" s="53">
        <f t="shared" si="38"/>
        <v>-0.45402307232003986</v>
      </c>
      <c r="H2427" s="35"/>
      <c r="P2427" s="6"/>
    </row>
    <row r="2428" spans="1:16" ht="14.4" x14ac:dyDescent="0.25">
      <c r="A2428" s="6">
        <v>6612</v>
      </c>
      <c r="B2428" s="6">
        <v>47041</v>
      </c>
      <c r="C2428" s="19">
        <v>41000</v>
      </c>
      <c r="D2428" s="6" t="s">
        <v>28</v>
      </c>
      <c r="E2428" s="6">
        <f>IF((ISBLANK($B$1)),"",Sheet1!Q2436)</f>
        <v>5150</v>
      </c>
      <c r="F2428" s="20" t="s">
        <v>26</v>
      </c>
      <c r="G2428" s="53">
        <f t="shared" si="38"/>
        <v>0.65074034584759488</v>
      </c>
      <c r="H2428" s="35"/>
      <c r="P2428" s="6"/>
    </row>
    <row r="2429" spans="1:16" ht="14.4" x14ac:dyDescent="0.25">
      <c r="A2429" s="6">
        <v>6650</v>
      </c>
      <c r="B2429" s="6">
        <v>47301</v>
      </c>
      <c r="C2429" s="19">
        <v>40741</v>
      </c>
      <c r="D2429" s="6" t="s">
        <v>25</v>
      </c>
      <c r="E2429" s="6">
        <f>IF((ISBLANK($B$1)),"",Sheet1!Q2437)</f>
        <v>3700</v>
      </c>
      <c r="F2429" s="20" t="s">
        <v>26</v>
      </c>
      <c r="G2429" s="53">
        <f t="shared" si="38"/>
        <v>-1.351643349581243</v>
      </c>
      <c r="H2429" s="35"/>
      <c r="P2429" s="6"/>
    </row>
    <row r="2430" spans="1:16" ht="14.4" x14ac:dyDescent="0.25">
      <c r="A2430" s="6">
        <v>6701</v>
      </c>
      <c r="B2430" s="6">
        <v>47714</v>
      </c>
      <c r="C2430" s="19">
        <v>40612</v>
      </c>
      <c r="D2430" s="6" t="s">
        <v>16</v>
      </c>
      <c r="E2430" s="6">
        <f>IF((ISBLANK($B$1)),"",Sheet1!Q2438)</f>
        <v>4850</v>
      </c>
      <c r="F2430" s="20" t="s">
        <v>29</v>
      </c>
      <c r="G2430" s="53">
        <f t="shared" si="38"/>
        <v>0.23645406403473185</v>
      </c>
      <c r="H2430" s="35"/>
      <c r="P2430" s="6"/>
    </row>
    <row r="2431" spans="1:16" ht="14.4" x14ac:dyDescent="0.25">
      <c r="A2431" s="6">
        <v>6742</v>
      </c>
      <c r="B2431" s="6">
        <v>48003</v>
      </c>
      <c r="C2431" s="19">
        <v>40934</v>
      </c>
      <c r="D2431" s="6" t="s">
        <v>16</v>
      </c>
      <c r="E2431" s="6">
        <f>IF((ISBLANK($B$1)),"",Sheet1!Q2439)</f>
        <v>4900</v>
      </c>
      <c r="F2431" s="20" t="s">
        <v>27</v>
      </c>
      <c r="G2431" s="53">
        <f t="shared" si="38"/>
        <v>0.30550177767020903</v>
      </c>
      <c r="H2431" s="35"/>
      <c r="P2431" s="6"/>
    </row>
    <row r="2432" spans="1:16" ht="14.4" x14ac:dyDescent="0.25">
      <c r="A2432" s="6">
        <v>6743</v>
      </c>
      <c r="B2432" s="6">
        <v>48003</v>
      </c>
      <c r="C2432" s="19">
        <v>40934</v>
      </c>
      <c r="D2432" s="6" t="s">
        <v>16</v>
      </c>
      <c r="E2432" s="6">
        <f>IF((ISBLANK($B$1)),"",Sheet1!Q2440)</f>
        <v>4000</v>
      </c>
      <c r="F2432" s="20" t="s">
        <v>29</v>
      </c>
      <c r="G2432" s="53">
        <f t="shared" si="38"/>
        <v>-0.93735706776838001</v>
      </c>
      <c r="H2432" s="35"/>
      <c r="P2432" s="6"/>
    </row>
    <row r="2433" spans="1:16" ht="14.4" x14ac:dyDescent="0.25">
      <c r="A2433" s="6">
        <v>6766</v>
      </c>
      <c r="B2433" s="6">
        <v>48195</v>
      </c>
      <c r="C2433" s="19">
        <v>40509</v>
      </c>
      <c r="D2433" s="6" t="s">
        <v>28</v>
      </c>
      <c r="E2433" s="6">
        <f>IF((ISBLANK($B$1)),"",Sheet1!Q2441)</f>
        <v>5150</v>
      </c>
      <c r="F2433" s="20" t="s">
        <v>27</v>
      </c>
      <c r="G2433" s="53">
        <f t="shared" si="38"/>
        <v>0.65074034584759488</v>
      </c>
      <c r="H2433" s="35"/>
      <c r="P2433" s="6"/>
    </row>
    <row r="2434" spans="1:16" ht="14.4" x14ac:dyDescent="0.25">
      <c r="A2434" s="6">
        <v>6767</v>
      </c>
      <c r="B2434" s="6">
        <v>48195</v>
      </c>
      <c r="C2434" s="19">
        <v>40509</v>
      </c>
      <c r="D2434" s="6" t="s">
        <v>28</v>
      </c>
      <c r="E2434" s="6">
        <f>IF((ISBLANK($B$1)),"",Sheet1!Q2442)</f>
        <v>5150</v>
      </c>
      <c r="F2434" s="20" t="s">
        <v>27</v>
      </c>
      <c r="G2434" s="53">
        <f t="shared" si="38"/>
        <v>0.65074034584759488</v>
      </c>
      <c r="H2434" s="35"/>
      <c r="P2434" s="6"/>
    </row>
    <row r="2435" spans="1:16" ht="14.4" x14ac:dyDescent="0.25">
      <c r="A2435" s="6">
        <v>6768</v>
      </c>
      <c r="B2435" s="6">
        <v>48195</v>
      </c>
      <c r="C2435" s="19">
        <v>40509</v>
      </c>
      <c r="D2435" s="6" t="s">
        <v>28</v>
      </c>
      <c r="E2435" s="6">
        <f>IF((ISBLANK($B$1)),"",Sheet1!Q2443)</f>
        <v>5750</v>
      </c>
      <c r="F2435" s="20" t="s">
        <v>27</v>
      </c>
      <c r="G2435" s="53">
        <f t="shared" si="38"/>
        <v>1.4793129094733208</v>
      </c>
      <c r="H2435" s="35"/>
      <c r="P2435" s="6"/>
    </row>
    <row r="2436" spans="1:16" ht="14.4" x14ac:dyDescent="0.25">
      <c r="A2436" s="6">
        <v>6789</v>
      </c>
      <c r="B2436" s="6">
        <v>48357</v>
      </c>
      <c r="C2436" s="19">
        <v>39900</v>
      </c>
      <c r="D2436" s="6" t="s">
        <v>28</v>
      </c>
      <c r="E2436" s="6">
        <f>IF((ISBLANK($B$1)),"",Sheet1!Q2444)</f>
        <v>4200</v>
      </c>
      <c r="F2436" s="20" t="s">
        <v>27</v>
      </c>
      <c r="G2436" s="53">
        <f t="shared" si="38"/>
        <v>-0.6611662132264714</v>
      </c>
      <c r="H2436" s="35"/>
      <c r="P2436" s="6"/>
    </row>
    <row r="2437" spans="1:16" ht="14.4" x14ac:dyDescent="0.25">
      <c r="A2437" s="6">
        <v>6826</v>
      </c>
      <c r="B2437" s="6">
        <v>48615</v>
      </c>
      <c r="C2437" s="19">
        <v>41246</v>
      </c>
      <c r="D2437" s="6" t="s">
        <v>25</v>
      </c>
      <c r="E2437" s="6">
        <f>IF((ISBLANK($B$1)),"",Sheet1!Q2445)</f>
        <v>3600</v>
      </c>
      <c r="F2437" s="20" t="s">
        <v>26</v>
      </c>
      <c r="G2437" s="53">
        <f t="shared" si="38"/>
        <v>-1.4897387768521975</v>
      </c>
      <c r="H2437" s="35"/>
      <c r="P2437" s="6"/>
    </row>
    <row r="2438" spans="1:16" ht="14.4" x14ac:dyDescent="0.25">
      <c r="A2438" s="6">
        <v>6827</v>
      </c>
      <c r="B2438" s="6">
        <v>48615</v>
      </c>
      <c r="C2438" s="19">
        <v>41246</v>
      </c>
      <c r="D2438" s="6" t="s">
        <v>25</v>
      </c>
      <c r="E2438" s="6">
        <f>IF((ISBLANK($B$1)),"",Sheet1!Q2446)</f>
        <v>3800</v>
      </c>
      <c r="F2438" s="20" t="s">
        <v>29</v>
      </c>
      <c r="G2438" s="53">
        <f t="shared" si="38"/>
        <v>-1.2135479223102887</v>
      </c>
      <c r="H2438" s="35"/>
      <c r="P2438" s="6"/>
    </row>
    <row r="2439" spans="1:16" ht="14.4" x14ac:dyDescent="0.25">
      <c r="A2439" s="6">
        <v>6831</v>
      </c>
      <c r="B2439" s="6">
        <v>48642</v>
      </c>
      <c r="C2439" s="19">
        <v>40210</v>
      </c>
      <c r="D2439" s="6" t="s">
        <v>17</v>
      </c>
      <c r="E2439" s="6">
        <f>IF((ISBLANK($B$1)),"",Sheet1!Q2447)</f>
        <v>3600</v>
      </c>
      <c r="F2439" s="20" t="s">
        <v>26</v>
      </c>
      <c r="G2439" s="53">
        <f t="shared" si="38"/>
        <v>-1.4897387768521975</v>
      </c>
      <c r="H2439" s="35"/>
      <c r="P2439" s="6"/>
    </row>
    <row r="2440" spans="1:16" ht="14.4" x14ac:dyDescent="0.25">
      <c r="A2440" s="6">
        <v>6832</v>
      </c>
      <c r="B2440" s="6">
        <v>48642</v>
      </c>
      <c r="C2440" s="19">
        <v>40210</v>
      </c>
      <c r="D2440" s="6" t="s">
        <v>17</v>
      </c>
      <c r="E2440" s="6">
        <f>IF((ISBLANK($B$1)),"",Sheet1!Q2448)</f>
        <v>3650</v>
      </c>
      <c r="F2440" s="20" t="s">
        <v>27</v>
      </c>
      <c r="G2440" s="53">
        <f t="shared" ref="G2440:G2503" si="39">STANDARDIZE(E2440,$L$26,$L$35)</f>
        <v>-1.4206910632167202</v>
      </c>
      <c r="H2440" s="35"/>
      <c r="P2440" s="6"/>
    </row>
    <row r="2441" spans="1:16" ht="14.4" x14ac:dyDescent="0.25">
      <c r="A2441" s="6">
        <v>6842</v>
      </c>
      <c r="B2441" s="6">
        <v>48710</v>
      </c>
      <c r="C2441" s="19">
        <v>40142</v>
      </c>
      <c r="D2441" s="6" t="s">
        <v>16</v>
      </c>
      <c r="E2441" s="6">
        <f>IF((ISBLANK($B$1)),"",Sheet1!Q2449)</f>
        <v>3600</v>
      </c>
      <c r="F2441" s="20" t="s">
        <v>26</v>
      </c>
      <c r="G2441" s="53">
        <f t="shared" si="39"/>
        <v>-1.4897387768521975</v>
      </c>
      <c r="H2441" s="35"/>
      <c r="P2441" s="6"/>
    </row>
    <row r="2442" spans="1:16" ht="14.4" x14ac:dyDescent="0.25">
      <c r="A2442" s="6">
        <v>6888</v>
      </c>
      <c r="B2442" s="6">
        <v>49094</v>
      </c>
      <c r="C2442" s="19">
        <v>41155</v>
      </c>
      <c r="D2442" s="6" t="s">
        <v>30</v>
      </c>
      <c r="E2442" s="6">
        <f>IF((ISBLANK($B$1)),"",Sheet1!Q2450)</f>
        <v>4950</v>
      </c>
      <c r="F2442" s="20" t="s">
        <v>27</v>
      </c>
      <c r="G2442" s="53">
        <f t="shared" si="39"/>
        <v>0.37454949130568621</v>
      </c>
      <c r="H2442" s="35"/>
      <c r="P2442" s="6"/>
    </row>
    <row r="2443" spans="1:16" ht="14.4" x14ac:dyDescent="0.25">
      <c r="A2443" s="6">
        <v>6891</v>
      </c>
      <c r="B2443" s="6">
        <v>49125</v>
      </c>
      <c r="C2443" s="19">
        <v>39901</v>
      </c>
      <c r="D2443" s="6" t="s">
        <v>28</v>
      </c>
      <c r="E2443" s="6">
        <f>IF((ISBLANK($B$1)),"",Sheet1!Q2451)</f>
        <v>4850</v>
      </c>
      <c r="F2443" s="20" t="s">
        <v>26</v>
      </c>
      <c r="G2443" s="53">
        <f t="shared" si="39"/>
        <v>0.23645406403473185</v>
      </c>
      <c r="H2443" s="35"/>
      <c r="P2443" s="6"/>
    </row>
    <row r="2444" spans="1:16" ht="14.4" x14ac:dyDescent="0.25">
      <c r="A2444" s="6">
        <v>6898</v>
      </c>
      <c r="B2444" s="6">
        <v>49216</v>
      </c>
      <c r="C2444" s="19">
        <v>39891</v>
      </c>
      <c r="D2444" s="6" t="s">
        <v>17</v>
      </c>
      <c r="E2444" s="6">
        <f>IF((ISBLANK($B$1)),"",Sheet1!Q2452)</f>
        <v>4800</v>
      </c>
      <c r="F2444" s="20" t="s">
        <v>26</v>
      </c>
      <c r="G2444" s="53">
        <f t="shared" si="39"/>
        <v>0.16740635039925467</v>
      </c>
      <c r="H2444" s="35"/>
      <c r="P2444" s="6"/>
    </row>
    <row r="2445" spans="1:16" ht="14.4" x14ac:dyDescent="0.25">
      <c r="A2445" s="6">
        <v>6940</v>
      </c>
      <c r="B2445" s="6">
        <v>49538</v>
      </c>
      <c r="C2445" s="19">
        <v>40254</v>
      </c>
      <c r="D2445" s="6" t="s">
        <v>25</v>
      </c>
      <c r="E2445" s="6">
        <f>IF((ISBLANK($B$1)),"",Sheet1!Q2453)</f>
        <v>4850</v>
      </c>
      <c r="F2445" s="20" t="s">
        <v>29</v>
      </c>
      <c r="G2445" s="53">
        <f t="shared" si="39"/>
        <v>0.23645406403473185</v>
      </c>
      <c r="H2445" s="35"/>
      <c r="P2445" s="6"/>
    </row>
    <row r="2446" spans="1:16" ht="14.4" x14ac:dyDescent="0.25">
      <c r="A2446" s="6">
        <v>6953</v>
      </c>
      <c r="B2446" s="6">
        <v>49730</v>
      </c>
      <c r="C2446" s="19">
        <v>39817</v>
      </c>
      <c r="D2446" s="6" t="s">
        <v>17</v>
      </c>
      <c r="E2446" s="6">
        <f>IF((ISBLANK($B$1)),"",Sheet1!Q2454)</f>
        <v>3550</v>
      </c>
      <c r="F2446" s="20" t="s">
        <v>29</v>
      </c>
      <c r="G2446" s="53">
        <f t="shared" si="39"/>
        <v>-1.5587864904876745</v>
      </c>
      <c r="H2446" s="35"/>
      <c r="P2446" s="6"/>
    </row>
    <row r="2447" spans="1:16" ht="14.4" x14ac:dyDescent="0.25">
      <c r="A2447" s="6">
        <v>6985</v>
      </c>
      <c r="B2447" s="6">
        <v>49924</v>
      </c>
      <c r="C2447" s="19">
        <v>40688</v>
      </c>
      <c r="D2447" s="6" t="s">
        <v>30</v>
      </c>
      <c r="E2447" s="6">
        <f>IF((ISBLANK($B$1)),"",Sheet1!Q2455)</f>
        <v>5800</v>
      </c>
      <c r="F2447" s="20" t="s">
        <v>26</v>
      </c>
      <c r="G2447" s="53">
        <f t="shared" si="39"/>
        <v>1.5483606231087981</v>
      </c>
      <c r="H2447" s="35"/>
      <c r="P2447" s="6"/>
    </row>
    <row r="2448" spans="1:16" ht="14.4" x14ac:dyDescent="0.25">
      <c r="A2448" s="6">
        <v>6986</v>
      </c>
      <c r="B2448" s="6">
        <v>49924</v>
      </c>
      <c r="C2448" s="19">
        <v>40688</v>
      </c>
      <c r="D2448" s="6" t="s">
        <v>30</v>
      </c>
      <c r="E2448" s="6">
        <f>IF((ISBLANK($B$1)),"",Sheet1!Q2456)</f>
        <v>4050</v>
      </c>
      <c r="F2448" s="20" t="s">
        <v>29</v>
      </c>
      <c r="G2448" s="53">
        <f t="shared" si="39"/>
        <v>-0.86830935413290289</v>
      </c>
      <c r="H2448" s="35"/>
      <c r="P2448" s="6"/>
    </row>
    <row r="2449" spans="1:16" ht="14.4" x14ac:dyDescent="0.25">
      <c r="A2449" s="6">
        <v>7046</v>
      </c>
      <c r="B2449" s="6">
        <v>50306</v>
      </c>
      <c r="C2449" s="19">
        <v>40683</v>
      </c>
      <c r="D2449" s="6" t="s">
        <v>16</v>
      </c>
      <c r="E2449" s="6">
        <f>IF((ISBLANK($B$1)),"",Sheet1!Q2457)</f>
        <v>5100</v>
      </c>
      <c r="F2449" s="20" t="s">
        <v>26</v>
      </c>
      <c r="G2449" s="53">
        <f t="shared" si="39"/>
        <v>0.58169263221211776</v>
      </c>
      <c r="H2449" s="35"/>
      <c r="P2449" s="6"/>
    </row>
    <row r="2450" spans="1:16" ht="14.4" x14ac:dyDescent="0.25">
      <c r="A2450" s="6">
        <v>7088</v>
      </c>
      <c r="B2450" s="6">
        <v>50566</v>
      </c>
      <c r="C2450" s="19">
        <v>40793</v>
      </c>
      <c r="D2450" s="6" t="s">
        <v>28</v>
      </c>
      <c r="E2450" s="6">
        <f>IF((ISBLANK($B$1)),"",Sheet1!Q2458)</f>
        <v>5800</v>
      </c>
      <c r="F2450" s="20" t="s">
        <v>26</v>
      </c>
      <c r="G2450" s="53">
        <f t="shared" si="39"/>
        <v>1.5483606231087981</v>
      </c>
      <c r="H2450" s="35"/>
      <c r="P2450" s="6"/>
    </row>
    <row r="2451" spans="1:16" ht="14.4" x14ac:dyDescent="0.25">
      <c r="A2451" s="6">
        <v>7126</v>
      </c>
      <c r="B2451" s="6">
        <v>50823</v>
      </c>
      <c r="C2451" s="19">
        <v>40015</v>
      </c>
      <c r="D2451" s="6" t="s">
        <v>25</v>
      </c>
      <c r="E2451" s="6">
        <f>IF((ISBLANK($B$1)),"",Sheet1!Q2459)</f>
        <v>4000</v>
      </c>
      <c r="F2451" s="20" t="s">
        <v>27</v>
      </c>
      <c r="G2451" s="53">
        <f t="shared" si="39"/>
        <v>-0.93735706776838001</v>
      </c>
      <c r="H2451" s="35"/>
      <c r="P2451" s="6"/>
    </row>
    <row r="2452" spans="1:16" ht="14.4" x14ac:dyDescent="0.25">
      <c r="A2452" s="6">
        <v>7131</v>
      </c>
      <c r="B2452" s="6">
        <v>50854</v>
      </c>
      <c r="C2452" s="19">
        <v>40894</v>
      </c>
      <c r="D2452" s="6" t="s">
        <v>30</v>
      </c>
      <c r="E2452" s="6">
        <f>IF((ISBLANK($B$1)),"",Sheet1!Q2460)</f>
        <v>4750</v>
      </c>
      <c r="F2452" s="20" t="s">
        <v>26</v>
      </c>
      <c r="G2452" s="53">
        <f t="shared" si="39"/>
        <v>9.8358636763777513E-2</v>
      </c>
      <c r="H2452" s="35"/>
      <c r="P2452" s="6"/>
    </row>
    <row r="2453" spans="1:16" ht="14.4" x14ac:dyDescent="0.25">
      <c r="A2453" s="6">
        <v>7132</v>
      </c>
      <c r="B2453" s="6">
        <v>50854</v>
      </c>
      <c r="C2453" s="19">
        <v>40894</v>
      </c>
      <c r="D2453" s="6" t="s">
        <v>30</v>
      </c>
      <c r="E2453" s="6">
        <f>IF((ISBLANK($B$1)),"",Sheet1!Q2461)</f>
        <v>4000</v>
      </c>
      <c r="F2453" s="20" t="s">
        <v>27</v>
      </c>
      <c r="G2453" s="53">
        <f t="shared" si="39"/>
        <v>-0.93735706776838001</v>
      </c>
      <c r="H2453" s="35"/>
      <c r="P2453" s="6"/>
    </row>
    <row r="2454" spans="1:16" ht="14.4" x14ac:dyDescent="0.25">
      <c r="A2454" s="6">
        <v>7133</v>
      </c>
      <c r="B2454" s="6">
        <v>50854</v>
      </c>
      <c r="C2454" s="19">
        <v>40894</v>
      </c>
      <c r="D2454" s="6" t="s">
        <v>30</v>
      </c>
      <c r="E2454" s="6">
        <f>IF((ISBLANK($B$1)),"",Sheet1!Q2462)</f>
        <v>5500</v>
      </c>
      <c r="F2454" s="20" t="s">
        <v>26</v>
      </c>
      <c r="G2454" s="53">
        <f t="shared" si="39"/>
        <v>1.1340743412959351</v>
      </c>
      <c r="H2454" s="35"/>
      <c r="P2454" s="6"/>
    </row>
    <row r="2455" spans="1:16" ht="14.4" x14ac:dyDescent="0.25">
      <c r="A2455" s="6">
        <v>7163</v>
      </c>
      <c r="B2455" s="6">
        <v>51109</v>
      </c>
      <c r="C2455" s="19">
        <v>41221</v>
      </c>
      <c r="D2455" s="6" t="s">
        <v>17</v>
      </c>
      <c r="E2455" s="6">
        <f>IF((ISBLANK($B$1)),"",Sheet1!Q2463)</f>
        <v>4800</v>
      </c>
      <c r="F2455" s="20" t="s">
        <v>26</v>
      </c>
      <c r="G2455" s="53">
        <f t="shared" si="39"/>
        <v>0.16740635039925467</v>
      </c>
      <c r="H2455" s="35"/>
      <c r="P2455" s="6"/>
    </row>
    <row r="2456" spans="1:16" ht="14.4" x14ac:dyDescent="0.25">
      <c r="A2456" s="6">
        <v>7204</v>
      </c>
      <c r="B2456" s="6">
        <v>51395</v>
      </c>
      <c r="C2456" s="19">
        <v>40338</v>
      </c>
      <c r="D2456" s="6" t="s">
        <v>25</v>
      </c>
      <c r="E2456" s="6">
        <f>IF((ISBLANK($B$1)),"",Sheet1!Q2464)</f>
        <v>4700</v>
      </c>
      <c r="F2456" s="20" t="s">
        <v>26</v>
      </c>
      <c r="G2456" s="53">
        <f t="shared" si="39"/>
        <v>2.9310923128300338E-2</v>
      </c>
      <c r="H2456" s="35"/>
      <c r="P2456" s="6"/>
    </row>
    <row r="2457" spans="1:16" ht="14.4" x14ac:dyDescent="0.25">
      <c r="A2457" s="6">
        <v>7205</v>
      </c>
      <c r="B2457" s="6">
        <v>51395</v>
      </c>
      <c r="C2457" s="19">
        <v>40338</v>
      </c>
      <c r="D2457" s="6" t="s">
        <v>25</v>
      </c>
      <c r="E2457" s="6">
        <f>IF((ISBLANK($B$1)),"",Sheet1!Q2465)</f>
        <v>3900</v>
      </c>
      <c r="F2457" s="20" t="s">
        <v>26</v>
      </c>
      <c r="G2457" s="53">
        <f t="shared" si="39"/>
        <v>-1.0754524950393345</v>
      </c>
      <c r="H2457" s="35"/>
      <c r="P2457" s="6"/>
    </row>
    <row r="2458" spans="1:16" ht="14.4" x14ac:dyDescent="0.25">
      <c r="A2458" s="6">
        <v>7234</v>
      </c>
      <c r="B2458" s="6">
        <v>51559</v>
      </c>
      <c r="C2458" s="19">
        <v>40972</v>
      </c>
      <c r="D2458" s="6" t="s">
        <v>25</v>
      </c>
      <c r="E2458" s="6">
        <f>IF((ISBLANK($B$1)),"",Sheet1!Q2466)</f>
        <v>5100</v>
      </c>
      <c r="F2458" s="20" t="s">
        <v>26</v>
      </c>
      <c r="G2458" s="53">
        <f t="shared" si="39"/>
        <v>0.58169263221211776</v>
      </c>
      <c r="H2458" s="35"/>
      <c r="P2458" s="6"/>
    </row>
    <row r="2459" spans="1:16" ht="14.4" x14ac:dyDescent="0.25">
      <c r="A2459" s="6">
        <v>7262</v>
      </c>
      <c r="B2459" s="6">
        <v>51813</v>
      </c>
      <c r="C2459" s="19">
        <v>41264</v>
      </c>
      <c r="D2459" s="6" t="s">
        <v>28</v>
      </c>
      <c r="E2459" s="6">
        <f>IF((ISBLANK($B$1)),"",Sheet1!Q2467)</f>
        <v>4050</v>
      </c>
      <c r="F2459" s="20" t="s">
        <v>26</v>
      </c>
      <c r="G2459" s="53">
        <f t="shared" si="39"/>
        <v>-0.86830935413290289</v>
      </c>
      <c r="H2459" s="35"/>
      <c r="P2459" s="6"/>
    </row>
    <row r="2460" spans="1:16" ht="14.4" x14ac:dyDescent="0.25">
      <c r="A2460" s="6">
        <v>7276</v>
      </c>
      <c r="B2460" s="6">
        <v>51937</v>
      </c>
      <c r="C2460" s="19">
        <v>39871</v>
      </c>
      <c r="D2460" s="6" t="s">
        <v>17</v>
      </c>
      <c r="E2460" s="6">
        <f>IF((ISBLANK($B$1)),"",Sheet1!Q2468)</f>
        <v>5350</v>
      </c>
      <c r="F2460" s="20" t="s">
        <v>26</v>
      </c>
      <c r="G2460" s="53">
        <f t="shared" si="39"/>
        <v>0.92693120038950361</v>
      </c>
      <c r="H2460" s="35"/>
      <c r="P2460" s="6"/>
    </row>
    <row r="2461" spans="1:16" ht="14.4" x14ac:dyDescent="0.25">
      <c r="A2461" s="6">
        <v>7307</v>
      </c>
      <c r="B2461" s="6">
        <v>52098</v>
      </c>
      <c r="C2461" s="19">
        <v>40247</v>
      </c>
      <c r="D2461" s="6" t="s">
        <v>16</v>
      </c>
      <c r="E2461" s="6">
        <f>IF((ISBLANK($B$1)),"",Sheet1!Q2469)</f>
        <v>4350</v>
      </c>
      <c r="F2461" s="20" t="s">
        <v>29</v>
      </c>
      <c r="G2461" s="53">
        <f t="shared" si="39"/>
        <v>-0.45402307232003986</v>
      </c>
      <c r="H2461" s="35"/>
      <c r="P2461" s="6"/>
    </row>
    <row r="2462" spans="1:16" ht="14.4" x14ac:dyDescent="0.25">
      <c r="A2462" s="6">
        <v>7308</v>
      </c>
      <c r="B2462" s="6">
        <v>52102</v>
      </c>
      <c r="C2462" s="19">
        <v>40433</v>
      </c>
      <c r="D2462" s="6" t="s">
        <v>16</v>
      </c>
      <c r="E2462" s="6">
        <f>IF((ISBLANK($B$1)),"",Sheet1!Q2470)</f>
        <v>3800</v>
      </c>
      <c r="F2462" s="20" t="s">
        <v>26</v>
      </c>
      <c r="G2462" s="53">
        <f t="shared" si="39"/>
        <v>-1.2135479223102887</v>
      </c>
      <c r="H2462" s="35"/>
      <c r="P2462" s="6"/>
    </row>
    <row r="2463" spans="1:16" ht="14.4" x14ac:dyDescent="0.25">
      <c r="A2463" s="6">
        <v>7312</v>
      </c>
      <c r="B2463" s="6">
        <v>52135</v>
      </c>
      <c r="C2463" s="19">
        <v>40261</v>
      </c>
      <c r="D2463" s="6" t="s">
        <v>25</v>
      </c>
      <c r="E2463" s="6">
        <f>IF((ISBLANK($B$1)),"",Sheet1!Q2471)</f>
        <v>5300</v>
      </c>
      <c r="F2463" s="20" t="s">
        <v>27</v>
      </c>
      <c r="G2463" s="53">
        <f t="shared" si="39"/>
        <v>0.85788348675402637</v>
      </c>
      <c r="H2463" s="35"/>
      <c r="P2463" s="6"/>
    </row>
    <row r="2464" spans="1:16" ht="14.4" x14ac:dyDescent="0.25">
      <c r="A2464" s="6">
        <v>7315</v>
      </c>
      <c r="B2464" s="6">
        <v>52162</v>
      </c>
      <c r="C2464" s="19">
        <v>40848</v>
      </c>
      <c r="D2464" s="6" t="s">
        <v>28</v>
      </c>
      <c r="E2464" s="6">
        <f>IF((ISBLANK($B$1)),"",Sheet1!Q2472)</f>
        <v>5350</v>
      </c>
      <c r="F2464" s="20" t="s">
        <v>29</v>
      </c>
      <c r="G2464" s="53">
        <f t="shared" si="39"/>
        <v>0.92693120038950361</v>
      </c>
      <c r="H2464" s="35"/>
      <c r="P2464" s="6"/>
    </row>
    <row r="2465" spans="1:16" ht="14.4" x14ac:dyDescent="0.25">
      <c r="A2465" s="6">
        <v>7316</v>
      </c>
      <c r="B2465" s="6">
        <v>52162</v>
      </c>
      <c r="C2465" s="19">
        <v>40848</v>
      </c>
      <c r="D2465" s="6" t="s">
        <v>28</v>
      </c>
      <c r="E2465" s="6">
        <f>IF((ISBLANK($B$1)),"",Sheet1!Q2473)</f>
        <v>5750</v>
      </c>
      <c r="F2465" s="20" t="s">
        <v>29</v>
      </c>
      <c r="G2465" s="53">
        <f t="shared" si="39"/>
        <v>1.4793129094733208</v>
      </c>
      <c r="H2465" s="35"/>
      <c r="P2465" s="6"/>
    </row>
    <row r="2466" spans="1:16" ht="14.4" x14ac:dyDescent="0.25">
      <c r="A2466" s="6">
        <v>7332</v>
      </c>
      <c r="B2466" s="6">
        <v>52256</v>
      </c>
      <c r="C2466" s="19">
        <v>40486</v>
      </c>
      <c r="D2466" s="6" t="s">
        <v>28</v>
      </c>
      <c r="E2466" s="6">
        <f>IF((ISBLANK($B$1)),"",Sheet1!Q2474)</f>
        <v>4550</v>
      </c>
      <c r="F2466" s="20" t="s">
        <v>27</v>
      </c>
      <c r="G2466" s="53">
        <f t="shared" si="39"/>
        <v>-0.17783221777813119</v>
      </c>
      <c r="H2466" s="35"/>
      <c r="P2466" s="6"/>
    </row>
    <row r="2467" spans="1:16" ht="14.4" x14ac:dyDescent="0.25">
      <c r="A2467" s="6">
        <v>7354</v>
      </c>
      <c r="B2467" s="6">
        <v>52391</v>
      </c>
      <c r="C2467" s="19">
        <v>40159</v>
      </c>
      <c r="D2467" s="6" t="s">
        <v>17</v>
      </c>
      <c r="E2467" s="6">
        <f>IF((ISBLANK($B$1)),"",Sheet1!Q2475)</f>
        <v>5200</v>
      </c>
      <c r="F2467" s="20" t="s">
        <v>26</v>
      </c>
      <c r="G2467" s="53">
        <f t="shared" si="39"/>
        <v>0.71978805948307201</v>
      </c>
      <c r="H2467" s="35"/>
      <c r="P2467" s="6"/>
    </row>
    <row r="2468" spans="1:16" ht="14.4" x14ac:dyDescent="0.25">
      <c r="A2468" s="6">
        <v>7355</v>
      </c>
      <c r="B2468" s="6">
        <v>52391</v>
      </c>
      <c r="C2468" s="19">
        <v>40159</v>
      </c>
      <c r="D2468" s="6" t="s">
        <v>17</v>
      </c>
      <c r="E2468" s="6">
        <f>IF((ISBLANK($B$1)),"",Sheet1!Q2476)</f>
        <v>5350</v>
      </c>
      <c r="F2468" s="20" t="s">
        <v>26</v>
      </c>
      <c r="G2468" s="53">
        <f t="shared" si="39"/>
        <v>0.92693120038950361</v>
      </c>
      <c r="H2468" s="35"/>
      <c r="P2468" s="6"/>
    </row>
    <row r="2469" spans="1:16" ht="14.4" x14ac:dyDescent="0.25">
      <c r="A2469" s="6">
        <v>7384</v>
      </c>
      <c r="B2469" s="6">
        <v>52642</v>
      </c>
      <c r="C2469" s="19">
        <v>40708</v>
      </c>
      <c r="D2469" s="6" t="s">
        <v>25</v>
      </c>
      <c r="E2469" s="6">
        <f>IF((ISBLANK($B$1)),"",Sheet1!Q2477)</f>
        <v>3850</v>
      </c>
      <c r="F2469" s="20" t="s">
        <v>29</v>
      </c>
      <c r="G2469" s="53">
        <f t="shared" si="39"/>
        <v>-1.1445002086748115</v>
      </c>
      <c r="H2469" s="35"/>
      <c r="P2469" s="6"/>
    </row>
    <row r="2470" spans="1:16" ht="14.4" x14ac:dyDescent="0.25">
      <c r="A2470" s="6">
        <v>7385</v>
      </c>
      <c r="B2470" s="6">
        <v>52642</v>
      </c>
      <c r="C2470" s="19">
        <v>40708</v>
      </c>
      <c r="D2470" s="6" t="s">
        <v>25</v>
      </c>
      <c r="E2470" s="6">
        <f>IF((ISBLANK($B$1)),"",Sheet1!Q2478)</f>
        <v>4100</v>
      </c>
      <c r="F2470" s="20" t="s">
        <v>27</v>
      </c>
      <c r="G2470" s="53">
        <f t="shared" si="39"/>
        <v>-0.79926164049742576</v>
      </c>
      <c r="H2470" s="35"/>
      <c r="P2470" s="6"/>
    </row>
    <row r="2471" spans="1:16" ht="14.4" x14ac:dyDescent="0.25">
      <c r="A2471" s="6">
        <v>7386</v>
      </c>
      <c r="B2471" s="6">
        <v>52642</v>
      </c>
      <c r="C2471" s="19">
        <v>40708</v>
      </c>
      <c r="D2471" s="6" t="s">
        <v>25</v>
      </c>
      <c r="E2471" s="6">
        <f>IF((ISBLANK($B$1)),"",Sheet1!Q2479)</f>
        <v>4150</v>
      </c>
      <c r="F2471" s="20" t="s">
        <v>26</v>
      </c>
      <c r="G2471" s="53">
        <f t="shared" si="39"/>
        <v>-0.73021392686194853</v>
      </c>
      <c r="H2471" s="35"/>
      <c r="P2471" s="6"/>
    </row>
    <row r="2472" spans="1:16" ht="14.4" x14ac:dyDescent="0.25">
      <c r="A2472" s="6">
        <v>7387</v>
      </c>
      <c r="B2472" s="6">
        <v>52645</v>
      </c>
      <c r="C2472" s="19">
        <v>40975</v>
      </c>
      <c r="D2472" s="6" t="s">
        <v>25</v>
      </c>
      <c r="E2472" s="6">
        <f>IF((ISBLANK($B$1)),"",Sheet1!Q2480)</f>
        <v>3950</v>
      </c>
      <c r="F2472" s="20" t="s">
        <v>26</v>
      </c>
      <c r="G2472" s="53">
        <f t="shared" si="39"/>
        <v>-1.0064047814038573</v>
      </c>
      <c r="H2472" s="35"/>
      <c r="P2472" s="6"/>
    </row>
    <row r="2473" spans="1:16" ht="14.4" x14ac:dyDescent="0.25">
      <c r="A2473" s="6">
        <v>7388</v>
      </c>
      <c r="B2473" s="6">
        <v>52645</v>
      </c>
      <c r="C2473" s="19">
        <v>40975</v>
      </c>
      <c r="D2473" s="6" t="s">
        <v>25</v>
      </c>
      <c r="E2473" s="6">
        <f>IF((ISBLANK($B$1)),"",Sheet1!Q2481)</f>
        <v>3900</v>
      </c>
      <c r="F2473" s="20" t="s">
        <v>26</v>
      </c>
      <c r="G2473" s="53">
        <f t="shared" si="39"/>
        <v>-1.0754524950393345</v>
      </c>
      <c r="H2473" s="35"/>
      <c r="P2473" s="6"/>
    </row>
    <row r="2474" spans="1:16" ht="14.4" x14ac:dyDescent="0.25">
      <c r="A2474" s="6">
        <v>7399</v>
      </c>
      <c r="B2474" s="6">
        <v>52711</v>
      </c>
      <c r="C2474" s="19">
        <v>40809</v>
      </c>
      <c r="D2474" s="6" t="s">
        <v>28</v>
      </c>
      <c r="E2474" s="6">
        <f>IF((ISBLANK($B$1)),"",Sheet1!Q2482)</f>
        <v>5250</v>
      </c>
      <c r="F2474" s="20" t="s">
        <v>26</v>
      </c>
      <c r="G2474" s="53">
        <f t="shared" si="39"/>
        <v>0.78883577311854924</v>
      </c>
      <c r="H2474" s="35"/>
      <c r="P2474" s="6"/>
    </row>
    <row r="2475" spans="1:16" ht="14.4" x14ac:dyDescent="0.25">
      <c r="A2475" s="6">
        <v>7412</v>
      </c>
      <c r="B2475" s="6">
        <v>52896</v>
      </c>
      <c r="C2475" s="19">
        <v>40473</v>
      </c>
      <c r="D2475" s="6" t="s">
        <v>17</v>
      </c>
      <c r="E2475" s="6">
        <f>IF((ISBLANK($B$1)),"",Sheet1!Q2483)</f>
        <v>3850</v>
      </c>
      <c r="F2475" s="20" t="s">
        <v>26</v>
      </c>
      <c r="G2475" s="53">
        <f t="shared" si="39"/>
        <v>-1.1445002086748115</v>
      </c>
      <c r="H2475" s="35"/>
      <c r="P2475" s="6"/>
    </row>
    <row r="2476" spans="1:16" ht="14.4" x14ac:dyDescent="0.25">
      <c r="A2476" s="6">
        <v>7413</v>
      </c>
      <c r="B2476" s="6">
        <v>52896</v>
      </c>
      <c r="C2476" s="19">
        <v>40473</v>
      </c>
      <c r="D2476" s="6" t="s">
        <v>17</v>
      </c>
      <c r="E2476" s="6">
        <f>IF((ISBLANK($B$1)),"",Sheet1!Q2484)</f>
        <v>3700</v>
      </c>
      <c r="F2476" s="20" t="s">
        <v>29</v>
      </c>
      <c r="G2476" s="53">
        <f t="shared" si="39"/>
        <v>-1.351643349581243</v>
      </c>
      <c r="H2476" s="35"/>
      <c r="P2476" s="6"/>
    </row>
    <row r="2477" spans="1:16" ht="14.4" x14ac:dyDescent="0.25">
      <c r="A2477" s="6">
        <v>7432</v>
      </c>
      <c r="B2477" s="6">
        <v>52999</v>
      </c>
      <c r="C2477" s="19">
        <v>41024</v>
      </c>
      <c r="D2477" s="6" t="s">
        <v>28</v>
      </c>
      <c r="E2477" s="6">
        <f>IF((ISBLANK($B$1)),"",Sheet1!Q2485)</f>
        <v>3650</v>
      </c>
      <c r="F2477" s="20" t="s">
        <v>29</v>
      </c>
      <c r="G2477" s="53">
        <f t="shared" si="39"/>
        <v>-1.4206910632167202</v>
      </c>
      <c r="H2477" s="35"/>
      <c r="P2477" s="6"/>
    </row>
    <row r="2478" spans="1:16" ht="14.4" x14ac:dyDescent="0.25">
      <c r="A2478" s="6">
        <v>7433</v>
      </c>
      <c r="B2478" s="6">
        <v>52999</v>
      </c>
      <c r="C2478" s="19">
        <v>41024</v>
      </c>
      <c r="D2478" s="6" t="s">
        <v>28</v>
      </c>
      <c r="E2478" s="6">
        <f>IF((ISBLANK($B$1)),"",Sheet1!Q2486)</f>
        <v>5350</v>
      </c>
      <c r="F2478" s="20" t="s">
        <v>26</v>
      </c>
      <c r="G2478" s="53">
        <f t="shared" si="39"/>
        <v>0.92693120038950361</v>
      </c>
      <c r="H2478" s="35"/>
      <c r="P2478" s="6"/>
    </row>
    <row r="2479" spans="1:16" ht="14.4" x14ac:dyDescent="0.25">
      <c r="A2479" s="6">
        <v>7434</v>
      </c>
      <c r="B2479" s="6">
        <v>52999</v>
      </c>
      <c r="C2479" s="19">
        <v>41024</v>
      </c>
      <c r="D2479" s="6" t="s">
        <v>28</v>
      </c>
      <c r="E2479" s="6">
        <f>IF((ISBLANK($B$1)),"",Sheet1!Q2487)</f>
        <v>3750</v>
      </c>
      <c r="F2479" s="20" t="s">
        <v>26</v>
      </c>
      <c r="G2479" s="53">
        <f t="shared" si="39"/>
        <v>-1.282595635945766</v>
      </c>
      <c r="H2479" s="35"/>
      <c r="P2479" s="6"/>
    </row>
    <row r="2480" spans="1:16" ht="14.4" x14ac:dyDescent="0.25">
      <c r="A2480" s="6">
        <v>7463</v>
      </c>
      <c r="B2480" s="6">
        <v>53254</v>
      </c>
      <c r="C2480" s="19">
        <v>40043</v>
      </c>
      <c r="D2480" s="6" t="s">
        <v>16</v>
      </c>
      <c r="E2480" s="6">
        <f>IF((ISBLANK($B$1)),"",Sheet1!Q2488)</f>
        <v>5100</v>
      </c>
      <c r="F2480" s="20" t="s">
        <v>27</v>
      </c>
      <c r="G2480" s="53">
        <f t="shared" si="39"/>
        <v>0.58169263221211776</v>
      </c>
      <c r="H2480" s="35"/>
      <c r="P2480" s="6"/>
    </row>
    <row r="2481" spans="1:16" ht="14.4" x14ac:dyDescent="0.25">
      <c r="A2481" s="6">
        <v>7464</v>
      </c>
      <c r="B2481" s="6">
        <v>53281</v>
      </c>
      <c r="C2481" s="19">
        <v>39905</v>
      </c>
      <c r="D2481" s="6" t="s">
        <v>30</v>
      </c>
      <c r="E2481" s="6">
        <f>IF((ISBLANK($B$1)),"",Sheet1!Q2489)</f>
        <v>5400</v>
      </c>
      <c r="F2481" s="20" t="s">
        <v>29</v>
      </c>
      <c r="G2481" s="53">
        <f t="shared" si="39"/>
        <v>0.99597891402498073</v>
      </c>
      <c r="H2481" s="35"/>
      <c r="P2481" s="6"/>
    </row>
    <row r="2482" spans="1:16" ht="14.4" x14ac:dyDescent="0.25">
      <c r="A2482" s="6">
        <v>7466</v>
      </c>
      <c r="B2482" s="6">
        <v>53285</v>
      </c>
      <c r="C2482" s="19">
        <v>41053</v>
      </c>
      <c r="D2482" s="6" t="s">
        <v>30</v>
      </c>
      <c r="E2482" s="6">
        <f>IF((ISBLANK($B$1)),"",Sheet1!Q2490)</f>
        <v>3700</v>
      </c>
      <c r="F2482" s="20" t="s">
        <v>26</v>
      </c>
      <c r="G2482" s="53">
        <f t="shared" si="39"/>
        <v>-1.351643349581243</v>
      </c>
      <c r="H2482" s="35"/>
      <c r="P2482" s="6"/>
    </row>
    <row r="2483" spans="1:16" ht="14.4" x14ac:dyDescent="0.25">
      <c r="A2483" s="6">
        <v>7467</v>
      </c>
      <c r="B2483" s="6">
        <v>53312</v>
      </c>
      <c r="C2483" s="19">
        <v>39998</v>
      </c>
      <c r="D2483" s="6" t="s">
        <v>16</v>
      </c>
      <c r="E2483" s="6">
        <f>IF((ISBLANK($B$1)),"",Sheet1!Q2491)</f>
        <v>4550</v>
      </c>
      <c r="F2483" s="20" t="s">
        <v>26</v>
      </c>
      <c r="G2483" s="53">
        <f t="shared" si="39"/>
        <v>-0.17783221777813119</v>
      </c>
      <c r="H2483" s="35"/>
      <c r="P2483" s="6"/>
    </row>
    <row r="2484" spans="1:16" ht="14.4" x14ac:dyDescent="0.25">
      <c r="A2484" s="6">
        <v>7468</v>
      </c>
      <c r="B2484" s="6">
        <v>53312</v>
      </c>
      <c r="C2484" s="19">
        <v>39998</v>
      </c>
      <c r="D2484" s="6" t="s">
        <v>16</v>
      </c>
      <c r="E2484" s="6">
        <f>IF((ISBLANK($B$1)),"",Sheet1!Q2492)</f>
        <v>4900</v>
      </c>
      <c r="F2484" s="20" t="s">
        <v>26</v>
      </c>
      <c r="G2484" s="53">
        <f t="shared" si="39"/>
        <v>0.30550177767020903</v>
      </c>
      <c r="H2484" s="35"/>
      <c r="P2484" s="6"/>
    </row>
    <row r="2485" spans="1:16" ht="14.4" x14ac:dyDescent="0.25">
      <c r="A2485" s="6">
        <v>7514</v>
      </c>
      <c r="B2485" s="6">
        <v>53637</v>
      </c>
      <c r="C2485" s="19">
        <v>40619</v>
      </c>
      <c r="D2485" s="6" t="s">
        <v>17</v>
      </c>
      <c r="E2485" s="6">
        <f>IF((ISBLANK($B$1)),"",Sheet1!Q2493)</f>
        <v>4000</v>
      </c>
      <c r="F2485" s="20" t="s">
        <v>26</v>
      </c>
      <c r="G2485" s="53">
        <f t="shared" si="39"/>
        <v>-0.93735706776838001</v>
      </c>
      <c r="H2485" s="35"/>
      <c r="P2485" s="6"/>
    </row>
    <row r="2486" spans="1:16" ht="14.4" x14ac:dyDescent="0.25">
      <c r="A2486" s="6">
        <v>7521</v>
      </c>
      <c r="B2486" s="6">
        <v>53698</v>
      </c>
      <c r="C2486" s="19">
        <v>41076</v>
      </c>
      <c r="D2486" s="6" t="s">
        <v>16</v>
      </c>
      <c r="E2486" s="6">
        <f>IF((ISBLANK($B$1)),"",Sheet1!Q2494)</f>
        <v>3900</v>
      </c>
      <c r="F2486" s="20" t="s">
        <v>26</v>
      </c>
      <c r="G2486" s="53">
        <f t="shared" si="39"/>
        <v>-1.0754524950393345</v>
      </c>
      <c r="H2486" s="35"/>
      <c r="P2486" s="6"/>
    </row>
    <row r="2487" spans="1:16" ht="14.4" x14ac:dyDescent="0.25">
      <c r="A2487" s="6">
        <v>7577</v>
      </c>
      <c r="B2487" s="6">
        <v>54183</v>
      </c>
      <c r="C2487" s="19">
        <v>41014</v>
      </c>
      <c r="D2487" s="6" t="s">
        <v>30</v>
      </c>
      <c r="E2487" s="6">
        <f>IF((ISBLANK($B$1)),"",Sheet1!Q2495)</f>
        <v>5000</v>
      </c>
      <c r="F2487" s="20" t="s">
        <v>27</v>
      </c>
      <c r="G2487" s="53">
        <f t="shared" si="39"/>
        <v>0.44359720494116334</v>
      </c>
      <c r="H2487" s="35"/>
      <c r="P2487" s="6"/>
    </row>
    <row r="2488" spans="1:16" ht="14.4" x14ac:dyDescent="0.25">
      <c r="A2488" s="6">
        <v>7578</v>
      </c>
      <c r="B2488" s="6">
        <v>54183</v>
      </c>
      <c r="C2488" s="19">
        <v>41014</v>
      </c>
      <c r="D2488" s="6" t="s">
        <v>30</v>
      </c>
      <c r="E2488" s="6">
        <f>IF((ISBLANK($B$1)),"",Sheet1!Q2496)</f>
        <v>3850</v>
      </c>
      <c r="F2488" s="20" t="s">
        <v>26</v>
      </c>
      <c r="G2488" s="53">
        <f t="shared" si="39"/>
        <v>-1.1445002086748115</v>
      </c>
      <c r="H2488" s="35"/>
      <c r="P2488" s="6"/>
    </row>
    <row r="2489" spans="1:16" ht="14.4" x14ac:dyDescent="0.25">
      <c r="A2489" s="6">
        <v>7583</v>
      </c>
      <c r="B2489" s="6">
        <v>54245</v>
      </c>
      <c r="C2489" s="19">
        <v>40626</v>
      </c>
      <c r="D2489" s="6" t="s">
        <v>16</v>
      </c>
      <c r="E2489" s="6">
        <f>IF((ISBLANK($B$1)),"",Sheet1!Q2497)</f>
        <v>3650</v>
      </c>
      <c r="F2489" s="20" t="s">
        <v>27</v>
      </c>
      <c r="G2489" s="53">
        <f t="shared" si="39"/>
        <v>-1.4206910632167202</v>
      </c>
      <c r="H2489" s="35"/>
      <c r="P2489" s="6"/>
    </row>
    <row r="2490" spans="1:16" ht="14.4" x14ac:dyDescent="0.25">
      <c r="A2490" s="6">
        <v>7592</v>
      </c>
      <c r="B2490" s="6">
        <v>54339</v>
      </c>
      <c r="C2490" s="19">
        <v>41031</v>
      </c>
      <c r="D2490" s="6" t="s">
        <v>25</v>
      </c>
      <c r="E2490" s="6">
        <f>IF((ISBLANK($B$1)),"",Sheet1!Q2498)</f>
        <v>5800</v>
      </c>
      <c r="F2490" s="20" t="s">
        <v>26</v>
      </c>
      <c r="G2490" s="53">
        <f t="shared" si="39"/>
        <v>1.5483606231087981</v>
      </c>
      <c r="H2490" s="35"/>
      <c r="P2490" s="6"/>
    </row>
    <row r="2491" spans="1:16" ht="14.4" x14ac:dyDescent="0.25">
      <c r="A2491" s="6">
        <v>7593</v>
      </c>
      <c r="B2491" s="6">
        <v>54339</v>
      </c>
      <c r="C2491" s="19">
        <v>41031</v>
      </c>
      <c r="D2491" s="6" t="s">
        <v>25</v>
      </c>
      <c r="E2491" s="6">
        <f>IF((ISBLANK($B$1)),"",Sheet1!Q2499)</f>
        <v>5450</v>
      </c>
      <c r="F2491" s="20" t="s">
        <v>27</v>
      </c>
      <c r="G2491" s="53">
        <f t="shared" si="39"/>
        <v>1.0650266276604579</v>
      </c>
      <c r="H2491" s="35"/>
      <c r="P2491" s="6"/>
    </row>
    <row r="2492" spans="1:16" ht="14.4" x14ac:dyDescent="0.25">
      <c r="A2492" s="6">
        <v>7603</v>
      </c>
      <c r="B2492" s="6">
        <v>54401</v>
      </c>
      <c r="C2492" s="19">
        <v>40881</v>
      </c>
      <c r="D2492" s="6" t="s">
        <v>17</v>
      </c>
      <c r="E2492" s="6">
        <f>IF((ISBLANK($B$1)),"",Sheet1!Q2500)</f>
        <v>5100</v>
      </c>
      <c r="F2492" s="20" t="s">
        <v>26</v>
      </c>
      <c r="G2492" s="53">
        <f t="shared" si="39"/>
        <v>0.58169263221211776</v>
      </c>
      <c r="H2492" s="35"/>
      <c r="P2492" s="6"/>
    </row>
    <row r="2493" spans="1:16" ht="14.4" x14ac:dyDescent="0.25">
      <c r="A2493" s="6">
        <v>7626</v>
      </c>
      <c r="B2493" s="6">
        <v>54563</v>
      </c>
      <c r="C2493" s="19">
        <v>40455</v>
      </c>
      <c r="D2493" s="6" t="s">
        <v>30</v>
      </c>
      <c r="E2493" s="6">
        <f>IF((ISBLANK($B$1)),"",Sheet1!Q2501)</f>
        <v>4600</v>
      </c>
      <c r="F2493" s="20" t="s">
        <v>29</v>
      </c>
      <c r="G2493" s="53">
        <f t="shared" si="39"/>
        <v>-0.108784504142654</v>
      </c>
      <c r="H2493" s="35"/>
      <c r="P2493" s="6"/>
    </row>
    <row r="2494" spans="1:16" ht="14.4" x14ac:dyDescent="0.25">
      <c r="A2494" s="6">
        <v>7639</v>
      </c>
      <c r="B2494" s="6">
        <v>54694</v>
      </c>
      <c r="C2494" s="19">
        <v>40075</v>
      </c>
      <c r="D2494" s="6" t="s">
        <v>30</v>
      </c>
      <c r="E2494" s="6">
        <f>IF((ISBLANK($B$1)),"",Sheet1!Q2502)</f>
        <v>5550</v>
      </c>
      <c r="F2494" s="20" t="s">
        <v>26</v>
      </c>
      <c r="G2494" s="53">
        <f t="shared" si="39"/>
        <v>1.2031220549314123</v>
      </c>
      <c r="H2494" s="35"/>
      <c r="P2494" s="6"/>
    </row>
    <row r="2495" spans="1:16" ht="14.4" x14ac:dyDescent="0.25">
      <c r="A2495" s="6">
        <v>7643</v>
      </c>
      <c r="B2495" s="6">
        <v>54755</v>
      </c>
      <c r="C2495" s="19">
        <v>40154</v>
      </c>
      <c r="D2495" s="6" t="s">
        <v>30</v>
      </c>
      <c r="E2495" s="6">
        <f>IF((ISBLANK($B$1)),"",Sheet1!Q2503)</f>
        <v>5600</v>
      </c>
      <c r="F2495" s="20" t="s">
        <v>27</v>
      </c>
      <c r="G2495" s="53">
        <f t="shared" si="39"/>
        <v>1.2721697685668893</v>
      </c>
      <c r="H2495" s="35"/>
      <c r="P2495" s="6"/>
    </row>
    <row r="2496" spans="1:16" ht="14.4" x14ac:dyDescent="0.25">
      <c r="A2496" s="6">
        <v>7659</v>
      </c>
      <c r="B2496" s="6">
        <v>54914</v>
      </c>
      <c r="C2496" s="19">
        <v>40783</v>
      </c>
      <c r="D2496" s="6" t="s">
        <v>30</v>
      </c>
      <c r="E2496" s="6">
        <f>IF((ISBLANK($B$1)),"",Sheet1!Q2504)</f>
        <v>5000</v>
      </c>
      <c r="F2496" s="20" t="s">
        <v>26</v>
      </c>
      <c r="G2496" s="53">
        <f t="shared" si="39"/>
        <v>0.44359720494116334</v>
      </c>
      <c r="H2496" s="35"/>
      <c r="P2496" s="6"/>
    </row>
    <row r="2497" spans="1:16" ht="14.4" x14ac:dyDescent="0.25">
      <c r="A2497" s="6">
        <v>7660</v>
      </c>
      <c r="B2497" s="6">
        <v>54914</v>
      </c>
      <c r="C2497" s="19">
        <v>40783</v>
      </c>
      <c r="D2497" s="6" t="s">
        <v>30</v>
      </c>
      <c r="E2497" s="6">
        <f>IF((ISBLANK($B$1)),"",Sheet1!Q2505)</f>
        <v>3750</v>
      </c>
      <c r="F2497" s="20" t="s">
        <v>26</v>
      </c>
      <c r="G2497" s="53">
        <f t="shared" si="39"/>
        <v>-1.282595635945766</v>
      </c>
      <c r="H2497" s="35"/>
      <c r="P2497" s="6"/>
    </row>
    <row r="2498" spans="1:16" ht="14.4" x14ac:dyDescent="0.25">
      <c r="A2498" s="6">
        <v>7684</v>
      </c>
      <c r="B2498" s="6">
        <v>55073</v>
      </c>
      <c r="C2498" s="19">
        <v>40988</v>
      </c>
      <c r="D2498" s="6" t="s">
        <v>25</v>
      </c>
      <c r="E2498" s="6">
        <f>IF((ISBLANK($B$1)),"",Sheet1!Q2506)</f>
        <v>5400</v>
      </c>
      <c r="F2498" s="20" t="s">
        <v>27</v>
      </c>
      <c r="G2498" s="53">
        <f t="shared" si="39"/>
        <v>0.99597891402498073</v>
      </c>
      <c r="H2498" s="35"/>
      <c r="P2498" s="6"/>
    </row>
    <row r="2499" spans="1:16" ht="14.4" x14ac:dyDescent="0.25">
      <c r="A2499" s="6">
        <v>7712</v>
      </c>
      <c r="B2499" s="6">
        <v>55270</v>
      </c>
      <c r="C2499" s="19">
        <v>40200</v>
      </c>
      <c r="D2499" s="6" t="s">
        <v>16</v>
      </c>
      <c r="E2499" s="6">
        <f>IF((ISBLANK($B$1)),"",Sheet1!Q2507)</f>
        <v>3450</v>
      </c>
      <c r="F2499" s="20" t="s">
        <v>26</v>
      </c>
      <c r="G2499" s="53">
        <f t="shared" si="39"/>
        <v>-1.696881917758629</v>
      </c>
      <c r="H2499" s="35"/>
      <c r="P2499" s="6"/>
    </row>
    <row r="2500" spans="1:16" ht="14.4" x14ac:dyDescent="0.25">
      <c r="A2500" s="6">
        <v>7788</v>
      </c>
      <c r="B2500" s="6">
        <v>55716</v>
      </c>
      <c r="C2500" s="19">
        <v>41204</v>
      </c>
      <c r="D2500" s="6" t="s">
        <v>17</v>
      </c>
      <c r="E2500" s="6">
        <f>IF((ISBLANK($B$1)),"",Sheet1!Q2508)</f>
        <v>3850</v>
      </c>
      <c r="F2500" s="20" t="s">
        <v>26</v>
      </c>
      <c r="G2500" s="53">
        <f t="shared" si="39"/>
        <v>-1.1445002086748115</v>
      </c>
      <c r="H2500" s="35"/>
      <c r="P2500" s="6"/>
    </row>
    <row r="2501" spans="1:16" ht="14.4" x14ac:dyDescent="0.25">
      <c r="A2501" s="6">
        <v>7795</v>
      </c>
      <c r="B2501" s="6">
        <v>55776</v>
      </c>
      <c r="C2501" s="19">
        <v>39894</v>
      </c>
      <c r="D2501" s="6" t="s">
        <v>28</v>
      </c>
      <c r="E2501" s="6">
        <f>IF((ISBLANK($B$1)),"",Sheet1!Q2509)</f>
        <v>5000</v>
      </c>
      <c r="F2501" s="20" t="s">
        <v>27</v>
      </c>
      <c r="G2501" s="53">
        <f t="shared" si="39"/>
        <v>0.44359720494116334</v>
      </c>
      <c r="H2501" s="35"/>
      <c r="P2501" s="6"/>
    </row>
    <row r="2502" spans="1:16" ht="14.4" x14ac:dyDescent="0.25">
      <c r="A2502" s="6">
        <v>7810</v>
      </c>
      <c r="B2502" s="6">
        <v>55874</v>
      </c>
      <c r="C2502" s="19">
        <v>39860</v>
      </c>
      <c r="D2502" s="6" t="s">
        <v>16</v>
      </c>
      <c r="E2502" s="6">
        <f>IF((ISBLANK($B$1)),"",Sheet1!Q2510)</f>
        <v>4800</v>
      </c>
      <c r="F2502" s="20" t="s">
        <v>26</v>
      </c>
      <c r="G2502" s="53">
        <f t="shared" si="39"/>
        <v>0.16740635039925467</v>
      </c>
      <c r="H2502" s="35"/>
      <c r="P2502" s="6"/>
    </row>
    <row r="2503" spans="1:16" ht="14.4" x14ac:dyDescent="0.25">
      <c r="A2503" s="6">
        <v>7811</v>
      </c>
      <c r="B2503" s="6">
        <v>55874</v>
      </c>
      <c r="C2503" s="19">
        <v>39860</v>
      </c>
      <c r="D2503" s="6" t="s">
        <v>16</v>
      </c>
      <c r="E2503" s="6">
        <f>IF((ISBLANK($B$1)),"",Sheet1!Q2511)</f>
        <v>5450</v>
      </c>
      <c r="F2503" s="20" t="s">
        <v>27</v>
      </c>
      <c r="G2503" s="53">
        <f t="shared" si="39"/>
        <v>1.0650266276604579</v>
      </c>
      <c r="H2503" s="35"/>
      <c r="P2503" s="6"/>
    </row>
    <row r="2504" spans="1:16" ht="14.4" x14ac:dyDescent="0.25">
      <c r="A2504" s="6">
        <v>7831</v>
      </c>
      <c r="B2504" s="6">
        <v>56002</v>
      </c>
      <c r="C2504" s="19">
        <v>39998</v>
      </c>
      <c r="D2504" s="6" t="s">
        <v>25</v>
      </c>
      <c r="E2504" s="6">
        <f>IF((ISBLANK($B$1)),"",Sheet1!Q2512)</f>
        <v>4450</v>
      </c>
      <c r="F2504" s="20" t="s">
        <v>26</v>
      </c>
      <c r="G2504" s="53">
        <f t="shared" ref="G2504:G2567" si="40">STANDARDIZE(E2504,$L$26,$L$35)</f>
        <v>-0.31592764504908549</v>
      </c>
      <c r="H2504" s="35"/>
      <c r="P2504" s="6"/>
    </row>
    <row r="2505" spans="1:16" ht="14.4" x14ac:dyDescent="0.25">
      <c r="A2505" s="6">
        <v>7832</v>
      </c>
      <c r="B2505" s="6">
        <v>56002</v>
      </c>
      <c r="C2505" s="19">
        <v>39998</v>
      </c>
      <c r="D2505" s="6" t="s">
        <v>25</v>
      </c>
      <c r="E2505" s="6">
        <f>IF((ISBLANK($B$1)),"",Sheet1!Q2513)</f>
        <v>4100</v>
      </c>
      <c r="F2505" s="20" t="s">
        <v>26</v>
      </c>
      <c r="G2505" s="53">
        <f t="shared" si="40"/>
        <v>-0.79926164049742576</v>
      </c>
      <c r="H2505" s="35"/>
      <c r="P2505" s="6"/>
    </row>
    <row r="2506" spans="1:16" ht="14.4" x14ac:dyDescent="0.25">
      <c r="A2506" s="6">
        <v>7833</v>
      </c>
      <c r="B2506" s="6">
        <v>56002</v>
      </c>
      <c r="C2506" s="19">
        <v>39998</v>
      </c>
      <c r="D2506" s="6" t="s">
        <v>25</v>
      </c>
      <c r="E2506" s="6">
        <f>IF((ISBLANK($B$1)),"",Sheet1!Q2514)</f>
        <v>3850</v>
      </c>
      <c r="F2506" s="20" t="s">
        <v>26</v>
      </c>
      <c r="G2506" s="53">
        <f t="shared" si="40"/>
        <v>-1.1445002086748115</v>
      </c>
      <c r="H2506" s="35"/>
      <c r="P2506" s="6"/>
    </row>
    <row r="2507" spans="1:16" ht="14.4" x14ac:dyDescent="0.25">
      <c r="A2507" s="6">
        <v>7834</v>
      </c>
      <c r="B2507" s="6">
        <v>56002</v>
      </c>
      <c r="C2507" s="19">
        <v>39998</v>
      </c>
      <c r="D2507" s="6" t="s">
        <v>25</v>
      </c>
      <c r="E2507" s="6">
        <f>IF((ISBLANK($B$1)),"",Sheet1!Q2515)</f>
        <v>4100</v>
      </c>
      <c r="F2507" s="20" t="s">
        <v>29</v>
      </c>
      <c r="G2507" s="53">
        <f t="shared" si="40"/>
        <v>-0.79926164049742576</v>
      </c>
      <c r="H2507" s="35"/>
      <c r="P2507" s="6"/>
    </row>
    <row r="2508" spans="1:16" ht="14.4" x14ac:dyDescent="0.25">
      <c r="A2508" s="6">
        <v>7840</v>
      </c>
      <c r="B2508" s="6">
        <v>56039</v>
      </c>
      <c r="C2508" s="19">
        <v>40872</v>
      </c>
      <c r="D2508" s="6" t="s">
        <v>25</v>
      </c>
      <c r="E2508" s="6">
        <f>IF((ISBLANK($B$1)),"",Sheet1!Q2516)</f>
        <v>4550</v>
      </c>
      <c r="F2508" s="20" t="s">
        <v>26</v>
      </c>
      <c r="G2508" s="53">
        <f t="shared" si="40"/>
        <v>-0.17783221777813119</v>
      </c>
      <c r="H2508" s="35"/>
      <c r="P2508" s="6"/>
    </row>
    <row r="2509" spans="1:16" ht="14.4" x14ac:dyDescent="0.25">
      <c r="A2509" s="6">
        <v>7936</v>
      </c>
      <c r="B2509" s="6">
        <v>56710</v>
      </c>
      <c r="C2509" s="19">
        <v>40309</v>
      </c>
      <c r="D2509" s="6" t="s">
        <v>28</v>
      </c>
      <c r="E2509" s="6">
        <f>IF((ISBLANK($B$1)),"",Sheet1!Q2517)</f>
        <v>5100</v>
      </c>
      <c r="F2509" s="20" t="s">
        <v>26</v>
      </c>
      <c r="G2509" s="53">
        <f t="shared" si="40"/>
        <v>0.58169263221211776</v>
      </c>
      <c r="H2509" s="35"/>
      <c r="P2509" s="6"/>
    </row>
    <row r="2510" spans="1:16" ht="14.4" x14ac:dyDescent="0.25">
      <c r="A2510" s="6">
        <v>7937</v>
      </c>
      <c r="B2510" s="6">
        <v>56710</v>
      </c>
      <c r="C2510" s="19">
        <v>40309</v>
      </c>
      <c r="D2510" s="6" t="s">
        <v>28</v>
      </c>
      <c r="E2510" s="6">
        <f>IF((ISBLANK($B$1)),"",Sheet1!Q2518)</f>
        <v>4200</v>
      </c>
      <c r="F2510" s="20" t="s">
        <v>27</v>
      </c>
      <c r="G2510" s="53">
        <f t="shared" si="40"/>
        <v>-0.6611662132264714</v>
      </c>
      <c r="H2510" s="35"/>
      <c r="P2510" s="6"/>
    </row>
    <row r="2511" spans="1:16" ht="14.4" x14ac:dyDescent="0.25">
      <c r="A2511" s="6">
        <v>7938</v>
      </c>
      <c r="B2511" s="6">
        <v>56710</v>
      </c>
      <c r="C2511" s="19">
        <v>40309</v>
      </c>
      <c r="D2511" s="6" t="s">
        <v>28</v>
      </c>
      <c r="E2511" s="6">
        <f>IF((ISBLANK($B$1)),"",Sheet1!Q2519)</f>
        <v>3700</v>
      </c>
      <c r="F2511" s="20" t="s">
        <v>27</v>
      </c>
      <c r="G2511" s="53">
        <f t="shared" si="40"/>
        <v>-1.351643349581243</v>
      </c>
      <c r="H2511" s="35"/>
      <c r="P2511" s="6"/>
    </row>
    <row r="2512" spans="1:16" ht="14.4" x14ac:dyDescent="0.25">
      <c r="A2512" s="6">
        <v>7939</v>
      </c>
      <c r="B2512" s="6">
        <v>56710</v>
      </c>
      <c r="C2512" s="19">
        <v>40309</v>
      </c>
      <c r="D2512" s="6" t="s">
        <v>28</v>
      </c>
      <c r="E2512" s="6">
        <f>IF((ISBLANK($B$1)),"",Sheet1!Q2520)</f>
        <v>4450</v>
      </c>
      <c r="F2512" s="20" t="s">
        <v>27</v>
      </c>
      <c r="G2512" s="53">
        <f t="shared" si="40"/>
        <v>-0.31592764504908549</v>
      </c>
      <c r="H2512" s="35"/>
      <c r="P2512" s="6"/>
    </row>
    <row r="2513" spans="1:16" ht="14.4" x14ac:dyDescent="0.25">
      <c r="A2513" s="6">
        <v>7985</v>
      </c>
      <c r="B2513" s="6">
        <v>57092</v>
      </c>
      <c r="C2513" s="19">
        <v>40299</v>
      </c>
      <c r="D2513" s="6" t="s">
        <v>30</v>
      </c>
      <c r="E2513" s="6">
        <f>IF((ISBLANK($B$1)),"",Sheet1!Q2521)</f>
        <v>4850</v>
      </c>
      <c r="F2513" s="20" t="s">
        <v>27</v>
      </c>
      <c r="G2513" s="53">
        <f t="shared" si="40"/>
        <v>0.23645406403473185</v>
      </c>
      <c r="H2513" s="35"/>
      <c r="P2513" s="6"/>
    </row>
    <row r="2514" spans="1:16" ht="14.4" x14ac:dyDescent="0.25">
      <c r="A2514" s="6">
        <v>8011</v>
      </c>
      <c r="B2514" s="6">
        <v>57253</v>
      </c>
      <c r="C2514" s="19">
        <v>39818</v>
      </c>
      <c r="D2514" s="6" t="s">
        <v>30</v>
      </c>
      <c r="E2514" s="6">
        <f>IF((ISBLANK($B$1)),"",Sheet1!Q2522)</f>
        <v>5550</v>
      </c>
      <c r="F2514" s="20" t="s">
        <v>29</v>
      </c>
      <c r="G2514" s="53">
        <f t="shared" si="40"/>
        <v>1.2031220549314123</v>
      </c>
      <c r="H2514" s="35"/>
      <c r="P2514" s="6"/>
    </row>
    <row r="2515" spans="1:16" ht="14.4" x14ac:dyDescent="0.25">
      <c r="A2515" s="6">
        <v>8012</v>
      </c>
      <c r="B2515" s="6">
        <v>57253</v>
      </c>
      <c r="C2515" s="19">
        <v>39818</v>
      </c>
      <c r="D2515" s="6" t="s">
        <v>30</v>
      </c>
      <c r="E2515" s="6">
        <f>IF((ISBLANK($B$1)),"",Sheet1!Q2523)</f>
        <v>4850</v>
      </c>
      <c r="F2515" s="20" t="s">
        <v>29</v>
      </c>
      <c r="G2515" s="53">
        <f t="shared" si="40"/>
        <v>0.23645406403473185</v>
      </c>
      <c r="H2515" s="35"/>
      <c r="P2515" s="6"/>
    </row>
    <row r="2516" spans="1:16" ht="14.4" x14ac:dyDescent="0.25">
      <c r="A2516" s="6">
        <v>8013</v>
      </c>
      <c r="B2516" s="6">
        <v>57253</v>
      </c>
      <c r="C2516" s="19">
        <v>39818</v>
      </c>
      <c r="D2516" s="6" t="s">
        <v>30</v>
      </c>
      <c r="E2516" s="6">
        <f>IF((ISBLANK($B$1)),"",Sheet1!Q2524)</f>
        <v>5800</v>
      </c>
      <c r="F2516" s="20" t="s">
        <v>29</v>
      </c>
      <c r="G2516" s="53">
        <f t="shared" si="40"/>
        <v>1.5483606231087981</v>
      </c>
      <c r="H2516" s="35"/>
      <c r="P2516" s="6"/>
    </row>
    <row r="2517" spans="1:16" ht="14.4" x14ac:dyDescent="0.25">
      <c r="A2517" s="6">
        <v>8014</v>
      </c>
      <c r="B2517" s="6">
        <v>57253</v>
      </c>
      <c r="C2517" s="19">
        <v>39818</v>
      </c>
      <c r="D2517" s="6" t="s">
        <v>30</v>
      </c>
      <c r="E2517" s="6">
        <f>IF((ISBLANK($B$1)),"",Sheet1!Q2525)</f>
        <v>5850</v>
      </c>
      <c r="F2517" s="20" t="s">
        <v>29</v>
      </c>
      <c r="G2517" s="53">
        <f t="shared" si="40"/>
        <v>1.6174083367442753</v>
      </c>
      <c r="H2517" s="35"/>
      <c r="P2517" s="6"/>
    </row>
    <row r="2518" spans="1:16" ht="14.4" x14ac:dyDescent="0.25">
      <c r="A2518" s="6">
        <v>8015</v>
      </c>
      <c r="B2518" s="6">
        <v>57253</v>
      </c>
      <c r="C2518" s="19">
        <v>39818</v>
      </c>
      <c r="D2518" s="6" t="s">
        <v>30</v>
      </c>
      <c r="E2518" s="6">
        <f>IF((ISBLANK($B$1)),"",Sheet1!Q2526)</f>
        <v>4650</v>
      </c>
      <c r="F2518" s="20" t="s">
        <v>27</v>
      </c>
      <c r="G2518" s="53">
        <f t="shared" si="40"/>
        <v>-3.9736790507176829E-2</v>
      </c>
      <c r="H2518" s="35"/>
      <c r="P2518" s="6"/>
    </row>
    <row r="2519" spans="1:16" ht="14.4" x14ac:dyDescent="0.25">
      <c r="A2519" s="6">
        <v>8034</v>
      </c>
      <c r="B2519" s="6">
        <v>57382</v>
      </c>
      <c r="C2519" s="19">
        <v>39895</v>
      </c>
      <c r="D2519" s="6" t="s">
        <v>16</v>
      </c>
      <c r="E2519" s="6">
        <f>IF((ISBLANK($B$1)),"",Sheet1!Q2527)</f>
        <v>4650</v>
      </c>
      <c r="F2519" s="20" t="s">
        <v>26</v>
      </c>
      <c r="G2519" s="53">
        <f t="shared" si="40"/>
        <v>-3.9736790507176829E-2</v>
      </c>
      <c r="H2519" s="35"/>
      <c r="P2519" s="6"/>
    </row>
    <row r="2520" spans="1:16" ht="14.4" x14ac:dyDescent="0.25">
      <c r="A2520" s="6">
        <v>8035</v>
      </c>
      <c r="B2520" s="6">
        <v>57382</v>
      </c>
      <c r="C2520" s="19">
        <v>39895</v>
      </c>
      <c r="D2520" s="6" t="s">
        <v>16</v>
      </c>
      <c r="E2520" s="6">
        <f>IF((ISBLANK($B$1)),"",Sheet1!Q2528)</f>
        <v>5650</v>
      </c>
      <c r="F2520" s="20" t="s">
        <v>26</v>
      </c>
      <c r="G2520" s="53">
        <f t="shared" si="40"/>
        <v>1.3412174822023666</v>
      </c>
      <c r="H2520" s="35"/>
      <c r="P2520" s="6"/>
    </row>
    <row r="2521" spans="1:16" ht="14.4" x14ac:dyDescent="0.25">
      <c r="A2521" s="6">
        <v>8039</v>
      </c>
      <c r="B2521" s="6">
        <v>57415</v>
      </c>
      <c r="C2521" s="19">
        <v>39896</v>
      </c>
      <c r="D2521" s="6" t="s">
        <v>16</v>
      </c>
      <c r="E2521" s="6">
        <f>IF((ISBLANK($B$1)),"",Sheet1!Q2529)</f>
        <v>3700</v>
      </c>
      <c r="F2521" s="20" t="s">
        <v>26</v>
      </c>
      <c r="G2521" s="53">
        <f t="shared" si="40"/>
        <v>-1.351643349581243</v>
      </c>
      <c r="H2521" s="35"/>
      <c r="P2521" s="6"/>
    </row>
    <row r="2522" spans="1:16" ht="14.4" x14ac:dyDescent="0.25">
      <c r="A2522" s="6">
        <v>8077</v>
      </c>
      <c r="B2522" s="6">
        <v>57606</v>
      </c>
      <c r="C2522" s="19">
        <v>40181</v>
      </c>
      <c r="D2522" s="6" t="s">
        <v>28</v>
      </c>
      <c r="E2522" s="6">
        <f>IF((ISBLANK($B$1)),"",Sheet1!Q2530)</f>
        <v>5250</v>
      </c>
      <c r="F2522" s="20" t="s">
        <v>27</v>
      </c>
      <c r="G2522" s="53">
        <f t="shared" si="40"/>
        <v>0.78883577311854924</v>
      </c>
      <c r="H2522" s="35"/>
      <c r="P2522" s="6"/>
    </row>
    <row r="2523" spans="1:16" ht="14.4" x14ac:dyDescent="0.25">
      <c r="A2523" s="6">
        <v>8099</v>
      </c>
      <c r="B2523" s="6">
        <v>57794</v>
      </c>
      <c r="C2523" s="19">
        <v>40020</v>
      </c>
      <c r="D2523" s="6" t="s">
        <v>25</v>
      </c>
      <c r="E2523" s="6">
        <f>IF((ISBLANK($B$1)),"",Sheet1!Q2531)</f>
        <v>4200</v>
      </c>
      <c r="F2523" s="20" t="s">
        <v>26</v>
      </c>
      <c r="G2523" s="53">
        <f t="shared" si="40"/>
        <v>-0.6611662132264714</v>
      </c>
      <c r="H2523" s="35"/>
      <c r="P2523" s="6"/>
    </row>
    <row r="2524" spans="1:16" ht="14.4" x14ac:dyDescent="0.25">
      <c r="A2524" s="6">
        <v>8123</v>
      </c>
      <c r="B2524" s="6">
        <v>58054</v>
      </c>
      <c r="C2524" s="19">
        <v>40547</v>
      </c>
      <c r="D2524" s="6" t="s">
        <v>17</v>
      </c>
      <c r="E2524" s="6">
        <f>IF((ISBLANK($B$1)),"",Sheet1!Q2532)</f>
        <v>4700</v>
      </c>
      <c r="F2524" s="20" t="s">
        <v>29</v>
      </c>
      <c r="G2524" s="53">
        <f t="shared" si="40"/>
        <v>2.9310923128300338E-2</v>
      </c>
      <c r="H2524" s="35"/>
      <c r="P2524" s="6"/>
    </row>
    <row r="2525" spans="1:16" ht="14.4" x14ac:dyDescent="0.25">
      <c r="A2525" s="6">
        <v>8129</v>
      </c>
      <c r="B2525" s="6">
        <v>58113</v>
      </c>
      <c r="C2525" s="19">
        <v>40940</v>
      </c>
      <c r="D2525" s="6" t="s">
        <v>17</v>
      </c>
      <c r="E2525" s="6">
        <f>IF((ISBLANK($B$1)),"",Sheet1!Q2533)</f>
        <v>5800</v>
      </c>
      <c r="F2525" s="20" t="s">
        <v>26</v>
      </c>
      <c r="G2525" s="53">
        <f t="shared" si="40"/>
        <v>1.5483606231087981</v>
      </c>
      <c r="H2525" s="35"/>
      <c r="P2525" s="6"/>
    </row>
    <row r="2526" spans="1:16" ht="14.4" x14ac:dyDescent="0.25">
      <c r="A2526" s="6">
        <v>8130</v>
      </c>
      <c r="B2526" s="6">
        <v>58113</v>
      </c>
      <c r="C2526" s="19">
        <v>40940</v>
      </c>
      <c r="D2526" s="6" t="s">
        <v>17</v>
      </c>
      <c r="E2526" s="6">
        <f>IF((ISBLANK($B$1)),"",Sheet1!Q2534)</f>
        <v>4000</v>
      </c>
      <c r="F2526" s="20" t="s">
        <v>27</v>
      </c>
      <c r="G2526" s="53">
        <f t="shared" si="40"/>
        <v>-0.93735706776838001</v>
      </c>
      <c r="H2526" s="35"/>
      <c r="P2526" s="6"/>
    </row>
    <row r="2527" spans="1:16" ht="14.4" x14ac:dyDescent="0.25">
      <c r="A2527" s="6">
        <v>8186</v>
      </c>
      <c r="B2527" s="6">
        <v>58528</v>
      </c>
      <c r="C2527" s="19">
        <v>40478</v>
      </c>
      <c r="D2527" s="6" t="s">
        <v>16</v>
      </c>
      <c r="E2527" s="6">
        <f>IF((ISBLANK($B$1)),"",Sheet1!Q2535)</f>
        <v>4100</v>
      </c>
      <c r="F2527" s="20" t="s">
        <v>26</v>
      </c>
      <c r="G2527" s="53">
        <f t="shared" si="40"/>
        <v>-0.79926164049742576</v>
      </c>
      <c r="H2527" s="35"/>
      <c r="P2527" s="6"/>
    </row>
    <row r="2528" spans="1:16" ht="14.4" x14ac:dyDescent="0.25">
      <c r="A2528" s="6">
        <v>8187</v>
      </c>
      <c r="B2528" s="6">
        <v>58528</v>
      </c>
      <c r="C2528" s="19">
        <v>40478</v>
      </c>
      <c r="D2528" s="6" t="s">
        <v>16</v>
      </c>
      <c r="E2528" s="6">
        <f>IF((ISBLANK($B$1)),"",Sheet1!Q2536)</f>
        <v>5450</v>
      </c>
      <c r="F2528" s="20" t="s">
        <v>26</v>
      </c>
      <c r="G2528" s="53">
        <f t="shared" si="40"/>
        <v>1.0650266276604579</v>
      </c>
      <c r="H2528" s="35"/>
      <c r="P2528" s="6"/>
    </row>
    <row r="2529" spans="1:16" ht="14.4" x14ac:dyDescent="0.25">
      <c r="A2529" s="6">
        <v>8193</v>
      </c>
      <c r="B2529" s="6">
        <v>58598</v>
      </c>
      <c r="C2529" s="19">
        <v>40777</v>
      </c>
      <c r="D2529" s="6" t="s">
        <v>16</v>
      </c>
      <c r="E2529" s="6">
        <f>IF((ISBLANK($B$1)),"",Sheet1!Q2537)</f>
        <v>5900</v>
      </c>
      <c r="F2529" s="20" t="s">
        <v>29</v>
      </c>
      <c r="G2529" s="53">
        <f t="shared" si="40"/>
        <v>1.6864560503797523</v>
      </c>
      <c r="H2529" s="35"/>
      <c r="P2529" s="6"/>
    </row>
    <row r="2530" spans="1:16" ht="14.4" x14ac:dyDescent="0.25">
      <c r="A2530" s="6">
        <v>8194</v>
      </c>
      <c r="B2530" s="6">
        <v>58598</v>
      </c>
      <c r="C2530" s="19">
        <v>40777</v>
      </c>
      <c r="D2530" s="6" t="s">
        <v>16</v>
      </c>
      <c r="E2530" s="6">
        <f>IF((ISBLANK($B$1)),"",Sheet1!Q2538)</f>
        <v>4650</v>
      </c>
      <c r="F2530" s="20" t="s">
        <v>26</v>
      </c>
      <c r="G2530" s="53">
        <f t="shared" si="40"/>
        <v>-3.9736790507176829E-2</v>
      </c>
      <c r="H2530" s="35"/>
      <c r="P2530" s="6"/>
    </row>
    <row r="2531" spans="1:16" ht="14.4" x14ac:dyDescent="0.25">
      <c r="A2531" s="6">
        <v>8231</v>
      </c>
      <c r="B2531" s="6">
        <v>58851</v>
      </c>
      <c r="C2531" s="19">
        <v>40336</v>
      </c>
      <c r="D2531" s="6" t="s">
        <v>25</v>
      </c>
      <c r="E2531" s="6">
        <f>IF((ISBLANK($B$1)),"",Sheet1!Q2539)</f>
        <v>3550</v>
      </c>
      <c r="F2531" s="20" t="s">
        <v>29</v>
      </c>
      <c r="G2531" s="53">
        <f t="shared" si="40"/>
        <v>-1.5587864904876745</v>
      </c>
      <c r="H2531" s="35"/>
      <c r="P2531" s="6"/>
    </row>
    <row r="2532" spans="1:16" ht="14.4" x14ac:dyDescent="0.25">
      <c r="A2532" s="6">
        <v>8232</v>
      </c>
      <c r="B2532" s="6">
        <v>58851</v>
      </c>
      <c r="C2532" s="19">
        <v>40336</v>
      </c>
      <c r="D2532" s="6" t="s">
        <v>25</v>
      </c>
      <c r="E2532" s="6">
        <f>IF((ISBLANK($B$1)),"",Sheet1!Q2540)</f>
        <v>4100</v>
      </c>
      <c r="F2532" s="20" t="s">
        <v>27</v>
      </c>
      <c r="G2532" s="53">
        <f t="shared" si="40"/>
        <v>-0.79926164049742576</v>
      </c>
      <c r="H2532" s="35"/>
      <c r="P2532" s="6"/>
    </row>
    <row r="2533" spans="1:16" ht="14.4" x14ac:dyDescent="0.25">
      <c r="A2533" s="6">
        <v>8233</v>
      </c>
      <c r="B2533" s="6">
        <v>58853</v>
      </c>
      <c r="C2533" s="19">
        <v>41042</v>
      </c>
      <c r="D2533" s="6" t="s">
        <v>30</v>
      </c>
      <c r="E2533" s="6">
        <f>IF((ISBLANK($B$1)),"",Sheet1!Q2541)</f>
        <v>4750</v>
      </c>
      <c r="F2533" s="20" t="s">
        <v>29</v>
      </c>
      <c r="G2533" s="53">
        <f t="shared" si="40"/>
        <v>9.8358636763777513E-2</v>
      </c>
      <c r="H2533" s="35"/>
      <c r="P2533" s="6"/>
    </row>
    <row r="2534" spans="1:16" ht="14.4" x14ac:dyDescent="0.25">
      <c r="A2534" s="6">
        <v>8252</v>
      </c>
      <c r="B2534" s="6">
        <v>59015</v>
      </c>
      <c r="C2534" s="19">
        <v>41055</v>
      </c>
      <c r="D2534" s="6" t="s">
        <v>16</v>
      </c>
      <c r="E2534" s="6">
        <f>IF((ISBLANK($B$1)),"",Sheet1!Q2542)</f>
        <v>5000</v>
      </c>
      <c r="F2534" s="20" t="s">
        <v>27</v>
      </c>
      <c r="G2534" s="53">
        <f t="shared" si="40"/>
        <v>0.44359720494116334</v>
      </c>
      <c r="H2534" s="35"/>
      <c r="P2534" s="6"/>
    </row>
    <row r="2535" spans="1:16" ht="14.4" x14ac:dyDescent="0.25">
      <c r="A2535" s="6">
        <v>8253</v>
      </c>
      <c r="B2535" s="6">
        <v>59015</v>
      </c>
      <c r="C2535" s="19">
        <v>41055</v>
      </c>
      <c r="D2535" s="6" t="s">
        <v>16</v>
      </c>
      <c r="E2535" s="6">
        <f>IF((ISBLANK($B$1)),"",Sheet1!Q2543)</f>
        <v>5000</v>
      </c>
      <c r="F2535" s="20" t="s">
        <v>29</v>
      </c>
      <c r="G2535" s="53">
        <f t="shared" si="40"/>
        <v>0.44359720494116334</v>
      </c>
      <c r="H2535" s="35"/>
      <c r="P2535" s="6"/>
    </row>
    <row r="2536" spans="1:16" ht="14.4" x14ac:dyDescent="0.25">
      <c r="A2536" s="6">
        <v>8254</v>
      </c>
      <c r="B2536" s="6">
        <v>59015</v>
      </c>
      <c r="C2536" s="19">
        <v>41055</v>
      </c>
      <c r="D2536" s="6" t="s">
        <v>16</v>
      </c>
      <c r="E2536" s="6">
        <f>IF((ISBLANK($B$1)),"",Sheet1!Q2544)</f>
        <v>5000</v>
      </c>
      <c r="F2536" s="20" t="s">
        <v>26</v>
      </c>
      <c r="G2536" s="53">
        <f t="shared" si="40"/>
        <v>0.44359720494116334</v>
      </c>
      <c r="H2536" s="35"/>
      <c r="P2536" s="6"/>
    </row>
    <row r="2537" spans="1:16" ht="14.4" x14ac:dyDescent="0.25">
      <c r="A2537" s="6">
        <v>8264</v>
      </c>
      <c r="B2537" s="6">
        <v>59075</v>
      </c>
      <c r="C2537" s="19">
        <v>40965</v>
      </c>
      <c r="D2537" s="6" t="s">
        <v>25</v>
      </c>
      <c r="E2537" s="6">
        <f>IF((ISBLANK($B$1)),"",Sheet1!Q2545)</f>
        <v>5300</v>
      </c>
      <c r="F2537" s="20" t="s">
        <v>26</v>
      </c>
      <c r="G2537" s="53">
        <f t="shared" si="40"/>
        <v>0.85788348675402637</v>
      </c>
      <c r="H2537" s="35"/>
      <c r="P2537" s="6"/>
    </row>
    <row r="2538" spans="1:16" ht="14.4" x14ac:dyDescent="0.25">
      <c r="A2538" s="6">
        <v>8269</v>
      </c>
      <c r="B2538" s="6">
        <v>59108</v>
      </c>
      <c r="C2538" s="19">
        <v>40823</v>
      </c>
      <c r="D2538" s="6" t="s">
        <v>25</v>
      </c>
      <c r="E2538" s="6">
        <f>IF((ISBLANK($B$1)),"",Sheet1!Q2546)</f>
        <v>4450</v>
      </c>
      <c r="F2538" s="20" t="s">
        <v>26</v>
      </c>
      <c r="G2538" s="53">
        <f t="shared" si="40"/>
        <v>-0.31592764504908549</v>
      </c>
      <c r="H2538" s="35"/>
      <c r="P2538" s="6"/>
    </row>
    <row r="2539" spans="1:16" ht="14.4" x14ac:dyDescent="0.25">
      <c r="A2539" s="6">
        <v>8270</v>
      </c>
      <c r="B2539" s="6">
        <v>59108</v>
      </c>
      <c r="C2539" s="19">
        <v>40823</v>
      </c>
      <c r="D2539" s="6" t="s">
        <v>25</v>
      </c>
      <c r="E2539" s="6">
        <f>IF((ISBLANK($B$1)),"",Sheet1!Q2547)</f>
        <v>5350</v>
      </c>
      <c r="F2539" s="20" t="s">
        <v>27</v>
      </c>
      <c r="G2539" s="53">
        <f t="shared" si="40"/>
        <v>0.92693120038950361</v>
      </c>
      <c r="H2539" s="35"/>
      <c r="P2539" s="6"/>
    </row>
    <row r="2540" spans="1:16" ht="14.4" x14ac:dyDescent="0.25">
      <c r="A2540" s="6">
        <v>8339</v>
      </c>
      <c r="B2540" s="6">
        <v>59589</v>
      </c>
      <c r="C2540" s="19">
        <v>41010</v>
      </c>
      <c r="D2540" s="6" t="s">
        <v>16</v>
      </c>
      <c r="E2540" s="6">
        <f>IF((ISBLANK($B$1)),"",Sheet1!Q2548)</f>
        <v>4650</v>
      </c>
      <c r="F2540" s="20" t="s">
        <v>26</v>
      </c>
      <c r="G2540" s="53">
        <f t="shared" si="40"/>
        <v>-3.9736790507176829E-2</v>
      </c>
      <c r="H2540" s="35"/>
      <c r="P2540" s="6"/>
    </row>
    <row r="2541" spans="1:16" ht="14.4" x14ac:dyDescent="0.25">
      <c r="A2541" s="6">
        <v>8354</v>
      </c>
      <c r="B2541" s="6">
        <v>59685</v>
      </c>
      <c r="C2541" s="19">
        <v>41253</v>
      </c>
      <c r="D2541" s="6" t="s">
        <v>30</v>
      </c>
      <c r="E2541" s="6">
        <f>IF((ISBLANK($B$1)),"",Sheet1!Q2549)</f>
        <v>4000</v>
      </c>
      <c r="F2541" s="20" t="s">
        <v>26</v>
      </c>
      <c r="G2541" s="53">
        <f t="shared" si="40"/>
        <v>-0.93735706776838001</v>
      </c>
      <c r="H2541" s="35"/>
      <c r="P2541" s="6"/>
    </row>
    <row r="2542" spans="1:16" ht="14.4" x14ac:dyDescent="0.25">
      <c r="A2542" s="6">
        <v>8355</v>
      </c>
      <c r="B2542" s="6">
        <v>59685</v>
      </c>
      <c r="C2542" s="19">
        <v>41253</v>
      </c>
      <c r="D2542" s="6" t="s">
        <v>30</v>
      </c>
      <c r="E2542" s="6">
        <f>IF((ISBLANK($B$1)),"",Sheet1!Q2550)</f>
        <v>5700</v>
      </c>
      <c r="F2542" s="20" t="s">
        <v>29</v>
      </c>
      <c r="G2542" s="53">
        <f t="shared" si="40"/>
        <v>1.4102651958378438</v>
      </c>
      <c r="H2542" s="35"/>
      <c r="P2542" s="6"/>
    </row>
    <row r="2543" spans="1:16" ht="14.4" x14ac:dyDescent="0.25">
      <c r="A2543" s="6">
        <v>8377</v>
      </c>
      <c r="B2543" s="6">
        <v>59845</v>
      </c>
      <c r="C2543" s="19">
        <v>40169</v>
      </c>
      <c r="D2543" s="6" t="s">
        <v>25</v>
      </c>
      <c r="E2543" s="6">
        <f>IF((ISBLANK($B$1)),"",Sheet1!Q2551)</f>
        <v>5500</v>
      </c>
      <c r="F2543" s="20" t="s">
        <v>26</v>
      </c>
      <c r="G2543" s="53">
        <f t="shared" si="40"/>
        <v>1.1340743412959351</v>
      </c>
      <c r="H2543" s="35"/>
      <c r="P2543" s="6"/>
    </row>
    <row r="2544" spans="1:16" ht="14.4" x14ac:dyDescent="0.25">
      <c r="A2544" s="6">
        <v>8378</v>
      </c>
      <c r="B2544" s="6">
        <v>59845</v>
      </c>
      <c r="C2544" s="19">
        <v>40169</v>
      </c>
      <c r="D2544" s="6" t="s">
        <v>25</v>
      </c>
      <c r="E2544" s="6">
        <f>IF((ISBLANK($B$1)),"",Sheet1!Q2552)</f>
        <v>4800</v>
      </c>
      <c r="F2544" s="20" t="s">
        <v>26</v>
      </c>
      <c r="G2544" s="53">
        <f t="shared" si="40"/>
        <v>0.16740635039925467</v>
      </c>
      <c r="H2544" s="35"/>
      <c r="P2544" s="6"/>
    </row>
    <row r="2545" spans="1:16" ht="14.4" x14ac:dyDescent="0.25">
      <c r="A2545" s="6">
        <v>24</v>
      </c>
      <c r="B2545" s="6">
        <v>134</v>
      </c>
      <c r="C2545" s="19">
        <v>41029</v>
      </c>
      <c r="D2545" s="6" t="s">
        <v>28</v>
      </c>
      <c r="E2545" s="6">
        <f>IF((ISBLANK($B$1)),"",Sheet1!Q2553)</f>
        <v>3950</v>
      </c>
      <c r="F2545" s="20" t="s">
        <v>26</v>
      </c>
      <c r="G2545" s="53">
        <f t="shared" si="40"/>
        <v>-1.0064047814038573</v>
      </c>
      <c r="H2545" s="35"/>
      <c r="P2545" s="6"/>
    </row>
    <row r="2546" spans="1:16" ht="14.4" x14ac:dyDescent="0.25">
      <c r="A2546" s="6">
        <v>114</v>
      </c>
      <c r="B2546" s="6">
        <v>740</v>
      </c>
      <c r="C2546" s="19">
        <v>40739</v>
      </c>
      <c r="D2546" s="6" t="s">
        <v>16</v>
      </c>
      <c r="E2546" s="6">
        <f>IF((ISBLANK($B$1)),"",Sheet1!Q2554)</f>
        <v>3700</v>
      </c>
      <c r="F2546" s="20" t="s">
        <v>26</v>
      </c>
      <c r="G2546" s="53">
        <f t="shared" si="40"/>
        <v>-1.351643349581243</v>
      </c>
      <c r="H2546" s="35"/>
      <c r="P2546" s="6"/>
    </row>
    <row r="2547" spans="1:16" ht="14.4" x14ac:dyDescent="0.25">
      <c r="A2547" s="6">
        <v>130</v>
      </c>
      <c r="B2547" s="6">
        <v>833</v>
      </c>
      <c r="C2547" s="19">
        <v>39856</v>
      </c>
      <c r="D2547" s="6" t="s">
        <v>16</v>
      </c>
      <c r="E2547" s="6">
        <f>IF((ISBLANK($B$1)),"",Sheet1!Q2555)</f>
        <v>3450</v>
      </c>
      <c r="F2547" s="20" t="s">
        <v>26</v>
      </c>
      <c r="G2547" s="53">
        <f t="shared" si="40"/>
        <v>-1.696881917758629</v>
      </c>
      <c r="H2547" s="35"/>
      <c r="P2547" s="6"/>
    </row>
    <row r="2548" spans="1:16" ht="14.4" x14ac:dyDescent="0.25">
      <c r="A2548" s="6">
        <v>234</v>
      </c>
      <c r="B2548" s="6">
        <v>1573</v>
      </c>
      <c r="C2548" s="19">
        <v>41270</v>
      </c>
      <c r="D2548" s="6" t="s">
        <v>17</v>
      </c>
      <c r="E2548" s="6">
        <f>IF((ISBLANK($B$1)),"",Sheet1!Q2556)</f>
        <v>4050</v>
      </c>
      <c r="F2548" s="20" t="s">
        <v>29</v>
      </c>
      <c r="G2548" s="53">
        <f t="shared" si="40"/>
        <v>-0.86830935413290289</v>
      </c>
      <c r="H2548" s="35"/>
      <c r="P2548" s="6"/>
    </row>
    <row r="2549" spans="1:16" ht="14.4" x14ac:dyDescent="0.25">
      <c r="A2549" s="6">
        <v>243</v>
      </c>
      <c r="B2549" s="6">
        <v>1639</v>
      </c>
      <c r="C2549" s="19">
        <v>40774</v>
      </c>
      <c r="D2549" s="6" t="s">
        <v>28</v>
      </c>
      <c r="E2549" s="6">
        <f>IF((ISBLANK($B$1)),"",Sheet1!Q2557)</f>
        <v>4600</v>
      </c>
      <c r="F2549" s="20" t="s">
        <v>26</v>
      </c>
      <c r="G2549" s="53">
        <f t="shared" si="40"/>
        <v>-0.108784504142654</v>
      </c>
      <c r="H2549" s="35"/>
      <c r="P2549" s="6"/>
    </row>
    <row r="2550" spans="1:16" ht="14.4" x14ac:dyDescent="0.25">
      <c r="A2550" s="6">
        <v>297</v>
      </c>
      <c r="B2550" s="6">
        <v>2053</v>
      </c>
      <c r="C2550" s="19">
        <v>40580</v>
      </c>
      <c r="D2550" s="6" t="s">
        <v>30</v>
      </c>
      <c r="E2550" s="6">
        <f>IF((ISBLANK($B$1)),"",Sheet1!Q2558)</f>
        <v>5350</v>
      </c>
      <c r="F2550" s="20" t="s">
        <v>29</v>
      </c>
      <c r="G2550" s="53">
        <f t="shared" si="40"/>
        <v>0.92693120038950361</v>
      </c>
      <c r="H2550" s="35"/>
      <c r="P2550" s="6"/>
    </row>
    <row r="2551" spans="1:16" ht="14.4" x14ac:dyDescent="0.25">
      <c r="A2551" s="6">
        <v>298</v>
      </c>
      <c r="B2551" s="6">
        <v>2053</v>
      </c>
      <c r="C2551" s="19">
        <v>40580</v>
      </c>
      <c r="D2551" s="6" t="s">
        <v>30</v>
      </c>
      <c r="E2551" s="6">
        <f>IF((ISBLANK($B$1)),"",Sheet1!Q2559)</f>
        <v>3750</v>
      </c>
      <c r="F2551" s="20" t="s">
        <v>27</v>
      </c>
      <c r="G2551" s="53">
        <f t="shared" si="40"/>
        <v>-1.282595635945766</v>
      </c>
      <c r="H2551" s="35"/>
      <c r="P2551" s="6"/>
    </row>
    <row r="2552" spans="1:16" ht="14.4" x14ac:dyDescent="0.25">
      <c r="A2552" s="6">
        <v>307</v>
      </c>
      <c r="B2552" s="6">
        <v>2146</v>
      </c>
      <c r="C2552" s="19">
        <v>41165</v>
      </c>
      <c r="D2552" s="6" t="s">
        <v>28</v>
      </c>
      <c r="E2552" s="6">
        <f>IF((ISBLANK($B$1)),"",Sheet1!Q2560)</f>
        <v>5450</v>
      </c>
      <c r="F2552" s="20" t="s">
        <v>27</v>
      </c>
      <c r="G2552" s="53">
        <f t="shared" si="40"/>
        <v>1.0650266276604579</v>
      </c>
      <c r="H2552" s="35"/>
      <c r="P2552" s="6"/>
    </row>
    <row r="2553" spans="1:16" ht="14.4" x14ac:dyDescent="0.25">
      <c r="A2553" s="6">
        <v>308</v>
      </c>
      <c r="B2553" s="6">
        <v>2146</v>
      </c>
      <c r="C2553" s="19">
        <v>41165</v>
      </c>
      <c r="D2553" s="6" t="s">
        <v>28</v>
      </c>
      <c r="E2553" s="6">
        <f>IF((ISBLANK($B$1)),"",Sheet1!Q2561)</f>
        <v>5600</v>
      </c>
      <c r="F2553" s="20" t="s">
        <v>26</v>
      </c>
      <c r="G2553" s="53">
        <f t="shared" si="40"/>
        <v>1.2721697685668893</v>
      </c>
      <c r="H2553" s="35"/>
      <c r="P2553" s="6"/>
    </row>
    <row r="2554" spans="1:16" ht="14.4" x14ac:dyDescent="0.25">
      <c r="A2554" s="6">
        <v>396</v>
      </c>
      <c r="B2554" s="6">
        <v>2752</v>
      </c>
      <c r="C2554" s="19">
        <v>40500</v>
      </c>
      <c r="D2554" s="6" t="s">
        <v>17</v>
      </c>
      <c r="E2554" s="6">
        <f>IF((ISBLANK($B$1)),"",Sheet1!Q2562)</f>
        <v>4900</v>
      </c>
      <c r="F2554" s="20" t="s">
        <v>27</v>
      </c>
      <c r="G2554" s="53">
        <f t="shared" si="40"/>
        <v>0.30550177767020903</v>
      </c>
      <c r="H2554" s="35"/>
      <c r="P2554" s="6"/>
    </row>
    <row r="2555" spans="1:16" ht="14.4" x14ac:dyDescent="0.25">
      <c r="A2555" s="6">
        <v>397</v>
      </c>
      <c r="B2555" s="6">
        <v>2752</v>
      </c>
      <c r="C2555" s="19">
        <v>40500</v>
      </c>
      <c r="D2555" s="6" t="s">
        <v>17</v>
      </c>
      <c r="E2555" s="6">
        <f>IF((ISBLANK($B$1)),"",Sheet1!Q2563)</f>
        <v>5450</v>
      </c>
      <c r="F2555" s="20" t="s">
        <v>26</v>
      </c>
      <c r="G2555" s="53">
        <f t="shared" si="40"/>
        <v>1.0650266276604579</v>
      </c>
      <c r="H2555" s="35"/>
      <c r="P2555" s="6"/>
    </row>
    <row r="2556" spans="1:16" ht="14.4" x14ac:dyDescent="0.25">
      <c r="A2556" s="6">
        <v>398</v>
      </c>
      <c r="B2556" s="6">
        <v>2752</v>
      </c>
      <c r="C2556" s="19">
        <v>40500</v>
      </c>
      <c r="D2556" s="6" t="s">
        <v>17</v>
      </c>
      <c r="E2556" s="6">
        <f>IF((ISBLANK($B$1)),"",Sheet1!Q2564)</f>
        <v>3900</v>
      </c>
      <c r="F2556" s="20" t="s">
        <v>26</v>
      </c>
      <c r="G2556" s="53">
        <f t="shared" si="40"/>
        <v>-1.0754524950393345</v>
      </c>
      <c r="H2556" s="35"/>
      <c r="P2556" s="6"/>
    </row>
    <row r="2557" spans="1:16" ht="14.4" x14ac:dyDescent="0.25">
      <c r="A2557" s="6">
        <v>399</v>
      </c>
      <c r="B2557" s="6">
        <v>2752</v>
      </c>
      <c r="C2557" s="19">
        <v>40500</v>
      </c>
      <c r="D2557" s="6" t="s">
        <v>17</v>
      </c>
      <c r="E2557" s="6">
        <f>IF((ISBLANK($B$1)),"",Sheet1!Q2565)</f>
        <v>3900</v>
      </c>
      <c r="F2557" s="20" t="s">
        <v>27</v>
      </c>
      <c r="G2557" s="53">
        <f t="shared" si="40"/>
        <v>-1.0754524950393345</v>
      </c>
      <c r="H2557" s="35"/>
      <c r="P2557" s="6"/>
    </row>
    <row r="2558" spans="1:16" ht="14.4" x14ac:dyDescent="0.25">
      <c r="A2558" s="6">
        <v>760</v>
      </c>
      <c r="B2558" s="6">
        <v>5445</v>
      </c>
      <c r="C2558" s="19">
        <v>40384</v>
      </c>
      <c r="D2558" s="6" t="s">
        <v>25</v>
      </c>
      <c r="E2558" s="6">
        <f>IF((ISBLANK($B$1)),"",Sheet1!Q2566)</f>
        <v>3600</v>
      </c>
      <c r="F2558" s="20" t="s">
        <v>26</v>
      </c>
      <c r="G2558" s="53">
        <f t="shared" si="40"/>
        <v>-1.4897387768521975</v>
      </c>
      <c r="H2558" s="35"/>
      <c r="P2558" s="6"/>
    </row>
    <row r="2559" spans="1:16" ht="14.4" x14ac:dyDescent="0.25">
      <c r="A2559" s="6">
        <v>761</v>
      </c>
      <c r="B2559" s="6">
        <v>5445</v>
      </c>
      <c r="C2559" s="19">
        <v>40384</v>
      </c>
      <c r="D2559" s="6" t="s">
        <v>25</v>
      </c>
      <c r="E2559" s="6">
        <f>IF((ISBLANK($B$1)),"",Sheet1!Q2567)</f>
        <v>3850</v>
      </c>
      <c r="F2559" s="20" t="s">
        <v>26</v>
      </c>
      <c r="G2559" s="53">
        <f t="shared" si="40"/>
        <v>-1.1445002086748115</v>
      </c>
      <c r="H2559" s="35"/>
      <c r="P2559" s="6"/>
    </row>
    <row r="2560" spans="1:16" ht="14.4" x14ac:dyDescent="0.25">
      <c r="A2560" s="6">
        <v>797</v>
      </c>
      <c r="B2560" s="6">
        <v>5699</v>
      </c>
      <c r="C2560" s="19">
        <v>41119</v>
      </c>
      <c r="D2560" s="6" t="s">
        <v>25</v>
      </c>
      <c r="E2560" s="6">
        <f>IF((ISBLANK($B$1)),"",Sheet1!Q2568)</f>
        <v>3500</v>
      </c>
      <c r="F2560" s="20" t="s">
        <v>26</v>
      </c>
      <c r="G2560" s="53">
        <f t="shared" si="40"/>
        <v>-1.6278342041231517</v>
      </c>
      <c r="H2560" s="35"/>
      <c r="P2560" s="6"/>
    </row>
    <row r="2561" spans="1:16" ht="14.4" x14ac:dyDescent="0.25">
      <c r="A2561" s="6">
        <v>798</v>
      </c>
      <c r="B2561" s="6">
        <v>5699</v>
      </c>
      <c r="C2561" s="19">
        <v>41119</v>
      </c>
      <c r="D2561" s="6" t="s">
        <v>25</v>
      </c>
      <c r="E2561" s="6">
        <f>IF((ISBLANK($B$1)),"",Sheet1!Q2569)</f>
        <v>5450</v>
      </c>
      <c r="F2561" s="20" t="s">
        <v>26</v>
      </c>
      <c r="G2561" s="53">
        <f t="shared" si="40"/>
        <v>1.0650266276604579</v>
      </c>
      <c r="H2561" s="35"/>
      <c r="P2561" s="6"/>
    </row>
    <row r="2562" spans="1:16" ht="14.4" x14ac:dyDescent="0.25">
      <c r="A2562" s="6">
        <v>940</v>
      </c>
      <c r="B2562" s="6">
        <v>6823</v>
      </c>
      <c r="C2562" s="19">
        <v>40015</v>
      </c>
      <c r="D2562" s="6" t="s">
        <v>28</v>
      </c>
      <c r="E2562" s="6">
        <f>IF((ISBLANK($B$1)),"",Sheet1!Q2570)</f>
        <v>5900</v>
      </c>
      <c r="F2562" s="20" t="s">
        <v>26</v>
      </c>
      <c r="G2562" s="53">
        <f t="shared" si="40"/>
        <v>1.6864560503797523</v>
      </c>
      <c r="H2562" s="35"/>
      <c r="P2562" s="6"/>
    </row>
    <row r="2563" spans="1:16" ht="14.4" x14ac:dyDescent="0.25">
      <c r="A2563" s="6">
        <v>941</v>
      </c>
      <c r="B2563" s="6">
        <v>6823</v>
      </c>
      <c r="C2563" s="19">
        <v>40015</v>
      </c>
      <c r="D2563" s="6" t="s">
        <v>28</v>
      </c>
      <c r="E2563" s="6">
        <f>IF((ISBLANK($B$1)),"",Sheet1!Q2571)</f>
        <v>4950</v>
      </c>
      <c r="F2563" s="20" t="s">
        <v>27</v>
      </c>
      <c r="G2563" s="53">
        <f t="shared" si="40"/>
        <v>0.37454949130568621</v>
      </c>
      <c r="H2563" s="35"/>
      <c r="P2563" s="6"/>
    </row>
    <row r="2564" spans="1:16" ht="14.4" x14ac:dyDescent="0.25">
      <c r="A2564" s="6">
        <v>959</v>
      </c>
      <c r="B2564" s="6">
        <v>6948</v>
      </c>
      <c r="C2564" s="19">
        <v>40521</v>
      </c>
      <c r="D2564" s="6" t="s">
        <v>28</v>
      </c>
      <c r="E2564" s="6">
        <f>IF((ISBLANK($B$1)),"",Sheet1!Q2572)</f>
        <v>4150</v>
      </c>
      <c r="F2564" s="20" t="s">
        <v>27</v>
      </c>
      <c r="G2564" s="53">
        <f t="shared" si="40"/>
        <v>-0.73021392686194853</v>
      </c>
      <c r="H2564" s="35"/>
      <c r="P2564" s="6"/>
    </row>
    <row r="2565" spans="1:16" ht="14.4" x14ac:dyDescent="0.25">
      <c r="A2565" s="6">
        <v>1027</v>
      </c>
      <c r="B2565" s="6">
        <v>7462</v>
      </c>
      <c r="C2565" s="19">
        <v>40594</v>
      </c>
      <c r="D2565" s="6" t="s">
        <v>17</v>
      </c>
      <c r="E2565" s="6">
        <f>IF((ISBLANK($B$1)),"",Sheet1!Q2573)</f>
        <v>3550</v>
      </c>
      <c r="F2565" s="20" t="s">
        <v>26</v>
      </c>
      <c r="G2565" s="53">
        <f t="shared" si="40"/>
        <v>-1.5587864904876745</v>
      </c>
      <c r="H2565" s="35"/>
      <c r="P2565" s="6"/>
    </row>
    <row r="2566" spans="1:16" ht="14.4" x14ac:dyDescent="0.25">
      <c r="A2566" s="6">
        <v>1062</v>
      </c>
      <c r="B2566" s="6">
        <v>7845</v>
      </c>
      <c r="C2566" s="19">
        <v>40160</v>
      </c>
      <c r="D2566" s="6" t="s">
        <v>30</v>
      </c>
      <c r="E2566" s="6">
        <f>IF((ISBLANK($B$1)),"",Sheet1!Q2574)</f>
        <v>4500</v>
      </c>
      <c r="F2566" s="20" t="s">
        <v>26</v>
      </c>
      <c r="G2566" s="53">
        <f t="shared" si="40"/>
        <v>-0.24687993141360834</v>
      </c>
      <c r="H2566" s="35"/>
      <c r="P2566" s="6"/>
    </row>
    <row r="2567" spans="1:16" ht="14.4" x14ac:dyDescent="0.25">
      <c r="A2567" s="6">
        <v>1063</v>
      </c>
      <c r="B2567" s="6">
        <v>7845</v>
      </c>
      <c r="C2567" s="19">
        <v>40160</v>
      </c>
      <c r="D2567" s="6" t="s">
        <v>30</v>
      </c>
      <c r="E2567" s="6">
        <f>IF((ISBLANK($B$1)),"",Sheet1!Q2575)</f>
        <v>5650</v>
      </c>
      <c r="F2567" s="20" t="s">
        <v>26</v>
      </c>
      <c r="G2567" s="53">
        <f t="shared" si="40"/>
        <v>1.3412174822023666</v>
      </c>
      <c r="H2567" s="35"/>
      <c r="P2567" s="6"/>
    </row>
    <row r="2568" spans="1:16" ht="14.4" x14ac:dyDescent="0.25">
      <c r="A2568" s="6">
        <v>1092</v>
      </c>
      <c r="B2568" s="6">
        <v>8033</v>
      </c>
      <c r="C2568" s="19">
        <v>41023</v>
      </c>
      <c r="D2568" s="6" t="s">
        <v>17</v>
      </c>
      <c r="E2568" s="6">
        <f>IF((ISBLANK($B$1)),"",Sheet1!Q2576)</f>
        <v>4750</v>
      </c>
      <c r="F2568" s="20" t="s">
        <v>26</v>
      </c>
      <c r="G2568" s="53">
        <f t="shared" ref="G2568:G2631" si="41">STANDARDIZE(E2568,$L$26,$L$35)</f>
        <v>9.8358636763777513E-2</v>
      </c>
      <c r="H2568" s="35"/>
      <c r="P2568" s="6"/>
    </row>
    <row r="2569" spans="1:16" ht="14.4" x14ac:dyDescent="0.25">
      <c r="A2569" s="6">
        <v>1150</v>
      </c>
      <c r="B2569" s="6">
        <v>8388</v>
      </c>
      <c r="C2569" s="19">
        <v>40962</v>
      </c>
      <c r="D2569" s="6" t="s">
        <v>25</v>
      </c>
      <c r="E2569" s="6">
        <f>IF((ISBLANK($B$1)),"",Sheet1!Q2577)</f>
        <v>5350</v>
      </c>
      <c r="F2569" s="20" t="s">
        <v>29</v>
      </c>
      <c r="G2569" s="53">
        <f t="shared" si="41"/>
        <v>0.92693120038950361</v>
      </c>
      <c r="H2569" s="35"/>
      <c r="P2569" s="6"/>
    </row>
    <row r="2570" spans="1:16" ht="14.4" x14ac:dyDescent="0.25">
      <c r="A2570" s="6">
        <v>1151</v>
      </c>
      <c r="B2570" s="6">
        <v>8388</v>
      </c>
      <c r="C2570" s="19">
        <v>40962</v>
      </c>
      <c r="D2570" s="6" t="s">
        <v>25</v>
      </c>
      <c r="E2570" s="6">
        <f>IF((ISBLANK($B$1)),"",Sheet1!Q2578)</f>
        <v>5250</v>
      </c>
      <c r="F2570" s="20" t="s">
        <v>26</v>
      </c>
      <c r="G2570" s="53">
        <f t="shared" si="41"/>
        <v>0.78883577311854924</v>
      </c>
      <c r="H2570" s="35"/>
      <c r="P2570" s="6"/>
    </row>
    <row r="2571" spans="1:16" ht="14.4" x14ac:dyDescent="0.25">
      <c r="A2571" s="6">
        <v>1152</v>
      </c>
      <c r="B2571" s="6">
        <v>8388</v>
      </c>
      <c r="C2571" s="19">
        <v>40962</v>
      </c>
      <c r="D2571" s="6" t="s">
        <v>25</v>
      </c>
      <c r="E2571" s="6">
        <f>IF((ISBLANK($B$1)),"",Sheet1!Q2579)</f>
        <v>5500</v>
      </c>
      <c r="F2571" s="20" t="s">
        <v>26</v>
      </c>
      <c r="G2571" s="53">
        <f t="shared" si="41"/>
        <v>1.1340743412959351</v>
      </c>
      <c r="H2571" s="35"/>
      <c r="P2571" s="6"/>
    </row>
    <row r="2572" spans="1:16" ht="14.4" x14ac:dyDescent="0.25">
      <c r="A2572" s="6">
        <v>1334</v>
      </c>
      <c r="B2572" s="6">
        <v>9761</v>
      </c>
      <c r="C2572" s="19">
        <v>40930</v>
      </c>
      <c r="D2572" s="6" t="s">
        <v>28</v>
      </c>
      <c r="E2572" s="6">
        <f>IF((ISBLANK($B$1)),"",Sheet1!Q2580)</f>
        <v>3500</v>
      </c>
      <c r="F2572" s="20" t="s">
        <v>27</v>
      </c>
      <c r="G2572" s="53">
        <f t="shared" si="41"/>
        <v>-1.6278342041231517</v>
      </c>
      <c r="H2572" s="35"/>
      <c r="P2572" s="6"/>
    </row>
    <row r="2573" spans="1:16" ht="14.4" x14ac:dyDescent="0.25">
      <c r="A2573" s="6">
        <v>1335</v>
      </c>
      <c r="B2573" s="6">
        <v>9761</v>
      </c>
      <c r="C2573" s="19">
        <v>40930</v>
      </c>
      <c r="D2573" s="6" t="s">
        <v>28</v>
      </c>
      <c r="E2573" s="6">
        <f>IF((ISBLANK($B$1)),"",Sheet1!Q2581)</f>
        <v>4550</v>
      </c>
      <c r="F2573" s="20" t="s">
        <v>26</v>
      </c>
      <c r="G2573" s="53">
        <f t="shared" si="41"/>
        <v>-0.17783221777813119</v>
      </c>
      <c r="H2573" s="35"/>
      <c r="P2573" s="6"/>
    </row>
    <row r="2574" spans="1:16" ht="14.4" x14ac:dyDescent="0.25">
      <c r="A2574" s="6">
        <v>1354</v>
      </c>
      <c r="B2574" s="6">
        <v>9863</v>
      </c>
      <c r="C2574" s="19">
        <v>40790</v>
      </c>
      <c r="D2574" s="6" t="s">
        <v>30</v>
      </c>
      <c r="E2574" s="6">
        <f>IF((ISBLANK($B$1)),"",Sheet1!Q2582)</f>
        <v>4300</v>
      </c>
      <c r="F2574" s="20" t="s">
        <v>26</v>
      </c>
      <c r="G2574" s="53">
        <f t="shared" si="41"/>
        <v>-0.52307078595551704</v>
      </c>
      <c r="H2574" s="35"/>
      <c r="P2574" s="6"/>
    </row>
    <row r="2575" spans="1:16" ht="14.4" x14ac:dyDescent="0.25">
      <c r="A2575" s="6">
        <v>1432</v>
      </c>
      <c r="B2575" s="6">
        <v>10342</v>
      </c>
      <c r="C2575" s="19">
        <v>40869</v>
      </c>
      <c r="D2575" s="6" t="s">
        <v>16</v>
      </c>
      <c r="E2575" s="6">
        <f>IF((ISBLANK($B$1)),"",Sheet1!Q2583)</f>
        <v>5650</v>
      </c>
      <c r="F2575" s="20" t="s">
        <v>29</v>
      </c>
      <c r="G2575" s="53">
        <f t="shared" si="41"/>
        <v>1.3412174822023666</v>
      </c>
      <c r="H2575" s="35"/>
      <c r="P2575" s="6"/>
    </row>
    <row r="2576" spans="1:16" ht="14.4" x14ac:dyDescent="0.25">
      <c r="A2576" s="6">
        <v>1433</v>
      </c>
      <c r="B2576" s="6">
        <v>10342</v>
      </c>
      <c r="C2576" s="19">
        <v>40869</v>
      </c>
      <c r="D2576" s="6" t="s">
        <v>16</v>
      </c>
      <c r="E2576" s="6">
        <f>IF((ISBLANK($B$1)),"",Sheet1!Q2584)</f>
        <v>5300</v>
      </c>
      <c r="F2576" s="20" t="s">
        <v>27</v>
      </c>
      <c r="G2576" s="53">
        <f t="shared" si="41"/>
        <v>0.85788348675402637</v>
      </c>
      <c r="H2576" s="35"/>
      <c r="P2576" s="6"/>
    </row>
    <row r="2577" spans="1:16" ht="14.4" x14ac:dyDescent="0.25">
      <c r="A2577" s="6">
        <v>1434</v>
      </c>
      <c r="B2577" s="6">
        <v>10342</v>
      </c>
      <c r="C2577" s="19">
        <v>40869</v>
      </c>
      <c r="D2577" s="6" t="s">
        <v>16</v>
      </c>
      <c r="E2577" s="6">
        <f>IF((ISBLANK($B$1)),"",Sheet1!Q2585)</f>
        <v>5300</v>
      </c>
      <c r="F2577" s="20" t="s">
        <v>29</v>
      </c>
      <c r="G2577" s="53">
        <f t="shared" si="41"/>
        <v>0.85788348675402637</v>
      </c>
      <c r="H2577" s="35"/>
      <c r="P2577" s="6"/>
    </row>
    <row r="2578" spans="1:16" ht="14.4" x14ac:dyDescent="0.25">
      <c r="A2578" s="6">
        <v>1435</v>
      </c>
      <c r="B2578" s="6">
        <v>10342</v>
      </c>
      <c r="C2578" s="19">
        <v>40869</v>
      </c>
      <c r="D2578" s="6" t="s">
        <v>16</v>
      </c>
      <c r="E2578" s="6">
        <f>IF((ISBLANK($B$1)),"",Sheet1!Q2586)</f>
        <v>3500</v>
      </c>
      <c r="F2578" s="20" t="s">
        <v>27</v>
      </c>
      <c r="G2578" s="53">
        <f t="shared" si="41"/>
        <v>-1.6278342041231517</v>
      </c>
      <c r="H2578" s="35"/>
      <c r="P2578" s="6"/>
    </row>
    <row r="2579" spans="1:16" ht="14.4" x14ac:dyDescent="0.25">
      <c r="A2579" s="6">
        <v>1441</v>
      </c>
      <c r="B2579" s="6">
        <v>10434</v>
      </c>
      <c r="C2579" s="19">
        <v>40170</v>
      </c>
      <c r="D2579" s="6" t="s">
        <v>17</v>
      </c>
      <c r="E2579" s="6">
        <f>IF((ISBLANK($B$1)),"",Sheet1!Q2587)</f>
        <v>3500</v>
      </c>
      <c r="F2579" s="20" t="s">
        <v>29</v>
      </c>
      <c r="G2579" s="53">
        <f t="shared" si="41"/>
        <v>-1.6278342041231517</v>
      </c>
      <c r="H2579" s="35"/>
      <c r="P2579" s="6"/>
    </row>
    <row r="2580" spans="1:16" ht="14.4" x14ac:dyDescent="0.25">
      <c r="A2580" s="6">
        <v>1532</v>
      </c>
      <c r="B2580" s="6">
        <v>11040</v>
      </c>
      <c r="C2580" s="19">
        <v>40839</v>
      </c>
      <c r="D2580" s="6" t="s">
        <v>28</v>
      </c>
      <c r="E2580" s="6">
        <f>IF((ISBLANK($B$1)),"",Sheet1!Q2588)</f>
        <v>5600</v>
      </c>
      <c r="F2580" s="20" t="s">
        <v>26</v>
      </c>
      <c r="G2580" s="53">
        <f t="shared" si="41"/>
        <v>1.2721697685668893</v>
      </c>
      <c r="H2580" s="35"/>
      <c r="P2580" s="6"/>
    </row>
    <row r="2581" spans="1:16" ht="14.4" x14ac:dyDescent="0.25">
      <c r="A2581" s="6">
        <v>1566</v>
      </c>
      <c r="B2581" s="6">
        <v>11302</v>
      </c>
      <c r="C2581" s="19">
        <v>39873</v>
      </c>
      <c r="D2581" s="6" t="s">
        <v>25</v>
      </c>
      <c r="E2581" s="6">
        <f>IF((ISBLANK($B$1)),"",Sheet1!Q2589)</f>
        <v>3900</v>
      </c>
      <c r="F2581" s="20" t="s">
        <v>27</v>
      </c>
      <c r="G2581" s="53">
        <f t="shared" si="41"/>
        <v>-1.0754524950393345</v>
      </c>
      <c r="H2581" s="35"/>
      <c r="P2581" s="6"/>
    </row>
    <row r="2582" spans="1:16" ht="14.4" x14ac:dyDescent="0.25">
      <c r="A2582" s="6">
        <v>1577</v>
      </c>
      <c r="B2582" s="6">
        <v>11398</v>
      </c>
      <c r="C2582" s="19">
        <v>41127</v>
      </c>
      <c r="D2582" s="6" t="s">
        <v>17</v>
      </c>
      <c r="E2582" s="6">
        <f>IF((ISBLANK($B$1)),"",Sheet1!Q2590)</f>
        <v>4200</v>
      </c>
      <c r="F2582" s="20" t="s">
        <v>26</v>
      </c>
      <c r="G2582" s="53">
        <f t="shared" si="41"/>
        <v>-0.6611662132264714</v>
      </c>
      <c r="H2582" s="35"/>
      <c r="P2582" s="6"/>
    </row>
    <row r="2583" spans="1:16" ht="14.4" x14ac:dyDescent="0.25">
      <c r="A2583" s="6">
        <v>1578</v>
      </c>
      <c r="B2583" s="6">
        <v>11398</v>
      </c>
      <c r="C2583" s="19">
        <v>41127</v>
      </c>
      <c r="D2583" s="6" t="s">
        <v>17</v>
      </c>
      <c r="E2583" s="6">
        <f>IF((ISBLANK($B$1)),"",Sheet1!Q2591)</f>
        <v>4700</v>
      </c>
      <c r="F2583" s="20" t="s">
        <v>26</v>
      </c>
      <c r="G2583" s="53">
        <f t="shared" si="41"/>
        <v>2.9310923128300338E-2</v>
      </c>
      <c r="H2583" s="35"/>
      <c r="P2583" s="6"/>
    </row>
    <row r="2584" spans="1:16" ht="14.4" x14ac:dyDescent="0.25">
      <c r="A2584" s="6">
        <v>1599</v>
      </c>
      <c r="B2584" s="6">
        <v>11584</v>
      </c>
      <c r="C2584" s="19">
        <v>40139</v>
      </c>
      <c r="D2584" s="6" t="s">
        <v>16</v>
      </c>
      <c r="E2584" s="6">
        <f>IF((ISBLANK($B$1)),"",Sheet1!Q2592)</f>
        <v>5800</v>
      </c>
      <c r="F2584" s="20" t="s">
        <v>27</v>
      </c>
      <c r="G2584" s="53">
        <f t="shared" si="41"/>
        <v>1.5483606231087981</v>
      </c>
      <c r="H2584" s="35"/>
      <c r="P2584" s="6"/>
    </row>
    <row r="2585" spans="1:16" ht="14.4" x14ac:dyDescent="0.25">
      <c r="A2585" s="6">
        <v>1607</v>
      </c>
      <c r="B2585" s="6">
        <v>11652</v>
      </c>
      <c r="C2585" s="19">
        <v>40857</v>
      </c>
      <c r="D2585" s="6" t="s">
        <v>28</v>
      </c>
      <c r="E2585" s="6">
        <f>IF((ISBLANK($B$1)),"",Sheet1!Q2593)</f>
        <v>5150</v>
      </c>
      <c r="F2585" s="20" t="s">
        <v>27</v>
      </c>
      <c r="G2585" s="53">
        <f t="shared" si="41"/>
        <v>0.65074034584759488</v>
      </c>
      <c r="H2585" s="35"/>
      <c r="P2585" s="6"/>
    </row>
    <row r="2586" spans="1:16" ht="14.4" x14ac:dyDescent="0.25">
      <c r="A2586" s="6">
        <v>1608</v>
      </c>
      <c r="B2586" s="6">
        <v>11652</v>
      </c>
      <c r="C2586" s="19">
        <v>40857</v>
      </c>
      <c r="D2586" s="6" t="s">
        <v>28</v>
      </c>
      <c r="E2586" s="6">
        <f>IF((ISBLANK($B$1)),"",Sheet1!Q2594)</f>
        <v>5250</v>
      </c>
      <c r="F2586" s="20" t="s">
        <v>26</v>
      </c>
      <c r="G2586" s="53">
        <f t="shared" si="41"/>
        <v>0.78883577311854924</v>
      </c>
      <c r="H2586" s="35"/>
      <c r="P2586" s="6"/>
    </row>
    <row r="2587" spans="1:16" ht="14.4" x14ac:dyDescent="0.25">
      <c r="A2587" s="6">
        <v>1609</v>
      </c>
      <c r="B2587" s="6">
        <v>11652</v>
      </c>
      <c r="C2587" s="19">
        <v>40857</v>
      </c>
      <c r="D2587" s="6" t="s">
        <v>28</v>
      </c>
      <c r="E2587" s="6">
        <f>IF((ISBLANK($B$1)),"",Sheet1!Q2595)</f>
        <v>3450</v>
      </c>
      <c r="F2587" s="20" t="s">
        <v>27</v>
      </c>
      <c r="G2587" s="53">
        <f t="shared" si="41"/>
        <v>-1.696881917758629</v>
      </c>
      <c r="H2587" s="35"/>
      <c r="P2587" s="6"/>
    </row>
    <row r="2588" spans="1:16" ht="14.4" x14ac:dyDescent="0.25">
      <c r="A2588" s="6">
        <v>1610</v>
      </c>
      <c r="B2588" s="6">
        <v>11652</v>
      </c>
      <c r="C2588" s="19">
        <v>40857</v>
      </c>
      <c r="D2588" s="6" t="s">
        <v>28</v>
      </c>
      <c r="E2588" s="6">
        <f>IF((ISBLANK($B$1)),"",Sheet1!Q2596)</f>
        <v>4650</v>
      </c>
      <c r="F2588" s="20" t="s">
        <v>26</v>
      </c>
      <c r="G2588" s="53">
        <f t="shared" si="41"/>
        <v>-3.9736790507176829E-2</v>
      </c>
      <c r="H2588" s="35"/>
      <c r="P2588" s="6"/>
    </row>
    <row r="2589" spans="1:16" ht="14.4" x14ac:dyDescent="0.25">
      <c r="A2589" s="6">
        <v>1615</v>
      </c>
      <c r="B2589" s="6">
        <v>11686</v>
      </c>
      <c r="C2589" s="19">
        <v>39840</v>
      </c>
      <c r="D2589" s="6" t="s">
        <v>28</v>
      </c>
      <c r="E2589" s="6">
        <f>IF((ISBLANK($B$1)),"",Sheet1!Q2597)</f>
        <v>5300</v>
      </c>
      <c r="F2589" s="20" t="s">
        <v>27</v>
      </c>
      <c r="G2589" s="53">
        <f t="shared" si="41"/>
        <v>0.85788348675402637</v>
      </c>
      <c r="H2589" s="35"/>
      <c r="P2589" s="6"/>
    </row>
    <row r="2590" spans="1:16" ht="14.4" x14ac:dyDescent="0.25">
      <c r="A2590" s="6">
        <v>1940</v>
      </c>
      <c r="B2590" s="6">
        <v>13895</v>
      </c>
      <c r="C2590" s="19">
        <v>40502</v>
      </c>
      <c r="D2590" s="6" t="s">
        <v>17</v>
      </c>
      <c r="E2590" s="6">
        <f>IF((ISBLANK($B$1)),"",Sheet1!Q2598)</f>
        <v>5600</v>
      </c>
      <c r="F2590" s="20" t="s">
        <v>26</v>
      </c>
      <c r="G2590" s="53">
        <f t="shared" si="41"/>
        <v>1.2721697685668893</v>
      </c>
      <c r="H2590" s="35"/>
      <c r="P2590" s="6"/>
    </row>
    <row r="2591" spans="1:16" ht="14.4" x14ac:dyDescent="0.25">
      <c r="A2591" s="6">
        <v>2072</v>
      </c>
      <c r="B2591" s="6">
        <v>14820</v>
      </c>
      <c r="C2591" s="19">
        <v>40917</v>
      </c>
      <c r="D2591" s="6" t="s">
        <v>17</v>
      </c>
      <c r="E2591" s="6">
        <f>IF((ISBLANK($B$1)),"",Sheet1!Q2599)</f>
        <v>5350</v>
      </c>
      <c r="F2591" s="20" t="s">
        <v>27</v>
      </c>
      <c r="G2591" s="53">
        <f t="shared" si="41"/>
        <v>0.92693120038950361</v>
      </c>
      <c r="H2591" s="35"/>
      <c r="P2591" s="6"/>
    </row>
    <row r="2592" spans="1:16" ht="14.4" x14ac:dyDescent="0.25">
      <c r="A2592" s="6">
        <v>2127</v>
      </c>
      <c r="B2592" s="6">
        <v>15170</v>
      </c>
      <c r="C2592" s="19">
        <v>39890</v>
      </c>
      <c r="D2592" s="6" t="s">
        <v>30</v>
      </c>
      <c r="E2592" s="6">
        <f>IF((ISBLANK($B$1)),"",Sheet1!Q2600)</f>
        <v>4350</v>
      </c>
      <c r="F2592" s="20" t="s">
        <v>27</v>
      </c>
      <c r="G2592" s="53">
        <f t="shared" si="41"/>
        <v>-0.45402307232003986</v>
      </c>
      <c r="H2592" s="35"/>
      <c r="P2592" s="6"/>
    </row>
    <row r="2593" spans="1:16" ht="14.4" x14ac:dyDescent="0.25">
      <c r="A2593" s="6">
        <v>2190</v>
      </c>
      <c r="B2593" s="6">
        <v>15780</v>
      </c>
      <c r="C2593" s="19">
        <v>40646</v>
      </c>
      <c r="D2593" s="6" t="s">
        <v>30</v>
      </c>
      <c r="E2593" s="6">
        <f>IF((ISBLANK($B$1)),"",Sheet1!Q2601)</f>
        <v>4350</v>
      </c>
      <c r="F2593" s="20" t="s">
        <v>26</v>
      </c>
      <c r="G2593" s="53">
        <f t="shared" si="41"/>
        <v>-0.45402307232003986</v>
      </c>
      <c r="H2593" s="35"/>
      <c r="P2593" s="6"/>
    </row>
    <row r="2594" spans="1:16" ht="14.4" x14ac:dyDescent="0.25">
      <c r="A2594" s="6">
        <v>2225</v>
      </c>
      <c r="B2594" s="6">
        <v>16098</v>
      </c>
      <c r="C2594" s="19">
        <v>41111</v>
      </c>
      <c r="D2594" s="6" t="s">
        <v>25</v>
      </c>
      <c r="E2594" s="6">
        <f>IF((ISBLANK($B$1)),"",Sheet1!Q2602)</f>
        <v>4950</v>
      </c>
      <c r="F2594" s="20" t="s">
        <v>29</v>
      </c>
      <c r="G2594" s="53">
        <f t="shared" si="41"/>
        <v>0.37454949130568621</v>
      </c>
      <c r="H2594" s="35"/>
      <c r="P2594" s="6"/>
    </row>
    <row r="2595" spans="1:16" ht="14.4" x14ac:dyDescent="0.25">
      <c r="A2595" s="6">
        <v>2229</v>
      </c>
      <c r="B2595" s="6">
        <v>16103</v>
      </c>
      <c r="C2595" s="19">
        <v>41105</v>
      </c>
      <c r="D2595" s="6" t="s">
        <v>28</v>
      </c>
      <c r="E2595" s="6">
        <f>IF((ISBLANK($B$1)),"",Sheet1!Q2603)</f>
        <v>4950</v>
      </c>
      <c r="F2595" s="20" t="s">
        <v>26</v>
      </c>
      <c r="G2595" s="53">
        <f t="shared" si="41"/>
        <v>0.37454949130568621</v>
      </c>
      <c r="H2595" s="35"/>
      <c r="P2595" s="6"/>
    </row>
    <row r="2596" spans="1:16" ht="14.4" x14ac:dyDescent="0.25">
      <c r="A2596" s="6">
        <v>2303</v>
      </c>
      <c r="B2596" s="6">
        <v>16610</v>
      </c>
      <c r="C2596" s="19">
        <v>40096</v>
      </c>
      <c r="D2596" s="6" t="s">
        <v>17</v>
      </c>
      <c r="E2596" s="6">
        <f>IF((ISBLANK($B$1)),"",Sheet1!Q2604)</f>
        <v>4350</v>
      </c>
      <c r="F2596" s="20" t="s">
        <v>26</v>
      </c>
      <c r="G2596" s="53">
        <f t="shared" si="41"/>
        <v>-0.45402307232003986</v>
      </c>
      <c r="H2596" s="35"/>
      <c r="P2596" s="6"/>
    </row>
    <row r="2597" spans="1:16" ht="14.4" x14ac:dyDescent="0.25">
      <c r="A2597" s="6">
        <v>2596</v>
      </c>
      <c r="B2597" s="6">
        <v>18757</v>
      </c>
      <c r="C2597" s="19">
        <v>41051</v>
      </c>
      <c r="D2597" s="6" t="s">
        <v>25</v>
      </c>
      <c r="E2597" s="6">
        <f>IF((ISBLANK($B$1)),"",Sheet1!Q2605)</f>
        <v>3850</v>
      </c>
      <c r="F2597" s="20" t="s">
        <v>26</v>
      </c>
      <c r="G2597" s="53">
        <f t="shared" si="41"/>
        <v>-1.1445002086748115</v>
      </c>
      <c r="H2597" s="35"/>
      <c r="P2597" s="6"/>
    </row>
    <row r="2598" spans="1:16" ht="14.4" x14ac:dyDescent="0.25">
      <c r="A2598" s="6">
        <v>2597</v>
      </c>
      <c r="B2598" s="6">
        <v>18757</v>
      </c>
      <c r="C2598" s="19">
        <v>41051</v>
      </c>
      <c r="D2598" s="6" t="s">
        <v>25</v>
      </c>
      <c r="E2598" s="6">
        <f>IF((ISBLANK($B$1)),"",Sheet1!Q2606)</f>
        <v>3650</v>
      </c>
      <c r="F2598" s="20" t="s">
        <v>26</v>
      </c>
      <c r="G2598" s="53">
        <f t="shared" si="41"/>
        <v>-1.4206910632167202</v>
      </c>
      <c r="H2598" s="35"/>
      <c r="P2598" s="6"/>
    </row>
    <row r="2599" spans="1:16" ht="14.4" x14ac:dyDescent="0.25">
      <c r="A2599" s="6">
        <v>2687</v>
      </c>
      <c r="B2599" s="6">
        <v>19431</v>
      </c>
      <c r="C2599" s="19">
        <v>39956</v>
      </c>
      <c r="D2599" s="6" t="s">
        <v>28</v>
      </c>
      <c r="E2599" s="6">
        <f>IF((ISBLANK($B$1)),"",Sheet1!Q2607)</f>
        <v>3600</v>
      </c>
      <c r="F2599" s="20" t="s">
        <v>26</v>
      </c>
      <c r="G2599" s="53">
        <f t="shared" si="41"/>
        <v>-1.4897387768521975</v>
      </c>
      <c r="H2599" s="35"/>
      <c r="P2599" s="6"/>
    </row>
    <row r="2600" spans="1:16" ht="14.4" x14ac:dyDescent="0.25">
      <c r="A2600" s="6">
        <v>2712</v>
      </c>
      <c r="B2600" s="6">
        <v>19584</v>
      </c>
      <c r="C2600" s="19">
        <v>39919</v>
      </c>
      <c r="D2600" s="6" t="s">
        <v>30</v>
      </c>
      <c r="E2600" s="6">
        <f>IF((ISBLANK($B$1)),"",Sheet1!Q2608)</f>
        <v>3700</v>
      </c>
      <c r="F2600" s="20" t="s">
        <v>27</v>
      </c>
      <c r="G2600" s="53">
        <f t="shared" si="41"/>
        <v>-1.351643349581243</v>
      </c>
      <c r="H2600" s="35"/>
      <c r="P2600" s="6"/>
    </row>
    <row r="2601" spans="1:16" ht="14.4" x14ac:dyDescent="0.25">
      <c r="A2601" s="6">
        <v>2810</v>
      </c>
      <c r="B2601" s="6">
        <v>20262</v>
      </c>
      <c r="C2601" s="19">
        <v>40173</v>
      </c>
      <c r="D2601" s="6" t="s">
        <v>28</v>
      </c>
      <c r="E2601" s="6">
        <f>IF((ISBLANK($B$1)),"",Sheet1!Q2609)</f>
        <v>4750</v>
      </c>
      <c r="F2601" s="20" t="s">
        <v>29</v>
      </c>
      <c r="G2601" s="53">
        <f t="shared" si="41"/>
        <v>9.8358636763777513E-2</v>
      </c>
      <c r="H2601" s="35"/>
      <c r="P2601" s="6"/>
    </row>
    <row r="2602" spans="1:16" ht="14.4" x14ac:dyDescent="0.25">
      <c r="A2602" s="6">
        <v>2852</v>
      </c>
      <c r="B2602" s="6">
        <v>20545</v>
      </c>
      <c r="C2602" s="19">
        <v>40460</v>
      </c>
      <c r="D2602" s="6" t="s">
        <v>28</v>
      </c>
      <c r="E2602" s="6">
        <f>IF((ISBLANK($B$1)),"",Sheet1!Q2610)</f>
        <v>3450</v>
      </c>
      <c r="F2602" s="20" t="s">
        <v>29</v>
      </c>
      <c r="G2602" s="53">
        <f t="shared" si="41"/>
        <v>-1.696881917758629</v>
      </c>
      <c r="H2602" s="35"/>
      <c r="P2602" s="6"/>
    </row>
    <row r="2603" spans="1:16" ht="14.4" x14ac:dyDescent="0.25">
      <c r="A2603" s="6">
        <v>2853</v>
      </c>
      <c r="B2603" s="6">
        <v>20545</v>
      </c>
      <c r="C2603" s="19">
        <v>40460</v>
      </c>
      <c r="D2603" s="6" t="s">
        <v>28</v>
      </c>
      <c r="E2603" s="6">
        <f>IF((ISBLANK($B$1)),"",Sheet1!Q2611)</f>
        <v>4950</v>
      </c>
      <c r="F2603" s="20" t="s">
        <v>26</v>
      </c>
      <c r="G2603" s="53">
        <f t="shared" si="41"/>
        <v>0.37454949130568621</v>
      </c>
      <c r="H2603" s="35"/>
      <c r="P2603" s="6"/>
    </row>
    <row r="2604" spans="1:16" ht="14.4" x14ac:dyDescent="0.25">
      <c r="A2604" s="6">
        <v>2854</v>
      </c>
      <c r="B2604" s="6">
        <v>20545</v>
      </c>
      <c r="C2604" s="19">
        <v>40460</v>
      </c>
      <c r="D2604" s="6" t="s">
        <v>28</v>
      </c>
      <c r="E2604" s="6">
        <f>IF((ISBLANK($B$1)),"",Sheet1!Q2612)</f>
        <v>5400</v>
      </c>
      <c r="F2604" s="20" t="s">
        <v>29</v>
      </c>
      <c r="G2604" s="53">
        <f t="shared" si="41"/>
        <v>0.99597891402498073</v>
      </c>
      <c r="H2604" s="35"/>
      <c r="P2604" s="6"/>
    </row>
    <row r="2605" spans="1:16" ht="14.4" x14ac:dyDescent="0.25">
      <c r="A2605" s="6">
        <v>2856</v>
      </c>
      <c r="B2605" s="6">
        <v>20577</v>
      </c>
      <c r="C2605" s="19">
        <v>40218</v>
      </c>
      <c r="D2605" s="6" t="s">
        <v>30</v>
      </c>
      <c r="E2605" s="6">
        <f>IF((ISBLANK($B$1)),"",Sheet1!Q2613)</f>
        <v>4150</v>
      </c>
      <c r="F2605" s="20" t="s">
        <v>26</v>
      </c>
      <c r="G2605" s="53">
        <f t="shared" si="41"/>
        <v>-0.73021392686194853</v>
      </c>
      <c r="H2605" s="35"/>
      <c r="P2605" s="6"/>
    </row>
    <row r="2606" spans="1:16" ht="14.4" x14ac:dyDescent="0.25">
      <c r="A2606" s="6">
        <v>2881</v>
      </c>
      <c r="B2606" s="6">
        <v>20804</v>
      </c>
      <c r="C2606" s="19">
        <v>40873</v>
      </c>
      <c r="D2606" s="6" t="s">
        <v>25</v>
      </c>
      <c r="E2606" s="6">
        <f>IF((ISBLANK($B$1)),"",Sheet1!Q2614)</f>
        <v>4050</v>
      </c>
      <c r="F2606" s="20" t="s">
        <v>27</v>
      </c>
      <c r="G2606" s="53">
        <f t="shared" si="41"/>
        <v>-0.86830935413290289</v>
      </c>
      <c r="H2606" s="35"/>
      <c r="P2606" s="6"/>
    </row>
    <row r="2607" spans="1:16" ht="14.4" x14ac:dyDescent="0.25">
      <c r="A2607" s="6">
        <v>2960</v>
      </c>
      <c r="B2607" s="6">
        <v>21414</v>
      </c>
      <c r="C2607" s="19">
        <v>40667</v>
      </c>
      <c r="D2607" s="6" t="s">
        <v>30</v>
      </c>
      <c r="E2607" s="6">
        <f>IF((ISBLANK($B$1)),"",Sheet1!Q2615)</f>
        <v>5100</v>
      </c>
      <c r="F2607" s="20" t="s">
        <v>26</v>
      </c>
      <c r="G2607" s="53">
        <f t="shared" si="41"/>
        <v>0.58169263221211776</v>
      </c>
      <c r="H2607" s="35"/>
      <c r="P2607" s="6"/>
    </row>
    <row r="2608" spans="1:16" ht="14.4" x14ac:dyDescent="0.25">
      <c r="A2608" s="6">
        <v>2961</v>
      </c>
      <c r="B2608" s="6">
        <v>21414</v>
      </c>
      <c r="C2608" s="19">
        <v>40667</v>
      </c>
      <c r="D2608" s="6" t="s">
        <v>30</v>
      </c>
      <c r="E2608" s="6">
        <f>IF((ISBLANK($B$1)),"",Sheet1!Q2616)</f>
        <v>5700</v>
      </c>
      <c r="F2608" s="20" t="s">
        <v>26</v>
      </c>
      <c r="G2608" s="53">
        <f t="shared" si="41"/>
        <v>1.4102651958378438</v>
      </c>
      <c r="H2608" s="35"/>
      <c r="P2608" s="6"/>
    </row>
    <row r="2609" spans="1:16" ht="14.4" x14ac:dyDescent="0.25">
      <c r="A2609" s="6">
        <v>2962</v>
      </c>
      <c r="B2609" s="6">
        <v>21414</v>
      </c>
      <c r="C2609" s="19">
        <v>40667</v>
      </c>
      <c r="D2609" s="6" t="s">
        <v>30</v>
      </c>
      <c r="E2609" s="6">
        <f>IF((ISBLANK($B$1)),"",Sheet1!Q2617)</f>
        <v>5050</v>
      </c>
      <c r="F2609" s="20" t="s">
        <v>27</v>
      </c>
      <c r="G2609" s="53">
        <f t="shared" si="41"/>
        <v>0.51264491857664052</v>
      </c>
      <c r="H2609" s="35"/>
      <c r="P2609" s="6"/>
    </row>
    <row r="2610" spans="1:16" ht="14.4" x14ac:dyDescent="0.25">
      <c r="A2610" s="6">
        <v>2969</v>
      </c>
      <c r="B2610" s="6">
        <v>21447</v>
      </c>
      <c r="C2610" s="19">
        <v>40332</v>
      </c>
      <c r="D2610" s="6" t="s">
        <v>28</v>
      </c>
      <c r="E2610" s="6">
        <f>IF((ISBLANK($B$1)),"",Sheet1!Q2618)</f>
        <v>4150</v>
      </c>
      <c r="F2610" s="20" t="s">
        <v>26</v>
      </c>
      <c r="G2610" s="53">
        <f t="shared" si="41"/>
        <v>-0.73021392686194853</v>
      </c>
      <c r="H2610" s="35"/>
      <c r="P2610" s="6"/>
    </row>
    <row r="2611" spans="1:16" ht="14.4" x14ac:dyDescent="0.25">
      <c r="A2611" s="6">
        <v>2976</v>
      </c>
      <c r="B2611" s="6">
        <v>21479</v>
      </c>
      <c r="C2611" s="19">
        <v>40053</v>
      </c>
      <c r="D2611" s="6" t="s">
        <v>16</v>
      </c>
      <c r="E2611" s="6">
        <f>IF((ISBLANK($B$1)),"",Sheet1!Q2619)</f>
        <v>5450</v>
      </c>
      <c r="F2611" s="20" t="s">
        <v>26</v>
      </c>
      <c r="G2611" s="53">
        <f t="shared" si="41"/>
        <v>1.0650266276604579</v>
      </c>
      <c r="H2611" s="35"/>
      <c r="P2611" s="6"/>
    </row>
    <row r="2612" spans="1:16" ht="14.4" x14ac:dyDescent="0.25">
      <c r="A2612" s="6">
        <v>3096</v>
      </c>
      <c r="B2612" s="6">
        <v>22208</v>
      </c>
      <c r="C2612" s="19">
        <v>40099</v>
      </c>
      <c r="D2612" s="6" t="s">
        <v>17</v>
      </c>
      <c r="E2612" s="6">
        <f>IF((ISBLANK($B$1)),"",Sheet1!Q2620)</f>
        <v>5250</v>
      </c>
      <c r="F2612" s="20" t="s">
        <v>27</v>
      </c>
      <c r="G2612" s="53">
        <f t="shared" si="41"/>
        <v>0.78883577311854924</v>
      </c>
      <c r="H2612" s="35"/>
      <c r="P2612" s="6"/>
    </row>
    <row r="2613" spans="1:16" ht="14.4" x14ac:dyDescent="0.25">
      <c r="A2613" s="6">
        <v>3097</v>
      </c>
      <c r="B2613" s="6">
        <v>22208</v>
      </c>
      <c r="C2613" s="19">
        <v>40099</v>
      </c>
      <c r="D2613" s="6" t="s">
        <v>17</v>
      </c>
      <c r="E2613" s="6">
        <f>IF((ISBLANK($B$1)),"",Sheet1!Q2621)</f>
        <v>5900</v>
      </c>
      <c r="F2613" s="20" t="s">
        <v>27</v>
      </c>
      <c r="G2613" s="53">
        <f t="shared" si="41"/>
        <v>1.6864560503797523</v>
      </c>
      <c r="H2613" s="35"/>
      <c r="P2613" s="6"/>
    </row>
    <row r="2614" spans="1:16" ht="14.4" x14ac:dyDescent="0.25">
      <c r="A2614" s="6">
        <v>3106</v>
      </c>
      <c r="B2614" s="6">
        <v>22279</v>
      </c>
      <c r="C2614" s="19">
        <v>40169</v>
      </c>
      <c r="D2614" s="6" t="s">
        <v>28</v>
      </c>
      <c r="E2614" s="6">
        <f>IF((ISBLANK($B$1)),"",Sheet1!Q2622)</f>
        <v>5550</v>
      </c>
      <c r="F2614" s="20" t="s">
        <v>26</v>
      </c>
      <c r="G2614" s="53">
        <f t="shared" si="41"/>
        <v>1.2031220549314123</v>
      </c>
      <c r="H2614" s="35"/>
      <c r="P2614" s="6"/>
    </row>
    <row r="2615" spans="1:16" ht="14.4" x14ac:dyDescent="0.25">
      <c r="A2615" s="6">
        <v>3231</v>
      </c>
      <c r="B2615" s="6">
        <v>23174</v>
      </c>
      <c r="C2615" s="19">
        <v>41116</v>
      </c>
      <c r="D2615" s="6" t="s">
        <v>25</v>
      </c>
      <c r="E2615" s="6">
        <f>IF((ISBLANK($B$1)),"",Sheet1!Q2623)</f>
        <v>4200</v>
      </c>
      <c r="F2615" s="20" t="s">
        <v>29</v>
      </c>
      <c r="G2615" s="53">
        <f t="shared" si="41"/>
        <v>-0.6611662132264714</v>
      </c>
      <c r="H2615" s="35"/>
      <c r="P2615" s="6"/>
    </row>
    <row r="2616" spans="1:16" ht="14.4" x14ac:dyDescent="0.25">
      <c r="A2616" s="6">
        <v>3232</v>
      </c>
      <c r="B2616" s="6">
        <v>23174</v>
      </c>
      <c r="C2616" s="19">
        <v>41116</v>
      </c>
      <c r="D2616" s="6" t="s">
        <v>25</v>
      </c>
      <c r="E2616" s="6">
        <f>IF((ISBLANK($B$1)),"",Sheet1!Q2624)</f>
        <v>3800</v>
      </c>
      <c r="F2616" s="20" t="s">
        <v>26</v>
      </c>
      <c r="G2616" s="53">
        <f t="shared" si="41"/>
        <v>-1.2135479223102887</v>
      </c>
      <c r="H2616" s="35"/>
      <c r="P2616" s="6"/>
    </row>
    <row r="2617" spans="1:16" ht="14.4" x14ac:dyDescent="0.25">
      <c r="A2617" s="6">
        <v>3259</v>
      </c>
      <c r="B2617" s="6">
        <v>23333</v>
      </c>
      <c r="C2617" s="19">
        <v>40030</v>
      </c>
      <c r="D2617" s="6" t="s">
        <v>16</v>
      </c>
      <c r="E2617" s="6">
        <f>IF((ISBLANK($B$1)),"",Sheet1!Q2625)</f>
        <v>5600</v>
      </c>
      <c r="F2617" s="20" t="s">
        <v>26</v>
      </c>
      <c r="G2617" s="53">
        <f t="shared" si="41"/>
        <v>1.2721697685668893</v>
      </c>
      <c r="H2617" s="35"/>
      <c r="P2617" s="6"/>
    </row>
    <row r="2618" spans="1:16" ht="14.4" x14ac:dyDescent="0.25">
      <c r="A2618" s="6">
        <v>3260</v>
      </c>
      <c r="B2618" s="6">
        <v>23333</v>
      </c>
      <c r="C2618" s="19">
        <v>40030</v>
      </c>
      <c r="D2618" s="6" t="s">
        <v>16</v>
      </c>
      <c r="E2618" s="6">
        <f>IF((ISBLANK($B$1)),"",Sheet1!Q2626)</f>
        <v>5000</v>
      </c>
      <c r="F2618" s="20" t="s">
        <v>26</v>
      </c>
      <c r="G2618" s="53">
        <f t="shared" si="41"/>
        <v>0.44359720494116334</v>
      </c>
      <c r="H2618" s="35"/>
      <c r="P2618" s="6"/>
    </row>
    <row r="2619" spans="1:16" ht="14.4" x14ac:dyDescent="0.25">
      <c r="A2619" s="6">
        <v>3261</v>
      </c>
      <c r="B2619" s="6">
        <v>23333</v>
      </c>
      <c r="C2619" s="19">
        <v>40030</v>
      </c>
      <c r="D2619" s="6" t="s">
        <v>16</v>
      </c>
      <c r="E2619" s="6">
        <f>IF((ISBLANK($B$1)),"",Sheet1!Q2627)</f>
        <v>4200</v>
      </c>
      <c r="F2619" s="20" t="s">
        <v>27</v>
      </c>
      <c r="G2619" s="53">
        <f t="shared" si="41"/>
        <v>-0.6611662132264714</v>
      </c>
      <c r="H2619" s="35"/>
      <c r="P2619" s="6"/>
    </row>
    <row r="2620" spans="1:16" ht="14.4" x14ac:dyDescent="0.25">
      <c r="A2620" s="6">
        <v>3456</v>
      </c>
      <c r="B2620" s="6">
        <v>24640</v>
      </c>
      <c r="C2620" s="19">
        <v>40572</v>
      </c>
      <c r="D2620" s="6" t="s">
        <v>16</v>
      </c>
      <c r="E2620" s="6">
        <f>IF((ISBLANK($B$1)),"",Sheet1!Q2628)</f>
        <v>4000</v>
      </c>
      <c r="F2620" s="20" t="s">
        <v>29</v>
      </c>
      <c r="G2620" s="53">
        <f t="shared" si="41"/>
        <v>-0.93735706776838001</v>
      </c>
      <c r="H2620" s="35"/>
      <c r="P2620" s="6"/>
    </row>
    <row r="2621" spans="1:16" ht="14.4" x14ac:dyDescent="0.25">
      <c r="A2621" s="6">
        <v>3516</v>
      </c>
      <c r="B2621" s="6">
        <v>25056</v>
      </c>
      <c r="C2621" s="19">
        <v>40442</v>
      </c>
      <c r="D2621" s="6" t="s">
        <v>28</v>
      </c>
      <c r="E2621" s="6">
        <f>IF((ISBLANK($B$1)),"",Sheet1!Q2629)</f>
        <v>5450</v>
      </c>
      <c r="F2621" s="20" t="s">
        <v>26</v>
      </c>
      <c r="G2621" s="53">
        <f t="shared" si="41"/>
        <v>1.0650266276604579</v>
      </c>
      <c r="H2621" s="35"/>
      <c r="P2621" s="6"/>
    </row>
    <row r="2622" spans="1:16" ht="14.4" x14ac:dyDescent="0.25">
      <c r="A2622" s="6">
        <v>3665</v>
      </c>
      <c r="B2622" s="6">
        <v>26244</v>
      </c>
      <c r="C2622" s="19">
        <v>40393</v>
      </c>
      <c r="D2622" s="6" t="s">
        <v>17</v>
      </c>
      <c r="E2622" s="6">
        <f>IF((ISBLANK($B$1)),"",Sheet1!Q2630)</f>
        <v>4200</v>
      </c>
      <c r="F2622" s="20" t="s">
        <v>27</v>
      </c>
      <c r="G2622" s="53">
        <f t="shared" si="41"/>
        <v>-0.6611662132264714</v>
      </c>
      <c r="H2622" s="35"/>
      <c r="P2622" s="6"/>
    </row>
    <row r="2623" spans="1:16" ht="14.4" x14ac:dyDescent="0.25">
      <c r="A2623" s="6">
        <v>3816</v>
      </c>
      <c r="B2623" s="6">
        <v>27201</v>
      </c>
      <c r="C2623" s="19">
        <v>41115</v>
      </c>
      <c r="D2623" s="6" t="s">
        <v>17</v>
      </c>
      <c r="E2623" s="6">
        <f>IF((ISBLANK($B$1)),"",Sheet1!Q2631)</f>
        <v>3900</v>
      </c>
      <c r="F2623" s="20" t="s">
        <v>29</v>
      </c>
      <c r="G2623" s="53">
        <f t="shared" si="41"/>
        <v>-1.0754524950393345</v>
      </c>
      <c r="H2623" s="35"/>
      <c r="P2623" s="6"/>
    </row>
    <row r="2624" spans="1:16" ht="14.4" x14ac:dyDescent="0.25">
      <c r="A2624" s="6">
        <v>3817</v>
      </c>
      <c r="B2624" s="6">
        <v>27201</v>
      </c>
      <c r="C2624" s="19">
        <v>41115</v>
      </c>
      <c r="D2624" s="6" t="s">
        <v>17</v>
      </c>
      <c r="E2624" s="6">
        <f>IF((ISBLANK($B$1)),"",Sheet1!Q2632)</f>
        <v>5650</v>
      </c>
      <c r="F2624" s="20" t="s">
        <v>29</v>
      </c>
      <c r="G2624" s="53">
        <f t="shared" si="41"/>
        <v>1.3412174822023666</v>
      </c>
      <c r="H2624" s="35"/>
      <c r="P2624" s="6"/>
    </row>
    <row r="2625" spans="1:16" ht="14.4" x14ac:dyDescent="0.25">
      <c r="A2625" s="6">
        <v>3897</v>
      </c>
      <c r="B2625" s="6">
        <v>27808</v>
      </c>
      <c r="C2625" s="19">
        <v>40204</v>
      </c>
      <c r="D2625" s="6" t="s">
        <v>25</v>
      </c>
      <c r="E2625" s="6">
        <f>IF((ISBLANK($B$1)),"",Sheet1!Q2633)</f>
        <v>3850</v>
      </c>
      <c r="F2625" s="20" t="s">
        <v>27</v>
      </c>
      <c r="G2625" s="53">
        <f t="shared" si="41"/>
        <v>-1.1445002086748115</v>
      </c>
      <c r="H2625" s="35"/>
      <c r="P2625" s="6"/>
    </row>
    <row r="2626" spans="1:16" ht="14.4" x14ac:dyDescent="0.25">
      <c r="A2626" s="6">
        <v>4173</v>
      </c>
      <c r="B2626" s="6">
        <v>29573</v>
      </c>
      <c r="C2626" s="19">
        <v>40924</v>
      </c>
      <c r="D2626" s="6" t="s">
        <v>30</v>
      </c>
      <c r="E2626" s="6">
        <f>IF((ISBLANK($B$1)),"",Sheet1!Q2634)</f>
        <v>5550</v>
      </c>
      <c r="F2626" s="20" t="s">
        <v>26</v>
      </c>
      <c r="G2626" s="53">
        <f t="shared" si="41"/>
        <v>1.2031220549314123</v>
      </c>
      <c r="H2626" s="35"/>
      <c r="P2626" s="6"/>
    </row>
    <row r="2627" spans="1:16" ht="14.4" x14ac:dyDescent="0.25">
      <c r="A2627" s="6">
        <v>4203</v>
      </c>
      <c r="B2627" s="6">
        <v>29862</v>
      </c>
      <c r="C2627" s="19">
        <v>40713</v>
      </c>
      <c r="D2627" s="6" t="s">
        <v>16</v>
      </c>
      <c r="E2627" s="6">
        <f>IF((ISBLANK($B$1)),"",Sheet1!Q2635)</f>
        <v>5100</v>
      </c>
      <c r="F2627" s="20" t="s">
        <v>26</v>
      </c>
      <c r="G2627" s="53">
        <f t="shared" si="41"/>
        <v>0.58169263221211776</v>
      </c>
      <c r="H2627" s="35"/>
      <c r="P2627" s="6"/>
    </row>
    <row r="2628" spans="1:16" ht="14.4" x14ac:dyDescent="0.25">
      <c r="A2628" s="6">
        <v>4276</v>
      </c>
      <c r="B2628" s="6">
        <v>30433</v>
      </c>
      <c r="C2628" s="19">
        <v>40338</v>
      </c>
      <c r="D2628" s="6" t="s">
        <v>16</v>
      </c>
      <c r="E2628" s="6">
        <f>IF((ISBLANK($B$1)),"",Sheet1!Q2636)</f>
        <v>4250</v>
      </c>
      <c r="F2628" s="20" t="s">
        <v>26</v>
      </c>
      <c r="G2628" s="53">
        <f t="shared" si="41"/>
        <v>-0.59211849959099416</v>
      </c>
      <c r="H2628" s="35"/>
      <c r="P2628" s="6"/>
    </row>
    <row r="2629" spans="1:16" ht="14.4" x14ac:dyDescent="0.25">
      <c r="A2629" s="6">
        <v>4284</v>
      </c>
      <c r="B2629" s="6">
        <v>30532</v>
      </c>
      <c r="C2629" s="19">
        <v>40873</v>
      </c>
      <c r="D2629" s="6" t="s">
        <v>17</v>
      </c>
      <c r="E2629" s="6">
        <f>IF((ISBLANK($B$1)),"",Sheet1!Q2637)</f>
        <v>4800</v>
      </c>
      <c r="F2629" s="20" t="s">
        <v>26</v>
      </c>
      <c r="G2629" s="53">
        <f t="shared" si="41"/>
        <v>0.16740635039925467</v>
      </c>
      <c r="H2629" s="35"/>
      <c r="P2629" s="6"/>
    </row>
    <row r="2630" spans="1:16" ht="14.4" x14ac:dyDescent="0.25">
      <c r="A2630" s="6">
        <v>4285</v>
      </c>
      <c r="B2630" s="6">
        <v>30532</v>
      </c>
      <c r="C2630" s="19">
        <v>40873</v>
      </c>
      <c r="D2630" s="6" t="s">
        <v>17</v>
      </c>
      <c r="E2630" s="6">
        <f>IF((ISBLANK($B$1)),"",Sheet1!Q2638)</f>
        <v>4550</v>
      </c>
      <c r="F2630" s="20" t="s">
        <v>26</v>
      </c>
      <c r="G2630" s="53">
        <f t="shared" si="41"/>
        <v>-0.17783221777813119</v>
      </c>
      <c r="H2630" s="35"/>
      <c r="P2630" s="6"/>
    </row>
    <row r="2631" spans="1:16" ht="14.4" x14ac:dyDescent="0.25">
      <c r="A2631" s="6">
        <v>4286</v>
      </c>
      <c r="B2631" s="6">
        <v>30532</v>
      </c>
      <c r="C2631" s="19">
        <v>40873</v>
      </c>
      <c r="D2631" s="6" t="s">
        <v>17</v>
      </c>
      <c r="E2631" s="6">
        <f>IF((ISBLANK($B$1)),"",Sheet1!Q2639)</f>
        <v>5650</v>
      </c>
      <c r="F2631" s="20" t="s">
        <v>26</v>
      </c>
      <c r="G2631" s="53">
        <f t="shared" si="41"/>
        <v>1.3412174822023666</v>
      </c>
      <c r="H2631" s="35"/>
      <c r="P2631" s="6"/>
    </row>
    <row r="2632" spans="1:16" ht="14.4" x14ac:dyDescent="0.25">
      <c r="A2632" s="6">
        <v>4287</v>
      </c>
      <c r="B2632" s="6">
        <v>30532</v>
      </c>
      <c r="C2632" s="19">
        <v>40873</v>
      </c>
      <c r="D2632" s="6" t="s">
        <v>17</v>
      </c>
      <c r="E2632" s="6">
        <f>IF((ISBLANK($B$1)),"",Sheet1!Q2640)</f>
        <v>3850</v>
      </c>
      <c r="F2632" s="20" t="s">
        <v>29</v>
      </c>
      <c r="G2632" s="53">
        <f t="shared" ref="G2632:G2695" si="42">STANDARDIZE(E2632,$L$26,$L$35)</f>
        <v>-1.1445002086748115</v>
      </c>
      <c r="H2632" s="35"/>
      <c r="P2632" s="6"/>
    </row>
    <row r="2633" spans="1:16" ht="14.4" x14ac:dyDescent="0.25">
      <c r="A2633" s="6">
        <v>4297</v>
      </c>
      <c r="B2633" s="6">
        <v>30597</v>
      </c>
      <c r="C2633" s="19">
        <v>41126</v>
      </c>
      <c r="D2633" s="6" t="s">
        <v>17</v>
      </c>
      <c r="E2633" s="6">
        <f>IF((ISBLANK($B$1)),"",Sheet1!Q2641)</f>
        <v>4300</v>
      </c>
      <c r="F2633" s="20" t="s">
        <v>29</v>
      </c>
      <c r="G2633" s="53">
        <f t="shared" si="42"/>
        <v>-0.52307078595551704</v>
      </c>
      <c r="H2633" s="35"/>
      <c r="P2633" s="6"/>
    </row>
    <row r="2634" spans="1:16" ht="14.4" x14ac:dyDescent="0.25">
      <c r="A2634" s="6">
        <v>4298</v>
      </c>
      <c r="B2634" s="6">
        <v>30597</v>
      </c>
      <c r="C2634" s="19">
        <v>41126</v>
      </c>
      <c r="D2634" s="6" t="s">
        <v>17</v>
      </c>
      <c r="E2634" s="6">
        <f>IF((ISBLANK($B$1)),"",Sheet1!Q2642)</f>
        <v>5500</v>
      </c>
      <c r="F2634" s="20" t="s">
        <v>26</v>
      </c>
      <c r="G2634" s="53">
        <f t="shared" si="42"/>
        <v>1.1340743412959351</v>
      </c>
      <c r="H2634" s="35"/>
      <c r="P2634" s="6"/>
    </row>
    <row r="2635" spans="1:16" ht="14.4" x14ac:dyDescent="0.25">
      <c r="A2635" s="6">
        <v>4349</v>
      </c>
      <c r="B2635" s="6">
        <v>30981</v>
      </c>
      <c r="C2635" s="19">
        <v>40589</v>
      </c>
      <c r="D2635" s="6" t="s">
        <v>25</v>
      </c>
      <c r="E2635" s="6">
        <f>IF((ISBLANK($B$1)),"",Sheet1!Q2643)</f>
        <v>4850</v>
      </c>
      <c r="F2635" s="20" t="s">
        <v>26</v>
      </c>
      <c r="G2635" s="53">
        <f t="shared" si="42"/>
        <v>0.23645406403473185</v>
      </c>
      <c r="H2635" s="35"/>
      <c r="P2635" s="6"/>
    </row>
    <row r="2636" spans="1:16" ht="14.4" x14ac:dyDescent="0.25">
      <c r="A2636" s="6">
        <v>4350</v>
      </c>
      <c r="B2636" s="6">
        <v>30981</v>
      </c>
      <c r="C2636" s="19">
        <v>40589</v>
      </c>
      <c r="D2636" s="6" t="s">
        <v>25</v>
      </c>
      <c r="E2636" s="6">
        <f>IF((ISBLANK($B$1)),"",Sheet1!Q2644)</f>
        <v>4500</v>
      </c>
      <c r="F2636" s="20" t="s">
        <v>29</v>
      </c>
      <c r="G2636" s="53">
        <f t="shared" si="42"/>
        <v>-0.24687993141360834</v>
      </c>
      <c r="H2636" s="35"/>
      <c r="P2636" s="6"/>
    </row>
    <row r="2637" spans="1:16" ht="14.4" x14ac:dyDescent="0.25">
      <c r="A2637" s="6">
        <v>4455</v>
      </c>
      <c r="B2637" s="6">
        <v>31751</v>
      </c>
      <c r="C2637" s="19">
        <v>40689</v>
      </c>
      <c r="D2637" s="6" t="s">
        <v>17</v>
      </c>
      <c r="E2637" s="6">
        <f>IF((ISBLANK($B$1)),"",Sheet1!Q2645)</f>
        <v>4950</v>
      </c>
      <c r="F2637" s="20" t="s">
        <v>26</v>
      </c>
      <c r="G2637" s="53">
        <f t="shared" si="42"/>
        <v>0.37454949130568621</v>
      </c>
      <c r="H2637" s="35"/>
      <c r="P2637" s="6"/>
    </row>
    <row r="2638" spans="1:16" ht="14.4" x14ac:dyDescent="0.25">
      <c r="A2638" s="6">
        <v>4473</v>
      </c>
      <c r="B2638" s="6">
        <v>31873</v>
      </c>
      <c r="C2638" s="19">
        <v>40125</v>
      </c>
      <c r="D2638" s="6" t="s">
        <v>25</v>
      </c>
      <c r="E2638" s="6">
        <f>IF((ISBLANK($B$1)),"",Sheet1!Q2646)</f>
        <v>3500</v>
      </c>
      <c r="F2638" s="20" t="s">
        <v>26</v>
      </c>
      <c r="G2638" s="53">
        <f t="shared" si="42"/>
        <v>-1.6278342041231517</v>
      </c>
      <c r="H2638" s="35"/>
      <c r="P2638" s="6"/>
    </row>
    <row r="2639" spans="1:16" ht="14.4" x14ac:dyDescent="0.25">
      <c r="A2639" s="6">
        <v>4474</v>
      </c>
      <c r="B2639" s="6">
        <v>31873</v>
      </c>
      <c r="C2639" s="19">
        <v>40125</v>
      </c>
      <c r="D2639" s="6" t="s">
        <v>25</v>
      </c>
      <c r="E2639" s="6">
        <f>IF((ISBLANK($B$1)),"",Sheet1!Q2647)</f>
        <v>4100</v>
      </c>
      <c r="F2639" s="20" t="s">
        <v>27</v>
      </c>
      <c r="G2639" s="53">
        <f t="shared" si="42"/>
        <v>-0.79926164049742576</v>
      </c>
      <c r="H2639" s="35"/>
      <c r="P2639" s="6"/>
    </row>
    <row r="2640" spans="1:16" ht="14.4" x14ac:dyDescent="0.25">
      <c r="A2640" s="6">
        <v>4475</v>
      </c>
      <c r="B2640" s="6">
        <v>31873</v>
      </c>
      <c r="C2640" s="19">
        <v>40125</v>
      </c>
      <c r="D2640" s="6" t="s">
        <v>25</v>
      </c>
      <c r="E2640" s="6">
        <f>IF((ISBLANK($B$1)),"",Sheet1!Q2648)</f>
        <v>5900</v>
      </c>
      <c r="F2640" s="20" t="s">
        <v>27</v>
      </c>
      <c r="G2640" s="53">
        <f t="shared" si="42"/>
        <v>1.6864560503797523</v>
      </c>
      <c r="H2640" s="35"/>
      <c r="P2640" s="6"/>
    </row>
    <row r="2641" spans="1:16" ht="14.4" x14ac:dyDescent="0.25">
      <c r="A2641" s="6">
        <v>4476</v>
      </c>
      <c r="B2641" s="6">
        <v>31873</v>
      </c>
      <c r="C2641" s="19">
        <v>40125</v>
      </c>
      <c r="D2641" s="6" t="s">
        <v>25</v>
      </c>
      <c r="E2641" s="6">
        <f>IF((ISBLANK($B$1)),"",Sheet1!Q2649)</f>
        <v>5500</v>
      </c>
      <c r="F2641" s="20" t="s">
        <v>26</v>
      </c>
      <c r="G2641" s="53">
        <f t="shared" si="42"/>
        <v>1.1340743412959351</v>
      </c>
      <c r="H2641" s="35"/>
      <c r="P2641" s="6"/>
    </row>
    <row r="2642" spans="1:16" ht="14.4" x14ac:dyDescent="0.25">
      <c r="A2642" s="6">
        <v>4492</v>
      </c>
      <c r="B2642" s="6">
        <v>32000</v>
      </c>
      <c r="C2642" s="19">
        <v>41165</v>
      </c>
      <c r="D2642" s="6" t="s">
        <v>25</v>
      </c>
      <c r="E2642" s="6">
        <f>IF((ISBLANK($B$1)),"",Sheet1!Q2650)</f>
        <v>5850</v>
      </c>
      <c r="F2642" s="20" t="s">
        <v>26</v>
      </c>
      <c r="G2642" s="53">
        <f t="shared" si="42"/>
        <v>1.6174083367442753</v>
      </c>
      <c r="H2642" s="35"/>
      <c r="P2642" s="6"/>
    </row>
    <row r="2643" spans="1:16" ht="14.4" x14ac:dyDescent="0.25">
      <c r="A2643" s="6">
        <v>4493</v>
      </c>
      <c r="B2643" s="6">
        <v>32000</v>
      </c>
      <c r="C2643" s="19">
        <v>41165</v>
      </c>
      <c r="D2643" s="6" t="s">
        <v>25</v>
      </c>
      <c r="E2643" s="6">
        <f>IF((ISBLANK($B$1)),"",Sheet1!Q2651)</f>
        <v>4700</v>
      </c>
      <c r="F2643" s="20" t="s">
        <v>29</v>
      </c>
      <c r="G2643" s="53">
        <f t="shared" si="42"/>
        <v>2.9310923128300338E-2</v>
      </c>
      <c r="H2643" s="35"/>
      <c r="P2643" s="6"/>
    </row>
    <row r="2644" spans="1:16" ht="14.4" x14ac:dyDescent="0.25">
      <c r="A2644" s="6">
        <v>4597</v>
      </c>
      <c r="B2644" s="6">
        <v>32737</v>
      </c>
      <c r="C2644" s="19">
        <v>40114</v>
      </c>
      <c r="D2644" s="6" t="s">
        <v>17</v>
      </c>
      <c r="E2644" s="6">
        <f>IF((ISBLANK($B$1)),"",Sheet1!Q2652)</f>
        <v>4100</v>
      </c>
      <c r="F2644" s="20" t="s">
        <v>26</v>
      </c>
      <c r="G2644" s="53">
        <f t="shared" si="42"/>
        <v>-0.79926164049742576</v>
      </c>
      <c r="H2644" s="35"/>
      <c r="P2644" s="6"/>
    </row>
    <row r="2645" spans="1:16" ht="14.4" x14ac:dyDescent="0.25">
      <c r="A2645" s="6">
        <v>4918</v>
      </c>
      <c r="B2645" s="6">
        <v>35012</v>
      </c>
      <c r="C2645" s="19">
        <v>41068</v>
      </c>
      <c r="D2645" s="6" t="s">
        <v>16</v>
      </c>
      <c r="E2645" s="6">
        <f>IF((ISBLANK($B$1)),"",Sheet1!Q2653)</f>
        <v>3900</v>
      </c>
      <c r="F2645" s="20" t="s">
        <v>26</v>
      </c>
      <c r="G2645" s="53">
        <f t="shared" si="42"/>
        <v>-1.0754524950393345</v>
      </c>
      <c r="H2645" s="35"/>
      <c r="P2645" s="6"/>
    </row>
    <row r="2646" spans="1:16" ht="14.4" x14ac:dyDescent="0.25">
      <c r="A2646" s="6">
        <v>4919</v>
      </c>
      <c r="B2646" s="6">
        <v>35012</v>
      </c>
      <c r="C2646" s="19">
        <v>41068</v>
      </c>
      <c r="D2646" s="6" t="s">
        <v>16</v>
      </c>
      <c r="E2646" s="6">
        <f>IF((ISBLANK($B$1)),"",Sheet1!Q2654)</f>
        <v>3950</v>
      </c>
      <c r="F2646" s="20" t="s">
        <v>27</v>
      </c>
      <c r="G2646" s="53">
        <f t="shared" si="42"/>
        <v>-1.0064047814038573</v>
      </c>
      <c r="H2646" s="35"/>
      <c r="P2646" s="6"/>
    </row>
    <row r="2647" spans="1:16" ht="14.4" x14ac:dyDescent="0.25">
      <c r="A2647" s="6">
        <v>4922</v>
      </c>
      <c r="B2647" s="6">
        <v>35042</v>
      </c>
      <c r="C2647" s="19">
        <v>40514</v>
      </c>
      <c r="D2647" s="6" t="s">
        <v>28</v>
      </c>
      <c r="E2647" s="6">
        <f>IF((ISBLANK($B$1)),"",Sheet1!Q2655)</f>
        <v>4550</v>
      </c>
      <c r="F2647" s="20" t="s">
        <v>27</v>
      </c>
      <c r="G2647" s="53">
        <f t="shared" si="42"/>
        <v>-0.17783221777813119</v>
      </c>
      <c r="H2647" s="35"/>
      <c r="P2647" s="6"/>
    </row>
    <row r="2648" spans="1:16" ht="14.4" x14ac:dyDescent="0.25">
      <c r="A2648" s="6">
        <v>5009</v>
      </c>
      <c r="B2648" s="6">
        <v>35713</v>
      </c>
      <c r="C2648" s="19">
        <v>41199</v>
      </c>
      <c r="D2648" s="6" t="s">
        <v>16</v>
      </c>
      <c r="E2648" s="6">
        <f>IF((ISBLANK($B$1)),"",Sheet1!Q2656)</f>
        <v>5850</v>
      </c>
      <c r="F2648" s="20" t="s">
        <v>26</v>
      </c>
      <c r="G2648" s="53">
        <f t="shared" si="42"/>
        <v>1.6174083367442753</v>
      </c>
      <c r="H2648" s="35"/>
      <c r="P2648" s="6"/>
    </row>
    <row r="2649" spans="1:16" ht="14.4" x14ac:dyDescent="0.25">
      <c r="A2649" s="6">
        <v>5082</v>
      </c>
      <c r="B2649" s="6">
        <v>36229</v>
      </c>
      <c r="C2649" s="19">
        <v>41173</v>
      </c>
      <c r="D2649" s="6" t="s">
        <v>28</v>
      </c>
      <c r="E2649" s="6">
        <f>IF((ISBLANK($B$1)),"",Sheet1!Q2657)</f>
        <v>4000</v>
      </c>
      <c r="F2649" s="20" t="s">
        <v>27</v>
      </c>
      <c r="G2649" s="53">
        <f t="shared" si="42"/>
        <v>-0.93735706776838001</v>
      </c>
      <c r="H2649" s="35"/>
      <c r="P2649" s="6"/>
    </row>
    <row r="2650" spans="1:16" ht="14.4" x14ac:dyDescent="0.25">
      <c r="A2650" s="6">
        <v>5083</v>
      </c>
      <c r="B2650" s="6">
        <v>36229</v>
      </c>
      <c r="C2650" s="19">
        <v>41173</v>
      </c>
      <c r="D2650" s="6" t="s">
        <v>28</v>
      </c>
      <c r="E2650" s="6">
        <f>IF((ISBLANK($B$1)),"",Sheet1!Q2658)</f>
        <v>4600</v>
      </c>
      <c r="F2650" s="20" t="s">
        <v>29</v>
      </c>
      <c r="G2650" s="53">
        <f t="shared" si="42"/>
        <v>-0.108784504142654</v>
      </c>
      <c r="H2650" s="35"/>
      <c r="P2650" s="6"/>
    </row>
    <row r="2651" spans="1:16" ht="14.4" x14ac:dyDescent="0.25">
      <c r="A2651" s="6">
        <v>5199</v>
      </c>
      <c r="B2651" s="6">
        <v>36933</v>
      </c>
      <c r="C2651" s="19">
        <v>40736</v>
      </c>
      <c r="D2651" s="6" t="s">
        <v>17</v>
      </c>
      <c r="E2651" s="6">
        <f>IF((ISBLANK($B$1)),"",Sheet1!Q2659)</f>
        <v>5000</v>
      </c>
      <c r="F2651" s="20" t="s">
        <v>26</v>
      </c>
      <c r="G2651" s="53">
        <f t="shared" si="42"/>
        <v>0.44359720494116334</v>
      </c>
      <c r="H2651" s="35"/>
      <c r="P2651" s="6"/>
    </row>
    <row r="2652" spans="1:16" ht="14.4" x14ac:dyDescent="0.25">
      <c r="A2652" s="6">
        <v>5219</v>
      </c>
      <c r="B2652" s="6">
        <v>37152</v>
      </c>
      <c r="C2652" s="19">
        <v>40685</v>
      </c>
      <c r="D2652" s="6" t="s">
        <v>16</v>
      </c>
      <c r="E2652" s="6">
        <f>IF((ISBLANK($B$1)),"",Sheet1!Q2660)</f>
        <v>5350</v>
      </c>
      <c r="F2652" s="20" t="s">
        <v>29</v>
      </c>
      <c r="G2652" s="53">
        <f t="shared" si="42"/>
        <v>0.92693120038950361</v>
      </c>
      <c r="H2652" s="35"/>
      <c r="P2652" s="6"/>
    </row>
    <row r="2653" spans="1:16" ht="14.4" x14ac:dyDescent="0.25">
      <c r="A2653" s="6">
        <v>5220</v>
      </c>
      <c r="B2653" s="6">
        <v>37152</v>
      </c>
      <c r="C2653" s="19">
        <v>40685</v>
      </c>
      <c r="D2653" s="6" t="s">
        <v>16</v>
      </c>
      <c r="E2653" s="6">
        <f>IF((ISBLANK($B$1)),"",Sheet1!Q2661)</f>
        <v>5650</v>
      </c>
      <c r="F2653" s="20" t="s">
        <v>27</v>
      </c>
      <c r="G2653" s="53">
        <f t="shared" si="42"/>
        <v>1.3412174822023666</v>
      </c>
      <c r="H2653" s="35"/>
      <c r="P2653" s="6"/>
    </row>
    <row r="2654" spans="1:16" ht="14.4" x14ac:dyDescent="0.25">
      <c r="A2654" s="6">
        <v>5228</v>
      </c>
      <c r="B2654" s="6">
        <v>37223</v>
      </c>
      <c r="C2654" s="19">
        <v>40857</v>
      </c>
      <c r="D2654" s="6" t="s">
        <v>25</v>
      </c>
      <c r="E2654" s="6">
        <f>IF((ISBLANK($B$1)),"",Sheet1!Q2662)</f>
        <v>4450</v>
      </c>
      <c r="F2654" s="20" t="s">
        <v>27</v>
      </c>
      <c r="G2654" s="53">
        <f t="shared" si="42"/>
        <v>-0.31592764504908549</v>
      </c>
      <c r="H2654" s="35"/>
      <c r="P2654" s="6"/>
    </row>
    <row r="2655" spans="1:16" ht="14.4" x14ac:dyDescent="0.25">
      <c r="A2655" s="6">
        <v>5229</v>
      </c>
      <c r="B2655" s="6">
        <v>37223</v>
      </c>
      <c r="C2655" s="19">
        <v>40857</v>
      </c>
      <c r="D2655" s="6" t="s">
        <v>25</v>
      </c>
      <c r="E2655" s="6">
        <f>IF((ISBLANK($B$1)),"",Sheet1!Q2663)</f>
        <v>5400</v>
      </c>
      <c r="F2655" s="20" t="s">
        <v>26</v>
      </c>
      <c r="G2655" s="53">
        <f t="shared" si="42"/>
        <v>0.99597891402498073</v>
      </c>
      <c r="H2655" s="35"/>
      <c r="P2655" s="6"/>
    </row>
    <row r="2656" spans="1:16" ht="14.4" x14ac:dyDescent="0.25">
      <c r="A2656" s="6">
        <v>5230</v>
      </c>
      <c r="B2656" s="6">
        <v>37223</v>
      </c>
      <c r="C2656" s="19">
        <v>40857</v>
      </c>
      <c r="D2656" s="6" t="s">
        <v>25</v>
      </c>
      <c r="E2656" s="6">
        <f>IF((ISBLANK($B$1)),"",Sheet1!Q2664)</f>
        <v>5300</v>
      </c>
      <c r="F2656" s="20" t="s">
        <v>26</v>
      </c>
      <c r="G2656" s="53">
        <f t="shared" si="42"/>
        <v>0.85788348675402637</v>
      </c>
      <c r="H2656" s="35"/>
      <c r="P2656" s="6"/>
    </row>
    <row r="2657" spans="1:16" ht="14.4" x14ac:dyDescent="0.25">
      <c r="A2657" s="6">
        <v>5237</v>
      </c>
      <c r="B2657" s="6">
        <v>37254</v>
      </c>
      <c r="C2657" s="19">
        <v>40074</v>
      </c>
      <c r="D2657" s="6" t="s">
        <v>17</v>
      </c>
      <c r="E2657" s="6">
        <f>IF((ISBLANK($B$1)),"",Sheet1!Q2665)</f>
        <v>4800</v>
      </c>
      <c r="F2657" s="20" t="s">
        <v>26</v>
      </c>
      <c r="G2657" s="53">
        <f t="shared" si="42"/>
        <v>0.16740635039925467</v>
      </c>
      <c r="H2657" s="35"/>
      <c r="P2657" s="6"/>
    </row>
    <row r="2658" spans="1:16" ht="14.4" x14ac:dyDescent="0.25">
      <c r="A2658" s="6">
        <v>5260</v>
      </c>
      <c r="B2658" s="6">
        <v>37441</v>
      </c>
      <c r="C2658" s="19">
        <v>39868</v>
      </c>
      <c r="D2658" s="6" t="s">
        <v>30</v>
      </c>
      <c r="E2658" s="6">
        <f>IF((ISBLANK($B$1)),"",Sheet1!Q2666)</f>
        <v>5700</v>
      </c>
      <c r="F2658" s="20" t="s">
        <v>29</v>
      </c>
      <c r="G2658" s="53">
        <f t="shared" si="42"/>
        <v>1.4102651958378438</v>
      </c>
      <c r="H2658" s="35"/>
      <c r="P2658" s="6"/>
    </row>
    <row r="2659" spans="1:16" ht="14.4" x14ac:dyDescent="0.25">
      <c r="A2659" s="6">
        <v>5261</v>
      </c>
      <c r="B2659" s="6">
        <v>37441</v>
      </c>
      <c r="C2659" s="19">
        <v>39868</v>
      </c>
      <c r="D2659" s="6" t="s">
        <v>30</v>
      </c>
      <c r="E2659" s="6">
        <f>IF((ISBLANK($B$1)),"",Sheet1!Q2667)</f>
        <v>3450</v>
      </c>
      <c r="F2659" s="20" t="s">
        <v>26</v>
      </c>
      <c r="G2659" s="53">
        <f t="shared" si="42"/>
        <v>-1.696881917758629</v>
      </c>
      <c r="H2659" s="35"/>
      <c r="P2659" s="6"/>
    </row>
    <row r="2660" spans="1:16" ht="14.4" x14ac:dyDescent="0.25">
      <c r="A2660" s="6">
        <v>5359</v>
      </c>
      <c r="B2660" s="6">
        <v>38084</v>
      </c>
      <c r="C2660" s="19">
        <v>39892</v>
      </c>
      <c r="D2660" s="6" t="s">
        <v>28</v>
      </c>
      <c r="E2660" s="6">
        <f>IF((ISBLANK($B$1)),"",Sheet1!Q2668)</f>
        <v>3950</v>
      </c>
      <c r="F2660" s="20" t="s">
        <v>26</v>
      </c>
      <c r="G2660" s="53">
        <f t="shared" si="42"/>
        <v>-1.0064047814038573</v>
      </c>
      <c r="H2660" s="35"/>
      <c r="P2660" s="6"/>
    </row>
    <row r="2661" spans="1:16" ht="14.4" x14ac:dyDescent="0.25">
      <c r="A2661" s="6">
        <v>5360</v>
      </c>
      <c r="B2661" s="6">
        <v>38084</v>
      </c>
      <c r="C2661" s="19">
        <v>39892</v>
      </c>
      <c r="D2661" s="6" t="s">
        <v>28</v>
      </c>
      <c r="E2661" s="6">
        <f>IF((ISBLANK($B$1)),"",Sheet1!Q2669)</f>
        <v>5050</v>
      </c>
      <c r="F2661" s="20" t="s">
        <v>29</v>
      </c>
      <c r="G2661" s="53">
        <f t="shared" si="42"/>
        <v>0.51264491857664052</v>
      </c>
      <c r="H2661" s="35"/>
      <c r="P2661" s="6"/>
    </row>
    <row r="2662" spans="1:16" ht="14.4" x14ac:dyDescent="0.25">
      <c r="A2662" s="6">
        <v>5527</v>
      </c>
      <c r="B2662" s="6">
        <v>39168</v>
      </c>
      <c r="C2662" s="19">
        <v>41046</v>
      </c>
      <c r="D2662" s="6" t="s">
        <v>17</v>
      </c>
      <c r="E2662" s="6">
        <f>IF((ISBLANK($B$1)),"",Sheet1!Q2670)</f>
        <v>4500</v>
      </c>
      <c r="F2662" s="20" t="s">
        <v>26</v>
      </c>
      <c r="G2662" s="53">
        <f t="shared" si="42"/>
        <v>-0.24687993141360834</v>
      </c>
      <c r="H2662" s="35"/>
      <c r="P2662" s="6"/>
    </row>
    <row r="2663" spans="1:16" ht="14.4" x14ac:dyDescent="0.25">
      <c r="A2663" s="6">
        <v>5528</v>
      </c>
      <c r="B2663" s="6">
        <v>39168</v>
      </c>
      <c r="C2663" s="19">
        <v>41046</v>
      </c>
      <c r="D2663" s="6" t="s">
        <v>17</v>
      </c>
      <c r="E2663" s="6">
        <f>IF((ISBLANK($B$1)),"",Sheet1!Q2671)</f>
        <v>5900</v>
      </c>
      <c r="F2663" s="20" t="s">
        <v>26</v>
      </c>
      <c r="G2663" s="53">
        <f t="shared" si="42"/>
        <v>1.6864560503797523</v>
      </c>
      <c r="H2663" s="35"/>
      <c r="P2663" s="6"/>
    </row>
    <row r="2664" spans="1:16" ht="14.4" x14ac:dyDescent="0.25">
      <c r="A2664" s="6">
        <v>5529</v>
      </c>
      <c r="B2664" s="6">
        <v>39168</v>
      </c>
      <c r="C2664" s="19">
        <v>41046</v>
      </c>
      <c r="D2664" s="6" t="s">
        <v>17</v>
      </c>
      <c r="E2664" s="6">
        <f>IF((ISBLANK($B$1)),"",Sheet1!Q2672)</f>
        <v>4900</v>
      </c>
      <c r="F2664" s="20" t="s">
        <v>26</v>
      </c>
      <c r="G2664" s="53">
        <f t="shared" si="42"/>
        <v>0.30550177767020903</v>
      </c>
      <c r="H2664" s="35"/>
      <c r="P2664" s="6"/>
    </row>
    <row r="2665" spans="1:16" ht="14.4" x14ac:dyDescent="0.25">
      <c r="A2665" s="6">
        <v>5555</v>
      </c>
      <c r="B2665" s="6">
        <v>39333</v>
      </c>
      <c r="C2665" s="19">
        <v>40226</v>
      </c>
      <c r="D2665" s="6" t="s">
        <v>30</v>
      </c>
      <c r="E2665" s="6">
        <f>IF((ISBLANK($B$1)),"",Sheet1!Q2673)</f>
        <v>4950</v>
      </c>
      <c r="F2665" s="20" t="s">
        <v>29</v>
      </c>
      <c r="G2665" s="53">
        <f t="shared" si="42"/>
        <v>0.37454949130568621</v>
      </c>
      <c r="H2665" s="35"/>
      <c r="P2665" s="6"/>
    </row>
    <row r="2666" spans="1:16" ht="14.4" x14ac:dyDescent="0.25">
      <c r="A2666" s="6">
        <v>5556</v>
      </c>
      <c r="B2666" s="6">
        <v>39333</v>
      </c>
      <c r="C2666" s="19">
        <v>40226</v>
      </c>
      <c r="D2666" s="6" t="s">
        <v>30</v>
      </c>
      <c r="E2666" s="6">
        <f>IF((ISBLANK($B$1)),"",Sheet1!Q2674)</f>
        <v>4300</v>
      </c>
      <c r="F2666" s="20" t="s">
        <v>26</v>
      </c>
      <c r="G2666" s="53">
        <f t="shared" si="42"/>
        <v>-0.52307078595551704</v>
      </c>
      <c r="H2666" s="35"/>
      <c r="P2666" s="6"/>
    </row>
    <row r="2667" spans="1:16" ht="14.4" x14ac:dyDescent="0.25">
      <c r="A2667" s="6">
        <v>5583</v>
      </c>
      <c r="B2667" s="6">
        <v>39589</v>
      </c>
      <c r="C2667" s="19">
        <v>40027</v>
      </c>
      <c r="D2667" s="6" t="s">
        <v>30</v>
      </c>
      <c r="E2667" s="6">
        <f>IF((ISBLANK($B$1)),"",Sheet1!Q2675)</f>
        <v>5500</v>
      </c>
      <c r="F2667" s="20" t="s">
        <v>26</v>
      </c>
      <c r="G2667" s="53">
        <f t="shared" si="42"/>
        <v>1.1340743412959351</v>
      </c>
      <c r="H2667" s="35"/>
      <c r="P2667" s="6"/>
    </row>
    <row r="2668" spans="1:16" ht="14.4" x14ac:dyDescent="0.25">
      <c r="A2668" s="6">
        <v>5584</v>
      </c>
      <c r="B2668" s="6">
        <v>39589</v>
      </c>
      <c r="C2668" s="19">
        <v>40027</v>
      </c>
      <c r="D2668" s="6" t="s">
        <v>30</v>
      </c>
      <c r="E2668" s="6">
        <f>IF((ISBLANK($B$1)),"",Sheet1!Q2676)</f>
        <v>4400</v>
      </c>
      <c r="F2668" s="20" t="s">
        <v>26</v>
      </c>
      <c r="G2668" s="53">
        <f t="shared" si="42"/>
        <v>-0.38497535868456267</v>
      </c>
      <c r="H2668" s="35"/>
      <c r="P2668" s="6"/>
    </row>
    <row r="2669" spans="1:16" ht="14.4" x14ac:dyDescent="0.25">
      <c r="A2669" s="6">
        <v>5640</v>
      </c>
      <c r="B2669" s="6">
        <v>39906</v>
      </c>
      <c r="C2669" s="19">
        <v>39889</v>
      </c>
      <c r="D2669" s="6" t="s">
        <v>16</v>
      </c>
      <c r="E2669" s="6">
        <f>IF((ISBLANK($B$1)),"",Sheet1!Q2677)</f>
        <v>4650</v>
      </c>
      <c r="F2669" s="20" t="s">
        <v>26</v>
      </c>
      <c r="G2669" s="53">
        <f t="shared" si="42"/>
        <v>-3.9736790507176829E-2</v>
      </c>
      <c r="H2669" s="35"/>
      <c r="P2669" s="6"/>
    </row>
    <row r="2670" spans="1:16" ht="14.4" x14ac:dyDescent="0.25">
      <c r="A2670" s="6">
        <v>5666</v>
      </c>
      <c r="B2670" s="6">
        <v>40097</v>
      </c>
      <c r="C2670" s="19">
        <v>39822</v>
      </c>
      <c r="D2670" s="6" t="s">
        <v>25</v>
      </c>
      <c r="E2670" s="6">
        <f>IF((ISBLANK($B$1)),"",Sheet1!Q2678)</f>
        <v>5750</v>
      </c>
      <c r="F2670" s="20" t="s">
        <v>26</v>
      </c>
      <c r="G2670" s="53">
        <f t="shared" si="42"/>
        <v>1.4793129094733208</v>
      </c>
      <c r="H2670" s="35"/>
      <c r="P2670" s="6"/>
    </row>
    <row r="2671" spans="1:16" ht="14.4" x14ac:dyDescent="0.25">
      <c r="A2671" s="6">
        <v>5685</v>
      </c>
      <c r="B2671" s="6">
        <v>40193</v>
      </c>
      <c r="C2671" s="19">
        <v>41154</v>
      </c>
      <c r="D2671" s="6" t="s">
        <v>17</v>
      </c>
      <c r="E2671" s="6">
        <f>IF((ISBLANK($B$1)),"",Sheet1!Q2679)</f>
        <v>5100</v>
      </c>
      <c r="F2671" s="20" t="s">
        <v>27</v>
      </c>
      <c r="G2671" s="53">
        <f t="shared" si="42"/>
        <v>0.58169263221211776</v>
      </c>
      <c r="H2671" s="35"/>
      <c r="P2671" s="6"/>
    </row>
    <row r="2672" spans="1:16" ht="14.4" x14ac:dyDescent="0.25">
      <c r="A2672" s="6">
        <v>5693</v>
      </c>
      <c r="B2672" s="6">
        <v>40258</v>
      </c>
      <c r="C2672" s="19">
        <v>39912</v>
      </c>
      <c r="D2672" s="6" t="s">
        <v>28</v>
      </c>
      <c r="E2672" s="6">
        <f>IF((ISBLANK($B$1)),"",Sheet1!Q2680)</f>
        <v>4950</v>
      </c>
      <c r="F2672" s="20" t="s">
        <v>26</v>
      </c>
      <c r="G2672" s="53">
        <f t="shared" si="42"/>
        <v>0.37454949130568621</v>
      </c>
      <c r="H2672" s="35"/>
      <c r="P2672" s="6"/>
    </row>
    <row r="2673" spans="1:16" ht="14.4" x14ac:dyDescent="0.25">
      <c r="A2673" s="6">
        <v>5694</v>
      </c>
      <c r="B2673" s="6">
        <v>40258</v>
      </c>
      <c r="C2673" s="19">
        <v>39912</v>
      </c>
      <c r="D2673" s="6" t="s">
        <v>28</v>
      </c>
      <c r="E2673" s="6">
        <f>IF((ISBLANK($B$1)),"",Sheet1!Q2681)</f>
        <v>4850</v>
      </c>
      <c r="F2673" s="20" t="s">
        <v>26</v>
      </c>
      <c r="G2673" s="53">
        <f t="shared" si="42"/>
        <v>0.23645406403473185</v>
      </c>
      <c r="H2673" s="35"/>
      <c r="P2673" s="6"/>
    </row>
    <row r="2674" spans="1:16" ht="14.4" x14ac:dyDescent="0.25">
      <c r="A2674" s="6">
        <v>5721</v>
      </c>
      <c r="B2674" s="6">
        <v>40544</v>
      </c>
      <c r="C2674" s="19">
        <v>39909</v>
      </c>
      <c r="D2674" s="6" t="s">
        <v>25</v>
      </c>
      <c r="E2674" s="6">
        <f>IF((ISBLANK($B$1)),"",Sheet1!Q2682)</f>
        <v>5350</v>
      </c>
      <c r="F2674" s="20" t="s">
        <v>29</v>
      </c>
      <c r="G2674" s="53">
        <f t="shared" si="42"/>
        <v>0.92693120038950361</v>
      </c>
      <c r="H2674" s="35"/>
      <c r="P2674" s="6"/>
    </row>
    <row r="2675" spans="1:16" ht="14.4" x14ac:dyDescent="0.25">
      <c r="A2675" s="6">
        <v>5887</v>
      </c>
      <c r="B2675" s="6">
        <v>41765</v>
      </c>
      <c r="C2675" s="19">
        <v>40156</v>
      </c>
      <c r="D2675" s="6" t="s">
        <v>16</v>
      </c>
      <c r="E2675" s="6">
        <f>IF((ISBLANK($B$1)),"",Sheet1!Q2683)</f>
        <v>5450</v>
      </c>
      <c r="F2675" s="20" t="s">
        <v>26</v>
      </c>
      <c r="G2675" s="53">
        <f t="shared" si="42"/>
        <v>1.0650266276604579</v>
      </c>
      <c r="H2675" s="35"/>
      <c r="P2675" s="6"/>
    </row>
    <row r="2676" spans="1:16" ht="14.4" x14ac:dyDescent="0.25">
      <c r="A2676" s="6">
        <v>5949</v>
      </c>
      <c r="B2676" s="6">
        <v>42242</v>
      </c>
      <c r="C2676" s="19">
        <v>39904</v>
      </c>
      <c r="D2676" s="6" t="s">
        <v>28</v>
      </c>
      <c r="E2676" s="6">
        <f>IF((ISBLANK($B$1)),"",Sheet1!Q2684)</f>
        <v>4550</v>
      </c>
      <c r="F2676" s="20" t="s">
        <v>26</v>
      </c>
      <c r="G2676" s="53">
        <f t="shared" si="42"/>
        <v>-0.17783221777813119</v>
      </c>
      <c r="H2676" s="35"/>
      <c r="P2676" s="6"/>
    </row>
    <row r="2677" spans="1:16" ht="14.4" x14ac:dyDescent="0.25">
      <c r="A2677" s="6">
        <v>5950</v>
      </c>
      <c r="B2677" s="6">
        <v>42242</v>
      </c>
      <c r="C2677" s="19">
        <v>39904</v>
      </c>
      <c r="D2677" s="6" t="s">
        <v>28</v>
      </c>
      <c r="E2677" s="6">
        <f>IF((ISBLANK($B$1)),"",Sheet1!Q2685)</f>
        <v>4150</v>
      </c>
      <c r="F2677" s="20" t="s">
        <v>27</v>
      </c>
      <c r="G2677" s="53">
        <f t="shared" si="42"/>
        <v>-0.73021392686194853</v>
      </c>
      <c r="H2677" s="35"/>
      <c r="P2677" s="6"/>
    </row>
    <row r="2678" spans="1:16" ht="14.4" x14ac:dyDescent="0.25">
      <c r="A2678" s="6">
        <v>5951</v>
      </c>
      <c r="B2678" s="6">
        <v>42242</v>
      </c>
      <c r="C2678" s="19">
        <v>39904</v>
      </c>
      <c r="D2678" s="6" t="s">
        <v>28</v>
      </c>
      <c r="E2678" s="6">
        <f>IF((ISBLANK($B$1)),"",Sheet1!Q2686)</f>
        <v>4550</v>
      </c>
      <c r="F2678" s="20" t="s">
        <v>27</v>
      </c>
      <c r="G2678" s="53">
        <f t="shared" si="42"/>
        <v>-0.17783221777813119</v>
      </c>
      <c r="H2678" s="35"/>
      <c r="P2678" s="6"/>
    </row>
    <row r="2679" spans="1:16" ht="14.4" x14ac:dyDescent="0.25">
      <c r="A2679" s="6">
        <v>5974</v>
      </c>
      <c r="B2679" s="6">
        <v>42369</v>
      </c>
      <c r="C2679" s="19">
        <v>40395</v>
      </c>
      <c r="D2679" s="6" t="s">
        <v>30</v>
      </c>
      <c r="E2679" s="6">
        <f>IF((ISBLANK($B$1)),"",Sheet1!Q2687)</f>
        <v>5600</v>
      </c>
      <c r="F2679" s="20" t="s">
        <v>27</v>
      </c>
      <c r="G2679" s="53">
        <f t="shared" si="42"/>
        <v>1.2721697685668893</v>
      </c>
      <c r="H2679" s="35"/>
      <c r="P2679" s="6"/>
    </row>
    <row r="2680" spans="1:16" ht="14.4" x14ac:dyDescent="0.25">
      <c r="A2680" s="6">
        <v>6022</v>
      </c>
      <c r="B2680" s="6">
        <v>42690</v>
      </c>
      <c r="C2680" s="19">
        <v>40449</v>
      </c>
      <c r="D2680" s="6" t="s">
        <v>25</v>
      </c>
      <c r="E2680" s="6">
        <f>IF((ISBLANK($B$1)),"",Sheet1!Q2688)</f>
        <v>5600</v>
      </c>
      <c r="F2680" s="20" t="s">
        <v>26</v>
      </c>
      <c r="G2680" s="53">
        <f t="shared" si="42"/>
        <v>1.2721697685668893</v>
      </c>
      <c r="H2680" s="35"/>
      <c r="P2680" s="6"/>
    </row>
    <row r="2681" spans="1:16" ht="14.4" x14ac:dyDescent="0.25">
      <c r="A2681" s="6">
        <v>6023</v>
      </c>
      <c r="B2681" s="6">
        <v>42690</v>
      </c>
      <c r="C2681" s="19">
        <v>40449</v>
      </c>
      <c r="D2681" s="6" t="s">
        <v>25</v>
      </c>
      <c r="E2681" s="6">
        <f>IF((ISBLANK($B$1)),"",Sheet1!Q2689)</f>
        <v>5800</v>
      </c>
      <c r="F2681" s="20" t="s">
        <v>26</v>
      </c>
      <c r="G2681" s="53">
        <f t="shared" si="42"/>
        <v>1.5483606231087981</v>
      </c>
      <c r="H2681" s="35"/>
      <c r="P2681" s="6"/>
    </row>
    <row r="2682" spans="1:16" ht="14.4" x14ac:dyDescent="0.25">
      <c r="A2682" s="6">
        <v>6369</v>
      </c>
      <c r="B2682" s="6">
        <v>45184</v>
      </c>
      <c r="C2682" s="19">
        <v>40346</v>
      </c>
      <c r="D2682" s="6" t="s">
        <v>25</v>
      </c>
      <c r="E2682" s="6">
        <f>IF((ISBLANK($B$1)),"",Sheet1!Q2690)</f>
        <v>4650</v>
      </c>
      <c r="F2682" s="20" t="s">
        <v>27</v>
      </c>
      <c r="G2682" s="53">
        <f t="shared" si="42"/>
        <v>-3.9736790507176829E-2</v>
      </c>
      <c r="H2682" s="35"/>
      <c r="P2682" s="6"/>
    </row>
    <row r="2683" spans="1:16" ht="14.4" x14ac:dyDescent="0.25">
      <c r="A2683" s="6">
        <v>6370</v>
      </c>
      <c r="B2683" s="6">
        <v>45184</v>
      </c>
      <c r="C2683" s="19">
        <v>40346</v>
      </c>
      <c r="D2683" s="6" t="s">
        <v>25</v>
      </c>
      <c r="E2683" s="6">
        <f>IF((ISBLANK($B$1)),"",Sheet1!Q2691)</f>
        <v>3900</v>
      </c>
      <c r="F2683" s="20" t="s">
        <v>26</v>
      </c>
      <c r="G2683" s="53">
        <f t="shared" si="42"/>
        <v>-1.0754524950393345</v>
      </c>
      <c r="H2683" s="35"/>
      <c r="P2683" s="6"/>
    </row>
    <row r="2684" spans="1:16" ht="14.4" x14ac:dyDescent="0.25">
      <c r="A2684" s="6">
        <v>6421</v>
      </c>
      <c r="B2684" s="6">
        <v>45632</v>
      </c>
      <c r="C2684" s="19">
        <v>40308</v>
      </c>
      <c r="D2684" s="6" t="s">
        <v>28</v>
      </c>
      <c r="E2684" s="6">
        <f>IF((ISBLANK($B$1)),"",Sheet1!Q2692)</f>
        <v>5900</v>
      </c>
      <c r="F2684" s="20" t="s">
        <v>29</v>
      </c>
      <c r="G2684" s="53">
        <f t="shared" si="42"/>
        <v>1.6864560503797523</v>
      </c>
      <c r="H2684" s="35"/>
      <c r="P2684" s="6"/>
    </row>
    <row r="2685" spans="1:16" ht="14.4" x14ac:dyDescent="0.25">
      <c r="A2685" s="6">
        <v>6499</v>
      </c>
      <c r="B2685" s="6">
        <v>46276</v>
      </c>
      <c r="C2685" s="19">
        <v>41252</v>
      </c>
      <c r="D2685" s="6" t="s">
        <v>30</v>
      </c>
      <c r="E2685" s="6">
        <f>IF((ISBLANK($B$1)),"",Sheet1!Q2693)</f>
        <v>3600</v>
      </c>
      <c r="F2685" s="20" t="s">
        <v>27</v>
      </c>
      <c r="G2685" s="53">
        <f t="shared" si="42"/>
        <v>-1.4897387768521975</v>
      </c>
      <c r="H2685" s="35"/>
      <c r="P2685" s="6"/>
    </row>
    <row r="2686" spans="1:16" ht="14.4" x14ac:dyDescent="0.25">
      <c r="A2686" s="6">
        <v>6500</v>
      </c>
      <c r="B2686" s="6">
        <v>46276</v>
      </c>
      <c r="C2686" s="19">
        <v>41252</v>
      </c>
      <c r="D2686" s="6" t="s">
        <v>30</v>
      </c>
      <c r="E2686" s="6">
        <f>IF((ISBLANK($B$1)),"",Sheet1!Q2694)</f>
        <v>4550</v>
      </c>
      <c r="F2686" s="20" t="s">
        <v>27</v>
      </c>
      <c r="G2686" s="53">
        <f t="shared" si="42"/>
        <v>-0.17783221777813119</v>
      </c>
      <c r="H2686" s="35"/>
      <c r="P2686" s="6"/>
    </row>
    <row r="2687" spans="1:16" ht="14.4" x14ac:dyDescent="0.25">
      <c r="A2687" s="6">
        <v>6551</v>
      </c>
      <c r="B2687" s="6">
        <v>46566</v>
      </c>
      <c r="C2687" s="19">
        <v>41008</v>
      </c>
      <c r="D2687" s="6" t="s">
        <v>16</v>
      </c>
      <c r="E2687" s="6">
        <f>IF((ISBLANK($B$1)),"",Sheet1!Q2695)</f>
        <v>5850</v>
      </c>
      <c r="F2687" s="20" t="s">
        <v>27</v>
      </c>
      <c r="G2687" s="53">
        <f t="shared" si="42"/>
        <v>1.6174083367442753</v>
      </c>
      <c r="H2687" s="35"/>
      <c r="P2687" s="6"/>
    </row>
    <row r="2688" spans="1:16" ht="14.4" x14ac:dyDescent="0.25">
      <c r="A2688" s="6">
        <v>6770</v>
      </c>
      <c r="B2688" s="6">
        <v>48198</v>
      </c>
      <c r="C2688" s="19">
        <v>40137</v>
      </c>
      <c r="D2688" s="6" t="s">
        <v>30</v>
      </c>
      <c r="E2688" s="6">
        <f>IF((ISBLANK($B$1)),"",Sheet1!Q2696)</f>
        <v>3750</v>
      </c>
      <c r="F2688" s="20" t="s">
        <v>27</v>
      </c>
      <c r="G2688" s="53">
        <f t="shared" si="42"/>
        <v>-1.282595635945766</v>
      </c>
      <c r="H2688" s="35"/>
      <c r="P2688" s="6"/>
    </row>
    <row r="2689" spans="1:16" ht="14.4" x14ac:dyDescent="0.25">
      <c r="A2689" s="6">
        <v>6771</v>
      </c>
      <c r="B2689" s="6">
        <v>48198</v>
      </c>
      <c r="C2689" s="19">
        <v>40137</v>
      </c>
      <c r="D2689" s="6" t="s">
        <v>30</v>
      </c>
      <c r="E2689" s="6">
        <f>IF((ISBLANK($B$1)),"",Sheet1!Q2697)</f>
        <v>5650</v>
      </c>
      <c r="F2689" s="20" t="s">
        <v>26</v>
      </c>
      <c r="G2689" s="53">
        <f t="shared" si="42"/>
        <v>1.3412174822023666</v>
      </c>
      <c r="H2689" s="35"/>
      <c r="P2689" s="6"/>
    </row>
    <row r="2690" spans="1:16" ht="14.4" x14ac:dyDescent="0.25">
      <c r="A2690" s="6">
        <v>6802</v>
      </c>
      <c r="B2690" s="6">
        <v>48453</v>
      </c>
      <c r="C2690" s="19">
        <v>40020</v>
      </c>
      <c r="D2690" s="6" t="s">
        <v>16</v>
      </c>
      <c r="E2690" s="6">
        <f>IF((ISBLANK($B$1)),"",Sheet1!Q2698)</f>
        <v>5900</v>
      </c>
      <c r="F2690" s="20" t="s">
        <v>29</v>
      </c>
      <c r="G2690" s="53">
        <f t="shared" si="42"/>
        <v>1.6864560503797523</v>
      </c>
      <c r="H2690" s="35"/>
      <c r="P2690" s="6"/>
    </row>
    <row r="2691" spans="1:16" ht="14.4" x14ac:dyDescent="0.25">
      <c r="A2691" s="6">
        <v>6817</v>
      </c>
      <c r="B2691" s="6">
        <v>48518</v>
      </c>
      <c r="C2691" s="19">
        <v>39905</v>
      </c>
      <c r="D2691" s="6" t="s">
        <v>16</v>
      </c>
      <c r="E2691" s="6">
        <f>IF((ISBLANK($B$1)),"",Sheet1!Q2699)</f>
        <v>4250</v>
      </c>
      <c r="F2691" s="20" t="s">
        <v>26</v>
      </c>
      <c r="G2691" s="53">
        <f t="shared" si="42"/>
        <v>-0.59211849959099416</v>
      </c>
      <c r="H2691" s="35"/>
      <c r="P2691" s="6"/>
    </row>
    <row r="2692" spans="1:16" ht="14.4" x14ac:dyDescent="0.25">
      <c r="A2692" s="6">
        <v>6919</v>
      </c>
      <c r="B2692" s="6">
        <v>49349</v>
      </c>
      <c r="C2692" s="19">
        <v>40695</v>
      </c>
      <c r="D2692" s="6" t="s">
        <v>17</v>
      </c>
      <c r="E2692" s="6">
        <f>IF((ISBLANK($B$1)),"",Sheet1!Q2700)</f>
        <v>3950</v>
      </c>
      <c r="F2692" s="20" t="s">
        <v>26</v>
      </c>
      <c r="G2692" s="53">
        <f t="shared" si="42"/>
        <v>-1.0064047814038573</v>
      </c>
      <c r="H2692" s="35"/>
      <c r="P2692" s="6"/>
    </row>
    <row r="2693" spans="1:16" ht="14.4" x14ac:dyDescent="0.25">
      <c r="A2693" s="6">
        <v>6920</v>
      </c>
      <c r="B2693" s="6">
        <v>49349</v>
      </c>
      <c r="C2693" s="19">
        <v>40695</v>
      </c>
      <c r="D2693" s="6" t="s">
        <v>17</v>
      </c>
      <c r="E2693" s="6">
        <f>IF((ISBLANK($B$1)),"",Sheet1!Q2701)</f>
        <v>4550</v>
      </c>
      <c r="F2693" s="20" t="s">
        <v>26</v>
      </c>
      <c r="G2693" s="53">
        <f t="shared" si="42"/>
        <v>-0.17783221777813119</v>
      </c>
      <c r="H2693" s="35"/>
      <c r="P2693" s="6"/>
    </row>
    <row r="2694" spans="1:16" ht="14.4" x14ac:dyDescent="0.25">
      <c r="A2694" s="6">
        <v>6952</v>
      </c>
      <c r="B2694" s="6">
        <v>49668</v>
      </c>
      <c r="C2694" s="19">
        <v>40149</v>
      </c>
      <c r="D2694" s="6" t="s">
        <v>25</v>
      </c>
      <c r="E2694" s="6">
        <f>IF((ISBLANK($B$1)),"",Sheet1!Q2702)</f>
        <v>4650</v>
      </c>
      <c r="F2694" s="20" t="s">
        <v>26</v>
      </c>
      <c r="G2694" s="53">
        <f t="shared" si="42"/>
        <v>-3.9736790507176829E-2</v>
      </c>
      <c r="H2694" s="35"/>
      <c r="P2694" s="6"/>
    </row>
    <row r="2695" spans="1:16" ht="14.4" x14ac:dyDescent="0.25">
      <c r="A2695" s="6">
        <v>7050</v>
      </c>
      <c r="B2695" s="6">
        <v>50309</v>
      </c>
      <c r="C2695" s="19">
        <v>40617</v>
      </c>
      <c r="D2695" s="6" t="s">
        <v>25</v>
      </c>
      <c r="E2695" s="6">
        <f>IF((ISBLANK($B$1)),"",Sheet1!Q2703)</f>
        <v>5200</v>
      </c>
      <c r="F2695" s="20" t="s">
        <v>26</v>
      </c>
      <c r="G2695" s="53">
        <f t="shared" si="42"/>
        <v>0.71978805948307201</v>
      </c>
      <c r="H2695" s="35"/>
      <c r="P2695" s="6"/>
    </row>
    <row r="2696" spans="1:16" ht="14.4" x14ac:dyDescent="0.25">
      <c r="A2696" s="6">
        <v>7349</v>
      </c>
      <c r="B2696" s="6">
        <v>52327</v>
      </c>
      <c r="C2696" s="19">
        <v>40897</v>
      </c>
      <c r="D2696" s="6" t="s">
        <v>16</v>
      </c>
      <c r="E2696" s="6">
        <f>IF((ISBLANK($B$1)),"",Sheet1!Q2704)</f>
        <v>4750</v>
      </c>
      <c r="F2696" s="20" t="s">
        <v>27</v>
      </c>
      <c r="G2696" s="53">
        <f t="shared" ref="G2696:G2759" si="43">STANDARDIZE(E2696,$L$26,$L$35)</f>
        <v>9.8358636763777513E-2</v>
      </c>
      <c r="H2696" s="35"/>
      <c r="P2696" s="6"/>
    </row>
    <row r="2697" spans="1:16" ht="14.4" x14ac:dyDescent="0.25">
      <c r="A2697" s="6">
        <v>7350</v>
      </c>
      <c r="B2697" s="6">
        <v>52327</v>
      </c>
      <c r="C2697" s="19">
        <v>40897</v>
      </c>
      <c r="D2697" s="6" t="s">
        <v>16</v>
      </c>
      <c r="E2697" s="6">
        <f>IF((ISBLANK($B$1)),"",Sheet1!Q2705)</f>
        <v>3650</v>
      </c>
      <c r="F2697" s="20" t="s">
        <v>26</v>
      </c>
      <c r="G2697" s="53">
        <f t="shared" si="43"/>
        <v>-1.4206910632167202</v>
      </c>
      <c r="H2697" s="35"/>
      <c r="P2697" s="6"/>
    </row>
    <row r="2698" spans="1:16" ht="14.4" x14ac:dyDescent="0.25">
      <c r="A2698" s="6">
        <v>7369</v>
      </c>
      <c r="B2698" s="6">
        <v>52516</v>
      </c>
      <c r="C2698" s="19">
        <v>40913</v>
      </c>
      <c r="D2698" s="6" t="s">
        <v>17</v>
      </c>
      <c r="E2698" s="6">
        <f>IF((ISBLANK($B$1)),"",Sheet1!Q2706)</f>
        <v>5900</v>
      </c>
      <c r="F2698" s="20" t="s">
        <v>27</v>
      </c>
      <c r="G2698" s="53">
        <f t="shared" si="43"/>
        <v>1.6864560503797523</v>
      </c>
      <c r="H2698" s="35"/>
      <c r="P2698" s="6"/>
    </row>
    <row r="2699" spans="1:16" ht="14.4" x14ac:dyDescent="0.25">
      <c r="A2699" s="6">
        <v>7370</v>
      </c>
      <c r="B2699" s="6">
        <v>52516</v>
      </c>
      <c r="C2699" s="19">
        <v>40913</v>
      </c>
      <c r="D2699" s="6" t="s">
        <v>17</v>
      </c>
      <c r="E2699" s="6">
        <f>IF((ISBLANK($B$1)),"",Sheet1!Q2707)</f>
        <v>4350</v>
      </c>
      <c r="F2699" s="20" t="s">
        <v>26</v>
      </c>
      <c r="G2699" s="53">
        <f t="shared" si="43"/>
        <v>-0.45402307232003986</v>
      </c>
      <c r="H2699" s="35"/>
      <c r="P2699" s="6"/>
    </row>
    <row r="2700" spans="1:16" ht="14.4" x14ac:dyDescent="0.25">
      <c r="A2700" s="6">
        <v>7402</v>
      </c>
      <c r="B2700" s="6">
        <v>52800</v>
      </c>
      <c r="C2700" s="19">
        <v>40461</v>
      </c>
      <c r="D2700" s="6" t="s">
        <v>28</v>
      </c>
      <c r="E2700" s="6">
        <f>IF((ISBLANK($B$1)),"",Sheet1!Q2708)</f>
        <v>4050</v>
      </c>
      <c r="F2700" s="20" t="s">
        <v>26</v>
      </c>
      <c r="G2700" s="53">
        <f t="shared" si="43"/>
        <v>-0.86830935413290289</v>
      </c>
      <c r="H2700" s="35"/>
      <c r="P2700" s="6"/>
    </row>
    <row r="2701" spans="1:16" ht="14.4" x14ac:dyDescent="0.25">
      <c r="A2701" s="6">
        <v>7508</v>
      </c>
      <c r="B2701" s="6">
        <v>53574</v>
      </c>
      <c r="C2701" s="19">
        <v>41008</v>
      </c>
      <c r="D2701" s="6" t="s">
        <v>16</v>
      </c>
      <c r="E2701" s="6">
        <f>IF((ISBLANK($B$1)),"",Sheet1!Q2709)</f>
        <v>3800</v>
      </c>
      <c r="F2701" s="20" t="s">
        <v>26</v>
      </c>
      <c r="G2701" s="53">
        <f t="shared" si="43"/>
        <v>-1.2135479223102887</v>
      </c>
      <c r="H2701" s="35"/>
      <c r="P2701" s="6"/>
    </row>
    <row r="2702" spans="1:16" ht="14.4" x14ac:dyDescent="0.25">
      <c r="A2702" s="6">
        <v>7552</v>
      </c>
      <c r="B2702" s="6">
        <v>54023</v>
      </c>
      <c r="C2702" s="19">
        <v>41112</v>
      </c>
      <c r="D2702" s="6" t="s">
        <v>28</v>
      </c>
      <c r="E2702" s="6">
        <f>IF((ISBLANK($B$1)),"",Sheet1!Q2710)</f>
        <v>5650</v>
      </c>
      <c r="F2702" s="20" t="s">
        <v>26</v>
      </c>
      <c r="G2702" s="53">
        <f t="shared" si="43"/>
        <v>1.3412174822023666</v>
      </c>
      <c r="H2702" s="35"/>
      <c r="P2702" s="6"/>
    </row>
    <row r="2703" spans="1:16" ht="14.4" x14ac:dyDescent="0.25">
      <c r="A2703" s="6">
        <v>7709</v>
      </c>
      <c r="B2703" s="6">
        <v>55265</v>
      </c>
      <c r="C2703" s="19">
        <v>40079</v>
      </c>
      <c r="D2703" s="6" t="s">
        <v>25</v>
      </c>
      <c r="E2703" s="6">
        <f>IF((ISBLANK($B$1)),"",Sheet1!Q2711)</f>
        <v>5350</v>
      </c>
      <c r="F2703" s="20" t="s">
        <v>27</v>
      </c>
      <c r="G2703" s="53">
        <f t="shared" si="43"/>
        <v>0.92693120038950361</v>
      </c>
      <c r="H2703" s="35"/>
      <c r="P2703" s="6"/>
    </row>
    <row r="2704" spans="1:16" ht="14.4" x14ac:dyDescent="0.25">
      <c r="A2704" s="6">
        <v>7737</v>
      </c>
      <c r="B2704" s="6">
        <v>55398</v>
      </c>
      <c r="C2704" s="19">
        <v>40198</v>
      </c>
      <c r="D2704" s="6" t="s">
        <v>16</v>
      </c>
      <c r="E2704" s="6">
        <f>IF((ISBLANK($B$1)),"",Sheet1!Q2712)</f>
        <v>4600</v>
      </c>
      <c r="F2704" s="20" t="s">
        <v>26</v>
      </c>
      <c r="G2704" s="53">
        <f t="shared" si="43"/>
        <v>-0.108784504142654</v>
      </c>
      <c r="H2704" s="35"/>
      <c r="P2704" s="6"/>
    </row>
    <row r="2705" spans="1:16" ht="14.4" x14ac:dyDescent="0.25">
      <c r="A2705" s="6">
        <v>7745</v>
      </c>
      <c r="B2705" s="6">
        <v>55458</v>
      </c>
      <c r="C2705" s="19">
        <v>40984</v>
      </c>
      <c r="D2705" s="6" t="s">
        <v>17</v>
      </c>
      <c r="E2705" s="6">
        <f>IF((ISBLANK($B$1)),"",Sheet1!Q2713)</f>
        <v>5000</v>
      </c>
      <c r="F2705" s="20" t="s">
        <v>26</v>
      </c>
      <c r="G2705" s="53">
        <f t="shared" si="43"/>
        <v>0.44359720494116334</v>
      </c>
      <c r="H2705" s="35"/>
      <c r="P2705" s="6"/>
    </row>
    <row r="2706" spans="1:16" ht="14.4" x14ac:dyDescent="0.25">
      <c r="A2706" s="6">
        <v>7746</v>
      </c>
      <c r="B2706" s="6">
        <v>55458</v>
      </c>
      <c r="C2706" s="19">
        <v>40984</v>
      </c>
      <c r="D2706" s="6" t="s">
        <v>17</v>
      </c>
      <c r="E2706" s="6">
        <f>IF((ISBLANK($B$1)),"",Sheet1!Q2714)</f>
        <v>4050</v>
      </c>
      <c r="F2706" s="20" t="s">
        <v>26</v>
      </c>
      <c r="G2706" s="53">
        <f t="shared" si="43"/>
        <v>-0.86830935413290289</v>
      </c>
      <c r="H2706" s="35"/>
      <c r="P2706" s="6"/>
    </row>
    <row r="2707" spans="1:16" ht="14.4" x14ac:dyDescent="0.25">
      <c r="A2707" s="6">
        <v>7801</v>
      </c>
      <c r="B2707" s="6">
        <v>55809</v>
      </c>
      <c r="C2707" s="19">
        <v>40796</v>
      </c>
      <c r="D2707" s="6" t="s">
        <v>30</v>
      </c>
      <c r="E2707" s="6">
        <f>IF((ISBLANK($B$1)),"",Sheet1!Q2715)</f>
        <v>3500</v>
      </c>
      <c r="F2707" s="20" t="s">
        <v>29</v>
      </c>
      <c r="G2707" s="53">
        <f t="shared" si="43"/>
        <v>-1.6278342041231517</v>
      </c>
      <c r="H2707" s="35"/>
      <c r="P2707" s="6"/>
    </row>
    <row r="2708" spans="1:16" ht="14.4" x14ac:dyDescent="0.25">
      <c r="A2708" s="6">
        <v>7969</v>
      </c>
      <c r="B2708" s="6">
        <v>56992</v>
      </c>
      <c r="C2708" s="19">
        <v>40286</v>
      </c>
      <c r="D2708" s="6" t="s">
        <v>28</v>
      </c>
      <c r="E2708" s="6">
        <f>IF((ISBLANK($B$1)),"",Sheet1!Q2716)</f>
        <v>3900</v>
      </c>
      <c r="F2708" s="20" t="s">
        <v>26</v>
      </c>
      <c r="G2708" s="53">
        <f t="shared" si="43"/>
        <v>-1.0754524950393345</v>
      </c>
      <c r="H2708" s="35"/>
      <c r="P2708" s="6"/>
    </row>
    <row r="2709" spans="1:16" ht="14.4" x14ac:dyDescent="0.25">
      <c r="A2709" s="6">
        <v>8142</v>
      </c>
      <c r="B2709" s="6">
        <v>58210</v>
      </c>
      <c r="C2709" s="19">
        <v>41249</v>
      </c>
      <c r="D2709" s="6" t="s">
        <v>16</v>
      </c>
      <c r="E2709" s="6">
        <f>IF((ISBLANK($B$1)),"",Sheet1!Q2717)</f>
        <v>5300</v>
      </c>
      <c r="F2709" s="20" t="s">
        <v>26</v>
      </c>
      <c r="G2709" s="53">
        <f t="shared" si="43"/>
        <v>0.85788348675402637</v>
      </c>
      <c r="H2709" s="35"/>
      <c r="P2709" s="6"/>
    </row>
    <row r="2710" spans="1:16" ht="14.4" x14ac:dyDescent="0.25">
      <c r="A2710" s="6">
        <v>8148</v>
      </c>
      <c r="B2710" s="6">
        <v>58277</v>
      </c>
      <c r="C2710" s="19">
        <v>39837</v>
      </c>
      <c r="D2710" s="6" t="s">
        <v>16</v>
      </c>
      <c r="E2710" s="6">
        <f>IF((ISBLANK($B$1)),"",Sheet1!Q2718)</f>
        <v>4550</v>
      </c>
      <c r="F2710" s="20" t="s">
        <v>26</v>
      </c>
      <c r="G2710" s="53">
        <f t="shared" si="43"/>
        <v>-0.17783221777813119</v>
      </c>
      <c r="H2710" s="35"/>
      <c r="P2710" s="6"/>
    </row>
    <row r="2711" spans="1:16" ht="14.4" x14ac:dyDescent="0.25">
      <c r="A2711" s="6">
        <v>8211</v>
      </c>
      <c r="B2711" s="6">
        <v>58720</v>
      </c>
      <c r="C2711" s="19">
        <v>40244</v>
      </c>
      <c r="D2711" s="6" t="s">
        <v>28</v>
      </c>
      <c r="E2711" s="6">
        <f>IF((ISBLANK($B$1)),"",Sheet1!Q2719)</f>
        <v>5550</v>
      </c>
      <c r="F2711" s="20" t="s">
        <v>26</v>
      </c>
      <c r="G2711" s="53">
        <f t="shared" si="43"/>
        <v>1.2031220549314123</v>
      </c>
      <c r="H2711" s="35"/>
      <c r="P2711" s="6"/>
    </row>
    <row r="2712" spans="1:16" ht="14.4" x14ac:dyDescent="0.25">
      <c r="A2712" s="6">
        <v>8212</v>
      </c>
      <c r="B2712" s="6">
        <v>58720</v>
      </c>
      <c r="C2712" s="19">
        <v>40244</v>
      </c>
      <c r="D2712" s="6" t="s">
        <v>28</v>
      </c>
      <c r="E2712" s="6">
        <f>IF((ISBLANK($B$1)),"",Sheet1!Q2720)</f>
        <v>3700</v>
      </c>
      <c r="F2712" s="20" t="s">
        <v>26</v>
      </c>
      <c r="G2712" s="53">
        <f t="shared" si="43"/>
        <v>-1.351643349581243</v>
      </c>
      <c r="H2712" s="35"/>
      <c r="P2712" s="6"/>
    </row>
    <row r="2713" spans="1:16" ht="14.4" x14ac:dyDescent="0.25">
      <c r="A2713" s="6">
        <v>8230</v>
      </c>
      <c r="B2713" s="6">
        <v>58820</v>
      </c>
      <c r="C2713" s="19">
        <v>40236</v>
      </c>
      <c r="D2713" s="6" t="s">
        <v>25</v>
      </c>
      <c r="E2713" s="6">
        <f>IF((ISBLANK($B$1)),"",Sheet1!Q2721)</f>
        <v>4600</v>
      </c>
      <c r="F2713" s="20" t="s">
        <v>29</v>
      </c>
      <c r="G2713" s="53">
        <f t="shared" si="43"/>
        <v>-0.108784504142654</v>
      </c>
      <c r="H2713" s="35"/>
      <c r="P2713" s="6"/>
    </row>
    <row r="2714" spans="1:16" ht="14.4" x14ac:dyDescent="0.25">
      <c r="A2714" s="6">
        <v>178</v>
      </c>
      <c r="B2714" s="6">
        <v>1154</v>
      </c>
      <c r="C2714" s="19">
        <v>40953</v>
      </c>
      <c r="D2714" s="6" t="s">
        <v>30</v>
      </c>
      <c r="E2714" s="6">
        <f>IF((ISBLANK($B$1)),"",Sheet1!Q2722)</f>
        <v>3750</v>
      </c>
      <c r="F2714" s="20" t="s">
        <v>26</v>
      </c>
      <c r="G2714" s="53">
        <f t="shared" si="43"/>
        <v>-1.282595635945766</v>
      </c>
      <c r="H2714" s="35"/>
      <c r="P2714" s="6"/>
    </row>
    <row r="2715" spans="1:16" ht="14.4" x14ac:dyDescent="0.25">
      <c r="A2715" s="6">
        <v>207</v>
      </c>
      <c r="B2715" s="6">
        <v>1382</v>
      </c>
      <c r="C2715" s="19">
        <v>40406</v>
      </c>
      <c r="D2715" s="6" t="s">
        <v>25</v>
      </c>
      <c r="E2715" s="6">
        <f>IF((ISBLANK($B$1)),"",Sheet1!Q2723)</f>
        <v>3650</v>
      </c>
      <c r="F2715" s="20" t="s">
        <v>27</v>
      </c>
      <c r="G2715" s="53">
        <f t="shared" si="43"/>
        <v>-1.4206910632167202</v>
      </c>
      <c r="H2715" s="35"/>
      <c r="P2715" s="6"/>
    </row>
    <row r="2716" spans="1:16" ht="14.4" x14ac:dyDescent="0.25">
      <c r="A2716" s="6">
        <v>208</v>
      </c>
      <c r="B2716" s="6">
        <v>1382</v>
      </c>
      <c r="C2716" s="19">
        <v>40406</v>
      </c>
      <c r="D2716" s="6" t="s">
        <v>25</v>
      </c>
      <c r="E2716" s="6">
        <f>IF((ISBLANK($B$1)),"",Sheet1!Q2724)</f>
        <v>5350</v>
      </c>
      <c r="F2716" s="20" t="s">
        <v>26</v>
      </c>
      <c r="G2716" s="53">
        <f t="shared" si="43"/>
        <v>0.92693120038950361</v>
      </c>
      <c r="H2716" s="35"/>
      <c r="P2716" s="6"/>
    </row>
    <row r="2717" spans="1:16" ht="14.4" x14ac:dyDescent="0.25">
      <c r="A2717" s="6">
        <v>209</v>
      </c>
      <c r="B2717" s="6">
        <v>1382</v>
      </c>
      <c r="C2717" s="19">
        <v>40406</v>
      </c>
      <c r="D2717" s="6" t="s">
        <v>25</v>
      </c>
      <c r="E2717" s="6">
        <f>IF((ISBLANK($B$1)),"",Sheet1!Q2725)</f>
        <v>4950</v>
      </c>
      <c r="F2717" s="20" t="s">
        <v>29</v>
      </c>
      <c r="G2717" s="53">
        <f t="shared" si="43"/>
        <v>0.37454949130568621</v>
      </c>
      <c r="H2717" s="35"/>
      <c r="P2717" s="6"/>
    </row>
    <row r="2718" spans="1:16" ht="14.4" x14ac:dyDescent="0.25">
      <c r="A2718" s="6">
        <v>211</v>
      </c>
      <c r="B2718" s="6">
        <v>1411</v>
      </c>
      <c r="C2718" s="19">
        <v>40167</v>
      </c>
      <c r="D2718" s="6" t="s">
        <v>17</v>
      </c>
      <c r="E2718" s="6">
        <f>IF((ISBLANK($B$1)),"",Sheet1!Q2726)</f>
        <v>5350</v>
      </c>
      <c r="F2718" s="20" t="s">
        <v>29</v>
      </c>
      <c r="G2718" s="53">
        <f t="shared" si="43"/>
        <v>0.92693120038950361</v>
      </c>
      <c r="H2718" s="35"/>
      <c r="P2718" s="6"/>
    </row>
    <row r="2719" spans="1:16" ht="14.4" x14ac:dyDescent="0.25">
      <c r="A2719" s="6">
        <v>219</v>
      </c>
      <c r="B2719" s="6">
        <v>1444</v>
      </c>
      <c r="C2719" s="19">
        <v>40152</v>
      </c>
      <c r="D2719" s="6" t="s">
        <v>16</v>
      </c>
      <c r="E2719" s="6">
        <f>IF((ISBLANK($B$1)),"",Sheet1!Q2727)</f>
        <v>3500</v>
      </c>
      <c r="F2719" s="20" t="s">
        <v>26</v>
      </c>
      <c r="G2719" s="53">
        <f t="shared" si="43"/>
        <v>-1.6278342041231517</v>
      </c>
      <c r="H2719" s="35"/>
      <c r="P2719" s="6"/>
    </row>
    <row r="2720" spans="1:16" ht="14.4" x14ac:dyDescent="0.25">
      <c r="A2720" s="6">
        <v>580</v>
      </c>
      <c r="B2720" s="6">
        <v>3942</v>
      </c>
      <c r="C2720" s="19">
        <v>40356</v>
      </c>
      <c r="D2720" s="6" t="s">
        <v>28</v>
      </c>
      <c r="E2720" s="6">
        <f>IF((ISBLANK($B$1)),"",Sheet1!Q2728)</f>
        <v>4500</v>
      </c>
      <c r="F2720" s="20" t="s">
        <v>27</v>
      </c>
      <c r="G2720" s="53">
        <f t="shared" si="43"/>
        <v>-0.24687993141360834</v>
      </c>
      <c r="H2720" s="35"/>
      <c r="P2720" s="6"/>
    </row>
    <row r="2721" spans="1:16" ht="14.4" x14ac:dyDescent="0.25">
      <c r="A2721" s="6">
        <v>664</v>
      </c>
      <c r="B2721" s="6">
        <v>4647</v>
      </c>
      <c r="C2721" s="19">
        <v>39946</v>
      </c>
      <c r="D2721" s="6" t="s">
        <v>16</v>
      </c>
      <c r="E2721" s="6">
        <f>IF((ISBLANK($B$1)),"",Sheet1!Q2729)</f>
        <v>3750</v>
      </c>
      <c r="F2721" s="20" t="s">
        <v>26</v>
      </c>
      <c r="G2721" s="53">
        <f t="shared" si="43"/>
        <v>-1.282595635945766</v>
      </c>
      <c r="H2721" s="35"/>
      <c r="P2721" s="6"/>
    </row>
    <row r="2722" spans="1:16" ht="14.4" x14ac:dyDescent="0.25">
      <c r="A2722" s="6">
        <v>665</v>
      </c>
      <c r="B2722" s="6">
        <v>4647</v>
      </c>
      <c r="C2722" s="19">
        <v>39946</v>
      </c>
      <c r="D2722" s="6" t="s">
        <v>16</v>
      </c>
      <c r="E2722" s="6">
        <f>IF((ISBLANK($B$1)),"",Sheet1!Q2730)</f>
        <v>3700</v>
      </c>
      <c r="F2722" s="20" t="s">
        <v>26</v>
      </c>
      <c r="G2722" s="53">
        <f t="shared" si="43"/>
        <v>-1.351643349581243</v>
      </c>
      <c r="H2722" s="35"/>
      <c r="P2722" s="6"/>
    </row>
    <row r="2723" spans="1:16" ht="14.4" x14ac:dyDescent="0.25">
      <c r="A2723" s="6">
        <v>707</v>
      </c>
      <c r="B2723" s="6">
        <v>4960</v>
      </c>
      <c r="C2723" s="19">
        <v>40599</v>
      </c>
      <c r="D2723" s="6" t="s">
        <v>25</v>
      </c>
      <c r="E2723" s="6">
        <f>IF((ISBLANK($B$1)),"",Sheet1!Q2731)</f>
        <v>4900</v>
      </c>
      <c r="F2723" s="20" t="s">
        <v>29</v>
      </c>
      <c r="G2723" s="53">
        <f t="shared" si="43"/>
        <v>0.30550177767020903</v>
      </c>
      <c r="H2723" s="35"/>
      <c r="P2723" s="6"/>
    </row>
    <row r="2724" spans="1:16" ht="14.4" x14ac:dyDescent="0.25">
      <c r="A2724" s="6">
        <v>1010</v>
      </c>
      <c r="B2724" s="6">
        <v>7367</v>
      </c>
      <c r="C2724" s="19">
        <v>40699</v>
      </c>
      <c r="D2724" s="6" t="s">
        <v>25</v>
      </c>
      <c r="E2724" s="6">
        <f>IF((ISBLANK($B$1)),"",Sheet1!Q2732)</f>
        <v>5700</v>
      </c>
      <c r="F2724" s="20" t="s">
        <v>27</v>
      </c>
      <c r="G2724" s="53">
        <f t="shared" si="43"/>
        <v>1.4102651958378438</v>
      </c>
      <c r="H2724" s="35"/>
      <c r="P2724" s="6"/>
    </row>
    <row r="2725" spans="1:16" ht="14.4" x14ac:dyDescent="0.25">
      <c r="A2725" s="6">
        <v>1079</v>
      </c>
      <c r="B2725" s="6">
        <v>7938</v>
      </c>
      <c r="C2725" s="19">
        <v>40250</v>
      </c>
      <c r="D2725" s="6" t="s">
        <v>16</v>
      </c>
      <c r="E2725" s="6">
        <f>IF((ISBLANK($B$1)),"",Sheet1!Q2733)</f>
        <v>5100</v>
      </c>
      <c r="F2725" s="20" t="s">
        <v>26</v>
      </c>
      <c r="G2725" s="53">
        <f t="shared" si="43"/>
        <v>0.58169263221211776</v>
      </c>
      <c r="H2725" s="35"/>
      <c r="P2725" s="6"/>
    </row>
    <row r="2726" spans="1:16" ht="14.4" x14ac:dyDescent="0.25">
      <c r="A2726" s="6">
        <v>1142</v>
      </c>
      <c r="B2726" s="6">
        <v>8320</v>
      </c>
      <c r="C2726" s="19">
        <v>40075</v>
      </c>
      <c r="D2726" s="6" t="s">
        <v>28</v>
      </c>
      <c r="E2726" s="6">
        <f>IF((ISBLANK($B$1)),"",Sheet1!Q2734)</f>
        <v>5150</v>
      </c>
      <c r="F2726" s="20" t="s">
        <v>27</v>
      </c>
      <c r="G2726" s="53">
        <f t="shared" si="43"/>
        <v>0.65074034584759488</v>
      </c>
      <c r="H2726" s="35"/>
      <c r="P2726" s="6"/>
    </row>
    <row r="2727" spans="1:16" ht="14.4" x14ac:dyDescent="0.25">
      <c r="A2727" s="6">
        <v>1203</v>
      </c>
      <c r="B2727" s="6">
        <v>8807</v>
      </c>
      <c r="C2727" s="19">
        <v>40234</v>
      </c>
      <c r="D2727" s="6" t="s">
        <v>25</v>
      </c>
      <c r="E2727" s="6">
        <f>IF((ISBLANK($B$1)),"",Sheet1!Q2735)</f>
        <v>4100</v>
      </c>
      <c r="F2727" s="20" t="s">
        <v>27</v>
      </c>
      <c r="G2727" s="53">
        <f t="shared" si="43"/>
        <v>-0.79926164049742576</v>
      </c>
      <c r="H2727" s="35"/>
      <c r="P2727" s="6"/>
    </row>
    <row r="2728" spans="1:16" ht="14.4" x14ac:dyDescent="0.25">
      <c r="A2728" s="6">
        <v>1245</v>
      </c>
      <c r="B2728" s="6">
        <v>9062</v>
      </c>
      <c r="C2728" s="19">
        <v>40622</v>
      </c>
      <c r="D2728" s="6" t="s">
        <v>17</v>
      </c>
      <c r="E2728" s="6">
        <f>IF((ISBLANK($B$1)),"",Sheet1!Q2736)</f>
        <v>4350</v>
      </c>
      <c r="F2728" s="20" t="s">
        <v>29</v>
      </c>
      <c r="G2728" s="53">
        <f t="shared" si="43"/>
        <v>-0.45402307232003986</v>
      </c>
      <c r="H2728" s="35"/>
      <c r="P2728" s="6"/>
    </row>
    <row r="2729" spans="1:16" ht="14.4" x14ac:dyDescent="0.25">
      <c r="A2729" s="6">
        <v>1308</v>
      </c>
      <c r="B2729" s="6">
        <v>9602</v>
      </c>
      <c r="C2729" s="19">
        <v>41223</v>
      </c>
      <c r="D2729" s="6" t="s">
        <v>30</v>
      </c>
      <c r="E2729" s="6">
        <f>IF((ISBLANK($B$1)),"",Sheet1!Q2737)</f>
        <v>4750</v>
      </c>
      <c r="F2729" s="20" t="s">
        <v>27</v>
      </c>
      <c r="G2729" s="53">
        <f t="shared" si="43"/>
        <v>9.8358636763777513E-2</v>
      </c>
      <c r="H2729" s="35"/>
      <c r="P2729" s="6"/>
    </row>
    <row r="2730" spans="1:16" ht="14.4" x14ac:dyDescent="0.25">
      <c r="A2730" s="6">
        <v>1310</v>
      </c>
      <c r="B2730" s="6">
        <v>9602</v>
      </c>
      <c r="C2730" s="19">
        <v>41223</v>
      </c>
      <c r="D2730" s="6" t="s">
        <v>30</v>
      </c>
      <c r="E2730" s="6">
        <f>IF((ISBLANK($B$1)),"",Sheet1!Q2738)</f>
        <v>4150</v>
      </c>
      <c r="F2730" s="20" t="s">
        <v>29</v>
      </c>
      <c r="G2730" s="53">
        <f t="shared" si="43"/>
        <v>-0.73021392686194853</v>
      </c>
      <c r="H2730" s="35"/>
      <c r="P2730" s="6"/>
    </row>
    <row r="2731" spans="1:16" ht="14.4" x14ac:dyDescent="0.25">
      <c r="A2731" s="6">
        <v>1402</v>
      </c>
      <c r="B2731" s="6">
        <v>10209</v>
      </c>
      <c r="C2731" s="19">
        <v>40511</v>
      </c>
      <c r="D2731" s="6" t="s">
        <v>16</v>
      </c>
      <c r="E2731" s="6">
        <f>IF((ISBLANK($B$1)),"",Sheet1!Q2739)</f>
        <v>4100</v>
      </c>
      <c r="F2731" s="20" t="s">
        <v>29</v>
      </c>
      <c r="G2731" s="53">
        <f t="shared" si="43"/>
        <v>-0.79926164049742576</v>
      </c>
      <c r="H2731" s="35"/>
      <c r="P2731" s="6"/>
    </row>
    <row r="2732" spans="1:16" ht="14.4" x14ac:dyDescent="0.25">
      <c r="A2732" s="6">
        <v>1425</v>
      </c>
      <c r="B2732" s="6">
        <v>10338</v>
      </c>
      <c r="C2732" s="19">
        <v>40738</v>
      </c>
      <c r="D2732" s="6" t="s">
        <v>28</v>
      </c>
      <c r="E2732" s="6">
        <f>IF((ISBLANK($B$1)),"",Sheet1!Q2740)</f>
        <v>3850</v>
      </c>
      <c r="F2732" s="20" t="s">
        <v>27</v>
      </c>
      <c r="G2732" s="53">
        <f t="shared" si="43"/>
        <v>-1.1445002086748115</v>
      </c>
      <c r="H2732" s="35"/>
      <c r="P2732" s="6"/>
    </row>
    <row r="2733" spans="1:16" ht="14.4" x14ac:dyDescent="0.25">
      <c r="A2733" s="6">
        <v>1485</v>
      </c>
      <c r="B2733" s="6">
        <v>10688</v>
      </c>
      <c r="C2733" s="19">
        <v>41041</v>
      </c>
      <c r="D2733" s="6" t="s">
        <v>16</v>
      </c>
      <c r="E2733" s="6">
        <f>IF((ISBLANK($B$1)),"",Sheet1!Q2741)</f>
        <v>4100</v>
      </c>
      <c r="F2733" s="20" t="s">
        <v>29</v>
      </c>
      <c r="G2733" s="53">
        <f t="shared" si="43"/>
        <v>-0.79926164049742576</v>
      </c>
      <c r="H2733" s="35"/>
      <c r="P2733" s="6"/>
    </row>
    <row r="2734" spans="1:16" ht="14.4" x14ac:dyDescent="0.25">
      <c r="A2734" s="6">
        <v>1553</v>
      </c>
      <c r="B2734" s="6">
        <v>11206</v>
      </c>
      <c r="C2734" s="19">
        <v>40175</v>
      </c>
      <c r="D2734" s="6" t="s">
        <v>25</v>
      </c>
      <c r="E2734" s="6">
        <f>IF((ISBLANK($B$1)),"",Sheet1!Q2742)</f>
        <v>3700</v>
      </c>
      <c r="F2734" s="20" t="s">
        <v>26</v>
      </c>
      <c r="G2734" s="53">
        <f t="shared" si="43"/>
        <v>-1.351643349581243</v>
      </c>
      <c r="H2734" s="35"/>
      <c r="P2734" s="6"/>
    </row>
    <row r="2735" spans="1:16" ht="14.4" x14ac:dyDescent="0.25">
      <c r="A2735" s="6">
        <v>1601</v>
      </c>
      <c r="B2735" s="6">
        <v>11585</v>
      </c>
      <c r="C2735" s="19">
        <v>39887</v>
      </c>
      <c r="D2735" s="6" t="s">
        <v>16</v>
      </c>
      <c r="E2735" s="6">
        <f>IF((ISBLANK($B$1)),"",Sheet1!Q2743)</f>
        <v>3500</v>
      </c>
      <c r="F2735" s="20" t="s">
        <v>27</v>
      </c>
      <c r="G2735" s="53">
        <f t="shared" si="43"/>
        <v>-1.6278342041231517</v>
      </c>
      <c r="H2735" s="35"/>
      <c r="P2735" s="6"/>
    </row>
    <row r="2736" spans="1:16" ht="14.4" x14ac:dyDescent="0.25">
      <c r="A2736" s="6">
        <v>1796</v>
      </c>
      <c r="B2736" s="6">
        <v>12868</v>
      </c>
      <c r="C2736" s="19">
        <v>40603</v>
      </c>
      <c r="D2736" s="6" t="s">
        <v>30</v>
      </c>
      <c r="E2736" s="6">
        <f>IF((ISBLANK($B$1)),"",Sheet1!Q2744)</f>
        <v>3500</v>
      </c>
      <c r="F2736" s="20" t="s">
        <v>26</v>
      </c>
      <c r="G2736" s="53">
        <f t="shared" si="43"/>
        <v>-1.6278342041231517</v>
      </c>
      <c r="H2736" s="35"/>
      <c r="P2736" s="6"/>
    </row>
    <row r="2737" spans="1:16" ht="14.4" x14ac:dyDescent="0.25">
      <c r="A2737" s="6">
        <v>1994</v>
      </c>
      <c r="B2737" s="6">
        <v>14215</v>
      </c>
      <c r="C2737" s="19">
        <v>41103</v>
      </c>
      <c r="D2737" s="6" t="s">
        <v>16</v>
      </c>
      <c r="E2737" s="6">
        <f>IF((ISBLANK($B$1)),"",Sheet1!Q2745)</f>
        <v>5600</v>
      </c>
      <c r="F2737" s="20" t="s">
        <v>26</v>
      </c>
      <c r="G2737" s="53">
        <f t="shared" si="43"/>
        <v>1.2721697685668893</v>
      </c>
      <c r="H2737" s="35"/>
      <c r="P2737" s="6"/>
    </row>
    <row r="2738" spans="1:16" ht="14.4" x14ac:dyDescent="0.25">
      <c r="A2738" s="6">
        <v>2053</v>
      </c>
      <c r="B2738" s="6">
        <v>14662</v>
      </c>
      <c r="C2738" s="19">
        <v>40863</v>
      </c>
      <c r="D2738" s="6" t="s">
        <v>17</v>
      </c>
      <c r="E2738" s="6">
        <f>IF((ISBLANK($B$1)),"",Sheet1!Q2746)</f>
        <v>4600</v>
      </c>
      <c r="F2738" s="20" t="s">
        <v>26</v>
      </c>
      <c r="G2738" s="53">
        <f t="shared" si="43"/>
        <v>-0.108784504142654</v>
      </c>
      <c r="H2738" s="35"/>
      <c r="P2738" s="6"/>
    </row>
    <row r="2739" spans="1:16" ht="14.4" x14ac:dyDescent="0.25">
      <c r="A2739" s="6">
        <v>2059</v>
      </c>
      <c r="B2739" s="6">
        <v>14727</v>
      </c>
      <c r="C2739" s="19">
        <v>41109</v>
      </c>
      <c r="D2739" s="6" t="s">
        <v>16</v>
      </c>
      <c r="E2739" s="6">
        <f>IF((ISBLANK($B$1)),"",Sheet1!Q2747)</f>
        <v>5900</v>
      </c>
      <c r="F2739" s="20" t="s">
        <v>29</v>
      </c>
      <c r="G2739" s="53">
        <f t="shared" si="43"/>
        <v>1.6864560503797523</v>
      </c>
      <c r="H2739" s="35"/>
      <c r="P2739" s="6"/>
    </row>
    <row r="2740" spans="1:16" ht="14.4" x14ac:dyDescent="0.25">
      <c r="A2740" s="6">
        <v>2191</v>
      </c>
      <c r="B2740" s="6">
        <v>15781</v>
      </c>
      <c r="C2740" s="19">
        <v>41155</v>
      </c>
      <c r="D2740" s="6" t="s">
        <v>17</v>
      </c>
      <c r="E2740" s="6">
        <f>IF((ISBLANK($B$1)),"",Sheet1!Q2748)</f>
        <v>4850</v>
      </c>
      <c r="F2740" s="20" t="s">
        <v>27</v>
      </c>
      <c r="G2740" s="53">
        <f t="shared" si="43"/>
        <v>0.23645406403473185</v>
      </c>
      <c r="H2740" s="35"/>
      <c r="P2740" s="6"/>
    </row>
    <row r="2741" spans="1:16" ht="14.4" x14ac:dyDescent="0.25">
      <c r="A2741" s="6">
        <v>2370</v>
      </c>
      <c r="B2741" s="6">
        <v>17157</v>
      </c>
      <c r="C2741" s="19">
        <v>41171</v>
      </c>
      <c r="D2741" s="6" t="s">
        <v>25</v>
      </c>
      <c r="E2741" s="6">
        <f>IF((ISBLANK($B$1)),"",Sheet1!Q2749)</f>
        <v>4950</v>
      </c>
      <c r="F2741" s="20" t="s">
        <v>27</v>
      </c>
      <c r="G2741" s="53">
        <f t="shared" si="43"/>
        <v>0.37454949130568621</v>
      </c>
      <c r="H2741" s="35"/>
      <c r="P2741" s="6"/>
    </row>
    <row r="2742" spans="1:16" ht="14.4" x14ac:dyDescent="0.25">
      <c r="A2742" s="6">
        <v>2447</v>
      </c>
      <c r="B2742" s="6">
        <v>17795</v>
      </c>
      <c r="C2742" s="19">
        <v>39904</v>
      </c>
      <c r="D2742" s="6" t="s">
        <v>16</v>
      </c>
      <c r="E2742" s="6">
        <f>IF((ISBLANK($B$1)),"",Sheet1!Q2750)</f>
        <v>3450</v>
      </c>
      <c r="F2742" s="20" t="s">
        <v>26</v>
      </c>
      <c r="G2742" s="53">
        <f t="shared" si="43"/>
        <v>-1.696881917758629</v>
      </c>
      <c r="H2742" s="35"/>
      <c r="P2742" s="6"/>
    </row>
    <row r="2743" spans="1:16" ht="14.4" x14ac:dyDescent="0.25">
      <c r="A2743" s="6">
        <v>2832</v>
      </c>
      <c r="B2743" s="6">
        <v>20449</v>
      </c>
      <c r="C2743" s="19">
        <v>40181</v>
      </c>
      <c r="D2743" s="6" t="s">
        <v>16</v>
      </c>
      <c r="E2743" s="6">
        <f>IF((ISBLANK($B$1)),"",Sheet1!Q2751)</f>
        <v>4350</v>
      </c>
      <c r="F2743" s="20" t="s">
        <v>26</v>
      </c>
      <c r="G2743" s="53">
        <f t="shared" si="43"/>
        <v>-0.45402307232003986</v>
      </c>
      <c r="H2743" s="35"/>
      <c r="P2743" s="6"/>
    </row>
    <row r="2744" spans="1:16" ht="14.4" x14ac:dyDescent="0.25">
      <c r="A2744" s="6">
        <v>3054</v>
      </c>
      <c r="B2744" s="6">
        <v>21890</v>
      </c>
      <c r="C2744" s="19">
        <v>40567</v>
      </c>
      <c r="D2744" s="6" t="s">
        <v>28</v>
      </c>
      <c r="E2744" s="6">
        <f>IF((ISBLANK($B$1)),"",Sheet1!Q2752)</f>
        <v>4750</v>
      </c>
      <c r="F2744" s="20" t="s">
        <v>26</v>
      </c>
      <c r="G2744" s="53">
        <f t="shared" si="43"/>
        <v>9.8358636763777513E-2</v>
      </c>
      <c r="H2744" s="35"/>
      <c r="P2744" s="6"/>
    </row>
    <row r="2745" spans="1:16" ht="14.4" x14ac:dyDescent="0.25">
      <c r="A2745" s="6">
        <v>3071</v>
      </c>
      <c r="B2745" s="6">
        <v>22020</v>
      </c>
      <c r="C2745" s="19">
        <v>40315</v>
      </c>
      <c r="D2745" s="6" t="s">
        <v>30</v>
      </c>
      <c r="E2745" s="6">
        <f>IF((ISBLANK($B$1)),"",Sheet1!Q2753)</f>
        <v>5250</v>
      </c>
      <c r="F2745" s="20" t="s">
        <v>26</v>
      </c>
      <c r="G2745" s="53">
        <f t="shared" si="43"/>
        <v>0.78883577311854924</v>
      </c>
      <c r="H2745" s="35"/>
      <c r="P2745" s="6"/>
    </row>
    <row r="2746" spans="1:16" ht="14.4" x14ac:dyDescent="0.25">
      <c r="A2746" s="6">
        <v>3087</v>
      </c>
      <c r="B2746" s="6">
        <v>22149</v>
      </c>
      <c r="C2746" s="19">
        <v>40809</v>
      </c>
      <c r="D2746" s="6" t="s">
        <v>25</v>
      </c>
      <c r="E2746" s="6">
        <f>IF((ISBLANK($B$1)),"",Sheet1!Q2754)</f>
        <v>5750</v>
      </c>
      <c r="F2746" s="20" t="s">
        <v>26</v>
      </c>
      <c r="G2746" s="53">
        <f t="shared" si="43"/>
        <v>1.4793129094733208</v>
      </c>
      <c r="H2746" s="35"/>
      <c r="P2746" s="6"/>
    </row>
    <row r="2747" spans="1:16" ht="14.4" x14ac:dyDescent="0.25">
      <c r="A2747" s="6">
        <v>3216</v>
      </c>
      <c r="B2747" s="6">
        <v>23078</v>
      </c>
      <c r="C2747" s="19">
        <v>40801</v>
      </c>
      <c r="D2747" s="6" t="s">
        <v>16</v>
      </c>
      <c r="E2747" s="6">
        <f>IF((ISBLANK($B$1)),"",Sheet1!Q2755)</f>
        <v>4300</v>
      </c>
      <c r="F2747" s="20" t="s">
        <v>26</v>
      </c>
      <c r="G2747" s="53">
        <f t="shared" si="43"/>
        <v>-0.52307078595551704</v>
      </c>
      <c r="H2747" s="35"/>
      <c r="P2747" s="6"/>
    </row>
    <row r="2748" spans="1:16" ht="14.4" x14ac:dyDescent="0.25">
      <c r="A2748" s="6">
        <v>3306</v>
      </c>
      <c r="B2748" s="6">
        <v>23619</v>
      </c>
      <c r="C2748" s="19">
        <v>41264</v>
      </c>
      <c r="D2748" s="6" t="s">
        <v>16</v>
      </c>
      <c r="E2748" s="6">
        <f>IF((ISBLANK($B$1)),"",Sheet1!Q2756)</f>
        <v>3750</v>
      </c>
      <c r="F2748" s="20" t="s">
        <v>27</v>
      </c>
      <c r="G2748" s="53">
        <f t="shared" si="43"/>
        <v>-1.282595635945766</v>
      </c>
      <c r="H2748" s="35"/>
      <c r="P2748" s="6"/>
    </row>
    <row r="2749" spans="1:16" ht="14.4" x14ac:dyDescent="0.25">
      <c r="A2749" s="6">
        <v>3351</v>
      </c>
      <c r="B2749" s="6">
        <v>24003</v>
      </c>
      <c r="C2749" s="19">
        <v>40117</v>
      </c>
      <c r="D2749" s="6" t="s">
        <v>30</v>
      </c>
      <c r="E2749" s="6">
        <f>IF((ISBLANK($B$1)),"",Sheet1!Q2757)</f>
        <v>5850</v>
      </c>
      <c r="F2749" s="20" t="s">
        <v>26</v>
      </c>
      <c r="G2749" s="53">
        <f t="shared" si="43"/>
        <v>1.6174083367442753</v>
      </c>
      <c r="H2749" s="35"/>
      <c r="P2749" s="6"/>
    </row>
    <row r="2750" spans="1:16" ht="14.4" x14ac:dyDescent="0.25">
      <c r="A2750" s="6">
        <v>3352</v>
      </c>
      <c r="B2750" s="6">
        <v>24003</v>
      </c>
      <c r="C2750" s="19">
        <v>40117</v>
      </c>
      <c r="D2750" s="6" t="s">
        <v>30</v>
      </c>
      <c r="E2750" s="6">
        <f>IF((ISBLANK($B$1)),"",Sheet1!Q2758)</f>
        <v>5900</v>
      </c>
      <c r="F2750" s="20" t="s">
        <v>26</v>
      </c>
      <c r="G2750" s="53">
        <f t="shared" si="43"/>
        <v>1.6864560503797523</v>
      </c>
      <c r="H2750" s="35"/>
      <c r="P2750" s="6"/>
    </row>
    <row r="2751" spans="1:16" ht="14.4" x14ac:dyDescent="0.25">
      <c r="A2751" s="6">
        <v>3564</v>
      </c>
      <c r="B2751" s="6">
        <v>25442</v>
      </c>
      <c r="C2751" s="19">
        <v>40913</v>
      </c>
      <c r="D2751" s="6" t="s">
        <v>17</v>
      </c>
      <c r="E2751" s="6">
        <f>IF((ISBLANK($B$1)),"",Sheet1!Q2759)</f>
        <v>5000</v>
      </c>
      <c r="F2751" s="20" t="s">
        <v>26</v>
      </c>
      <c r="G2751" s="53">
        <f t="shared" si="43"/>
        <v>0.44359720494116334</v>
      </c>
      <c r="H2751" s="35"/>
      <c r="P2751" s="6"/>
    </row>
    <row r="2752" spans="1:16" ht="14.4" x14ac:dyDescent="0.25">
      <c r="A2752" s="6">
        <v>3630</v>
      </c>
      <c r="B2752" s="6">
        <v>25927</v>
      </c>
      <c r="C2752" s="19">
        <v>39925</v>
      </c>
      <c r="D2752" s="6" t="s">
        <v>16</v>
      </c>
      <c r="E2752" s="6">
        <f>IF((ISBLANK($B$1)),"",Sheet1!Q2760)</f>
        <v>5550</v>
      </c>
      <c r="F2752" s="20" t="s">
        <v>26</v>
      </c>
      <c r="G2752" s="53">
        <f t="shared" si="43"/>
        <v>1.2031220549314123</v>
      </c>
      <c r="H2752" s="35"/>
      <c r="P2752" s="6"/>
    </row>
    <row r="2753" spans="1:16" ht="14.4" x14ac:dyDescent="0.25">
      <c r="A2753" s="6">
        <v>3664</v>
      </c>
      <c r="B2753" s="6">
        <v>26243</v>
      </c>
      <c r="C2753" s="19">
        <v>40740</v>
      </c>
      <c r="D2753" s="6" t="s">
        <v>25</v>
      </c>
      <c r="E2753" s="6">
        <f>IF((ISBLANK($B$1)),"",Sheet1!Q2761)</f>
        <v>5500</v>
      </c>
      <c r="F2753" s="20" t="s">
        <v>26</v>
      </c>
      <c r="G2753" s="53">
        <f t="shared" si="43"/>
        <v>1.1340743412959351</v>
      </c>
      <c r="H2753" s="35"/>
      <c r="P2753" s="6"/>
    </row>
    <row r="2754" spans="1:16" ht="14.4" x14ac:dyDescent="0.25">
      <c r="A2754" s="6">
        <v>3997</v>
      </c>
      <c r="B2754" s="6">
        <v>28515</v>
      </c>
      <c r="C2754" s="19">
        <v>40359</v>
      </c>
      <c r="D2754" s="6" t="s">
        <v>17</v>
      </c>
      <c r="E2754" s="6">
        <f>IF((ISBLANK($B$1)),"",Sheet1!Q2762)</f>
        <v>5050</v>
      </c>
      <c r="F2754" s="20" t="s">
        <v>26</v>
      </c>
      <c r="G2754" s="53">
        <f t="shared" si="43"/>
        <v>0.51264491857664052</v>
      </c>
      <c r="H2754" s="35"/>
      <c r="P2754" s="6"/>
    </row>
    <row r="2755" spans="1:16" ht="14.4" x14ac:dyDescent="0.25">
      <c r="A2755" s="6">
        <v>4180</v>
      </c>
      <c r="B2755" s="6">
        <v>29667</v>
      </c>
      <c r="C2755" s="19">
        <v>40018</v>
      </c>
      <c r="D2755" s="6" t="s">
        <v>28</v>
      </c>
      <c r="E2755" s="6">
        <f>IF((ISBLANK($B$1)),"",Sheet1!Q2763)</f>
        <v>4100</v>
      </c>
      <c r="F2755" s="20" t="s">
        <v>26</v>
      </c>
      <c r="G2755" s="53">
        <f t="shared" si="43"/>
        <v>-0.79926164049742576</v>
      </c>
      <c r="H2755" s="35"/>
      <c r="P2755" s="6"/>
    </row>
    <row r="2756" spans="1:16" ht="14.4" x14ac:dyDescent="0.25">
      <c r="A2756" s="6">
        <v>4226</v>
      </c>
      <c r="B2756" s="6">
        <v>30023</v>
      </c>
      <c r="C2756" s="19">
        <v>40466</v>
      </c>
      <c r="D2756" s="6" t="s">
        <v>25</v>
      </c>
      <c r="E2756" s="6">
        <f>IF((ISBLANK($B$1)),"",Sheet1!Q2764)</f>
        <v>4100</v>
      </c>
      <c r="F2756" s="20" t="s">
        <v>26</v>
      </c>
      <c r="G2756" s="53">
        <f t="shared" si="43"/>
        <v>-0.79926164049742576</v>
      </c>
      <c r="H2756" s="35"/>
      <c r="P2756" s="6"/>
    </row>
    <row r="2757" spans="1:16" ht="14.4" x14ac:dyDescent="0.25">
      <c r="A2757" s="6">
        <v>4248</v>
      </c>
      <c r="B2757" s="6">
        <v>30215</v>
      </c>
      <c r="C2757" s="19">
        <v>39870</v>
      </c>
      <c r="D2757" s="6" t="s">
        <v>16</v>
      </c>
      <c r="E2757" s="6">
        <f>IF((ISBLANK($B$1)),"",Sheet1!Q2765)</f>
        <v>4400</v>
      </c>
      <c r="F2757" s="20" t="s">
        <v>26</v>
      </c>
      <c r="G2757" s="53">
        <f t="shared" si="43"/>
        <v>-0.38497535868456267</v>
      </c>
      <c r="H2757" s="35"/>
      <c r="P2757" s="6"/>
    </row>
    <row r="2758" spans="1:16" ht="14.4" x14ac:dyDescent="0.25">
      <c r="A2758" s="6">
        <v>4468</v>
      </c>
      <c r="B2758" s="6">
        <v>31845</v>
      </c>
      <c r="C2758" s="19">
        <v>41204</v>
      </c>
      <c r="D2758" s="6" t="s">
        <v>25</v>
      </c>
      <c r="E2758" s="6">
        <f>IF((ISBLANK($B$1)),"",Sheet1!Q2766)</f>
        <v>3950</v>
      </c>
      <c r="F2758" s="20" t="s">
        <v>26</v>
      </c>
      <c r="G2758" s="53">
        <f t="shared" si="43"/>
        <v>-1.0064047814038573</v>
      </c>
      <c r="H2758" s="35"/>
      <c r="P2758" s="6"/>
    </row>
    <row r="2759" spans="1:16" ht="14.4" x14ac:dyDescent="0.25">
      <c r="A2759" s="6">
        <v>4638</v>
      </c>
      <c r="B2759" s="6">
        <v>32999</v>
      </c>
      <c r="C2759" s="19">
        <v>39917</v>
      </c>
      <c r="D2759" s="6" t="s">
        <v>25</v>
      </c>
      <c r="E2759" s="6">
        <f>IF((ISBLANK($B$1)),"",Sheet1!Q2767)</f>
        <v>4100</v>
      </c>
      <c r="F2759" s="20" t="s">
        <v>29</v>
      </c>
      <c r="G2759" s="53">
        <f t="shared" si="43"/>
        <v>-0.79926164049742576</v>
      </c>
      <c r="H2759" s="35"/>
      <c r="P2759" s="6"/>
    </row>
    <row r="2760" spans="1:16" ht="14.4" x14ac:dyDescent="0.25">
      <c r="A2760" s="6">
        <v>5013</v>
      </c>
      <c r="B2760" s="6">
        <v>35777</v>
      </c>
      <c r="C2760" s="19">
        <v>40429</v>
      </c>
      <c r="D2760" s="6" t="s">
        <v>30</v>
      </c>
      <c r="E2760" s="6">
        <f>IF((ISBLANK($B$1)),"",Sheet1!Q2768)</f>
        <v>5150</v>
      </c>
      <c r="F2760" s="20" t="s">
        <v>26</v>
      </c>
      <c r="G2760" s="53">
        <f t="shared" ref="G2760:G2823" si="44">STANDARDIZE(E2760,$L$26,$L$35)</f>
        <v>0.65074034584759488</v>
      </c>
      <c r="H2760" s="35"/>
      <c r="P2760" s="6"/>
    </row>
    <row r="2761" spans="1:16" ht="14.4" x14ac:dyDescent="0.25">
      <c r="A2761" s="6">
        <v>5052</v>
      </c>
      <c r="B2761" s="6">
        <v>36005</v>
      </c>
      <c r="C2761" s="19">
        <v>40438</v>
      </c>
      <c r="D2761" s="6" t="s">
        <v>25</v>
      </c>
      <c r="E2761" s="6">
        <f>IF((ISBLANK($B$1)),"",Sheet1!Q2769)</f>
        <v>3450</v>
      </c>
      <c r="F2761" s="20" t="s">
        <v>26</v>
      </c>
      <c r="G2761" s="53">
        <f t="shared" si="44"/>
        <v>-1.696881917758629</v>
      </c>
      <c r="H2761" s="35"/>
      <c r="P2761" s="6"/>
    </row>
    <row r="2762" spans="1:16" ht="14.4" x14ac:dyDescent="0.25">
      <c r="A2762" s="6">
        <v>5080</v>
      </c>
      <c r="B2762" s="6">
        <v>36196</v>
      </c>
      <c r="C2762" s="19">
        <v>40761</v>
      </c>
      <c r="D2762" s="6" t="s">
        <v>28</v>
      </c>
      <c r="E2762" s="6">
        <f>IF((ISBLANK($B$1)),"",Sheet1!Q2770)</f>
        <v>3700</v>
      </c>
      <c r="F2762" s="20" t="s">
        <v>29</v>
      </c>
      <c r="G2762" s="53">
        <f t="shared" si="44"/>
        <v>-1.351643349581243</v>
      </c>
      <c r="H2762" s="35"/>
      <c r="P2762" s="6"/>
    </row>
    <row r="2763" spans="1:16" ht="14.4" x14ac:dyDescent="0.25">
      <c r="A2763" s="6">
        <v>5084</v>
      </c>
      <c r="B2763" s="6">
        <v>36230</v>
      </c>
      <c r="C2763" s="19">
        <v>39974</v>
      </c>
      <c r="D2763" s="6" t="s">
        <v>17</v>
      </c>
      <c r="E2763" s="6">
        <f>IF((ISBLANK($B$1)),"",Sheet1!Q2771)</f>
        <v>3750</v>
      </c>
      <c r="F2763" s="20" t="s">
        <v>27</v>
      </c>
      <c r="G2763" s="53">
        <f t="shared" si="44"/>
        <v>-1.282595635945766</v>
      </c>
      <c r="H2763" s="35"/>
      <c r="P2763" s="6"/>
    </row>
    <row r="2764" spans="1:16" ht="14.4" x14ac:dyDescent="0.25">
      <c r="A2764" s="6">
        <v>5093</v>
      </c>
      <c r="B2764" s="6">
        <v>36294</v>
      </c>
      <c r="C2764" s="19">
        <v>41141</v>
      </c>
      <c r="D2764" s="6" t="s">
        <v>16</v>
      </c>
      <c r="E2764" s="6">
        <f>IF((ISBLANK($B$1)),"",Sheet1!Q2772)</f>
        <v>5700</v>
      </c>
      <c r="F2764" s="20" t="s">
        <v>26</v>
      </c>
      <c r="G2764" s="53">
        <f t="shared" si="44"/>
        <v>1.4102651958378438</v>
      </c>
      <c r="H2764" s="35"/>
      <c r="P2764" s="6"/>
    </row>
    <row r="2765" spans="1:16" ht="14.4" x14ac:dyDescent="0.25">
      <c r="A2765" s="6">
        <v>5158</v>
      </c>
      <c r="B2765" s="6">
        <v>36737</v>
      </c>
      <c r="C2765" s="19">
        <v>40252</v>
      </c>
      <c r="D2765" s="6" t="s">
        <v>28</v>
      </c>
      <c r="E2765" s="6">
        <f>IF((ISBLANK($B$1)),"",Sheet1!Q2773)</f>
        <v>4700</v>
      </c>
      <c r="F2765" s="20" t="s">
        <v>27</v>
      </c>
      <c r="G2765" s="53">
        <f t="shared" si="44"/>
        <v>2.9310923128300338E-2</v>
      </c>
      <c r="H2765" s="35"/>
      <c r="P2765" s="6"/>
    </row>
    <row r="2766" spans="1:16" ht="14.4" x14ac:dyDescent="0.25">
      <c r="A2766" s="6">
        <v>5241</v>
      </c>
      <c r="B2766" s="6">
        <v>37287</v>
      </c>
      <c r="C2766" s="19">
        <v>41214</v>
      </c>
      <c r="D2766" s="6" t="s">
        <v>25</v>
      </c>
      <c r="E2766" s="6">
        <f>IF((ISBLANK($B$1)),"",Sheet1!Q2774)</f>
        <v>5650</v>
      </c>
      <c r="F2766" s="20" t="s">
        <v>26</v>
      </c>
      <c r="G2766" s="53">
        <f t="shared" si="44"/>
        <v>1.3412174822023666</v>
      </c>
      <c r="H2766" s="35"/>
      <c r="P2766" s="6"/>
    </row>
    <row r="2767" spans="1:16" ht="14.4" x14ac:dyDescent="0.25">
      <c r="A2767" s="6">
        <v>5323</v>
      </c>
      <c r="B2767" s="6">
        <v>37831</v>
      </c>
      <c r="C2767" s="19">
        <v>41116</v>
      </c>
      <c r="D2767" s="6" t="s">
        <v>28</v>
      </c>
      <c r="E2767" s="6">
        <f>IF((ISBLANK($B$1)),"",Sheet1!Q2775)</f>
        <v>4900</v>
      </c>
      <c r="F2767" s="20" t="s">
        <v>27</v>
      </c>
      <c r="G2767" s="53">
        <f t="shared" si="44"/>
        <v>0.30550177767020903</v>
      </c>
      <c r="H2767" s="35"/>
      <c r="P2767" s="6"/>
    </row>
    <row r="2768" spans="1:16" ht="14.4" x14ac:dyDescent="0.25">
      <c r="A2768" s="6">
        <v>5400</v>
      </c>
      <c r="B2768" s="6">
        <v>38372</v>
      </c>
      <c r="C2768" s="19">
        <v>40313</v>
      </c>
      <c r="D2768" s="6" t="s">
        <v>17</v>
      </c>
      <c r="E2768" s="6">
        <f>IF((ISBLANK($B$1)),"",Sheet1!Q2776)</f>
        <v>5050</v>
      </c>
      <c r="F2768" s="20" t="s">
        <v>26</v>
      </c>
      <c r="G2768" s="53">
        <f t="shared" si="44"/>
        <v>0.51264491857664052</v>
      </c>
      <c r="H2768" s="35"/>
      <c r="P2768" s="6"/>
    </row>
    <row r="2769" spans="1:16" ht="14.4" x14ac:dyDescent="0.25">
      <c r="A2769" s="6">
        <v>5478</v>
      </c>
      <c r="B2769" s="6">
        <v>38912</v>
      </c>
      <c r="C2769" s="19">
        <v>41210</v>
      </c>
      <c r="D2769" s="6" t="s">
        <v>25</v>
      </c>
      <c r="E2769" s="6">
        <f>IF((ISBLANK($B$1)),"",Sheet1!Q2777)</f>
        <v>4700</v>
      </c>
      <c r="F2769" s="20" t="s">
        <v>27</v>
      </c>
      <c r="G2769" s="53">
        <f t="shared" si="44"/>
        <v>2.9310923128300338E-2</v>
      </c>
      <c r="H2769" s="35"/>
      <c r="P2769" s="6"/>
    </row>
    <row r="2770" spans="1:16" ht="14.4" x14ac:dyDescent="0.25">
      <c r="A2770" s="6">
        <v>5504</v>
      </c>
      <c r="B2770" s="6">
        <v>39040</v>
      </c>
      <c r="C2770" s="19">
        <v>39954</v>
      </c>
      <c r="D2770" s="6" t="s">
        <v>30</v>
      </c>
      <c r="E2770" s="6">
        <f>IF((ISBLANK($B$1)),"",Sheet1!Q2778)</f>
        <v>3750</v>
      </c>
      <c r="F2770" s="20" t="s">
        <v>26</v>
      </c>
      <c r="G2770" s="53">
        <f t="shared" si="44"/>
        <v>-1.282595635945766</v>
      </c>
      <c r="H2770" s="35"/>
      <c r="P2770" s="6"/>
    </row>
    <row r="2771" spans="1:16" ht="14.4" x14ac:dyDescent="0.25">
      <c r="A2771" s="6">
        <v>5761</v>
      </c>
      <c r="B2771" s="6">
        <v>40896</v>
      </c>
      <c r="C2771" s="19">
        <v>40788</v>
      </c>
      <c r="D2771" s="6" t="s">
        <v>28</v>
      </c>
      <c r="E2771" s="6">
        <f>IF((ISBLANK($B$1)),"",Sheet1!Q2779)</f>
        <v>4450</v>
      </c>
      <c r="F2771" s="20" t="s">
        <v>26</v>
      </c>
      <c r="G2771" s="53">
        <f t="shared" si="44"/>
        <v>-0.31592764504908549</v>
      </c>
      <c r="H2771" s="35"/>
      <c r="P2771" s="6"/>
    </row>
    <row r="2772" spans="1:16" ht="14.4" x14ac:dyDescent="0.25">
      <c r="A2772" s="6">
        <v>5776</v>
      </c>
      <c r="B2772" s="6">
        <v>40994</v>
      </c>
      <c r="C2772" s="19">
        <v>41191</v>
      </c>
      <c r="D2772" s="6" t="s">
        <v>17</v>
      </c>
      <c r="E2772" s="6">
        <f>IF((ISBLANK($B$1)),"",Sheet1!Q2780)</f>
        <v>5500</v>
      </c>
      <c r="F2772" s="20" t="s">
        <v>26</v>
      </c>
      <c r="G2772" s="53">
        <f t="shared" si="44"/>
        <v>1.1340743412959351</v>
      </c>
      <c r="H2772" s="35"/>
      <c r="P2772" s="6"/>
    </row>
    <row r="2773" spans="1:16" ht="14.4" x14ac:dyDescent="0.25">
      <c r="A2773" s="6">
        <v>5864</v>
      </c>
      <c r="B2773" s="6">
        <v>41607</v>
      </c>
      <c r="C2773" s="19">
        <v>40166</v>
      </c>
      <c r="D2773" s="6" t="s">
        <v>16</v>
      </c>
      <c r="E2773" s="6">
        <f>IF((ISBLANK($B$1)),"",Sheet1!Q2781)</f>
        <v>5200</v>
      </c>
      <c r="F2773" s="20" t="s">
        <v>26</v>
      </c>
      <c r="G2773" s="53">
        <f t="shared" si="44"/>
        <v>0.71978805948307201</v>
      </c>
      <c r="H2773" s="35"/>
      <c r="P2773" s="6"/>
    </row>
    <row r="2774" spans="1:16" ht="14.4" x14ac:dyDescent="0.25">
      <c r="A2774" s="6">
        <v>5874</v>
      </c>
      <c r="B2774" s="6">
        <v>41666</v>
      </c>
      <c r="C2774" s="19">
        <v>40971</v>
      </c>
      <c r="D2774" s="6" t="s">
        <v>16</v>
      </c>
      <c r="E2774" s="6">
        <f>IF((ISBLANK($B$1)),"",Sheet1!Q2782)</f>
        <v>4700</v>
      </c>
      <c r="F2774" s="20" t="s">
        <v>27</v>
      </c>
      <c r="G2774" s="53">
        <f t="shared" si="44"/>
        <v>2.9310923128300338E-2</v>
      </c>
      <c r="H2774" s="35"/>
      <c r="P2774" s="6"/>
    </row>
    <row r="2775" spans="1:16" ht="14.4" x14ac:dyDescent="0.25">
      <c r="A2775" s="6">
        <v>5961</v>
      </c>
      <c r="B2775" s="6">
        <v>42306</v>
      </c>
      <c r="C2775" s="19">
        <v>41166</v>
      </c>
      <c r="D2775" s="6" t="s">
        <v>17</v>
      </c>
      <c r="E2775" s="6">
        <f>IF((ISBLANK($B$1)),"",Sheet1!Q2783)</f>
        <v>4300</v>
      </c>
      <c r="F2775" s="20" t="s">
        <v>26</v>
      </c>
      <c r="G2775" s="53">
        <f t="shared" si="44"/>
        <v>-0.52307078595551704</v>
      </c>
      <c r="H2775" s="35"/>
      <c r="P2775" s="6"/>
    </row>
    <row r="2776" spans="1:16" ht="14.4" x14ac:dyDescent="0.25">
      <c r="A2776" s="6">
        <v>5994</v>
      </c>
      <c r="B2776" s="6">
        <v>42469</v>
      </c>
      <c r="C2776" s="19">
        <v>41221</v>
      </c>
      <c r="D2776" s="6" t="s">
        <v>28</v>
      </c>
      <c r="E2776" s="6">
        <f>IF((ISBLANK($B$1)),"",Sheet1!Q2784)</f>
        <v>4950</v>
      </c>
      <c r="F2776" s="20" t="s">
        <v>26</v>
      </c>
      <c r="G2776" s="53">
        <f t="shared" si="44"/>
        <v>0.37454949130568621</v>
      </c>
      <c r="H2776" s="35"/>
      <c r="P2776" s="6"/>
    </row>
    <row r="2777" spans="1:16" ht="14.4" x14ac:dyDescent="0.25">
      <c r="A2777" s="6">
        <v>6002</v>
      </c>
      <c r="B2777" s="6">
        <v>42528</v>
      </c>
      <c r="C2777" s="19">
        <v>40232</v>
      </c>
      <c r="D2777" s="6" t="s">
        <v>16</v>
      </c>
      <c r="E2777" s="6">
        <f>IF((ISBLANK($B$1)),"",Sheet1!Q2785)</f>
        <v>5700</v>
      </c>
      <c r="F2777" s="20" t="s">
        <v>26</v>
      </c>
      <c r="G2777" s="53">
        <f t="shared" si="44"/>
        <v>1.4102651958378438</v>
      </c>
      <c r="H2777" s="35"/>
      <c r="P2777" s="6"/>
    </row>
    <row r="2778" spans="1:16" ht="14.4" x14ac:dyDescent="0.25">
      <c r="A2778" s="6">
        <v>6049</v>
      </c>
      <c r="B2778" s="6">
        <v>42884</v>
      </c>
      <c r="C2778" s="19">
        <v>40249</v>
      </c>
      <c r="D2778" s="6" t="s">
        <v>28</v>
      </c>
      <c r="E2778" s="6">
        <f>IF((ISBLANK($B$1)),"",Sheet1!Q2786)</f>
        <v>4850</v>
      </c>
      <c r="F2778" s="20" t="s">
        <v>29</v>
      </c>
      <c r="G2778" s="53">
        <f t="shared" si="44"/>
        <v>0.23645406403473185</v>
      </c>
      <c r="H2778" s="35"/>
      <c r="P2778" s="6"/>
    </row>
    <row r="2779" spans="1:16" ht="14.4" x14ac:dyDescent="0.25">
      <c r="A2779" s="6">
        <v>6116</v>
      </c>
      <c r="B2779" s="6">
        <v>43302</v>
      </c>
      <c r="C2779" s="19">
        <v>40778</v>
      </c>
      <c r="D2779" s="6" t="s">
        <v>25</v>
      </c>
      <c r="E2779" s="6">
        <f>IF((ISBLANK($B$1)),"",Sheet1!Q2787)</f>
        <v>3600</v>
      </c>
      <c r="F2779" s="20" t="s">
        <v>26</v>
      </c>
      <c r="G2779" s="53">
        <f t="shared" si="44"/>
        <v>-1.4897387768521975</v>
      </c>
      <c r="H2779" s="35"/>
      <c r="P2779" s="6"/>
    </row>
    <row r="2780" spans="1:16" ht="14.4" x14ac:dyDescent="0.25">
      <c r="A2780" s="6">
        <v>6137</v>
      </c>
      <c r="B2780" s="6">
        <v>43460</v>
      </c>
      <c r="C2780" s="19">
        <v>41071</v>
      </c>
      <c r="D2780" s="6" t="s">
        <v>16</v>
      </c>
      <c r="E2780" s="6">
        <f>IF((ISBLANK($B$1)),"",Sheet1!Q2788)</f>
        <v>3500</v>
      </c>
      <c r="F2780" s="20" t="s">
        <v>26</v>
      </c>
      <c r="G2780" s="53">
        <f t="shared" si="44"/>
        <v>-1.6278342041231517</v>
      </c>
      <c r="H2780" s="35"/>
      <c r="P2780" s="6"/>
    </row>
    <row r="2781" spans="1:16" ht="14.4" x14ac:dyDescent="0.25">
      <c r="A2781" s="6">
        <v>6206</v>
      </c>
      <c r="B2781" s="6">
        <v>43972</v>
      </c>
      <c r="C2781" s="19">
        <v>40253</v>
      </c>
      <c r="D2781" s="6" t="s">
        <v>25</v>
      </c>
      <c r="E2781" s="6">
        <f>IF((ISBLANK($B$1)),"",Sheet1!Q2789)</f>
        <v>4000</v>
      </c>
      <c r="F2781" s="20" t="s">
        <v>27</v>
      </c>
      <c r="G2781" s="53">
        <f t="shared" si="44"/>
        <v>-0.93735706776838001</v>
      </c>
      <c r="H2781" s="35"/>
      <c r="P2781" s="6"/>
    </row>
    <row r="2782" spans="1:16" ht="14.4" x14ac:dyDescent="0.25">
      <c r="A2782" s="6">
        <v>6211</v>
      </c>
      <c r="B2782" s="6">
        <v>44000</v>
      </c>
      <c r="C2782" s="19">
        <v>41186</v>
      </c>
      <c r="D2782" s="6" t="s">
        <v>28</v>
      </c>
      <c r="E2782" s="6">
        <f>IF((ISBLANK($B$1)),"",Sheet1!Q2790)</f>
        <v>4150</v>
      </c>
      <c r="F2782" s="20" t="s">
        <v>26</v>
      </c>
      <c r="G2782" s="53">
        <f t="shared" si="44"/>
        <v>-0.73021392686194853</v>
      </c>
      <c r="H2782" s="35"/>
      <c r="P2782" s="6"/>
    </row>
    <row r="2783" spans="1:16" ht="14.4" x14ac:dyDescent="0.25">
      <c r="A2783" s="6">
        <v>6488</v>
      </c>
      <c r="B2783" s="6">
        <v>46177</v>
      </c>
      <c r="C2783" s="19">
        <v>40517</v>
      </c>
      <c r="D2783" s="6" t="s">
        <v>25</v>
      </c>
      <c r="E2783" s="6">
        <f>IF((ISBLANK($B$1)),"",Sheet1!Q2791)</f>
        <v>5050</v>
      </c>
      <c r="F2783" s="20" t="s">
        <v>29</v>
      </c>
      <c r="G2783" s="53">
        <f t="shared" si="44"/>
        <v>0.51264491857664052</v>
      </c>
      <c r="H2783" s="35"/>
      <c r="P2783" s="6"/>
    </row>
    <row r="2784" spans="1:16" ht="14.4" x14ac:dyDescent="0.25">
      <c r="A2784" s="6">
        <v>6773</v>
      </c>
      <c r="B2784" s="6">
        <v>48226</v>
      </c>
      <c r="C2784" s="19">
        <v>39819</v>
      </c>
      <c r="D2784" s="6" t="s">
        <v>25</v>
      </c>
      <c r="E2784" s="6">
        <f>IF((ISBLANK($B$1)),"",Sheet1!Q2792)</f>
        <v>4550</v>
      </c>
      <c r="F2784" s="20" t="s">
        <v>29</v>
      </c>
      <c r="G2784" s="53">
        <f t="shared" si="44"/>
        <v>-0.17783221777813119</v>
      </c>
      <c r="H2784" s="35"/>
      <c r="P2784" s="6"/>
    </row>
    <row r="2785" spans="1:16" ht="14.4" x14ac:dyDescent="0.25">
      <c r="A2785" s="6">
        <v>6803</v>
      </c>
      <c r="B2785" s="6">
        <v>48455</v>
      </c>
      <c r="C2785" s="19">
        <v>39966</v>
      </c>
      <c r="D2785" s="6" t="s">
        <v>30</v>
      </c>
      <c r="E2785" s="6">
        <f>IF((ISBLANK($B$1)),"",Sheet1!Q2793)</f>
        <v>5100</v>
      </c>
      <c r="F2785" s="20" t="s">
        <v>26</v>
      </c>
      <c r="G2785" s="53">
        <f t="shared" si="44"/>
        <v>0.58169263221211776</v>
      </c>
      <c r="H2785" s="35"/>
      <c r="P2785" s="6"/>
    </row>
    <row r="2786" spans="1:16" ht="14.4" x14ac:dyDescent="0.25">
      <c r="A2786" s="6">
        <v>6866</v>
      </c>
      <c r="B2786" s="6">
        <v>48929</v>
      </c>
      <c r="C2786" s="19">
        <v>40108</v>
      </c>
      <c r="D2786" s="6" t="s">
        <v>17</v>
      </c>
      <c r="E2786" s="6">
        <f>IF((ISBLANK($B$1)),"",Sheet1!Q2794)</f>
        <v>3450</v>
      </c>
      <c r="F2786" s="20" t="s">
        <v>26</v>
      </c>
      <c r="G2786" s="53">
        <f t="shared" si="44"/>
        <v>-1.696881917758629</v>
      </c>
      <c r="H2786" s="35"/>
      <c r="P2786" s="6"/>
    </row>
    <row r="2787" spans="1:16" ht="14.4" x14ac:dyDescent="0.25">
      <c r="A2787" s="6">
        <v>6875</v>
      </c>
      <c r="B2787" s="6">
        <v>48994</v>
      </c>
      <c r="C2787" s="19">
        <v>40473</v>
      </c>
      <c r="D2787" s="6" t="s">
        <v>28</v>
      </c>
      <c r="E2787" s="6">
        <f>IF((ISBLANK($B$1)),"",Sheet1!Q2795)</f>
        <v>3700</v>
      </c>
      <c r="F2787" s="20" t="s">
        <v>26</v>
      </c>
      <c r="G2787" s="53">
        <f t="shared" si="44"/>
        <v>-1.351643349581243</v>
      </c>
      <c r="H2787" s="35"/>
      <c r="P2787" s="6"/>
    </row>
    <row r="2788" spans="1:16" ht="14.4" x14ac:dyDescent="0.25">
      <c r="A2788" s="6">
        <v>7164</v>
      </c>
      <c r="B2788" s="6">
        <v>51111</v>
      </c>
      <c r="C2788" s="19">
        <v>40948</v>
      </c>
      <c r="D2788" s="6" t="s">
        <v>28</v>
      </c>
      <c r="E2788" s="6">
        <f>IF((ISBLANK($B$1)),"",Sheet1!Q2796)</f>
        <v>3450</v>
      </c>
      <c r="F2788" s="20" t="s">
        <v>27</v>
      </c>
      <c r="G2788" s="53">
        <f t="shared" si="44"/>
        <v>-1.696881917758629</v>
      </c>
      <c r="H2788" s="35"/>
      <c r="P2788" s="6"/>
    </row>
    <row r="2789" spans="1:16" ht="14.4" x14ac:dyDescent="0.25">
      <c r="A2789" s="6">
        <v>7740</v>
      </c>
      <c r="B2789" s="6">
        <v>55425</v>
      </c>
      <c r="C2789" s="19">
        <v>40848</v>
      </c>
      <c r="D2789" s="6" t="s">
        <v>30</v>
      </c>
      <c r="E2789" s="6">
        <f>IF((ISBLANK($B$1)),"",Sheet1!Q2797)</f>
        <v>5500</v>
      </c>
      <c r="F2789" s="20" t="s">
        <v>27</v>
      </c>
      <c r="G2789" s="53">
        <f t="shared" si="44"/>
        <v>1.1340743412959351</v>
      </c>
      <c r="H2789" s="35"/>
      <c r="P2789" s="6"/>
    </row>
    <row r="2790" spans="1:16" ht="14.4" x14ac:dyDescent="0.25">
      <c r="A2790" s="6">
        <v>7803</v>
      </c>
      <c r="B2790" s="6">
        <v>55815</v>
      </c>
      <c r="C2790" s="19">
        <v>40556</v>
      </c>
      <c r="D2790" s="6" t="s">
        <v>17</v>
      </c>
      <c r="E2790" s="6">
        <f>IF((ISBLANK($B$1)),"",Sheet1!Q2798)</f>
        <v>4800</v>
      </c>
      <c r="F2790" s="20" t="s">
        <v>29</v>
      </c>
      <c r="G2790" s="53">
        <f t="shared" si="44"/>
        <v>0.16740635039925467</v>
      </c>
      <c r="H2790" s="35"/>
      <c r="P2790" s="6"/>
    </row>
    <row r="2791" spans="1:16" ht="14.4" x14ac:dyDescent="0.25">
      <c r="A2791" s="6">
        <v>7827</v>
      </c>
      <c r="B2791" s="6">
        <v>55940</v>
      </c>
      <c r="C2791" s="19">
        <v>39932</v>
      </c>
      <c r="D2791" s="6" t="s">
        <v>28</v>
      </c>
      <c r="E2791" s="6">
        <f>IF((ISBLANK($B$1)),"",Sheet1!Q2799)</f>
        <v>4850</v>
      </c>
      <c r="F2791" s="20" t="s">
        <v>27</v>
      </c>
      <c r="G2791" s="53">
        <f t="shared" si="44"/>
        <v>0.23645406403473185</v>
      </c>
      <c r="H2791" s="35"/>
      <c r="P2791" s="6"/>
    </row>
    <row r="2792" spans="1:16" ht="14.4" x14ac:dyDescent="0.25">
      <c r="A2792" s="6">
        <v>7858</v>
      </c>
      <c r="B2792" s="6">
        <v>56166</v>
      </c>
      <c r="C2792" s="19">
        <v>40394</v>
      </c>
      <c r="D2792" s="6" t="s">
        <v>30</v>
      </c>
      <c r="E2792" s="6">
        <f>IF((ISBLANK($B$1)),"",Sheet1!Q2800)</f>
        <v>3450</v>
      </c>
      <c r="F2792" s="20" t="s">
        <v>29</v>
      </c>
      <c r="G2792" s="53">
        <f t="shared" si="44"/>
        <v>-1.696881917758629</v>
      </c>
      <c r="H2792" s="35"/>
      <c r="P2792" s="6"/>
    </row>
    <row r="2793" spans="1:16" ht="14.4" x14ac:dyDescent="0.25">
      <c r="A2793" s="6">
        <v>8080</v>
      </c>
      <c r="B2793" s="6">
        <v>57638</v>
      </c>
      <c r="C2793" s="19">
        <v>41021</v>
      </c>
      <c r="D2793" s="6" t="s">
        <v>25</v>
      </c>
      <c r="E2793" s="6">
        <f>IF((ISBLANK($B$1)),"",Sheet1!Q2801)</f>
        <v>5850</v>
      </c>
      <c r="F2793" s="20" t="s">
        <v>26</v>
      </c>
      <c r="G2793" s="53">
        <f t="shared" si="44"/>
        <v>1.6174083367442753</v>
      </c>
      <c r="H2793" s="35"/>
      <c r="P2793" s="6"/>
    </row>
    <row r="2794" spans="1:16" ht="14.4" x14ac:dyDescent="0.25">
      <c r="A2794" s="6">
        <v>8081</v>
      </c>
      <c r="B2794" s="6">
        <v>57638</v>
      </c>
      <c r="C2794" s="19">
        <v>41021</v>
      </c>
      <c r="D2794" s="6" t="s">
        <v>25</v>
      </c>
      <c r="E2794" s="6">
        <f>IF((ISBLANK($B$1)),"",Sheet1!Q2802)</f>
        <v>5850</v>
      </c>
      <c r="F2794" s="20" t="s">
        <v>26</v>
      </c>
      <c r="G2794" s="53">
        <f t="shared" si="44"/>
        <v>1.6174083367442753</v>
      </c>
      <c r="H2794" s="35"/>
      <c r="P2794" s="6"/>
    </row>
    <row r="2795" spans="1:16" ht="14.4" x14ac:dyDescent="0.25">
      <c r="A2795" s="6">
        <v>8109</v>
      </c>
      <c r="B2795" s="6">
        <v>57890</v>
      </c>
      <c r="C2795" s="19">
        <v>39870</v>
      </c>
      <c r="D2795" s="6" t="s">
        <v>30</v>
      </c>
      <c r="E2795" s="6">
        <f>IF((ISBLANK($B$1)),"",Sheet1!Q2803)</f>
        <v>4150</v>
      </c>
      <c r="F2795" s="20" t="s">
        <v>26</v>
      </c>
      <c r="G2795" s="53">
        <f t="shared" si="44"/>
        <v>-0.73021392686194853</v>
      </c>
      <c r="H2795" s="35"/>
      <c r="P2795" s="6"/>
    </row>
    <row r="2796" spans="1:16" ht="14.4" x14ac:dyDescent="0.25">
      <c r="A2796" s="6">
        <v>327</v>
      </c>
      <c r="B2796" s="6">
        <v>2244</v>
      </c>
      <c r="C2796" s="19">
        <v>40186</v>
      </c>
      <c r="D2796" s="6" t="s">
        <v>30</v>
      </c>
      <c r="E2796" s="6">
        <f>IF((ISBLANK($B$1)),"",Sheet1!Q2804)</f>
        <v>4350</v>
      </c>
      <c r="F2796" s="20" t="s">
        <v>26</v>
      </c>
      <c r="G2796" s="53">
        <f t="shared" si="44"/>
        <v>-0.45402307232003986</v>
      </c>
      <c r="H2796" s="35"/>
      <c r="P2796" s="6"/>
    </row>
    <row r="2797" spans="1:16" ht="14.4" x14ac:dyDescent="0.25">
      <c r="A2797" s="6">
        <v>455</v>
      </c>
      <c r="B2797" s="6">
        <v>3104</v>
      </c>
      <c r="C2797" s="19">
        <v>40436</v>
      </c>
      <c r="D2797" s="6" t="s">
        <v>16</v>
      </c>
      <c r="E2797" s="6">
        <f>IF((ISBLANK($B$1)),"",Sheet1!Q2805)</f>
        <v>5900</v>
      </c>
      <c r="F2797" s="20" t="s">
        <v>26</v>
      </c>
      <c r="G2797" s="53">
        <f t="shared" si="44"/>
        <v>1.6864560503797523</v>
      </c>
      <c r="H2797" s="35"/>
      <c r="P2797" s="6"/>
    </row>
    <row r="2798" spans="1:16" ht="14.4" x14ac:dyDescent="0.25">
      <c r="A2798" s="6">
        <v>456</v>
      </c>
      <c r="B2798" s="6">
        <v>3104</v>
      </c>
      <c r="C2798" s="19">
        <v>40436</v>
      </c>
      <c r="D2798" s="6" t="s">
        <v>16</v>
      </c>
      <c r="E2798" s="6">
        <f>IF((ISBLANK($B$1)),"",Sheet1!Q2806)</f>
        <v>4600</v>
      </c>
      <c r="F2798" s="20" t="s">
        <v>26</v>
      </c>
      <c r="G2798" s="53">
        <f t="shared" si="44"/>
        <v>-0.108784504142654</v>
      </c>
      <c r="H2798" s="35"/>
      <c r="P2798" s="6"/>
    </row>
    <row r="2799" spans="1:16" ht="14.4" x14ac:dyDescent="0.25">
      <c r="A2799" s="6">
        <v>860</v>
      </c>
      <c r="B2799" s="6">
        <v>6179</v>
      </c>
      <c r="C2799" s="19">
        <v>39966</v>
      </c>
      <c r="D2799" s="6" t="s">
        <v>28</v>
      </c>
      <c r="E2799" s="6">
        <f>IF((ISBLANK($B$1)),"",Sheet1!Q2807)</f>
        <v>5900</v>
      </c>
      <c r="F2799" s="20" t="s">
        <v>26</v>
      </c>
      <c r="G2799" s="53">
        <f t="shared" si="44"/>
        <v>1.6864560503797523</v>
      </c>
      <c r="H2799" s="35"/>
      <c r="P2799" s="6"/>
    </row>
    <row r="2800" spans="1:16" ht="14.4" x14ac:dyDescent="0.25">
      <c r="A2800" s="6">
        <v>861</v>
      </c>
      <c r="B2800" s="6">
        <v>6179</v>
      </c>
      <c r="C2800" s="19">
        <v>39966</v>
      </c>
      <c r="D2800" s="6" t="s">
        <v>28</v>
      </c>
      <c r="E2800" s="6">
        <f>IF((ISBLANK($B$1)),"",Sheet1!Q2808)</f>
        <v>4150</v>
      </c>
      <c r="F2800" s="20" t="s">
        <v>27</v>
      </c>
      <c r="G2800" s="53">
        <f t="shared" si="44"/>
        <v>-0.73021392686194853</v>
      </c>
      <c r="H2800" s="35"/>
      <c r="P2800" s="6"/>
    </row>
    <row r="2801" spans="1:16" ht="14.4" x14ac:dyDescent="0.25">
      <c r="A2801" s="6">
        <v>1624</v>
      </c>
      <c r="B2801" s="6">
        <v>11747</v>
      </c>
      <c r="C2801" s="19">
        <v>40234</v>
      </c>
      <c r="D2801" s="6" t="s">
        <v>16</v>
      </c>
      <c r="E2801" s="6">
        <f>IF((ISBLANK($B$1)),"",Sheet1!Q2809)</f>
        <v>3550</v>
      </c>
      <c r="F2801" s="20" t="s">
        <v>27</v>
      </c>
      <c r="G2801" s="53">
        <f t="shared" si="44"/>
        <v>-1.5587864904876745</v>
      </c>
      <c r="H2801" s="35"/>
      <c r="P2801" s="6"/>
    </row>
    <row r="2802" spans="1:16" ht="14.4" x14ac:dyDescent="0.25">
      <c r="A2802" s="6">
        <v>1646</v>
      </c>
      <c r="B2802" s="6">
        <v>11877</v>
      </c>
      <c r="C2802" s="19">
        <v>40321</v>
      </c>
      <c r="D2802" s="6" t="s">
        <v>28</v>
      </c>
      <c r="E2802" s="6">
        <f>IF((ISBLANK($B$1)),"",Sheet1!Q2810)</f>
        <v>4350</v>
      </c>
      <c r="F2802" s="20" t="s">
        <v>26</v>
      </c>
      <c r="G2802" s="53">
        <f t="shared" si="44"/>
        <v>-0.45402307232003986</v>
      </c>
      <c r="H2802" s="35"/>
      <c r="P2802" s="6"/>
    </row>
    <row r="2803" spans="1:16" ht="14.4" x14ac:dyDescent="0.25">
      <c r="A2803" s="6">
        <v>1647</v>
      </c>
      <c r="B2803" s="6">
        <v>11877</v>
      </c>
      <c r="C2803" s="19">
        <v>40321</v>
      </c>
      <c r="D2803" s="6" t="s">
        <v>28</v>
      </c>
      <c r="E2803" s="6">
        <f>IF((ISBLANK($B$1)),"",Sheet1!Q2811)</f>
        <v>4950</v>
      </c>
      <c r="F2803" s="20" t="s">
        <v>26</v>
      </c>
      <c r="G2803" s="53">
        <f t="shared" si="44"/>
        <v>0.37454949130568621</v>
      </c>
      <c r="H2803" s="35"/>
      <c r="P2803" s="6"/>
    </row>
    <row r="2804" spans="1:16" ht="14.4" x14ac:dyDescent="0.25">
      <c r="A2804" s="6">
        <v>2139</v>
      </c>
      <c r="B2804" s="6">
        <v>15271</v>
      </c>
      <c r="C2804" s="19">
        <v>40384</v>
      </c>
      <c r="D2804" s="6" t="s">
        <v>30</v>
      </c>
      <c r="E2804" s="6">
        <f>IF((ISBLANK($B$1)),"",Sheet1!Q2812)</f>
        <v>4300</v>
      </c>
      <c r="F2804" s="20" t="s">
        <v>29</v>
      </c>
      <c r="G2804" s="53">
        <f t="shared" si="44"/>
        <v>-0.52307078595551704</v>
      </c>
      <c r="H2804" s="35"/>
      <c r="P2804" s="6"/>
    </row>
    <row r="2805" spans="1:16" ht="14.4" x14ac:dyDescent="0.25">
      <c r="A2805" s="6">
        <v>2140</v>
      </c>
      <c r="B2805" s="6">
        <v>15271</v>
      </c>
      <c r="C2805" s="19">
        <v>40384</v>
      </c>
      <c r="D2805" s="6" t="s">
        <v>30</v>
      </c>
      <c r="E2805" s="6">
        <f>IF((ISBLANK($B$1)),"",Sheet1!Q2813)</f>
        <v>3750</v>
      </c>
      <c r="F2805" s="20" t="s">
        <v>27</v>
      </c>
      <c r="G2805" s="53">
        <f t="shared" si="44"/>
        <v>-1.282595635945766</v>
      </c>
      <c r="H2805" s="35"/>
      <c r="P2805" s="6"/>
    </row>
    <row r="2806" spans="1:16" ht="14.4" x14ac:dyDescent="0.25">
      <c r="A2806" s="6">
        <v>3142</v>
      </c>
      <c r="B2806" s="6">
        <v>22561</v>
      </c>
      <c r="C2806" s="19">
        <v>40563</v>
      </c>
      <c r="D2806" s="6" t="s">
        <v>30</v>
      </c>
      <c r="E2806" s="6">
        <f>IF((ISBLANK($B$1)),"",Sheet1!Q2814)</f>
        <v>3750</v>
      </c>
      <c r="F2806" s="20" t="s">
        <v>29</v>
      </c>
      <c r="G2806" s="53">
        <f t="shared" si="44"/>
        <v>-1.282595635945766</v>
      </c>
      <c r="H2806" s="35"/>
      <c r="P2806" s="6"/>
    </row>
    <row r="2807" spans="1:16" ht="14.4" x14ac:dyDescent="0.25">
      <c r="A2807" s="6">
        <v>3143</v>
      </c>
      <c r="B2807" s="6">
        <v>22561</v>
      </c>
      <c r="C2807" s="19">
        <v>40563</v>
      </c>
      <c r="D2807" s="6" t="s">
        <v>30</v>
      </c>
      <c r="E2807" s="6">
        <f>IF((ISBLANK($B$1)),"",Sheet1!Q2815)</f>
        <v>5900</v>
      </c>
      <c r="F2807" s="20" t="s">
        <v>26</v>
      </c>
      <c r="G2807" s="53">
        <f t="shared" si="44"/>
        <v>1.6864560503797523</v>
      </c>
      <c r="H2807" s="35"/>
      <c r="P2807" s="6"/>
    </row>
    <row r="2808" spans="1:16" ht="14.4" x14ac:dyDescent="0.25">
      <c r="A2808" s="6">
        <v>3144</v>
      </c>
      <c r="B2808" s="6">
        <v>22561</v>
      </c>
      <c r="C2808" s="19">
        <v>40563</v>
      </c>
      <c r="D2808" s="6" t="s">
        <v>30</v>
      </c>
      <c r="E2808" s="6">
        <f>IF((ISBLANK($B$1)),"",Sheet1!Q2816)</f>
        <v>3650</v>
      </c>
      <c r="F2808" s="20" t="s">
        <v>27</v>
      </c>
      <c r="G2808" s="53">
        <f t="shared" si="44"/>
        <v>-1.4206910632167202</v>
      </c>
      <c r="H2808" s="35"/>
      <c r="P2808" s="6"/>
    </row>
    <row r="2809" spans="1:16" ht="14.4" x14ac:dyDescent="0.25">
      <c r="A2809" s="6">
        <v>3621</v>
      </c>
      <c r="B2809" s="6">
        <v>25860</v>
      </c>
      <c r="C2809" s="19">
        <v>40180</v>
      </c>
      <c r="D2809" s="6" t="s">
        <v>25</v>
      </c>
      <c r="E2809" s="6">
        <f>IF((ISBLANK($B$1)),"",Sheet1!Q2817)</f>
        <v>3850</v>
      </c>
      <c r="F2809" s="20" t="s">
        <v>26</v>
      </c>
      <c r="G2809" s="53">
        <f t="shared" si="44"/>
        <v>-1.1445002086748115</v>
      </c>
      <c r="H2809" s="35"/>
      <c r="P2809" s="6"/>
    </row>
    <row r="2810" spans="1:16" ht="14.4" x14ac:dyDescent="0.25">
      <c r="A2810" s="6">
        <v>3622</v>
      </c>
      <c r="B2810" s="6">
        <v>25860</v>
      </c>
      <c r="C2810" s="19">
        <v>40180</v>
      </c>
      <c r="D2810" s="6" t="s">
        <v>25</v>
      </c>
      <c r="E2810" s="6">
        <f>IF((ISBLANK($B$1)),"",Sheet1!Q2818)</f>
        <v>4550</v>
      </c>
      <c r="F2810" s="20" t="s">
        <v>27</v>
      </c>
      <c r="G2810" s="53">
        <f t="shared" si="44"/>
        <v>-0.17783221777813119</v>
      </c>
      <c r="H2810" s="35"/>
      <c r="P2810" s="6"/>
    </row>
    <row r="2811" spans="1:16" ht="14.4" x14ac:dyDescent="0.25">
      <c r="A2811" s="6">
        <v>121</v>
      </c>
      <c r="B2811" s="6">
        <v>775</v>
      </c>
      <c r="C2811" s="19">
        <v>40619</v>
      </c>
      <c r="D2811" s="6" t="s">
        <v>30</v>
      </c>
      <c r="E2811" s="6">
        <f>IF((ISBLANK($B$1)),"",Sheet1!Q2819)</f>
        <v>5150</v>
      </c>
      <c r="F2811" s="20" t="s">
        <v>26</v>
      </c>
      <c r="G2811" s="53">
        <f t="shared" si="44"/>
        <v>0.65074034584759488</v>
      </c>
      <c r="H2811" s="35"/>
      <c r="P2811" s="6"/>
    </row>
    <row r="2812" spans="1:16" ht="14.4" x14ac:dyDescent="0.25">
      <c r="A2812" s="6">
        <v>122</v>
      </c>
      <c r="B2812" s="6">
        <v>775</v>
      </c>
      <c r="C2812" s="19">
        <v>40619</v>
      </c>
      <c r="D2812" s="6" t="s">
        <v>30</v>
      </c>
      <c r="E2812" s="6">
        <f>IF((ISBLANK($B$1)),"",Sheet1!Q2820)</f>
        <v>3800</v>
      </c>
      <c r="F2812" s="20" t="s">
        <v>26</v>
      </c>
      <c r="G2812" s="53">
        <f t="shared" si="44"/>
        <v>-1.2135479223102887</v>
      </c>
      <c r="H2812" s="35"/>
      <c r="P2812" s="6"/>
    </row>
    <row r="2813" spans="1:16" ht="14.4" x14ac:dyDescent="0.25">
      <c r="A2813" s="6">
        <v>141</v>
      </c>
      <c r="B2813" s="6">
        <v>900</v>
      </c>
      <c r="C2813" s="19">
        <v>40086</v>
      </c>
      <c r="D2813" s="6" t="s">
        <v>28</v>
      </c>
      <c r="E2813" s="6">
        <f>IF((ISBLANK($B$1)),"",Sheet1!Q2821)</f>
        <v>4850</v>
      </c>
      <c r="F2813" s="20" t="s">
        <v>26</v>
      </c>
      <c r="G2813" s="53">
        <f t="shared" si="44"/>
        <v>0.23645406403473185</v>
      </c>
      <c r="H2813" s="35"/>
      <c r="P2813" s="6"/>
    </row>
    <row r="2814" spans="1:16" ht="14.4" x14ac:dyDescent="0.25">
      <c r="A2814" s="6">
        <v>154</v>
      </c>
      <c r="B2814" s="6">
        <v>964</v>
      </c>
      <c r="C2814" s="19">
        <v>40682</v>
      </c>
      <c r="D2814" s="6" t="s">
        <v>16</v>
      </c>
      <c r="E2814" s="6">
        <f>IF((ISBLANK($B$1)),"",Sheet1!Q2822)</f>
        <v>3600</v>
      </c>
      <c r="F2814" s="20" t="s">
        <v>26</v>
      </c>
      <c r="G2814" s="53">
        <f t="shared" si="44"/>
        <v>-1.4897387768521975</v>
      </c>
      <c r="H2814" s="35"/>
      <c r="P2814" s="6"/>
    </row>
    <row r="2815" spans="1:16" ht="14.4" x14ac:dyDescent="0.25">
      <c r="A2815" s="6">
        <v>394</v>
      </c>
      <c r="B2815" s="6">
        <v>2722</v>
      </c>
      <c r="C2815" s="19">
        <v>39911</v>
      </c>
      <c r="D2815" s="6" t="s">
        <v>25</v>
      </c>
      <c r="E2815" s="6">
        <f>IF((ISBLANK($B$1)),"",Sheet1!Q2823)</f>
        <v>5700</v>
      </c>
      <c r="F2815" s="20" t="s">
        <v>27</v>
      </c>
      <c r="G2815" s="53">
        <f t="shared" si="44"/>
        <v>1.4102651958378438</v>
      </c>
      <c r="H2815" s="35"/>
      <c r="P2815" s="6"/>
    </row>
    <row r="2816" spans="1:16" ht="14.4" x14ac:dyDescent="0.25">
      <c r="A2816" s="6">
        <v>454</v>
      </c>
      <c r="B2816" s="6">
        <v>3078</v>
      </c>
      <c r="C2816" s="19">
        <v>40220</v>
      </c>
      <c r="D2816" s="6" t="s">
        <v>17</v>
      </c>
      <c r="E2816" s="6">
        <f>IF((ISBLANK($B$1)),"",Sheet1!Q2824)</f>
        <v>3450</v>
      </c>
      <c r="F2816" s="20" t="s">
        <v>29</v>
      </c>
      <c r="G2816" s="53">
        <f t="shared" si="44"/>
        <v>-1.696881917758629</v>
      </c>
      <c r="H2816" s="35"/>
      <c r="P2816" s="6"/>
    </row>
    <row r="2817" spans="1:16" ht="14.4" x14ac:dyDescent="0.25">
      <c r="A2817" s="6">
        <v>496</v>
      </c>
      <c r="B2817" s="6">
        <v>3456</v>
      </c>
      <c r="C2817" s="19">
        <v>40329</v>
      </c>
      <c r="D2817" s="6" t="s">
        <v>25</v>
      </c>
      <c r="E2817" s="6">
        <f>IF((ISBLANK($B$1)),"",Sheet1!Q2825)</f>
        <v>4400</v>
      </c>
      <c r="F2817" s="20" t="s">
        <v>29</v>
      </c>
      <c r="G2817" s="53">
        <f t="shared" si="44"/>
        <v>-0.38497535868456267</v>
      </c>
      <c r="H2817" s="35"/>
      <c r="P2817" s="6"/>
    </row>
    <row r="2818" spans="1:16" ht="14.4" x14ac:dyDescent="0.25">
      <c r="A2818" s="6">
        <v>518</v>
      </c>
      <c r="B2818" s="6">
        <v>3556</v>
      </c>
      <c r="C2818" s="19">
        <v>41174</v>
      </c>
      <c r="D2818" s="6" t="s">
        <v>28</v>
      </c>
      <c r="E2818" s="6">
        <f>IF((ISBLANK($B$1)),"",Sheet1!Q2826)</f>
        <v>5800</v>
      </c>
      <c r="F2818" s="20" t="s">
        <v>26</v>
      </c>
      <c r="G2818" s="53">
        <f t="shared" si="44"/>
        <v>1.5483606231087981</v>
      </c>
      <c r="H2818" s="35"/>
      <c r="P2818" s="6"/>
    </row>
    <row r="2819" spans="1:16" ht="14.4" x14ac:dyDescent="0.25">
      <c r="A2819" s="6">
        <v>542</v>
      </c>
      <c r="B2819" s="6">
        <v>3654</v>
      </c>
      <c r="C2819" s="19">
        <v>41062</v>
      </c>
      <c r="D2819" s="6" t="s">
        <v>25</v>
      </c>
      <c r="E2819" s="6">
        <f>IF((ISBLANK($B$1)),"",Sheet1!Q2827)</f>
        <v>5350</v>
      </c>
      <c r="F2819" s="20" t="s">
        <v>27</v>
      </c>
      <c r="G2819" s="53">
        <f t="shared" si="44"/>
        <v>0.92693120038950361</v>
      </c>
      <c r="H2819" s="35"/>
      <c r="P2819" s="6"/>
    </row>
    <row r="2820" spans="1:16" ht="14.4" x14ac:dyDescent="0.25">
      <c r="A2820" s="6">
        <v>543</v>
      </c>
      <c r="B2820" s="6">
        <v>3654</v>
      </c>
      <c r="C2820" s="19">
        <v>41062</v>
      </c>
      <c r="D2820" s="6" t="s">
        <v>25</v>
      </c>
      <c r="E2820" s="6">
        <f>IF((ISBLANK($B$1)),"",Sheet1!Q2828)</f>
        <v>5750</v>
      </c>
      <c r="F2820" s="20" t="s">
        <v>26</v>
      </c>
      <c r="G2820" s="53">
        <f t="shared" si="44"/>
        <v>1.4793129094733208</v>
      </c>
      <c r="H2820" s="35"/>
      <c r="P2820" s="6"/>
    </row>
    <row r="2821" spans="1:16" ht="14.4" x14ac:dyDescent="0.25">
      <c r="A2821" s="6">
        <v>546</v>
      </c>
      <c r="B2821" s="6">
        <v>3680</v>
      </c>
      <c r="C2821" s="19">
        <v>41252</v>
      </c>
      <c r="D2821" s="6" t="s">
        <v>28</v>
      </c>
      <c r="E2821" s="6">
        <f>IF((ISBLANK($B$1)),"",Sheet1!Q2829)</f>
        <v>4750</v>
      </c>
      <c r="F2821" s="20" t="s">
        <v>26</v>
      </c>
      <c r="G2821" s="53">
        <f t="shared" si="44"/>
        <v>9.8358636763777513E-2</v>
      </c>
      <c r="H2821" s="35"/>
      <c r="P2821" s="6"/>
    </row>
    <row r="2822" spans="1:16" ht="14.4" x14ac:dyDescent="0.25">
      <c r="A2822" s="6">
        <v>579</v>
      </c>
      <c r="B2822" s="6">
        <v>3942</v>
      </c>
      <c r="C2822" s="19">
        <v>40356</v>
      </c>
      <c r="D2822" s="6" t="s">
        <v>28</v>
      </c>
      <c r="E2822" s="6">
        <f>IF((ISBLANK($B$1)),"",Sheet1!Q2830)</f>
        <v>3950</v>
      </c>
      <c r="F2822" s="20" t="s">
        <v>26</v>
      </c>
      <c r="G2822" s="53">
        <f t="shared" si="44"/>
        <v>-1.0064047814038573</v>
      </c>
      <c r="H2822" s="35"/>
      <c r="P2822" s="6"/>
    </row>
    <row r="2823" spans="1:16" ht="14.4" x14ac:dyDescent="0.25">
      <c r="A2823" s="6">
        <v>609</v>
      </c>
      <c r="B2823" s="6">
        <v>4162</v>
      </c>
      <c r="C2823" s="19">
        <v>40948</v>
      </c>
      <c r="D2823" s="6" t="s">
        <v>25</v>
      </c>
      <c r="E2823" s="6">
        <f>IF((ISBLANK($B$1)),"",Sheet1!Q2831)</f>
        <v>3500</v>
      </c>
      <c r="F2823" s="20" t="s">
        <v>26</v>
      </c>
      <c r="G2823" s="53">
        <f t="shared" si="44"/>
        <v>-1.6278342041231517</v>
      </c>
      <c r="H2823" s="35"/>
      <c r="P2823" s="6"/>
    </row>
    <row r="2824" spans="1:16" ht="14.4" x14ac:dyDescent="0.25">
      <c r="A2824" s="6">
        <v>699</v>
      </c>
      <c r="B2824" s="6">
        <v>4896</v>
      </c>
      <c r="C2824" s="19">
        <v>41142</v>
      </c>
      <c r="D2824" s="6" t="s">
        <v>30</v>
      </c>
      <c r="E2824" s="6">
        <f>IF((ISBLANK($B$1)),"",Sheet1!Q2832)</f>
        <v>4650</v>
      </c>
      <c r="F2824" s="20" t="s">
        <v>27</v>
      </c>
      <c r="G2824" s="53">
        <f t="shared" ref="G2824:G2887" si="45">STANDARDIZE(E2824,$L$26,$L$35)</f>
        <v>-3.9736790507176829E-2</v>
      </c>
      <c r="H2824" s="35"/>
      <c r="P2824" s="6"/>
    </row>
    <row r="2825" spans="1:16" ht="14.4" x14ac:dyDescent="0.25">
      <c r="A2825" s="6">
        <v>700</v>
      </c>
      <c r="B2825" s="6">
        <v>4896</v>
      </c>
      <c r="C2825" s="19">
        <v>41142</v>
      </c>
      <c r="D2825" s="6" t="s">
        <v>30</v>
      </c>
      <c r="E2825" s="6">
        <f>IF((ISBLANK($B$1)),"",Sheet1!Q2833)</f>
        <v>3900</v>
      </c>
      <c r="F2825" s="20" t="s">
        <v>27</v>
      </c>
      <c r="G2825" s="53">
        <f t="shared" si="45"/>
        <v>-1.0754524950393345</v>
      </c>
      <c r="H2825" s="35"/>
      <c r="P2825" s="6"/>
    </row>
    <row r="2826" spans="1:16" ht="14.4" x14ac:dyDescent="0.25">
      <c r="A2826" s="6">
        <v>708</v>
      </c>
      <c r="B2826" s="6">
        <v>4965</v>
      </c>
      <c r="C2826" s="19">
        <v>40471</v>
      </c>
      <c r="D2826" s="6" t="s">
        <v>25</v>
      </c>
      <c r="E2826" s="6">
        <f>IF((ISBLANK($B$1)),"",Sheet1!Q2834)</f>
        <v>4100</v>
      </c>
      <c r="F2826" s="20" t="s">
        <v>26</v>
      </c>
      <c r="G2826" s="53">
        <f t="shared" si="45"/>
        <v>-0.79926164049742576</v>
      </c>
      <c r="H2826" s="35"/>
      <c r="P2826" s="6"/>
    </row>
    <row r="2827" spans="1:16" ht="14.4" x14ac:dyDescent="0.25">
      <c r="A2827" s="6">
        <v>809</v>
      </c>
      <c r="B2827" s="6">
        <v>5830</v>
      </c>
      <c r="C2827" s="19">
        <v>40261</v>
      </c>
      <c r="D2827" s="6" t="s">
        <v>16</v>
      </c>
      <c r="E2827" s="6">
        <f>IF((ISBLANK($B$1)),"",Sheet1!Q2835)</f>
        <v>5850</v>
      </c>
      <c r="F2827" s="20" t="s">
        <v>29</v>
      </c>
      <c r="G2827" s="53">
        <f t="shared" si="45"/>
        <v>1.6174083367442753</v>
      </c>
      <c r="H2827" s="35"/>
      <c r="P2827" s="6"/>
    </row>
    <row r="2828" spans="1:16" ht="14.4" x14ac:dyDescent="0.25">
      <c r="A2828" s="6">
        <v>852</v>
      </c>
      <c r="B2828" s="6">
        <v>6116</v>
      </c>
      <c r="C2828" s="19">
        <v>39892</v>
      </c>
      <c r="D2828" s="6" t="s">
        <v>16</v>
      </c>
      <c r="E2828" s="6">
        <f>IF((ISBLANK($B$1)),"",Sheet1!Q2836)</f>
        <v>3750</v>
      </c>
      <c r="F2828" s="20" t="s">
        <v>27</v>
      </c>
      <c r="G2828" s="53">
        <f t="shared" si="45"/>
        <v>-1.282595635945766</v>
      </c>
      <c r="H2828" s="35"/>
      <c r="P2828" s="6"/>
    </row>
    <row r="2829" spans="1:16" ht="14.4" x14ac:dyDescent="0.25">
      <c r="A2829" s="6">
        <v>926</v>
      </c>
      <c r="B2829" s="6">
        <v>6695</v>
      </c>
      <c r="C2829" s="19">
        <v>41087</v>
      </c>
      <c r="D2829" s="6" t="s">
        <v>25</v>
      </c>
      <c r="E2829" s="6">
        <f>IF((ISBLANK($B$1)),"",Sheet1!Q2837)</f>
        <v>5850</v>
      </c>
      <c r="F2829" s="20" t="s">
        <v>26</v>
      </c>
      <c r="G2829" s="53">
        <f t="shared" si="45"/>
        <v>1.6174083367442753</v>
      </c>
      <c r="H2829" s="35"/>
      <c r="P2829" s="6"/>
    </row>
    <row r="2830" spans="1:16" ht="14.4" x14ac:dyDescent="0.25">
      <c r="A2830" s="6">
        <v>952</v>
      </c>
      <c r="B2830" s="6">
        <v>6885</v>
      </c>
      <c r="C2830" s="19">
        <v>41079</v>
      </c>
      <c r="D2830" s="6" t="s">
        <v>25</v>
      </c>
      <c r="E2830" s="6">
        <f>IF((ISBLANK($B$1)),"",Sheet1!Q2838)</f>
        <v>3600</v>
      </c>
      <c r="F2830" s="20" t="s">
        <v>29</v>
      </c>
      <c r="G2830" s="53">
        <f t="shared" si="45"/>
        <v>-1.4897387768521975</v>
      </c>
      <c r="H2830" s="35"/>
      <c r="P2830" s="6"/>
    </row>
    <row r="2831" spans="1:16" ht="14.4" x14ac:dyDescent="0.25">
      <c r="A2831" s="6">
        <v>1021</v>
      </c>
      <c r="B2831" s="6">
        <v>7458</v>
      </c>
      <c r="C2831" s="19">
        <v>41003</v>
      </c>
      <c r="D2831" s="6" t="s">
        <v>30</v>
      </c>
      <c r="E2831" s="6">
        <f>IF((ISBLANK($B$1)),"",Sheet1!Q2839)</f>
        <v>4200</v>
      </c>
      <c r="F2831" s="20" t="s">
        <v>26</v>
      </c>
      <c r="G2831" s="53">
        <f t="shared" si="45"/>
        <v>-0.6611662132264714</v>
      </c>
      <c r="H2831" s="35"/>
      <c r="P2831" s="6"/>
    </row>
    <row r="2832" spans="1:16" ht="14.4" x14ac:dyDescent="0.25">
      <c r="A2832" s="6">
        <v>1022</v>
      </c>
      <c r="B2832" s="6">
        <v>7458</v>
      </c>
      <c r="C2832" s="19">
        <v>41003</v>
      </c>
      <c r="D2832" s="6" t="s">
        <v>30</v>
      </c>
      <c r="E2832" s="6">
        <f>IF((ISBLANK($B$1)),"",Sheet1!Q2840)</f>
        <v>5700</v>
      </c>
      <c r="F2832" s="20" t="s">
        <v>27</v>
      </c>
      <c r="G2832" s="53">
        <f t="shared" si="45"/>
        <v>1.4102651958378438</v>
      </c>
      <c r="H2832" s="35"/>
      <c r="P2832" s="6"/>
    </row>
    <row r="2833" spans="1:16" ht="14.4" x14ac:dyDescent="0.25">
      <c r="A2833" s="6">
        <v>1202</v>
      </c>
      <c r="B2833" s="6">
        <v>8807</v>
      </c>
      <c r="C2833" s="19">
        <v>40234</v>
      </c>
      <c r="D2833" s="6" t="s">
        <v>25</v>
      </c>
      <c r="E2833" s="6">
        <f>IF((ISBLANK($B$1)),"",Sheet1!Q2841)</f>
        <v>4350</v>
      </c>
      <c r="F2833" s="20" t="s">
        <v>26</v>
      </c>
      <c r="G2833" s="53">
        <f t="shared" si="45"/>
        <v>-0.45402307232003986</v>
      </c>
      <c r="H2833" s="35"/>
      <c r="P2833" s="6"/>
    </row>
    <row r="2834" spans="1:16" ht="14.4" x14ac:dyDescent="0.25">
      <c r="A2834" s="6">
        <v>1239</v>
      </c>
      <c r="B2834" s="6">
        <v>9024</v>
      </c>
      <c r="C2834" s="19">
        <v>41062</v>
      </c>
      <c r="D2834" s="6" t="s">
        <v>16</v>
      </c>
      <c r="E2834" s="6">
        <f>IF((ISBLANK($B$1)),"",Sheet1!Q2842)</f>
        <v>5600</v>
      </c>
      <c r="F2834" s="20" t="s">
        <v>27</v>
      </c>
      <c r="G2834" s="53">
        <f t="shared" si="45"/>
        <v>1.2721697685668893</v>
      </c>
      <c r="H2834" s="35"/>
      <c r="P2834" s="6"/>
    </row>
    <row r="2835" spans="1:16" ht="14.4" x14ac:dyDescent="0.25">
      <c r="A2835" s="6">
        <v>1309</v>
      </c>
      <c r="B2835" s="6">
        <v>9602</v>
      </c>
      <c r="C2835" s="19">
        <v>41223</v>
      </c>
      <c r="D2835" s="6" t="s">
        <v>30</v>
      </c>
      <c r="E2835" s="6">
        <f>IF((ISBLANK($B$1)),"",Sheet1!Q2843)</f>
        <v>4200</v>
      </c>
      <c r="F2835" s="20" t="s">
        <v>27</v>
      </c>
      <c r="G2835" s="53">
        <f t="shared" si="45"/>
        <v>-0.6611662132264714</v>
      </c>
      <c r="H2835" s="35"/>
      <c r="P2835" s="6"/>
    </row>
    <row r="2836" spans="1:16" ht="14.4" x14ac:dyDescent="0.25">
      <c r="A2836" s="6">
        <v>1358</v>
      </c>
      <c r="B2836" s="6">
        <v>9894</v>
      </c>
      <c r="C2836" s="19">
        <v>39890</v>
      </c>
      <c r="D2836" s="6" t="s">
        <v>17</v>
      </c>
      <c r="E2836" s="6">
        <f>IF((ISBLANK($B$1)),"",Sheet1!Q2844)</f>
        <v>4200</v>
      </c>
      <c r="F2836" s="20" t="s">
        <v>29</v>
      </c>
      <c r="G2836" s="53">
        <f t="shared" si="45"/>
        <v>-0.6611662132264714</v>
      </c>
      <c r="H2836" s="35"/>
      <c r="P2836" s="6"/>
    </row>
    <row r="2837" spans="1:16" ht="14.4" x14ac:dyDescent="0.25">
      <c r="A2837" s="6">
        <v>1426</v>
      </c>
      <c r="B2837" s="6">
        <v>10338</v>
      </c>
      <c r="C2837" s="19">
        <v>40738</v>
      </c>
      <c r="D2837" s="6" t="s">
        <v>28</v>
      </c>
      <c r="E2837" s="6">
        <f>IF((ISBLANK($B$1)),"",Sheet1!Q2845)</f>
        <v>3750</v>
      </c>
      <c r="F2837" s="20" t="s">
        <v>29</v>
      </c>
      <c r="G2837" s="53">
        <f t="shared" si="45"/>
        <v>-1.282595635945766</v>
      </c>
      <c r="H2837" s="35"/>
      <c r="P2837" s="6"/>
    </row>
    <row r="2838" spans="1:16" ht="14.4" x14ac:dyDescent="0.25">
      <c r="A2838" s="6">
        <v>1528</v>
      </c>
      <c r="B2838" s="6">
        <v>11011</v>
      </c>
      <c r="C2838" s="19">
        <v>41042</v>
      </c>
      <c r="D2838" s="6" t="s">
        <v>17</v>
      </c>
      <c r="E2838" s="6">
        <f>IF((ISBLANK($B$1)),"",Sheet1!Q2846)</f>
        <v>5200</v>
      </c>
      <c r="F2838" s="20" t="s">
        <v>26</v>
      </c>
      <c r="G2838" s="53">
        <f t="shared" si="45"/>
        <v>0.71978805948307201</v>
      </c>
      <c r="H2838" s="35"/>
      <c r="P2838" s="6"/>
    </row>
    <row r="2839" spans="1:16" ht="14.4" x14ac:dyDescent="0.25">
      <c r="A2839" s="6">
        <v>1564</v>
      </c>
      <c r="B2839" s="6">
        <v>11271</v>
      </c>
      <c r="C2839" s="19">
        <v>40834</v>
      </c>
      <c r="D2839" s="6" t="s">
        <v>17</v>
      </c>
      <c r="E2839" s="6">
        <f>IF((ISBLANK($B$1)),"",Sheet1!Q2847)</f>
        <v>5700</v>
      </c>
      <c r="F2839" s="20" t="s">
        <v>26</v>
      </c>
      <c r="G2839" s="53">
        <f t="shared" si="45"/>
        <v>1.4102651958378438</v>
      </c>
      <c r="H2839" s="35"/>
      <c r="P2839" s="6"/>
    </row>
    <row r="2840" spans="1:16" ht="14.4" x14ac:dyDescent="0.25">
      <c r="A2840" s="6">
        <v>1665</v>
      </c>
      <c r="B2840" s="6">
        <v>12005</v>
      </c>
      <c r="C2840" s="19">
        <v>41084</v>
      </c>
      <c r="D2840" s="6" t="s">
        <v>28</v>
      </c>
      <c r="E2840" s="6">
        <f>IF((ISBLANK($B$1)),"",Sheet1!Q2848)</f>
        <v>3600</v>
      </c>
      <c r="F2840" s="20" t="s">
        <v>26</v>
      </c>
      <c r="G2840" s="53">
        <f t="shared" si="45"/>
        <v>-1.4897387768521975</v>
      </c>
      <c r="H2840" s="35"/>
      <c r="P2840" s="6"/>
    </row>
    <row r="2841" spans="1:16" ht="14.4" x14ac:dyDescent="0.25">
      <c r="A2841" s="6">
        <v>1846</v>
      </c>
      <c r="B2841" s="6">
        <v>13284</v>
      </c>
      <c r="C2841" s="19">
        <v>41133</v>
      </c>
      <c r="D2841" s="6" t="s">
        <v>17</v>
      </c>
      <c r="E2841" s="6">
        <f>IF((ISBLANK($B$1)),"",Sheet1!Q2849)</f>
        <v>4500</v>
      </c>
      <c r="F2841" s="20" t="s">
        <v>26</v>
      </c>
      <c r="G2841" s="53">
        <f t="shared" si="45"/>
        <v>-0.24687993141360834</v>
      </c>
      <c r="H2841" s="35"/>
      <c r="P2841" s="6"/>
    </row>
    <row r="2842" spans="1:16" ht="14.4" x14ac:dyDescent="0.25">
      <c r="A2842" s="6">
        <v>1847</v>
      </c>
      <c r="B2842" s="6">
        <v>13284</v>
      </c>
      <c r="C2842" s="19">
        <v>41133</v>
      </c>
      <c r="D2842" s="6" t="s">
        <v>17</v>
      </c>
      <c r="E2842" s="6">
        <f>IF((ISBLANK($B$1)),"",Sheet1!Q2850)</f>
        <v>5850</v>
      </c>
      <c r="F2842" s="20" t="s">
        <v>26</v>
      </c>
      <c r="G2842" s="53">
        <f t="shared" si="45"/>
        <v>1.6174083367442753</v>
      </c>
      <c r="H2842" s="35"/>
      <c r="P2842" s="6"/>
    </row>
    <row r="2843" spans="1:16" ht="14.4" x14ac:dyDescent="0.25">
      <c r="A2843" s="6">
        <v>1871</v>
      </c>
      <c r="B2843" s="6">
        <v>13476</v>
      </c>
      <c r="C2843" s="19">
        <v>40467</v>
      </c>
      <c r="D2843" s="6" t="s">
        <v>28</v>
      </c>
      <c r="E2843" s="6">
        <f>IF((ISBLANK($B$1)),"",Sheet1!Q2851)</f>
        <v>3550</v>
      </c>
      <c r="F2843" s="20" t="s">
        <v>26</v>
      </c>
      <c r="G2843" s="53">
        <f t="shared" si="45"/>
        <v>-1.5587864904876745</v>
      </c>
      <c r="H2843" s="35"/>
      <c r="P2843" s="6"/>
    </row>
    <row r="2844" spans="1:16" ht="14.4" x14ac:dyDescent="0.25">
      <c r="A2844" s="6">
        <v>1988</v>
      </c>
      <c r="B2844" s="6">
        <v>14182</v>
      </c>
      <c r="C2844" s="19">
        <v>39986</v>
      </c>
      <c r="D2844" s="6" t="s">
        <v>25</v>
      </c>
      <c r="E2844" s="6">
        <f>IF((ISBLANK($B$1)),"",Sheet1!Q2852)</f>
        <v>4550</v>
      </c>
      <c r="F2844" s="20" t="s">
        <v>27</v>
      </c>
      <c r="G2844" s="53">
        <f t="shared" si="45"/>
        <v>-0.17783221777813119</v>
      </c>
      <c r="H2844" s="35"/>
      <c r="P2844" s="6"/>
    </row>
    <row r="2845" spans="1:16" ht="14.4" x14ac:dyDescent="0.25">
      <c r="A2845" s="6">
        <v>2015</v>
      </c>
      <c r="B2845" s="6">
        <v>14375</v>
      </c>
      <c r="C2845" s="19">
        <v>40209</v>
      </c>
      <c r="D2845" s="6" t="s">
        <v>16</v>
      </c>
      <c r="E2845" s="6">
        <f>IF((ISBLANK($B$1)),"",Sheet1!Q2853)</f>
        <v>5900</v>
      </c>
      <c r="F2845" s="20" t="s">
        <v>26</v>
      </c>
      <c r="G2845" s="53">
        <f t="shared" si="45"/>
        <v>1.6864560503797523</v>
      </c>
      <c r="H2845" s="35"/>
      <c r="P2845" s="6"/>
    </row>
    <row r="2846" spans="1:16" ht="14.4" x14ac:dyDescent="0.25">
      <c r="A2846" s="6">
        <v>2036</v>
      </c>
      <c r="B2846" s="6">
        <v>14528</v>
      </c>
      <c r="C2846" s="19">
        <v>39979</v>
      </c>
      <c r="D2846" s="6" t="s">
        <v>30</v>
      </c>
      <c r="E2846" s="6">
        <f>IF((ISBLANK($B$1)),"",Sheet1!Q2854)</f>
        <v>4100</v>
      </c>
      <c r="F2846" s="20" t="s">
        <v>26</v>
      </c>
      <c r="G2846" s="53">
        <f t="shared" si="45"/>
        <v>-0.79926164049742576</v>
      </c>
      <c r="H2846" s="35"/>
      <c r="P2846" s="6"/>
    </row>
    <row r="2847" spans="1:16" ht="14.4" x14ac:dyDescent="0.25">
      <c r="A2847" s="6">
        <v>2052</v>
      </c>
      <c r="B2847" s="6">
        <v>14662</v>
      </c>
      <c r="C2847" s="19">
        <v>40863</v>
      </c>
      <c r="D2847" s="6" t="s">
        <v>17</v>
      </c>
      <c r="E2847" s="6">
        <f>IF((ISBLANK($B$1)),"",Sheet1!Q2855)</f>
        <v>5800</v>
      </c>
      <c r="F2847" s="20" t="s">
        <v>26</v>
      </c>
      <c r="G2847" s="53">
        <f t="shared" si="45"/>
        <v>1.5483606231087981</v>
      </c>
      <c r="H2847" s="35"/>
      <c r="P2847" s="6"/>
    </row>
    <row r="2848" spans="1:16" ht="14.4" x14ac:dyDescent="0.25">
      <c r="A2848" s="6">
        <v>2054</v>
      </c>
      <c r="B2848" s="6">
        <v>14662</v>
      </c>
      <c r="C2848" s="19">
        <v>40863</v>
      </c>
      <c r="D2848" s="6" t="s">
        <v>17</v>
      </c>
      <c r="E2848" s="6">
        <f>IF((ISBLANK($B$1)),"",Sheet1!Q2856)</f>
        <v>5800</v>
      </c>
      <c r="F2848" s="20" t="s">
        <v>27</v>
      </c>
      <c r="G2848" s="53">
        <f t="shared" si="45"/>
        <v>1.5483606231087981</v>
      </c>
      <c r="H2848" s="35"/>
      <c r="P2848" s="6"/>
    </row>
    <row r="2849" spans="1:16" ht="14.4" x14ac:dyDescent="0.25">
      <c r="A2849" s="6">
        <v>2100</v>
      </c>
      <c r="B2849" s="6">
        <v>15009</v>
      </c>
      <c r="C2849" s="19">
        <v>40898</v>
      </c>
      <c r="D2849" s="6" t="s">
        <v>28</v>
      </c>
      <c r="E2849" s="6">
        <f>IF((ISBLANK($B$1)),"",Sheet1!Q2857)</f>
        <v>4800</v>
      </c>
      <c r="F2849" s="20" t="s">
        <v>26</v>
      </c>
      <c r="G2849" s="53">
        <f t="shared" si="45"/>
        <v>0.16740635039925467</v>
      </c>
      <c r="H2849" s="35"/>
      <c r="P2849" s="6"/>
    </row>
    <row r="2850" spans="1:16" ht="14.4" x14ac:dyDescent="0.25">
      <c r="A2850" s="6">
        <v>2167</v>
      </c>
      <c r="B2850" s="6">
        <v>15619</v>
      </c>
      <c r="C2850" s="19">
        <v>40722</v>
      </c>
      <c r="D2850" s="6" t="s">
        <v>25</v>
      </c>
      <c r="E2850" s="6">
        <f>IF((ISBLANK($B$1)),"",Sheet1!Q2858)</f>
        <v>5200</v>
      </c>
      <c r="F2850" s="20" t="s">
        <v>26</v>
      </c>
      <c r="G2850" s="53">
        <f t="shared" si="45"/>
        <v>0.71978805948307201</v>
      </c>
      <c r="H2850" s="35"/>
      <c r="P2850" s="6"/>
    </row>
    <row r="2851" spans="1:16" ht="14.4" x14ac:dyDescent="0.25">
      <c r="A2851" s="6">
        <v>2212</v>
      </c>
      <c r="B2851" s="6">
        <v>15971</v>
      </c>
      <c r="C2851" s="19">
        <v>40039</v>
      </c>
      <c r="D2851" s="6" t="s">
        <v>17</v>
      </c>
      <c r="E2851" s="6">
        <f>IF((ISBLANK($B$1)),"",Sheet1!Q2859)</f>
        <v>4150</v>
      </c>
      <c r="F2851" s="20" t="s">
        <v>27</v>
      </c>
      <c r="G2851" s="53">
        <f t="shared" si="45"/>
        <v>-0.73021392686194853</v>
      </c>
      <c r="H2851" s="35"/>
      <c r="P2851" s="6"/>
    </row>
    <row r="2852" spans="1:16" ht="14.4" x14ac:dyDescent="0.25">
      <c r="A2852" s="6">
        <v>2217</v>
      </c>
      <c r="B2852" s="6">
        <v>16036</v>
      </c>
      <c r="C2852" s="19">
        <v>40913</v>
      </c>
      <c r="D2852" s="6" t="s">
        <v>16</v>
      </c>
      <c r="E2852" s="6">
        <f>IF((ISBLANK($B$1)),"",Sheet1!Q2860)</f>
        <v>4800</v>
      </c>
      <c r="F2852" s="20" t="s">
        <v>26</v>
      </c>
      <c r="G2852" s="53">
        <f t="shared" si="45"/>
        <v>0.16740635039925467</v>
      </c>
      <c r="H2852" s="35"/>
      <c r="P2852" s="6"/>
    </row>
    <row r="2853" spans="1:16" ht="14.4" x14ac:dyDescent="0.25">
      <c r="A2853" s="6">
        <v>2284</v>
      </c>
      <c r="B2853" s="6">
        <v>16452</v>
      </c>
      <c r="C2853" s="19">
        <v>41144</v>
      </c>
      <c r="D2853" s="6" t="s">
        <v>16</v>
      </c>
      <c r="E2853" s="6">
        <f>IF((ISBLANK($B$1)),"",Sheet1!Q2861)</f>
        <v>5700</v>
      </c>
      <c r="F2853" s="20" t="s">
        <v>26</v>
      </c>
      <c r="G2853" s="53">
        <f t="shared" si="45"/>
        <v>1.4102651958378438</v>
      </c>
      <c r="H2853" s="35"/>
      <c r="P2853" s="6"/>
    </row>
    <row r="2854" spans="1:16" ht="14.4" x14ac:dyDescent="0.25">
      <c r="A2854" s="6">
        <v>2299</v>
      </c>
      <c r="B2854" s="6">
        <v>16548</v>
      </c>
      <c r="C2854" s="19">
        <v>40944</v>
      </c>
      <c r="D2854" s="6" t="s">
        <v>28</v>
      </c>
      <c r="E2854" s="6">
        <f>IF((ISBLANK($B$1)),"",Sheet1!Q2862)</f>
        <v>5400</v>
      </c>
      <c r="F2854" s="20" t="s">
        <v>29</v>
      </c>
      <c r="G2854" s="53">
        <f t="shared" si="45"/>
        <v>0.99597891402498073</v>
      </c>
      <c r="H2854" s="35"/>
      <c r="P2854" s="6"/>
    </row>
    <row r="2855" spans="1:16" ht="14.4" x14ac:dyDescent="0.25">
      <c r="A2855" s="6">
        <v>2400</v>
      </c>
      <c r="B2855" s="6">
        <v>17408</v>
      </c>
      <c r="C2855" s="19">
        <v>39960</v>
      </c>
      <c r="D2855" s="6" t="s">
        <v>28</v>
      </c>
      <c r="E2855" s="6">
        <f>IF((ISBLANK($B$1)),"",Sheet1!Q2863)</f>
        <v>4700</v>
      </c>
      <c r="F2855" s="20" t="s">
        <v>26</v>
      </c>
      <c r="G2855" s="53">
        <f t="shared" si="45"/>
        <v>2.9310923128300338E-2</v>
      </c>
      <c r="H2855" s="35"/>
      <c r="P2855" s="6"/>
    </row>
    <row r="2856" spans="1:16" ht="14.4" x14ac:dyDescent="0.25">
      <c r="A2856" s="6">
        <v>2403</v>
      </c>
      <c r="B2856" s="6">
        <v>17410</v>
      </c>
      <c r="C2856" s="19">
        <v>40422</v>
      </c>
      <c r="D2856" s="6" t="s">
        <v>25</v>
      </c>
      <c r="E2856" s="6">
        <f>IF((ISBLANK($B$1)),"",Sheet1!Q2864)</f>
        <v>3650</v>
      </c>
      <c r="F2856" s="20" t="s">
        <v>27</v>
      </c>
      <c r="G2856" s="53">
        <f t="shared" si="45"/>
        <v>-1.4206910632167202</v>
      </c>
      <c r="H2856" s="35"/>
      <c r="P2856" s="6"/>
    </row>
    <row r="2857" spans="1:16" ht="14.4" x14ac:dyDescent="0.25">
      <c r="A2857" s="6">
        <v>2606</v>
      </c>
      <c r="B2857" s="6">
        <v>18849</v>
      </c>
      <c r="C2857" s="19">
        <v>41126</v>
      </c>
      <c r="D2857" s="6" t="s">
        <v>17</v>
      </c>
      <c r="E2857" s="6">
        <f>IF((ISBLANK($B$1)),"",Sheet1!Q2865)</f>
        <v>3700</v>
      </c>
      <c r="F2857" s="20" t="s">
        <v>26</v>
      </c>
      <c r="G2857" s="53">
        <f t="shared" si="45"/>
        <v>-1.351643349581243</v>
      </c>
      <c r="H2857" s="35"/>
      <c r="P2857" s="6"/>
    </row>
    <row r="2858" spans="1:16" ht="14.4" x14ac:dyDescent="0.25">
      <c r="A2858" s="6">
        <v>2649</v>
      </c>
      <c r="B2858" s="6">
        <v>19174</v>
      </c>
      <c r="C2858" s="19">
        <v>40375</v>
      </c>
      <c r="D2858" s="6" t="s">
        <v>16</v>
      </c>
      <c r="E2858" s="6">
        <f>IF((ISBLANK($B$1)),"",Sheet1!Q2866)</f>
        <v>5150</v>
      </c>
      <c r="F2858" s="20" t="s">
        <v>27</v>
      </c>
      <c r="G2858" s="53">
        <f t="shared" si="45"/>
        <v>0.65074034584759488</v>
      </c>
      <c r="H2858" s="35"/>
      <c r="P2858" s="6"/>
    </row>
    <row r="2859" spans="1:16" ht="14.4" x14ac:dyDescent="0.25">
      <c r="A2859" s="6">
        <v>2650</v>
      </c>
      <c r="B2859" s="6">
        <v>19174</v>
      </c>
      <c r="C2859" s="19">
        <v>40375</v>
      </c>
      <c r="D2859" s="6" t="s">
        <v>16</v>
      </c>
      <c r="E2859" s="6">
        <f>IF((ISBLANK($B$1)),"",Sheet1!Q2867)</f>
        <v>4350</v>
      </c>
      <c r="F2859" s="20" t="s">
        <v>27</v>
      </c>
      <c r="G2859" s="53">
        <f t="shared" si="45"/>
        <v>-0.45402307232003986</v>
      </c>
      <c r="H2859" s="35"/>
      <c r="P2859" s="6"/>
    </row>
    <row r="2860" spans="1:16" ht="14.4" x14ac:dyDescent="0.25">
      <c r="A2860" s="6">
        <v>2651</v>
      </c>
      <c r="B2860" s="6">
        <v>19174</v>
      </c>
      <c r="C2860" s="19">
        <v>40375</v>
      </c>
      <c r="D2860" s="6" t="s">
        <v>16</v>
      </c>
      <c r="E2860" s="6">
        <f>IF((ISBLANK($B$1)),"",Sheet1!Q2868)</f>
        <v>5800</v>
      </c>
      <c r="F2860" s="20" t="s">
        <v>27</v>
      </c>
      <c r="G2860" s="53">
        <f t="shared" si="45"/>
        <v>1.5483606231087981</v>
      </c>
      <c r="H2860" s="35"/>
      <c r="P2860" s="6"/>
    </row>
    <row r="2861" spans="1:16" ht="14.4" x14ac:dyDescent="0.25">
      <c r="A2861" s="6">
        <v>2784</v>
      </c>
      <c r="B2861" s="6">
        <v>20098</v>
      </c>
      <c r="C2861" s="19">
        <v>40885</v>
      </c>
      <c r="D2861" s="6" t="s">
        <v>16</v>
      </c>
      <c r="E2861" s="6">
        <f>IF((ISBLANK($B$1)),"",Sheet1!Q2869)</f>
        <v>3950</v>
      </c>
      <c r="F2861" s="20" t="s">
        <v>27</v>
      </c>
      <c r="G2861" s="53">
        <f t="shared" si="45"/>
        <v>-1.0064047814038573</v>
      </c>
      <c r="H2861" s="35"/>
      <c r="P2861" s="6"/>
    </row>
    <row r="2862" spans="1:16" ht="14.4" x14ac:dyDescent="0.25">
      <c r="A2862" s="6">
        <v>2874</v>
      </c>
      <c r="B2862" s="6">
        <v>20711</v>
      </c>
      <c r="C2862" s="19">
        <v>39832</v>
      </c>
      <c r="D2862" s="6" t="s">
        <v>30</v>
      </c>
      <c r="E2862" s="6">
        <f>IF((ISBLANK($B$1)),"",Sheet1!Q2870)</f>
        <v>3650</v>
      </c>
      <c r="F2862" s="20" t="s">
        <v>26</v>
      </c>
      <c r="G2862" s="53">
        <f t="shared" si="45"/>
        <v>-1.4206910632167202</v>
      </c>
      <c r="H2862" s="35"/>
      <c r="P2862" s="6"/>
    </row>
    <row r="2863" spans="1:16" ht="14.4" x14ac:dyDescent="0.25">
      <c r="A2863" s="6">
        <v>2898</v>
      </c>
      <c r="B2863" s="6">
        <v>20932</v>
      </c>
      <c r="C2863" s="19">
        <v>41119</v>
      </c>
      <c r="D2863" s="6" t="s">
        <v>17</v>
      </c>
      <c r="E2863" s="6">
        <f>IF((ISBLANK($B$1)),"",Sheet1!Q2871)</f>
        <v>5300</v>
      </c>
      <c r="F2863" s="20" t="s">
        <v>26</v>
      </c>
      <c r="G2863" s="53">
        <f t="shared" si="45"/>
        <v>0.85788348675402637</v>
      </c>
      <c r="H2863" s="35"/>
      <c r="P2863" s="6"/>
    </row>
    <row r="2864" spans="1:16" ht="14.4" x14ac:dyDescent="0.25">
      <c r="A2864" s="6">
        <v>2943</v>
      </c>
      <c r="B2864" s="6">
        <v>21319</v>
      </c>
      <c r="C2864" s="19">
        <v>40297</v>
      </c>
      <c r="D2864" s="6" t="s">
        <v>16</v>
      </c>
      <c r="E2864" s="6">
        <f>IF((ISBLANK($B$1)),"",Sheet1!Q2872)</f>
        <v>3650</v>
      </c>
      <c r="F2864" s="20" t="s">
        <v>27</v>
      </c>
      <c r="G2864" s="53">
        <f t="shared" si="45"/>
        <v>-1.4206910632167202</v>
      </c>
      <c r="H2864" s="35"/>
      <c r="P2864" s="6"/>
    </row>
    <row r="2865" spans="1:16" ht="14.4" x14ac:dyDescent="0.25">
      <c r="A2865" s="6">
        <v>2947</v>
      </c>
      <c r="B2865" s="6">
        <v>21344</v>
      </c>
      <c r="C2865" s="19">
        <v>41252</v>
      </c>
      <c r="D2865" s="6" t="s">
        <v>25</v>
      </c>
      <c r="E2865" s="6">
        <f>IF((ISBLANK($B$1)),"",Sheet1!Q2873)</f>
        <v>5800</v>
      </c>
      <c r="F2865" s="20" t="s">
        <v>29</v>
      </c>
      <c r="G2865" s="53">
        <f t="shared" si="45"/>
        <v>1.5483606231087981</v>
      </c>
      <c r="H2865" s="35"/>
      <c r="P2865" s="6"/>
    </row>
    <row r="2866" spans="1:16" ht="14.4" x14ac:dyDescent="0.25">
      <c r="A2866" s="6">
        <v>2980</v>
      </c>
      <c r="B2866" s="6">
        <v>21538</v>
      </c>
      <c r="C2866" s="19">
        <v>40021</v>
      </c>
      <c r="D2866" s="6" t="s">
        <v>16</v>
      </c>
      <c r="E2866" s="6">
        <f>IF((ISBLANK($B$1)),"",Sheet1!Q2874)</f>
        <v>4950</v>
      </c>
      <c r="F2866" s="20" t="s">
        <v>26</v>
      </c>
      <c r="G2866" s="53">
        <f t="shared" si="45"/>
        <v>0.37454949130568621</v>
      </c>
      <c r="H2866" s="35"/>
      <c r="P2866" s="6"/>
    </row>
    <row r="2867" spans="1:16" ht="14.4" x14ac:dyDescent="0.25">
      <c r="A2867" s="6">
        <v>2990</v>
      </c>
      <c r="B2867" s="6">
        <v>21574</v>
      </c>
      <c r="C2867" s="19">
        <v>40193</v>
      </c>
      <c r="D2867" s="6" t="s">
        <v>30</v>
      </c>
      <c r="E2867" s="6">
        <f>IF((ISBLANK($B$1)),"",Sheet1!Q2875)</f>
        <v>5050</v>
      </c>
      <c r="F2867" s="20" t="s">
        <v>27</v>
      </c>
      <c r="G2867" s="53">
        <f t="shared" si="45"/>
        <v>0.51264491857664052</v>
      </c>
      <c r="H2867" s="35"/>
      <c r="P2867" s="6"/>
    </row>
    <row r="2868" spans="1:16" ht="14.4" x14ac:dyDescent="0.25">
      <c r="A2868" s="6">
        <v>3102</v>
      </c>
      <c r="B2868" s="6">
        <v>22242</v>
      </c>
      <c r="C2868" s="19">
        <v>39979</v>
      </c>
      <c r="D2868" s="6" t="s">
        <v>28</v>
      </c>
      <c r="E2868" s="6">
        <f>IF((ISBLANK($B$1)),"",Sheet1!Q2876)</f>
        <v>5900</v>
      </c>
      <c r="F2868" s="20" t="s">
        <v>26</v>
      </c>
      <c r="G2868" s="53">
        <f t="shared" si="45"/>
        <v>1.6864560503797523</v>
      </c>
      <c r="H2868" s="35"/>
      <c r="P2868" s="6"/>
    </row>
    <row r="2869" spans="1:16" ht="14.4" x14ac:dyDescent="0.25">
      <c r="A2869" s="6">
        <v>3215</v>
      </c>
      <c r="B2869" s="6">
        <v>23078</v>
      </c>
      <c r="C2869" s="19">
        <v>40801</v>
      </c>
      <c r="D2869" s="6" t="s">
        <v>16</v>
      </c>
      <c r="E2869" s="6">
        <f>IF((ISBLANK($B$1)),"",Sheet1!Q2877)</f>
        <v>3800</v>
      </c>
      <c r="F2869" s="20" t="s">
        <v>26</v>
      </c>
      <c r="G2869" s="53">
        <f t="shared" si="45"/>
        <v>-1.2135479223102887</v>
      </c>
      <c r="H2869" s="35"/>
      <c r="P2869" s="6"/>
    </row>
    <row r="2870" spans="1:16" ht="14.4" x14ac:dyDescent="0.25">
      <c r="A2870" s="6">
        <v>3250</v>
      </c>
      <c r="B2870" s="6">
        <v>23271</v>
      </c>
      <c r="C2870" s="19">
        <v>40485</v>
      </c>
      <c r="D2870" s="6" t="s">
        <v>17</v>
      </c>
      <c r="E2870" s="6">
        <f>IF((ISBLANK($B$1)),"",Sheet1!Q2878)</f>
        <v>3450</v>
      </c>
      <c r="F2870" s="20" t="s">
        <v>27</v>
      </c>
      <c r="G2870" s="53">
        <f t="shared" si="45"/>
        <v>-1.696881917758629</v>
      </c>
      <c r="H2870" s="35"/>
      <c r="P2870" s="6"/>
    </row>
    <row r="2871" spans="1:16" ht="14.4" x14ac:dyDescent="0.25">
      <c r="A2871" s="6">
        <v>3280</v>
      </c>
      <c r="B2871" s="6">
        <v>23428</v>
      </c>
      <c r="C2871" s="19">
        <v>41210</v>
      </c>
      <c r="D2871" s="6" t="s">
        <v>17</v>
      </c>
      <c r="E2871" s="6">
        <f>IF((ISBLANK($B$1)),"",Sheet1!Q2879)</f>
        <v>5450</v>
      </c>
      <c r="F2871" s="20" t="s">
        <v>26</v>
      </c>
      <c r="G2871" s="53">
        <f t="shared" si="45"/>
        <v>1.0650266276604579</v>
      </c>
      <c r="H2871" s="35"/>
      <c r="P2871" s="6"/>
    </row>
    <row r="2872" spans="1:16" ht="14.4" x14ac:dyDescent="0.25">
      <c r="A2872" s="6">
        <v>3307</v>
      </c>
      <c r="B2872" s="6">
        <v>23619</v>
      </c>
      <c r="C2872" s="19">
        <v>41264</v>
      </c>
      <c r="D2872" s="6" t="s">
        <v>16</v>
      </c>
      <c r="E2872" s="6">
        <f>IF((ISBLANK($B$1)),"",Sheet1!Q2880)</f>
        <v>5650</v>
      </c>
      <c r="F2872" s="20" t="s">
        <v>29</v>
      </c>
      <c r="G2872" s="53">
        <f t="shared" si="45"/>
        <v>1.3412174822023666</v>
      </c>
      <c r="H2872" s="35"/>
      <c r="P2872" s="6"/>
    </row>
    <row r="2873" spans="1:16" ht="14.4" x14ac:dyDescent="0.25">
      <c r="A2873" s="6">
        <v>3308</v>
      </c>
      <c r="B2873" s="6">
        <v>23619</v>
      </c>
      <c r="C2873" s="19">
        <v>41264</v>
      </c>
      <c r="D2873" s="6" t="s">
        <v>16</v>
      </c>
      <c r="E2873" s="6">
        <f>IF((ISBLANK($B$1)),"",Sheet1!Q2881)</f>
        <v>5800</v>
      </c>
      <c r="F2873" s="20" t="s">
        <v>27</v>
      </c>
      <c r="G2873" s="53">
        <f t="shared" si="45"/>
        <v>1.5483606231087981</v>
      </c>
      <c r="H2873" s="35"/>
      <c r="P2873" s="6"/>
    </row>
    <row r="2874" spans="1:16" ht="14.4" x14ac:dyDescent="0.25">
      <c r="A2874" s="6">
        <v>3364</v>
      </c>
      <c r="B2874" s="6">
        <v>24067</v>
      </c>
      <c r="C2874" s="19">
        <v>41143</v>
      </c>
      <c r="D2874" s="6" t="s">
        <v>17</v>
      </c>
      <c r="E2874" s="6">
        <f>IF((ISBLANK($B$1)),"",Sheet1!Q2882)</f>
        <v>4900</v>
      </c>
      <c r="F2874" s="20" t="s">
        <v>26</v>
      </c>
      <c r="G2874" s="53">
        <f t="shared" si="45"/>
        <v>0.30550177767020903</v>
      </c>
      <c r="H2874" s="35"/>
      <c r="P2874" s="6"/>
    </row>
    <row r="2875" spans="1:16" ht="14.4" x14ac:dyDescent="0.25">
      <c r="A2875" s="6">
        <v>3524</v>
      </c>
      <c r="B2875" s="6">
        <v>25092</v>
      </c>
      <c r="C2875" s="19">
        <v>40513</v>
      </c>
      <c r="D2875" s="6" t="s">
        <v>17</v>
      </c>
      <c r="E2875" s="6">
        <f>IF((ISBLANK($B$1)),"",Sheet1!Q2883)</f>
        <v>3700</v>
      </c>
      <c r="F2875" s="20" t="s">
        <v>26</v>
      </c>
      <c r="G2875" s="53">
        <f t="shared" si="45"/>
        <v>-1.351643349581243</v>
      </c>
      <c r="H2875" s="35"/>
      <c r="P2875" s="6"/>
    </row>
    <row r="2876" spans="1:16" ht="14.4" x14ac:dyDescent="0.25">
      <c r="A2876" s="6">
        <v>3525</v>
      </c>
      <c r="B2876" s="6">
        <v>25092</v>
      </c>
      <c r="C2876" s="19">
        <v>40513</v>
      </c>
      <c r="D2876" s="6" t="s">
        <v>17</v>
      </c>
      <c r="E2876" s="6">
        <f>IF((ISBLANK($B$1)),"",Sheet1!Q2884)</f>
        <v>3850</v>
      </c>
      <c r="F2876" s="20" t="s">
        <v>26</v>
      </c>
      <c r="G2876" s="53">
        <f t="shared" si="45"/>
        <v>-1.1445002086748115</v>
      </c>
      <c r="H2876" s="35"/>
      <c r="P2876" s="6"/>
    </row>
    <row r="2877" spans="1:16" ht="14.4" x14ac:dyDescent="0.25">
      <c r="A2877" s="6">
        <v>3546</v>
      </c>
      <c r="B2877" s="6">
        <v>25280</v>
      </c>
      <c r="C2877" s="19">
        <v>40684</v>
      </c>
      <c r="D2877" s="6" t="s">
        <v>28</v>
      </c>
      <c r="E2877" s="6">
        <f>IF((ISBLANK($B$1)),"",Sheet1!Q2885)</f>
        <v>5750</v>
      </c>
      <c r="F2877" s="20" t="s">
        <v>26</v>
      </c>
      <c r="G2877" s="53">
        <f t="shared" si="45"/>
        <v>1.4793129094733208</v>
      </c>
      <c r="H2877" s="35"/>
      <c r="P2877" s="6"/>
    </row>
    <row r="2878" spans="1:16" ht="14.4" x14ac:dyDescent="0.25">
      <c r="A2878" s="6">
        <v>3565</v>
      </c>
      <c r="B2878" s="6">
        <v>25442</v>
      </c>
      <c r="C2878" s="19">
        <v>40913</v>
      </c>
      <c r="D2878" s="6" t="s">
        <v>17</v>
      </c>
      <c r="E2878" s="6">
        <f>IF((ISBLANK($B$1)),"",Sheet1!Q2886)</f>
        <v>5400</v>
      </c>
      <c r="F2878" s="20" t="s">
        <v>26</v>
      </c>
      <c r="G2878" s="53">
        <f t="shared" si="45"/>
        <v>0.99597891402498073</v>
      </c>
      <c r="H2878" s="35"/>
      <c r="P2878" s="6"/>
    </row>
    <row r="2879" spans="1:16" ht="14.4" x14ac:dyDescent="0.25">
      <c r="A2879" s="6">
        <v>3599</v>
      </c>
      <c r="B2879" s="6">
        <v>25666</v>
      </c>
      <c r="C2879" s="19">
        <v>41154</v>
      </c>
      <c r="D2879" s="6" t="s">
        <v>30</v>
      </c>
      <c r="E2879" s="6">
        <f>IF((ISBLANK($B$1)),"",Sheet1!Q2887)</f>
        <v>5200</v>
      </c>
      <c r="F2879" s="20" t="s">
        <v>26</v>
      </c>
      <c r="G2879" s="53">
        <f t="shared" si="45"/>
        <v>0.71978805948307201</v>
      </c>
      <c r="H2879" s="35"/>
      <c r="P2879" s="6"/>
    </row>
    <row r="2880" spans="1:16" ht="14.4" x14ac:dyDescent="0.25">
      <c r="A2880" s="6">
        <v>3600</v>
      </c>
      <c r="B2880" s="6">
        <v>25669</v>
      </c>
      <c r="C2880" s="19">
        <v>40559</v>
      </c>
      <c r="D2880" s="6" t="s">
        <v>30</v>
      </c>
      <c r="E2880" s="6">
        <f>IF((ISBLANK($B$1)),"",Sheet1!Q2888)</f>
        <v>4000</v>
      </c>
      <c r="F2880" s="20" t="s">
        <v>26</v>
      </c>
      <c r="G2880" s="53">
        <f t="shared" si="45"/>
        <v>-0.93735706776838001</v>
      </c>
      <c r="H2880" s="35"/>
      <c r="P2880" s="6"/>
    </row>
    <row r="2881" spans="1:16" ht="14.4" x14ac:dyDescent="0.25">
      <c r="A2881" s="6">
        <v>3669</v>
      </c>
      <c r="B2881" s="6">
        <v>26276</v>
      </c>
      <c r="C2881" s="19">
        <v>40433</v>
      </c>
      <c r="D2881" s="6" t="s">
        <v>25</v>
      </c>
      <c r="E2881" s="6">
        <f>IF((ISBLANK($B$1)),"",Sheet1!Q2889)</f>
        <v>4450</v>
      </c>
      <c r="F2881" s="20" t="s">
        <v>29</v>
      </c>
      <c r="G2881" s="53">
        <f t="shared" si="45"/>
        <v>-0.31592764504908549</v>
      </c>
      <c r="H2881" s="35"/>
      <c r="P2881" s="6"/>
    </row>
    <row r="2882" spans="1:16" ht="14.4" x14ac:dyDescent="0.25">
      <c r="A2882" s="6">
        <v>3766</v>
      </c>
      <c r="B2882" s="6">
        <v>26912</v>
      </c>
      <c r="C2882" s="19">
        <v>41026</v>
      </c>
      <c r="D2882" s="6" t="s">
        <v>25</v>
      </c>
      <c r="E2882" s="6">
        <f>IF((ISBLANK($B$1)),"",Sheet1!Q2890)</f>
        <v>4450</v>
      </c>
      <c r="F2882" s="20" t="s">
        <v>27</v>
      </c>
      <c r="G2882" s="53">
        <f t="shared" si="45"/>
        <v>-0.31592764504908549</v>
      </c>
      <c r="H2882" s="35"/>
      <c r="P2882" s="6"/>
    </row>
    <row r="2883" spans="1:16" ht="14.4" x14ac:dyDescent="0.25">
      <c r="A2883" s="6">
        <v>3809</v>
      </c>
      <c r="B2883" s="6">
        <v>27137</v>
      </c>
      <c r="C2883" s="19">
        <v>40908</v>
      </c>
      <c r="D2883" s="6" t="s">
        <v>17</v>
      </c>
      <c r="E2883" s="6">
        <f>IF((ISBLANK($B$1)),"",Sheet1!Q2891)</f>
        <v>3500</v>
      </c>
      <c r="F2883" s="20" t="s">
        <v>27</v>
      </c>
      <c r="G2883" s="53">
        <f t="shared" si="45"/>
        <v>-1.6278342041231517</v>
      </c>
      <c r="H2883" s="35"/>
      <c r="P2883" s="6"/>
    </row>
    <row r="2884" spans="1:16" ht="14.4" x14ac:dyDescent="0.25">
      <c r="A2884" s="6">
        <v>3836</v>
      </c>
      <c r="B2884" s="6">
        <v>27335</v>
      </c>
      <c r="C2884" s="19">
        <v>40488</v>
      </c>
      <c r="D2884" s="6" t="s">
        <v>25</v>
      </c>
      <c r="E2884" s="6">
        <f>IF((ISBLANK($B$1)),"",Sheet1!Q2892)</f>
        <v>4550</v>
      </c>
      <c r="F2884" s="20" t="s">
        <v>26</v>
      </c>
      <c r="G2884" s="53">
        <f t="shared" si="45"/>
        <v>-0.17783221777813119</v>
      </c>
      <c r="H2884" s="35"/>
      <c r="P2884" s="6"/>
    </row>
    <row r="2885" spans="1:16" ht="14.4" x14ac:dyDescent="0.25">
      <c r="A2885" s="6">
        <v>3846</v>
      </c>
      <c r="B2885" s="6">
        <v>27430</v>
      </c>
      <c r="C2885" s="19">
        <v>40574</v>
      </c>
      <c r="D2885" s="6" t="s">
        <v>17</v>
      </c>
      <c r="E2885" s="6">
        <f>IF((ISBLANK($B$1)),"",Sheet1!Q2893)</f>
        <v>3550</v>
      </c>
      <c r="F2885" s="20" t="s">
        <v>29</v>
      </c>
      <c r="G2885" s="53">
        <f t="shared" si="45"/>
        <v>-1.5587864904876745</v>
      </c>
      <c r="H2885" s="35"/>
      <c r="P2885" s="6"/>
    </row>
    <row r="2886" spans="1:16" ht="14.4" x14ac:dyDescent="0.25">
      <c r="A2886" s="6">
        <v>3866</v>
      </c>
      <c r="B2886" s="6">
        <v>27559</v>
      </c>
      <c r="C2886" s="19">
        <v>40846</v>
      </c>
      <c r="D2886" s="6" t="s">
        <v>17</v>
      </c>
      <c r="E2886" s="6">
        <f>IF((ISBLANK($B$1)),"",Sheet1!Q2894)</f>
        <v>5300</v>
      </c>
      <c r="F2886" s="20" t="s">
        <v>26</v>
      </c>
      <c r="G2886" s="53">
        <f t="shared" si="45"/>
        <v>0.85788348675402637</v>
      </c>
      <c r="H2886" s="35"/>
      <c r="P2886" s="6"/>
    </row>
    <row r="2887" spans="1:16" ht="14.4" x14ac:dyDescent="0.25">
      <c r="A2887" s="6">
        <v>4195</v>
      </c>
      <c r="B2887" s="6">
        <v>29797</v>
      </c>
      <c r="C2887" s="19">
        <v>40355</v>
      </c>
      <c r="D2887" s="6" t="s">
        <v>17</v>
      </c>
      <c r="E2887" s="6">
        <f>IF((ISBLANK($B$1)),"",Sheet1!Q2895)</f>
        <v>5900</v>
      </c>
      <c r="F2887" s="20" t="s">
        <v>29</v>
      </c>
      <c r="G2887" s="53">
        <f t="shared" si="45"/>
        <v>1.6864560503797523</v>
      </c>
      <c r="H2887" s="35"/>
      <c r="P2887" s="6"/>
    </row>
    <row r="2888" spans="1:16" ht="14.4" x14ac:dyDescent="0.25">
      <c r="A2888" s="6">
        <v>4227</v>
      </c>
      <c r="B2888" s="6">
        <v>30023</v>
      </c>
      <c r="C2888" s="19">
        <v>40466</v>
      </c>
      <c r="D2888" s="6" t="s">
        <v>25</v>
      </c>
      <c r="E2888" s="6">
        <f>IF((ISBLANK($B$1)),"",Sheet1!Q2896)</f>
        <v>4800</v>
      </c>
      <c r="F2888" s="20" t="s">
        <v>27</v>
      </c>
      <c r="G2888" s="53">
        <f t="shared" ref="G2888:G2951" si="46">STANDARDIZE(E2888,$L$26,$L$35)</f>
        <v>0.16740635039925467</v>
      </c>
      <c r="H2888" s="35"/>
      <c r="P2888" s="6"/>
    </row>
    <row r="2889" spans="1:16" ht="14.4" x14ac:dyDescent="0.25">
      <c r="A2889" s="6">
        <v>4445</v>
      </c>
      <c r="B2889" s="6">
        <v>31682</v>
      </c>
      <c r="C2889" s="19">
        <v>40246</v>
      </c>
      <c r="D2889" s="6" t="s">
        <v>25</v>
      </c>
      <c r="E2889" s="6">
        <f>IF((ISBLANK($B$1)),"",Sheet1!Q2897)</f>
        <v>5500</v>
      </c>
      <c r="F2889" s="20" t="s">
        <v>26</v>
      </c>
      <c r="G2889" s="53">
        <f t="shared" si="46"/>
        <v>1.1340743412959351</v>
      </c>
      <c r="H2889" s="35"/>
      <c r="P2889" s="6"/>
    </row>
    <row r="2890" spans="1:16" ht="14.4" x14ac:dyDescent="0.25">
      <c r="A2890" s="6">
        <v>4467</v>
      </c>
      <c r="B2890" s="6">
        <v>31845</v>
      </c>
      <c r="C2890" s="19">
        <v>41204</v>
      </c>
      <c r="D2890" s="6" t="s">
        <v>25</v>
      </c>
      <c r="E2890" s="6">
        <f>IF((ISBLANK($B$1)),"",Sheet1!Q2898)</f>
        <v>5200</v>
      </c>
      <c r="F2890" s="20" t="s">
        <v>26</v>
      </c>
      <c r="G2890" s="53">
        <f t="shared" si="46"/>
        <v>0.71978805948307201</v>
      </c>
      <c r="H2890" s="35"/>
      <c r="P2890" s="6"/>
    </row>
    <row r="2891" spans="1:16" ht="14.4" x14ac:dyDescent="0.25">
      <c r="A2891" s="6">
        <v>4553</v>
      </c>
      <c r="B2891" s="6">
        <v>32389</v>
      </c>
      <c r="C2891" s="19">
        <v>40482</v>
      </c>
      <c r="D2891" s="6" t="s">
        <v>16</v>
      </c>
      <c r="E2891" s="6">
        <f>IF((ISBLANK($B$1)),"",Sheet1!Q2899)</f>
        <v>4550</v>
      </c>
      <c r="F2891" s="20" t="s">
        <v>27</v>
      </c>
      <c r="G2891" s="53">
        <f t="shared" si="46"/>
        <v>-0.17783221777813119</v>
      </c>
      <c r="H2891" s="35"/>
      <c r="P2891" s="6"/>
    </row>
    <row r="2892" spans="1:16" ht="14.4" x14ac:dyDescent="0.25">
      <c r="A2892" s="6">
        <v>4556</v>
      </c>
      <c r="B2892" s="6">
        <v>32420</v>
      </c>
      <c r="C2892" s="19">
        <v>40023</v>
      </c>
      <c r="D2892" s="6" t="s">
        <v>16</v>
      </c>
      <c r="E2892" s="6">
        <f>IF((ISBLANK($B$1)),"",Sheet1!Q2900)</f>
        <v>5150</v>
      </c>
      <c r="F2892" s="20" t="s">
        <v>27</v>
      </c>
      <c r="G2892" s="53">
        <f t="shared" si="46"/>
        <v>0.65074034584759488</v>
      </c>
      <c r="H2892" s="35"/>
      <c r="P2892" s="6"/>
    </row>
    <row r="2893" spans="1:16" ht="14.4" x14ac:dyDescent="0.25">
      <c r="A2893" s="6">
        <v>4732</v>
      </c>
      <c r="B2893" s="6">
        <v>33699</v>
      </c>
      <c r="C2893" s="19">
        <v>40020</v>
      </c>
      <c r="D2893" s="6" t="s">
        <v>25</v>
      </c>
      <c r="E2893" s="6">
        <f>IF((ISBLANK($B$1)),"",Sheet1!Q2901)</f>
        <v>4300</v>
      </c>
      <c r="F2893" s="20" t="s">
        <v>26</v>
      </c>
      <c r="G2893" s="53">
        <f t="shared" si="46"/>
        <v>-0.52307078595551704</v>
      </c>
      <c r="H2893" s="35"/>
      <c r="P2893" s="6"/>
    </row>
    <row r="2894" spans="1:16" ht="14.4" x14ac:dyDescent="0.25">
      <c r="A2894" s="6">
        <v>4734</v>
      </c>
      <c r="B2894" s="6">
        <v>33699</v>
      </c>
      <c r="C2894" s="19">
        <v>40020</v>
      </c>
      <c r="D2894" s="6" t="s">
        <v>25</v>
      </c>
      <c r="E2894" s="6">
        <f>IF((ISBLANK($B$1)),"",Sheet1!Q2902)</f>
        <v>4950</v>
      </c>
      <c r="F2894" s="20" t="s">
        <v>26</v>
      </c>
      <c r="G2894" s="53">
        <f t="shared" si="46"/>
        <v>0.37454949130568621</v>
      </c>
      <c r="H2894" s="35"/>
      <c r="P2894" s="6"/>
    </row>
    <row r="2895" spans="1:16" ht="14.4" x14ac:dyDescent="0.25">
      <c r="A2895" s="6">
        <v>4754</v>
      </c>
      <c r="B2895" s="6">
        <v>33797</v>
      </c>
      <c r="C2895" s="19">
        <v>39824</v>
      </c>
      <c r="D2895" s="6" t="s">
        <v>28</v>
      </c>
      <c r="E2895" s="6">
        <f>IF((ISBLANK($B$1)),"",Sheet1!Q2903)</f>
        <v>4400</v>
      </c>
      <c r="F2895" s="20" t="s">
        <v>27</v>
      </c>
      <c r="G2895" s="53">
        <f t="shared" si="46"/>
        <v>-0.38497535868456267</v>
      </c>
      <c r="H2895" s="35"/>
      <c r="P2895" s="6"/>
    </row>
    <row r="2896" spans="1:16" ht="14.4" x14ac:dyDescent="0.25">
      <c r="A2896" s="6">
        <v>4755</v>
      </c>
      <c r="B2896" s="6">
        <v>33797</v>
      </c>
      <c r="C2896" s="19">
        <v>39824</v>
      </c>
      <c r="D2896" s="6" t="s">
        <v>28</v>
      </c>
      <c r="E2896" s="6">
        <f>IF((ISBLANK($B$1)),"",Sheet1!Q2904)</f>
        <v>5600</v>
      </c>
      <c r="F2896" s="20" t="s">
        <v>29</v>
      </c>
      <c r="G2896" s="53">
        <f t="shared" si="46"/>
        <v>1.2721697685668893</v>
      </c>
      <c r="H2896" s="35"/>
      <c r="P2896" s="6"/>
    </row>
    <row r="2897" spans="1:16" ht="14.4" x14ac:dyDescent="0.25">
      <c r="A2897" s="6">
        <v>4756</v>
      </c>
      <c r="B2897" s="6">
        <v>33797</v>
      </c>
      <c r="C2897" s="19">
        <v>39824</v>
      </c>
      <c r="D2897" s="6" t="s">
        <v>28</v>
      </c>
      <c r="E2897" s="6">
        <f>IF((ISBLANK($B$1)),"",Sheet1!Q2905)</f>
        <v>4300</v>
      </c>
      <c r="F2897" s="20" t="s">
        <v>26</v>
      </c>
      <c r="G2897" s="53">
        <f t="shared" si="46"/>
        <v>-0.52307078595551704</v>
      </c>
      <c r="H2897" s="35"/>
      <c r="P2897" s="6"/>
    </row>
    <row r="2898" spans="1:16" ht="14.4" x14ac:dyDescent="0.25">
      <c r="A2898" s="6">
        <v>4782</v>
      </c>
      <c r="B2898" s="6">
        <v>33958</v>
      </c>
      <c r="C2898" s="19">
        <v>40576</v>
      </c>
      <c r="D2898" s="6" t="s">
        <v>30</v>
      </c>
      <c r="E2898" s="6">
        <f>IF((ISBLANK($B$1)),"",Sheet1!Q2906)</f>
        <v>4750</v>
      </c>
      <c r="F2898" s="20" t="s">
        <v>27</v>
      </c>
      <c r="G2898" s="53">
        <f t="shared" si="46"/>
        <v>9.8358636763777513E-2</v>
      </c>
      <c r="H2898" s="35"/>
      <c r="P2898" s="6"/>
    </row>
    <row r="2899" spans="1:16" ht="14.4" x14ac:dyDescent="0.25">
      <c r="A2899" s="6">
        <v>4783</v>
      </c>
      <c r="B2899" s="6">
        <v>33958</v>
      </c>
      <c r="C2899" s="19">
        <v>40576</v>
      </c>
      <c r="D2899" s="6" t="s">
        <v>30</v>
      </c>
      <c r="E2899" s="6">
        <f>IF((ISBLANK($B$1)),"",Sheet1!Q2907)</f>
        <v>4100</v>
      </c>
      <c r="F2899" s="20" t="s">
        <v>26</v>
      </c>
      <c r="G2899" s="53">
        <f t="shared" si="46"/>
        <v>-0.79926164049742576</v>
      </c>
      <c r="H2899" s="35"/>
      <c r="P2899" s="6"/>
    </row>
    <row r="2900" spans="1:16" ht="14.4" x14ac:dyDescent="0.25">
      <c r="A2900" s="6">
        <v>5119</v>
      </c>
      <c r="B2900" s="6">
        <v>36454</v>
      </c>
      <c r="C2900" s="19">
        <v>40592</v>
      </c>
      <c r="D2900" s="6" t="s">
        <v>30</v>
      </c>
      <c r="E2900" s="6">
        <f>IF((ISBLANK($B$1)),"",Sheet1!Q2908)</f>
        <v>3800</v>
      </c>
      <c r="F2900" s="20" t="s">
        <v>26</v>
      </c>
      <c r="G2900" s="53">
        <f t="shared" si="46"/>
        <v>-1.2135479223102887</v>
      </c>
      <c r="H2900" s="35"/>
      <c r="P2900" s="6"/>
    </row>
    <row r="2901" spans="1:16" ht="14.4" x14ac:dyDescent="0.25">
      <c r="A2901" s="6">
        <v>5134</v>
      </c>
      <c r="B2901" s="6">
        <v>36609</v>
      </c>
      <c r="C2901" s="19">
        <v>39947</v>
      </c>
      <c r="D2901" s="6" t="s">
        <v>28</v>
      </c>
      <c r="E2901" s="6">
        <f>IF((ISBLANK($B$1)),"",Sheet1!Q2909)</f>
        <v>3800</v>
      </c>
      <c r="F2901" s="20" t="s">
        <v>26</v>
      </c>
      <c r="G2901" s="53">
        <f t="shared" si="46"/>
        <v>-1.2135479223102887</v>
      </c>
      <c r="H2901" s="35"/>
      <c r="P2901" s="6"/>
    </row>
    <row r="2902" spans="1:16" ht="14.4" x14ac:dyDescent="0.25">
      <c r="A2902" s="6">
        <v>5170</v>
      </c>
      <c r="B2902" s="6">
        <v>36800</v>
      </c>
      <c r="C2902" s="19">
        <v>40431</v>
      </c>
      <c r="D2902" s="6" t="s">
        <v>17</v>
      </c>
      <c r="E2902" s="6">
        <f>IF((ISBLANK($B$1)),"",Sheet1!Q2910)</f>
        <v>3600</v>
      </c>
      <c r="F2902" s="20" t="s">
        <v>26</v>
      </c>
      <c r="G2902" s="53">
        <f t="shared" si="46"/>
        <v>-1.4897387768521975</v>
      </c>
      <c r="H2902" s="35"/>
      <c r="P2902" s="6"/>
    </row>
    <row r="2903" spans="1:16" ht="14.4" x14ac:dyDescent="0.25">
      <c r="A2903" s="6">
        <v>5239</v>
      </c>
      <c r="B2903" s="6">
        <v>37287</v>
      </c>
      <c r="C2903" s="19">
        <v>41214</v>
      </c>
      <c r="D2903" s="6" t="s">
        <v>25</v>
      </c>
      <c r="E2903" s="6">
        <f>IF((ISBLANK($B$1)),"",Sheet1!Q2911)</f>
        <v>4300</v>
      </c>
      <c r="F2903" s="20" t="s">
        <v>29</v>
      </c>
      <c r="G2903" s="53">
        <f t="shared" si="46"/>
        <v>-0.52307078595551704</v>
      </c>
      <c r="H2903" s="35"/>
      <c r="P2903" s="6"/>
    </row>
    <row r="2904" spans="1:16" ht="14.4" x14ac:dyDescent="0.25">
      <c r="A2904" s="6">
        <v>5262</v>
      </c>
      <c r="B2904" s="6">
        <v>37443</v>
      </c>
      <c r="C2904" s="19">
        <v>40283</v>
      </c>
      <c r="D2904" s="6" t="s">
        <v>28</v>
      </c>
      <c r="E2904" s="6">
        <f>IF((ISBLANK($B$1)),"",Sheet1!Q2912)</f>
        <v>5900</v>
      </c>
      <c r="F2904" s="20" t="s">
        <v>26</v>
      </c>
      <c r="G2904" s="53">
        <f t="shared" si="46"/>
        <v>1.6864560503797523</v>
      </c>
      <c r="H2904" s="35"/>
      <c r="P2904" s="6"/>
    </row>
    <row r="2905" spans="1:16" ht="14.4" x14ac:dyDescent="0.25">
      <c r="A2905" s="6">
        <v>5311</v>
      </c>
      <c r="B2905" s="6">
        <v>37792</v>
      </c>
      <c r="C2905" s="19">
        <v>40906</v>
      </c>
      <c r="D2905" s="6" t="s">
        <v>17</v>
      </c>
      <c r="E2905" s="6">
        <f>IF((ISBLANK($B$1)),"",Sheet1!Q2913)</f>
        <v>5850</v>
      </c>
      <c r="F2905" s="20" t="s">
        <v>26</v>
      </c>
      <c r="G2905" s="53">
        <f t="shared" si="46"/>
        <v>1.6174083367442753</v>
      </c>
      <c r="H2905" s="35"/>
      <c r="P2905" s="6"/>
    </row>
    <row r="2906" spans="1:16" ht="14.4" x14ac:dyDescent="0.25">
      <c r="A2906" s="6">
        <v>5321</v>
      </c>
      <c r="B2906" s="6">
        <v>37829</v>
      </c>
      <c r="C2906" s="19">
        <v>40450</v>
      </c>
      <c r="D2906" s="6" t="s">
        <v>28</v>
      </c>
      <c r="E2906" s="6">
        <f>IF((ISBLANK($B$1)),"",Sheet1!Q2914)</f>
        <v>4800</v>
      </c>
      <c r="F2906" s="20" t="s">
        <v>26</v>
      </c>
      <c r="G2906" s="53">
        <f t="shared" si="46"/>
        <v>0.16740635039925467</v>
      </c>
      <c r="H2906" s="35"/>
      <c r="P2906" s="6"/>
    </row>
    <row r="2907" spans="1:16" ht="14.4" x14ac:dyDescent="0.25">
      <c r="A2907" s="6">
        <v>5361</v>
      </c>
      <c r="B2907" s="6">
        <v>38087</v>
      </c>
      <c r="C2907" s="19">
        <v>39865</v>
      </c>
      <c r="D2907" s="6" t="s">
        <v>30</v>
      </c>
      <c r="E2907" s="6">
        <f>IF((ISBLANK($B$1)),"",Sheet1!Q2915)</f>
        <v>4300</v>
      </c>
      <c r="F2907" s="20" t="s">
        <v>27</v>
      </c>
      <c r="G2907" s="53">
        <f t="shared" si="46"/>
        <v>-0.52307078595551704</v>
      </c>
      <c r="H2907" s="35"/>
      <c r="P2907" s="6"/>
    </row>
    <row r="2908" spans="1:16" ht="14.4" x14ac:dyDescent="0.25">
      <c r="A2908" s="6">
        <v>5393</v>
      </c>
      <c r="B2908" s="6">
        <v>38341</v>
      </c>
      <c r="C2908" s="19">
        <v>39951</v>
      </c>
      <c r="D2908" s="6" t="s">
        <v>16</v>
      </c>
      <c r="E2908" s="6">
        <f>IF((ISBLANK($B$1)),"",Sheet1!Q2916)</f>
        <v>5300</v>
      </c>
      <c r="F2908" s="20" t="s">
        <v>27</v>
      </c>
      <c r="G2908" s="53">
        <f t="shared" si="46"/>
        <v>0.85788348675402637</v>
      </c>
      <c r="H2908" s="35"/>
      <c r="P2908" s="6"/>
    </row>
    <row r="2909" spans="1:16" ht="14.4" x14ac:dyDescent="0.25">
      <c r="A2909" s="6">
        <v>5436</v>
      </c>
      <c r="B2909" s="6">
        <v>38599</v>
      </c>
      <c r="C2909" s="19">
        <v>40112</v>
      </c>
      <c r="D2909" s="6" t="s">
        <v>17</v>
      </c>
      <c r="E2909" s="6">
        <f>IF((ISBLANK($B$1)),"",Sheet1!Q2917)</f>
        <v>4750</v>
      </c>
      <c r="F2909" s="20" t="s">
        <v>26</v>
      </c>
      <c r="G2909" s="53">
        <f t="shared" si="46"/>
        <v>9.8358636763777513E-2</v>
      </c>
      <c r="H2909" s="35"/>
      <c r="P2909" s="6"/>
    </row>
    <row r="2910" spans="1:16" ht="14.4" x14ac:dyDescent="0.25">
      <c r="A2910" s="6">
        <v>5451</v>
      </c>
      <c r="B2910" s="6">
        <v>38721</v>
      </c>
      <c r="C2910" s="19">
        <v>39896</v>
      </c>
      <c r="D2910" s="6" t="s">
        <v>30</v>
      </c>
      <c r="E2910" s="6">
        <f>IF((ISBLANK($B$1)),"",Sheet1!Q2918)</f>
        <v>4250</v>
      </c>
      <c r="F2910" s="20" t="s">
        <v>29</v>
      </c>
      <c r="G2910" s="53">
        <f t="shared" si="46"/>
        <v>-0.59211849959099416</v>
      </c>
      <c r="H2910" s="35"/>
      <c r="P2910" s="6"/>
    </row>
    <row r="2911" spans="1:16" ht="14.4" x14ac:dyDescent="0.25">
      <c r="A2911" s="6">
        <v>5452</v>
      </c>
      <c r="B2911" s="6">
        <v>38721</v>
      </c>
      <c r="C2911" s="19">
        <v>39896</v>
      </c>
      <c r="D2911" s="6" t="s">
        <v>30</v>
      </c>
      <c r="E2911" s="6">
        <f>IF((ISBLANK($B$1)),"",Sheet1!Q2919)</f>
        <v>4150</v>
      </c>
      <c r="F2911" s="20" t="s">
        <v>26</v>
      </c>
      <c r="G2911" s="53">
        <f t="shared" si="46"/>
        <v>-0.73021392686194853</v>
      </c>
      <c r="H2911" s="35"/>
      <c r="P2911" s="6"/>
    </row>
    <row r="2912" spans="1:16" ht="14.4" x14ac:dyDescent="0.25">
      <c r="A2912" s="6">
        <v>5494</v>
      </c>
      <c r="B2912" s="6">
        <v>38976</v>
      </c>
      <c r="C2912" s="19">
        <v>40537</v>
      </c>
      <c r="D2912" s="6" t="s">
        <v>30</v>
      </c>
      <c r="E2912" s="6">
        <f>IF((ISBLANK($B$1)),"",Sheet1!Q2920)</f>
        <v>4200</v>
      </c>
      <c r="F2912" s="20" t="s">
        <v>27</v>
      </c>
      <c r="G2912" s="53">
        <f t="shared" si="46"/>
        <v>-0.6611662132264714</v>
      </c>
      <c r="H2912" s="35"/>
      <c r="P2912" s="6"/>
    </row>
    <row r="2913" spans="1:16" ht="14.4" x14ac:dyDescent="0.25">
      <c r="A2913" s="6">
        <v>5549</v>
      </c>
      <c r="B2913" s="6">
        <v>39300</v>
      </c>
      <c r="C2913" s="19">
        <v>41021</v>
      </c>
      <c r="D2913" s="6" t="s">
        <v>17</v>
      </c>
      <c r="E2913" s="6">
        <f>IF((ISBLANK($B$1)),"",Sheet1!Q2921)</f>
        <v>3850</v>
      </c>
      <c r="F2913" s="20" t="s">
        <v>26</v>
      </c>
      <c r="G2913" s="53">
        <f t="shared" si="46"/>
        <v>-1.1445002086748115</v>
      </c>
      <c r="H2913" s="35"/>
      <c r="P2913" s="6"/>
    </row>
    <row r="2914" spans="1:16" ht="14.4" x14ac:dyDescent="0.25">
      <c r="A2914" s="6">
        <v>5564</v>
      </c>
      <c r="B2914" s="6">
        <v>39393</v>
      </c>
      <c r="C2914" s="19">
        <v>40499</v>
      </c>
      <c r="D2914" s="6" t="s">
        <v>28</v>
      </c>
      <c r="E2914" s="6">
        <f>IF((ISBLANK($B$1)),"",Sheet1!Q2922)</f>
        <v>4550</v>
      </c>
      <c r="F2914" s="20" t="s">
        <v>27</v>
      </c>
      <c r="G2914" s="53">
        <f t="shared" si="46"/>
        <v>-0.17783221777813119</v>
      </c>
      <c r="H2914" s="35"/>
      <c r="P2914" s="6"/>
    </row>
    <row r="2915" spans="1:16" ht="14.4" x14ac:dyDescent="0.25">
      <c r="A2915" s="6">
        <v>5624</v>
      </c>
      <c r="B2915" s="6">
        <v>39842</v>
      </c>
      <c r="C2915" s="19">
        <v>40531</v>
      </c>
      <c r="D2915" s="6" t="s">
        <v>16</v>
      </c>
      <c r="E2915" s="6">
        <f>IF((ISBLANK($B$1)),"",Sheet1!Q2923)</f>
        <v>5300</v>
      </c>
      <c r="F2915" s="20" t="s">
        <v>29</v>
      </c>
      <c r="G2915" s="53">
        <f t="shared" si="46"/>
        <v>0.85788348675402637</v>
      </c>
      <c r="H2915" s="35"/>
      <c r="P2915" s="6"/>
    </row>
    <row r="2916" spans="1:16" ht="14.4" x14ac:dyDescent="0.25">
      <c r="A2916" s="6">
        <v>5888</v>
      </c>
      <c r="B2916" s="6">
        <v>41766</v>
      </c>
      <c r="C2916" s="19">
        <v>41163</v>
      </c>
      <c r="D2916" s="6" t="s">
        <v>30</v>
      </c>
      <c r="E2916" s="6">
        <f>IF((ISBLANK($B$1)),"",Sheet1!Q2924)</f>
        <v>3750</v>
      </c>
      <c r="F2916" s="20" t="s">
        <v>26</v>
      </c>
      <c r="G2916" s="53">
        <f t="shared" si="46"/>
        <v>-1.282595635945766</v>
      </c>
      <c r="H2916" s="35"/>
      <c r="P2916" s="6"/>
    </row>
    <row r="2917" spans="1:16" ht="14.4" x14ac:dyDescent="0.25">
      <c r="A2917" s="6">
        <v>5960</v>
      </c>
      <c r="B2917" s="6">
        <v>42306</v>
      </c>
      <c r="C2917" s="19">
        <v>41166</v>
      </c>
      <c r="D2917" s="6" t="s">
        <v>17</v>
      </c>
      <c r="E2917" s="6">
        <f>IF((ISBLANK($B$1)),"",Sheet1!Q2925)</f>
        <v>4350</v>
      </c>
      <c r="F2917" s="20" t="s">
        <v>26</v>
      </c>
      <c r="G2917" s="53">
        <f t="shared" si="46"/>
        <v>-0.45402307232003986</v>
      </c>
      <c r="H2917" s="35"/>
      <c r="P2917" s="6"/>
    </row>
    <row r="2918" spans="1:16" ht="14.4" x14ac:dyDescent="0.25">
      <c r="A2918" s="6">
        <v>5999</v>
      </c>
      <c r="B2918" s="6">
        <v>42528</v>
      </c>
      <c r="C2918" s="19">
        <v>40232</v>
      </c>
      <c r="D2918" s="6" t="s">
        <v>16</v>
      </c>
      <c r="E2918" s="6">
        <f>IF((ISBLANK($B$1)),"",Sheet1!Q2926)</f>
        <v>5250</v>
      </c>
      <c r="F2918" s="20" t="s">
        <v>26</v>
      </c>
      <c r="G2918" s="53">
        <f t="shared" si="46"/>
        <v>0.78883577311854924</v>
      </c>
      <c r="H2918" s="35"/>
      <c r="P2918" s="6"/>
    </row>
    <row r="2919" spans="1:16" ht="14.4" x14ac:dyDescent="0.25">
      <c r="A2919" s="6">
        <v>6000</v>
      </c>
      <c r="B2919" s="6">
        <v>42528</v>
      </c>
      <c r="C2919" s="19">
        <v>40232</v>
      </c>
      <c r="D2919" s="6" t="s">
        <v>16</v>
      </c>
      <c r="E2919" s="6">
        <f>IF((ISBLANK($B$1)),"",Sheet1!Q2927)</f>
        <v>4050</v>
      </c>
      <c r="F2919" s="20" t="s">
        <v>26</v>
      </c>
      <c r="G2919" s="53">
        <f t="shared" si="46"/>
        <v>-0.86830935413290289</v>
      </c>
      <c r="H2919" s="35"/>
      <c r="P2919" s="6"/>
    </row>
    <row r="2920" spans="1:16" ht="14.4" x14ac:dyDescent="0.25">
      <c r="A2920" s="6">
        <v>6001</v>
      </c>
      <c r="B2920" s="6">
        <v>42528</v>
      </c>
      <c r="C2920" s="19">
        <v>40232</v>
      </c>
      <c r="D2920" s="6" t="s">
        <v>16</v>
      </c>
      <c r="E2920" s="6">
        <f>IF((ISBLANK($B$1)),"",Sheet1!Q2928)</f>
        <v>4950</v>
      </c>
      <c r="F2920" s="20" t="s">
        <v>27</v>
      </c>
      <c r="G2920" s="53">
        <f t="shared" si="46"/>
        <v>0.37454949130568621</v>
      </c>
      <c r="H2920" s="35"/>
      <c r="P2920" s="6"/>
    </row>
    <row r="2921" spans="1:16" ht="14.4" x14ac:dyDescent="0.25">
      <c r="A2921" s="6">
        <v>6115</v>
      </c>
      <c r="B2921" s="6">
        <v>43302</v>
      </c>
      <c r="C2921" s="19">
        <v>40778</v>
      </c>
      <c r="D2921" s="6" t="s">
        <v>25</v>
      </c>
      <c r="E2921" s="6">
        <f>IF((ISBLANK($B$1)),"",Sheet1!Q2929)</f>
        <v>5350</v>
      </c>
      <c r="F2921" s="20" t="s">
        <v>27</v>
      </c>
      <c r="G2921" s="53">
        <f t="shared" si="46"/>
        <v>0.92693120038950361</v>
      </c>
      <c r="H2921" s="35"/>
      <c r="P2921" s="6"/>
    </row>
    <row r="2922" spans="1:16" ht="14.4" x14ac:dyDescent="0.25">
      <c r="A2922" s="6">
        <v>6180</v>
      </c>
      <c r="B2922" s="6">
        <v>43813</v>
      </c>
      <c r="C2922" s="19">
        <v>40015</v>
      </c>
      <c r="D2922" s="6" t="s">
        <v>28</v>
      </c>
      <c r="E2922" s="6">
        <f>IF((ISBLANK($B$1)),"",Sheet1!Q2930)</f>
        <v>4550</v>
      </c>
      <c r="F2922" s="20" t="s">
        <v>26</v>
      </c>
      <c r="G2922" s="53">
        <f t="shared" si="46"/>
        <v>-0.17783221777813119</v>
      </c>
      <c r="H2922" s="35"/>
      <c r="P2922" s="6"/>
    </row>
    <row r="2923" spans="1:16" ht="14.4" x14ac:dyDescent="0.25">
      <c r="A2923" s="6">
        <v>6256</v>
      </c>
      <c r="B2923" s="6">
        <v>44292</v>
      </c>
      <c r="C2923" s="19">
        <v>40708</v>
      </c>
      <c r="D2923" s="6" t="s">
        <v>28</v>
      </c>
      <c r="E2923" s="6">
        <f>IF((ISBLANK($B$1)),"",Sheet1!Q2931)</f>
        <v>3450</v>
      </c>
      <c r="F2923" s="20" t="s">
        <v>26</v>
      </c>
      <c r="G2923" s="53">
        <f t="shared" si="46"/>
        <v>-1.696881917758629</v>
      </c>
      <c r="H2923" s="35"/>
      <c r="P2923" s="6"/>
    </row>
    <row r="2924" spans="1:16" ht="14.4" x14ac:dyDescent="0.25">
      <c r="A2924" s="6">
        <v>6298</v>
      </c>
      <c r="B2924" s="6">
        <v>44583</v>
      </c>
      <c r="C2924" s="19">
        <v>40090</v>
      </c>
      <c r="D2924" s="6" t="s">
        <v>25</v>
      </c>
      <c r="E2924" s="6">
        <f>IF((ISBLANK($B$1)),"",Sheet1!Q2932)</f>
        <v>3700</v>
      </c>
      <c r="F2924" s="20" t="s">
        <v>26</v>
      </c>
      <c r="G2924" s="53">
        <f t="shared" si="46"/>
        <v>-1.351643349581243</v>
      </c>
      <c r="H2924" s="35"/>
      <c r="P2924" s="6"/>
    </row>
    <row r="2925" spans="1:16" ht="14.4" x14ac:dyDescent="0.25">
      <c r="A2925" s="6">
        <v>6391</v>
      </c>
      <c r="B2925" s="6">
        <v>45381</v>
      </c>
      <c r="C2925" s="19">
        <v>40776</v>
      </c>
      <c r="D2925" s="6" t="s">
        <v>16</v>
      </c>
      <c r="E2925" s="6">
        <f>IF((ISBLANK($B$1)),"",Sheet1!Q2933)</f>
        <v>3450</v>
      </c>
      <c r="F2925" s="20" t="s">
        <v>29</v>
      </c>
      <c r="G2925" s="53">
        <f t="shared" si="46"/>
        <v>-1.696881917758629</v>
      </c>
      <c r="H2925" s="35"/>
      <c r="P2925" s="6"/>
    </row>
    <row r="2926" spans="1:16" ht="14.4" x14ac:dyDescent="0.25">
      <c r="A2926" s="6">
        <v>6543</v>
      </c>
      <c r="B2926" s="6">
        <v>46531</v>
      </c>
      <c r="C2926" s="19">
        <v>40776</v>
      </c>
      <c r="D2926" s="6" t="s">
        <v>25</v>
      </c>
      <c r="E2926" s="6">
        <f>IF((ISBLANK($B$1)),"",Sheet1!Q2934)</f>
        <v>5350</v>
      </c>
      <c r="F2926" s="20" t="s">
        <v>29</v>
      </c>
      <c r="G2926" s="53">
        <f t="shared" si="46"/>
        <v>0.92693120038950361</v>
      </c>
      <c r="H2926" s="35"/>
      <c r="P2926" s="6"/>
    </row>
    <row r="2927" spans="1:16" ht="14.4" x14ac:dyDescent="0.25">
      <c r="A2927" s="6">
        <v>6626</v>
      </c>
      <c r="B2927" s="6">
        <v>47136</v>
      </c>
      <c r="C2927" s="19">
        <v>40567</v>
      </c>
      <c r="D2927" s="6" t="s">
        <v>16</v>
      </c>
      <c r="E2927" s="6">
        <f>IF((ISBLANK($B$1)),"",Sheet1!Q2935)</f>
        <v>4300</v>
      </c>
      <c r="F2927" s="20" t="s">
        <v>26</v>
      </c>
      <c r="G2927" s="53">
        <f t="shared" si="46"/>
        <v>-0.52307078595551704</v>
      </c>
      <c r="H2927" s="35"/>
      <c r="P2927" s="6"/>
    </row>
    <row r="2928" spans="1:16" ht="14.4" x14ac:dyDescent="0.25">
      <c r="A2928" s="6">
        <v>6711</v>
      </c>
      <c r="B2928" s="6">
        <v>47813</v>
      </c>
      <c r="C2928" s="19">
        <v>40052</v>
      </c>
      <c r="D2928" s="6" t="s">
        <v>17</v>
      </c>
      <c r="E2928" s="6">
        <f>IF((ISBLANK($B$1)),"",Sheet1!Q2936)</f>
        <v>5900</v>
      </c>
      <c r="F2928" s="20" t="s">
        <v>26</v>
      </c>
      <c r="G2928" s="53">
        <f t="shared" si="46"/>
        <v>1.6864560503797523</v>
      </c>
      <c r="H2928" s="35"/>
      <c r="P2928" s="6"/>
    </row>
    <row r="2929" spans="1:16" ht="14.4" x14ac:dyDescent="0.25">
      <c r="A2929" s="6">
        <v>6778</v>
      </c>
      <c r="B2929" s="6">
        <v>48263</v>
      </c>
      <c r="C2929" s="19">
        <v>40246</v>
      </c>
      <c r="D2929" s="6" t="s">
        <v>16</v>
      </c>
      <c r="E2929" s="6">
        <f>IF((ISBLANK($B$1)),"",Sheet1!Q2937)</f>
        <v>4800</v>
      </c>
      <c r="F2929" s="20" t="s">
        <v>26</v>
      </c>
      <c r="G2929" s="53">
        <f t="shared" si="46"/>
        <v>0.16740635039925467</v>
      </c>
      <c r="H2929" s="35"/>
      <c r="P2929" s="6"/>
    </row>
    <row r="2930" spans="1:16" ht="14.4" x14ac:dyDescent="0.25">
      <c r="A2930" s="6">
        <v>6805</v>
      </c>
      <c r="B2930" s="6">
        <v>48455</v>
      </c>
      <c r="C2930" s="19">
        <v>39966</v>
      </c>
      <c r="D2930" s="6" t="s">
        <v>30</v>
      </c>
      <c r="E2930" s="6">
        <f>IF((ISBLANK($B$1)),"",Sheet1!Q2938)</f>
        <v>4250</v>
      </c>
      <c r="F2930" s="20" t="s">
        <v>26</v>
      </c>
      <c r="G2930" s="53">
        <f t="shared" si="46"/>
        <v>-0.59211849959099416</v>
      </c>
      <c r="H2930" s="35"/>
      <c r="P2930" s="6"/>
    </row>
    <row r="2931" spans="1:16" ht="14.4" x14ac:dyDescent="0.25">
      <c r="A2931" s="6">
        <v>6840</v>
      </c>
      <c r="B2931" s="6">
        <v>48706</v>
      </c>
      <c r="C2931" s="19">
        <v>41212</v>
      </c>
      <c r="D2931" s="6" t="s">
        <v>25</v>
      </c>
      <c r="E2931" s="6">
        <f>IF((ISBLANK($B$1)),"",Sheet1!Q2939)</f>
        <v>4300</v>
      </c>
      <c r="F2931" s="20" t="s">
        <v>26</v>
      </c>
      <c r="G2931" s="53">
        <f t="shared" si="46"/>
        <v>-0.52307078595551704</v>
      </c>
      <c r="H2931" s="35"/>
      <c r="P2931" s="6"/>
    </row>
    <row r="2932" spans="1:16" ht="14.4" x14ac:dyDescent="0.25">
      <c r="A2932" s="6">
        <v>6865</v>
      </c>
      <c r="B2932" s="6">
        <v>48929</v>
      </c>
      <c r="C2932" s="19">
        <v>40108</v>
      </c>
      <c r="D2932" s="6" t="s">
        <v>17</v>
      </c>
      <c r="E2932" s="6">
        <f>IF((ISBLANK($B$1)),"",Sheet1!Q2940)</f>
        <v>5650</v>
      </c>
      <c r="F2932" s="20" t="s">
        <v>26</v>
      </c>
      <c r="G2932" s="53">
        <f t="shared" si="46"/>
        <v>1.3412174822023666</v>
      </c>
      <c r="H2932" s="35"/>
      <c r="P2932" s="6"/>
    </row>
    <row r="2933" spans="1:16" ht="14.4" x14ac:dyDescent="0.25">
      <c r="A2933" s="6">
        <v>6873</v>
      </c>
      <c r="B2933" s="6">
        <v>48963</v>
      </c>
      <c r="C2933" s="19">
        <v>40470</v>
      </c>
      <c r="D2933" s="6" t="s">
        <v>28</v>
      </c>
      <c r="E2933" s="6">
        <f>IF((ISBLANK($B$1)),"",Sheet1!Q2941)</f>
        <v>4000</v>
      </c>
      <c r="F2933" s="20" t="s">
        <v>26</v>
      </c>
      <c r="G2933" s="53">
        <f t="shared" si="46"/>
        <v>-0.93735706776838001</v>
      </c>
      <c r="H2933" s="35"/>
      <c r="P2933" s="6"/>
    </row>
    <row r="2934" spans="1:16" ht="14.4" x14ac:dyDescent="0.25">
      <c r="A2934" s="6">
        <v>6909</v>
      </c>
      <c r="B2934" s="6">
        <v>49312</v>
      </c>
      <c r="C2934" s="19">
        <v>40595</v>
      </c>
      <c r="D2934" s="6" t="s">
        <v>30</v>
      </c>
      <c r="E2934" s="6">
        <f>IF((ISBLANK($B$1)),"",Sheet1!Q2942)</f>
        <v>4900</v>
      </c>
      <c r="F2934" s="20" t="s">
        <v>26</v>
      </c>
      <c r="G2934" s="53">
        <f t="shared" si="46"/>
        <v>0.30550177767020903</v>
      </c>
      <c r="H2934" s="35"/>
      <c r="P2934" s="6"/>
    </row>
    <row r="2935" spans="1:16" ht="14.4" x14ac:dyDescent="0.25">
      <c r="A2935" s="6">
        <v>6931</v>
      </c>
      <c r="B2935" s="6">
        <v>49472</v>
      </c>
      <c r="C2935" s="19">
        <v>40375</v>
      </c>
      <c r="D2935" s="6" t="s">
        <v>25</v>
      </c>
      <c r="E2935" s="6">
        <f>IF((ISBLANK($B$1)),"",Sheet1!Q2943)</f>
        <v>4150</v>
      </c>
      <c r="F2935" s="20" t="s">
        <v>27</v>
      </c>
      <c r="G2935" s="53">
        <f t="shared" si="46"/>
        <v>-0.73021392686194853</v>
      </c>
      <c r="H2935" s="35"/>
      <c r="P2935" s="6"/>
    </row>
    <row r="2936" spans="1:16" ht="14.4" x14ac:dyDescent="0.25">
      <c r="A2936" s="6">
        <v>6932</v>
      </c>
      <c r="B2936" s="6">
        <v>49472</v>
      </c>
      <c r="C2936" s="19">
        <v>40375</v>
      </c>
      <c r="D2936" s="6" t="s">
        <v>25</v>
      </c>
      <c r="E2936" s="6">
        <f>IF((ISBLANK($B$1)),"",Sheet1!Q2944)</f>
        <v>3850</v>
      </c>
      <c r="F2936" s="20" t="s">
        <v>26</v>
      </c>
      <c r="G2936" s="53">
        <f t="shared" si="46"/>
        <v>-1.1445002086748115</v>
      </c>
      <c r="H2936" s="35"/>
      <c r="P2936" s="6"/>
    </row>
    <row r="2937" spans="1:16" ht="14.4" x14ac:dyDescent="0.25">
      <c r="A2937" s="6">
        <v>6981</v>
      </c>
      <c r="B2937" s="6">
        <v>49891</v>
      </c>
      <c r="C2937" s="19">
        <v>40068</v>
      </c>
      <c r="D2937" s="6" t="s">
        <v>28</v>
      </c>
      <c r="E2937" s="6">
        <f>IF((ISBLANK($B$1)),"",Sheet1!Q2945)</f>
        <v>5400</v>
      </c>
      <c r="F2937" s="20" t="s">
        <v>26</v>
      </c>
      <c r="G2937" s="53">
        <f t="shared" si="46"/>
        <v>0.99597891402498073</v>
      </c>
      <c r="H2937" s="35"/>
      <c r="P2937" s="6"/>
    </row>
    <row r="2938" spans="1:16" ht="14.4" x14ac:dyDescent="0.25">
      <c r="A2938" s="6">
        <v>6995</v>
      </c>
      <c r="B2938" s="6">
        <v>49984</v>
      </c>
      <c r="C2938" s="19">
        <v>39944</v>
      </c>
      <c r="D2938" s="6" t="s">
        <v>25</v>
      </c>
      <c r="E2938" s="6">
        <f>IF((ISBLANK($B$1)),"",Sheet1!Q2946)</f>
        <v>4100</v>
      </c>
      <c r="F2938" s="20" t="s">
        <v>26</v>
      </c>
      <c r="G2938" s="53">
        <f t="shared" si="46"/>
        <v>-0.79926164049742576</v>
      </c>
      <c r="H2938" s="35"/>
      <c r="P2938" s="6"/>
    </row>
    <row r="2939" spans="1:16" ht="14.4" x14ac:dyDescent="0.25">
      <c r="A2939" s="6">
        <v>6996</v>
      </c>
      <c r="B2939" s="6">
        <v>49984</v>
      </c>
      <c r="C2939" s="19">
        <v>39944</v>
      </c>
      <c r="D2939" s="6" t="s">
        <v>25</v>
      </c>
      <c r="E2939" s="6">
        <f>IF((ISBLANK($B$1)),"",Sheet1!Q2947)</f>
        <v>5000</v>
      </c>
      <c r="F2939" s="20" t="s">
        <v>26</v>
      </c>
      <c r="G2939" s="53">
        <f t="shared" si="46"/>
        <v>0.44359720494116334</v>
      </c>
      <c r="H2939" s="35"/>
      <c r="P2939" s="6"/>
    </row>
    <row r="2940" spans="1:16" ht="14.4" x14ac:dyDescent="0.25">
      <c r="A2940" s="6">
        <v>7074</v>
      </c>
      <c r="B2940" s="6">
        <v>50471</v>
      </c>
      <c r="C2940" s="19">
        <v>40911</v>
      </c>
      <c r="D2940" s="6" t="s">
        <v>25</v>
      </c>
      <c r="E2940" s="6">
        <f>IF((ISBLANK($B$1)),"",Sheet1!Q2948)</f>
        <v>4650</v>
      </c>
      <c r="F2940" s="20" t="s">
        <v>29</v>
      </c>
      <c r="G2940" s="53">
        <f t="shared" si="46"/>
        <v>-3.9736790507176829E-2</v>
      </c>
      <c r="H2940" s="35"/>
      <c r="P2940" s="6"/>
    </row>
    <row r="2941" spans="1:16" ht="14.4" x14ac:dyDescent="0.25">
      <c r="A2941" s="6">
        <v>7176</v>
      </c>
      <c r="B2941" s="6">
        <v>51203</v>
      </c>
      <c r="C2941" s="19">
        <v>40898</v>
      </c>
      <c r="D2941" s="6" t="s">
        <v>17</v>
      </c>
      <c r="E2941" s="6">
        <f>IF((ISBLANK($B$1)),"",Sheet1!Q2949)</f>
        <v>5850</v>
      </c>
      <c r="F2941" s="20" t="s">
        <v>29</v>
      </c>
      <c r="G2941" s="53">
        <f t="shared" si="46"/>
        <v>1.6174083367442753</v>
      </c>
      <c r="H2941" s="35"/>
      <c r="P2941" s="6"/>
    </row>
    <row r="2942" spans="1:16" ht="14.4" x14ac:dyDescent="0.25">
      <c r="A2942" s="6">
        <v>7179</v>
      </c>
      <c r="B2942" s="6">
        <v>51233</v>
      </c>
      <c r="C2942" s="19">
        <v>40156</v>
      </c>
      <c r="D2942" s="6" t="s">
        <v>25</v>
      </c>
      <c r="E2942" s="6">
        <f>IF((ISBLANK($B$1)),"",Sheet1!Q2950)</f>
        <v>3550</v>
      </c>
      <c r="F2942" s="20" t="s">
        <v>29</v>
      </c>
      <c r="G2942" s="53">
        <f t="shared" si="46"/>
        <v>-1.5587864904876745</v>
      </c>
      <c r="H2942" s="35"/>
      <c r="P2942" s="6"/>
    </row>
    <row r="2943" spans="1:16" ht="14.4" x14ac:dyDescent="0.25">
      <c r="A2943" s="6">
        <v>7322</v>
      </c>
      <c r="B2943" s="6">
        <v>52195</v>
      </c>
      <c r="C2943" s="19">
        <v>40842</v>
      </c>
      <c r="D2943" s="6" t="s">
        <v>28</v>
      </c>
      <c r="E2943" s="6">
        <f>IF((ISBLANK($B$1)),"",Sheet1!Q2951)</f>
        <v>4350</v>
      </c>
      <c r="F2943" s="20" t="s">
        <v>26</v>
      </c>
      <c r="G2943" s="53">
        <f t="shared" si="46"/>
        <v>-0.45402307232003986</v>
      </c>
      <c r="H2943" s="35"/>
      <c r="P2943" s="6"/>
    </row>
    <row r="2944" spans="1:16" ht="14.4" x14ac:dyDescent="0.25">
      <c r="A2944" s="6">
        <v>7445</v>
      </c>
      <c r="B2944" s="6">
        <v>53123</v>
      </c>
      <c r="C2944" s="19">
        <v>40056</v>
      </c>
      <c r="D2944" s="6" t="s">
        <v>28</v>
      </c>
      <c r="E2944" s="6">
        <f>IF((ISBLANK($B$1)),"",Sheet1!Q2952)</f>
        <v>4650</v>
      </c>
      <c r="F2944" s="20" t="s">
        <v>26</v>
      </c>
      <c r="G2944" s="53">
        <f t="shared" si="46"/>
        <v>-3.9736790507176829E-2</v>
      </c>
      <c r="H2944" s="35"/>
      <c r="P2944" s="6"/>
    </row>
    <row r="2945" spans="1:16" ht="14.4" x14ac:dyDescent="0.25">
      <c r="A2945" s="6">
        <v>7622</v>
      </c>
      <c r="B2945" s="6">
        <v>54533</v>
      </c>
      <c r="C2945" s="19">
        <v>40895</v>
      </c>
      <c r="D2945" s="6" t="s">
        <v>16</v>
      </c>
      <c r="E2945" s="6">
        <f>IF((ISBLANK($B$1)),"",Sheet1!Q2953)</f>
        <v>4450</v>
      </c>
      <c r="F2945" s="20" t="s">
        <v>26</v>
      </c>
      <c r="G2945" s="53">
        <f t="shared" si="46"/>
        <v>-0.31592764504908549</v>
      </c>
      <c r="H2945" s="35"/>
      <c r="P2945" s="6"/>
    </row>
    <row r="2946" spans="1:16" ht="14.4" x14ac:dyDescent="0.25">
      <c r="A2946" s="6">
        <v>7691</v>
      </c>
      <c r="B2946" s="6">
        <v>55139</v>
      </c>
      <c r="C2946" s="19">
        <v>40195</v>
      </c>
      <c r="D2946" s="6" t="s">
        <v>28</v>
      </c>
      <c r="E2946" s="6">
        <f>IF((ISBLANK($B$1)),"",Sheet1!Q2954)</f>
        <v>4700</v>
      </c>
      <c r="F2946" s="20" t="s">
        <v>26</v>
      </c>
      <c r="G2946" s="53">
        <f t="shared" si="46"/>
        <v>2.9310923128300338E-2</v>
      </c>
      <c r="H2946" s="35"/>
      <c r="P2946" s="6"/>
    </row>
    <row r="2947" spans="1:16" ht="14.4" x14ac:dyDescent="0.25">
      <c r="A2947" s="6">
        <v>7734</v>
      </c>
      <c r="B2947" s="6">
        <v>55392</v>
      </c>
      <c r="C2947" s="19">
        <v>39970</v>
      </c>
      <c r="D2947" s="6" t="s">
        <v>30</v>
      </c>
      <c r="E2947" s="6">
        <f>IF((ISBLANK($B$1)),"",Sheet1!Q2955)</f>
        <v>5350</v>
      </c>
      <c r="F2947" s="20" t="s">
        <v>26</v>
      </c>
      <c r="G2947" s="53">
        <f t="shared" si="46"/>
        <v>0.92693120038950361</v>
      </c>
      <c r="H2947" s="35"/>
      <c r="P2947" s="6"/>
    </row>
    <row r="2948" spans="1:16" ht="14.4" x14ac:dyDescent="0.25">
      <c r="A2948" s="6">
        <v>7768</v>
      </c>
      <c r="B2948" s="6">
        <v>55616</v>
      </c>
      <c r="C2948" s="19">
        <v>40671</v>
      </c>
      <c r="D2948" s="6" t="s">
        <v>17</v>
      </c>
      <c r="E2948" s="6">
        <f>IF((ISBLANK($B$1)),"",Sheet1!Q2956)</f>
        <v>4850</v>
      </c>
      <c r="F2948" s="20" t="s">
        <v>27</v>
      </c>
      <c r="G2948" s="53">
        <f t="shared" si="46"/>
        <v>0.23645406403473185</v>
      </c>
      <c r="H2948" s="35"/>
      <c r="P2948" s="6"/>
    </row>
    <row r="2949" spans="1:16" ht="14.4" x14ac:dyDescent="0.25">
      <c r="A2949" s="6">
        <v>7822</v>
      </c>
      <c r="B2949" s="6">
        <v>55909</v>
      </c>
      <c r="C2949" s="19">
        <v>39952</v>
      </c>
      <c r="D2949" s="6" t="s">
        <v>25</v>
      </c>
      <c r="E2949" s="6">
        <f>IF((ISBLANK($B$1)),"",Sheet1!Q2957)</f>
        <v>3550</v>
      </c>
      <c r="F2949" s="20" t="s">
        <v>26</v>
      </c>
      <c r="G2949" s="53">
        <f t="shared" si="46"/>
        <v>-1.5587864904876745</v>
      </c>
      <c r="H2949" s="35"/>
      <c r="P2949" s="6"/>
    </row>
    <row r="2950" spans="1:16" ht="14.4" x14ac:dyDescent="0.25">
      <c r="A2950" s="6">
        <v>7826</v>
      </c>
      <c r="B2950" s="6">
        <v>55938</v>
      </c>
      <c r="C2950" s="19">
        <v>41092</v>
      </c>
      <c r="D2950" s="6" t="s">
        <v>28</v>
      </c>
      <c r="E2950" s="6">
        <f>IF((ISBLANK($B$1)),"",Sheet1!Q2958)</f>
        <v>4300</v>
      </c>
      <c r="F2950" s="20" t="s">
        <v>26</v>
      </c>
      <c r="G2950" s="53">
        <f t="shared" si="46"/>
        <v>-0.52307078595551704</v>
      </c>
      <c r="H2950" s="35"/>
      <c r="P2950" s="6"/>
    </row>
    <row r="2951" spans="1:16" ht="14.4" x14ac:dyDescent="0.25">
      <c r="A2951" s="6">
        <v>7857</v>
      </c>
      <c r="B2951" s="6">
        <v>56166</v>
      </c>
      <c r="C2951" s="19">
        <v>40394</v>
      </c>
      <c r="D2951" s="6" t="s">
        <v>30</v>
      </c>
      <c r="E2951" s="6">
        <f>IF((ISBLANK($B$1)),"",Sheet1!Q2959)</f>
        <v>5650</v>
      </c>
      <c r="F2951" s="20" t="s">
        <v>26</v>
      </c>
      <c r="G2951" s="53">
        <f t="shared" si="46"/>
        <v>1.3412174822023666</v>
      </c>
      <c r="H2951" s="35"/>
      <c r="P2951" s="6"/>
    </row>
    <row r="2952" spans="1:16" ht="14.4" x14ac:dyDescent="0.25">
      <c r="A2952" s="6">
        <v>7902</v>
      </c>
      <c r="B2952" s="6">
        <v>56515</v>
      </c>
      <c r="C2952" s="19">
        <v>40690</v>
      </c>
      <c r="D2952" s="6" t="s">
        <v>16</v>
      </c>
      <c r="E2952" s="6">
        <f>IF((ISBLANK($B$1)),"",Sheet1!Q2960)</f>
        <v>4300</v>
      </c>
      <c r="F2952" s="20" t="s">
        <v>26</v>
      </c>
      <c r="G2952" s="53">
        <f t="shared" ref="G2952:G3015" si="47">STANDARDIZE(E2952,$L$26,$L$35)</f>
        <v>-0.52307078595551704</v>
      </c>
      <c r="H2952" s="35"/>
      <c r="P2952" s="6"/>
    </row>
    <row r="2953" spans="1:16" ht="14.4" x14ac:dyDescent="0.25">
      <c r="A2953" s="6">
        <v>7945</v>
      </c>
      <c r="B2953" s="6">
        <v>56768</v>
      </c>
      <c r="C2953" s="19">
        <v>40751</v>
      </c>
      <c r="D2953" s="6" t="s">
        <v>30</v>
      </c>
      <c r="E2953" s="6">
        <f>IF((ISBLANK($B$1)),"",Sheet1!Q2961)</f>
        <v>5250</v>
      </c>
      <c r="F2953" s="20" t="s">
        <v>26</v>
      </c>
      <c r="G2953" s="53">
        <f t="shared" si="47"/>
        <v>0.78883577311854924</v>
      </c>
      <c r="H2953" s="35"/>
      <c r="P2953" s="6"/>
    </row>
    <row r="2954" spans="1:16" ht="14.4" x14ac:dyDescent="0.25">
      <c r="A2954" s="6">
        <v>7961</v>
      </c>
      <c r="B2954" s="6">
        <v>56900</v>
      </c>
      <c r="C2954" s="19">
        <v>40873</v>
      </c>
      <c r="D2954" s="6" t="s">
        <v>28</v>
      </c>
      <c r="E2954" s="6">
        <f>IF((ISBLANK($B$1)),"",Sheet1!Q2962)</f>
        <v>4200</v>
      </c>
      <c r="F2954" s="20" t="s">
        <v>26</v>
      </c>
      <c r="G2954" s="53">
        <f t="shared" si="47"/>
        <v>-0.6611662132264714</v>
      </c>
      <c r="H2954" s="35"/>
      <c r="P2954" s="6"/>
    </row>
    <row r="2955" spans="1:16" ht="14.4" x14ac:dyDescent="0.25">
      <c r="A2955" s="6">
        <v>7974</v>
      </c>
      <c r="B2955" s="6">
        <v>57056</v>
      </c>
      <c r="C2955" s="19">
        <v>41221</v>
      </c>
      <c r="D2955" s="6" t="s">
        <v>25</v>
      </c>
      <c r="E2955" s="6">
        <f>IF((ISBLANK($B$1)),"",Sheet1!Q2963)</f>
        <v>4850</v>
      </c>
      <c r="F2955" s="20" t="s">
        <v>29</v>
      </c>
      <c r="G2955" s="53">
        <f t="shared" si="47"/>
        <v>0.23645406403473185</v>
      </c>
      <c r="H2955" s="35"/>
      <c r="P2955" s="6"/>
    </row>
    <row r="2956" spans="1:16" ht="14.4" x14ac:dyDescent="0.25">
      <c r="A2956" s="6">
        <v>8170</v>
      </c>
      <c r="B2956" s="6">
        <v>58372</v>
      </c>
      <c r="C2956" s="19">
        <v>40635</v>
      </c>
      <c r="D2956" s="6" t="s">
        <v>25</v>
      </c>
      <c r="E2956" s="6">
        <f>IF((ISBLANK($B$1)),"",Sheet1!Q2964)</f>
        <v>5800</v>
      </c>
      <c r="F2956" s="20" t="s">
        <v>26</v>
      </c>
      <c r="G2956" s="53">
        <f t="shared" si="47"/>
        <v>1.5483606231087981</v>
      </c>
      <c r="H2956" s="35"/>
      <c r="P2956" s="6"/>
    </row>
    <row r="2957" spans="1:16" ht="14.4" x14ac:dyDescent="0.25">
      <c r="A2957" s="6">
        <v>8297</v>
      </c>
      <c r="B2957" s="6">
        <v>59270</v>
      </c>
      <c r="C2957" s="19">
        <v>40189</v>
      </c>
      <c r="D2957" s="6" t="s">
        <v>17</v>
      </c>
      <c r="E2957" s="6">
        <f>IF((ISBLANK($B$1)),"",Sheet1!Q2965)</f>
        <v>5800</v>
      </c>
      <c r="F2957" s="20" t="s">
        <v>27</v>
      </c>
      <c r="G2957" s="53">
        <f t="shared" si="47"/>
        <v>1.5483606231087981</v>
      </c>
      <c r="H2957" s="35"/>
      <c r="P2957" s="6"/>
    </row>
    <row r="2958" spans="1:16" ht="14.4" x14ac:dyDescent="0.25">
      <c r="A2958" s="6">
        <v>8298</v>
      </c>
      <c r="B2958" s="6">
        <v>59270</v>
      </c>
      <c r="C2958" s="19">
        <v>40189</v>
      </c>
      <c r="D2958" s="6" t="s">
        <v>17</v>
      </c>
      <c r="E2958" s="6">
        <f>IF((ISBLANK($B$1)),"",Sheet1!Q2966)</f>
        <v>4100</v>
      </c>
      <c r="F2958" s="20" t="s">
        <v>26</v>
      </c>
      <c r="G2958" s="53">
        <f t="shared" si="47"/>
        <v>-0.79926164049742576</v>
      </c>
      <c r="H2958" s="35"/>
      <c r="P2958" s="6"/>
    </row>
    <row r="2959" spans="1:16" ht="14.4" x14ac:dyDescent="0.25">
      <c r="A2959" s="6">
        <v>8343</v>
      </c>
      <c r="B2959" s="6">
        <v>59619</v>
      </c>
      <c r="C2959" s="19">
        <v>40222</v>
      </c>
      <c r="D2959" s="6" t="s">
        <v>28</v>
      </c>
      <c r="E2959" s="6">
        <f>IF((ISBLANK($B$1)),"",Sheet1!Q2967)</f>
        <v>4000</v>
      </c>
      <c r="F2959" s="20" t="s">
        <v>26</v>
      </c>
      <c r="G2959" s="53">
        <f t="shared" si="47"/>
        <v>-0.93735706776838001</v>
      </c>
      <c r="H2959" s="35"/>
      <c r="P2959" s="6"/>
    </row>
    <row r="2960" spans="1:16" ht="14.4" x14ac:dyDescent="0.25">
      <c r="A2960" s="6">
        <v>8367</v>
      </c>
      <c r="B2960" s="6">
        <v>59781</v>
      </c>
      <c r="C2960" s="19">
        <v>41255</v>
      </c>
      <c r="D2960" s="6" t="s">
        <v>28</v>
      </c>
      <c r="E2960" s="6">
        <f>IF((ISBLANK($B$1)),"",Sheet1!Q2968)</f>
        <v>4600</v>
      </c>
      <c r="F2960" s="20" t="s">
        <v>29</v>
      </c>
      <c r="G2960" s="53">
        <f t="shared" si="47"/>
        <v>-0.108784504142654</v>
      </c>
      <c r="H2960" s="35"/>
      <c r="P2960" s="6"/>
    </row>
    <row r="2961" spans="1:16" ht="14.4" x14ac:dyDescent="0.25">
      <c r="A2961" s="6">
        <v>23</v>
      </c>
      <c r="B2961" s="6">
        <v>132</v>
      </c>
      <c r="C2961" s="19">
        <v>40339</v>
      </c>
      <c r="D2961" s="6" t="s">
        <v>16</v>
      </c>
      <c r="E2961" s="6">
        <f>IF((ISBLANK($B$1)),"",Sheet1!Q2969)</f>
        <v>4900</v>
      </c>
      <c r="F2961" s="20" t="s">
        <v>29</v>
      </c>
      <c r="G2961" s="53">
        <f t="shared" si="47"/>
        <v>0.30550177767020903</v>
      </c>
      <c r="H2961" s="35"/>
      <c r="P2961" s="6"/>
    </row>
    <row r="2962" spans="1:16" ht="14.4" x14ac:dyDescent="0.25">
      <c r="A2962" s="6">
        <v>42</v>
      </c>
      <c r="B2962" s="6">
        <v>258</v>
      </c>
      <c r="C2962" s="19">
        <v>40540</v>
      </c>
      <c r="D2962" s="6" t="s">
        <v>30</v>
      </c>
      <c r="E2962" s="6">
        <f>IF((ISBLANK($B$1)),"",Sheet1!Q2970)</f>
        <v>4450</v>
      </c>
      <c r="F2962" s="20" t="s">
        <v>26</v>
      </c>
      <c r="G2962" s="53">
        <f t="shared" si="47"/>
        <v>-0.31592764504908549</v>
      </c>
      <c r="H2962" s="35"/>
      <c r="P2962" s="6"/>
    </row>
    <row r="2963" spans="1:16" ht="14.4" x14ac:dyDescent="0.25">
      <c r="A2963" s="6">
        <v>43</v>
      </c>
      <c r="B2963" s="6">
        <v>258</v>
      </c>
      <c r="C2963" s="19">
        <v>40540</v>
      </c>
      <c r="D2963" s="6" t="s">
        <v>30</v>
      </c>
      <c r="E2963" s="6">
        <f>IF((ISBLANK($B$1)),"",Sheet1!Q2971)</f>
        <v>3750</v>
      </c>
      <c r="F2963" s="20" t="s">
        <v>26</v>
      </c>
      <c r="G2963" s="53">
        <f t="shared" si="47"/>
        <v>-1.282595635945766</v>
      </c>
      <c r="H2963" s="35"/>
      <c r="P2963" s="6"/>
    </row>
    <row r="2964" spans="1:16" ht="14.4" x14ac:dyDescent="0.25">
      <c r="A2964" s="6">
        <v>57</v>
      </c>
      <c r="B2964" s="6">
        <v>325</v>
      </c>
      <c r="C2964" s="19">
        <v>40467</v>
      </c>
      <c r="D2964" s="6" t="s">
        <v>25</v>
      </c>
      <c r="E2964" s="6">
        <f>IF((ISBLANK($B$1)),"",Sheet1!Q2972)</f>
        <v>3850</v>
      </c>
      <c r="F2964" s="20" t="s">
        <v>27</v>
      </c>
      <c r="G2964" s="53">
        <f t="shared" si="47"/>
        <v>-1.1445002086748115</v>
      </c>
      <c r="H2964" s="35"/>
      <c r="P2964" s="6"/>
    </row>
    <row r="2965" spans="1:16" ht="14.4" x14ac:dyDescent="0.25">
      <c r="A2965" s="6">
        <v>217</v>
      </c>
      <c r="B2965" s="6">
        <v>1444</v>
      </c>
      <c r="C2965" s="19">
        <v>40152</v>
      </c>
      <c r="D2965" s="6" t="s">
        <v>16</v>
      </c>
      <c r="E2965" s="6">
        <f>IF((ISBLANK($B$1)),"",Sheet1!Q2973)</f>
        <v>5000</v>
      </c>
      <c r="F2965" s="20" t="s">
        <v>27</v>
      </c>
      <c r="G2965" s="53">
        <f t="shared" si="47"/>
        <v>0.44359720494116334</v>
      </c>
      <c r="H2965" s="35"/>
      <c r="P2965" s="6"/>
    </row>
    <row r="2966" spans="1:16" ht="14.4" x14ac:dyDescent="0.25">
      <c r="A2966" s="6">
        <v>302</v>
      </c>
      <c r="B2966" s="6">
        <v>2084</v>
      </c>
      <c r="C2966" s="19">
        <v>40253</v>
      </c>
      <c r="D2966" s="6" t="s">
        <v>17</v>
      </c>
      <c r="E2966" s="6">
        <f>IF((ISBLANK($B$1)),"",Sheet1!Q2974)</f>
        <v>4200</v>
      </c>
      <c r="F2966" s="20" t="s">
        <v>26</v>
      </c>
      <c r="G2966" s="53">
        <f t="shared" si="47"/>
        <v>-0.6611662132264714</v>
      </c>
      <c r="H2966" s="35"/>
      <c r="P2966" s="6"/>
    </row>
    <row r="2967" spans="1:16" ht="14.4" x14ac:dyDescent="0.25">
      <c r="A2967" s="6">
        <v>480</v>
      </c>
      <c r="B2967" s="6">
        <v>3332</v>
      </c>
      <c r="C2967" s="19">
        <v>40121</v>
      </c>
      <c r="D2967" s="6" t="s">
        <v>30</v>
      </c>
      <c r="E2967" s="6">
        <f>IF((ISBLANK($B$1)),"",Sheet1!Q2975)</f>
        <v>3700</v>
      </c>
      <c r="F2967" s="20" t="s">
        <v>26</v>
      </c>
      <c r="G2967" s="53">
        <f t="shared" si="47"/>
        <v>-1.351643349581243</v>
      </c>
      <c r="H2967" s="35"/>
      <c r="P2967" s="6"/>
    </row>
    <row r="2968" spans="1:16" ht="14.4" x14ac:dyDescent="0.25">
      <c r="A2968" s="6">
        <v>494</v>
      </c>
      <c r="B2968" s="6">
        <v>3397</v>
      </c>
      <c r="C2968" s="19">
        <v>39986</v>
      </c>
      <c r="D2968" s="6" t="s">
        <v>16</v>
      </c>
      <c r="E2968" s="6">
        <f>IF((ISBLANK($B$1)),"",Sheet1!Q2976)</f>
        <v>5550</v>
      </c>
      <c r="F2968" s="20" t="s">
        <v>27</v>
      </c>
      <c r="G2968" s="53">
        <f t="shared" si="47"/>
        <v>1.2031220549314123</v>
      </c>
      <c r="H2968" s="35"/>
      <c r="P2968" s="6"/>
    </row>
    <row r="2969" spans="1:16" ht="14.4" x14ac:dyDescent="0.25">
      <c r="A2969" s="6">
        <v>519</v>
      </c>
      <c r="B2969" s="6">
        <v>3556</v>
      </c>
      <c r="C2969" s="19">
        <v>41174</v>
      </c>
      <c r="D2969" s="6" t="s">
        <v>28</v>
      </c>
      <c r="E2969" s="6">
        <f>IF((ISBLANK($B$1)),"",Sheet1!Q2977)</f>
        <v>5450</v>
      </c>
      <c r="F2969" s="20" t="s">
        <v>29</v>
      </c>
      <c r="G2969" s="53">
        <f t="shared" si="47"/>
        <v>1.0650266276604579</v>
      </c>
      <c r="H2969" s="35"/>
      <c r="P2969" s="6"/>
    </row>
    <row r="2970" spans="1:16" ht="14.4" x14ac:dyDescent="0.25">
      <c r="A2970" s="6">
        <v>529</v>
      </c>
      <c r="B2970" s="6">
        <v>3589</v>
      </c>
      <c r="C2970" s="19">
        <v>39958</v>
      </c>
      <c r="D2970" s="6" t="s">
        <v>17</v>
      </c>
      <c r="E2970" s="6">
        <f>IF((ISBLANK($B$1)),"",Sheet1!Q2978)</f>
        <v>4550</v>
      </c>
      <c r="F2970" s="20" t="s">
        <v>26</v>
      </c>
      <c r="G2970" s="53">
        <f t="shared" si="47"/>
        <v>-0.17783221777813119</v>
      </c>
      <c r="H2970" s="35"/>
      <c r="P2970" s="6"/>
    </row>
    <row r="2971" spans="1:16" ht="14.4" x14ac:dyDescent="0.25">
      <c r="A2971" s="6">
        <v>573</v>
      </c>
      <c r="B2971" s="6">
        <v>3905</v>
      </c>
      <c r="C2971" s="19">
        <v>40532</v>
      </c>
      <c r="D2971" s="6" t="s">
        <v>28</v>
      </c>
      <c r="E2971" s="6">
        <f>IF((ISBLANK($B$1)),"",Sheet1!Q2979)</f>
        <v>5500</v>
      </c>
      <c r="F2971" s="20" t="s">
        <v>29</v>
      </c>
      <c r="G2971" s="53">
        <f t="shared" si="47"/>
        <v>1.1340743412959351</v>
      </c>
      <c r="H2971" s="35"/>
      <c r="P2971" s="6"/>
    </row>
    <row r="2972" spans="1:16" ht="14.4" x14ac:dyDescent="0.25">
      <c r="A2972" s="6">
        <v>590</v>
      </c>
      <c r="B2972" s="6">
        <v>4033</v>
      </c>
      <c r="C2972" s="19">
        <v>40330</v>
      </c>
      <c r="D2972" s="6" t="s">
        <v>25</v>
      </c>
      <c r="E2972" s="6">
        <f>IF((ISBLANK($B$1)),"",Sheet1!Q2980)</f>
        <v>5300</v>
      </c>
      <c r="F2972" s="20" t="s">
        <v>29</v>
      </c>
      <c r="G2972" s="53">
        <f t="shared" si="47"/>
        <v>0.85788348675402637</v>
      </c>
      <c r="H2972" s="35"/>
      <c r="P2972" s="6"/>
    </row>
    <row r="2973" spans="1:16" ht="14.4" x14ac:dyDescent="0.25">
      <c r="A2973" s="6">
        <v>662</v>
      </c>
      <c r="B2973" s="6">
        <v>4647</v>
      </c>
      <c r="C2973" s="19">
        <v>39946</v>
      </c>
      <c r="D2973" s="6" t="s">
        <v>16</v>
      </c>
      <c r="E2973" s="6">
        <f>IF((ISBLANK($B$1)),"",Sheet1!Q2981)</f>
        <v>5050</v>
      </c>
      <c r="F2973" s="20" t="s">
        <v>27</v>
      </c>
      <c r="G2973" s="53">
        <f t="shared" si="47"/>
        <v>0.51264491857664052</v>
      </c>
      <c r="H2973" s="35"/>
      <c r="P2973" s="6"/>
    </row>
    <row r="2974" spans="1:16" ht="14.4" x14ac:dyDescent="0.25">
      <c r="A2974" s="6">
        <v>686</v>
      </c>
      <c r="B2974" s="6">
        <v>4773</v>
      </c>
      <c r="C2974" s="19">
        <v>40899</v>
      </c>
      <c r="D2974" s="6" t="s">
        <v>30</v>
      </c>
      <c r="E2974" s="6">
        <f>IF((ISBLANK($B$1)),"",Sheet1!Q2982)</f>
        <v>4700</v>
      </c>
      <c r="F2974" s="20" t="s">
        <v>26</v>
      </c>
      <c r="G2974" s="53">
        <f t="shared" si="47"/>
        <v>2.9310923128300338E-2</v>
      </c>
      <c r="H2974" s="35"/>
      <c r="P2974" s="6"/>
    </row>
    <row r="2975" spans="1:16" ht="14.4" x14ac:dyDescent="0.25">
      <c r="A2975" s="6">
        <v>724</v>
      </c>
      <c r="B2975" s="6">
        <v>5189</v>
      </c>
      <c r="C2975" s="19">
        <v>40507</v>
      </c>
      <c r="D2975" s="6" t="s">
        <v>25</v>
      </c>
      <c r="E2975" s="6">
        <f>IF((ISBLANK($B$1)),"",Sheet1!Q2983)</f>
        <v>3800</v>
      </c>
      <c r="F2975" s="20" t="s">
        <v>26</v>
      </c>
      <c r="G2975" s="53">
        <f t="shared" si="47"/>
        <v>-1.2135479223102887</v>
      </c>
      <c r="H2975" s="35"/>
      <c r="P2975" s="6"/>
    </row>
    <row r="2976" spans="1:16" ht="14.4" x14ac:dyDescent="0.25">
      <c r="A2976" s="6">
        <v>772</v>
      </c>
      <c r="B2976" s="6">
        <v>5510</v>
      </c>
      <c r="C2976" s="19">
        <v>40185</v>
      </c>
      <c r="D2976" s="6" t="s">
        <v>16</v>
      </c>
      <c r="E2976" s="6">
        <f>IF((ISBLANK($B$1)),"",Sheet1!Q2984)</f>
        <v>4000</v>
      </c>
      <c r="F2976" s="20" t="s">
        <v>26</v>
      </c>
      <c r="G2976" s="53">
        <f t="shared" si="47"/>
        <v>-0.93735706776838001</v>
      </c>
      <c r="H2976" s="35"/>
      <c r="P2976" s="6"/>
    </row>
    <row r="2977" spans="1:16" ht="14.4" x14ac:dyDescent="0.25">
      <c r="A2977" s="6">
        <v>886</v>
      </c>
      <c r="B2977" s="6">
        <v>6369</v>
      </c>
      <c r="C2977" s="19">
        <v>40166</v>
      </c>
      <c r="D2977" s="6" t="s">
        <v>17</v>
      </c>
      <c r="E2977" s="6">
        <f>IF((ISBLANK($B$1)),"",Sheet1!Q2985)</f>
        <v>4900</v>
      </c>
      <c r="F2977" s="20" t="s">
        <v>29</v>
      </c>
      <c r="G2977" s="53">
        <f t="shared" si="47"/>
        <v>0.30550177767020903</v>
      </c>
      <c r="H2977" s="35"/>
      <c r="P2977" s="6"/>
    </row>
    <row r="2978" spans="1:16" ht="14.4" x14ac:dyDescent="0.25">
      <c r="A2978" s="6">
        <v>887</v>
      </c>
      <c r="B2978" s="6">
        <v>6373</v>
      </c>
      <c r="C2978" s="19">
        <v>40931</v>
      </c>
      <c r="D2978" s="6" t="s">
        <v>28</v>
      </c>
      <c r="E2978" s="6">
        <f>IF((ISBLANK($B$1)),"",Sheet1!Q2986)</f>
        <v>3450</v>
      </c>
      <c r="F2978" s="20" t="s">
        <v>26</v>
      </c>
      <c r="G2978" s="53">
        <f t="shared" si="47"/>
        <v>-1.696881917758629</v>
      </c>
      <c r="H2978" s="35"/>
      <c r="P2978" s="6"/>
    </row>
    <row r="2979" spans="1:16" ht="14.4" x14ac:dyDescent="0.25">
      <c r="A2979" s="6">
        <v>900</v>
      </c>
      <c r="B2979" s="6">
        <v>6465</v>
      </c>
      <c r="C2979" s="19">
        <v>40767</v>
      </c>
      <c r="D2979" s="6" t="s">
        <v>25</v>
      </c>
      <c r="E2979" s="6">
        <f>IF((ISBLANK($B$1)),"",Sheet1!Q2987)</f>
        <v>5200</v>
      </c>
      <c r="F2979" s="20" t="s">
        <v>26</v>
      </c>
      <c r="G2979" s="53">
        <f t="shared" si="47"/>
        <v>0.71978805948307201</v>
      </c>
      <c r="H2979" s="35"/>
      <c r="P2979" s="6"/>
    </row>
    <row r="2980" spans="1:16" ht="14.4" x14ac:dyDescent="0.25">
      <c r="A2980" s="6">
        <v>953</v>
      </c>
      <c r="B2980" s="6">
        <v>6885</v>
      </c>
      <c r="C2980" s="19">
        <v>41079</v>
      </c>
      <c r="D2980" s="6" t="s">
        <v>25</v>
      </c>
      <c r="E2980" s="6">
        <f>IF((ISBLANK($B$1)),"",Sheet1!Q2988)</f>
        <v>5400</v>
      </c>
      <c r="F2980" s="20" t="s">
        <v>27</v>
      </c>
      <c r="G2980" s="53">
        <f t="shared" si="47"/>
        <v>0.99597891402498073</v>
      </c>
      <c r="H2980" s="35"/>
      <c r="P2980" s="6"/>
    </row>
    <row r="2981" spans="1:16" ht="14.4" x14ac:dyDescent="0.25">
      <c r="A2981" s="6">
        <v>1004</v>
      </c>
      <c r="B2981" s="6">
        <v>7297</v>
      </c>
      <c r="C2981" s="19">
        <v>40070</v>
      </c>
      <c r="D2981" s="6" t="s">
        <v>17</v>
      </c>
      <c r="E2981" s="6">
        <f>IF((ISBLANK($B$1)),"",Sheet1!Q2989)</f>
        <v>3600</v>
      </c>
      <c r="F2981" s="20" t="s">
        <v>29</v>
      </c>
      <c r="G2981" s="53">
        <f t="shared" si="47"/>
        <v>-1.4897387768521975</v>
      </c>
      <c r="H2981" s="35"/>
      <c r="P2981" s="6"/>
    </row>
    <row r="2982" spans="1:16" ht="14.4" x14ac:dyDescent="0.25">
      <c r="A2982" s="6">
        <v>1009</v>
      </c>
      <c r="B2982" s="6">
        <v>7367</v>
      </c>
      <c r="C2982" s="19">
        <v>40699</v>
      </c>
      <c r="D2982" s="6" t="s">
        <v>25</v>
      </c>
      <c r="E2982" s="6">
        <f>IF((ISBLANK($B$1)),"",Sheet1!Q2990)</f>
        <v>5800</v>
      </c>
      <c r="F2982" s="20" t="s">
        <v>26</v>
      </c>
      <c r="G2982" s="53">
        <f t="shared" si="47"/>
        <v>1.5483606231087981</v>
      </c>
      <c r="H2982" s="35"/>
      <c r="P2982" s="6"/>
    </row>
    <row r="2983" spans="1:16" ht="14.4" x14ac:dyDescent="0.25">
      <c r="A2983" s="6">
        <v>1051</v>
      </c>
      <c r="B2983" s="6">
        <v>7751</v>
      </c>
      <c r="C2983" s="19">
        <v>41266</v>
      </c>
      <c r="D2983" s="6" t="s">
        <v>28</v>
      </c>
      <c r="E2983" s="6">
        <f>IF((ISBLANK($B$1)),"",Sheet1!Q2991)</f>
        <v>5650</v>
      </c>
      <c r="F2983" s="20" t="s">
        <v>29</v>
      </c>
      <c r="G2983" s="53">
        <f t="shared" si="47"/>
        <v>1.3412174822023666</v>
      </c>
      <c r="H2983" s="35"/>
      <c r="P2983" s="6"/>
    </row>
    <row r="2984" spans="1:16" ht="14.4" x14ac:dyDescent="0.25">
      <c r="A2984" s="6">
        <v>1159</v>
      </c>
      <c r="B2984" s="6">
        <v>8422</v>
      </c>
      <c r="C2984" s="19">
        <v>39917</v>
      </c>
      <c r="D2984" s="6" t="s">
        <v>16</v>
      </c>
      <c r="E2984" s="6">
        <f>IF((ISBLANK($B$1)),"",Sheet1!Q2992)</f>
        <v>4300</v>
      </c>
      <c r="F2984" s="20" t="s">
        <v>29</v>
      </c>
      <c r="G2984" s="53">
        <f t="shared" si="47"/>
        <v>-0.52307078595551704</v>
      </c>
      <c r="H2984" s="35"/>
      <c r="P2984" s="6"/>
    </row>
    <row r="2985" spans="1:16" ht="14.4" x14ac:dyDescent="0.25">
      <c r="A2985" s="6">
        <v>1244</v>
      </c>
      <c r="B2985" s="6">
        <v>9062</v>
      </c>
      <c r="C2985" s="19">
        <v>40622</v>
      </c>
      <c r="D2985" s="6" t="s">
        <v>17</v>
      </c>
      <c r="E2985" s="6">
        <f>IF((ISBLANK($B$1)),"",Sheet1!Q2993)</f>
        <v>5000</v>
      </c>
      <c r="F2985" s="20" t="s">
        <v>26</v>
      </c>
      <c r="G2985" s="53">
        <f t="shared" si="47"/>
        <v>0.44359720494116334</v>
      </c>
      <c r="H2985" s="35"/>
      <c r="P2985" s="6"/>
    </row>
    <row r="2986" spans="1:16" ht="14.4" x14ac:dyDescent="0.25">
      <c r="A2986" s="6">
        <v>1403</v>
      </c>
      <c r="B2986" s="6">
        <v>10209</v>
      </c>
      <c r="C2986" s="19">
        <v>40511</v>
      </c>
      <c r="D2986" s="6" t="s">
        <v>16</v>
      </c>
      <c r="E2986" s="6">
        <f>IF((ISBLANK($B$1)),"",Sheet1!Q2994)</f>
        <v>5800</v>
      </c>
      <c r="F2986" s="20" t="s">
        <v>26</v>
      </c>
      <c r="G2986" s="53">
        <f t="shared" si="47"/>
        <v>1.5483606231087981</v>
      </c>
      <c r="H2986" s="35"/>
      <c r="P2986" s="6"/>
    </row>
    <row r="2987" spans="1:16" ht="14.4" x14ac:dyDescent="0.25">
      <c r="A2987" s="6">
        <v>1412</v>
      </c>
      <c r="B2987" s="6">
        <v>10245</v>
      </c>
      <c r="C2987" s="19">
        <v>40587</v>
      </c>
      <c r="D2987" s="6" t="s">
        <v>16</v>
      </c>
      <c r="E2987" s="6">
        <f>IF((ISBLANK($B$1)),"",Sheet1!Q2995)</f>
        <v>4550</v>
      </c>
      <c r="F2987" s="20" t="s">
        <v>26</v>
      </c>
      <c r="G2987" s="53">
        <f t="shared" si="47"/>
        <v>-0.17783221777813119</v>
      </c>
      <c r="H2987" s="35"/>
      <c r="P2987" s="6"/>
    </row>
    <row r="2988" spans="1:16" ht="14.4" x14ac:dyDescent="0.25">
      <c r="A2988" s="6">
        <v>1525</v>
      </c>
      <c r="B2988" s="6">
        <v>11008</v>
      </c>
      <c r="C2988" s="19">
        <v>39868</v>
      </c>
      <c r="D2988" s="6" t="s">
        <v>30</v>
      </c>
      <c r="E2988" s="6">
        <f>IF((ISBLANK($B$1)),"",Sheet1!Q2996)</f>
        <v>4250</v>
      </c>
      <c r="F2988" s="20" t="s">
        <v>26</v>
      </c>
      <c r="G2988" s="53">
        <f t="shared" si="47"/>
        <v>-0.59211849959099416</v>
      </c>
      <c r="H2988" s="35"/>
      <c r="P2988" s="6"/>
    </row>
    <row r="2989" spans="1:16" ht="14.4" x14ac:dyDescent="0.25">
      <c r="A2989" s="6">
        <v>1600</v>
      </c>
      <c r="B2989" s="6">
        <v>11585</v>
      </c>
      <c r="C2989" s="19">
        <v>39887</v>
      </c>
      <c r="D2989" s="6" t="s">
        <v>16</v>
      </c>
      <c r="E2989" s="6">
        <f>IF((ISBLANK($B$1)),"",Sheet1!Q2997)</f>
        <v>4250</v>
      </c>
      <c r="F2989" s="20" t="s">
        <v>27</v>
      </c>
      <c r="G2989" s="53">
        <f t="shared" si="47"/>
        <v>-0.59211849959099416</v>
      </c>
      <c r="H2989" s="35"/>
      <c r="P2989" s="6"/>
    </row>
    <row r="2990" spans="1:16" ht="14.4" x14ac:dyDescent="0.25">
      <c r="A2990" s="6">
        <v>1870</v>
      </c>
      <c r="B2990" s="6">
        <v>13472</v>
      </c>
      <c r="C2990" s="19">
        <v>40842</v>
      </c>
      <c r="D2990" s="6" t="s">
        <v>30</v>
      </c>
      <c r="E2990" s="6">
        <f>IF((ISBLANK($B$1)),"",Sheet1!Q2998)</f>
        <v>4700</v>
      </c>
      <c r="F2990" s="20" t="s">
        <v>26</v>
      </c>
      <c r="G2990" s="53">
        <f t="shared" si="47"/>
        <v>2.9310923128300338E-2</v>
      </c>
      <c r="H2990" s="35"/>
      <c r="P2990" s="6"/>
    </row>
    <row r="2991" spans="1:16" ht="14.4" x14ac:dyDescent="0.25">
      <c r="A2991" s="6">
        <v>1973</v>
      </c>
      <c r="B2991" s="6">
        <v>14114</v>
      </c>
      <c r="C2991" s="19">
        <v>39909</v>
      </c>
      <c r="D2991" s="6" t="s">
        <v>30</v>
      </c>
      <c r="E2991" s="6">
        <f>IF((ISBLANK($B$1)),"",Sheet1!Q2999)</f>
        <v>4850</v>
      </c>
      <c r="F2991" s="20" t="s">
        <v>26</v>
      </c>
      <c r="G2991" s="53">
        <f t="shared" si="47"/>
        <v>0.23645406403473185</v>
      </c>
      <c r="H2991" s="35"/>
      <c r="P2991" s="6"/>
    </row>
    <row r="2992" spans="1:16" ht="14.4" x14ac:dyDescent="0.25">
      <c r="A2992" s="6">
        <v>2060</v>
      </c>
      <c r="B2992" s="6">
        <v>14727</v>
      </c>
      <c r="C2992" s="19">
        <v>41109</v>
      </c>
      <c r="D2992" s="6" t="s">
        <v>16</v>
      </c>
      <c r="E2992" s="6">
        <f>IF((ISBLANK($B$1)),"",Sheet1!Q3000)</f>
        <v>5050</v>
      </c>
      <c r="F2992" s="20" t="s">
        <v>26</v>
      </c>
      <c r="G2992" s="53">
        <f t="shared" si="47"/>
        <v>0.51264491857664052</v>
      </c>
      <c r="H2992" s="35"/>
      <c r="P2992" s="6"/>
    </row>
    <row r="2993" spans="1:16" ht="14.4" x14ac:dyDescent="0.25">
      <c r="A2993" s="6">
        <v>2153</v>
      </c>
      <c r="B2993" s="6">
        <v>15399</v>
      </c>
      <c r="C2993" s="19">
        <v>41042</v>
      </c>
      <c r="D2993" s="6" t="s">
        <v>30</v>
      </c>
      <c r="E2993" s="6">
        <f>IF((ISBLANK($B$1)),"",Sheet1!Q3001)</f>
        <v>5700</v>
      </c>
      <c r="F2993" s="20" t="s">
        <v>27</v>
      </c>
      <c r="G2993" s="53">
        <f t="shared" si="47"/>
        <v>1.4102651958378438</v>
      </c>
      <c r="H2993" s="35"/>
      <c r="P2993" s="6"/>
    </row>
    <row r="2994" spans="1:16" ht="14.4" x14ac:dyDescent="0.25">
      <c r="A2994" s="6">
        <v>2168</v>
      </c>
      <c r="B2994" s="6">
        <v>15619</v>
      </c>
      <c r="C2994" s="19">
        <v>40722</v>
      </c>
      <c r="D2994" s="6" t="s">
        <v>25</v>
      </c>
      <c r="E2994" s="6">
        <f>IF((ISBLANK($B$1)),"",Sheet1!Q3002)</f>
        <v>3850</v>
      </c>
      <c r="F2994" s="20" t="s">
        <v>29</v>
      </c>
      <c r="G2994" s="53">
        <f t="shared" si="47"/>
        <v>-1.1445002086748115</v>
      </c>
      <c r="H2994" s="35"/>
      <c r="P2994" s="6"/>
    </row>
    <row r="2995" spans="1:16" ht="14.4" x14ac:dyDescent="0.25">
      <c r="A2995" s="6">
        <v>2248</v>
      </c>
      <c r="B2995" s="6">
        <v>16194</v>
      </c>
      <c r="C2995" s="19">
        <v>40458</v>
      </c>
      <c r="D2995" s="6" t="s">
        <v>28</v>
      </c>
      <c r="E2995" s="6">
        <f>IF((ISBLANK($B$1)),"",Sheet1!Q3003)</f>
        <v>4600</v>
      </c>
      <c r="F2995" s="20" t="s">
        <v>27</v>
      </c>
      <c r="G2995" s="53">
        <f t="shared" si="47"/>
        <v>-0.108784504142654</v>
      </c>
      <c r="H2995" s="35"/>
      <c r="P2995" s="6"/>
    </row>
    <row r="2996" spans="1:16" ht="14.4" x14ac:dyDescent="0.25">
      <c r="A2996" s="6">
        <v>2255</v>
      </c>
      <c r="B2996" s="6">
        <v>16229</v>
      </c>
      <c r="C2996" s="19">
        <v>39901</v>
      </c>
      <c r="D2996" s="6" t="s">
        <v>17</v>
      </c>
      <c r="E2996" s="6">
        <f>IF((ISBLANK($B$1)),"",Sheet1!Q3004)</f>
        <v>4350</v>
      </c>
      <c r="F2996" s="20" t="s">
        <v>27</v>
      </c>
      <c r="G2996" s="53">
        <f t="shared" si="47"/>
        <v>-0.45402307232003986</v>
      </c>
      <c r="H2996" s="35"/>
      <c r="P2996" s="6"/>
    </row>
    <row r="2997" spans="1:16" ht="14.4" x14ac:dyDescent="0.25">
      <c r="A2997" s="6">
        <v>2260</v>
      </c>
      <c r="B2997" s="6">
        <v>16231</v>
      </c>
      <c r="C2997" s="19">
        <v>41156</v>
      </c>
      <c r="D2997" s="6" t="s">
        <v>25</v>
      </c>
      <c r="E2997" s="6">
        <f>IF((ISBLANK($B$1)),"",Sheet1!Q3005)</f>
        <v>4400</v>
      </c>
      <c r="F2997" s="20" t="s">
        <v>29</v>
      </c>
      <c r="G2997" s="53">
        <f t="shared" si="47"/>
        <v>-0.38497535868456267</v>
      </c>
      <c r="H2997" s="35"/>
      <c r="P2997" s="6"/>
    </row>
    <row r="2998" spans="1:16" ht="14.4" x14ac:dyDescent="0.25">
      <c r="A2998" s="6">
        <v>2312</v>
      </c>
      <c r="B2998" s="6">
        <v>16674</v>
      </c>
      <c r="C2998" s="19">
        <v>40662</v>
      </c>
      <c r="D2998" s="6" t="s">
        <v>25</v>
      </c>
      <c r="E2998" s="6">
        <f>IF((ISBLANK($B$1)),"",Sheet1!Q3006)</f>
        <v>5850</v>
      </c>
      <c r="F2998" s="20" t="s">
        <v>26</v>
      </c>
      <c r="G2998" s="53">
        <f t="shared" si="47"/>
        <v>1.6174083367442753</v>
      </c>
      <c r="H2998" s="35"/>
      <c r="P2998" s="6"/>
    </row>
    <row r="2999" spans="1:16" ht="14.4" x14ac:dyDescent="0.25">
      <c r="A2999" s="6">
        <v>2313</v>
      </c>
      <c r="B2999" s="6">
        <v>16674</v>
      </c>
      <c r="C2999" s="19">
        <v>40662</v>
      </c>
      <c r="D2999" s="6" t="s">
        <v>25</v>
      </c>
      <c r="E2999" s="6">
        <f>IF((ISBLANK($B$1)),"",Sheet1!Q3007)</f>
        <v>5350</v>
      </c>
      <c r="F2999" s="20" t="s">
        <v>29</v>
      </c>
      <c r="G2999" s="53">
        <f t="shared" si="47"/>
        <v>0.92693120038950361</v>
      </c>
      <c r="H2999" s="35"/>
      <c r="P2999" s="6"/>
    </row>
    <row r="3000" spans="1:16" ht="14.4" x14ac:dyDescent="0.25">
      <c r="A3000" s="6">
        <v>2320</v>
      </c>
      <c r="B3000" s="6">
        <v>16710</v>
      </c>
      <c r="C3000" s="19">
        <v>40657</v>
      </c>
      <c r="D3000" s="6" t="s">
        <v>17</v>
      </c>
      <c r="E3000" s="6">
        <f>IF((ISBLANK($B$1)),"",Sheet1!Q3008)</f>
        <v>5750</v>
      </c>
      <c r="F3000" s="20" t="s">
        <v>27</v>
      </c>
      <c r="G3000" s="53">
        <f t="shared" si="47"/>
        <v>1.4793129094733208</v>
      </c>
      <c r="H3000" s="35"/>
      <c r="P3000" s="6"/>
    </row>
    <row r="3001" spans="1:16" ht="14.4" x14ac:dyDescent="0.25">
      <c r="A3001" s="6">
        <v>2401</v>
      </c>
      <c r="B3001" s="6">
        <v>17408</v>
      </c>
      <c r="C3001" s="19">
        <v>39960</v>
      </c>
      <c r="D3001" s="6" t="s">
        <v>28</v>
      </c>
      <c r="E3001" s="6">
        <f>IF((ISBLANK($B$1)),"",Sheet1!Q3009)</f>
        <v>5450</v>
      </c>
      <c r="F3001" s="20" t="s">
        <v>27</v>
      </c>
      <c r="G3001" s="53">
        <f t="shared" si="47"/>
        <v>1.0650266276604579</v>
      </c>
      <c r="H3001" s="35"/>
      <c r="P3001" s="6"/>
    </row>
    <row r="3002" spans="1:16" ht="14.4" x14ac:dyDescent="0.25">
      <c r="A3002" s="6">
        <v>2437</v>
      </c>
      <c r="B3002" s="6">
        <v>17698</v>
      </c>
      <c r="C3002" s="19">
        <v>41042</v>
      </c>
      <c r="D3002" s="6" t="s">
        <v>17</v>
      </c>
      <c r="E3002" s="6">
        <f>IF((ISBLANK($B$1)),"",Sheet1!Q3010)</f>
        <v>4500</v>
      </c>
      <c r="F3002" s="20" t="s">
        <v>27</v>
      </c>
      <c r="G3002" s="53">
        <f t="shared" si="47"/>
        <v>-0.24687993141360834</v>
      </c>
      <c r="H3002" s="35"/>
      <c r="P3002" s="6"/>
    </row>
    <row r="3003" spans="1:16" ht="14.4" x14ac:dyDescent="0.25">
      <c r="A3003" s="6">
        <v>2438</v>
      </c>
      <c r="B3003" s="6">
        <v>17698</v>
      </c>
      <c r="C3003" s="19">
        <v>41042</v>
      </c>
      <c r="D3003" s="6" t="s">
        <v>17</v>
      </c>
      <c r="E3003" s="6">
        <f>IF((ISBLANK($B$1)),"",Sheet1!Q3011)</f>
        <v>5400</v>
      </c>
      <c r="F3003" s="20" t="s">
        <v>26</v>
      </c>
      <c r="G3003" s="53">
        <f t="shared" si="47"/>
        <v>0.99597891402498073</v>
      </c>
      <c r="H3003" s="35"/>
      <c r="P3003" s="6"/>
    </row>
    <row r="3004" spans="1:16" ht="14.4" x14ac:dyDescent="0.25">
      <c r="A3004" s="6">
        <v>2570</v>
      </c>
      <c r="B3004" s="6">
        <v>18534</v>
      </c>
      <c r="C3004" s="19">
        <v>40907</v>
      </c>
      <c r="D3004" s="6" t="s">
        <v>25</v>
      </c>
      <c r="E3004" s="6">
        <f>IF((ISBLANK($B$1)),"",Sheet1!Q3012)</f>
        <v>5200</v>
      </c>
      <c r="F3004" s="20" t="s">
        <v>27</v>
      </c>
      <c r="G3004" s="53">
        <f t="shared" si="47"/>
        <v>0.71978805948307201</v>
      </c>
      <c r="H3004" s="35"/>
      <c r="P3004" s="6"/>
    </row>
    <row r="3005" spans="1:16" ht="14.4" x14ac:dyDescent="0.25">
      <c r="A3005" s="6">
        <v>2622</v>
      </c>
      <c r="B3005" s="6">
        <v>18951</v>
      </c>
      <c r="C3005" s="19">
        <v>40723</v>
      </c>
      <c r="D3005" s="6" t="s">
        <v>30</v>
      </c>
      <c r="E3005" s="6">
        <f>IF((ISBLANK($B$1)),"",Sheet1!Q3013)</f>
        <v>4200</v>
      </c>
      <c r="F3005" s="20" t="s">
        <v>26</v>
      </c>
      <c r="G3005" s="53">
        <f t="shared" si="47"/>
        <v>-0.6611662132264714</v>
      </c>
      <c r="H3005" s="35"/>
      <c r="P3005" s="6"/>
    </row>
    <row r="3006" spans="1:16" ht="14.4" x14ac:dyDescent="0.25">
      <c r="A3006" s="6">
        <v>2623</v>
      </c>
      <c r="B3006" s="6">
        <v>18951</v>
      </c>
      <c r="C3006" s="19">
        <v>40723</v>
      </c>
      <c r="D3006" s="6" t="s">
        <v>30</v>
      </c>
      <c r="E3006" s="6">
        <f>IF((ISBLANK($B$1)),"",Sheet1!Q3014)</f>
        <v>3900</v>
      </c>
      <c r="F3006" s="20" t="s">
        <v>27</v>
      </c>
      <c r="G3006" s="53">
        <f t="shared" si="47"/>
        <v>-1.0754524950393345</v>
      </c>
      <c r="H3006" s="35"/>
      <c r="P3006" s="6"/>
    </row>
    <row r="3007" spans="1:16" ht="14.4" x14ac:dyDescent="0.25">
      <c r="A3007" s="6">
        <v>2648</v>
      </c>
      <c r="B3007" s="6">
        <v>19174</v>
      </c>
      <c r="C3007" s="19">
        <v>40375</v>
      </c>
      <c r="D3007" s="6" t="s">
        <v>16</v>
      </c>
      <c r="E3007" s="6">
        <f>IF((ISBLANK($B$1)),"",Sheet1!Q3015)</f>
        <v>5850</v>
      </c>
      <c r="F3007" s="20" t="s">
        <v>26</v>
      </c>
      <c r="G3007" s="53">
        <f t="shared" si="47"/>
        <v>1.6174083367442753</v>
      </c>
      <c r="H3007" s="35"/>
      <c r="P3007" s="6"/>
    </row>
    <row r="3008" spans="1:16" ht="14.4" x14ac:dyDescent="0.25">
      <c r="A3008" s="6">
        <v>2785</v>
      </c>
      <c r="B3008" s="6">
        <v>20098</v>
      </c>
      <c r="C3008" s="19">
        <v>40885</v>
      </c>
      <c r="D3008" s="6" t="s">
        <v>16</v>
      </c>
      <c r="E3008" s="6">
        <f>IF((ISBLANK($B$1)),"",Sheet1!Q3016)</f>
        <v>3800</v>
      </c>
      <c r="F3008" s="20" t="s">
        <v>29</v>
      </c>
      <c r="G3008" s="53">
        <f t="shared" si="47"/>
        <v>-1.2135479223102887</v>
      </c>
      <c r="H3008" s="35"/>
      <c r="P3008" s="6"/>
    </row>
    <row r="3009" spans="1:16" ht="14.4" x14ac:dyDescent="0.25">
      <c r="A3009" s="6">
        <v>2942</v>
      </c>
      <c r="B3009" s="6">
        <v>21319</v>
      </c>
      <c r="C3009" s="19">
        <v>40297</v>
      </c>
      <c r="D3009" s="6" t="s">
        <v>16</v>
      </c>
      <c r="E3009" s="6">
        <f>IF((ISBLANK($B$1)),"",Sheet1!Q3017)</f>
        <v>3950</v>
      </c>
      <c r="F3009" s="20" t="s">
        <v>26</v>
      </c>
      <c r="G3009" s="53">
        <f t="shared" si="47"/>
        <v>-1.0064047814038573</v>
      </c>
      <c r="H3009" s="35"/>
      <c r="P3009" s="6"/>
    </row>
    <row r="3010" spans="1:16" ht="14.4" x14ac:dyDescent="0.25">
      <c r="A3010" s="6">
        <v>2944</v>
      </c>
      <c r="B3010" s="6">
        <v>21319</v>
      </c>
      <c r="C3010" s="19">
        <v>40297</v>
      </c>
      <c r="D3010" s="6" t="s">
        <v>16</v>
      </c>
      <c r="E3010" s="6">
        <f>IF((ISBLANK($B$1)),"",Sheet1!Q3018)</f>
        <v>5500</v>
      </c>
      <c r="F3010" s="20" t="s">
        <v>29</v>
      </c>
      <c r="G3010" s="53">
        <f t="shared" si="47"/>
        <v>1.1340743412959351</v>
      </c>
      <c r="H3010" s="35"/>
      <c r="P3010" s="6"/>
    </row>
    <row r="3011" spans="1:16" ht="14.4" x14ac:dyDescent="0.25">
      <c r="A3011" s="6">
        <v>3081</v>
      </c>
      <c r="B3011" s="6">
        <v>22115</v>
      </c>
      <c r="C3011" s="19">
        <v>40344</v>
      </c>
      <c r="D3011" s="6" t="s">
        <v>25</v>
      </c>
      <c r="E3011" s="6">
        <f>IF((ISBLANK($B$1)),"",Sheet1!Q3019)</f>
        <v>3650</v>
      </c>
      <c r="F3011" s="20" t="s">
        <v>27</v>
      </c>
      <c r="G3011" s="53">
        <f t="shared" si="47"/>
        <v>-1.4206910632167202</v>
      </c>
      <c r="H3011" s="35"/>
      <c r="P3011" s="6"/>
    </row>
    <row r="3012" spans="1:16" ht="14.4" x14ac:dyDescent="0.25">
      <c r="A3012" s="6">
        <v>3088</v>
      </c>
      <c r="B3012" s="6">
        <v>22149</v>
      </c>
      <c r="C3012" s="19">
        <v>40809</v>
      </c>
      <c r="D3012" s="6" t="s">
        <v>25</v>
      </c>
      <c r="E3012" s="6">
        <f>IF((ISBLANK($B$1)),"",Sheet1!Q3020)</f>
        <v>4250</v>
      </c>
      <c r="F3012" s="20" t="s">
        <v>26</v>
      </c>
      <c r="G3012" s="53">
        <f t="shared" si="47"/>
        <v>-0.59211849959099416</v>
      </c>
      <c r="H3012" s="35"/>
      <c r="P3012" s="6"/>
    </row>
    <row r="3013" spans="1:16" ht="14.4" x14ac:dyDescent="0.25">
      <c r="A3013" s="6">
        <v>3108</v>
      </c>
      <c r="B3013" s="6">
        <v>22338</v>
      </c>
      <c r="C3013" s="19">
        <v>40312</v>
      </c>
      <c r="D3013" s="6" t="s">
        <v>16</v>
      </c>
      <c r="E3013" s="6">
        <f>IF((ISBLANK($B$1)),"",Sheet1!Q3021)</f>
        <v>5200</v>
      </c>
      <c r="F3013" s="20" t="s">
        <v>26</v>
      </c>
      <c r="G3013" s="53">
        <f t="shared" si="47"/>
        <v>0.71978805948307201</v>
      </c>
      <c r="H3013" s="35"/>
      <c r="P3013" s="6"/>
    </row>
    <row r="3014" spans="1:16" ht="14.4" x14ac:dyDescent="0.25">
      <c r="A3014" s="6">
        <v>3151</v>
      </c>
      <c r="B3014" s="6">
        <v>22627</v>
      </c>
      <c r="C3014" s="19">
        <v>40271</v>
      </c>
      <c r="D3014" s="6" t="s">
        <v>25</v>
      </c>
      <c r="E3014" s="6">
        <f>IF((ISBLANK($B$1)),"",Sheet1!Q3022)</f>
        <v>5050</v>
      </c>
      <c r="F3014" s="20" t="s">
        <v>29</v>
      </c>
      <c r="G3014" s="53">
        <f t="shared" si="47"/>
        <v>0.51264491857664052</v>
      </c>
      <c r="H3014" s="35"/>
      <c r="P3014" s="6"/>
    </row>
    <row r="3015" spans="1:16" ht="14.4" x14ac:dyDescent="0.25">
      <c r="A3015" s="6">
        <v>3175</v>
      </c>
      <c r="B3015" s="6">
        <v>22820</v>
      </c>
      <c r="C3015" s="19">
        <v>40407</v>
      </c>
      <c r="D3015" s="6" t="s">
        <v>17</v>
      </c>
      <c r="E3015" s="6">
        <f>IF((ISBLANK($B$1)),"",Sheet1!Q3023)</f>
        <v>4300</v>
      </c>
      <c r="F3015" s="20" t="s">
        <v>26</v>
      </c>
      <c r="G3015" s="53">
        <f t="shared" si="47"/>
        <v>-0.52307078595551704</v>
      </c>
      <c r="H3015" s="35"/>
      <c r="P3015" s="6"/>
    </row>
    <row r="3016" spans="1:16" ht="14.4" x14ac:dyDescent="0.25">
      <c r="A3016" s="6">
        <v>3187</v>
      </c>
      <c r="B3016" s="6">
        <v>22880</v>
      </c>
      <c r="C3016" s="19">
        <v>40328</v>
      </c>
      <c r="D3016" s="6" t="s">
        <v>16</v>
      </c>
      <c r="E3016" s="6">
        <f>IF((ISBLANK($B$1)),"",Sheet1!Q3024)</f>
        <v>4050</v>
      </c>
      <c r="F3016" s="20" t="s">
        <v>27</v>
      </c>
      <c r="G3016" s="53">
        <f t="shared" ref="G3016:G3079" si="48">STANDARDIZE(E3016,$L$26,$L$35)</f>
        <v>-0.86830935413290289</v>
      </c>
      <c r="H3016" s="35"/>
      <c r="P3016" s="6"/>
    </row>
    <row r="3017" spans="1:16" ht="14.4" x14ac:dyDescent="0.25">
      <c r="A3017" s="6">
        <v>3217</v>
      </c>
      <c r="B3017" s="6">
        <v>23078</v>
      </c>
      <c r="C3017" s="19">
        <v>40801</v>
      </c>
      <c r="D3017" s="6" t="s">
        <v>16</v>
      </c>
      <c r="E3017" s="6">
        <f>IF((ISBLANK($B$1)),"",Sheet1!Q3025)</f>
        <v>5350</v>
      </c>
      <c r="F3017" s="20" t="s">
        <v>26</v>
      </c>
      <c r="G3017" s="53">
        <f t="shared" si="48"/>
        <v>0.92693120038950361</v>
      </c>
      <c r="H3017" s="35"/>
      <c r="P3017" s="6"/>
    </row>
    <row r="3018" spans="1:16" ht="14.4" x14ac:dyDescent="0.25">
      <c r="A3018" s="6">
        <v>3246</v>
      </c>
      <c r="B3018" s="6">
        <v>23268</v>
      </c>
      <c r="C3018" s="19">
        <v>40924</v>
      </c>
      <c r="D3018" s="6" t="s">
        <v>17</v>
      </c>
      <c r="E3018" s="6">
        <f>IF((ISBLANK($B$1)),"",Sheet1!Q3026)</f>
        <v>3650</v>
      </c>
      <c r="F3018" s="20" t="s">
        <v>26</v>
      </c>
      <c r="G3018" s="53">
        <f t="shared" si="48"/>
        <v>-1.4206910632167202</v>
      </c>
      <c r="H3018" s="35"/>
      <c r="P3018" s="6"/>
    </row>
    <row r="3019" spans="1:16" ht="14.4" x14ac:dyDescent="0.25">
      <c r="A3019" s="6">
        <v>3354</v>
      </c>
      <c r="B3019" s="6">
        <v>24003</v>
      </c>
      <c r="C3019" s="19">
        <v>40117</v>
      </c>
      <c r="D3019" s="6" t="s">
        <v>30</v>
      </c>
      <c r="E3019" s="6">
        <f>IF((ISBLANK($B$1)),"",Sheet1!Q3027)</f>
        <v>3600</v>
      </c>
      <c r="F3019" s="20" t="s">
        <v>27</v>
      </c>
      <c r="G3019" s="53">
        <f t="shared" si="48"/>
        <v>-1.4897387768521975</v>
      </c>
      <c r="H3019" s="35"/>
      <c r="P3019" s="6"/>
    </row>
    <row r="3020" spans="1:16" ht="14.4" x14ac:dyDescent="0.25">
      <c r="A3020" s="6">
        <v>3379</v>
      </c>
      <c r="B3020" s="6">
        <v>24102</v>
      </c>
      <c r="C3020" s="19">
        <v>40512</v>
      </c>
      <c r="D3020" s="6" t="s">
        <v>30</v>
      </c>
      <c r="E3020" s="6">
        <f>IF((ISBLANK($B$1)),"",Sheet1!Q3028)</f>
        <v>5900</v>
      </c>
      <c r="F3020" s="20" t="s">
        <v>26</v>
      </c>
      <c r="G3020" s="53">
        <f t="shared" si="48"/>
        <v>1.6864560503797523</v>
      </c>
      <c r="H3020" s="35"/>
      <c r="P3020" s="6"/>
    </row>
    <row r="3021" spans="1:16" ht="14.4" x14ac:dyDescent="0.25">
      <c r="A3021" s="6">
        <v>3423</v>
      </c>
      <c r="B3021" s="6">
        <v>24422</v>
      </c>
      <c r="C3021" s="19">
        <v>40906</v>
      </c>
      <c r="D3021" s="6" t="s">
        <v>30</v>
      </c>
      <c r="E3021" s="6">
        <f>IF((ISBLANK($B$1)),"",Sheet1!Q3029)</f>
        <v>4400</v>
      </c>
      <c r="F3021" s="20" t="s">
        <v>29</v>
      </c>
      <c r="G3021" s="53">
        <f t="shared" si="48"/>
        <v>-0.38497535868456267</v>
      </c>
      <c r="H3021" s="35"/>
      <c r="P3021" s="6"/>
    </row>
    <row r="3022" spans="1:16" ht="14.4" x14ac:dyDescent="0.25">
      <c r="A3022" s="6">
        <v>3459</v>
      </c>
      <c r="B3022" s="6">
        <v>24644</v>
      </c>
      <c r="C3022" s="19">
        <v>40022</v>
      </c>
      <c r="D3022" s="6" t="s">
        <v>30</v>
      </c>
      <c r="E3022" s="6">
        <f>IF((ISBLANK($B$1)),"",Sheet1!Q3030)</f>
        <v>5700</v>
      </c>
      <c r="F3022" s="20" t="s">
        <v>29</v>
      </c>
      <c r="G3022" s="53">
        <f t="shared" si="48"/>
        <v>1.4102651958378438</v>
      </c>
      <c r="H3022" s="35"/>
      <c r="P3022" s="6"/>
    </row>
    <row r="3023" spans="1:16" ht="14.4" x14ac:dyDescent="0.25">
      <c r="A3023" s="6">
        <v>3693</v>
      </c>
      <c r="B3023" s="6">
        <v>26401</v>
      </c>
      <c r="C3023" s="19">
        <v>40464</v>
      </c>
      <c r="D3023" s="6" t="s">
        <v>16</v>
      </c>
      <c r="E3023" s="6">
        <f>IF((ISBLANK($B$1)),"",Sheet1!Q3031)</f>
        <v>3450</v>
      </c>
      <c r="F3023" s="20" t="s">
        <v>26</v>
      </c>
      <c r="G3023" s="53">
        <f t="shared" si="48"/>
        <v>-1.696881917758629</v>
      </c>
      <c r="H3023" s="35"/>
      <c r="P3023" s="6"/>
    </row>
    <row r="3024" spans="1:16" ht="14.4" x14ac:dyDescent="0.25">
      <c r="A3024" s="6">
        <v>3918</v>
      </c>
      <c r="B3024" s="6">
        <v>27938</v>
      </c>
      <c r="C3024" s="19">
        <v>39938</v>
      </c>
      <c r="D3024" s="6" t="s">
        <v>16</v>
      </c>
      <c r="E3024" s="6">
        <f>IF((ISBLANK($B$1)),"",Sheet1!Q3032)</f>
        <v>5400</v>
      </c>
      <c r="F3024" s="20" t="s">
        <v>26</v>
      </c>
      <c r="G3024" s="53">
        <f t="shared" si="48"/>
        <v>0.99597891402498073</v>
      </c>
      <c r="H3024" s="35"/>
      <c r="P3024" s="6"/>
    </row>
    <row r="3025" spans="1:16" ht="14.4" x14ac:dyDescent="0.25">
      <c r="A3025" s="6">
        <v>3996</v>
      </c>
      <c r="B3025" s="6">
        <v>28515</v>
      </c>
      <c r="C3025" s="19">
        <v>40359</v>
      </c>
      <c r="D3025" s="6" t="s">
        <v>17</v>
      </c>
      <c r="E3025" s="6">
        <f>IF((ISBLANK($B$1)),"",Sheet1!Q3033)</f>
        <v>5800</v>
      </c>
      <c r="F3025" s="20" t="s">
        <v>27</v>
      </c>
      <c r="G3025" s="53">
        <f t="shared" si="48"/>
        <v>1.5483606231087981</v>
      </c>
      <c r="H3025" s="35"/>
      <c r="P3025" s="6"/>
    </row>
    <row r="3026" spans="1:16" ht="14.4" x14ac:dyDescent="0.25">
      <c r="A3026" s="6">
        <v>4114</v>
      </c>
      <c r="B3026" s="6">
        <v>29280</v>
      </c>
      <c r="C3026" s="19">
        <v>40996</v>
      </c>
      <c r="D3026" s="6" t="s">
        <v>16</v>
      </c>
      <c r="E3026" s="6">
        <f>IF((ISBLANK($B$1)),"",Sheet1!Q3034)</f>
        <v>4900</v>
      </c>
      <c r="F3026" s="20" t="s">
        <v>27</v>
      </c>
      <c r="G3026" s="53">
        <f t="shared" si="48"/>
        <v>0.30550177767020903</v>
      </c>
      <c r="H3026" s="35"/>
      <c r="P3026" s="6"/>
    </row>
    <row r="3027" spans="1:16" ht="14.4" x14ac:dyDescent="0.25">
      <c r="A3027" s="6">
        <v>4127</v>
      </c>
      <c r="B3027" s="6">
        <v>29346</v>
      </c>
      <c r="C3027" s="19">
        <v>40041</v>
      </c>
      <c r="D3027" s="6" t="s">
        <v>25</v>
      </c>
      <c r="E3027" s="6">
        <f>IF((ISBLANK($B$1)),"",Sheet1!Q3035)</f>
        <v>3500</v>
      </c>
      <c r="F3027" s="20" t="s">
        <v>26</v>
      </c>
      <c r="G3027" s="53">
        <f t="shared" si="48"/>
        <v>-1.6278342041231517</v>
      </c>
      <c r="H3027" s="35"/>
      <c r="P3027" s="6"/>
    </row>
    <row r="3028" spans="1:16" ht="14.4" x14ac:dyDescent="0.25">
      <c r="A3028" s="6">
        <v>4129</v>
      </c>
      <c r="B3028" s="6">
        <v>29349</v>
      </c>
      <c r="C3028" s="19">
        <v>40339</v>
      </c>
      <c r="D3028" s="6" t="s">
        <v>17</v>
      </c>
      <c r="E3028" s="6">
        <f>IF((ISBLANK($B$1)),"",Sheet1!Q3036)</f>
        <v>5700</v>
      </c>
      <c r="F3028" s="20" t="s">
        <v>27</v>
      </c>
      <c r="G3028" s="53">
        <f t="shared" si="48"/>
        <v>1.4102651958378438</v>
      </c>
      <c r="H3028" s="35"/>
      <c r="P3028" s="6"/>
    </row>
    <row r="3029" spans="1:16" ht="14.4" x14ac:dyDescent="0.25">
      <c r="A3029" s="6">
        <v>4153</v>
      </c>
      <c r="B3029" s="6">
        <v>29473</v>
      </c>
      <c r="C3029" s="19">
        <v>40954</v>
      </c>
      <c r="D3029" s="6" t="s">
        <v>16</v>
      </c>
      <c r="E3029" s="6">
        <f>IF((ISBLANK($B$1)),"",Sheet1!Q3037)</f>
        <v>4950</v>
      </c>
      <c r="F3029" s="20" t="s">
        <v>27</v>
      </c>
      <c r="G3029" s="53">
        <f t="shared" si="48"/>
        <v>0.37454949130568621</v>
      </c>
      <c r="H3029" s="35"/>
      <c r="P3029" s="6"/>
    </row>
    <row r="3030" spans="1:16" ht="14.4" x14ac:dyDescent="0.25">
      <c r="A3030" s="6">
        <v>4205</v>
      </c>
      <c r="B3030" s="6">
        <v>29893</v>
      </c>
      <c r="C3030" s="19">
        <v>41076</v>
      </c>
      <c r="D3030" s="6" t="s">
        <v>16</v>
      </c>
      <c r="E3030" s="6">
        <f>IF((ISBLANK($B$1)),"",Sheet1!Q3038)</f>
        <v>4600</v>
      </c>
      <c r="F3030" s="20" t="s">
        <v>26</v>
      </c>
      <c r="G3030" s="53">
        <f t="shared" si="48"/>
        <v>-0.108784504142654</v>
      </c>
      <c r="H3030" s="35"/>
      <c r="P3030" s="6"/>
    </row>
    <row r="3031" spans="1:16" ht="14.4" x14ac:dyDescent="0.25">
      <c r="A3031" s="6">
        <v>4228</v>
      </c>
      <c r="B3031" s="6">
        <v>30023</v>
      </c>
      <c r="C3031" s="19">
        <v>40466</v>
      </c>
      <c r="D3031" s="6" t="s">
        <v>25</v>
      </c>
      <c r="E3031" s="6">
        <f>IF((ISBLANK($B$1)),"",Sheet1!Q3039)</f>
        <v>5200</v>
      </c>
      <c r="F3031" s="20" t="s">
        <v>26</v>
      </c>
      <c r="G3031" s="53">
        <f t="shared" si="48"/>
        <v>0.71978805948307201</v>
      </c>
      <c r="H3031" s="35"/>
      <c r="P3031" s="6"/>
    </row>
    <row r="3032" spans="1:16" ht="14.4" x14ac:dyDescent="0.25">
      <c r="A3032" s="6">
        <v>4247</v>
      </c>
      <c r="B3032" s="6">
        <v>30215</v>
      </c>
      <c r="C3032" s="19">
        <v>39870</v>
      </c>
      <c r="D3032" s="6" t="s">
        <v>16</v>
      </c>
      <c r="E3032" s="6">
        <f>IF((ISBLANK($B$1)),"",Sheet1!Q3040)</f>
        <v>4550</v>
      </c>
      <c r="F3032" s="20" t="s">
        <v>27</v>
      </c>
      <c r="G3032" s="53">
        <f t="shared" si="48"/>
        <v>-0.17783221777813119</v>
      </c>
      <c r="H3032" s="35"/>
      <c r="P3032" s="6"/>
    </row>
    <row r="3033" spans="1:16" ht="14.4" x14ac:dyDescent="0.25">
      <c r="A3033" s="6">
        <v>4311</v>
      </c>
      <c r="B3033" s="6">
        <v>30720</v>
      </c>
      <c r="C3033" s="19">
        <v>41179</v>
      </c>
      <c r="D3033" s="6" t="s">
        <v>25</v>
      </c>
      <c r="E3033" s="6">
        <f>IF((ISBLANK($B$1)),"",Sheet1!Q3041)</f>
        <v>4750</v>
      </c>
      <c r="F3033" s="20" t="s">
        <v>29</v>
      </c>
      <c r="G3033" s="53">
        <f t="shared" si="48"/>
        <v>9.8358636763777513E-2</v>
      </c>
      <c r="H3033" s="35"/>
      <c r="P3033" s="6"/>
    </row>
    <row r="3034" spans="1:16" ht="14.4" x14ac:dyDescent="0.25">
      <c r="A3034" s="6">
        <v>4333</v>
      </c>
      <c r="B3034" s="6">
        <v>30884</v>
      </c>
      <c r="C3034" s="19">
        <v>40447</v>
      </c>
      <c r="D3034" s="6" t="s">
        <v>25</v>
      </c>
      <c r="E3034" s="6">
        <f>IF((ISBLANK($B$1)),"",Sheet1!Q3042)</f>
        <v>3700</v>
      </c>
      <c r="F3034" s="20" t="s">
        <v>29</v>
      </c>
      <c r="G3034" s="53">
        <f t="shared" si="48"/>
        <v>-1.351643349581243</v>
      </c>
      <c r="H3034" s="35"/>
      <c r="P3034" s="6"/>
    </row>
    <row r="3035" spans="1:16" ht="14.4" x14ac:dyDescent="0.25">
      <c r="A3035" s="6">
        <v>4398</v>
      </c>
      <c r="B3035" s="6">
        <v>31303</v>
      </c>
      <c r="C3035" s="19">
        <v>40622</v>
      </c>
      <c r="D3035" s="6" t="s">
        <v>25</v>
      </c>
      <c r="E3035" s="6">
        <f>IF((ISBLANK($B$1)),"",Sheet1!Q3043)</f>
        <v>5900</v>
      </c>
      <c r="F3035" s="20" t="s">
        <v>26</v>
      </c>
      <c r="G3035" s="53">
        <f t="shared" si="48"/>
        <v>1.6864560503797523</v>
      </c>
      <c r="H3035" s="35"/>
      <c r="P3035" s="6"/>
    </row>
    <row r="3036" spans="1:16" ht="14.4" x14ac:dyDescent="0.25">
      <c r="A3036" s="6">
        <v>4402</v>
      </c>
      <c r="B3036" s="6">
        <v>31392</v>
      </c>
      <c r="C3036" s="19">
        <v>40304</v>
      </c>
      <c r="D3036" s="6" t="s">
        <v>25</v>
      </c>
      <c r="E3036" s="6">
        <f>IF((ISBLANK($B$1)),"",Sheet1!Q3044)</f>
        <v>4450</v>
      </c>
      <c r="F3036" s="20" t="s">
        <v>26</v>
      </c>
      <c r="G3036" s="53">
        <f t="shared" si="48"/>
        <v>-0.31592764504908549</v>
      </c>
      <c r="H3036" s="35"/>
      <c r="P3036" s="6"/>
    </row>
    <row r="3037" spans="1:16" ht="14.4" x14ac:dyDescent="0.25">
      <c r="A3037" s="6">
        <v>4449</v>
      </c>
      <c r="B3037" s="6">
        <v>31715</v>
      </c>
      <c r="C3037" s="19">
        <v>39822</v>
      </c>
      <c r="D3037" s="6" t="s">
        <v>28</v>
      </c>
      <c r="E3037" s="6">
        <f>IF((ISBLANK($B$1)),"",Sheet1!Q3045)</f>
        <v>4600</v>
      </c>
      <c r="F3037" s="20" t="s">
        <v>26</v>
      </c>
      <c r="G3037" s="53">
        <f t="shared" si="48"/>
        <v>-0.108784504142654</v>
      </c>
      <c r="H3037" s="35"/>
      <c r="P3037" s="6"/>
    </row>
    <row r="3038" spans="1:16" ht="14.4" x14ac:dyDescent="0.25">
      <c r="A3038" s="6">
        <v>4557</v>
      </c>
      <c r="B3038" s="6">
        <v>32420</v>
      </c>
      <c r="C3038" s="19">
        <v>40023</v>
      </c>
      <c r="D3038" s="6" t="s">
        <v>16</v>
      </c>
      <c r="E3038" s="6">
        <f>IF((ISBLANK($B$1)),"",Sheet1!Q3046)</f>
        <v>4350</v>
      </c>
      <c r="F3038" s="20" t="s">
        <v>29</v>
      </c>
      <c r="G3038" s="53">
        <f t="shared" si="48"/>
        <v>-0.45402307232003986</v>
      </c>
      <c r="H3038" s="35"/>
      <c r="P3038" s="6"/>
    </row>
    <row r="3039" spans="1:16" ht="14.4" x14ac:dyDescent="0.25">
      <c r="A3039" s="6">
        <v>4630</v>
      </c>
      <c r="B3039" s="6">
        <v>32965</v>
      </c>
      <c r="C3039" s="19">
        <v>40598</v>
      </c>
      <c r="D3039" s="6" t="s">
        <v>17</v>
      </c>
      <c r="E3039" s="6">
        <f>IF((ISBLANK($B$1)),"",Sheet1!Q3047)</f>
        <v>3500</v>
      </c>
      <c r="F3039" s="20" t="s">
        <v>26</v>
      </c>
      <c r="G3039" s="53">
        <f t="shared" si="48"/>
        <v>-1.6278342041231517</v>
      </c>
      <c r="H3039" s="35"/>
      <c r="P3039" s="6"/>
    </row>
    <row r="3040" spans="1:16" ht="14.4" x14ac:dyDescent="0.25">
      <c r="A3040" s="6">
        <v>4674</v>
      </c>
      <c r="B3040" s="6">
        <v>33253</v>
      </c>
      <c r="C3040" s="19">
        <v>40877</v>
      </c>
      <c r="D3040" s="6" t="s">
        <v>28</v>
      </c>
      <c r="E3040" s="6">
        <f>IF((ISBLANK($B$1)),"",Sheet1!Q3048)</f>
        <v>4250</v>
      </c>
      <c r="F3040" s="20" t="s">
        <v>27</v>
      </c>
      <c r="G3040" s="53">
        <f t="shared" si="48"/>
        <v>-0.59211849959099416</v>
      </c>
      <c r="H3040" s="35"/>
      <c r="P3040" s="6"/>
    </row>
    <row r="3041" spans="1:16" ht="14.4" x14ac:dyDescent="0.25">
      <c r="A3041" s="6">
        <v>4784</v>
      </c>
      <c r="B3041" s="6">
        <v>33959</v>
      </c>
      <c r="C3041" s="19">
        <v>40025</v>
      </c>
      <c r="D3041" s="6" t="s">
        <v>30</v>
      </c>
      <c r="E3041" s="6">
        <f>IF((ISBLANK($B$1)),"",Sheet1!Q3049)</f>
        <v>4550</v>
      </c>
      <c r="F3041" s="20" t="s">
        <v>29</v>
      </c>
      <c r="G3041" s="53">
        <f t="shared" si="48"/>
        <v>-0.17783221777813119</v>
      </c>
      <c r="H3041" s="35"/>
      <c r="P3041" s="6"/>
    </row>
    <row r="3042" spans="1:16" ht="14.4" x14ac:dyDescent="0.25">
      <c r="A3042" s="6">
        <v>4959</v>
      </c>
      <c r="B3042" s="6">
        <v>35271</v>
      </c>
      <c r="C3042" s="19">
        <v>40385</v>
      </c>
      <c r="D3042" s="6" t="s">
        <v>17</v>
      </c>
      <c r="E3042" s="6">
        <f>IF((ISBLANK($B$1)),"",Sheet1!Q3050)</f>
        <v>4350</v>
      </c>
      <c r="F3042" s="20" t="s">
        <v>27</v>
      </c>
      <c r="G3042" s="53">
        <f t="shared" si="48"/>
        <v>-0.45402307232003986</v>
      </c>
      <c r="H3042" s="35"/>
      <c r="P3042" s="6"/>
    </row>
    <row r="3043" spans="1:16" ht="14.4" x14ac:dyDescent="0.25">
      <c r="A3043" s="6">
        <v>5108</v>
      </c>
      <c r="B3043" s="6">
        <v>36390</v>
      </c>
      <c r="C3043" s="19">
        <v>41194</v>
      </c>
      <c r="D3043" s="6" t="s">
        <v>17</v>
      </c>
      <c r="E3043" s="6">
        <f>IF((ISBLANK($B$1)),"",Sheet1!Q3051)</f>
        <v>3550</v>
      </c>
      <c r="F3043" s="20" t="s">
        <v>27</v>
      </c>
      <c r="G3043" s="53">
        <f t="shared" si="48"/>
        <v>-1.5587864904876745</v>
      </c>
      <c r="H3043" s="35"/>
      <c r="P3043" s="6"/>
    </row>
    <row r="3044" spans="1:16" ht="14.4" x14ac:dyDescent="0.25">
      <c r="A3044" s="6">
        <v>5265</v>
      </c>
      <c r="B3044" s="6">
        <v>37447</v>
      </c>
      <c r="C3044" s="19">
        <v>40002</v>
      </c>
      <c r="D3044" s="6" t="s">
        <v>25</v>
      </c>
      <c r="E3044" s="6">
        <f>IF((ISBLANK($B$1)),"",Sheet1!Q3052)</f>
        <v>4550</v>
      </c>
      <c r="F3044" s="20" t="s">
        <v>26</v>
      </c>
      <c r="G3044" s="53">
        <f t="shared" si="48"/>
        <v>-0.17783221777813119</v>
      </c>
      <c r="H3044" s="35"/>
      <c r="P3044" s="6"/>
    </row>
    <row r="3045" spans="1:16" ht="14.4" x14ac:dyDescent="0.25">
      <c r="A3045" s="6">
        <v>5394</v>
      </c>
      <c r="B3045" s="6">
        <v>38341</v>
      </c>
      <c r="C3045" s="19">
        <v>39951</v>
      </c>
      <c r="D3045" s="6" t="s">
        <v>16</v>
      </c>
      <c r="E3045" s="6">
        <f>IF((ISBLANK($B$1)),"",Sheet1!Q3053)</f>
        <v>4150</v>
      </c>
      <c r="F3045" s="20" t="s">
        <v>26</v>
      </c>
      <c r="G3045" s="53">
        <f t="shared" si="48"/>
        <v>-0.73021392686194853</v>
      </c>
      <c r="H3045" s="35"/>
      <c r="P3045" s="6"/>
    </row>
    <row r="3046" spans="1:16" ht="14.4" x14ac:dyDescent="0.25">
      <c r="A3046" s="6">
        <v>5395</v>
      </c>
      <c r="B3046" s="6">
        <v>38341</v>
      </c>
      <c r="C3046" s="19">
        <v>39951</v>
      </c>
      <c r="D3046" s="6" t="s">
        <v>16</v>
      </c>
      <c r="E3046" s="6">
        <f>IF((ISBLANK($B$1)),"",Sheet1!Q3054)</f>
        <v>3650</v>
      </c>
      <c r="F3046" s="20" t="s">
        <v>26</v>
      </c>
      <c r="G3046" s="53">
        <f t="shared" si="48"/>
        <v>-1.4206910632167202</v>
      </c>
      <c r="H3046" s="35"/>
      <c r="P3046" s="6"/>
    </row>
    <row r="3047" spans="1:16" ht="14.4" x14ac:dyDescent="0.25">
      <c r="A3047" s="6">
        <v>5453</v>
      </c>
      <c r="B3047" s="6">
        <v>38723</v>
      </c>
      <c r="C3047" s="19">
        <v>41172</v>
      </c>
      <c r="D3047" s="6" t="s">
        <v>30</v>
      </c>
      <c r="E3047" s="6">
        <f>IF((ISBLANK($B$1)),"",Sheet1!Q3055)</f>
        <v>5350</v>
      </c>
      <c r="F3047" s="20" t="s">
        <v>26</v>
      </c>
      <c r="G3047" s="53">
        <f t="shared" si="48"/>
        <v>0.92693120038950361</v>
      </c>
      <c r="H3047" s="35"/>
      <c r="P3047" s="6"/>
    </row>
    <row r="3048" spans="1:16" ht="14.4" x14ac:dyDescent="0.25">
      <c r="A3048" s="6">
        <v>5467</v>
      </c>
      <c r="B3048" s="6">
        <v>38851</v>
      </c>
      <c r="C3048" s="19">
        <v>41070</v>
      </c>
      <c r="D3048" s="6" t="s">
        <v>30</v>
      </c>
      <c r="E3048" s="6">
        <f>IF((ISBLANK($B$1)),"",Sheet1!Q3056)</f>
        <v>3450</v>
      </c>
      <c r="F3048" s="20" t="s">
        <v>26</v>
      </c>
      <c r="G3048" s="53">
        <f t="shared" si="48"/>
        <v>-1.696881917758629</v>
      </c>
      <c r="H3048" s="35"/>
      <c r="P3048" s="6"/>
    </row>
    <row r="3049" spans="1:16" ht="14.4" x14ac:dyDescent="0.25">
      <c r="A3049" s="6">
        <v>5470</v>
      </c>
      <c r="B3049" s="6">
        <v>38882</v>
      </c>
      <c r="C3049" s="19">
        <v>40161</v>
      </c>
      <c r="D3049" s="6" t="s">
        <v>30</v>
      </c>
      <c r="E3049" s="6">
        <f>IF((ISBLANK($B$1)),"",Sheet1!Q3057)</f>
        <v>5400</v>
      </c>
      <c r="F3049" s="20" t="s">
        <v>26</v>
      </c>
      <c r="G3049" s="53">
        <f t="shared" si="48"/>
        <v>0.99597891402498073</v>
      </c>
      <c r="H3049" s="35"/>
      <c r="P3049" s="6"/>
    </row>
    <row r="3050" spans="1:16" ht="14.4" x14ac:dyDescent="0.25">
      <c r="A3050" s="6">
        <v>5540</v>
      </c>
      <c r="B3050" s="6">
        <v>39266</v>
      </c>
      <c r="C3050" s="19">
        <v>41148</v>
      </c>
      <c r="D3050" s="6" t="s">
        <v>17</v>
      </c>
      <c r="E3050" s="6">
        <f>IF((ISBLANK($B$1)),"",Sheet1!Q3058)</f>
        <v>3600</v>
      </c>
      <c r="F3050" s="20" t="s">
        <v>26</v>
      </c>
      <c r="G3050" s="53">
        <f t="shared" si="48"/>
        <v>-1.4897387768521975</v>
      </c>
      <c r="H3050" s="35"/>
      <c r="P3050" s="6"/>
    </row>
    <row r="3051" spans="1:16" ht="14.4" x14ac:dyDescent="0.25">
      <c r="A3051" s="6">
        <v>5614</v>
      </c>
      <c r="B3051" s="6">
        <v>39780</v>
      </c>
      <c r="C3051" s="19">
        <v>39971</v>
      </c>
      <c r="D3051" s="6" t="s">
        <v>25</v>
      </c>
      <c r="E3051" s="6">
        <f>IF((ISBLANK($B$1)),"",Sheet1!Q3059)</f>
        <v>5800</v>
      </c>
      <c r="F3051" s="20" t="s">
        <v>29</v>
      </c>
      <c r="G3051" s="53">
        <f t="shared" si="48"/>
        <v>1.5483606231087981</v>
      </c>
      <c r="H3051" s="35"/>
      <c r="P3051" s="6"/>
    </row>
    <row r="3052" spans="1:16" ht="14.4" x14ac:dyDescent="0.25">
      <c r="A3052" s="6">
        <v>5625</v>
      </c>
      <c r="B3052" s="6">
        <v>39842</v>
      </c>
      <c r="C3052" s="19">
        <v>40531</v>
      </c>
      <c r="D3052" s="6" t="s">
        <v>16</v>
      </c>
      <c r="E3052" s="6">
        <f>IF((ISBLANK($B$1)),"",Sheet1!Q3060)</f>
        <v>4500</v>
      </c>
      <c r="F3052" s="20" t="s">
        <v>27</v>
      </c>
      <c r="G3052" s="53">
        <f t="shared" si="48"/>
        <v>-0.24687993141360834</v>
      </c>
      <c r="H3052" s="35"/>
      <c r="P3052" s="6"/>
    </row>
    <row r="3053" spans="1:16" ht="14.4" x14ac:dyDescent="0.25">
      <c r="A3053" s="6">
        <v>5652</v>
      </c>
      <c r="B3053" s="6">
        <v>40005</v>
      </c>
      <c r="C3053" s="19">
        <v>40384</v>
      </c>
      <c r="D3053" s="6" t="s">
        <v>17</v>
      </c>
      <c r="E3053" s="6">
        <f>IF((ISBLANK($B$1)),"",Sheet1!Q3061)</f>
        <v>4400</v>
      </c>
      <c r="F3053" s="20" t="s">
        <v>29</v>
      </c>
      <c r="G3053" s="53">
        <f t="shared" si="48"/>
        <v>-0.38497535868456267</v>
      </c>
      <c r="H3053" s="35"/>
      <c r="P3053" s="6"/>
    </row>
    <row r="3054" spans="1:16" ht="14.4" x14ac:dyDescent="0.25">
      <c r="A3054" s="6">
        <v>5733</v>
      </c>
      <c r="B3054" s="6">
        <v>40704</v>
      </c>
      <c r="C3054" s="19">
        <v>39820</v>
      </c>
      <c r="D3054" s="6" t="s">
        <v>25</v>
      </c>
      <c r="E3054" s="6">
        <f>IF((ISBLANK($B$1)),"",Sheet1!Q3062)</f>
        <v>3700</v>
      </c>
      <c r="F3054" s="20" t="s">
        <v>26</v>
      </c>
      <c r="G3054" s="53">
        <f t="shared" si="48"/>
        <v>-1.351643349581243</v>
      </c>
      <c r="H3054" s="35"/>
      <c r="P3054" s="6"/>
    </row>
    <row r="3055" spans="1:16" ht="14.4" x14ac:dyDescent="0.25">
      <c r="A3055" s="6">
        <v>5833</v>
      </c>
      <c r="B3055" s="6">
        <v>41383</v>
      </c>
      <c r="C3055" s="19">
        <v>40310</v>
      </c>
      <c r="D3055" s="6" t="s">
        <v>25</v>
      </c>
      <c r="E3055" s="6">
        <f>IF((ISBLANK($B$1)),"",Sheet1!Q3063)</f>
        <v>5200</v>
      </c>
      <c r="F3055" s="20" t="s">
        <v>26</v>
      </c>
      <c r="G3055" s="53">
        <f t="shared" si="48"/>
        <v>0.71978805948307201</v>
      </c>
      <c r="H3055" s="35"/>
      <c r="P3055" s="6"/>
    </row>
    <row r="3056" spans="1:16" ht="14.4" x14ac:dyDescent="0.25">
      <c r="A3056" s="6">
        <v>5840</v>
      </c>
      <c r="B3056" s="6">
        <v>41415</v>
      </c>
      <c r="C3056" s="19">
        <v>40127</v>
      </c>
      <c r="D3056" s="6" t="s">
        <v>25</v>
      </c>
      <c r="E3056" s="6">
        <f>IF((ISBLANK($B$1)),"",Sheet1!Q3064)</f>
        <v>3900</v>
      </c>
      <c r="F3056" s="20" t="s">
        <v>26</v>
      </c>
      <c r="G3056" s="53">
        <f t="shared" si="48"/>
        <v>-1.0754524950393345</v>
      </c>
      <c r="H3056" s="35"/>
      <c r="P3056" s="6"/>
    </row>
    <row r="3057" spans="1:16" ht="14.4" x14ac:dyDescent="0.25">
      <c r="A3057" s="6">
        <v>5898</v>
      </c>
      <c r="B3057" s="6">
        <v>41825</v>
      </c>
      <c r="C3057" s="19">
        <v>40047</v>
      </c>
      <c r="D3057" s="6" t="s">
        <v>30</v>
      </c>
      <c r="E3057" s="6">
        <f>IF((ISBLANK($B$1)),"",Sheet1!Q3065)</f>
        <v>5900</v>
      </c>
      <c r="F3057" s="20" t="s">
        <v>29</v>
      </c>
      <c r="G3057" s="53">
        <f t="shared" si="48"/>
        <v>1.6864560503797523</v>
      </c>
      <c r="H3057" s="35"/>
      <c r="P3057" s="6"/>
    </row>
    <row r="3058" spans="1:16" ht="14.4" x14ac:dyDescent="0.25">
      <c r="A3058" s="6">
        <v>5899</v>
      </c>
      <c r="B3058" s="6">
        <v>41826</v>
      </c>
      <c r="C3058" s="19">
        <v>40467</v>
      </c>
      <c r="D3058" s="6" t="s">
        <v>16</v>
      </c>
      <c r="E3058" s="6">
        <f>IF((ISBLANK($B$1)),"",Sheet1!Q3066)</f>
        <v>3600</v>
      </c>
      <c r="F3058" s="20" t="s">
        <v>29</v>
      </c>
      <c r="G3058" s="53">
        <f t="shared" si="48"/>
        <v>-1.4897387768521975</v>
      </c>
      <c r="H3058" s="35"/>
      <c r="P3058" s="6"/>
    </row>
    <row r="3059" spans="1:16" ht="14.4" x14ac:dyDescent="0.25">
      <c r="A3059" s="6">
        <v>5946</v>
      </c>
      <c r="B3059" s="6">
        <v>42213</v>
      </c>
      <c r="C3059" s="19">
        <v>40623</v>
      </c>
      <c r="D3059" s="6" t="s">
        <v>30</v>
      </c>
      <c r="E3059" s="6">
        <f>IF((ISBLANK($B$1)),"",Sheet1!Q3067)</f>
        <v>5700</v>
      </c>
      <c r="F3059" s="20" t="s">
        <v>26</v>
      </c>
      <c r="G3059" s="53">
        <f t="shared" si="48"/>
        <v>1.4102651958378438</v>
      </c>
      <c r="H3059" s="35"/>
      <c r="P3059" s="6"/>
    </row>
    <row r="3060" spans="1:16" ht="14.4" x14ac:dyDescent="0.25">
      <c r="A3060" s="6">
        <v>5995</v>
      </c>
      <c r="B3060" s="6">
        <v>42469</v>
      </c>
      <c r="C3060" s="19">
        <v>41221</v>
      </c>
      <c r="D3060" s="6" t="s">
        <v>28</v>
      </c>
      <c r="E3060" s="6">
        <f>IF((ISBLANK($B$1)),"",Sheet1!Q3068)</f>
        <v>4300</v>
      </c>
      <c r="F3060" s="20" t="s">
        <v>26</v>
      </c>
      <c r="G3060" s="53">
        <f t="shared" si="48"/>
        <v>-0.52307078595551704</v>
      </c>
      <c r="H3060" s="35"/>
      <c r="P3060" s="6"/>
    </row>
    <row r="3061" spans="1:16" ht="14.4" x14ac:dyDescent="0.25">
      <c r="A3061" s="6">
        <v>6117</v>
      </c>
      <c r="B3061" s="6">
        <v>43302</v>
      </c>
      <c r="C3061" s="19">
        <v>40778</v>
      </c>
      <c r="D3061" s="6" t="s">
        <v>25</v>
      </c>
      <c r="E3061" s="6">
        <f>IF((ISBLANK($B$1)),"",Sheet1!Q3069)</f>
        <v>5550</v>
      </c>
      <c r="F3061" s="20" t="s">
        <v>27</v>
      </c>
      <c r="G3061" s="53">
        <f t="shared" si="48"/>
        <v>1.2031220549314123</v>
      </c>
      <c r="H3061" s="35"/>
      <c r="P3061" s="6"/>
    </row>
    <row r="3062" spans="1:16" ht="14.4" x14ac:dyDescent="0.25">
      <c r="A3062" s="6">
        <v>6156</v>
      </c>
      <c r="B3062" s="6">
        <v>43588</v>
      </c>
      <c r="C3062" s="19">
        <v>41153</v>
      </c>
      <c r="D3062" s="6" t="s">
        <v>16</v>
      </c>
      <c r="E3062" s="6">
        <f>IF((ISBLANK($B$1)),"",Sheet1!Q3070)</f>
        <v>4200</v>
      </c>
      <c r="F3062" s="20" t="s">
        <v>29</v>
      </c>
      <c r="G3062" s="53">
        <f t="shared" si="48"/>
        <v>-0.6611662132264714</v>
      </c>
      <c r="H3062" s="35"/>
      <c r="P3062" s="6"/>
    </row>
    <row r="3063" spans="1:16" ht="14.4" x14ac:dyDescent="0.25">
      <c r="A3063" s="6">
        <v>6208</v>
      </c>
      <c r="B3063" s="6">
        <v>44000</v>
      </c>
      <c r="C3063" s="19">
        <v>41186</v>
      </c>
      <c r="D3063" s="6" t="s">
        <v>28</v>
      </c>
      <c r="E3063" s="6">
        <f>IF((ISBLANK($B$1)),"",Sheet1!Q3071)</f>
        <v>4300</v>
      </c>
      <c r="F3063" s="20" t="s">
        <v>26</v>
      </c>
      <c r="G3063" s="53">
        <f t="shared" si="48"/>
        <v>-0.52307078595551704</v>
      </c>
      <c r="H3063" s="35"/>
      <c r="P3063" s="6"/>
    </row>
    <row r="3064" spans="1:16" ht="14.4" x14ac:dyDescent="0.25">
      <c r="A3064" s="6">
        <v>6389</v>
      </c>
      <c r="B3064" s="6">
        <v>45381</v>
      </c>
      <c r="C3064" s="19">
        <v>40776</v>
      </c>
      <c r="D3064" s="6" t="s">
        <v>16</v>
      </c>
      <c r="E3064" s="6">
        <f>IF((ISBLANK($B$1)),"",Sheet1!Q3072)</f>
        <v>4700</v>
      </c>
      <c r="F3064" s="20" t="s">
        <v>26</v>
      </c>
      <c r="G3064" s="53">
        <f t="shared" si="48"/>
        <v>2.9310923128300338E-2</v>
      </c>
      <c r="H3064" s="35"/>
      <c r="P3064" s="6"/>
    </row>
    <row r="3065" spans="1:16" ht="14.4" x14ac:dyDescent="0.25">
      <c r="A3065" s="6">
        <v>6390</v>
      </c>
      <c r="B3065" s="6">
        <v>45381</v>
      </c>
      <c r="C3065" s="19">
        <v>40776</v>
      </c>
      <c r="D3065" s="6" t="s">
        <v>16</v>
      </c>
      <c r="E3065" s="6">
        <f>IF((ISBLANK($B$1)),"",Sheet1!Q3073)</f>
        <v>4550</v>
      </c>
      <c r="F3065" s="20" t="s">
        <v>27</v>
      </c>
      <c r="G3065" s="53">
        <f t="shared" si="48"/>
        <v>-0.17783221777813119</v>
      </c>
      <c r="H3065" s="35"/>
      <c r="P3065" s="6"/>
    </row>
    <row r="3066" spans="1:16" ht="14.4" x14ac:dyDescent="0.25">
      <c r="A3066" s="6">
        <v>6431</v>
      </c>
      <c r="B3066" s="6">
        <v>45728</v>
      </c>
      <c r="C3066" s="19">
        <v>40350</v>
      </c>
      <c r="D3066" s="6" t="s">
        <v>17</v>
      </c>
      <c r="E3066" s="6">
        <f>IF((ISBLANK($B$1)),"",Sheet1!Q3074)</f>
        <v>3950</v>
      </c>
      <c r="F3066" s="20" t="s">
        <v>26</v>
      </c>
      <c r="G3066" s="53">
        <f t="shared" si="48"/>
        <v>-1.0064047814038573</v>
      </c>
      <c r="H3066" s="35"/>
      <c r="P3066" s="6"/>
    </row>
    <row r="3067" spans="1:16" ht="14.4" x14ac:dyDescent="0.25">
      <c r="A3067" s="6">
        <v>6456</v>
      </c>
      <c r="B3067" s="6">
        <v>45984</v>
      </c>
      <c r="C3067" s="19">
        <v>40935</v>
      </c>
      <c r="D3067" s="6" t="s">
        <v>16</v>
      </c>
      <c r="E3067" s="6">
        <f>IF((ISBLANK($B$1)),"",Sheet1!Q3075)</f>
        <v>4750</v>
      </c>
      <c r="F3067" s="20" t="s">
        <v>26</v>
      </c>
      <c r="G3067" s="53">
        <f t="shared" si="48"/>
        <v>9.8358636763777513E-2</v>
      </c>
      <c r="H3067" s="35"/>
      <c r="P3067" s="6"/>
    </row>
    <row r="3068" spans="1:16" ht="14.4" x14ac:dyDescent="0.25">
      <c r="A3068" s="6">
        <v>6459</v>
      </c>
      <c r="B3068" s="6">
        <v>45988</v>
      </c>
      <c r="C3068" s="19">
        <v>40057</v>
      </c>
      <c r="D3068" s="6" t="s">
        <v>30</v>
      </c>
      <c r="E3068" s="6">
        <f>IF((ISBLANK($B$1)),"",Sheet1!Q3076)</f>
        <v>5550</v>
      </c>
      <c r="F3068" s="20" t="s">
        <v>29</v>
      </c>
      <c r="G3068" s="53">
        <f t="shared" si="48"/>
        <v>1.2031220549314123</v>
      </c>
      <c r="H3068" s="35"/>
      <c r="P3068" s="6"/>
    </row>
    <row r="3069" spans="1:16" ht="14.4" x14ac:dyDescent="0.25">
      <c r="A3069" s="6">
        <v>6489</v>
      </c>
      <c r="B3069" s="6">
        <v>46177</v>
      </c>
      <c r="C3069" s="19">
        <v>40517</v>
      </c>
      <c r="D3069" s="6" t="s">
        <v>25</v>
      </c>
      <c r="E3069" s="6">
        <f>IF((ISBLANK($B$1)),"",Sheet1!Q3077)</f>
        <v>5800</v>
      </c>
      <c r="F3069" s="20" t="s">
        <v>29</v>
      </c>
      <c r="G3069" s="53">
        <f t="shared" si="48"/>
        <v>1.5483606231087981</v>
      </c>
      <c r="H3069" s="35"/>
      <c r="P3069" s="6"/>
    </row>
    <row r="3070" spans="1:16" ht="14.4" x14ac:dyDescent="0.25">
      <c r="A3070" s="6">
        <v>6620</v>
      </c>
      <c r="B3070" s="6">
        <v>47106</v>
      </c>
      <c r="C3070" s="19">
        <v>40841</v>
      </c>
      <c r="D3070" s="6" t="s">
        <v>16</v>
      </c>
      <c r="E3070" s="6">
        <f>IF((ISBLANK($B$1)),"",Sheet1!Q3078)</f>
        <v>5400</v>
      </c>
      <c r="F3070" s="20" t="s">
        <v>27</v>
      </c>
      <c r="G3070" s="53">
        <f t="shared" si="48"/>
        <v>0.99597891402498073</v>
      </c>
      <c r="H3070" s="35"/>
      <c r="P3070" s="6"/>
    </row>
    <row r="3071" spans="1:16" ht="14.4" x14ac:dyDescent="0.25">
      <c r="A3071" s="6">
        <v>6630</v>
      </c>
      <c r="B3071" s="6">
        <v>47169</v>
      </c>
      <c r="C3071" s="19">
        <v>40240</v>
      </c>
      <c r="D3071" s="6" t="s">
        <v>16</v>
      </c>
      <c r="E3071" s="6">
        <f>IF((ISBLANK($B$1)),"",Sheet1!Q3079)</f>
        <v>4150</v>
      </c>
      <c r="F3071" s="20" t="s">
        <v>27</v>
      </c>
      <c r="G3071" s="53">
        <f t="shared" si="48"/>
        <v>-0.73021392686194853</v>
      </c>
      <c r="H3071" s="35"/>
      <c r="P3071" s="6"/>
    </row>
    <row r="3072" spans="1:16" ht="14.4" x14ac:dyDescent="0.25">
      <c r="A3072" s="6">
        <v>6751</v>
      </c>
      <c r="B3072" s="6">
        <v>48071</v>
      </c>
      <c r="C3072" s="19">
        <v>40605</v>
      </c>
      <c r="D3072" s="6" t="s">
        <v>25</v>
      </c>
      <c r="E3072" s="6">
        <f>IF((ISBLANK($B$1)),"",Sheet1!Q3080)</f>
        <v>3450</v>
      </c>
      <c r="F3072" s="20" t="s">
        <v>29</v>
      </c>
      <c r="G3072" s="53">
        <f t="shared" si="48"/>
        <v>-1.696881917758629</v>
      </c>
      <c r="H3072" s="35"/>
      <c r="P3072" s="6"/>
    </row>
    <row r="3073" spans="1:16" ht="14.4" x14ac:dyDescent="0.25">
      <c r="A3073" s="6">
        <v>6910</v>
      </c>
      <c r="B3073" s="6">
        <v>49312</v>
      </c>
      <c r="C3073" s="19">
        <v>40595</v>
      </c>
      <c r="D3073" s="6" t="s">
        <v>30</v>
      </c>
      <c r="E3073" s="6">
        <f>IF((ISBLANK($B$1)),"",Sheet1!Q3081)</f>
        <v>4350</v>
      </c>
      <c r="F3073" s="20" t="s">
        <v>29</v>
      </c>
      <c r="G3073" s="53">
        <f t="shared" si="48"/>
        <v>-0.45402307232003986</v>
      </c>
      <c r="H3073" s="35"/>
      <c r="P3073" s="6"/>
    </row>
    <row r="3074" spans="1:16" ht="14.4" x14ac:dyDescent="0.25">
      <c r="A3074" s="6">
        <v>6930</v>
      </c>
      <c r="B3074" s="6">
        <v>49472</v>
      </c>
      <c r="C3074" s="19">
        <v>40375</v>
      </c>
      <c r="D3074" s="6" t="s">
        <v>25</v>
      </c>
      <c r="E3074" s="6">
        <f>IF((ISBLANK($B$1)),"",Sheet1!Q3082)</f>
        <v>4550</v>
      </c>
      <c r="F3074" s="20" t="s">
        <v>26</v>
      </c>
      <c r="G3074" s="53">
        <f t="shared" si="48"/>
        <v>-0.17783221777813119</v>
      </c>
      <c r="H3074" s="35"/>
      <c r="P3074" s="6"/>
    </row>
    <row r="3075" spans="1:16" ht="14.4" x14ac:dyDescent="0.25">
      <c r="A3075" s="6">
        <v>6980</v>
      </c>
      <c r="B3075" s="6">
        <v>49891</v>
      </c>
      <c r="C3075" s="19">
        <v>40068</v>
      </c>
      <c r="D3075" s="6" t="s">
        <v>28</v>
      </c>
      <c r="E3075" s="6">
        <f>IF((ISBLANK($B$1)),"",Sheet1!Q3083)</f>
        <v>4350</v>
      </c>
      <c r="F3075" s="20" t="s">
        <v>26</v>
      </c>
      <c r="G3075" s="53">
        <f t="shared" si="48"/>
        <v>-0.45402307232003986</v>
      </c>
      <c r="H3075" s="35"/>
      <c r="P3075" s="6"/>
    </row>
    <row r="3076" spans="1:16" ht="14.4" x14ac:dyDescent="0.25">
      <c r="A3076" s="6">
        <v>7041</v>
      </c>
      <c r="B3076" s="6">
        <v>50276</v>
      </c>
      <c r="C3076" s="19">
        <v>40588</v>
      </c>
      <c r="D3076" s="6" t="s">
        <v>28</v>
      </c>
      <c r="E3076" s="6">
        <f>IF((ISBLANK($B$1)),"",Sheet1!Q3084)</f>
        <v>5100</v>
      </c>
      <c r="F3076" s="20" t="s">
        <v>26</v>
      </c>
      <c r="G3076" s="53">
        <f t="shared" si="48"/>
        <v>0.58169263221211776</v>
      </c>
      <c r="H3076" s="35"/>
      <c r="P3076" s="6"/>
    </row>
    <row r="3077" spans="1:16" ht="14.4" x14ac:dyDescent="0.25">
      <c r="A3077" s="6">
        <v>7162</v>
      </c>
      <c r="B3077" s="6">
        <v>51107</v>
      </c>
      <c r="C3077" s="19">
        <v>41177</v>
      </c>
      <c r="D3077" s="6" t="s">
        <v>28</v>
      </c>
      <c r="E3077" s="6">
        <f>IF((ISBLANK($B$1)),"",Sheet1!Q3085)</f>
        <v>5200</v>
      </c>
      <c r="F3077" s="20" t="s">
        <v>26</v>
      </c>
      <c r="G3077" s="53">
        <f t="shared" si="48"/>
        <v>0.71978805948307201</v>
      </c>
      <c r="H3077" s="35"/>
      <c r="P3077" s="6"/>
    </row>
    <row r="3078" spans="1:16" ht="14.4" x14ac:dyDescent="0.25">
      <c r="A3078" s="6">
        <v>7260</v>
      </c>
      <c r="B3078" s="6">
        <v>51783</v>
      </c>
      <c r="C3078" s="19">
        <v>40858</v>
      </c>
      <c r="D3078" s="6" t="s">
        <v>16</v>
      </c>
      <c r="E3078" s="6">
        <f>IF((ISBLANK($B$1)),"",Sheet1!Q3086)</f>
        <v>3900</v>
      </c>
      <c r="F3078" s="20" t="s">
        <v>29</v>
      </c>
      <c r="G3078" s="53">
        <f t="shared" si="48"/>
        <v>-1.0754524950393345</v>
      </c>
      <c r="H3078" s="35"/>
      <c r="P3078" s="6"/>
    </row>
    <row r="3079" spans="1:16" ht="14.4" x14ac:dyDescent="0.25">
      <c r="A3079" s="6">
        <v>7295</v>
      </c>
      <c r="B3079" s="6">
        <v>52006</v>
      </c>
      <c r="C3079" s="19">
        <v>39988</v>
      </c>
      <c r="D3079" s="6" t="s">
        <v>16</v>
      </c>
      <c r="E3079" s="6">
        <f>IF((ISBLANK($B$1)),"",Sheet1!Q3087)</f>
        <v>5500</v>
      </c>
      <c r="F3079" s="20" t="s">
        <v>29</v>
      </c>
      <c r="G3079" s="53">
        <f t="shared" si="48"/>
        <v>1.1340743412959351</v>
      </c>
      <c r="H3079" s="35"/>
      <c r="P3079" s="6"/>
    </row>
    <row r="3080" spans="1:16" ht="14.4" x14ac:dyDescent="0.25">
      <c r="A3080" s="6">
        <v>7429</v>
      </c>
      <c r="B3080" s="6">
        <v>52934</v>
      </c>
      <c r="C3080" s="19">
        <v>40751</v>
      </c>
      <c r="D3080" s="6" t="s">
        <v>30</v>
      </c>
      <c r="E3080" s="6">
        <f>IF((ISBLANK($B$1)),"",Sheet1!Q3088)</f>
        <v>4400</v>
      </c>
      <c r="F3080" s="20" t="s">
        <v>26</v>
      </c>
      <c r="G3080" s="53">
        <f t="shared" ref="G3080:G3143" si="49">STANDARDIZE(E3080,$L$26,$L$35)</f>
        <v>-0.38497535868456267</v>
      </c>
      <c r="H3080" s="35"/>
      <c r="P3080" s="6"/>
    </row>
    <row r="3081" spans="1:16" ht="14.4" x14ac:dyDescent="0.25">
      <c r="A3081" s="6">
        <v>7555</v>
      </c>
      <c r="B3081" s="6">
        <v>54053</v>
      </c>
      <c r="C3081" s="19">
        <v>40953</v>
      </c>
      <c r="D3081" s="6" t="s">
        <v>17</v>
      </c>
      <c r="E3081" s="6">
        <f>IF((ISBLANK($B$1)),"",Sheet1!Q3089)</f>
        <v>4300</v>
      </c>
      <c r="F3081" s="20" t="s">
        <v>27</v>
      </c>
      <c r="G3081" s="53">
        <f t="shared" si="49"/>
        <v>-0.52307078595551704</v>
      </c>
      <c r="H3081" s="35"/>
      <c r="P3081" s="6"/>
    </row>
    <row r="3082" spans="1:16" ht="14.4" x14ac:dyDescent="0.25">
      <c r="A3082" s="6">
        <v>7708</v>
      </c>
      <c r="B3082" s="6">
        <v>55239</v>
      </c>
      <c r="C3082" s="19">
        <v>41246</v>
      </c>
      <c r="D3082" s="6" t="s">
        <v>30</v>
      </c>
      <c r="E3082" s="6">
        <f>IF((ISBLANK($B$1)),"",Sheet1!Q3090)</f>
        <v>4050</v>
      </c>
      <c r="F3082" s="20" t="s">
        <v>26</v>
      </c>
      <c r="G3082" s="53">
        <f t="shared" si="49"/>
        <v>-0.86830935413290289</v>
      </c>
      <c r="H3082" s="35"/>
      <c r="P3082" s="6"/>
    </row>
    <row r="3083" spans="1:16" ht="14.4" x14ac:dyDescent="0.25">
      <c r="A3083" s="6">
        <v>7739</v>
      </c>
      <c r="B3083" s="6">
        <v>55425</v>
      </c>
      <c r="C3083" s="19">
        <v>40848</v>
      </c>
      <c r="D3083" s="6" t="s">
        <v>30</v>
      </c>
      <c r="E3083" s="6">
        <f>IF((ISBLANK($B$1)),"",Sheet1!Q3091)</f>
        <v>3750</v>
      </c>
      <c r="F3083" s="20" t="s">
        <v>26</v>
      </c>
      <c r="G3083" s="53">
        <f t="shared" si="49"/>
        <v>-1.282595635945766</v>
      </c>
      <c r="H3083" s="35"/>
      <c r="P3083" s="6"/>
    </row>
    <row r="3084" spans="1:16" ht="14.4" x14ac:dyDescent="0.25">
      <c r="A3084" s="6">
        <v>7901</v>
      </c>
      <c r="B3084" s="6">
        <v>56515</v>
      </c>
      <c r="C3084" s="19">
        <v>40690</v>
      </c>
      <c r="D3084" s="6" t="s">
        <v>16</v>
      </c>
      <c r="E3084" s="6">
        <f>IF((ISBLANK($B$1)),"",Sheet1!Q3092)</f>
        <v>4250</v>
      </c>
      <c r="F3084" s="20" t="s">
        <v>29</v>
      </c>
      <c r="G3084" s="53">
        <f t="shared" si="49"/>
        <v>-0.59211849959099416</v>
      </c>
      <c r="H3084" s="35"/>
      <c r="P3084" s="6"/>
    </row>
    <row r="3085" spans="1:16" ht="14.4" x14ac:dyDescent="0.25">
      <c r="A3085" s="6">
        <v>8079</v>
      </c>
      <c r="B3085" s="6">
        <v>57638</v>
      </c>
      <c r="C3085" s="19">
        <v>41021</v>
      </c>
      <c r="D3085" s="6" t="s">
        <v>25</v>
      </c>
      <c r="E3085" s="6">
        <f>IF((ISBLANK($B$1)),"",Sheet1!Q3093)</f>
        <v>5150</v>
      </c>
      <c r="F3085" s="20" t="s">
        <v>29</v>
      </c>
      <c r="G3085" s="53">
        <f t="shared" si="49"/>
        <v>0.65074034584759488</v>
      </c>
      <c r="H3085" s="35"/>
      <c r="P3085" s="6"/>
    </row>
    <row r="3086" spans="1:16" ht="14.4" x14ac:dyDescent="0.25">
      <c r="A3086" s="6">
        <v>8195</v>
      </c>
      <c r="B3086" s="6">
        <v>58599</v>
      </c>
      <c r="C3086" s="19">
        <v>40192</v>
      </c>
      <c r="D3086" s="6" t="s">
        <v>30</v>
      </c>
      <c r="E3086" s="6">
        <f>IF((ISBLANK($B$1)),"",Sheet1!Q3094)</f>
        <v>5850</v>
      </c>
      <c r="F3086" s="20" t="s">
        <v>29</v>
      </c>
      <c r="G3086" s="53">
        <f t="shared" si="49"/>
        <v>1.6174083367442753</v>
      </c>
      <c r="H3086" s="35"/>
      <c r="P3086" s="6"/>
    </row>
    <row r="3087" spans="1:16" ht="14.4" x14ac:dyDescent="0.25">
      <c r="A3087" s="6">
        <v>8265</v>
      </c>
      <c r="B3087" s="6">
        <v>59075</v>
      </c>
      <c r="C3087" s="19">
        <v>40965</v>
      </c>
      <c r="D3087" s="6" t="s">
        <v>25</v>
      </c>
      <c r="E3087" s="6">
        <f>IF((ISBLANK($B$1)),"",Sheet1!Q3095)</f>
        <v>3600</v>
      </c>
      <c r="F3087" s="20" t="s">
        <v>27</v>
      </c>
      <c r="G3087" s="53">
        <f t="shared" si="49"/>
        <v>-1.4897387768521975</v>
      </c>
      <c r="H3087" s="35"/>
      <c r="P3087" s="6"/>
    </row>
    <row r="3088" spans="1:16" ht="14.4" x14ac:dyDescent="0.25">
      <c r="A3088" s="6">
        <v>8300</v>
      </c>
      <c r="B3088" s="6">
        <v>59270</v>
      </c>
      <c r="C3088" s="19">
        <v>40189</v>
      </c>
      <c r="D3088" s="6" t="s">
        <v>17</v>
      </c>
      <c r="E3088" s="6">
        <f>IF((ISBLANK($B$1)),"",Sheet1!Q3096)</f>
        <v>5750</v>
      </c>
      <c r="F3088" s="20" t="s">
        <v>27</v>
      </c>
      <c r="G3088" s="53">
        <f t="shared" si="49"/>
        <v>1.4793129094733208</v>
      </c>
      <c r="H3088" s="35"/>
      <c r="P3088" s="6"/>
    </row>
    <row r="3089" spans="1:16" ht="14.4" x14ac:dyDescent="0.25">
      <c r="A3089" s="6">
        <v>58</v>
      </c>
      <c r="B3089" s="6">
        <v>326</v>
      </c>
      <c r="C3089" s="19">
        <v>40697</v>
      </c>
      <c r="D3089" s="6" t="s">
        <v>17</v>
      </c>
      <c r="E3089" s="6">
        <f>IF((ISBLANK($B$1)),"",Sheet1!Q3097)</f>
        <v>5100</v>
      </c>
      <c r="F3089" s="20" t="s">
        <v>26</v>
      </c>
      <c r="G3089" s="53">
        <f t="shared" si="49"/>
        <v>0.58169263221211776</v>
      </c>
      <c r="H3089" s="35"/>
      <c r="P3089" s="6"/>
    </row>
    <row r="3090" spans="1:16" ht="14.4" x14ac:dyDescent="0.25">
      <c r="A3090" s="6">
        <v>59</v>
      </c>
      <c r="B3090" s="6">
        <v>326</v>
      </c>
      <c r="C3090" s="19">
        <v>40697</v>
      </c>
      <c r="D3090" s="6" t="s">
        <v>17</v>
      </c>
      <c r="E3090" s="6">
        <f>IF((ISBLANK($B$1)),"",Sheet1!Q3098)</f>
        <v>4250</v>
      </c>
      <c r="F3090" s="20" t="s">
        <v>26</v>
      </c>
      <c r="G3090" s="53">
        <f t="shared" si="49"/>
        <v>-0.59211849959099416</v>
      </c>
      <c r="H3090" s="35"/>
      <c r="P3090" s="6"/>
    </row>
    <row r="3091" spans="1:16" ht="14.4" x14ac:dyDescent="0.25">
      <c r="A3091" s="6">
        <v>99</v>
      </c>
      <c r="B3091" s="6">
        <v>614</v>
      </c>
      <c r="C3091" s="19">
        <v>41243</v>
      </c>
      <c r="D3091" s="6" t="s">
        <v>17</v>
      </c>
      <c r="E3091" s="6">
        <f>IF((ISBLANK($B$1)),"",Sheet1!Q3099)</f>
        <v>5450</v>
      </c>
      <c r="F3091" s="20" t="s">
        <v>29</v>
      </c>
      <c r="G3091" s="53">
        <f t="shared" si="49"/>
        <v>1.0650266276604579</v>
      </c>
      <c r="H3091" s="35"/>
      <c r="P3091" s="6"/>
    </row>
    <row r="3092" spans="1:16" ht="14.4" x14ac:dyDescent="0.25">
      <c r="A3092" s="6">
        <v>100</v>
      </c>
      <c r="B3092" s="6">
        <v>614</v>
      </c>
      <c r="C3092" s="19">
        <v>41243</v>
      </c>
      <c r="D3092" s="6" t="s">
        <v>17</v>
      </c>
      <c r="E3092" s="6">
        <f>IF((ISBLANK($B$1)),"",Sheet1!Q3100)</f>
        <v>4600</v>
      </c>
      <c r="F3092" s="20" t="s">
        <v>29</v>
      </c>
      <c r="G3092" s="53">
        <f t="shared" si="49"/>
        <v>-0.108784504142654</v>
      </c>
      <c r="H3092" s="35"/>
      <c r="P3092" s="6"/>
    </row>
    <row r="3093" spans="1:16" ht="14.4" x14ac:dyDescent="0.25">
      <c r="A3093" s="6">
        <v>139</v>
      </c>
      <c r="B3093" s="6">
        <v>898</v>
      </c>
      <c r="C3093" s="19">
        <v>40331</v>
      </c>
      <c r="D3093" s="6" t="s">
        <v>17</v>
      </c>
      <c r="E3093" s="6">
        <f>IF((ISBLANK($B$1)),"",Sheet1!Q3101)</f>
        <v>5400</v>
      </c>
      <c r="F3093" s="20" t="s">
        <v>27</v>
      </c>
      <c r="G3093" s="53">
        <f t="shared" si="49"/>
        <v>0.99597891402498073</v>
      </c>
      <c r="H3093" s="35"/>
      <c r="P3093" s="6"/>
    </row>
    <row r="3094" spans="1:16" ht="14.4" x14ac:dyDescent="0.25">
      <c r="A3094" s="6">
        <v>140</v>
      </c>
      <c r="B3094" s="6">
        <v>898</v>
      </c>
      <c r="C3094" s="19">
        <v>40331</v>
      </c>
      <c r="D3094" s="6" t="s">
        <v>17</v>
      </c>
      <c r="E3094" s="6">
        <f>IF((ISBLANK($B$1)),"",Sheet1!Q3102)</f>
        <v>4700</v>
      </c>
      <c r="F3094" s="20" t="s">
        <v>29</v>
      </c>
      <c r="G3094" s="53">
        <f t="shared" si="49"/>
        <v>2.9310923128300338E-2</v>
      </c>
      <c r="H3094" s="35"/>
      <c r="P3094" s="6"/>
    </row>
    <row r="3095" spans="1:16" ht="14.4" x14ac:dyDescent="0.25">
      <c r="A3095" s="6">
        <v>166</v>
      </c>
      <c r="B3095" s="6">
        <v>1031</v>
      </c>
      <c r="C3095" s="19">
        <v>40056</v>
      </c>
      <c r="D3095" s="6" t="s">
        <v>16</v>
      </c>
      <c r="E3095" s="6">
        <f>IF((ISBLANK($B$1)),"",Sheet1!Q3103)</f>
        <v>5100</v>
      </c>
      <c r="F3095" s="20" t="s">
        <v>26</v>
      </c>
      <c r="G3095" s="53">
        <f t="shared" si="49"/>
        <v>0.58169263221211776</v>
      </c>
      <c r="H3095" s="35"/>
      <c r="P3095" s="6"/>
    </row>
    <row r="3096" spans="1:16" ht="14.4" x14ac:dyDescent="0.25">
      <c r="A3096" s="6">
        <v>224</v>
      </c>
      <c r="B3096" s="6">
        <v>1447</v>
      </c>
      <c r="C3096" s="19">
        <v>41196</v>
      </c>
      <c r="D3096" s="6" t="s">
        <v>17</v>
      </c>
      <c r="E3096" s="6">
        <f>IF((ISBLANK($B$1)),"",Sheet1!Q3104)</f>
        <v>5400</v>
      </c>
      <c r="F3096" s="20" t="s">
        <v>27</v>
      </c>
      <c r="G3096" s="53">
        <f t="shared" si="49"/>
        <v>0.99597891402498073</v>
      </c>
      <c r="H3096" s="35"/>
      <c r="P3096" s="6"/>
    </row>
    <row r="3097" spans="1:16" ht="14.4" x14ac:dyDescent="0.25">
      <c r="A3097" s="6">
        <v>311</v>
      </c>
      <c r="B3097" s="6">
        <v>2150</v>
      </c>
      <c r="C3097" s="19">
        <v>39966</v>
      </c>
      <c r="D3097" s="6" t="s">
        <v>16</v>
      </c>
      <c r="E3097" s="6">
        <f>IF((ISBLANK($B$1)),"",Sheet1!Q3105)</f>
        <v>4450</v>
      </c>
      <c r="F3097" s="20" t="s">
        <v>29</v>
      </c>
      <c r="G3097" s="53">
        <f t="shared" si="49"/>
        <v>-0.31592764504908549</v>
      </c>
      <c r="H3097" s="35"/>
      <c r="P3097" s="6"/>
    </row>
    <row r="3098" spans="1:16" ht="14.4" x14ac:dyDescent="0.25">
      <c r="A3098" s="6">
        <v>320</v>
      </c>
      <c r="B3098" s="6">
        <v>2211</v>
      </c>
      <c r="C3098" s="19">
        <v>39993</v>
      </c>
      <c r="D3098" s="6" t="s">
        <v>17</v>
      </c>
      <c r="E3098" s="6">
        <f>IF((ISBLANK($B$1)),"",Sheet1!Q3106)</f>
        <v>4500</v>
      </c>
      <c r="F3098" s="20" t="s">
        <v>27</v>
      </c>
      <c r="G3098" s="53">
        <f t="shared" si="49"/>
        <v>-0.24687993141360834</v>
      </c>
      <c r="H3098" s="35"/>
      <c r="P3098" s="6"/>
    </row>
    <row r="3099" spans="1:16" ht="14.4" x14ac:dyDescent="0.25">
      <c r="A3099" s="6">
        <v>321</v>
      </c>
      <c r="B3099" s="6">
        <v>2211</v>
      </c>
      <c r="C3099" s="19">
        <v>39993</v>
      </c>
      <c r="D3099" s="6" t="s">
        <v>17</v>
      </c>
      <c r="E3099" s="6">
        <f>IF((ISBLANK($B$1)),"",Sheet1!Q3107)</f>
        <v>4100</v>
      </c>
      <c r="F3099" s="20" t="s">
        <v>26</v>
      </c>
      <c r="G3099" s="53">
        <f t="shared" si="49"/>
        <v>-0.79926164049742576</v>
      </c>
      <c r="H3099" s="35"/>
      <c r="P3099" s="6"/>
    </row>
    <row r="3100" spans="1:16" ht="14.4" x14ac:dyDescent="0.25">
      <c r="A3100" s="6">
        <v>322</v>
      </c>
      <c r="B3100" s="6">
        <v>2211</v>
      </c>
      <c r="C3100" s="19">
        <v>39993</v>
      </c>
      <c r="D3100" s="6" t="s">
        <v>17</v>
      </c>
      <c r="E3100" s="6">
        <f>IF((ISBLANK($B$1)),"",Sheet1!Q3108)</f>
        <v>4550</v>
      </c>
      <c r="F3100" s="20" t="s">
        <v>26</v>
      </c>
      <c r="G3100" s="53">
        <f t="shared" si="49"/>
        <v>-0.17783221777813119</v>
      </c>
      <c r="H3100" s="35"/>
      <c r="P3100" s="6"/>
    </row>
    <row r="3101" spans="1:16" ht="14.4" x14ac:dyDescent="0.25">
      <c r="A3101" s="6">
        <v>339</v>
      </c>
      <c r="B3101" s="6">
        <v>2307</v>
      </c>
      <c r="C3101" s="19">
        <v>40357</v>
      </c>
      <c r="D3101" s="6" t="s">
        <v>25</v>
      </c>
      <c r="E3101" s="6">
        <f>IF((ISBLANK($B$1)),"",Sheet1!Q3109)</f>
        <v>5000</v>
      </c>
      <c r="F3101" s="20" t="s">
        <v>26</v>
      </c>
      <c r="G3101" s="53">
        <f t="shared" si="49"/>
        <v>0.44359720494116334</v>
      </c>
      <c r="H3101" s="35"/>
      <c r="P3101" s="6"/>
    </row>
    <row r="3102" spans="1:16" ht="14.4" x14ac:dyDescent="0.25">
      <c r="A3102" s="6">
        <v>345</v>
      </c>
      <c r="B3102" s="6">
        <v>2370</v>
      </c>
      <c r="C3102" s="19">
        <v>39829</v>
      </c>
      <c r="D3102" s="6" t="s">
        <v>30</v>
      </c>
      <c r="E3102" s="6">
        <f>IF((ISBLANK($B$1)),"",Sheet1!Q3110)</f>
        <v>3700</v>
      </c>
      <c r="F3102" s="20" t="s">
        <v>29</v>
      </c>
      <c r="G3102" s="53">
        <f t="shared" si="49"/>
        <v>-1.351643349581243</v>
      </c>
      <c r="H3102" s="35"/>
      <c r="P3102" s="6"/>
    </row>
    <row r="3103" spans="1:16" ht="14.4" x14ac:dyDescent="0.25">
      <c r="A3103" s="6">
        <v>346</v>
      </c>
      <c r="B3103" s="6">
        <v>2370</v>
      </c>
      <c r="C3103" s="19">
        <v>39829</v>
      </c>
      <c r="D3103" s="6" t="s">
        <v>30</v>
      </c>
      <c r="E3103" s="6">
        <f>IF((ISBLANK($B$1)),"",Sheet1!Q3111)</f>
        <v>4900</v>
      </c>
      <c r="F3103" s="20" t="s">
        <v>26</v>
      </c>
      <c r="G3103" s="53">
        <f t="shared" si="49"/>
        <v>0.30550177767020903</v>
      </c>
      <c r="H3103" s="35"/>
      <c r="P3103" s="6"/>
    </row>
    <row r="3104" spans="1:16" ht="14.4" x14ac:dyDescent="0.25">
      <c r="A3104" s="6">
        <v>348</v>
      </c>
      <c r="B3104" s="6">
        <v>2374</v>
      </c>
      <c r="C3104" s="19">
        <v>40479</v>
      </c>
      <c r="D3104" s="6" t="s">
        <v>28</v>
      </c>
      <c r="E3104" s="6">
        <f>IF((ISBLANK($B$1)),"",Sheet1!Q3112)</f>
        <v>4450</v>
      </c>
      <c r="F3104" s="20" t="s">
        <v>26</v>
      </c>
      <c r="G3104" s="53">
        <f t="shared" si="49"/>
        <v>-0.31592764504908549</v>
      </c>
      <c r="H3104" s="35"/>
      <c r="P3104" s="6"/>
    </row>
    <row r="3105" spans="1:16" ht="14.4" x14ac:dyDescent="0.25">
      <c r="A3105" s="6">
        <v>462</v>
      </c>
      <c r="B3105" s="6">
        <v>3138</v>
      </c>
      <c r="C3105" s="19">
        <v>39852</v>
      </c>
      <c r="D3105" s="6" t="s">
        <v>28</v>
      </c>
      <c r="E3105" s="6">
        <f>IF((ISBLANK($B$1)),"",Sheet1!Q3113)</f>
        <v>3600</v>
      </c>
      <c r="F3105" s="20" t="s">
        <v>27</v>
      </c>
      <c r="G3105" s="53">
        <f t="shared" si="49"/>
        <v>-1.4897387768521975</v>
      </c>
      <c r="H3105" s="35"/>
      <c r="P3105" s="6"/>
    </row>
    <row r="3106" spans="1:16" ht="14.4" x14ac:dyDescent="0.25">
      <c r="A3106" s="6">
        <v>463</v>
      </c>
      <c r="B3106" s="6">
        <v>3141</v>
      </c>
      <c r="C3106" s="19">
        <v>40856</v>
      </c>
      <c r="D3106" s="6" t="s">
        <v>30</v>
      </c>
      <c r="E3106" s="6">
        <f>IF((ISBLANK($B$1)),"",Sheet1!Q3114)</f>
        <v>4900</v>
      </c>
      <c r="F3106" s="20" t="s">
        <v>27</v>
      </c>
      <c r="G3106" s="53">
        <f t="shared" si="49"/>
        <v>0.30550177767020903</v>
      </c>
      <c r="H3106" s="35"/>
      <c r="P3106" s="6"/>
    </row>
    <row r="3107" spans="1:16" ht="14.4" x14ac:dyDescent="0.25">
      <c r="A3107" s="6">
        <v>641</v>
      </c>
      <c r="B3107" s="6">
        <v>4515</v>
      </c>
      <c r="C3107" s="19">
        <v>40984</v>
      </c>
      <c r="D3107" s="6" t="s">
        <v>30</v>
      </c>
      <c r="E3107" s="6">
        <f>IF((ISBLANK($B$1)),"",Sheet1!Q3115)</f>
        <v>3750</v>
      </c>
      <c r="F3107" s="20" t="s">
        <v>27</v>
      </c>
      <c r="G3107" s="53">
        <f t="shared" si="49"/>
        <v>-1.282595635945766</v>
      </c>
      <c r="H3107" s="35"/>
      <c r="P3107" s="6"/>
    </row>
    <row r="3108" spans="1:16" ht="14.4" x14ac:dyDescent="0.25">
      <c r="A3108" s="6">
        <v>675</v>
      </c>
      <c r="B3108" s="6">
        <v>4708</v>
      </c>
      <c r="C3108" s="19">
        <v>40086</v>
      </c>
      <c r="D3108" s="6" t="s">
        <v>30</v>
      </c>
      <c r="E3108" s="6">
        <f>IF((ISBLANK($B$1)),"",Sheet1!Q3116)</f>
        <v>4850</v>
      </c>
      <c r="F3108" s="20" t="s">
        <v>26</v>
      </c>
      <c r="G3108" s="53">
        <f t="shared" si="49"/>
        <v>0.23645406403473185</v>
      </c>
      <c r="H3108" s="35"/>
      <c r="P3108" s="6"/>
    </row>
    <row r="3109" spans="1:16" ht="14.4" x14ac:dyDescent="0.25">
      <c r="A3109" s="6">
        <v>720</v>
      </c>
      <c r="B3109" s="6">
        <v>5155</v>
      </c>
      <c r="C3109" s="19">
        <v>39975</v>
      </c>
      <c r="D3109" s="6" t="s">
        <v>17</v>
      </c>
      <c r="E3109" s="6">
        <f>IF((ISBLANK($B$1)),"",Sheet1!Q3117)</f>
        <v>4100</v>
      </c>
      <c r="F3109" s="20" t="s">
        <v>27</v>
      </c>
      <c r="G3109" s="53">
        <f t="shared" si="49"/>
        <v>-0.79926164049742576</v>
      </c>
      <c r="H3109" s="35"/>
      <c r="P3109" s="6"/>
    </row>
    <row r="3110" spans="1:16" ht="14.4" x14ac:dyDescent="0.25">
      <c r="A3110" s="6">
        <v>752</v>
      </c>
      <c r="B3110" s="6">
        <v>5382</v>
      </c>
      <c r="C3110" s="19">
        <v>40920</v>
      </c>
      <c r="D3110" s="6" t="s">
        <v>25</v>
      </c>
      <c r="E3110" s="6">
        <f>IF((ISBLANK($B$1)),"",Sheet1!Q3118)</f>
        <v>4900</v>
      </c>
      <c r="F3110" s="20" t="s">
        <v>29</v>
      </c>
      <c r="G3110" s="53">
        <f t="shared" si="49"/>
        <v>0.30550177767020903</v>
      </c>
      <c r="H3110" s="35"/>
      <c r="P3110" s="6"/>
    </row>
    <row r="3111" spans="1:16" ht="14.4" x14ac:dyDescent="0.25">
      <c r="A3111" s="6">
        <v>756</v>
      </c>
      <c r="B3111" s="6">
        <v>5414</v>
      </c>
      <c r="C3111" s="19">
        <v>40261</v>
      </c>
      <c r="D3111" s="6" t="s">
        <v>28</v>
      </c>
      <c r="E3111" s="6">
        <f>IF((ISBLANK($B$1)),"",Sheet1!Q3119)</f>
        <v>4100</v>
      </c>
      <c r="F3111" s="20" t="s">
        <v>26</v>
      </c>
      <c r="G3111" s="53">
        <f t="shared" si="49"/>
        <v>-0.79926164049742576</v>
      </c>
      <c r="H3111" s="35"/>
      <c r="P3111" s="6"/>
    </row>
    <row r="3112" spans="1:16" ht="14.4" x14ac:dyDescent="0.25">
      <c r="A3112" s="6">
        <v>894</v>
      </c>
      <c r="B3112" s="6">
        <v>6433</v>
      </c>
      <c r="C3112" s="19">
        <v>40869</v>
      </c>
      <c r="D3112" s="6" t="s">
        <v>16</v>
      </c>
      <c r="E3112" s="6">
        <f>IF((ISBLANK($B$1)),"",Sheet1!Q3120)</f>
        <v>5450</v>
      </c>
      <c r="F3112" s="20" t="s">
        <v>26</v>
      </c>
      <c r="G3112" s="53">
        <f t="shared" si="49"/>
        <v>1.0650266276604579</v>
      </c>
      <c r="H3112" s="35"/>
      <c r="P3112" s="6"/>
    </row>
    <row r="3113" spans="1:16" ht="14.4" x14ac:dyDescent="0.25">
      <c r="A3113" s="6">
        <v>898</v>
      </c>
      <c r="B3113" s="6">
        <v>6464</v>
      </c>
      <c r="C3113" s="19">
        <v>39961</v>
      </c>
      <c r="D3113" s="6" t="s">
        <v>16</v>
      </c>
      <c r="E3113" s="6">
        <f>IF((ISBLANK($B$1)),"",Sheet1!Q3121)</f>
        <v>3450</v>
      </c>
      <c r="F3113" s="20" t="s">
        <v>26</v>
      </c>
      <c r="G3113" s="53">
        <f t="shared" si="49"/>
        <v>-1.696881917758629</v>
      </c>
      <c r="H3113" s="35"/>
      <c r="P3113" s="6"/>
    </row>
    <row r="3114" spans="1:16" ht="14.4" x14ac:dyDescent="0.25">
      <c r="A3114" s="6">
        <v>899</v>
      </c>
      <c r="B3114" s="6">
        <v>6464</v>
      </c>
      <c r="C3114" s="19">
        <v>39961</v>
      </c>
      <c r="D3114" s="6" t="s">
        <v>16</v>
      </c>
      <c r="E3114" s="6">
        <f>IF((ISBLANK($B$1)),"",Sheet1!Q3122)</f>
        <v>5500</v>
      </c>
      <c r="F3114" s="20" t="s">
        <v>29</v>
      </c>
      <c r="G3114" s="53">
        <f t="shared" si="49"/>
        <v>1.1340743412959351</v>
      </c>
      <c r="H3114" s="35"/>
      <c r="P3114" s="6"/>
    </row>
    <row r="3115" spans="1:16" ht="14.4" x14ac:dyDescent="0.25">
      <c r="A3115" s="6">
        <v>1064</v>
      </c>
      <c r="B3115" s="6">
        <v>7846</v>
      </c>
      <c r="C3115" s="19">
        <v>40719</v>
      </c>
      <c r="D3115" s="6" t="s">
        <v>25</v>
      </c>
      <c r="E3115" s="6">
        <f>IF((ISBLANK($B$1)),"",Sheet1!Q3123)</f>
        <v>5750</v>
      </c>
      <c r="F3115" s="20" t="s">
        <v>26</v>
      </c>
      <c r="G3115" s="53">
        <f t="shared" si="49"/>
        <v>1.4793129094733208</v>
      </c>
      <c r="H3115" s="35"/>
      <c r="P3115" s="6"/>
    </row>
    <row r="3116" spans="1:16" ht="14.4" x14ac:dyDescent="0.25">
      <c r="A3116" s="6">
        <v>1065</v>
      </c>
      <c r="B3116" s="6">
        <v>7846</v>
      </c>
      <c r="C3116" s="19">
        <v>40719</v>
      </c>
      <c r="D3116" s="6" t="s">
        <v>25</v>
      </c>
      <c r="E3116" s="6">
        <f>IF((ISBLANK($B$1)),"",Sheet1!Q3124)</f>
        <v>4400</v>
      </c>
      <c r="F3116" s="20" t="s">
        <v>26</v>
      </c>
      <c r="G3116" s="53">
        <f t="shared" si="49"/>
        <v>-0.38497535868456267</v>
      </c>
      <c r="H3116" s="35"/>
      <c r="P3116" s="6"/>
    </row>
    <row r="3117" spans="1:16" ht="14.4" x14ac:dyDescent="0.25">
      <c r="A3117" s="6">
        <v>1066</v>
      </c>
      <c r="B3117" s="6">
        <v>7846</v>
      </c>
      <c r="C3117" s="19">
        <v>40719</v>
      </c>
      <c r="D3117" s="6" t="s">
        <v>25</v>
      </c>
      <c r="E3117" s="6">
        <f>IF((ISBLANK($B$1)),"",Sheet1!Q3125)</f>
        <v>4400</v>
      </c>
      <c r="F3117" s="20" t="s">
        <v>27</v>
      </c>
      <c r="G3117" s="53">
        <f t="shared" si="49"/>
        <v>-0.38497535868456267</v>
      </c>
      <c r="H3117" s="35"/>
      <c r="P3117" s="6"/>
    </row>
    <row r="3118" spans="1:16" ht="14.4" x14ac:dyDescent="0.25">
      <c r="A3118" s="6">
        <v>1067</v>
      </c>
      <c r="B3118" s="6">
        <v>7846</v>
      </c>
      <c r="C3118" s="19">
        <v>40719</v>
      </c>
      <c r="D3118" s="6" t="s">
        <v>25</v>
      </c>
      <c r="E3118" s="6">
        <f>IF((ISBLANK($B$1)),"",Sheet1!Q3126)</f>
        <v>4000</v>
      </c>
      <c r="F3118" s="20" t="s">
        <v>29</v>
      </c>
      <c r="G3118" s="53">
        <f t="shared" si="49"/>
        <v>-0.93735706776838001</v>
      </c>
      <c r="H3118" s="35"/>
      <c r="P3118" s="6"/>
    </row>
    <row r="3119" spans="1:16" ht="14.4" x14ac:dyDescent="0.25">
      <c r="A3119" s="6">
        <v>1077</v>
      </c>
      <c r="B3119" s="6">
        <v>7936</v>
      </c>
      <c r="C3119" s="19">
        <v>40273</v>
      </c>
      <c r="D3119" s="6" t="s">
        <v>25</v>
      </c>
      <c r="E3119" s="6">
        <f>IF((ISBLANK($B$1)),"",Sheet1!Q3127)</f>
        <v>5900</v>
      </c>
      <c r="F3119" s="20" t="s">
        <v>29</v>
      </c>
      <c r="G3119" s="53">
        <f t="shared" si="49"/>
        <v>1.6864560503797523</v>
      </c>
      <c r="H3119" s="35"/>
      <c r="P3119" s="6"/>
    </row>
    <row r="3120" spans="1:16" ht="14.4" x14ac:dyDescent="0.25">
      <c r="A3120" s="6">
        <v>1078</v>
      </c>
      <c r="B3120" s="6">
        <v>7936</v>
      </c>
      <c r="C3120" s="19">
        <v>40273</v>
      </c>
      <c r="D3120" s="6" t="s">
        <v>25</v>
      </c>
      <c r="E3120" s="6">
        <f>IF((ISBLANK($B$1)),"",Sheet1!Q3128)</f>
        <v>4150</v>
      </c>
      <c r="F3120" s="20" t="s">
        <v>26</v>
      </c>
      <c r="G3120" s="53">
        <f t="shared" si="49"/>
        <v>-0.73021392686194853</v>
      </c>
      <c r="H3120" s="35"/>
      <c r="P3120" s="6"/>
    </row>
    <row r="3121" spans="1:16" ht="14.4" x14ac:dyDescent="0.25">
      <c r="A3121" s="6">
        <v>1118</v>
      </c>
      <c r="B3121" s="6">
        <v>8195</v>
      </c>
      <c r="C3121" s="19">
        <v>40549</v>
      </c>
      <c r="D3121" s="6" t="s">
        <v>16</v>
      </c>
      <c r="E3121" s="6">
        <f>IF((ISBLANK($B$1)),"",Sheet1!Q3129)</f>
        <v>3650</v>
      </c>
      <c r="F3121" s="20" t="s">
        <v>26</v>
      </c>
      <c r="G3121" s="53">
        <f t="shared" si="49"/>
        <v>-1.4206910632167202</v>
      </c>
      <c r="H3121" s="35"/>
      <c r="P3121" s="6"/>
    </row>
    <row r="3122" spans="1:16" ht="14.4" x14ac:dyDescent="0.25">
      <c r="A3122" s="6">
        <v>1119</v>
      </c>
      <c r="B3122" s="6">
        <v>8195</v>
      </c>
      <c r="C3122" s="19">
        <v>40549</v>
      </c>
      <c r="D3122" s="6" t="s">
        <v>16</v>
      </c>
      <c r="E3122" s="6">
        <f>IF((ISBLANK($B$1)),"",Sheet1!Q3130)</f>
        <v>3450</v>
      </c>
      <c r="F3122" s="20" t="s">
        <v>29</v>
      </c>
      <c r="G3122" s="53">
        <f t="shared" si="49"/>
        <v>-1.696881917758629</v>
      </c>
      <c r="H3122" s="35"/>
      <c r="P3122" s="6"/>
    </row>
    <row r="3123" spans="1:16" ht="14.4" x14ac:dyDescent="0.25">
      <c r="A3123" s="6">
        <v>1120</v>
      </c>
      <c r="B3123" s="6">
        <v>8195</v>
      </c>
      <c r="C3123" s="19">
        <v>40549</v>
      </c>
      <c r="D3123" s="6" t="s">
        <v>16</v>
      </c>
      <c r="E3123" s="6">
        <f>IF((ISBLANK($B$1)),"",Sheet1!Q3131)</f>
        <v>4700</v>
      </c>
      <c r="F3123" s="20" t="s">
        <v>26</v>
      </c>
      <c r="G3123" s="53">
        <f t="shared" si="49"/>
        <v>2.9310923128300338E-2</v>
      </c>
      <c r="H3123" s="35"/>
      <c r="P3123" s="6"/>
    </row>
    <row r="3124" spans="1:16" ht="14.4" x14ac:dyDescent="0.25">
      <c r="A3124" s="6">
        <v>1137</v>
      </c>
      <c r="B3124" s="6">
        <v>8293</v>
      </c>
      <c r="C3124" s="19">
        <v>41131</v>
      </c>
      <c r="D3124" s="6" t="s">
        <v>25</v>
      </c>
      <c r="E3124" s="6">
        <f>IF((ISBLANK($B$1)),"",Sheet1!Q3132)</f>
        <v>5900</v>
      </c>
      <c r="F3124" s="20" t="s">
        <v>27</v>
      </c>
      <c r="G3124" s="53">
        <f t="shared" si="49"/>
        <v>1.6864560503797523</v>
      </c>
      <c r="H3124" s="35"/>
      <c r="P3124" s="6"/>
    </row>
    <row r="3125" spans="1:16" ht="14.4" x14ac:dyDescent="0.25">
      <c r="A3125" s="6">
        <v>1270</v>
      </c>
      <c r="B3125" s="6">
        <v>9248</v>
      </c>
      <c r="C3125" s="19">
        <v>40170</v>
      </c>
      <c r="D3125" s="6" t="s">
        <v>28</v>
      </c>
      <c r="E3125" s="6">
        <f>IF((ISBLANK($B$1)),"",Sheet1!Q3133)</f>
        <v>5450</v>
      </c>
      <c r="F3125" s="20" t="s">
        <v>29</v>
      </c>
      <c r="G3125" s="53">
        <f t="shared" si="49"/>
        <v>1.0650266276604579</v>
      </c>
      <c r="H3125" s="35"/>
      <c r="P3125" s="6"/>
    </row>
    <row r="3126" spans="1:16" ht="14.4" x14ac:dyDescent="0.25">
      <c r="A3126" s="6">
        <v>1284</v>
      </c>
      <c r="B3126" s="6">
        <v>9347</v>
      </c>
      <c r="C3126" s="19">
        <v>41130</v>
      </c>
      <c r="D3126" s="6" t="s">
        <v>25</v>
      </c>
      <c r="E3126" s="6">
        <f>IF((ISBLANK($B$1)),"",Sheet1!Q3134)</f>
        <v>4950</v>
      </c>
      <c r="F3126" s="20" t="s">
        <v>26</v>
      </c>
      <c r="G3126" s="53">
        <f t="shared" si="49"/>
        <v>0.37454949130568621</v>
      </c>
      <c r="H3126" s="35"/>
      <c r="P3126" s="6"/>
    </row>
    <row r="3127" spans="1:16" ht="14.4" x14ac:dyDescent="0.25">
      <c r="A3127" s="6">
        <v>1289</v>
      </c>
      <c r="B3127" s="6">
        <v>9472</v>
      </c>
      <c r="C3127" s="19">
        <v>40710</v>
      </c>
      <c r="D3127" s="6" t="s">
        <v>30</v>
      </c>
      <c r="E3127" s="6">
        <f>IF((ISBLANK($B$1)),"",Sheet1!Q3135)</f>
        <v>4250</v>
      </c>
      <c r="F3127" s="20" t="s">
        <v>26</v>
      </c>
      <c r="G3127" s="53">
        <f t="shared" si="49"/>
        <v>-0.59211849959099416</v>
      </c>
      <c r="H3127" s="35"/>
      <c r="P3127" s="6"/>
    </row>
    <row r="3128" spans="1:16" ht="14.4" x14ac:dyDescent="0.25">
      <c r="A3128" s="6">
        <v>1333</v>
      </c>
      <c r="B3128" s="6">
        <v>9733</v>
      </c>
      <c r="C3128" s="19">
        <v>39889</v>
      </c>
      <c r="D3128" s="6" t="s">
        <v>28</v>
      </c>
      <c r="E3128" s="6">
        <f>IF((ISBLANK($B$1)),"",Sheet1!Q3136)</f>
        <v>5350</v>
      </c>
      <c r="F3128" s="20" t="s">
        <v>26</v>
      </c>
      <c r="G3128" s="53">
        <f t="shared" si="49"/>
        <v>0.92693120038950361</v>
      </c>
      <c r="H3128" s="35"/>
      <c r="P3128" s="6"/>
    </row>
    <row r="3129" spans="1:16" ht="14.4" x14ac:dyDescent="0.25">
      <c r="A3129" s="6">
        <v>1388</v>
      </c>
      <c r="B3129" s="6">
        <v>10054</v>
      </c>
      <c r="C3129" s="19">
        <v>40661</v>
      </c>
      <c r="D3129" s="6" t="s">
        <v>17</v>
      </c>
      <c r="E3129" s="6">
        <f>IF((ISBLANK($B$1)),"",Sheet1!Q3137)</f>
        <v>3500</v>
      </c>
      <c r="F3129" s="20" t="s">
        <v>29</v>
      </c>
      <c r="G3129" s="53">
        <f t="shared" si="49"/>
        <v>-1.6278342041231517</v>
      </c>
      <c r="H3129" s="35"/>
      <c r="P3129" s="6"/>
    </row>
    <row r="3130" spans="1:16" ht="14.4" x14ac:dyDescent="0.25">
      <c r="A3130" s="6">
        <v>1389</v>
      </c>
      <c r="B3130" s="6">
        <v>10054</v>
      </c>
      <c r="C3130" s="19">
        <v>40661</v>
      </c>
      <c r="D3130" s="6" t="s">
        <v>17</v>
      </c>
      <c r="E3130" s="6">
        <f>IF((ISBLANK($B$1)),"",Sheet1!Q3138)</f>
        <v>3500</v>
      </c>
      <c r="F3130" s="20" t="s">
        <v>27</v>
      </c>
      <c r="G3130" s="53">
        <f t="shared" si="49"/>
        <v>-1.6278342041231517</v>
      </c>
      <c r="H3130" s="35"/>
      <c r="P3130" s="6"/>
    </row>
    <row r="3131" spans="1:16" ht="14.4" x14ac:dyDescent="0.25">
      <c r="A3131" s="6">
        <v>1471</v>
      </c>
      <c r="B3131" s="6">
        <v>10627</v>
      </c>
      <c r="C3131" s="19">
        <v>40233</v>
      </c>
      <c r="D3131" s="6" t="s">
        <v>25</v>
      </c>
      <c r="E3131" s="6">
        <f>IF((ISBLANK($B$1)),"",Sheet1!Q3139)</f>
        <v>3600</v>
      </c>
      <c r="F3131" s="20" t="s">
        <v>26</v>
      </c>
      <c r="G3131" s="53">
        <f t="shared" si="49"/>
        <v>-1.4897387768521975</v>
      </c>
      <c r="H3131" s="35"/>
      <c r="P3131" s="6"/>
    </row>
    <row r="3132" spans="1:16" ht="14.4" x14ac:dyDescent="0.25">
      <c r="A3132" s="6">
        <v>1472</v>
      </c>
      <c r="B3132" s="6">
        <v>10629</v>
      </c>
      <c r="C3132" s="19">
        <v>40067</v>
      </c>
      <c r="D3132" s="6" t="s">
        <v>30</v>
      </c>
      <c r="E3132" s="6">
        <f>IF((ISBLANK($B$1)),"",Sheet1!Q3140)</f>
        <v>5350</v>
      </c>
      <c r="F3132" s="20" t="s">
        <v>29</v>
      </c>
      <c r="G3132" s="53">
        <f t="shared" si="49"/>
        <v>0.92693120038950361</v>
      </c>
      <c r="H3132" s="35"/>
      <c r="P3132" s="6"/>
    </row>
    <row r="3133" spans="1:16" ht="14.4" x14ac:dyDescent="0.25">
      <c r="A3133" s="6">
        <v>1473</v>
      </c>
      <c r="B3133" s="6">
        <v>10629</v>
      </c>
      <c r="C3133" s="19">
        <v>40067</v>
      </c>
      <c r="D3133" s="6" t="s">
        <v>30</v>
      </c>
      <c r="E3133" s="6">
        <f>IF((ISBLANK($B$1)),"",Sheet1!Q3141)</f>
        <v>4100</v>
      </c>
      <c r="F3133" s="20" t="s">
        <v>26</v>
      </c>
      <c r="G3133" s="53">
        <f t="shared" si="49"/>
        <v>-0.79926164049742576</v>
      </c>
      <c r="H3133" s="35"/>
      <c r="P3133" s="6"/>
    </row>
    <row r="3134" spans="1:16" ht="14.4" x14ac:dyDescent="0.25">
      <c r="A3134" s="6">
        <v>1493</v>
      </c>
      <c r="B3134" s="6">
        <v>10784</v>
      </c>
      <c r="C3134" s="19">
        <v>40364</v>
      </c>
      <c r="D3134" s="6" t="s">
        <v>28</v>
      </c>
      <c r="E3134" s="6">
        <f>IF((ISBLANK($B$1)),"",Sheet1!Q3142)</f>
        <v>3500</v>
      </c>
      <c r="F3134" s="20" t="s">
        <v>26</v>
      </c>
      <c r="G3134" s="53">
        <f t="shared" si="49"/>
        <v>-1.6278342041231517</v>
      </c>
      <c r="H3134" s="35"/>
      <c r="P3134" s="6"/>
    </row>
    <row r="3135" spans="1:16" ht="14.4" x14ac:dyDescent="0.25">
      <c r="A3135" s="6">
        <v>1494</v>
      </c>
      <c r="B3135" s="6">
        <v>10784</v>
      </c>
      <c r="C3135" s="19">
        <v>40364</v>
      </c>
      <c r="D3135" s="6" t="s">
        <v>28</v>
      </c>
      <c r="E3135" s="6">
        <f>IF((ISBLANK($B$1)),"",Sheet1!Q3143)</f>
        <v>4900</v>
      </c>
      <c r="F3135" s="20" t="s">
        <v>26</v>
      </c>
      <c r="G3135" s="53">
        <f t="shared" si="49"/>
        <v>0.30550177767020903</v>
      </c>
      <c r="H3135" s="35"/>
      <c r="P3135" s="6"/>
    </row>
    <row r="3136" spans="1:16" ht="14.4" x14ac:dyDescent="0.25">
      <c r="A3136" s="6">
        <v>1500</v>
      </c>
      <c r="B3136" s="6">
        <v>10823</v>
      </c>
      <c r="C3136" s="19">
        <v>41072</v>
      </c>
      <c r="D3136" s="6" t="s">
        <v>25</v>
      </c>
      <c r="E3136" s="6">
        <f>IF((ISBLANK($B$1)),"",Sheet1!Q3144)</f>
        <v>3550</v>
      </c>
      <c r="F3136" s="20" t="s">
        <v>26</v>
      </c>
      <c r="G3136" s="53">
        <f t="shared" si="49"/>
        <v>-1.5587864904876745</v>
      </c>
      <c r="H3136" s="35"/>
      <c r="P3136" s="6"/>
    </row>
    <row r="3137" spans="1:16" ht="14.4" x14ac:dyDescent="0.25">
      <c r="A3137" s="6">
        <v>1511</v>
      </c>
      <c r="B3137" s="6">
        <v>10919</v>
      </c>
      <c r="C3137" s="19">
        <v>40264</v>
      </c>
      <c r="D3137" s="6" t="s">
        <v>17</v>
      </c>
      <c r="E3137" s="6">
        <f>IF((ISBLANK($B$1)),"",Sheet1!Q3145)</f>
        <v>5500</v>
      </c>
      <c r="F3137" s="20" t="s">
        <v>26</v>
      </c>
      <c r="G3137" s="53">
        <f t="shared" si="49"/>
        <v>1.1340743412959351</v>
      </c>
      <c r="H3137" s="35"/>
      <c r="P3137" s="6"/>
    </row>
    <row r="3138" spans="1:16" ht="14.4" x14ac:dyDescent="0.25">
      <c r="A3138" s="6">
        <v>1585</v>
      </c>
      <c r="B3138" s="6">
        <v>11429</v>
      </c>
      <c r="C3138" s="19">
        <v>40240</v>
      </c>
      <c r="D3138" s="6" t="s">
        <v>25</v>
      </c>
      <c r="E3138" s="6">
        <f>IF((ISBLANK($B$1)),"",Sheet1!Q3146)</f>
        <v>5350</v>
      </c>
      <c r="F3138" s="20" t="s">
        <v>26</v>
      </c>
      <c r="G3138" s="53">
        <f t="shared" si="49"/>
        <v>0.92693120038950361</v>
      </c>
      <c r="H3138" s="35"/>
      <c r="P3138" s="6"/>
    </row>
    <row r="3139" spans="1:16" ht="14.4" x14ac:dyDescent="0.25">
      <c r="A3139" s="6">
        <v>1586</v>
      </c>
      <c r="B3139" s="6">
        <v>11429</v>
      </c>
      <c r="C3139" s="19">
        <v>40240</v>
      </c>
      <c r="D3139" s="6" t="s">
        <v>25</v>
      </c>
      <c r="E3139" s="6">
        <f>IF((ISBLANK($B$1)),"",Sheet1!Q3147)</f>
        <v>5700</v>
      </c>
      <c r="F3139" s="20" t="s">
        <v>29</v>
      </c>
      <c r="G3139" s="53">
        <f t="shared" si="49"/>
        <v>1.4102651958378438</v>
      </c>
      <c r="H3139" s="35"/>
      <c r="P3139" s="6"/>
    </row>
    <row r="3140" spans="1:16" ht="14.4" x14ac:dyDescent="0.25">
      <c r="A3140" s="6">
        <v>1605</v>
      </c>
      <c r="B3140" s="6">
        <v>11650</v>
      </c>
      <c r="C3140" s="19">
        <v>41176</v>
      </c>
      <c r="D3140" s="6" t="s">
        <v>28</v>
      </c>
      <c r="E3140" s="6">
        <f>IF((ISBLANK($B$1)),"",Sheet1!Q3148)</f>
        <v>4700</v>
      </c>
      <c r="F3140" s="20" t="s">
        <v>26</v>
      </c>
      <c r="G3140" s="53">
        <f t="shared" si="49"/>
        <v>2.9310923128300338E-2</v>
      </c>
      <c r="H3140" s="35"/>
      <c r="P3140" s="6"/>
    </row>
    <row r="3141" spans="1:16" ht="14.4" x14ac:dyDescent="0.25">
      <c r="A3141" s="6">
        <v>1793</v>
      </c>
      <c r="B3141" s="6">
        <v>12837</v>
      </c>
      <c r="C3141" s="19">
        <v>41245</v>
      </c>
      <c r="D3141" s="6" t="s">
        <v>16</v>
      </c>
      <c r="E3141" s="6">
        <f>IF((ISBLANK($B$1)),"",Sheet1!Q3149)</f>
        <v>5900</v>
      </c>
      <c r="F3141" s="20" t="s">
        <v>27</v>
      </c>
      <c r="G3141" s="53">
        <f t="shared" si="49"/>
        <v>1.6864560503797523</v>
      </c>
      <c r="H3141" s="35"/>
      <c r="P3141" s="6"/>
    </row>
    <row r="3142" spans="1:16" ht="14.4" x14ac:dyDescent="0.25">
      <c r="A3142" s="6">
        <v>1856</v>
      </c>
      <c r="B3142" s="6">
        <v>13347</v>
      </c>
      <c r="C3142" s="19">
        <v>40291</v>
      </c>
      <c r="D3142" s="6" t="s">
        <v>28</v>
      </c>
      <c r="E3142" s="6">
        <f>IF((ISBLANK($B$1)),"",Sheet1!Q3150)</f>
        <v>4600</v>
      </c>
      <c r="F3142" s="20" t="s">
        <v>26</v>
      </c>
      <c r="G3142" s="53">
        <f t="shared" si="49"/>
        <v>-0.108784504142654</v>
      </c>
      <c r="H3142" s="35"/>
      <c r="P3142" s="6"/>
    </row>
    <row r="3143" spans="1:16" ht="14.4" x14ac:dyDescent="0.25">
      <c r="A3143" s="6">
        <v>1861</v>
      </c>
      <c r="B3143" s="6">
        <v>13381</v>
      </c>
      <c r="C3143" s="19">
        <v>40772</v>
      </c>
      <c r="D3143" s="6" t="s">
        <v>16</v>
      </c>
      <c r="E3143" s="6">
        <f>IF((ISBLANK($B$1)),"",Sheet1!Q3151)</f>
        <v>5450</v>
      </c>
      <c r="F3143" s="20" t="s">
        <v>29</v>
      </c>
      <c r="G3143" s="53">
        <f t="shared" si="49"/>
        <v>1.0650266276604579</v>
      </c>
      <c r="H3143" s="35"/>
      <c r="P3143" s="6"/>
    </row>
    <row r="3144" spans="1:16" ht="14.4" x14ac:dyDescent="0.25">
      <c r="A3144" s="6">
        <v>1905</v>
      </c>
      <c r="B3144" s="6">
        <v>13634</v>
      </c>
      <c r="C3144" s="19">
        <v>40651</v>
      </c>
      <c r="D3144" s="6" t="s">
        <v>17</v>
      </c>
      <c r="E3144" s="6">
        <f>IF((ISBLANK($B$1)),"",Sheet1!Q3152)</f>
        <v>5700</v>
      </c>
      <c r="F3144" s="20" t="s">
        <v>27</v>
      </c>
      <c r="G3144" s="53">
        <f t="shared" ref="G3144:G3207" si="50">STANDARDIZE(E3144,$L$26,$L$35)</f>
        <v>1.4102651958378438</v>
      </c>
      <c r="H3144" s="35"/>
      <c r="P3144" s="6"/>
    </row>
    <row r="3145" spans="1:16" ht="14.4" x14ac:dyDescent="0.25">
      <c r="A3145" s="6">
        <v>1906</v>
      </c>
      <c r="B3145" s="6">
        <v>13634</v>
      </c>
      <c r="C3145" s="19">
        <v>40651</v>
      </c>
      <c r="D3145" s="6" t="s">
        <v>17</v>
      </c>
      <c r="E3145" s="6">
        <f>IF((ISBLANK($B$1)),"",Sheet1!Q3153)</f>
        <v>4750</v>
      </c>
      <c r="F3145" s="20" t="s">
        <v>26</v>
      </c>
      <c r="G3145" s="53">
        <f t="shared" si="50"/>
        <v>9.8358636763777513E-2</v>
      </c>
      <c r="H3145" s="35"/>
      <c r="P3145" s="6"/>
    </row>
    <row r="3146" spans="1:16" ht="14.4" x14ac:dyDescent="0.25">
      <c r="A3146" s="6">
        <v>1914</v>
      </c>
      <c r="B3146" s="6">
        <v>13729</v>
      </c>
      <c r="C3146" s="19">
        <v>39814</v>
      </c>
      <c r="D3146" s="6" t="s">
        <v>28</v>
      </c>
      <c r="E3146" s="6">
        <f>IF((ISBLANK($B$1)),"",Sheet1!Q3154)</f>
        <v>3850</v>
      </c>
      <c r="F3146" s="20" t="s">
        <v>26</v>
      </c>
      <c r="G3146" s="53">
        <f t="shared" si="50"/>
        <v>-1.1445002086748115</v>
      </c>
      <c r="H3146" s="35"/>
      <c r="P3146" s="6"/>
    </row>
    <row r="3147" spans="1:16" ht="14.4" x14ac:dyDescent="0.25">
      <c r="A3147" s="6">
        <v>1915</v>
      </c>
      <c r="B3147" s="6">
        <v>13730</v>
      </c>
      <c r="C3147" s="19">
        <v>40672</v>
      </c>
      <c r="D3147" s="6" t="s">
        <v>17</v>
      </c>
      <c r="E3147" s="6">
        <f>IF((ISBLANK($B$1)),"",Sheet1!Q3155)</f>
        <v>4700</v>
      </c>
      <c r="F3147" s="20" t="s">
        <v>29</v>
      </c>
      <c r="G3147" s="53">
        <f t="shared" si="50"/>
        <v>2.9310923128300338E-2</v>
      </c>
      <c r="H3147" s="35"/>
      <c r="P3147" s="6"/>
    </row>
    <row r="3148" spans="1:16" ht="14.4" x14ac:dyDescent="0.25">
      <c r="A3148" s="6">
        <v>1972</v>
      </c>
      <c r="B3148" s="6">
        <v>14113</v>
      </c>
      <c r="C3148" s="19">
        <v>40759</v>
      </c>
      <c r="D3148" s="6" t="s">
        <v>17</v>
      </c>
      <c r="E3148" s="6">
        <f>IF((ISBLANK($B$1)),"",Sheet1!Q3156)</f>
        <v>4500</v>
      </c>
      <c r="F3148" s="20" t="s">
        <v>29</v>
      </c>
      <c r="G3148" s="53">
        <f t="shared" si="50"/>
        <v>-0.24687993141360834</v>
      </c>
      <c r="H3148" s="35"/>
      <c r="P3148" s="6"/>
    </row>
    <row r="3149" spans="1:16" ht="14.4" x14ac:dyDescent="0.25">
      <c r="A3149" s="6">
        <v>1989</v>
      </c>
      <c r="B3149" s="6">
        <v>14210</v>
      </c>
      <c r="C3149" s="19">
        <v>41086</v>
      </c>
      <c r="D3149" s="6" t="s">
        <v>28</v>
      </c>
      <c r="E3149" s="6">
        <f>IF((ISBLANK($B$1)),"",Sheet1!Q3157)</f>
        <v>4350</v>
      </c>
      <c r="F3149" s="20" t="s">
        <v>27</v>
      </c>
      <c r="G3149" s="53">
        <f t="shared" si="50"/>
        <v>-0.45402307232003986</v>
      </c>
      <c r="H3149" s="35"/>
      <c r="P3149" s="6"/>
    </row>
    <row r="3150" spans="1:16" ht="14.4" x14ac:dyDescent="0.25">
      <c r="A3150" s="6">
        <v>2000</v>
      </c>
      <c r="B3150" s="6">
        <v>14272</v>
      </c>
      <c r="C3150" s="19">
        <v>40951</v>
      </c>
      <c r="D3150" s="6" t="s">
        <v>16</v>
      </c>
      <c r="E3150" s="6">
        <f>IF((ISBLANK($B$1)),"",Sheet1!Q3158)</f>
        <v>5000</v>
      </c>
      <c r="F3150" s="20" t="s">
        <v>26</v>
      </c>
      <c r="G3150" s="53">
        <f t="shared" si="50"/>
        <v>0.44359720494116334</v>
      </c>
      <c r="H3150" s="35"/>
      <c r="P3150" s="6"/>
    </row>
    <row r="3151" spans="1:16" ht="14.4" x14ac:dyDescent="0.25">
      <c r="A3151" s="6">
        <v>2019</v>
      </c>
      <c r="B3151" s="6">
        <v>14401</v>
      </c>
      <c r="C3151" s="19">
        <v>40759</v>
      </c>
      <c r="D3151" s="6" t="s">
        <v>28</v>
      </c>
      <c r="E3151" s="6">
        <f>IF((ISBLANK($B$1)),"",Sheet1!Q3159)</f>
        <v>3900</v>
      </c>
      <c r="F3151" s="20" t="s">
        <v>27</v>
      </c>
      <c r="G3151" s="53">
        <f t="shared" si="50"/>
        <v>-1.0754524950393345</v>
      </c>
      <c r="H3151" s="35"/>
      <c r="P3151" s="6"/>
    </row>
    <row r="3152" spans="1:16" ht="14.4" x14ac:dyDescent="0.25">
      <c r="A3152" s="6">
        <v>2211</v>
      </c>
      <c r="B3152" s="6">
        <v>15941</v>
      </c>
      <c r="C3152" s="19">
        <v>40887</v>
      </c>
      <c r="D3152" s="6" t="s">
        <v>28</v>
      </c>
      <c r="E3152" s="6">
        <f>IF((ISBLANK($B$1)),"",Sheet1!Q3160)</f>
        <v>4150</v>
      </c>
      <c r="F3152" s="20" t="s">
        <v>29</v>
      </c>
      <c r="G3152" s="53">
        <f t="shared" si="50"/>
        <v>-0.73021392686194853</v>
      </c>
      <c r="H3152" s="35"/>
      <c r="P3152" s="6"/>
    </row>
    <row r="3153" spans="1:16" ht="14.4" x14ac:dyDescent="0.25">
      <c r="A3153" s="6">
        <v>2479</v>
      </c>
      <c r="B3153" s="6">
        <v>18023</v>
      </c>
      <c r="C3153" s="19">
        <v>40598</v>
      </c>
      <c r="D3153" s="6" t="s">
        <v>16</v>
      </c>
      <c r="E3153" s="6">
        <f>IF((ISBLANK($B$1)),"",Sheet1!Q3161)</f>
        <v>5300</v>
      </c>
      <c r="F3153" s="20" t="s">
        <v>27</v>
      </c>
      <c r="G3153" s="53">
        <f t="shared" si="50"/>
        <v>0.85788348675402637</v>
      </c>
      <c r="H3153" s="35"/>
      <c r="P3153" s="6"/>
    </row>
    <row r="3154" spans="1:16" ht="14.4" x14ac:dyDescent="0.25">
      <c r="A3154" s="6">
        <v>2480</v>
      </c>
      <c r="B3154" s="6">
        <v>18023</v>
      </c>
      <c r="C3154" s="19">
        <v>40598</v>
      </c>
      <c r="D3154" s="6" t="s">
        <v>16</v>
      </c>
      <c r="E3154" s="6">
        <f>IF((ISBLANK($B$1)),"",Sheet1!Q3162)</f>
        <v>5100</v>
      </c>
      <c r="F3154" s="20" t="s">
        <v>26</v>
      </c>
      <c r="G3154" s="53">
        <f t="shared" si="50"/>
        <v>0.58169263221211776</v>
      </c>
      <c r="H3154" s="35"/>
      <c r="P3154" s="6"/>
    </row>
    <row r="3155" spans="1:16" ht="14.4" x14ac:dyDescent="0.25">
      <c r="A3155" s="6">
        <v>2526</v>
      </c>
      <c r="B3155" s="6">
        <v>18341</v>
      </c>
      <c r="C3155" s="19">
        <v>40377</v>
      </c>
      <c r="D3155" s="6" t="s">
        <v>30</v>
      </c>
      <c r="E3155" s="6">
        <f>IF((ISBLANK($B$1)),"",Sheet1!Q3163)</f>
        <v>5350</v>
      </c>
      <c r="F3155" s="20" t="s">
        <v>26</v>
      </c>
      <c r="G3155" s="53">
        <f t="shared" si="50"/>
        <v>0.92693120038950361</v>
      </c>
      <c r="H3155" s="35"/>
      <c r="P3155" s="6"/>
    </row>
    <row r="3156" spans="1:16" ht="14.4" x14ac:dyDescent="0.25">
      <c r="A3156" s="6">
        <v>2535</v>
      </c>
      <c r="B3156" s="6">
        <v>18400</v>
      </c>
      <c r="C3156" s="19">
        <v>40883</v>
      </c>
      <c r="D3156" s="6" t="s">
        <v>28</v>
      </c>
      <c r="E3156" s="6">
        <f>IF((ISBLANK($B$1)),"",Sheet1!Q3164)</f>
        <v>4850</v>
      </c>
      <c r="F3156" s="20" t="s">
        <v>27</v>
      </c>
      <c r="G3156" s="53">
        <f t="shared" si="50"/>
        <v>0.23645406403473185</v>
      </c>
      <c r="H3156" s="35"/>
      <c r="P3156" s="6"/>
    </row>
    <row r="3157" spans="1:16" ht="14.4" x14ac:dyDescent="0.25">
      <c r="A3157" s="6">
        <v>2621</v>
      </c>
      <c r="B3157" s="6">
        <v>18950</v>
      </c>
      <c r="C3157" s="19">
        <v>40966</v>
      </c>
      <c r="D3157" s="6" t="s">
        <v>25</v>
      </c>
      <c r="E3157" s="6">
        <f>IF((ISBLANK($B$1)),"",Sheet1!Q3165)</f>
        <v>5050</v>
      </c>
      <c r="F3157" s="20" t="s">
        <v>27</v>
      </c>
      <c r="G3157" s="53">
        <f t="shared" si="50"/>
        <v>0.51264491857664052</v>
      </c>
      <c r="H3157" s="35"/>
      <c r="P3157" s="6"/>
    </row>
    <row r="3158" spans="1:16" ht="14.4" x14ac:dyDescent="0.25">
      <c r="A3158" s="6">
        <v>2641</v>
      </c>
      <c r="B3158" s="6">
        <v>19111</v>
      </c>
      <c r="C3158" s="19">
        <v>40090</v>
      </c>
      <c r="D3158" s="6" t="s">
        <v>25</v>
      </c>
      <c r="E3158" s="6">
        <f>IF((ISBLANK($B$1)),"",Sheet1!Q3166)</f>
        <v>4600</v>
      </c>
      <c r="F3158" s="20" t="s">
        <v>27</v>
      </c>
      <c r="G3158" s="53">
        <f t="shared" si="50"/>
        <v>-0.108784504142654</v>
      </c>
      <c r="H3158" s="35"/>
      <c r="P3158" s="6"/>
    </row>
    <row r="3159" spans="1:16" ht="14.4" x14ac:dyDescent="0.25">
      <c r="A3159" s="6">
        <v>2644</v>
      </c>
      <c r="B3159" s="6">
        <v>19139</v>
      </c>
      <c r="C3159" s="19">
        <v>40515</v>
      </c>
      <c r="D3159" s="6" t="s">
        <v>28</v>
      </c>
      <c r="E3159" s="6">
        <f>IF((ISBLANK($B$1)),"",Sheet1!Q3167)</f>
        <v>4150</v>
      </c>
      <c r="F3159" s="20" t="s">
        <v>26</v>
      </c>
      <c r="G3159" s="53">
        <f t="shared" si="50"/>
        <v>-0.73021392686194853</v>
      </c>
      <c r="H3159" s="35"/>
      <c r="P3159" s="6"/>
    </row>
    <row r="3160" spans="1:16" ht="14.4" x14ac:dyDescent="0.25">
      <c r="A3160" s="6">
        <v>2672</v>
      </c>
      <c r="B3160" s="6">
        <v>19332</v>
      </c>
      <c r="C3160" s="19">
        <v>40966</v>
      </c>
      <c r="D3160" s="6" t="s">
        <v>17</v>
      </c>
      <c r="E3160" s="6">
        <f>IF((ISBLANK($B$1)),"",Sheet1!Q3168)</f>
        <v>5700</v>
      </c>
      <c r="F3160" s="20" t="s">
        <v>29</v>
      </c>
      <c r="G3160" s="53">
        <f t="shared" si="50"/>
        <v>1.4102651958378438</v>
      </c>
      <c r="H3160" s="35"/>
      <c r="P3160" s="6"/>
    </row>
    <row r="3161" spans="1:16" ht="14.4" x14ac:dyDescent="0.25">
      <c r="A3161" s="6">
        <v>2904</v>
      </c>
      <c r="B3161" s="6">
        <v>20965</v>
      </c>
      <c r="C3161" s="19">
        <v>40167</v>
      </c>
      <c r="D3161" s="6" t="s">
        <v>30</v>
      </c>
      <c r="E3161" s="6">
        <f>IF((ISBLANK($B$1)),"",Sheet1!Q3169)</f>
        <v>5300</v>
      </c>
      <c r="F3161" s="20" t="s">
        <v>26</v>
      </c>
      <c r="G3161" s="53">
        <f t="shared" si="50"/>
        <v>0.85788348675402637</v>
      </c>
      <c r="H3161" s="35"/>
      <c r="P3161" s="6"/>
    </row>
    <row r="3162" spans="1:16" ht="14.4" x14ac:dyDescent="0.25">
      <c r="A3162" s="6">
        <v>2905</v>
      </c>
      <c r="B3162" s="6">
        <v>20965</v>
      </c>
      <c r="C3162" s="19">
        <v>40167</v>
      </c>
      <c r="D3162" s="6" t="s">
        <v>30</v>
      </c>
      <c r="E3162" s="6">
        <f>IF((ISBLANK($B$1)),"",Sheet1!Q3170)</f>
        <v>3800</v>
      </c>
      <c r="F3162" s="20" t="s">
        <v>27</v>
      </c>
      <c r="G3162" s="53">
        <f t="shared" si="50"/>
        <v>-1.2135479223102887</v>
      </c>
      <c r="H3162" s="35"/>
      <c r="P3162" s="6"/>
    </row>
    <row r="3163" spans="1:16" ht="14.4" x14ac:dyDescent="0.25">
      <c r="A3163" s="6">
        <v>2932</v>
      </c>
      <c r="B3163" s="6">
        <v>21249</v>
      </c>
      <c r="C3163" s="19">
        <v>40440</v>
      </c>
      <c r="D3163" s="6" t="s">
        <v>25</v>
      </c>
      <c r="E3163" s="6">
        <f>IF((ISBLANK($B$1)),"",Sheet1!Q3171)</f>
        <v>4500</v>
      </c>
      <c r="F3163" s="20" t="s">
        <v>26</v>
      </c>
      <c r="G3163" s="53">
        <f t="shared" si="50"/>
        <v>-0.24687993141360834</v>
      </c>
      <c r="H3163" s="35"/>
      <c r="P3163" s="6"/>
    </row>
    <row r="3164" spans="1:16" ht="14.4" x14ac:dyDescent="0.25">
      <c r="A3164" s="6">
        <v>2933</v>
      </c>
      <c r="B3164" s="6">
        <v>21249</v>
      </c>
      <c r="C3164" s="19">
        <v>40440</v>
      </c>
      <c r="D3164" s="6" t="s">
        <v>25</v>
      </c>
      <c r="E3164" s="6">
        <f>IF((ISBLANK($B$1)),"",Sheet1!Q3172)</f>
        <v>3750</v>
      </c>
      <c r="F3164" s="20" t="s">
        <v>27</v>
      </c>
      <c r="G3164" s="53">
        <f t="shared" si="50"/>
        <v>-1.282595635945766</v>
      </c>
      <c r="H3164" s="35"/>
      <c r="P3164" s="6"/>
    </row>
    <row r="3165" spans="1:16" ht="14.4" x14ac:dyDescent="0.25">
      <c r="A3165" s="6">
        <v>3139</v>
      </c>
      <c r="B3165" s="6">
        <v>22529</v>
      </c>
      <c r="C3165" s="19">
        <v>40305</v>
      </c>
      <c r="D3165" s="6" t="s">
        <v>16</v>
      </c>
      <c r="E3165" s="6">
        <f>IF((ISBLANK($B$1)),"",Sheet1!Q3173)</f>
        <v>4800</v>
      </c>
      <c r="F3165" s="20" t="s">
        <v>26</v>
      </c>
      <c r="G3165" s="53">
        <f t="shared" si="50"/>
        <v>0.16740635039925467</v>
      </c>
      <c r="H3165" s="35"/>
      <c r="P3165" s="6"/>
    </row>
    <row r="3166" spans="1:16" ht="14.4" x14ac:dyDescent="0.25">
      <c r="A3166" s="6">
        <v>3255</v>
      </c>
      <c r="B3166" s="6">
        <v>23303</v>
      </c>
      <c r="C3166" s="19">
        <v>39984</v>
      </c>
      <c r="D3166" s="6" t="s">
        <v>28</v>
      </c>
      <c r="E3166" s="6">
        <f>IF((ISBLANK($B$1)),"",Sheet1!Q3174)</f>
        <v>5350</v>
      </c>
      <c r="F3166" s="20" t="s">
        <v>26</v>
      </c>
      <c r="G3166" s="53">
        <f t="shared" si="50"/>
        <v>0.92693120038950361</v>
      </c>
      <c r="H3166" s="35"/>
      <c r="P3166" s="6"/>
    </row>
    <row r="3167" spans="1:16" ht="14.4" x14ac:dyDescent="0.25">
      <c r="A3167" s="6">
        <v>3274</v>
      </c>
      <c r="B3167" s="6">
        <v>23398</v>
      </c>
      <c r="C3167" s="19">
        <v>39885</v>
      </c>
      <c r="D3167" s="6" t="s">
        <v>16</v>
      </c>
      <c r="E3167" s="6">
        <f>IF((ISBLANK($B$1)),"",Sheet1!Q3175)</f>
        <v>4350</v>
      </c>
      <c r="F3167" s="20" t="s">
        <v>26</v>
      </c>
      <c r="G3167" s="53">
        <f t="shared" si="50"/>
        <v>-0.45402307232003986</v>
      </c>
      <c r="H3167" s="35"/>
      <c r="P3167" s="6"/>
    </row>
    <row r="3168" spans="1:16" ht="14.4" x14ac:dyDescent="0.25">
      <c r="A3168" s="6">
        <v>3410</v>
      </c>
      <c r="B3168" s="6">
        <v>24356</v>
      </c>
      <c r="C3168" s="19">
        <v>40309</v>
      </c>
      <c r="D3168" s="6" t="s">
        <v>16</v>
      </c>
      <c r="E3168" s="6">
        <f>IF((ISBLANK($B$1)),"",Sheet1!Q3176)</f>
        <v>5250</v>
      </c>
      <c r="F3168" s="20" t="s">
        <v>29</v>
      </c>
      <c r="G3168" s="53">
        <f t="shared" si="50"/>
        <v>0.78883577311854924</v>
      </c>
      <c r="H3168" s="35"/>
      <c r="P3168" s="6"/>
    </row>
    <row r="3169" spans="1:16" ht="14.4" x14ac:dyDescent="0.25">
      <c r="A3169" s="6">
        <v>3539</v>
      </c>
      <c r="B3169" s="6">
        <v>25188</v>
      </c>
      <c r="C3169" s="19">
        <v>40546</v>
      </c>
      <c r="D3169" s="6" t="s">
        <v>16</v>
      </c>
      <c r="E3169" s="6">
        <f>IF((ISBLANK($B$1)),"",Sheet1!Q3177)</f>
        <v>4400</v>
      </c>
      <c r="F3169" s="20" t="s">
        <v>27</v>
      </c>
      <c r="G3169" s="53">
        <f t="shared" si="50"/>
        <v>-0.38497535868456267</v>
      </c>
      <c r="H3169" s="35"/>
      <c r="P3169" s="6"/>
    </row>
    <row r="3170" spans="1:16" ht="14.4" x14ac:dyDescent="0.25">
      <c r="A3170" s="6">
        <v>3543</v>
      </c>
      <c r="B3170" s="6">
        <v>25249</v>
      </c>
      <c r="C3170" s="19">
        <v>41219</v>
      </c>
      <c r="D3170" s="6" t="s">
        <v>16</v>
      </c>
      <c r="E3170" s="6">
        <f>IF((ISBLANK($B$1)),"",Sheet1!Q3178)</f>
        <v>5100</v>
      </c>
      <c r="F3170" s="20" t="s">
        <v>26</v>
      </c>
      <c r="G3170" s="53">
        <f t="shared" si="50"/>
        <v>0.58169263221211776</v>
      </c>
      <c r="H3170" s="35"/>
      <c r="P3170" s="6"/>
    </row>
    <row r="3171" spans="1:16" ht="14.4" x14ac:dyDescent="0.25">
      <c r="A3171" s="6">
        <v>3774</v>
      </c>
      <c r="B3171" s="6">
        <v>26948</v>
      </c>
      <c r="C3171" s="19">
        <v>40869</v>
      </c>
      <c r="D3171" s="6" t="s">
        <v>17</v>
      </c>
      <c r="E3171" s="6">
        <f>IF((ISBLANK($B$1)),"",Sheet1!Q3179)</f>
        <v>4450</v>
      </c>
      <c r="F3171" s="20" t="s">
        <v>26</v>
      </c>
      <c r="G3171" s="53">
        <f t="shared" si="50"/>
        <v>-0.31592764504908549</v>
      </c>
      <c r="H3171" s="35"/>
      <c r="P3171" s="6"/>
    </row>
    <row r="3172" spans="1:16" ht="14.4" x14ac:dyDescent="0.25">
      <c r="A3172" s="6">
        <v>3819</v>
      </c>
      <c r="B3172" s="6">
        <v>27232</v>
      </c>
      <c r="C3172" s="19">
        <v>40408</v>
      </c>
      <c r="D3172" s="6" t="s">
        <v>28</v>
      </c>
      <c r="E3172" s="6">
        <f>IF((ISBLANK($B$1)),"",Sheet1!Q3180)</f>
        <v>4350</v>
      </c>
      <c r="F3172" s="20" t="s">
        <v>26</v>
      </c>
      <c r="G3172" s="53">
        <f t="shared" si="50"/>
        <v>-0.45402307232003986</v>
      </c>
      <c r="H3172" s="35"/>
      <c r="P3172" s="6"/>
    </row>
    <row r="3173" spans="1:16" ht="14.4" x14ac:dyDescent="0.25">
      <c r="A3173" s="6">
        <v>3871</v>
      </c>
      <c r="B3173" s="6">
        <v>27622</v>
      </c>
      <c r="C3173" s="19">
        <v>40580</v>
      </c>
      <c r="D3173" s="6" t="s">
        <v>16</v>
      </c>
      <c r="E3173" s="6">
        <f>IF((ISBLANK($B$1)),"",Sheet1!Q3181)</f>
        <v>3600</v>
      </c>
      <c r="F3173" s="20" t="s">
        <v>29</v>
      </c>
      <c r="G3173" s="53">
        <f t="shared" si="50"/>
        <v>-1.4897387768521975</v>
      </c>
      <c r="H3173" s="35"/>
      <c r="P3173" s="6"/>
    </row>
    <row r="3174" spans="1:16" ht="14.4" x14ac:dyDescent="0.25">
      <c r="A3174" s="6">
        <v>3928</v>
      </c>
      <c r="B3174" s="6">
        <v>28002</v>
      </c>
      <c r="C3174" s="19">
        <v>40096</v>
      </c>
      <c r="D3174" s="6" t="s">
        <v>30</v>
      </c>
      <c r="E3174" s="6">
        <f>IF((ISBLANK($B$1)),"",Sheet1!Q3182)</f>
        <v>3650</v>
      </c>
      <c r="F3174" s="20" t="s">
        <v>26</v>
      </c>
      <c r="G3174" s="53">
        <f t="shared" si="50"/>
        <v>-1.4206910632167202</v>
      </c>
      <c r="H3174" s="35"/>
      <c r="P3174" s="6"/>
    </row>
    <row r="3175" spans="1:16" ht="14.4" x14ac:dyDescent="0.25">
      <c r="A3175" s="6">
        <v>3978</v>
      </c>
      <c r="B3175" s="6">
        <v>28390</v>
      </c>
      <c r="C3175" s="19">
        <v>40946</v>
      </c>
      <c r="D3175" s="6" t="s">
        <v>17</v>
      </c>
      <c r="E3175" s="6">
        <f>IF((ISBLANK($B$1)),"",Sheet1!Q3183)</f>
        <v>5600</v>
      </c>
      <c r="F3175" s="20" t="s">
        <v>29</v>
      </c>
      <c r="G3175" s="53">
        <f t="shared" si="50"/>
        <v>1.2721697685668893</v>
      </c>
      <c r="H3175" s="35"/>
      <c r="P3175" s="6"/>
    </row>
    <row r="3176" spans="1:16" ht="14.4" x14ac:dyDescent="0.25">
      <c r="A3176" s="6">
        <v>4108</v>
      </c>
      <c r="B3176" s="6">
        <v>29223</v>
      </c>
      <c r="C3176" s="19">
        <v>40928</v>
      </c>
      <c r="D3176" s="6" t="s">
        <v>17</v>
      </c>
      <c r="E3176" s="6">
        <f>IF((ISBLANK($B$1)),"",Sheet1!Q3184)</f>
        <v>5800</v>
      </c>
      <c r="F3176" s="20" t="s">
        <v>29</v>
      </c>
      <c r="G3176" s="53">
        <f t="shared" si="50"/>
        <v>1.5483606231087981</v>
      </c>
      <c r="H3176" s="35"/>
      <c r="P3176" s="6"/>
    </row>
    <row r="3177" spans="1:16" ht="14.4" x14ac:dyDescent="0.25">
      <c r="A3177" s="6">
        <v>4134</v>
      </c>
      <c r="B3177" s="6">
        <v>29351</v>
      </c>
      <c r="C3177" s="19">
        <v>40819</v>
      </c>
      <c r="D3177" s="6" t="s">
        <v>16</v>
      </c>
      <c r="E3177" s="6">
        <f>IF((ISBLANK($B$1)),"",Sheet1!Q3185)</f>
        <v>4250</v>
      </c>
      <c r="F3177" s="20" t="s">
        <v>26</v>
      </c>
      <c r="G3177" s="53">
        <f t="shared" si="50"/>
        <v>-0.59211849959099416</v>
      </c>
      <c r="H3177" s="35"/>
      <c r="P3177" s="6"/>
    </row>
    <row r="3178" spans="1:16" ht="14.4" x14ac:dyDescent="0.25">
      <c r="A3178" s="6">
        <v>4160</v>
      </c>
      <c r="B3178" s="6">
        <v>29506</v>
      </c>
      <c r="C3178" s="19">
        <v>40708</v>
      </c>
      <c r="D3178" s="6" t="s">
        <v>30</v>
      </c>
      <c r="E3178" s="6">
        <f>IF((ISBLANK($B$1)),"",Sheet1!Q3186)</f>
        <v>5700</v>
      </c>
      <c r="F3178" s="20" t="s">
        <v>26</v>
      </c>
      <c r="G3178" s="53">
        <f t="shared" si="50"/>
        <v>1.4102651958378438</v>
      </c>
      <c r="H3178" s="35"/>
      <c r="P3178" s="6"/>
    </row>
    <row r="3179" spans="1:16" ht="14.4" x14ac:dyDescent="0.25">
      <c r="A3179" s="6">
        <v>4161</v>
      </c>
      <c r="B3179" s="6">
        <v>29506</v>
      </c>
      <c r="C3179" s="19">
        <v>40708</v>
      </c>
      <c r="D3179" s="6" t="s">
        <v>30</v>
      </c>
      <c r="E3179" s="6">
        <f>IF((ISBLANK($B$1)),"",Sheet1!Q3187)</f>
        <v>3800</v>
      </c>
      <c r="F3179" s="20" t="s">
        <v>26</v>
      </c>
      <c r="G3179" s="53">
        <f t="shared" si="50"/>
        <v>-1.2135479223102887</v>
      </c>
      <c r="H3179" s="35"/>
      <c r="P3179" s="6"/>
    </row>
    <row r="3180" spans="1:16" ht="14.4" x14ac:dyDescent="0.25">
      <c r="A3180" s="6">
        <v>4175</v>
      </c>
      <c r="B3180" s="6">
        <v>29633</v>
      </c>
      <c r="C3180" s="19">
        <v>39986</v>
      </c>
      <c r="D3180" s="6" t="s">
        <v>30</v>
      </c>
      <c r="E3180" s="6">
        <f>IF((ISBLANK($B$1)),"",Sheet1!Q3188)</f>
        <v>3950</v>
      </c>
      <c r="F3180" s="20" t="s">
        <v>26</v>
      </c>
      <c r="G3180" s="53">
        <f t="shared" si="50"/>
        <v>-1.0064047814038573</v>
      </c>
      <c r="H3180" s="35"/>
      <c r="P3180" s="6"/>
    </row>
    <row r="3181" spans="1:16" ht="14.4" x14ac:dyDescent="0.25">
      <c r="A3181" s="6">
        <v>4189</v>
      </c>
      <c r="B3181" s="6">
        <v>29764</v>
      </c>
      <c r="C3181" s="19">
        <v>41112</v>
      </c>
      <c r="D3181" s="6" t="s">
        <v>30</v>
      </c>
      <c r="E3181" s="6">
        <f>IF((ISBLANK($B$1)),"",Sheet1!Q3189)</f>
        <v>3900</v>
      </c>
      <c r="F3181" s="20" t="s">
        <v>26</v>
      </c>
      <c r="G3181" s="53">
        <f t="shared" si="50"/>
        <v>-1.0754524950393345</v>
      </c>
      <c r="H3181" s="35"/>
      <c r="P3181" s="6"/>
    </row>
    <row r="3182" spans="1:16" ht="14.4" x14ac:dyDescent="0.25">
      <c r="A3182" s="6">
        <v>4216</v>
      </c>
      <c r="B3182" s="6">
        <v>29958</v>
      </c>
      <c r="C3182" s="19">
        <v>40549</v>
      </c>
      <c r="D3182" s="6" t="s">
        <v>17</v>
      </c>
      <c r="E3182" s="6">
        <f>IF((ISBLANK($B$1)),"",Sheet1!Q3190)</f>
        <v>5750</v>
      </c>
      <c r="F3182" s="20" t="s">
        <v>26</v>
      </c>
      <c r="G3182" s="53">
        <f t="shared" si="50"/>
        <v>1.4793129094733208</v>
      </c>
      <c r="H3182" s="35"/>
      <c r="P3182" s="6"/>
    </row>
    <row r="3183" spans="1:16" ht="14.4" x14ac:dyDescent="0.25">
      <c r="A3183" s="6">
        <v>4217</v>
      </c>
      <c r="B3183" s="6">
        <v>29958</v>
      </c>
      <c r="C3183" s="19">
        <v>40549</v>
      </c>
      <c r="D3183" s="6" t="s">
        <v>17</v>
      </c>
      <c r="E3183" s="6">
        <f>IF((ISBLANK($B$1)),"",Sheet1!Q3191)</f>
        <v>5000</v>
      </c>
      <c r="F3183" s="20" t="s">
        <v>29</v>
      </c>
      <c r="G3183" s="53">
        <f t="shared" si="50"/>
        <v>0.44359720494116334</v>
      </c>
      <c r="H3183" s="35"/>
      <c r="P3183" s="6"/>
    </row>
    <row r="3184" spans="1:16" ht="14.4" x14ac:dyDescent="0.25">
      <c r="A3184" s="6">
        <v>4435</v>
      </c>
      <c r="B3184" s="6">
        <v>31616</v>
      </c>
      <c r="C3184" s="19">
        <v>40418</v>
      </c>
      <c r="D3184" s="6" t="s">
        <v>30</v>
      </c>
      <c r="E3184" s="6">
        <f>IF((ISBLANK($B$1)),"",Sheet1!Q3192)</f>
        <v>5650</v>
      </c>
      <c r="F3184" s="20" t="s">
        <v>26</v>
      </c>
      <c r="G3184" s="53">
        <f t="shared" si="50"/>
        <v>1.3412174822023666</v>
      </c>
      <c r="H3184" s="35"/>
      <c r="P3184" s="6"/>
    </row>
    <row r="3185" spans="1:16" ht="14.4" x14ac:dyDescent="0.25">
      <c r="A3185" s="6">
        <v>4436</v>
      </c>
      <c r="B3185" s="6">
        <v>31616</v>
      </c>
      <c r="C3185" s="19">
        <v>40418</v>
      </c>
      <c r="D3185" s="6" t="s">
        <v>30</v>
      </c>
      <c r="E3185" s="6">
        <f>IF((ISBLANK($B$1)),"",Sheet1!Q3193)</f>
        <v>5700</v>
      </c>
      <c r="F3185" s="20" t="s">
        <v>26</v>
      </c>
      <c r="G3185" s="53">
        <f t="shared" si="50"/>
        <v>1.4102651958378438</v>
      </c>
      <c r="H3185" s="35"/>
      <c r="P3185" s="6"/>
    </row>
    <row r="3186" spans="1:16" ht="14.4" x14ac:dyDescent="0.25">
      <c r="A3186" s="6">
        <v>4483</v>
      </c>
      <c r="B3186" s="6">
        <v>31907</v>
      </c>
      <c r="C3186" s="19">
        <v>40316</v>
      </c>
      <c r="D3186" s="6" t="s">
        <v>25</v>
      </c>
      <c r="E3186" s="6">
        <f>IF((ISBLANK($B$1)),"",Sheet1!Q3194)</f>
        <v>5300</v>
      </c>
      <c r="F3186" s="20" t="s">
        <v>27</v>
      </c>
      <c r="G3186" s="53">
        <f t="shared" si="50"/>
        <v>0.85788348675402637</v>
      </c>
      <c r="H3186" s="35"/>
      <c r="P3186" s="6"/>
    </row>
    <row r="3187" spans="1:16" ht="14.4" x14ac:dyDescent="0.25">
      <c r="A3187" s="6">
        <v>4494</v>
      </c>
      <c r="B3187" s="6">
        <v>32001</v>
      </c>
      <c r="C3187" s="19">
        <v>40844</v>
      </c>
      <c r="D3187" s="6" t="s">
        <v>25</v>
      </c>
      <c r="E3187" s="6">
        <f>IF((ISBLANK($B$1)),"",Sheet1!Q3195)</f>
        <v>4500</v>
      </c>
      <c r="F3187" s="20" t="s">
        <v>29</v>
      </c>
      <c r="G3187" s="53">
        <f t="shared" si="50"/>
        <v>-0.24687993141360834</v>
      </c>
      <c r="H3187" s="35"/>
      <c r="P3187" s="6"/>
    </row>
    <row r="3188" spans="1:16" ht="14.4" x14ac:dyDescent="0.25">
      <c r="A3188" s="6">
        <v>4495</v>
      </c>
      <c r="B3188" s="6">
        <v>32001</v>
      </c>
      <c r="C3188" s="19">
        <v>40844</v>
      </c>
      <c r="D3188" s="6" t="s">
        <v>25</v>
      </c>
      <c r="E3188" s="6">
        <f>IF((ISBLANK($B$1)),"",Sheet1!Q3196)</f>
        <v>3950</v>
      </c>
      <c r="F3188" s="20" t="s">
        <v>27</v>
      </c>
      <c r="G3188" s="53">
        <f t="shared" si="50"/>
        <v>-1.0064047814038573</v>
      </c>
      <c r="H3188" s="35"/>
      <c r="P3188" s="6"/>
    </row>
    <row r="3189" spans="1:16" ht="14.4" x14ac:dyDescent="0.25">
      <c r="A3189" s="6">
        <v>4506</v>
      </c>
      <c r="B3189" s="6">
        <v>32069</v>
      </c>
      <c r="C3189" s="19">
        <v>40866</v>
      </c>
      <c r="D3189" s="6" t="s">
        <v>28</v>
      </c>
      <c r="E3189" s="6">
        <f>IF((ISBLANK($B$1)),"",Sheet1!Q3197)</f>
        <v>3800</v>
      </c>
      <c r="F3189" s="20" t="s">
        <v>27</v>
      </c>
      <c r="G3189" s="53">
        <f t="shared" si="50"/>
        <v>-1.2135479223102887</v>
      </c>
      <c r="H3189" s="35"/>
      <c r="P3189" s="6"/>
    </row>
    <row r="3190" spans="1:16" ht="14.4" x14ac:dyDescent="0.25">
      <c r="A3190" s="6">
        <v>4512</v>
      </c>
      <c r="B3190" s="6">
        <v>32102</v>
      </c>
      <c r="C3190" s="19">
        <v>41257</v>
      </c>
      <c r="D3190" s="6" t="s">
        <v>16</v>
      </c>
      <c r="E3190" s="6">
        <f>IF((ISBLANK($B$1)),"",Sheet1!Q3198)</f>
        <v>3500</v>
      </c>
      <c r="F3190" s="20" t="s">
        <v>26</v>
      </c>
      <c r="G3190" s="53">
        <f t="shared" si="50"/>
        <v>-1.6278342041231517</v>
      </c>
      <c r="H3190" s="35"/>
      <c r="P3190" s="6"/>
    </row>
    <row r="3191" spans="1:16" ht="14.4" x14ac:dyDescent="0.25">
      <c r="A3191" s="6">
        <v>4561</v>
      </c>
      <c r="B3191" s="6">
        <v>32450</v>
      </c>
      <c r="C3191" s="19">
        <v>40896</v>
      </c>
      <c r="D3191" s="6" t="s">
        <v>16</v>
      </c>
      <c r="E3191" s="6">
        <f>IF((ISBLANK($B$1)),"",Sheet1!Q3199)</f>
        <v>5250</v>
      </c>
      <c r="F3191" s="20" t="s">
        <v>29</v>
      </c>
      <c r="G3191" s="53">
        <f t="shared" si="50"/>
        <v>0.78883577311854924</v>
      </c>
      <c r="H3191" s="35"/>
      <c r="P3191" s="6"/>
    </row>
    <row r="3192" spans="1:16" ht="14.4" x14ac:dyDescent="0.25">
      <c r="A3192" s="6">
        <v>4572</v>
      </c>
      <c r="B3192" s="6">
        <v>32546</v>
      </c>
      <c r="C3192" s="19">
        <v>40620</v>
      </c>
      <c r="D3192" s="6" t="s">
        <v>30</v>
      </c>
      <c r="E3192" s="6">
        <f>IF((ISBLANK($B$1)),"",Sheet1!Q3200)</f>
        <v>3700</v>
      </c>
      <c r="F3192" s="20" t="s">
        <v>26</v>
      </c>
      <c r="G3192" s="53">
        <f t="shared" si="50"/>
        <v>-1.351643349581243</v>
      </c>
      <c r="H3192" s="35"/>
      <c r="P3192" s="6"/>
    </row>
    <row r="3193" spans="1:16" ht="14.4" x14ac:dyDescent="0.25">
      <c r="A3193" s="6">
        <v>4573</v>
      </c>
      <c r="B3193" s="6">
        <v>32546</v>
      </c>
      <c r="C3193" s="19">
        <v>40620</v>
      </c>
      <c r="D3193" s="6" t="s">
        <v>30</v>
      </c>
      <c r="E3193" s="6">
        <f>IF((ISBLANK($B$1)),"",Sheet1!Q3201)</f>
        <v>5750</v>
      </c>
      <c r="F3193" s="20" t="s">
        <v>27</v>
      </c>
      <c r="G3193" s="53">
        <f t="shared" si="50"/>
        <v>1.4793129094733208</v>
      </c>
      <c r="H3193" s="35"/>
      <c r="P3193" s="6"/>
    </row>
    <row r="3194" spans="1:16" ht="14.4" x14ac:dyDescent="0.25">
      <c r="A3194" s="6">
        <v>4640</v>
      </c>
      <c r="B3194" s="6">
        <v>33029</v>
      </c>
      <c r="C3194" s="19">
        <v>41060</v>
      </c>
      <c r="D3194" s="6" t="s">
        <v>17</v>
      </c>
      <c r="E3194" s="6">
        <f>IF((ISBLANK($B$1)),"",Sheet1!Q3202)</f>
        <v>5350</v>
      </c>
      <c r="F3194" s="20" t="s">
        <v>29</v>
      </c>
      <c r="G3194" s="53">
        <f t="shared" si="50"/>
        <v>0.92693120038950361</v>
      </c>
      <c r="H3194" s="35"/>
      <c r="P3194" s="6"/>
    </row>
    <row r="3195" spans="1:16" ht="14.4" x14ac:dyDescent="0.25">
      <c r="A3195" s="6">
        <v>4641</v>
      </c>
      <c r="B3195" s="6">
        <v>33029</v>
      </c>
      <c r="C3195" s="19">
        <v>41060</v>
      </c>
      <c r="D3195" s="6" t="s">
        <v>17</v>
      </c>
      <c r="E3195" s="6">
        <f>IF((ISBLANK($B$1)),"",Sheet1!Q3203)</f>
        <v>3800</v>
      </c>
      <c r="F3195" s="20" t="s">
        <v>27</v>
      </c>
      <c r="G3195" s="53">
        <f t="shared" si="50"/>
        <v>-1.2135479223102887</v>
      </c>
      <c r="H3195" s="35"/>
      <c r="P3195" s="6"/>
    </row>
    <row r="3196" spans="1:16" ht="14.4" x14ac:dyDescent="0.25">
      <c r="A3196" s="6">
        <v>4645</v>
      </c>
      <c r="B3196" s="6">
        <v>33061</v>
      </c>
      <c r="C3196" s="19">
        <v>40739</v>
      </c>
      <c r="D3196" s="6" t="s">
        <v>17</v>
      </c>
      <c r="E3196" s="6">
        <f>IF((ISBLANK($B$1)),"",Sheet1!Q3204)</f>
        <v>5800</v>
      </c>
      <c r="F3196" s="20" t="s">
        <v>26</v>
      </c>
      <c r="G3196" s="53">
        <f t="shared" si="50"/>
        <v>1.5483606231087981</v>
      </c>
      <c r="H3196" s="35"/>
      <c r="P3196" s="6"/>
    </row>
    <row r="3197" spans="1:16" ht="14.4" x14ac:dyDescent="0.25">
      <c r="A3197" s="6">
        <v>4698</v>
      </c>
      <c r="B3197" s="6">
        <v>33478</v>
      </c>
      <c r="C3197" s="19">
        <v>40343</v>
      </c>
      <c r="D3197" s="6" t="s">
        <v>17</v>
      </c>
      <c r="E3197" s="6">
        <f>IF((ISBLANK($B$1)),"",Sheet1!Q3205)</f>
        <v>4450</v>
      </c>
      <c r="F3197" s="20" t="s">
        <v>26</v>
      </c>
      <c r="G3197" s="53">
        <f t="shared" si="50"/>
        <v>-0.31592764504908549</v>
      </c>
      <c r="H3197" s="35"/>
      <c r="P3197" s="6"/>
    </row>
    <row r="3198" spans="1:16" ht="14.4" x14ac:dyDescent="0.25">
      <c r="A3198" s="6">
        <v>4708</v>
      </c>
      <c r="B3198" s="6">
        <v>33540</v>
      </c>
      <c r="C3198" s="19">
        <v>40700</v>
      </c>
      <c r="D3198" s="6" t="s">
        <v>25</v>
      </c>
      <c r="E3198" s="6">
        <f>IF((ISBLANK($B$1)),"",Sheet1!Q3206)</f>
        <v>4450</v>
      </c>
      <c r="F3198" s="20" t="s">
        <v>26</v>
      </c>
      <c r="G3198" s="53">
        <f t="shared" si="50"/>
        <v>-0.31592764504908549</v>
      </c>
      <c r="H3198" s="35"/>
      <c r="P3198" s="6"/>
    </row>
    <row r="3199" spans="1:16" ht="14.4" x14ac:dyDescent="0.25">
      <c r="A3199" s="6">
        <v>4762</v>
      </c>
      <c r="B3199" s="6">
        <v>33862</v>
      </c>
      <c r="C3199" s="19">
        <v>40351</v>
      </c>
      <c r="D3199" s="6" t="s">
        <v>28</v>
      </c>
      <c r="E3199" s="6">
        <f>IF((ISBLANK($B$1)),"",Sheet1!Q3207)</f>
        <v>4500</v>
      </c>
      <c r="F3199" s="20" t="s">
        <v>26</v>
      </c>
      <c r="G3199" s="53">
        <f t="shared" si="50"/>
        <v>-0.24687993141360834</v>
      </c>
      <c r="H3199" s="35"/>
      <c r="P3199" s="6"/>
    </row>
    <row r="3200" spans="1:16" ht="14.4" x14ac:dyDescent="0.25">
      <c r="A3200" s="6">
        <v>4845</v>
      </c>
      <c r="B3200" s="6">
        <v>34470</v>
      </c>
      <c r="C3200" s="19">
        <v>40940</v>
      </c>
      <c r="D3200" s="6" t="s">
        <v>30</v>
      </c>
      <c r="E3200" s="6">
        <f>IF((ISBLANK($B$1)),"",Sheet1!Q3208)</f>
        <v>4950</v>
      </c>
      <c r="F3200" s="20" t="s">
        <v>29</v>
      </c>
      <c r="G3200" s="53">
        <f t="shared" si="50"/>
        <v>0.37454949130568621</v>
      </c>
      <c r="H3200" s="35"/>
      <c r="P3200" s="6"/>
    </row>
    <row r="3201" spans="1:16" ht="14.4" x14ac:dyDescent="0.25">
      <c r="A3201" s="6">
        <v>5077</v>
      </c>
      <c r="B3201" s="6">
        <v>36161</v>
      </c>
      <c r="C3201" s="19">
        <v>40194</v>
      </c>
      <c r="D3201" s="6" t="s">
        <v>30</v>
      </c>
      <c r="E3201" s="6">
        <f>IF((ISBLANK($B$1)),"",Sheet1!Q3209)</f>
        <v>3700</v>
      </c>
      <c r="F3201" s="20" t="s">
        <v>26</v>
      </c>
      <c r="G3201" s="53">
        <f t="shared" si="50"/>
        <v>-1.351643349581243</v>
      </c>
      <c r="H3201" s="35"/>
      <c r="P3201" s="6"/>
    </row>
    <row r="3202" spans="1:16" ht="14.4" x14ac:dyDescent="0.25">
      <c r="A3202" s="6">
        <v>5302</v>
      </c>
      <c r="B3202" s="6">
        <v>37760</v>
      </c>
      <c r="C3202" s="19">
        <v>40039</v>
      </c>
      <c r="D3202" s="6" t="s">
        <v>17</v>
      </c>
      <c r="E3202" s="6">
        <f>IF((ISBLANK($B$1)),"",Sheet1!Q3210)</f>
        <v>4300</v>
      </c>
      <c r="F3202" s="20" t="s">
        <v>27</v>
      </c>
      <c r="G3202" s="53">
        <f t="shared" si="50"/>
        <v>-0.52307078595551704</v>
      </c>
      <c r="H3202" s="35"/>
      <c r="P3202" s="6"/>
    </row>
    <row r="3203" spans="1:16" ht="14.4" x14ac:dyDescent="0.25">
      <c r="A3203" s="6">
        <v>5303</v>
      </c>
      <c r="B3203" s="6">
        <v>37760</v>
      </c>
      <c r="C3203" s="19">
        <v>40039</v>
      </c>
      <c r="D3203" s="6" t="s">
        <v>17</v>
      </c>
      <c r="E3203" s="6">
        <f>IF((ISBLANK($B$1)),"",Sheet1!Q3211)</f>
        <v>5300</v>
      </c>
      <c r="F3203" s="20" t="s">
        <v>27</v>
      </c>
      <c r="G3203" s="53">
        <f t="shared" si="50"/>
        <v>0.85788348675402637</v>
      </c>
      <c r="H3203" s="35"/>
      <c r="P3203" s="6"/>
    </row>
    <row r="3204" spans="1:16" ht="14.4" x14ac:dyDescent="0.25">
      <c r="A3204" s="6">
        <v>5335</v>
      </c>
      <c r="B3204" s="6">
        <v>37895</v>
      </c>
      <c r="C3204" s="19">
        <v>40998</v>
      </c>
      <c r="D3204" s="6" t="s">
        <v>30</v>
      </c>
      <c r="E3204" s="6">
        <f>IF((ISBLANK($B$1)),"",Sheet1!Q3212)</f>
        <v>4100</v>
      </c>
      <c r="F3204" s="20" t="s">
        <v>26</v>
      </c>
      <c r="G3204" s="53">
        <f t="shared" si="50"/>
        <v>-0.79926164049742576</v>
      </c>
      <c r="H3204" s="35"/>
      <c r="P3204" s="6"/>
    </row>
    <row r="3205" spans="1:16" ht="14.4" x14ac:dyDescent="0.25">
      <c r="A3205" s="6">
        <v>5402</v>
      </c>
      <c r="B3205" s="6">
        <v>38403</v>
      </c>
      <c r="C3205" s="19">
        <v>40684</v>
      </c>
      <c r="D3205" s="6" t="s">
        <v>25</v>
      </c>
      <c r="E3205" s="6">
        <f>IF((ISBLANK($B$1)),"",Sheet1!Q3213)</f>
        <v>5850</v>
      </c>
      <c r="F3205" s="20" t="s">
        <v>26</v>
      </c>
      <c r="G3205" s="53">
        <f t="shared" si="50"/>
        <v>1.6174083367442753</v>
      </c>
      <c r="H3205" s="35"/>
      <c r="P3205" s="6"/>
    </row>
    <row r="3206" spans="1:16" ht="14.4" x14ac:dyDescent="0.25">
      <c r="A3206" s="6">
        <v>5440</v>
      </c>
      <c r="B3206" s="6">
        <v>38630</v>
      </c>
      <c r="C3206" s="19">
        <v>40285</v>
      </c>
      <c r="D3206" s="6" t="s">
        <v>16</v>
      </c>
      <c r="E3206" s="6">
        <f>IF((ISBLANK($B$1)),"",Sheet1!Q3214)</f>
        <v>4050</v>
      </c>
      <c r="F3206" s="20" t="s">
        <v>27</v>
      </c>
      <c r="G3206" s="53">
        <f t="shared" si="50"/>
        <v>-0.86830935413290289</v>
      </c>
      <c r="H3206" s="35"/>
      <c r="P3206" s="6"/>
    </row>
    <row r="3207" spans="1:16" ht="14.4" x14ac:dyDescent="0.25">
      <c r="A3207" s="6">
        <v>5684</v>
      </c>
      <c r="B3207" s="6">
        <v>40165</v>
      </c>
      <c r="C3207" s="19">
        <v>40604</v>
      </c>
      <c r="D3207" s="6" t="s">
        <v>17</v>
      </c>
      <c r="E3207" s="6">
        <f>IF((ISBLANK($B$1)),"",Sheet1!Q3215)</f>
        <v>5900</v>
      </c>
      <c r="F3207" s="20" t="s">
        <v>26</v>
      </c>
      <c r="G3207" s="53">
        <f t="shared" si="50"/>
        <v>1.6864560503797523</v>
      </c>
      <c r="H3207" s="35"/>
      <c r="P3207" s="6"/>
    </row>
    <row r="3208" spans="1:16" ht="14.4" x14ac:dyDescent="0.25">
      <c r="A3208" s="6">
        <v>5686</v>
      </c>
      <c r="B3208" s="6">
        <v>40194</v>
      </c>
      <c r="C3208" s="19">
        <v>40457</v>
      </c>
      <c r="D3208" s="6" t="s">
        <v>28</v>
      </c>
      <c r="E3208" s="6">
        <f>IF((ISBLANK($B$1)),"",Sheet1!Q3216)</f>
        <v>4900</v>
      </c>
      <c r="F3208" s="20" t="s">
        <v>29</v>
      </c>
      <c r="G3208" s="53">
        <f t="shared" ref="G3208:G3271" si="51">STANDARDIZE(E3208,$L$26,$L$35)</f>
        <v>0.30550177767020903</v>
      </c>
      <c r="H3208" s="35"/>
      <c r="P3208" s="6"/>
    </row>
    <row r="3209" spans="1:16" ht="14.4" x14ac:dyDescent="0.25">
      <c r="A3209" s="6">
        <v>5687</v>
      </c>
      <c r="B3209" s="6">
        <v>40194</v>
      </c>
      <c r="C3209" s="19">
        <v>40457</v>
      </c>
      <c r="D3209" s="6" t="s">
        <v>28</v>
      </c>
      <c r="E3209" s="6">
        <f>IF((ISBLANK($B$1)),"",Sheet1!Q3217)</f>
        <v>4200</v>
      </c>
      <c r="F3209" s="20" t="s">
        <v>27</v>
      </c>
      <c r="G3209" s="53">
        <f t="shared" si="51"/>
        <v>-0.6611662132264714</v>
      </c>
      <c r="H3209" s="35"/>
      <c r="P3209" s="6"/>
    </row>
    <row r="3210" spans="1:16" ht="14.4" x14ac:dyDescent="0.25">
      <c r="A3210" s="6">
        <v>5688</v>
      </c>
      <c r="B3210" s="6">
        <v>40194</v>
      </c>
      <c r="C3210" s="19">
        <v>40457</v>
      </c>
      <c r="D3210" s="6" t="s">
        <v>28</v>
      </c>
      <c r="E3210" s="6">
        <f>IF((ISBLANK($B$1)),"",Sheet1!Q3218)</f>
        <v>5100</v>
      </c>
      <c r="F3210" s="20" t="s">
        <v>27</v>
      </c>
      <c r="G3210" s="53">
        <f t="shared" si="51"/>
        <v>0.58169263221211776</v>
      </c>
      <c r="H3210" s="35"/>
      <c r="P3210" s="6"/>
    </row>
    <row r="3211" spans="1:16" ht="14.4" x14ac:dyDescent="0.25">
      <c r="A3211" s="6">
        <v>5713</v>
      </c>
      <c r="B3211" s="6">
        <v>40454</v>
      </c>
      <c r="C3211" s="19">
        <v>40654</v>
      </c>
      <c r="D3211" s="6" t="s">
        <v>28</v>
      </c>
      <c r="E3211" s="6">
        <f>IF((ISBLANK($B$1)),"",Sheet1!Q3219)</f>
        <v>5550</v>
      </c>
      <c r="F3211" s="20" t="s">
        <v>26</v>
      </c>
      <c r="G3211" s="53">
        <f t="shared" si="51"/>
        <v>1.2031220549314123</v>
      </c>
      <c r="H3211" s="35"/>
      <c r="P3211" s="6"/>
    </row>
    <row r="3212" spans="1:16" ht="14.4" x14ac:dyDescent="0.25">
      <c r="A3212" s="6">
        <v>5730</v>
      </c>
      <c r="B3212" s="6">
        <v>40672</v>
      </c>
      <c r="C3212" s="19">
        <v>41211</v>
      </c>
      <c r="D3212" s="6" t="s">
        <v>25</v>
      </c>
      <c r="E3212" s="6">
        <f>IF((ISBLANK($B$1)),"",Sheet1!Q3220)</f>
        <v>4200</v>
      </c>
      <c r="F3212" s="20" t="s">
        <v>29</v>
      </c>
      <c r="G3212" s="53">
        <f t="shared" si="51"/>
        <v>-0.6611662132264714</v>
      </c>
      <c r="H3212" s="35"/>
      <c r="P3212" s="6"/>
    </row>
    <row r="3213" spans="1:16" ht="14.4" x14ac:dyDescent="0.25">
      <c r="A3213" s="6">
        <v>5749</v>
      </c>
      <c r="B3213" s="6">
        <v>40833</v>
      </c>
      <c r="C3213" s="19">
        <v>40374</v>
      </c>
      <c r="D3213" s="6" t="s">
        <v>25</v>
      </c>
      <c r="E3213" s="6">
        <f>IF((ISBLANK($B$1)),"",Sheet1!Q3221)</f>
        <v>5800</v>
      </c>
      <c r="F3213" s="20" t="s">
        <v>27</v>
      </c>
      <c r="G3213" s="53">
        <f t="shared" si="51"/>
        <v>1.5483606231087981</v>
      </c>
      <c r="H3213" s="35"/>
      <c r="P3213" s="6"/>
    </row>
    <row r="3214" spans="1:16" ht="14.4" x14ac:dyDescent="0.25">
      <c r="A3214" s="6">
        <v>5843</v>
      </c>
      <c r="B3214" s="6">
        <v>41441</v>
      </c>
      <c r="C3214" s="19">
        <v>40931</v>
      </c>
      <c r="D3214" s="6" t="s">
        <v>16</v>
      </c>
      <c r="E3214" s="6">
        <f>IF((ISBLANK($B$1)),"",Sheet1!Q3222)</f>
        <v>5450</v>
      </c>
      <c r="F3214" s="20" t="s">
        <v>26</v>
      </c>
      <c r="G3214" s="53">
        <f t="shared" si="51"/>
        <v>1.0650266276604579</v>
      </c>
      <c r="H3214" s="35"/>
      <c r="P3214" s="6"/>
    </row>
    <row r="3215" spans="1:16" ht="14.4" x14ac:dyDescent="0.25">
      <c r="A3215" s="6">
        <v>6079</v>
      </c>
      <c r="B3215" s="6">
        <v>43076</v>
      </c>
      <c r="C3215" s="19">
        <v>40345</v>
      </c>
      <c r="D3215" s="6" t="s">
        <v>28</v>
      </c>
      <c r="E3215" s="6">
        <f>IF((ISBLANK($B$1)),"",Sheet1!Q3223)</f>
        <v>5050</v>
      </c>
      <c r="F3215" s="20" t="s">
        <v>29</v>
      </c>
      <c r="G3215" s="53">
        <f t="shared" si="51"/>
        <v>0.51264491857664052</v>
      </c>
      <c r="H3215" s="35"/>
      <c r="P3215" s="6"/>
    </row>
    <row r="3216" spans="1:16" ht="14.4" x14ac:dyDescent="0.25">
      <c r="A3216" s="6">
        <v>6102</v>
      </c>
      <c r="B3216" s="6">
        <v>43233</v>
      </c>
      <c r="C3216" s="19">
        <v>40348</v>
      </c>
      <c r="D3216" s="6" t="s">
        <v>30</v>
      </c>
      <c r="E3216" s="6">
        <f>IF((ISBLANK($B$1)),"",Sheet1!Q3224)</f>
        <v>4900</v>
      </c>
      <c r="F3216" s="20" t="s">
        <v>26</v>
      </c>
      <c r="G3216" s="53">
        <f t="shared" si="51"/>
        <v>0.30550177767020903</v>
      </c>
      <c r="H3216" s="35"/>
      <c r="P3216" s="6"/>
    </row>
    <row r="3217" spans="1:16" ht="14.4" x14ac:dyDescent="0.25">
      <c r="A3217" s="6">
        <v>6120</v>
      </c>
      <c r="B3217" s="6">
        <v>43332</v>
      </c>
      <c r="C3217" s="19">
        <v>41162</v>
      </c>
      <c r="D3217" s="6" t="s">
        <v>17</v>
      </c>
      <c r="E3217" s="6">
        <f>IF((ISBLANK($B$1)),"",Sheet1!Q3225)</f>
        <v>4950</v>
      </c>
      <c r="F3217" s="20" t="s">
        <v>26</v>
      </c>
      <c r="G3217" s="53">
        <f t="shared" si="51"/>
        <v>0.37454949130568621</v>
      </c>
      <c r="H3217" s="35"/>
      <c r="P3217" s="6"/>
    </row>
    <row r="3218" spans="1:16" ht="14.4" x14ac:dyDescent="0.25">
      <c r="A3218" s="6">
        <v>6122</v>
      </c>
      <c r="B3218" s="6">
        <v>43362</v>
      </c>
      <c r="C3218" s="19">
        <v>39825</v>
      </c>
      <c r="D3218" s="6" t="s">
        <v>30</v>
      </c>
      <c r="E3218" s="6">
        <f>IF((ISBLANK($B$1)),"",Sheet1!Q3226)</f>
        <v>5650</v>
      </c>
      <c r="F3218" s="20" t="s">
        <v>29</v>
      </c>
      <c r="G3218" s="53">
        <f t="shared" si="51"/>
        <v>1.3412174822023666</v>
      </c>
      <c r="H3218" s="35"/>
      <c r="P3218" s="6"/>
    </row>
    <row r="3219" spans="1:16" ht="14.4" x14ac:dyDescent="0.25">
      <c r="A3219" s="6">
        <v>6123</v>
      </c>
      <c r="B3219" s="6">
        <v>43362</v>
      </c>
      <c r="C3219" s="19">
        <v>39825</v>
      </c>
      <c r="D3219" s="6" t="s">
        <v>30</v>
      </c>
      <c r="E3219" s="6">
        <f>IF((ISBLANK($B$1)),"",Sheet1!Q3227)</f>
        <v>5050</v>
      </c>
      <c r="F3219" s="20" t="s">
        <v>26</v>
      </c>
      <c r="G3219" s="53">
        <f t="shared" si="51"/>
        <v>0.51264491857664052</v>
      </c>
      <c r="H3219" s="35"/>
      <c r="P3219" s="6"/>
    </row>
    <row r="3220" spans="1:16" ht="14.4" x14ac:dyDescent="0.25">
      <c r="A3220" s="6">
        <v>6138</v>
      </c>
      <c r="B3220" s="6">
        <v>43488</v>
      </c>
      <c r="C3220" s="19">
        <v>41078</v>
      </c>
      <c r="D3220" s="6" t="s">
        <v>30</v>
      </c>
      <c r="E3220" s="6">
        <f>IF((ISBLANK($B$1)),"",Sheet1!Q3228)</f>
        <v>5700</v>
      </c>
      <c r="F3220" s="20" t="s">
        <v>26</v>
      </c>
      <c r="G3220" s="53">
        <f t="shared" si="51"/>
        <v>1.4102651958378438</v>
      </c>
      <c r="H3220" s="35"/>
      <c r="P3220" s="6"/>
    </row>
    <row r="3221" spans="1:16" ht="14.4" x14ac:dyDescent="0.25">
      <c r="A3221" s="6">
        <v>6139</v>
      </c>
      <c r="B3221" s="6">
        <v>43488</v>
      </c>
      <c r="C3221" s="19">
        <v>41078</v>
      </c>
      <c r="D3221" s="6" t="s">
        <v>30</v>
      </c>
      <c r="E3221" s="6">
        <f>IF((ISBLANK($B$1)),"",Sheet1!Q3229)</f>
        <v>5700</v>
      </c>
      <c r="F3221" s="20" t="s">
        <v>26</v>
      </c>
      <c r="G3221" s="53">
        <f t="shared" si="51"/>
        <v>1.4102651958378438</v>
      </c>
      <c r="H3221" s="35"/>
      <c r="P3221" s="6"/>
    </row>
    <row r="3222" spans="1:16" ht="14.4" x14ac:dyDescent="0.25">
      <c r="A3222" s="6">
        <v>6140</v>
      </c>
      <c r="B3222" s="6">
        <v>43488</v>
      </c>
      <c r="C3222" s="19">
        <v>41078</v>
      </c>
      <c r="D3222" s="6" t="s">
        <v>30</v>
      </c>
      <c r="E3222" s="6">
        <f>IF((ISBLANK($B$1)),"",Sheet1!Q3230)</f>
        <v>4800</v>
      </c>
      <c r="F3222" s="20" t="s">
        <v>29</v>
      </c>
      <c r="G3222" s="53">
        <f t="shared" si="51"/>
        <v>0.16740635039925467</v>
      </c>
      <c r="H3222" s="35"/>
      <c r="P3222" s="6"/>
    </row>
    <row r="3223" spans="1:16" ht="14.4" x14ac:dyDescent="0.25">
      <c r="A3223" s="6">
        <v>6141</v>
      </c>
      <c r="B3223" s="6">
        <v>43488</v>
      </c>
      <c r="C3223" s="19">
        <v>41078</v>
      </c>
      <c r="D3223" s="6" t="s">
        <v>30</v>
      </c>
      <c r="E3223" s="6">
        <f>IF((ISBLANK($B$1)),"",Sheet1!Q3231)</f>
        <v>4050</v>
      </c>
      <c r="F3223" s="20" t="s">
        <v>26</v>
      </c>
      <c r="G3223" s="53">
        <f t="shared" si="51"/>
        <v>-0.86830935413290289</v>
      </c>
      <c r="H3223" s="35"/>
      <c r="P3223" s="6"/>
    </row>
    <row r="3224" spans="1:16" ht="14.4" x14ac:dyDescent="0.25">
      <c r="A3224" s="6">
        <v>6142</v>
      </c>
      <c r="B3224" s="6">
        <v>43488</v>
      </c>
      <c r="C3224" s="19">
        <v>41078</v>
      </c>
      <c r="D3224" s="6" t="s">
        <v>30</v>
      </c>
      <c r="E3224" s="6">
        <f>IF((ISBLANK($B$1)),"",Sheet1!Q3232)</f>
        <v>3550</v>
      </c>
      <c r="F3224" s="20" t="s">
        <v>27</v>
      </c>
      <c r="G3224" s="53">
        <f t="shared" si="51"/>
        <v>-1.5587864904876745</v>
      </c>
      <c r="H3224" s="35"/>
      <c r="P3224" s="6"/>
    </row>
    <row r="3225" spans="1:16" ht="14.4" x14ac:dyDescent="0.25">
      <c r="A3225" s="6">
        <v>6148</v>
      </c>
      <c r="B3225" s="6">
        <v>43526</v>
      </c>
      <c r="C3225" s="19">
        <v>40324</v>
      </c>
      <c r="D3225" s="6" t="s">
        <v>17</v>
      </c>
      <c r="E3225" s="6">
        <f>IF((ISBLANK($B$1)),"",Sheet1!Q3233)</f>
        <v>5850</v>
      </c>
      <c r="F3225" s="20" t="s">
        <v>26</v>
      </c>
      <c r="G3225" s="53">
        <f t="shared" si="51"/>
        <v>1.6174083367442753</v>
      </c>
      <c r="H3225" s="35"/>
      <c r="P3225" s="6"/>
    </row>
    <row r="3226" spans="1:16" ht="14.4" x14ac:dyDescent="0.25">
      <c r="A3226" s="6">
        <v>6149</v>
      </c>
      <c r="B3226" s="6">
        <v>43526</v>
      </c>
      <c r="C3226" s="19">
        <v>40324</v>
      </c>
      <c r="D3226" s="6" t="s">
        <v>17</v>
      </c>
      <c r="E3226" s="6">
        <f>IF((ISBLANK($B$1)),"",Sheet1!Q3234)</f>
        <v>4350</v>
      </c>
      <c r="F3226" s="20" t="s">
        <v>26</v>
      </c>
      <c r="G3226" s="53">
        <f t="shared" si="51"/>
        <v>-0.45402307232003986</v>
      </c>
      <c r="H3226" s="35"/>
      <c r="P3226" s="6"/>
    </row>
    <row r="3227" spans="1:16" ht="14.4" x14ac:dyDescent="0.25">
      <c r="A3227" s="6">
        <v>6232</v>
      </c>
      <c r="B3227" s="6">
        <v>44134</v>
      </c>
      <c r="C3227" s="19">
        <v>40116</v>
      </c>
      <c r="D3227" s="6" t="s">
        <v>17</v>
      </c>
      <c r="E3227" s="6">
        <f>IF((ISBLANK($B$1)),"",Sheet1!Q3235)</f>
        <v>5150</v>
      </c>
      <c r="F3227" s="20" t="s">
        <v>29</v>
      </c>
      <c r="G3227" s="53">
        <f t="shared" si="51"/>
        <v>0.65074034584759488</v>
      </c>
      <c r="H3227" s="35"/>
      <c r="P3227" s="6"/>
    </row>
    <row r="3228" spans="1:16" ht="14.4" x14ac:dyDescent="0.25">
      <c r="A3228" s="6">
        <v>6235</v>
      </c>
      <c r="B3228" s="6">
        <v>44196</v>
      </c>
      <c r="C3228" s="19">
        <v>40047</v>
      </c>
      <c r="D3228" s="6" t="s">
        <v>28</v>
      </c>
      <c r="E3228" s="6">
        <f>IF((ISBLANK($B$1)),"",Sheet1!Q3236)</f>
        <v>4000</v>
      </c>
      <c r="F3228" s="20" t="s">
        <v>27</v>
      </c>
      <c r="G3228" s="53">
        <f t="shared" si="51"/>
        <v>-0.93735706776838001</v>
      </c>
      <c r="H3228" s="35"/>
      <c r="P3228" s="6"/>
    </row>
    <row r="3229" spans="1:16" ht="14.4" x14ac:dyDescent="0.25">
      <c r="A3229" s="6">
        <v>6266</v>
      </c>
      <c r="B3229" s="6">
        <v>44358</v>
      </c>
      <c r="C3229" s="19">
        <v>40269</v>
      </c>
      <c r="D3229" s="6" t="s">
        <v>17</v>
      </c>
      <c r="E3229" s="6">
        <f>IF((ISBLANK($B$1)),"",Sheet1!Q3237)</f>
        <v>4500</v>
      </c>
      <c r="F3229" s="20" t="s">
        <v>29</v>
      </c>
      <c r="G3229" s="53">
        <f t="shared" si="51"/>
        <v>-0.24687993141360834</v>
      </c>
      <c r="H3229" s="35"/>
      <c r="P3229" s="6"/>
    </row>
    <row r="3230" spans="1:16" ht="14.4" x14ac:dyDescent="0.25">
      <c r="A3230" s="6">
        <v>6284</v>
      </c>
      <c r="B3230" s="6">
        <v>44480</v>
      </c>
      <c r="C3230" s="19">
        <v>40310</v>
      </c>
      <c r="D3230" s="6" t="s">
        <v>16</v>
      </c>
      <c r="E3230" s="6">
        <f>IF((ISBLANK($B$1)),"",Sheet1!Q3238)</f>
        <v>4650</v>
      </c>
      <c r="F3230" s="20" t="s">
        <v>26</v>
      </c>
      <c r="G3230" s="53">
        <f t="shared" si="51"/>
        <v>-3.9736790507176829E-2</v>
      </c>
      <c r="H3230" s="35"/>
      <c r="P3230" s="6"/>
    </row>
    <row r="3231" spans="1:16" ht="14.4" x14ac:dyDescent="0.25">
      <c r="A3231" s="6">
        <v>6293</v>
      </c>
      <c r="B3231" s="6">
        <v>44546</v>
      </c>
      <c r="C3231" s="19">
        <v>40261</v>
      </c>
      <c r="D3231" s="6" t="s">
        <v>30</v>
      </c>
      <c r="E3231" s="6">
        <f>IF((ISBLANK($B$1)),"",Sheet1!Q3239)</f>
        <v>4150</v>
      </c>
      <c r="F3231" s="20" t="s">
        <v>26</v>
      </c>
      <c r="G3231" s="53">
        <f t="shared" si="51"/>
        <v>-0.73021392686194853</v>
      </c>
      <c r="H3231" s="35"/>
      <c r="P3231" s="6"/>
    </row>
    <row r="3232" spans="1:16" ht="14.4" x14ac:dyDescent="0.25">
      <c r="A3232" s="6">
        <v>6311</v>
      </c>
      <c r="B3232" s="6">
        <v>44647</v>
      </c>
      <c r="C3232" s="19">
        <v>40932</v>
      </c>
      <c r="D3232" s="6" t="s">
        <v>25</v>
      </c>
      <c r="E3232" s="6">
        <f>IF((ISBLANK($B$1)),"",Sheet1!Q3240)</f>
        <v>5750</v>
      </c>
      <c r="F3232" s="20" t="s">
        <v>29</v>
      </c>
      <c r="G3232" s="53">
        <f t="shared" si="51"/>
        <v>1.4793129094733208</v>
      </c>
      <c r="H3232" s="35"/>
      <c r="P3232" s="6"/>
    </row>
    <row r="3233" spans="1:16" ht="14.4" x14ac:dyDescent="0.25">
      <c r="A3233" s="6">
        <v>6312</v>
      </c>
      <c r="B3233" s="6">
        <v>44647</v>
      </c>
      <c r="C3233" s="19">
        <v>40932</v>
      </c>
      <c r="D3233" s="6" t="s">
        <v>25</v>
      </c>
      <c r="E3233" s="6">
        <f>IF((ISBLANK($B$1)),"",Sheet1!Q3241)</f>
        <v>4600</v>
      </c>
      <c r="F3233" s="20" t="s">
        <v>26</v>
      </c>
      <c r="G3233" s="53">
        <f t="shared" si="51"/>
        <v>-0.108784504142654</v>
      </c>
      <c r="H3233" s="35"/>
      <c r="P3233" s="6"/>
    </row>
    <row r="3234" spans="1:16" ht="14.4" x14ac:dyDescent="0.25">
      <c r="A3234" s="6">
        <v>6385</v>
      </c>
      <c r="B3234" s="6">
        <v>45376</v>
      </c>
      <c r="C3234" s="19">
        <v>40879</v>
      </c>
      <c r="D3234" s="6" t="s">
        <v>30</v>
      </c>
      <c r="E3234" s="6">
        <f>IF((ISBLANK($B$1)),"",Sheet1!Q3242)</f>
        <v>4350</v>
      </c>
      <c r="F3234" s="20" t="s">
        <v>26</v>
      </c>
      <c r="G3234" s="53">
        <f t="shared" si="51"/>
        <v>-0.45402307232003986</v>
      </c>
      <c r="H3234" s="35"/>
      <c r="P3234" s="6"/>
    </row>
    <row r="3235" spans="1:16" ht="14.4" x14ac:dyDescent="0.25">
      <c r="A3235" s="6">
        <v>6477</v>
      </c>
      <c r="B3235" s="6">
        <v>46115</v>
      </c>
      <c r="C3235" s="19">
        <v>40604</v>
      </c>
      <c r="D3235" s="6" t="s">
        <v>30</v>
      </c>
      <c r="E3235" s="6">
        <f>IF((ISBLANK($B$1)),"",Sheet1!Q3243)</f>
        <v>5150</v>
      </c>
      <c r="F3235" s="20" t="s">
        <v>27</v>
      </c>
      <c r="G3235" s="53">
        <f t="shared" si="51"/>
        <v>0.65074034584759488</v>
      </c>
      <c r="H3235" s="35"/>
      <c r="P3235" s="6"/>
    </row>
    <row r="3236" spans="1:16" ht="14.4" x14ac:dyDescent="0.25">
      <c r="A3236" s="6">
        <v>6478</v>
      </c>
      <c r="B3236" s="6">
        <v>46115</v>
      </c>
      <c r="C3236" s="19">
        <v>40604</v>
      </c>
      <c r="D3236" s="6" t="s">
        <v>30</v>
      </c>
      <c r="E3236" s="6">
        <f>IF((ISBLANK($B$1)),"",Sheet1!Q3244)</f>
        <v>5300</v>
      </c>
      <c r="F3236" s="20" t="s">
        <v>26</v>
      </c>
      <c r="G3236" s="53">
        <f t="shared" si="51"/>
        <v>0.85788348675402637</v>
      </c>
      <c r="H3236" s="35"/>
      <c r="P3236" s="6"/>
    </row>
    <row r="3237" spans="1:16" ht="14.4" x14ac:dyDescent="0.25">
      <c r="A3237" s="6">
        <v>6625</v>
      </c>
      <c r="B3237" s="6">
        <v>47109</v>
      </c>
      <c r="C3237" s="19">
        <v>40797</v>
      </c>
      <c r="D3237" s="6" t="s">
        <v>17</v>
      </c>
      <c r="E3237" s="6">
        <f>IF((ISBLANK($B$1)),"",Sheet1!Q3245)</f>
        <v>5750</v>
      </c>
      <c r="F3237" s="20" t="s">
        <v>29</v>
      </c>
      <c r="G3237" s="53">
        <f t="shared" si="51"/>
        <v>1.4793129094733208</v>
      </c>
      <c r="H3237" s="35"/>
      <c r="P3237" s="6"/>
    </row>
    <row r="3238" spans="1:16" ht="14.4" x14ac:dyDescent="0.25">
      <c r="A3238" s="6">
        <v>6687</v>
      </c>
      <c r="B3238" s="6">
        <v>47556</v>
      </c>
      <c r="C3238" s="19">
        <v>40384</v>
      </c>
      <c r="D3238" s="6" t="s">
        <v>25</v>
      </c>
      <c r="E3238" s="6">
        <f>IF((ISBLANK($B$1)),"",Sheet1!Q3246)</f>
        <v>4850</v>
      </c>
      <c r="F3238" s="20" t="s">
        <v>27</v>
      </c>
      <c r="G3238" s="53">
        <f t="shared" si="51"/>
        <v>0.23645406403473185</v>
      </c>
      <c r="H3238" s="35"/>
      <c r="P3238" s="6"/>
    </row>
    <row r="3239" spans="1:16" ht="14.4" x14ac:dyDescent="0.25">
      <c r="A3239" s="6">
        <v>6698</v>
      </c>
      <c r="B3239" s="6">
        <v>47712</v>
      </c>
      <c r="C3239" s="19">
        <v>40372</v>
      </c>
      <c r="D3239" s="6" t="s">
        <v>25</v>
      </c>
      <c r="E3239" s="6">
        <f>IF((ISBLANK($B$1)),"",Sheet1!Q3247)</f>
        <v>5900</v>
      </c>
      <c r="F3239" s="20" t="s">
        <v>26</v>
      </c>
      <c r="G3239" s="53">
        <f t="shared" si="51"/>
        <v>1.6864560503797523</v>
      </c>
      <c r="H3239" s="35"/>
      <c r="P3239" s="6"/>
    </row>
    <row r="3240" spans="1:16" ht="14.4" x14ac:dyDescent="0.25">
      <c r="A3240" s="6">
        <v>6756</v>
      </c>
      <c r="B3240" s="6">
        <v>48135</v>
      </c>
      <c r="C3240" s="19">
        <v>39922</v>
      </c>
      <c r="D3240" s="6" t="s">
        <v>17</v>
      </c>
      <c r="E3240" s="6">
        <f>IF((ISBLANK($B$1)),"",Sheet1!Q3248)</f>
        <v>4400</v>
      </c>
      <c r="F3240" s="20" t="s">
        <v>27</v>
      </c>
      <c r="G3240" s="53">
        <f t="shared" si="51"/>
        <v>-0.38497535868456267</v>
      </c>
      <c r="H3240" s="35"/>
      <c r="P3240" s="6"/>
    </row>
    <row r="3241" spans="1:16" ht="14.4" x14ac:dyDescent="0.25">
      <c r="A3241" s="6">
        <v>6758</v>
      </c>
      <c r="B3241" s="6">
        <v>48161</v>
      </c>
      <c r="C3241" s="19">
        <v>40686</v>
      </c>
      <c r="D3241" s="6" t="s">
        <v>28</v>
      </c>
      <c r="E3241" s="6">
        <f>IF((ISBLANK($B$1)),"",Sheet1!Q3249)</f>
        <v>4200</v>
      </c>
      <c r="F3241" s="20" t="s">
        <v>26</v>
      </c>
      <c r="G3241" s="53">
        <f t="shared" si="51"/>
        <v>-0.6611662132264714</v>
      </c>
      <c r="H3241" s="35"/>
      <c r="P3241" s="6"/>
    </row>
    <row r="3242" spans="1:16" ht="14.4" x14ac:dyDescent="0.25">
      <c r="A3242" s="6">
        <v>6759</v>
      </c>
      <c r="B3242" s="6">
        <v>48161</v>
      </c>
      <c r="C3242" s="19">
        <v>40686</v>
      </c>
      <c r="D3242" s="6" t="s">
        <v>28</v>
      </c>
      <c r="E3242" s="6">
        <f>IF((ISBLANK($B$1)),"",Sheet1!Q3250)</f>
        <v>5350</v>
      </c>
      <c r="F3242" s="20" t="s">
        <v>27</v>
      </c>
      <c r="G3242" s="53">
        <f t="shared" si="51"/>
        <v>0.92693120038950361</v>
      </c>
      <c r="H3242" s="35"/>
      <c r="P3242" s="6"/>
    </row>
    <row r="3243" spans="1:16" ht="14.4" x14ac:dyDescent="0.25">
      <c r="A3243" s="6">
        <v>6816</v>
      </c>
      <c r="B3243" s="6">
        <v>48515</v>
      </c>
      <c r="C3243" s="19">
        <v>40897</v>
      </c>
      <c r="D3243" s="6" t="s">
        <v>30</v>
      </c>
      <c r="E3243" s="6">
        <f>IF((ISBLANK($B$1)),"",Sheet1!Q3251)</f>
        <v>5750</v>
      </c>
      <c r="F3243" s="20" t="s">
        <v>26</v>
      </c>
      <c r="G3243" s="53">
        <f t="shared" si="51"/>
        <v>1.4793129094733208</v>
      </c>
      <c r="H3243" s="35"/>
      <c r="P3243" s="6"/>
    </row>
    <row r="3244" spans="1:16" ht="14.4" x14ac:dyDescent="0.25">
      <c r="A3244" s="6">
        <v>6829</v>
      </c>
      <c r="B3244" s="6">
        <v>48642</v>
      </c>
      <c r="C3244" s="19">
        <v>40210</v>
      </c>
      <c r="D3244" s="6" t="s">
        <v>17</v>
      </c>
      <c r="E3244" s="6">
        <f>IF((ISBLANK($B$1)),"",Sheet1!Q3252)</f>
        <v>5200</v>
      </c>
      <c r="F3244" s="20" t="s">
        <v>26</v>
      </c>
      <c r="G3244" s="53">
        <f t="shared" si="51"/>
        <v>0.71978805948307201</v>
      </c>
      <c r="H3244" s="35"/>
      <c r="P3244" s="6"/>
    </row>
    <row r="3245" spans="1:16" ht="14.4" x14ac:dyDescent="0.25">
      <c r="A3245" s="6">
        <v>6830</v>
      </c>
      <c r="B3245" s="6">
        <v>48642</v>
      </c>
      <c r="C3245" s="19">
        <v>40210</v>
      </c>
      <c r="D3245" s="6" t="s">
        <v>17</v>
      </c>
      <c r="E3245" s="6">
        <f>IF((ISBLANK($B$1)),"",Sheet1!Q3253)</f>
        <v>5900</v>
      </c>
      <c r="F3245" s="20" t="s">
        <v>27</v>
      </c>
      <c r="G3245" s="53">
        <f t="shared" si="51"/>
        <v>1.6864560503797523</v>
      </c>
      <c r="H3245" s="35"/>
      <c r="P3245" s="6"/>
    </row>
    <row r="3246" spans="1:16" ht="14.4" x14ac:dyDescent="0.25">
      <c r="A3246" s="6">
        <v>7089</v>
      </c>
      <c r="B3246" s="6">
        <v>50567</v>
      </c>
      <c r="C3246" s="19">
        <v>40944</v>
      </c>
      <c r="D3246" s="6" t="s">
        <v>16</v>
      </c>
      <c r="E3246" s="6">
        <f>IF((ISBLANK($B$1)),"",Sheet1!Q3254)</f>
        <v>4500</v>
      </c>
      <c r="F3246" s="20" t="s">
        <v>29</v>
      </c>
      <c r="G3246" s="53">
        <f t="shared" si="51"/>
        <v>-0.24687993141360834</v>
      </c>
      <c r="H3246" s="35"/>
      <c r="P3246" s="6"/>
    </row>
    <row r="3247" spans="1:16" ht="14.4" x14ac:dyDescent="0.25">
      <c r="A3247" s="6">
        <v>7241</v>
      </c>
      <c r="B3247" s="6">
        <v>51623</v>
      </c>
      <c r="C3247" s="19">
        <v>39826</v>
      </c>
      <c r="D3247" s="6" t="s">
        <v>30</v>
      </c>
      <c r="E3247" s="6">
        <f>IF((ISBLANK($B$1)),"",Sheet1!Q3255)</f>
        <v>4250</v>
      </c>
      <c r="F3247" s="20" t="s">
        <v>29</v>
      </c>
      <c r="G3247" s="53">
        <f t="shared" si="51"/>
        <v>-0.59211849959099416</v>
      </c>
      <c r="H3247" s="35"/>
      <c r="P3247" s="6"/>
    </row>
    <row r="3248" spans="1:16" ht="14.4" x14ac:dyDescent="0.25">
      <c r="A3248" s="6">
        <v>7320</v>
      </c>
      <c r="B3248" s="6">
        <v>52194</v>
      </c>
      <c r="C3248" s="19">
        <v>40523</v>
      </c>
      <c r="D3248" s="6" t="s">
        <v>30</v>
      </c>
      <c r="E3248" s="6">
        <f>IF((ISBLANK($B$1)),"",Sheet1!Q3256)</f>
        <v>4650</v>
      </c>
      <c r="F3248" s="20" t="s">
        <v>26</v>
      </c>
      <c r="G3248" s="53">
        <f t="shared" si="51"/>
        <v>-3.9736790507176829E-2</v>
      </c>
      <c r="H3248" s="35"/>
      <c r="P3248" s="6"/>
    </row>
    <row r="3249" spans="1:16" ht="14.4" x14ac:dyDescent="0.25">
      <c r="A3249" s="6">
        <v>7321</v>
      </c>
      <c r="B3249" s="6">
        <v>52194</v>
      </c>
      <c r="C3249" s="19">
        <v>40523</v>
      </c>
      <c r="D3249" s="6" t="s">
        <v>30</v>
      </c>
      <c r="E3249" s="6">
        <f>IF((ISBLANK($B$1)),"",Sheet1!Q3257)</f>
        <v>4000</v>
      </c>
      <c r="F3249" s="20" t="s">
        <v>29</v>
      </c>
      <c r="G3249" s="53">
        <f t="shared" si="51"/>
        <v>-0.93735706776838001</v>
      </c>
      <c r="H3249" s="35"/>
      <c r="P3249" s="6"/>
    </row>
    <row r="3250" spans="1:16" ht="14.4" x14ac:dyDescent="0.25">
      <c r="A3250" s="6">
        <v>7338</v>
      </c>
      <c r="B3250" s="6">
        <v>52291</v>
      </c>
      <c r="C3250" s="19">
        <v>40115</v>
      </c>
      <c r="D3250" s="6" t="s">
        <v>30</v>
      </c>
      <c r="E3250" s="6">
        <f>IF((ISBLANK($B$1)),"",Sheet1!Q3258)</f>
        <v>5800</v>
      </c>
      <c r="F3250" s="20" t="s">
        <v>26</v>
      </c>
      <c r="G3250" s="53">
        <f t="shared" si="51"/>
        <v>1.5483606231087981</v>
      </c>
      <c r="H3250" s="35"/>
      <c r="P3250" s="6"/>
    </row>
    <row r="3251" spans="1:16" ht="14.4" x14ac:dyDescent="0.25">
      <c r="A3251" s="6">
        <v>7339</v>
      </c>
      <c r="B3251" s="6">
        <v>52291</v>
      </c>
      <c r="C3251" s="19">
        <v>40115</v>
      </c>
      <c r="D3251" s="6" t="s">
        <v>30</v>
      </c>
      <c r="E3251" s="6">
        <f>IF((ISBLANK($B$1)),"",Sheet1!Q3259)</f>
        <v>3650</v>
      </c>
      <c r="F3251" s="20" t="s">
        <v>27</v>
      </c>
      <c r="G3251" s="53">
        <f t="shared" si="51"/>
        <v>-1.4206910632167202</v>
      </c>
      <c r="H3251" s="35"/>
      <c r="P3251" s="6"/>
    </row>
    <row r="3252" spans="1:16" ht="14.4" x14ac:dyDescent="0.25">
      <c r="A3252" s="6">
        <v>7600</v>
      </c>
      <c r="B3252" s="6">
        <v>54370</v>
      </c>
      <c r="C3252" s="19">
        <v>41007</v>
      </c>
      <c r="D3252" s="6" t="s">
        <v>28</v>
      </c>
      <c r="E3252" s="6">
        <f>IF((ISBLANK($B$1)),"",Sheet1!Q3260)</f>
        <v>5850</v>
      </c>
      <c r="F3252" s="20" t="s">
        <v>27</v>
      </c>
      <c r="G3252" s="53">
        <f t="shared" si="51"/>
        <v>1.6174083367442753</v>
      </c>
      <c r="H3252" s="35"/>
      <c r="P3252" s="6"/>
    </row>
    <row r="3253" spans="1:16" ht="14.4" x14ac:dyDescent="0.25">
      <c r="A3253" s="6">
        <v>7619</v>
      </c>
      <c r="B3253" s="6">
        <v>54528</v>
      </c>
      <c r="C3253" s="19">
        <v>40547</v>
      </c>
      <c r="D3253" s="6" t="s">
        <v>16</v>
      </c>
      <c r="E3253" s="6">
        <f>IF((ISBLANK($B$1)),"",Sheet1!Q3261)</f>
        <v>4150</v>
      </c>
      <c r="F3253" s="20" t="s">
        <v>26</v>
      </c>
      <c r="G3253" s="53">
        <f t="shared" si="51"/>
        <v>-0.73021392686194853</v>
      </c>
      <c r="H3253" s="35"/>
      <c r="P3253" s="6"/>
    </row>
    <row r="3254" spans="1:16" ht="14.4" x14ac:dyDescent="0.25">
      <c r="A3254" s="6">
        <v>7636</v>
      </c>
      <c r="B3254" s="6">
        <v>54659</v>
      </c>
      <c r="C3254" s="19">
        <v>40770</v>
      </c>
      <c r="D3254" s="6" t="s">
        <v>17</v>
      </c>
      <c r="E3254" s="6">
        <f>IF((ISBLANK($B$1)),"",Sheet1!Q3262)</f>
        <v>5300</v>
      </c>
      <c r="F3254" s="20" t="s">
        <v>26</v>
      </c>
      <c r="G3254" s="53">
        <f t="shared" si="51"/>
        <v>0.85788348675402637</v>
      </c>
      <c r="H3254" s="35"/>
      <c r="P3254" s="6"/>
    </row>
    <row r="3255" spans="1:16" ht="14.4" x14ac:dyDescent="0.25">
      <c r="A3255" s="6">
        <v>7670</v>
      </c>
      <c r="B3255" s="6">
        <v>54981</v>
      </c>
      <c r="C3255" s="19">
        <v>40950</v>
      </c>
      <c r="D3255" s="6" t="s">
        <v>17</v>
      </c>
      <c r="E3255" s="6">
        <f>IF((ISBLANK($B$1)),"",Sheet1!Q3263)</f>
        <v>4950</v>
      </c>
      <c r="F3255" s="20" t="s">
        <v>26</v>
      </c>
      <c r="G3255" s="53">
        <f t="shared" si="51"/>
        <v>0.37454949130568621</v>
      </c>
      <c r="H3255" s="35"/>
      <c r="P3255" s="6"/>
    </row>
    <row r="3256" spans="1:16" ht="14.4" x14ac:dyDescent="0.25">
      <c r="A3256" s="6">
        <v>7726</v>
      </c>
      <c r="B3256" s="6">
        <v>55361</v>
      </c>
      <c r="C3256" s="19">
        <v>40625</v>
      </c>
      <c r="D3256" s="6" t="s">
        <v>28</v>
      </c>
      <c r="E3256" s="6">
        <f>IF((ISBLANK($B$1)),"",Sheet1!Q3264)</f>
        <v>4500</v>
      </c>
      <c r="F3256" s="20" t="s">
        <v>29</v>
      </c>
      <c r="G3256" s="53">
        <f t="shared" si="51"/>
        <v>-0.24687993141360834</v>
      </c>
      <c r="H3256" s="35"/>
      <c r="P3256" s="6"/>
    </row>
    <row r="3257" spans="1:16" ht="14.4" x14ac:dyDescent="0.25">
      <c r="A3257" s="6">
        <v>7727</v>
      </c>
      <c r="B3257" s="6">
        <v>55361</v>
      </c>
      <c r="C3257" s="19">
        <v>40625</v>
      </c>
      <c r="D3257" s="6" t="s">
        <v>28</v>
      </c>
      <c r="E3257" s="6">
        <f>IF((ISBLANK($B$1)),"",Sheet1!Q3265)</f>
        <v>4950</v>
      </c>
      <c r="F3257" s="20" t="s">
        <v>26</v>
      </c>
      <c r="G3257" s="53">
        <f t="shared" si="51"/>
        <v>0.37454949130568621</v>
      </c>
      <c r="H3257" s="35"/>
      <c r="P3257" s="6"/>
    </row>
    <row r="3258" spans="1:16" ht="14.4" x14ac:dyDescent="0.25">
      <c r="A3258" s="6">
        <v>7820</v>
      </c>
      <c r="B3258" s="6">
        <v>55908</v>
      </c>
      <c r="C3258" s="19">
        <v>39956</v>
      </c>
      <c r="D3258" s="6" t="s">
        <v>17</v>
      </c>
      <c r="E3258" s="6">
        <f>IF((ISBLANK($B$1)),"",Sheet1!Q3266)</f>
        <v>5600</v>
      </c>
      <c r="F3258" s="20" t="s">
        <v>26</v>
      </c>
      <c r="G3258" s="53">
        <f t="shared" si="51"/>
        <v>1.2721697685668893</v>
      </c>
      <c r="H3258" s="35"/>
      <c r="P3258" s="6"/>
    </row>
    <row r="3259" spans="1:16" ht="14.4" x14ac:dyDescent="0.25">
      <c r="A3259" s="6">
        <v>7865</v>
      </c>
      <c r="B3259" s="6">
        <v>56257</v>
      </c>
      <c r="C3259" s="19">
        <v>40795</v>
      </c>
      <c r="D3259" s="6" t="s">
        <v>16</v>
      </c>
      <c r="E3259" s="6">
        <f>IF((ISBLANK($B$1)),"",Sheet1!Q3267)</f>
        <v>5850</v>
      </c>
      <c r="F3259" s="20" t="s">
        <v>29</v>
      </c>
      <c r="G3259" s="53">
        <f t="shared" si="51"/>
        <v>1.6174083367442753</v>
      </c>
      <c r="H3259" s="35"/>
      <c r="P3259" s="6"/>
    </row>
    <row r="3260" spans="1:16" ht="14.4" x14ac:dyDescent="0.25">
      <c r="A3260" s="6">
        <v>7972</v>
      </c>
      <c r="B3260" s="6">
        <v>57029</v>
      </c>
      <c r="C3260" s="19">
        <v>40610</v>
      </c>
      <c r="D3260" s="6" t="s">
        <v>30</v>
      </c>
      <c r="E3260" s="6">
        <f>IF((ISBLANK($B$1)),"",Sheet1!Q3268)</f>
        <v>4250</v>
      </c>
      <c r="F3260" s="20" t="s">
        <v>26</v>
      </c>
      <c r="G3260" s="53">
        <f t="shared" si="51"/>
        <v>-0.59211849959099416</v>
      </c>
      <c r="H3260" s="35"/>
      <c r="P3260" s="6"/>
    </row>
    <row r="3261" spans="1:16" ht="14.4" x14ac:dyDescent="0.25">
      <c r="A3261" s="6">
        <v>7973</v>
      </c>
      <c r="B3261" s="6">
        <v>57029</v>
      </c>
      <c r="C3261" s="19">
        <v>40610</v>
      </c>
      <c r="D3261" s="6" t="s">
        <v>30</v>
      </c>
      <c r="E3261" s="6">
        <f>IF((ISBLANK($B$1)),"",Sheet1!Q3269)</f>
        <v>3600</v>
      </c>
      <c r="F3261" s="20" t="s">
        <v>26</v>
      </c>
      <c r="G3261" s="53">
        <f t="shared" si="51"/>
        <v>-1.4897387768521975</v>
      </c>
      <c r="H3261" s="35"/>
      <c r="P3261" s="6"/>
    </row>
    <row r="3262" spans="1:16" ht="14.4" x14ac:dyDescent="0.25">
      <c r="A3262" s="6">
        <v>8134</v>
      </c>
      <c r="B3262" s="6">
        <v>58145</v>
      </c>
      <c r="C3262" s="19">
        <v>41045</v>
      </c>
      <c r="D3262" s="6" t="s">
        <v>16</v>
      </c>
      <c r="E3262" s="6">
        <f>IF((ISBLANK($B$1)),"",Sheet1!Q3270)</f>
        <v>5050</v>
      </c>
      <c r="F3262" s="20" t="s">
        <v>29</v>
      </c>
      <c r="G3262" s="53">
        <f t="shared" si="51"/>
        <v>0.51264491857664052</v>
      </c>
      <c r="H3262" s="35"/>
      <c r="P3262" s="6"/>
    </row>
    <row r="3263" spans="1:16" ht="14.4" x14ac:dyDescent="0.25">
      <c r="A3263" s="6">
        <v>8137</v>
      </c>
      <c r="B3263" s="6">
        <v>58151</v>
      </c>
      <c r="C3263" s="19">
        <v>40085</v>
      </c>
      <c r="D3263" s="6" t="s">
        <v>17</v>
      </c>
      <c r="E3263" s="6">
        <f>IF((ISBLANK($B$1)),"",Sheet1!Q3271)</f>
        <v>5050</v>
      </c>
      <c r="F3263" s="20" t="s">
        <v>26</v>
      </c>
      <c r="G3263" s="53">
        <f t="shared" si="51"/>
        <v>0.51264491857664052</v>
      </c>
      <c r="H3263" s="35"/>
      <c r="P3263" s="6"/>
    </row>
    <row r="3264" spans="1:16" ht="14.4" x14ac:dyDescent="0.25">
      <c r="A3264" s="6">
        <v>8138</v>
      </c>
      <c r="B3264" s="6">
        <v>58151</v>
      </c>
      <c r="C3264" s="19">
        <v>40085</v>
      </c>
      <c r="D3264" s="6" t="s">
        <v>17</v>
      </c>
      <c r="E3264" s="6">
        <f>IF((ISBLANK($B$1)),"",Sheet1!Q3272)</f>
        <v>5300</v>
      </c>
      <c r="F3264" s="20" t="s">
        <v>26</v>
      </c>
      <c r="G3264" s="53">
        <f t="shared" si="51"/>
        <v>0.85788348675402637</v>
      </c>
      <c r="H3264" s="35"/>
      <c r="P3264" s="6"/>
    </row>
    <row r="3265" spans="1:16" ht="14.4" x14ac:dyDescent="0.25">
      <c r="A3265" s="6">
        <v>8207</v>
      </c>
      <c r="B3265" s="6">
        <v>58659</v>
      </c>
      <c r="C3265" s="19">
        <v>40475</v>
      </c>
      <c r="D3265" s="6" t="s">
        <v>17</v>
      </c>
      <c r="E3265" s="6">
        <f>IF((ISBLANK($B$1)),"",Sheet1!Q3273)</f>
        <v>3500</v>
      </c>
      <c r="F3265" s="20" t="s">
        <v>26</v>
      </c>
      <c r="G3265" s="53">
        <f t="shared" si="51"/>
        <v>-1.6278342041231517</v>
      </c>
      <c r="H3265" s="35"/>
      <c r="P3265" s="6"/>
    </row>
    <row r="3266" spans="1:16" ht="14.4" x14ac:dyDescent="0.25">
      <c r="A3266" s="6">
        <v>8216</v>
      </c>
      <c r="B3266" s="6">
        <v>58727</v>
      </c>
      <c r="C3266" s="19">
        <v>40000</v>
      </c>
      <c r="D3266" s="6" t="s">
        <v>16</v>
      </c>
      <c r="E3266" s="6">
        <f>IF((ISBLANK($B$1)),"",Sheet1!Q3274)</f>
        <v>4400</v>
      </c>
      <c r="F3266" s="20" t="s">
        <v>29</v>
      </c>
      <c r="G3266" s="53">
        <f t="shared" si="51"/>
        <v>-0.38497535868456267</v>
      </c>
      <c r="H3266" s="35"/>
      <c r="P3266" s="6"/>
    </row>
    <row r="3267" spans="1:16" ht="14.4" x14ac:dyDescent="0.25">
      <c r="A3267" s="6">
        <v>44</v>
      </c>
      <c r="B3267" s="6">
        <v>258</v>
      </c>
      <c r="C3267" s="19">
        <v>40540</v>
      </c>
      <c r="D3267" s="6" t="s">
        <v>30</v>
      </c>
      <c r="E3267" s="6">
        <f>IF((ISBLANK($B$1)),"",Sheet1!Q3275)</f>
        <v>5050</v>
      </c>
      <c r="F3267" s="20" t="s">
        <v>26</v>
      </c>
      <c r="G3267" s="53">
        <f t="shared" si="51"/>
        <v>0.51264491857664052</v>
      </c>
      <c r="H3267" s="35"/>
      <c r="P3267" s="6"/>
    </row>
    <row r="3268" spans="1:16" ht="14.4" x14ac:dyDescent="0.25">
      <c r="A3268" s="6">
        <v>153</v>
      </c>
      <c r="B3268" s="6">
        <v>964</v>
      </c>
      <c r="C3268" s="19">
        <v>40682</v>
      </c>
      <c r="D3268" s="6" t="s">
        <v>16</v>
      </c>
      <c r="E3268" s="6">
        <f>IF((ISBLANK($B$1)),"",Sheet1!Q3276)</f>
        <v>5900</v>
      </c>
      <c r="F3268" s="20" t="s">
        <v>26</v>
      </c>
      <c r="G3268" s="53">
        <f t="shared" si="51"/>
        <v>1.6864560503797523</v>
      </c>
      <c r="H3268" s="35"/>
      <c r="P3268" s="6"/>
    </row>
    <row r="3269" spans="1:16" ht="14.4" x14ac:dyDescent="0.25">
      <c r="A3269" s="6">
        <v>177</v>
      </c>
      <c r="B3269" s="6">
        <v>1154</v>
      </c>
      <c r="C3269" s="19">
        <v>40953</v>
      </c>
      <c r="D3269" s="6" t="s">
        <v>30</v>
      </c>
      <c r="E3269" s="6">
        <f>IF((ISBLANK($B$1)),"",Sheet1!Q3277)</f>
        <v>4550</v>
      </c>
      <c r="F3269" s="20" t="s">
        <v>26</v>
      </c>
      <c r="G3269" s="53">
        <f t="shared" si="51"/>
        <v>-0.17783221777813119</v>
      </c>
      <c r="H3269" s="35"/>
      <c r="P3269" s="6"/>
    </row>
    <row r="3270" spans="1:16" ht="14.4" x14ac:dyDescent="0.25">
      <c r="A3270" s="6">
        <v>227</v>
      </c>
      <c r="B3270" s="6">
        <v>1537</v>
      </c>
      <c r="C3270" s="19">
        <v>40953</v>
      </c>
      <c r="D3270" s="6" t="s">
        <v>28</v>
      </c>
      <c r="E3270" s="6">
        <f>IF((ISBLANK($B$1)),"",Sheet1!Q3278)</f>
        <v>3650</v>
      </c>
      <c r="F3270" s="20" t="s">
        <v>26</v>
      </c>
      <c r="G3270" s="53">
        <f t="shared" si="51"/>
        <v>-1.4206910632167202</v>
      </c>
      <c r="H3270" s="35"/>
      <c r="P3270" s="6"/>
    </row>
    <row r="3271" spans="1:16" ht="14.4" x14ac:dyDescent="0.25">
      <c r="A3271" s="6">
        <v>650</v>
      </c>
      <c r="B3271" s="6">
        <v>4580</v>
      </c>
      <c r="C3271" s="19">
        <v>40496</v>
      </c>
      <c r="D3271" s="6" t="s">
        <v>28</v>
      </c>
      <c r="E3271" s="6">
        <f>IF((ISBLANK($B$1)),"",Sheet1!Q3279)</f>
        <v>4800</v>
      </c>
      <c r="F3271" s="20" t="s">
        <v>29</v>
      </c>
      <c r="G3271" s="53">
        <f t="shared" si="51"/>
        <v>0.16740635039925467</v>
      </c>
      <c r="H3271" s="35"/>
      <c r="P3271" s="6"/>
    </row>
    <row r="3272" spans="1:16" ht="14.4" x14ac:dyDescent="0.25">
      <c r="A3272" s="6">
        <v>663</v>
      </c>
      <c r="B3272" s="6">
        <v>4647</v>
      </c>
      <c r="C3272" s="19">
        <v>39946</v>
      </c>
      <c r="D3272" s="6" t="s">
        <v>16</v>
      </c>
      <c r="E3272" s="6">
        <f>IF((ISBLANK($B$1)),"",Sheet1!Q3280)</f>
        <v>5100</v>
      </c>
      <c r="F3272" s="20" t="s">
        <v>26</v>
      </c>
      <c r="G3272" s="53">
        <f t="shared" ref="G3272:G3335" si="52">STANDARDIZE(E3272,$L$26,$L$35)</f>
        <v>0.58169263221211776</v>
      </c>
      <c r="H3272" s="35"/>
      <c r="P3272" s="6"/>
    </row>
    <row r="3273" spans="1:16" ht="14.4" x14ac:dyDescent="0.25">
      <c r="A3273" s="6">
        <v>1101</v>
      </c>
      <c r="B3273" s="6">
        <v>8097</v>
      </c>
      <c r="C3273" s="19">
        <v>40521</v>
      </c>
      <c r="D3273" s="6" t="s">
        <v>16</v>
      </c>
      <c r="E3273" s="6">
        <f>IF((ISBLANK($B$1)),"",Sheet1!Q3281)</f>
        <v>5800</v>
      </c>
      <c r="F3273" s="20" t="s">
        <v>26</v>
      </c>
      <c r="G3273" s="53">
        <f t="shared" si="52"/>
        <v>1.5483606231087981</v>
      </c>
      <c r="H3273" s="35"/>
      <c r="P3273" s="6"/>
    </row>
    <row r="3274" spans="1:16" ht="14.4" x14ac:dyDescent="0.25">
      <c r="A3274" s="6">
        <v>1158</v>
      </c>
      <c r="B3274" s="6">
        <v>8422</v>
      </c>
      <c r="C3274" s="19">
        <v>39917</v>
      </c>
      <c r="D3274" s="6" t="s">
        <v>16</v>
      </c>
      <c r="E3274" s="6">
        <f>IF((ISBLANK($B$1)),"",Sheet1!Q3282)</f>
        <v>5050</v>
      </c>
      <c r="F3274" s="20" t="s">
        <v>27</v>
      </c>
      <c r="G3274" s="53">
        <f t="shared" si="52"/>
        <v>0.51264491857664052</v>
      </c>
      <c r="H3274" s="35"/>
      <c r="P3274" s="6"/>
    </row>
    <row r="3275" spans="1:16" ht="14.4" x14ac:dyDescent="0.25">
      <c r="A3275" s="6">
        <v>1186</v>
      </c>
      <c r="B3275" s="6">
        <v>8677</v>
      </c>
      <c r="C3275" s="19">
        <v>41189</v>
      </c>
      <c r="D3275" s="6" t="s">
        <v>17</v>
      </c>
      <c r="E3275" s="6">
        <f>IF((ISBLANK($B$1)),"",Sheet1!Q3283)</f>
        <v>5300</v>
      </c>
      <c r="F3275" s="20" t="s">
        <v>26</v>
      </c>
      <c r="G3275" s="53">
        <f t="shared" si="52"/>
        <v>0.85788348675402637</v>
      </c>
      <c r="H3275" s="35"/>
      <c r="P3275" s="6"/>
    </row>
    <row r="3276" spans="1:16" ht="14.4" x14ac:dyDescent="0.25">
      <c r="A3276" s="6">
        <v>1238</v>
      </c>
      <c r="B3276" s="6">
        <v>9024</v>
      </c>
      <c r="C3276" s="19">
        <v>41062</v>
      </c>
      <c r="D3276" s="6" t="s">
        <v>16</v>
      </c>
      <c r="E3276" s="6">
        <f>IF((ISBLANK($B$1)),"",Sheet1!Q3284)</f>
        <v>3500</v>
      </c>
      <c r="F3276" s="20" t="s">
        <v>26</v>
      </c>
      <c r="G3276" s="53">
        <f t="shared" si="52"/>
        <v>-1.6278342041231517</v>
      </c>
      <c r="H3276" s="35"/>
      <c r="P3276" s="6"/>
    </row>
    <row r="3277" spans="1:16" ht="14.4" x14ac:dyDescent="0.25">
      <c r="A3277" s="6">
        <v>1392</v>
      </c>
      <c r="B3277" s="6">
        <v>10114</v>
      </c>
      <c r="C3277" s="19">
        <v>40217</v>
      </c>
      <c r="D3277" s="6" t="s">
        <v>30</v>
      </c>
      <c r="E3277" s="6">
        <f>IF((ISBLANK($B$1)),"",Sheet1!Q3285)</f>
        <v>5350</v>
      </c>
      <c r="F3277" s="20" t="s">
        <v>26</v>
      </c>
      <c r="G3277" s="53">
        <f t="shared" si="52"/>
        <v>0.92693120038950361</v>
      </c>
      <c r="H3277" s="35"/>
      <c r="P3277" s="6"/>
    </row>
    <row r="3278" spans="1:16" ht="14.4" x14ac:dyDescent="0.25">
      <c r="A3278" s="6">
        <v>1557</v>
      </c>
      <c r="B3278" s="6">
        <v>11236</v>
      </c>
      <c r="C3278" s="19">
        <v>40481</v>
      </c>
      <c r="D3278" s="6" t="s">
        <v>17</v>
      </c>
      <c r="E3278" s="6">
        <f>IF((ISBLANK($B$1)),"",Sheet1!Q3286)</f>
        <v>3600</v>
      </c>
      <c r="F3278" s="20" t="s">
        <v>26</v>
      </c>
      <c r="G3278" s="53">
        <f t="shared" si="52"/>
        <v>-1.4897387768521975</v>
      </c>
      <c r="H3278" s="35"/>
      <c r="P3278" s="6"/>
    </row>
    <row r="3279" spans="1:16" ht="14.4" x14ac:dyDescent="0.25">
      <c r="A3279" s="6">
        <v>1616</v>
      </c>
      <c r="B3279" s="6">
        <v>11687</v>
      </c>
      <c r="C3279" s="19">
        <v>40902</v>
      </c>
      <c r="D3279" s="6" t="s">
        <v>17</v>
      </c>
      <c r="E3279" s="6">
        <f>IF((ISBLANK($B$1)),"",Sheet1!Q3287)</f>
        <v>4700</v>
      </c>
      <c r="F3279" s="20" t="s">
        <v>26</v>
      </c>
      <c r="G3279" s="53">
        <f t="shared" si="52"/>
        <v>2.9310923128300338E-2</v>
      </c>
      <c r="H3279" s="35"/>
      <c r="P3279" s="6"/>
    </row>
    <row r="3280" spans="1:16" ht="14.4" x14ac:dyDescent="0.25">
      <c r="A3280" s="6">
        <v>1768</v>
      </c>
      <c r="B3280" s="6">
        <v>12643</v>
      </c>
      <c r="C3280" s="19">
        <v>40256</v>
      </c>
      <c r="D3280" s="6" t="s">
        <v>25</v>
      </c>
      <c r="E3280" s="6">
        <f>IF((ISBLANK($B$1)),"",Sheet1!Q3288)</f>
        <v>4500</v>
      </c>
      <c r="F3280" s="20" t="s">
        <v>26</v>
      </c>
      <c r="G3280" s="53">
        <f t="shared" si="52"/>
        <v>-0.24687993141360834</v>
      </c>
      <c r="H3280" s="35"/>
      <c r="P3280" s="6"/>
    </row>
    <row r="3281" spans="1:16" ht="14.4" x14ac:dyDescent="0.25">
      <c r="A3281" s="6">
        <v>1821</v>
      </c>
      <c r="B3281" s="6">
        <v>13089</v>
      </c>
      <c r="C3281" s="19">
        <v>40891</v>
      </c>
      <c r="D3281" s="6" t="s">
        <v>28</v>
      </c>
      <c r="E3281" s="6">
        <f>IF((ISBLANK($B$1)),"",Sheet1!Q3289)</f>
        <v>5100</v>
      </c>
      <c r="F3281" s="20" t="s">
        <v>29</v>
      </c>
      <c r="G3281" s="53">
        <f t="shared" si="52"/>
        <v>0.58169263221211776</v>
      </c>
      <c r="H3281" s="35"/>
      <c r="P3281" s="6"/>
    </row>
    <row r="3282" spans="1:16" ht="14.4" x14ac:dyDescent="0.25">
      <c r="A3282" s="6">
        <v>1859</v>
      </c>
      <c r="B3282" s="6">
        <v>13378</v>
      </c>
      <c r="C3282" s="19">
        <v>40077</v>
      </c>
      <c r="D3282" s="6" t="s">
        <v>25</v>
      </c>
      <c r="E3282" s="6">
        <f>IF((ISBLANK($B$1)),"",Sheet1!Q3290)</f>
        <v>4200</v>
      </c>
      <c r="F3282" s="20" t="s">
        <v>26</v>
      </c>
      <c r="G3282" s="53">
        <f t="shared" si="52"/>
        <v>-0.6611662132264714</v>
      </c>
      <c r="H3282" s="35"/>
      <c r="P3282" s="6"/>
    </row>
    <row r="3283" spans="1:16" ht="14.4" x14ac:dyDescent="0.25">
      <c r="A3283" s="6">
        <v>1932</v>
      </c>
      <c r="B3283" s="6">
        <v>13824</v>
      </c>
      <c r="C3283" s="19">
        <v>40174</v>
      </c>
      <c r="D3283" s="6" t="s">
        <v>25</v>
      </c>
      <c r="E3283" s="6">
        <f>IF((ISBLANK($B$1)),"",Sheet1!Q3291)</f>
        <v>4350</v>
      </c>
      <c r="F3283" s="20" t="s">
        <v>26</v>
      </c>
      <c r="G3283" s="53">
        <f t="shared" si="52"/>
        <v>-0.45402307232003986</v>
      </c>
      <c r="H3283" s="35"/>
      <c r="P3283" s="6"/>
    </row>
    <row r="3284" spans="1:16" ht="14.4" x14ac:dyDescent="0.25">
      <c r="A3284" s="6">
        <v>2572</v>
      </c>
      <c r="B3284" s="6">
        <v>18562</v>
      </c>
      <c r="C3284" s="19">
        <v>40897</v>
      </c>
      <c r="D3284" s="6" t="s">
        <v>30</v>
      </c>
      <c r="E3284" s="6">
        <f>IF((ISBLANK($B$1)),"",Sheet1!Q3292)</f>
        <v>5450</v>
      </c>
      <c r="F3284" s="20" t="s">
        <v>26</v>
      </c>
      <c r="G3284" s="53">
        <f t="shared" si="52"/>
        <v>1.0650266276604579</v>
      </c>
      <c r="H3284" s="35"/>
      <c r="P3284" s="6"/>
    </row>
    <row r="3285" spans="1:16" ht="14.4" x14ac:dyDescent="0.25">
      <c r="A3285" s="6">
        <v>2876</v>
      </c>
      <c r="B3285" s="6">
        <v>20737</v>
      </c>
      <c r="C3285" s="19">
        <v>40902</v>
      </c>
      <c r="D3285" s="6" t="s">
        <v>16</v>
      </c>
      <c r="E3285" s="6">
        <f>IF((ISBLANK($B$1)),"",Sheet1!Q3293)</f>
        <v>3900</v>
      </c>
      <c r="F3285" s="20" t="s">
        <v>29</v>
      </c>
      <c r="G3285" s="53">
        <f t="shared" si="52"/>
        <v>-1.0754524950393345</v>
      </c>
      <c r="H3285" s="35"/>
      <c r="P3285" s="6"/>
    </row>
    <row r="3286" spans="1:16" ht="14.4" x14ac:dyDescent="0.25">
      <c r="A3286" s="6">
        <v>2896</v>
      </c>
      <c r="B3286" s="6">
        <v>20900</v>
      </c>
      <c r="C3286" s="19">
        <v>40506</v>
      </c>
      <c r="D3286" s="6" t="s">
        <v>25</v>
      </c>
      <c r="E3286" s="6">
        <f>IF((ISBLANK($B$1)),"",Sheet1!Q3294)</f>
        <v>5900</v>
      </c>
      <c r="F3286" s="20" t="s">
        <v>27</v>
      </c>
      <c r="G3286" s="53">
        <f t="shared" si="52"/>
        <v>1.6864560503797523</v>
      </c>
      <c r="H3286" s="35"/>
      <c r="P3286" s="6"/>
    </row>
    <row r="3287" spans="1:16" ht="14.4" x14ac:dyDescent="0.25">
      <c r="A3287" s="6">
        <v>3729</v>
      </c>
      <c r="B3287" s="6">
        <v>26658</v>
      </c>
      <c r="C3287" s="19">
        <v>40899</v>
      </c>
      <c r="D3287" s="6" t="s">
        <v>17</v>
      </c>
      <c r="E3287" s="6">
        <f>IF((ISBLANK($B$1)),"",Sheet1!Q3295)</f>
        <v>4250</v>
      </c>
      <c r="F3287" s="20" t="s">
        <v>26</v>
      </c>
      <c r="G3287" s="53">
        <f t="shared" si="52"/>
        <v>-0.59211849959099416</v>
      </c>
      <c r="H3287" s="35"/>
      <c r="P3287" s="6"/>
    </row>
    <row r="3288" spans="1:16" ht="14.4" x14ac:dyDescent="0.25">
      <c r="A3288" s="6">
        <v>3826</v>
      </c>
      <c r="B3288" s="6">
        <v>27271</v>
      </c>
      <c r="C3288" s="19">
        <v>40800</v>
      </c>
      <c r="D3288" s="6" t="s">
        <v>28</v>
      </c>
      <c r="E3288" s="6">
        <f>IF((ISBLANK($B$1)),"",Sheet1!Q3296)</f>
        <v>3800</v>
      </c>
      <c r="F3288" s="20" t="s">
        <v>29</v>
      </c>
      <c r="G3288" s="53">
        <f t="shared" si="52"/>
        <v>-1.2135479223102887</v>
      </c>
      <c r="H3288" s="35"/>
      <c r="P3288" s="6"/>
    </row>
    <row r="3289" spans="1:16" ht="14.4" x14ac:dyDescent="0.25">
      <c r="A3289" s="6">
        <v>3927</v>
      </c>
      <c r="B3289" s="6">
        <v>28001</v>
      </c>
      <c r="C3289" s="19">
        <v>39978</v>
      </c>
      <c r="D3289" s="6" t="s">
        <v>30</v>
      </c>
      <c r="E3289" s="6">
        <f>IF((ISBLANK($B$1)),"",Sheet1!Q3297)</f>
        <v>4450</v>
      </c>
      <c r="F3289" s="20" t="s">
        <v>29</v>
      </c>
      <c r="G3289" s="53">
        <f t="shared" si="52"/>
        <v>-0.31592764504908549</v>
      </c>
      <c r="H3289" s="35"/>
      <c r="P3289" s="6"/>
    </row>
    <row r="3290" spans="1:16" ht="14.4" x14ac:dyDescent="0.25">
      <c r="A3290" s="6">
        <v>3950</v>
      </c>
      <c r="B3290" s="6">
        <v>28161</v>
      </c>
      <c r="C3290" s="19">
        <v>39979</v>
      </c>
      <c r="D3290" s="6" t="s">
        <v>28</v>
      </c>
      <c r="E3290" s="6">
        <f>IF((ISBLANK($B$1)),"",Sheet1!Q3298)</f>
        <v>4150</v>
      </c>
      <c r="F3290" s="20" t="s">
        <v>29</v>
      </c>
      <c r="G3290" s="53">
        <f t="shared" si="52"/>
        <v>-0.73021392686194853</v>
      </c>
      <c r="H3290" s="35"/>
      <c r="P3290" s="6"/>
    </row>
    <row r="3291" spans="1:16" ht="14.4" x14ac:dyDescent="0.25">
      <c r="A3291" s="6">
        <v>4113</v>
      </c>
      <c r="B3291" s="6">
        <v>29280</v>
      </c>
      <c r="C3291" s="19">
        <v>40996</v>
      </c>
      <c r="D3291" s="6" t="s">
        <v>16</v>
      </c>
      <c r="E3291" s="6">
        <f>IF((ISBLANK($B$1)),"",Sheet1!Q3299)</f>
        <v>4350</v>
      </c>
      <c r="F3291" s="20" t="s">
        <v>26</v>
      </c>
      <c r="G3291" s="53">
        <f t="shared" si="52"/>
        <v>-0.45402307232003986</v>
      </c>
      <c r="H3291" s="35"/>
      <c r="P3291" s="6"/>
    </row>
    <row r="3292" spans="1:16" ht="14.4" x14ac:dyDescent="0.25">
      <c r="A3292" s="6">
        <v>4132</v>
      </c>
      <c r="B3292" s="6">
        <v>29350</v>
      </c>
      <c r="C3292" s="19">
        <v>40050</v>
      </c>
      <c r="D3292" s="6" t="s">
        <v>17</v>
      </c>
      <c r="E3292" s="6">
        <f>IF((ISBLANK($B$1)),"",Sheet1!Q3300)</f>
        <v>3900</v>
      </c>
      <c r="F3292" s="20" t="s">
        <v>26</v>
      </c>
      <c r="G3292" s="53">
        <f t="shared" si="52"/>
        <v>-1.0754524950393345</v>
      </c>
      <c r="H3292" s="35"/>
      <c r="P3292" s="6"/>
    </row>
    <row r="3293" spans="1:16" ht="14.4" x14ac:dyDescent="0.25">
      <c r="A3293" s="6">
        <v>4179</v>
      </c>
      <c r="B3293" s="6">
        <v>29666</v>
      </c>
      <c r="C3293" s="19">
        <v>40907</v>
      </c>
      <c r="D3293" s="6" t="s">
        <v>28</v>
      </c>
      <c r="E3293" s="6">
        <f>IF((ISBLANK($B$1)),"",Sheet1!Q3301)</f>
        <v>4850</v>
      </c>
      <c r="F3293" s="20" t="s">
        <v>26</v>
      </c>
      <c r="G3293" s="53">
        <f t="shared" si="52"/>
        <v>0.23645406403473185</v>
      </c>
      <c r="H3293" s="35"/>
      <c r="P3293" s="6"/>
    </row>
    <row r="3294" spans="1:16" ht="14.4" x14ac:dyDescent="0.25">
      <c r="A3294" s="6">
        <v>4182</v>
      </c>
      <c r="B3294" s="6">
        <v>29700</v>
      </c>
      <c r="C3294" s="19">
        <v>40274</v>
      </c>
      <c r="D3294" s="6" t="s">
        <v>16</v>
      </c>
      <c r="E3294" s="6">
        <f>IF((ISBLANK($B$1)),"",Sheet1!Q3302)</f>
        <v>3850</v>
      </c>
      <c r="F3294" s="20" t="s">
        <v>26</v>
      </c>
      <c r="G3294" s="53">
        <f t="shared" si="52"/>
        <v>-1.1445002086748115</v>
      </c>
      <c r="H3294" s="35"/>
      <c r="P3294" s="6"/>
    </row>
    <row r="3295" spans="1:16" ht="14.4" x14ac:dyDescent="0.25">
      <c r="A3295" s="6">
        <v>4315</v>
      </c>
      <c r="B3295" s="6">
        <v>30754</v>
      </c>
      <c r="C3295" s="19">
        <v>40507</v>
      </c>
      <c r="D3295" s="6" t="s">
        <v>25</v>
      </c>
      <c r="E3295" s="6">
        <f>IF((ISBLANK($B$1)),"",Sheet1!Q3303)</f>
        <v>4400</v>
      </c>
      <c r="F3295" s="20" t="s">
        <v>29</v>
      </c>
      <c r="G3295" s="53">
        <f t="shared" si="52"/>
        <v>-0.38497535868456267</v>
      </c>
      <c r="H3295" s="35"/>
      <c r="P3295" s="6"/>
    </row>
    <row r="3296" spans="1:16" ht="14.4" x14ac:dyDescent="0.25">
      <c r="A3296" s="6">
        <v>4443</v>
      </c>
      <c r="B3296" s="6">
        <v>31650</v>
      </c>
      <c r="C3296" s="19">
        <v>40401</v>
      </c>
      <c r="D3296" s="6" t="s">
        <v>28</v>
      </c>
      <c r="E3296" s="6">
        <f>IF((ISBLANK($B$1)),"",Sheet1!Q3304)</f>
        <v>4350</v>
      </c>
      <c r="F3296" s="20" t="s">
        <v>27</v>
      </c>
      <c r="G3296" s="53">
        <f t="shared" si="52"/>
        <v>-0.45402307232003986</v>
      </c>
      <c r="H3296" s="35"/>
      <c r="P3296" s="6"/>
    </row>
    <row r="3297" spans="1:16" ht="14.4" x14ac:dyDescent="0.25">
      <c r="A3297" s="6">
        <v>4538</v>
      </c>
      <c r="B3297" s="6">
        <v>32292</v>
      </c>
      <c r="C3297" s="19">
        <v>40954</v>
      </c>
      <c r="D3297" s="6" t="s">
        <v>25</v>
      </c>
      <c r="E3297" s="6">
        <f>IF((ISBLANK($B$1)),"",Sheet1!Q3305)</f>
        <v>5850</v>
      </c>
      <c r="F3297" s="20" t="s">
        <v>27</v>
      </c>
      <c r="G3297" s="53">
        <f t="shared" si="52"/>
        <v>1.6174083367442753</v>
      </c>
      <c r="H3297" s="35"/>
      <c r="P3297" s="6"/>
    </row>
    <row r="3298" spans="1:16" ht="14.4" x14ac:dyDescent="0.25">
      <c r="A3298" s="6">
        <v>4950</v>
      </c>
      <c r="B3298" s="6">
        <v>35201</v>
      </c>
      <c r="C3298" s="19">
        <v>40333</v>
      </c>
      <c r="D3298" s="6" t="s">
        <v>25</v>
      </c>
      <c r="E3298" s="6">
        <f>IF((ISBLANK($B$1)),"",Sheet1!Q3306)</f>
        <v>4300</v>
      </c>
      <c r="F3298" s="20" t="s">
        <v>27</v>
      </c>
      <c r="G3298" s="53">
        <f t="shared" si="52"/>
        <v>-0.52307078595551704</v>
      </c>
      <c r="H3298" s="35"/>
      <c r="P3298" s="6"/>
    </row>
    <row r="3299" spans="1:16" ht="14.4" x14ac:dyDescent="0.25">
      <c r="A3299" s="6">
        <v>4967</v>
      </c>
      <c r="B3299" s="6">
        <v>35360</v>
      </c>
      <c r="C3299" s="19">
        <v>40651</v>
      </c>
      <c r="D3299" s="6" t="s">
        <v>30</v>
      </c>
      <c r="E3299" s="6">
        <f>IF((ISBLANK($B$1)),"",Sheet1!Q3307)</f>
        <v>3600</v>
      </c>
      <c r="F3299" s="20" t="s">
        <v>26</v>
      </c>
      <c r="G3299" s="53">
        <f t="shared" si="52"/>
        <v>-1.4897387768521975</v>
      </c>
      <c r="H3299" s="35"/>
      <c r="P3299" s="6"/>
    </row>
    <row r="3300" spans="1:16" ht="14.4" x14ac:dyDescent="0.25">
      <c r="A3300" s="6">
        <v>4989</v>
      </c>
      <c r="B3300" s="6">
        <v>35492</v>
      </c>
      <c r="C3300" s="19">
        <v>40949</v>
      </c>
      <c r="D3300" s="6" t="s">
        <v>16</v>
      </c>
      <c r="E3300" s="6">
        <f>IF((ISBLANK($B$1)),"",Sheet1!Q3308)</f>
        <v>5200</v>
      </c>
      <c r="F3300" s="20" t="s">
        <v>29</v>
      </c>
      <c r="G3300" s="53">
        <f t="shared" si="52"/>
        <v>0.71978805948307201</v>
      </c>
      <c r="H3300" s="35"/>
      <c r="P3300" s="6"/>
    </row>
    <row r="3301" spans="1:16" ht="14.4" x14ac:dyDescent="0.25">
      <c r="A3301" s="6">
        <v>5267</v>
      </c>
      <c r="B3301" s="6">
        <v>37473</v>
      </c>
      <c r="C3301" s="19">
        <v>40087</v>
      </c>
      <c r="D3301" s="6" t="s">
        <v>25</v>
      </c>
      <c r="E3301" s="6">
        <f>IF((ISBLANK($B$1)),"",Sheet1!Q3309)</f>
        <v>3800</v>
      </c>
      <c r="F3301" s="20" t="s">
        <v>26</v>
      </c>
      <c r="G3301" s="53">
        <f t="shared" si="52"/>
        <v>-1.2135479223102887</v>
      </c>
      <c r="H3301" s="35"/>
      <c r="P3301" s="6"/>
    </row>
    <row r="3302" spans="1:16" ht="14.4" x14ac:dyDescent="0.25">
      <c r="A3302" s="6">
        <v>5515</v>
      </c>
      <c r="B3302" s="6">
        <v>39079</v>
      </c>
      <c r="C3302" s="19">
        <v>40793</v>
      </c>
      <c r="D3302" s="6" t="s">
        <v>17</v>
      </c>
      <c r="E3302" s="6">
        <f>IF((ISBLANK($B$1)),"",Sheet1!Q3310)</f>
        <v>5700</v>
      </c>
      <c r="F3302" s="20" t="s">
        <v>26</v>
      </c>
      <c r="G3302" s="53">
        <f t="shared" si="52"/>
        <v>1.4102651958378438</v>
      </c>
      <c r="H3302" s="35"/>
      <c r="P3302" s="6"/>
    </row>
    <row r="3303" spans="1:16" ht="14.4" x14ac:dyDescent="0.25">
      <c r="A3303" s="6">
        <v>5541</v>
      </c>
      <c r="B3303" s="6">
        <v>39266</v>
      </c>
      <c r="C3303" s="19">
        <v>41148</v>
      </c>
      <c r="D3303" s="6" t="s">
        <v>17</v>
      </c>
      <c r="E3303" s="6">
        <f>IF((ISBLANK($B$1)),"",Sheet1!Q3311)</f>
        <v>4100</v>
      </c>
      <c r="F3303" s="20" t="s">
        <v>26</v>
      </c>
      <c r="G3303" s="53">
        <f t="shared" si="52"/>
        <v>-0.79926164049742576</v>
      </c>
      <c r="H3303" s="35"/>
      <c r="P3303" s="6"/>
    </row>
    <row r="3304" spans="1:16" ht="14.4" x14ac:dyDescent="0.25">
      <c r="A3304" s="6">
        <v>5706</v>
      </c>
      <c r="B3304" s="6">
        <v>40356</v>
      </c>
      <c r="C3304" s="19">
        <v>40166</v>
      </c>
      <c r="D3304" s="6" t="s">
        <v>28</v>
      </c>
      <c r="E3304" s="6">
        <f>IF((ISBLANK($B$1)),"",Sheet1!Q3312)</f>
        <v>5800</v>
      </c>
      <c r="F3304" s="20" t="s">
        <v>26</v>
      </c>
      <c r="G3304" s="53">
        <f t="shared" si="52"/>
        <v>1.5483606231087981</v>
      </c>
      <c r="H3304" s="35"/>
      <c r="P3304" s="6"/>
    </row>
    <row r="3305" spans="1:16" ht="14.4" x14ac:dyDescent="0.25">
      <c r="A3305" s="6">
        <v>6014</v>
      </c>
      <c r="B3305" s="6">
        <v>42599</v>
      </c>
      <c r="C3305" s="19">
        <v>39909</v>
      </c>
      <c r="D3305" s="6" t="s">
        <v>16</v>
      </c>
      <c r="E3305" s="6">
        <f>IF((ISBLANK($B$1)),"",Sheet1!Q3313)</f>
        <v>4950</v>
      </c>
      <c r="F3305" s="20" t="s">
        <v>29</v>
      </c>
      <c r="G3305" s="53">
        <f t="shared" si="52"/>
        <v>0.37454949130568621</v>
      </c>
      <c r="H3305" s="35"/>
      <c r="P3305" s="6"/>
    </row>
    <row r="3306" spans="1:16" ht="14.4" x14ac:dyDescent="0.25">
      <c r="A3306" s="6">
        <v>6425</v>
      </c>
      <c r="B3306" s="6">
        <v>45670</v>
      </c>
      <c r="C3306" s="19">
        <v>41128</v>
      </c>
      <c r="D3306" s="6" t="s">
        <v>25</v>
      </c>
      <c r="E3306" s="6">
        <f>IF((ISBLANK($B$1)),"",Sheet1!Q3314)</f>
        <v>3500</v>
      </c>
      <c r="F3306" s="20" t="s">
        <v>26</v>
      </c>
      <c r="G3306" s="53">
        <f t="shared" si="52"/>
        <v>-1.6278342041231517</v>
      </c>
      <c r="H3306" s="35"/>
      <c r="P3306" s="6"/>
    </row>
    <row r="3307" spans="1:16" ht="14.4" x14ac:dyDescent="0.25">
      <c r="A3307" s="6">
        <v>6542</v>
      </c>
      <c r="B3307" s="6">
        <v>46531</v>
      </c>
      <c r="C3307" s="19">
        <v>40776</v>
      </c>
      <c r="D3307" s="6" t="s">
        <v>25</v>
      </c>
      <c r="E3307" s="6">
        <f>IF((ISBLANK($B$1)),"",Sheet1!Q3315)</f>
        <v>4550</v>
      </c>
      <c r="F3307" s="20" t="s">
        <v>26</v>
      </c>
      <c r="G3307" s="53">
        <f t="shared" si="52"/>
        <v>-0.17783221777813119</v>
      </c>
      <c r="H3307" s="35"/>
      <c r="P3307" s="6"/>
    </row>
    <row r="3308" spans="1:16" ht="14.4" x14ac:dyDescent="0.25">
      <c r="A3308" s="6">
        <v>6691</v>
      </c>
      <c r="B3308" s="6">
        <v>47617</v>
      </c>
      <c r="C3308" s="19">
        <v>40155</v>
      </c>
      <c r="D3308" s="6" t="s">
        <v>28</v>
      </c>
      <c r="E3308" s="6">
        <f>IF((ISBLANK($B$1)),"",Sheet1!Q3316)</f>
        <v>4250</v>
      </c>
      <c r="F3308" s="20" t="s">
        <v>26</v>
      </c>
      <c r="G3308" s="53">
        <f t="shared" si="52"/>
        <v>-0.59211849959099416</v>
      </c>
      <c r="H3308" s="35"/>
      <c r="P3308" s="6"/>
    </row>
    <row r="3309" spans="1:16" ht="14.4" x14ac:dyDescent="0.25">
      <c r="A3309" s="6">
        <v>6713</v>
      </c>
      <c r="B3309" s="6">
        <v>47842</v>
      </c>
      <c r="C3309" s="19">
        <v>40310</v>
      </c>
      <c r="D3309" s="6" t="s">
        <v>16</v>
      </c>
      <c r="E3309" s="6">
        <f>IF((ISBLANK($B$1)),"",Sheet1!Q3317)</f>
        <v>5900</v>
      </c>
      <c r="F3309" s="20" t="s">
        <v>26</v>
      </c>
      <c r="G3309" s="53">
        <f t="shared" si="52"/>
        <v>1.6864560503797523</v>
      </c>
      <c r="H3309" s="35"/>
      <c r="P3309" s="6"/>
    </row>
    <row r="3310" spans="1:16" ht="14.4" x14ac:dyDescent="0.25">
      <c r="A3310" s="6">
        <v>6819</v>
      </c>
      <c r="B3310" s="6">
        <v>48548</v>
      </c>
      <c r="C3310" s="19">
        <v>40628</v>
      </c>
      <c r="D3310" s="6" t="s">
        <v>30</v>
      </c>
      <c r="E3310" s="6">
        <f>IF((ISBLANK($B$1)),"",Sheet1!Q3318)</f>
        <v>3550</v>
      </c>
      <c r="F3310" s="20" t="s">
        <v>26</v>
      </c>
      <c r="G3310" s="53">
        <f t="shared" si="52"/>
        <v>-1.5587864904876745</v>
      </c>
      <c r="H3310" s="35"/>
      <c r="P3310" s="6"/>
    </row>
    <row r="3311" spans="1:16" ht="14.4" x14ac:dyDescent="0.25">
      <c r="A3311" s="6">
        <v>6880</v>
      </c>
      <c r="B3311" s="6">
        <v>49056</v>
      </c>
      <c r="C3311" s="19">
        <v>40087</v>
      </c>
      <c r="D3311" s="6" t="s">
        <v>17</v>
      </c>
      <c r="E3311" s="6">
        <f>IF((ISBLANK($B$1)),"",Sheet1!Q3319)</f>
        <v>5700</v>
      </c>
      <c r="F3311" s="20" t="s">
        <v>26</v>
      </c>
      <c r="G3311" s="53">
        <f t="shared" si="52"/>
        <v>1.4102651958378438</v>
      </c>
      <c r="H3311" s="35"/>
      <c r="P3311" s="6"/>
    </row>
    <row r="3312" spans="1:16" ht="14.4" x14ac:dyDescent="0.25">
      <c r="A3312" s="6">
        <v>7115</v>
      </c>
      <c r="B3312" s="6">
        <v>50759</v>
      </c>
      <c r="C3312" s="19">
        <v>40256</v>
      </c>
      <c r="D3312" s="6" t="s">
        <v>25</v>
      </c>
      <c r="E3312" s="6">
        <f>IF((ISBLANK($B$1)),"",Sheet1!Q3320)</f>
        <v>5700</v>
      </c>
      <c r="F3312" s="20" t="s">
        <v>27</v>
      </c>
      <c r="G3312" s="53">
        <f t="shared" si="52"/>
        <v>1.4102651958378438</v>
      </c>
      <c r="H3312" s="35"/>
      <c r="P3312" s="6"/>
    </row>
    <row r="3313" spans="1:16" ht="14.4" x14ac:dyDescent="0.25">
      <c r="A3313" s="6">
        <v>7229</v>
      </c>
      <c r="B3313" s="6">
        <v>51556</v>
      </c>
      <c r="C3313" s="19">
        <v>41209</v>
      </c>
      <c r="D3313" s="6" t="s">
        <v>17</v>
      </c>
      <c r="E3313" s="6">
        <f>IF((ISBLANK($B$1)),"",Sheet1!Q3321)</f>
        <v>3900</v>
      </c>
      <c r="F3313" s="20" t="s">
        <v>26</v>
      </c>
      <c r="G3313" s="53">
        <f t="shared" si="52"/>
        <v>-1.0754524950393345</v>
      </c>
      <c r="H3313" s="35"/>
      <c r="P3313" s="6"/>
    </row>
    <row r="3314" spans="1:16" ht="14.4" x14ac:dyDescent="0.25">
      <c r="A3314" s="6">
        <v>7240</v>
      </c>
      <c r="B3314" s="6">
        <v>51620</v>
      </c>
      <c r="C3314" s="19">
        <v>40976</v>
      </c>
      <c r="D3314" s="6" t="s">
        <v>16</v>
      </c>
      <c r="E3314" s="6">
        <f>IF((ISBLANK($B$1)),"",Sheet1!Q3322)</f>
        <v>4000</v>
      </c>
      <c r="F3314" s="20" t="s">
        <v>26</v>
      </c>
      <c r="G3314" s="53">
        <f t="shared" si="52"/>
        <v>-0.93735706776838001</v>
      </c>
      <c r="H3314" s="35"/>
      <c r="P3314" s="6"/>
    </row>
    <row r="3315" spans="1:16" ht="14.4" x14ac:dyDescent="0.25">
      <c r="A3315" s="6">
        <v>7406</v>
      </c>
      <c r="B3315" s="6">
        <v>52837</v>
      </c>
      <c r="C3315" s="19">
        <v>40926</v>
      </c>
      <c r="D3315" s="6" t="s">
        <v>30</v>
      </c>
      <c r="E3315" s="6">
        <f>IF((ISBLANK($B$1)),"",Sheet1!Q3323)</f>
        <v>5000</v>
      </c>
      <c r="F3315" s="20" t="s">
        <v>26</v>
      </c>
      <c r="G3315" s="53">
        <f t="shared" si="52"/>
        <v>0.44359720494116334</v>
      </c>
      <c r="H3315" s="35"/>
      <c r="P3315" s="6"/>
    </row>
    <row r="3316" spans="1:16" ht="14.4" x14ac:dyDescent="0.25">
      <c r="A3316" s="6">
        <v>7629</v>
      </c>
      <c r="B3316" s="6">
        <v>54592</v>
      </c>
      <c r="C3316" s="19">
        <v>40706</v>
      </c>
      <c r="D3316" s="6" t="s">
        <v>25</v>
      </c>
      <c r="E3316" s="6">
        <f>IF((ISBLANK($B$1)),"",Sheet1!Q3324)</f>
        <v>4800</v>
      </c>
      <c r="F3316" s="20" t="s">
        <v>29</v>
      </c>
      <c r="G3316" s="53">
        <f t="shared" si="52"/>
        <v>0.16740635039925467</v>
      </c>
      <c r="H3316" s="35"/>
      <c r="P3316" s="6"/>
    </row>
    <row r="3317" spans="1:16" ht="14.4" x14ac:dyDescent="0.25">
      <c r="A3317" s="6">
        <v>7700</v>
      </c>
      <c r="B3317" s="6">
        <v>55202</v>
      </c>
      <c r="C3317" s="19">
        <v>40779</v>
      </c>
      <c r="D3317" s="6" t="s">
        <v>25</v>
      </c>
      <c r="E3317" s="6">
        <f>IF((ISBLANK($B$1)),"",Sheet1!Q3325)</f>
        <v>5050</v>
      </c>
      <c r="F3317" s="20" t="s">
        <v>26</v>
      </c>
      <c r="G3317" s="53">
        <f t="shared" si="52"/>
        <v>0.51264491857664052</v>
      </c>
      <c r="H3317" s="35"/>
      <c r="P3317" s="6"/>
    </row>
    <row r="3318" spans="1:16" ht="14.4" x14ac:dyDescent="0.25">
      <c r="A3318" s="6">
        <v>7707</v>
      </c>
      <c r="B3318" s="6">
        <v>55239</v>
      </c>
      <c r="C3318" s="19">
        <v>41246</v>
      </c>
      <c r="D3318" s="6" t="s">
        <v>30</v>
      </c>
      <c r="E3318" s="6">
        <f>IF((ISBLANK($B$1)),"",Sheet1!Q3326)</f>
        <v>3700</v>
      </c>
      <c r="F3318" s="20" t="s">
        <v>29</v>
      </c>
      <c r="G3318" s="53">
        <f t="shared" si="52"/>
        <v>-1.351643349581243</v>
      </c>
      <c r="H3318" s="35"/>
      <c r="P3318" s="6"/>
    </row>
    <row r="3319" spans="1:16" ht="14.4" x14ac:dyDescent="0.25">
      <c r="A3319" s="6">
        <v>8111</v>
      </c>
      <c r="B3319" s="6">
        <v>57894</v>
      </c>
      <c r="C3319" s="19">
        <v>41002</v>
      </c>
      <c r="D3319" s="6" t="s">
        <v>25</v>
      </c>
      <c r="E3319" s="6">
        <f>IF((ISBLANK($B$1)),"",Sheet1!Q3327)</f>
        <v>5750</v>
      </c>
      <c r="F3319" s="20" t="s">
        <v>27</v>
      </c>
      <c r="G3319" s="53">
        <f t="shared" si="52"/>
        <v>1.4793129094733208</v>
      </c>
      <c r="H3319" s="35"/>
      <c r="P3319" s="6"/>
    </row>
    <row r="3320" spans="1:16" ht="14.4" x14ac:dyDescent="0.25">
      <c r="A3320" s="6">
        <v>8196</v>
      </c>
      <c r="B3320" s="6">
        <v>58599</v>
      </c>
      <c r="C3320" s="19">
        <v>40192</v>
      </c>
      <c r="D3320" s="6" t="s">
        <v>30</v>
      </c>
      <c r="E3320" s="6">
        <f>IF((ISBLANK($B$1)),"",Sheet1!Q3328)</f>
        <v>4350</v>
      </c>
      <c r="F3320" s="20" t="s">
        <v>29</v>
      </c>
      <c r="G3320" s="53">
        <f t="shared" si="52"/>
        <v>-0.45402307232003986</v>
      </c>
      <c r="H3320" s="35"/>
      <c r="P3320" s="6"/>
    </row>
    <row r="3321" spans="1:16" ht="14.4" x14ac:dyDescent="0.25">
      <c r="A3321" s="6">
        <v>22</v>
      </c>
      <c r="B3321" s="6">
        <v>132</v>
      </c>
      <c r="C3321" s="19">
        <v>40339</v>
      </c>
      <c r="D3321" s="6" t="s">
        <v>16</v>
      </c>
      <c r="E3321" s="6">
        <f>IF((ISBLANK($B$1)),"",Sheet1!Q3329)</f>
        <v>4750</v>
      </c>
      <c r="F3321" s="20" t="s">
        <v>27</v>
      </c>
      <c r="G3321" s="53">
        <f t="shared" si="52"/>
        <v>9.8358636763777513E-2</v>
      </c>
      <c r="H3321" s="35"/>
      <c r="P3321" s="6"/>
    </row>
    <row r="3322" spans="1:16" ht="14.4" x14ac:dyDescent="0.25">
      <c r="A3322" s="6">
        <v>182</v>
      </c>
      <c r="B3322" s="6">
        <v>1191</v>
      </c>
      <c r="C3322" s="19">
        <v>40853</v>
      </c>
      <c r="D3322" s="6" t="s">
        <v>16</v>
      </c>
      <c r="E3322" s="6">
        <f>IF((ISBLANK($B$1)),"",Sheet1!Q3330)</f>
        <v>5150</v>
      </c>
      <c r="F3322" s="20" t="s">
        <v>29</v>
      </c>
      <c r="G3322" s="53">
        <f t="shared" si="52"/>
        <v>0.65074034584759488</v>
      </c>
      <c r="H3322" s="35"/>
      <c r="P3322" s="6"/>
    </row>
    <row r="3323" spans="1:16" ht="14.4" x14ac:dyDescent="0.25">
      <c r="A3323" s="6">
        <v>220</v>
      </c>
      <c r="B3323" s="6">
        <v>1444</v>
      </c>
      <c r="C3323" s="19">
        <v>40152</v>
      </c>
      <c r="D3323" s="6" t="s">
        <v>16</v>
      </c>
      <c r="E3323" s="6">
        <f>IF((ISBLANK($B$1)),"",Sheet1!Q3331)</f>
        <v>4600</v>
      </c>
      <c r="F3323" s="20" t="s">
        <v>26</v>
      </c>
      <c r="G3323" s="53">
        <f t="shared" si="52"/>
        <v>-0.108784504142654</v>
      </c>
      <c r="H3323" s="35"/>
      <c r="P3323" s="6"/>
    </row>
    <row r="3324" spans="1:16" ht="14.4" x14ac:dyDescent="0.25">
      <c r="A3324" s="6">
        <v>284</v>
      </c>
      <c r="B3324" s="6">
        <v>1985</v>
      </c>
      <c r="C3324" s="19">
        <v>40057</v>
      </c>
      <c r="D3324" s="6" t="s">
        <v>28</v>
      </c>
      <c r="E3324" s="6">
        <f>IF((ISBLANK($B$1)),"",Sheet1!Q3332)</f>
        <v>3450</v>
      </c>
      <c r="F3324" s="20" t="s">
        <v>26</v>
      </c>
      <c r="G3324" s="53">
        <f t="shared" si="52"/>
        <v>-1.696881917758629</v>
      </c>
      <c r="H3324" s="35"/>
      <c r="P3324" s="6"/>
    </row>
    <row r="3325" spans="1:16" ht="14.4" x14ac:dyDescent="0.25">
      <c r="A3325" s="6">
        <v>285</v>
      </c>
      <c r="B3325" s="6">
        <v>1988</v>
      </c>
      <c r="C3325" s="19">
        <v>40821</v>
      </c>
      <c r="D3325" s="6" t="s">
        <v>28</v>
      </c>
      <c r="E3325" s="6">
        <f>IF((ISBLANK($B$1)),"",Sheet1!Q3333)</f>
        <v>3850</v>
      </c>
      <c r="F3325" s="20" t="s">
        <v>26</v>
      </c>
      <c r="G3325" s="53">
        <f t="shared" si="52"/>
        <v>-1.1445002086748115</v>
      </c>
      <c r="H3325" s="35"/>
      <c r="P3325" s="6"/>
    </row>
    <row r="3326" spans="1:16" ht="14.4" x14ac:dyDescent="0.25">
      <c r="A3326" s="6">
        <v>337</v>
      </c>
      <c r="B3326" s="6">
        <v>2305</v>
      </c>
      <c r="C3326" s="19">
        <v>40203</v>
      </c>
      <c r="D3326" s="6" t="s">
        <v>17</v>
      </c>
      <c r="E3326" s="6">
        <f>IF((ISBLANK($B$1)),"",Sheet1!Q3334)</f>
        <v>3950</v>
      </c>
      <c r="F3326" s="20" t="s">
        <v>26</v>
      </c>
      <c r="G3326" s="53">
        <f t="shared" si="52"/>
        <v>-1.0064047814038573</v>
      </c>
      <c r="H3326" s="35"/>
      <c r="P3326" s="6"/>
    </row>
    <row r="3327" spans="1:16" ht="14.4" x14ac:dyDescent="0.25">
      <c r="A3327" s="6">
        <v>495</v>
      </c>
      <c r="B3327" s="6">
        <v>3397</v>
      </c>
      <c r="C3327" s="19">
        <v>39986</v>
      </c>
      <c r="D3327" s="6" t="s">
        <v>16</v>
      </c>
      <c r="E3327" s="6">
        <f>IF((ISBLANK($B$1)),"",Sheet1!Q3335)</f>
        <v>3950</v>
      </c>
      <c r="F3327" s="20" t="s">
        <v>26</v>
      </c>
      <c r="G3327" s="53">
        <f t="shared" si="52"/>
        <v>-1.0064047814038573</v>
      </c>
      <c r="H3327" s="35"/>
      <c r="P3327" s="6"/>
    </row>
    <row r="3328" spans="1:16" ht="14.4" x14ac:dyDescent="0.25">
      <c r="A3328" s="6">
        <v>547</v>
      </c>
      <c r="B3328" s="6">
        <v>3680</v>
      </c>
      <c r="C3328" s="19">
        <v>41252</v>
      </c>
      <c r="D3328" s="6" t="s">
        <v>28</v>
      </c>
      <c r="E3328" s="6">
        <f>IF((ISBLANK($B$1)),"",Sheet1!Q3336)</f>
        <v>4600</v>
      </c>
      <c r="F3328" s="20" t="s">
        <v>26</v>
      </c>
      <c r="G3328" s="53">
        <f t="shared" si="52"/>
        <v>-0.108784504142654</v>
      </c>
      <c r="H3328" s="35"/>
      <c r="P3328" s="6"/>
    </row>
    <row r="3329" spans="1:16" ht="14.4" x14ac:dyDescent="0.25">
      <c r="A3329" s="6">
        <v>572</v>
      </c>
      <c r="B3329" s="6">
        <v>3877</v>
      </c>
      <c r="C3329" s="19">
        <v>40318</v>
      </c>
      <c r="D3329" s="6" t="s">
        <v>25</v>
      </c>
      <c r="E3329" s="6">
        <f>IF((ISBLANK($B$1)),"",Sheet1!Q3337)</f>
        <v>4100</v>
      </c>
      <c r="F3329" s="20" t="s">
        <v>26</v>
      </c>
      <c r="G3329" s="53">
        <f t="shared" si="52"/>
        <v>-0.79926164049742576</v>
      </c>
      <c r="H3329" s="35"/>
      <c r="P3329" s="6"/>
    </row>
    <row r="3330" spans="1:16" ht="14.4" x14ac:dyDescent="0.25">
      <c r="A3330" s="6">
        <v>589</v>
      </c>
      <c r="B3330" s="6">
        <v>4033</v>
      </c>
      <c r="C3330" s="19">
        <v>40330</v>
      </c>
      <c r="D3330" s="6" t="s">
        <v>25</v>
      </c>
      <c r="E3330" s="6">
        <f>IF((ISBLANK($B$1)),"",Sheet1!Q3338)</f>
        <v>4450</v>
      </c>
      <c r="F3330" s="20" t="s">
        <v>26</v>
      </c>
      <c r="G3330" s="53">
        <f t="shared" si="52"/>
        <v>-0.31592764504908549</v>
      </c>
      <c r="H3330" s="35"/>
      <c r="P3330" s="6"/>
    </row>
    <row r="3331" spans="1:16" ht="14.4" x14ac:dyDescent="0.25">
      <c r="A3331" s="6">
        <v>604</v>
      </c>
      <c r="B3331" s="6">
        <v>4103</v>
      </c>
      <c r="C3331" s="19">
        <v>41092</v>
      </c>
      <c r="D3331" s="6" t="s">
        <v>25</v>
      </c>
      <c r="E3331" s="6">
        <f>IF((ISBLANK($B$1)),"",Sheet1!Q3339)</f>
        <v>3550</v>
      </c>
      <c r="F3331" s="20" t="s">
        <v>26</v>
      </c>
      <c r="G3331" s="53">
        <f t="shared" si="52"/>
        <v>-1.5587864904876745</v>
      </c>
      <c r="H3331" s="35"/>
      <c r="P3331" s="6"/>
    </row>
    <row r="3332" spans="1:16" ht="14.4" x14ac:dyDescent="0.25">
      <c r="A3332" s="6">
        <v>637</v>
      </c>
      <c r="B3332" s="6">
        <v>4455</v>
      </c>
      <c r="C3332" s="19">
        <v>40461</v>
      </c>
      <c r="D3332" s="6" t="s">
        <v>16</v>
      </c>
      <c r="E3332" s="6">
        <f>IF((ISBLANK($B$1)),"",Sheet1!Q3340)</f>
        <v>5350</v>
      </c>
      <c r="F3332" s="20" t="s">
        <v>29</v>
      </c>
      <c r="G3332" s="53">
        <f t="shared" si="52"/>
        <v>0.92693120038950361</v>
      </c>
      <c r="H3332" s="35"/>
      <c r="P3332" s="6"/>
    </row>
    <row r="3333" spans="1:16" ht="14.4" x14ac:dyDescent="0.25">
      <c r="A3333" s="6">
        <v>701</v>
      </c>
      <c r="B3333" s="6">
        <v>4896</v>
      </c>
      <c r="C3333" s="19">
        <v>41142</v>
      </c>
      <c r="D3333" s="6" t="s">
        <v>30</v>
      </c>
      <c r="E3333" s="6">
        <f>IF((ISBLANK($B$1)),"",Sheet1!Q3341)</f>
        <v>4450</v>
      </c>
      <c r="F3333" s="20" t="s">
        <v>26</v>
      </c>
      <c r="G3333" s="53">
        <f t="shared" si="52"/>
        <v>-0.31592764504908549</v>
      </c>
      <c r="H3333" s="35"/>
      <c r="P3333" s="6"/>
    </row>
    <row r="3334" spans="1:16" ht="14.4" x14ac:dyDescent="0.25">
      <c r="A3334" s="6">
        <v>706</v>
      </c>
      <c r="B3334" s="6">
        <v>4960</v>
      </c>
      <c r="C3334" s="19">
        <v>40599</v>
      </c>
      <c r="D3334" s="6" t="s">
        <v>25</v>
      </c>
      <c r="E3334" s="6">
        <f>IF((ISBLANK($B$1)),"",Sheet1!Q3342)</f>
        <v>3600</v>
      </c>
      <c r="F3334" s="20" t="s">
        <v>26</v>
      </c>
      <c r="G3334" s="53">
        <f t="shared" si="52"/>
        <v>-1.4897387768521975</v>
      </c>
      <c r="H3334" s="35"/>
      <c r="P3334" s="6"/>
    </row>
    <row r="3335" spans="1:16" ht="14.4" x14ac:dyDescent="0.25">
      <c r="A3335" s="6">
        <v>723</v>
      </c>
      <c r="B3335" s="6">
        <v>5189</v>
      </c>
      <c r="C3335" s="19">
        <v>40507</v>
      </c>
      <c r="D3335" s="6" t="s">
        <v>25</v>
      </c>
      <c r="E3335" s="6">
        <f>IF((ISBLANK($B$1)),"",Sheet1!Q3343)</f>
        <v>4100</v>
      </c>
      <c r="F3335" s="20" t="s">
        <v>26</v>
      </c>
      <c r="G3335" s="53">
        <f t="shared" si="52"/>
        <v>-0.79926164049742576</v>
      </c>
      <c r="H3335" s="35"/>
      <c r="P3335" s="6"/>
    </row>
    <row r="3336" spans="1:16" ht="14.4" x14ac:dyDescent="0.25">
      <c r="A3336" s="6">
        <v>848</v>
      </c>
      <c r="B3336" s="6">
        <v>6086</v>
      </c>
      <c r="C3336" s="19">
        <v>40808</v>
      </c>
      <c r="D3336" s="6" t="s">
        <v>30</v>
      </c>
      <c r="E3336" s="6">
        <f>IF((ISBLANK($B$1)),"",Sheet1!Q3344)</f>
        <v>5800</v>
      </c>
      <c r="F3336" s="20" t="s">
        <v>26</v>
      </c>
      <c r="G3336" s="53">
        <f t="shared" ref="G3336:G3399" si="53">STANDARDIZE(E3336,$L$26,$L$35)</f>
        <v>1.5483606231087981</v>
      </c>
      <c r="H3336" s="35"/>
      <c r="P3336" s="6"/>
    </row>
    <row r="3337" spans="1:16" ht="14.4" x14ac:dyDescent="0.25">
      <c r="A3337" s="6">
        <v>955</v>
      </c>
      <c r="B3337" s="6">
        <v>6912</v>
      </c>
      <c r="C3337" s="19">
        <v>40887</v>
      </c>
      <c r="D3337" s="6" t="s">
        <v>28</v>
      </c>
      <c r="E3337" s="6">
        <f>IF((ISBLANK($B$1)),"",Sheet1!Q3345)</f>
        <v>4100</v>
      </c>
      <c r="F3337" s="20" t="s">
        <v>26</v>
      </c>
      <c r="G3337" s="53">
        <f t="shared" si="53"/>
        <v>-0.79926164049742576</v>
      </c>
      <c r="H3337" s="35"/>
      <c r="P3337" s="6"/>
    </row>
    <row r="3338" spans="1:16" ht="14.4" x14ac:dyDescent="0.25">
      <c r="A3338" s="6">
        <v>960</v>
      </c>
      <c r="B3338" s="6">
        <v>6950</v>
      </c>
      <c r="C3338" s="19">
        <v>40994</v>
      </c>
      <c r="D3338" s="6" t="s">
        <v>25</v>
      </c>
      <c r="E3338" s="6">
        <f>IF((ISBLANK($B$1)),"",Sheet1!Q3346)</f>
        <v>3600</v>
      </c>
      <c r="F3338" s="20" t="s">
        <v>27</v>
      </c>
      <c r="G3338" s="53">
        <f t="shared" si="53"/>
        <v>-1.4897387768521975</v>
      </c>
      <c r="H3338" s="35"/>
      <c r="P3338" s="6"/>
    </row>
    <row r="3339" spans="1:16" ht="14.4" x14ac:dyDescent="0.25">
      <c r="A3339" s="6">
        <v>972</v>
      </c>
      <c r="B3339" s="6">
        <v>7075</v>
      </c>
      <c r="C3339" s="19">
        <v>40826</v>
      </c>
      <c r="D3339" s="6" t="s">
        <v>25</v>
      </c>
      <c r="E3339" s="6">
        <f>IF((ISBLANK($B$1)),"",Sheet1!Q3347)</f>
        <v>4150</v>
      </c>
      <c r="F3339" s="20" t="s">
        <v>26</v>
      </c>
      <c r="G3339" s="53">
        <f t="shared" si="53"/>
        <v>-0.73021392686194853</v>
      </c>
      <c r="H3339" s="35"/>
      <c r="P3339" s="6"/>
    </row>
    <row r="3340" spans="1:16" ht="14.4" x14ac:dyDescent="0.25">
      <c r="A3340" s="6">
        <v>973</v>
      </c>
      <c r="B3340" s="6">
        <v>7075</v>
      </c>
      <c r="C3340" s="19">
        <v>40826</v>
      </c>
      <c r="D3340" s="6" t="s">
        <v>25</v>
      </c>
      <c r="E3340" s="6">
        <f>IF((ISBLANK($B$1)),"",Sheet1!Q3348)</f>
        <v>5550</v>
      </c>
      <c r="F3340" s="20" t="s">
        <v>26</v>
      </c>
      <c r="G3340" s="53">
        <f t="shared" si="53"/>
        <v>1.2031220549314123</v>
      </c>
      <c r="H3340" s="35"/>
      <c r="P3340" s="6"/>
    </row>
    <row r="3341" spans="1:16" ht="14.4" x14ac:dyDescent="0.25">
      <c r="A3341" s="6">
        <v>1003</v>
      </c>
      <c r="B3341" s="6">
        <v>7297</v>
      </c>
      <c r="C3341" s="19">
        <v>40070</v>
      </c>
      <c r="D3341" s="6" t="s">
        <v>17</v>
      </c>
      <c r="E3341" s="6">
        <f>IF((ISBLANK($B$1)),"",Sheet1!Q3349)</f>
        <v>3750</v>
      </c>
      <c r="F3341" s="20" t="s">
        <v>27</v>
      </c>
      <c r="G3341" s="53">
        <f t="shared" si="53"/>
        <v>-1.282595635945766</v>
      </c>
      <c r="H3341" s="35"/>
      <c r="P3341" s="6"/>
    </row>
    <row r="3342" spans="1:16" ht="14.4" x14ac:dyDescent="0.25">
      <c r="A3342" s="6">
        <v>1080</v>
      </c>
      <c r="B3342" s="6">
        <v>7938</v>
      </c>
      <c r="C3342" s="19">
        <v>40250</v>
      </c>
      <c r="D3342" s="6" t="s">
        <v>16</v>
      </c>
      <c r="E3342" s="6">
        <f>IF((ISBLANK($B$1)),"",Sheet1!Q3350)</f>
        <v>4550</v>
      </c>
      <c r="F3342" s="20" t="s">
        <v>26</v>
      </c>
      <c r="G3342" s="53">
        <f t="shared" si="53"/>
        <v>-0.17783221777813119</v>
      </c>
      <c r="H3342" s="35"/>
      <c r="P3342" s="6"/>
    </row>
    <row r="3343" spans="1:16" ht="14.4" x14ac:dyDescent="0.25">
      <c r="A3343" s="6">
        <v>1099</v>
      </c>
      <c r="B3343" s="6">
        <v>8065</v>
      </c>
      <c r="C3343" s="19">
        <v>41203</v>
      </c>
      <c r="D3343" s="6" t="s">
        <v>16</v>
      </c>
      <c r="E3343" s="6">
        <f>IF((ISBLANK($B$1)),"",Sheet1!Q3351)</f>
        <v>4250</v>
      </c>
      <c r="F3343" s="20" t="s">
        <v>29</v>
      </c>
      <c r="G3343" s="53">
        <f t="shared" si="53"/>
        <v>-0.59211849959099416</v>
      </c>
      <c r="H3343" s="35"/>
      <c r="P3343" s="6"/>
    </row>
    <row r="3344" spans="1:16" ht="14.4" x14ac:dyDescent="0.25">
      <c r="A3344" s="6">
        <v>1135</v>
      </c>
      <c r="B3344" s="6">
        <v>8292</v>
      </c>
      <c r="C3344" s="19">
        <v>40210</v>
      </c>
      <c r="D3344" s="6" t="s">
        <v>28</v>
      </c>
      <c r="E3344" s="6">
        <f>IF((ISBLANK($B$1)),"",Sheet1!Q3352)</f>
        <v>4300</v>
      </c>
      <c r="F3344" s="20" t="s">
        <v>26</v>
      </c>
      <c r="G3344" s="53">
        <f t="shared" si="53"/>
        <v>-0.52307078595551704</v>
      </c>
      <c r="H3344" s="35"/>
      <c r="P3344" s="6"/>
    </row>
    <row r="3345" spans="1:16" ht="14.4" x14ac:dyDescent="0.25">
      <c r="A3345" s="6">
        <v>1166</v>
      </c>
      <c r="B3345" s="6">
        <v>8513</v>
      </c>
      <c r="C3345" s="19">
        <v>40739</v>
      </c>
      <c r="D3345" s="6" t="s">
        <v>25</v>
      </c>
      <c r="E3345" s="6">
        <f>IF((ISBLANK($B$1)),"",Sheet1!Q3353)</f>
        <v>3800</v>
      </c>
      <c r="F3345" s="20" t="s">
        <v>26</v>
      </c>
      <c r="G3345" s="53">
        <f t="shared" si="53"/>
        <v>-1.2135479223102887</v>
      </c>
      <c r="H3345" s="35"/>
      <c r="P3345" s="6"/>
    </row>
    <row r="3346" spans="1:16" ht="14.4" x14ac:dyDescent="0.25">
      <c r="A3346" s="6">
        <v>1240</v>
      </c>
      <c r="B3346" s="6">
        <v>9024</v>
      </c>
      <c r="C3346" s="19">
        <v>41062</v>
      </c>
      <c r="D3346" s="6" t="s">
        <v>16</v>
      </c>
      <c r="E3346" s="6">
        <f>IF((ISBLANK($B$1)),"",Sheet1!Q3354)</f>
        <v>4900</v>
      </c>
      <c r="F3346" s="20" t="s">
        <v>27</v>
      </c>
      <c r="G3346" s="53">
        <f t="shared" si="53"/>
        <v>0.30550177767020903</v>
      </c>
      <c r="H3346" s="35"/>
      <c r="P3346" s="6"/>
    </row>
    <row r="3347" spans="1:16" ht="14.4" x14ac:dyDescent="0.25">
      <c r="A3347" s="6">
        <v>1314</v>
      </c>
      <c r="B3347" s="6">
        <v>9635</v>
      </c>
      <c r="C3347" s="19">
        <v>39916</v>
      </c>
      <c r="D3347" s="6" t="s">
        <v>30</v>
      </c>
      <c r="E3347" s="6">
        <f>IF((ISBLANK($B$1)),"",Sheet1!Q3355)</f>
        <v>3450</v>
      </c>
      <c r="F3347" s="20" t="s">
        <v>26</v>
      </c>
      <c r="G3347" s="53">
        <f t="shared" si="53"/>
        <v>-1.696881917758629</v>
      </c>
      <c r="H3347" s="35"/>
      <c r="P3347" s="6"/>
    </row>
    <row r="3348" spans="1:16" ht="14.4" x14ac:dyDescent="0.25">
      <c r="A3348" s="6">
        <v>1444</v>
      </c>
      <c r="B3348" s="6">
        <v>10436</v>
      </c>
      <c r="C3348" s="19">
        <v>40545</v>
      </c>
      <c r="D3348" s="6" t="s">
        <v>25</v>
      </c>
      <c r="E3348" s="6">
        <f>IF((ISBLANK($B$1)),"",Sheet1!Q3356)</f>
        <v>4600</v>
      </c>
      <c r="F3348" s="20" t="s">
        <v>26</v>
      </c>
      <c r="G3348" s="53">
        <f t="shared" si="53"/>
        <v>-0.108784504142654</v>
      </c>
      <c r="H3348" s="35"/>
      <c r="P3348" s="6"/>
    </row>
    <row r="3349" spans="1:16" ht="14.4" x14ac:dyDescent="0.25">
      <c r="A3349" s="6">
        <v>1491</v>
      </c>
      <c r="B3349" s="6">
        <v>10752</v>
      </c>
      <c r="C3349" s="19">
        <v>40796</v>
      </c>
      <c r="D3349" s="6" t="s">
        <v>30</v>
      </c>
      <c r="E3349" s="6">
        <f>IF((ISBLANK($B$1)),"",Sheet1!Q3357)</f>
        <v>3650</v>
      </c>
      <c r="F3349" s="20" t="s">
        <v>26</v>
      </c>
      <c r="G3349" s="53">
        <f t="shared" si="53"/>
        <v>-1.4206910632167202</v>
      </c>
      <c r="H3349" s="35"/>
      <c r="P3349" s="6"/>
    </row>
    <row r="3350" spans="1:16" ht="14.4" x14ac:dyDescent="0.25">
      <c r="A3350" s="6">
        <v>1527</v>
      </c>
      <c r="B3350" s="6">
        <v>11011</v>
      </c>
      <c r="C3350" s="19">
        <v>41042</v>
      </c>
      <c r="D3350" s="6" t="s">
        <v>17</v>
      </c>
      <c r="E3350" s="6">
        <f>IF((ISBLANK($B$1)),"",Sheet1!Q3358)</f>
        <v>5200</v>
      </c>
      <c r="F3350" s="20" t="s">
        <v>26</v>
      </c>
      <c r="G3350" s="53">
        <f t="shared" si="53"/>
        <v>0.71978805948307201</v>
      </c>
      <c r="H3350" s="35"/>
      <c r="P3350" s="6"/>
    </row>
    <row r="3351" spans="1:16" ht="14.4" x14ac:dyDescent="0.25">
      <c r="A3351" s="6">
        <v>1558</v>
      </c>
      <c r="B3351" s="6">
        <v>11236</v>
      </c>
      <c r="C3351" s="19">
        <v>40481</v>
      </c>
      <c r="D3351" s="6" t="s">
        <v>17</v>
      </c>
      <c r="E3351" s="6">
        <f>IF((ISBLANK($B$1)),"",Sheet1!Q3359)</f>
        <v>5850</v>
      </c>
      <c r="F3351" s="20" t="s">
        <v>26</v>
      </c>
      <c r="G3351" s="53">
        <f t="shared" si="53"/>
        <v>1.6174083367442753</v>
      </c>
      <c r="H3351" s="35"/>
      <c r="P3351" s="6"/>
    </row>
    <row r="3352" spans="1:16" ht="14.4" x14ac:dyDescent="0.25">
      <c r="A3352" s="6">
        <v>1604</v>
      </c>
      <c r="B3352" s="6">
        <v>11650</v>
      </c>
      <c r="C3352" s="19">
        <v>41176</v>
      </c>
      <c r="D3352" s="6" t="s">
        <v>28</v>
      </c>
      <c r="E3352" s="6">
        <f>IF((ISBLANK($B$1)),"",Sheet1!Q3360)</f>
        <v>4900</v>
      </c>
      <c r="F3352" s="20" t="s">
        <v>27</v>
      </c>
      <c r="G3352" s="53">
        <f t="shared" si="53"/>
        <v>0.30550177767020903</v>
      </c>
      <c r="H3352" s="35"/>
      <c r="P3352" s="6"/>
    </row>
    <row r="3353" spans="1:16" ht="14.4" x14ac:dyDescent="0.25">
      <c r="A3353" s="6">
        <v>1628</v>
      </c>
      <c r="B3353" s="6">
        <v>11779</v>
      </c>
      <c r="C3353" s="19">
        <v>40358</v>
      </c>
      <c r="D3353" s="6" t="s">
        <v>28</v>
      </c>
      <c r="E3353" s="6">
        <f>IF((ISBLANK($B$1)),"",Sheet1!Q3361)</f>
        <v>5650</v>
      </c>
      <c r="F3353" s="20" t="s">
        <v>26</v>
      </c>
      <c r="G3353" s="53">
        <f t="shared" si="53"/>
        <v>1.3412174822023666</v>
      </c>
      <c r="H3353" s="35"/>
      <c r="P3353" s="6"/>
    </row>
    <row r="3354" spans="1:16" ht="14.4" x14ac:dyDescent="0.25">
      <c r="A3354" s="6">
        <v>1629</v>
      </c>
      <c r="B3354" s="6">
        <v>11779</v>
      </c>
      <c r="C3354" s="19">
        <v>40358</v>
      </c>
      <c r="D3354" s="6" t="s">
        <v>28</v>
      </c>
      <c r="E3354" s="6">
        <f>IF((ISBLANK($B$1)),"",Sheet1!Q3362)</f>
        <v>5550</v>
      </c>
      <c r="F3354" s="20" t="s">
        <v>27</v>
      </c>
      <c r="G3354" s="53">
        <f t="shared" si="53"/>
        <v>1.2031220549314123</v>
      </c>
      <c r="H3354" s="35"/>
      <c r="P3354" s="6"/>
    </row>
    <row r="3355" spans="1:16" ht="14.4" x14ac:dyDescent="0.25">
      <c r="A3355" s="6">
        <v>1748</v>
      </c>
      <c r="B3355" s="6">
        <v>12515</v>
      </c>
      <c r="C3355" s="19">
        <v>40311</v>
      </c>
      <c r="D3355" s="6" t="s">
        <v>16</v>
      </c>
      <c r="E3355" s="6">
        <f>IF((ISBLANK($B$1)),"",Sheet1!Q3363)</f>
        <v>4200</v>
      </c>
      <c r="F3355" s="20" t="s">
        <v>27</v>
      </c>
      <c r="G3355" s="53">
        <f t="shared" si="53"/>
        <v>-0.6611662132264714</v>
      </c>
      <c r="H3355" s="35"/>
      <c r="P3355" s="6"/>
    </row>
    <row r="3356" spans="1:16" ht="14.4" x14ac:dyDescent="0.25">
      <c r="A3356" s="6">
        <v>1754</v>
      </c>
      <c r="B3356" s="6">
        <v>12580</v>
      </c>
      <c r="C3356" s="19">
        <v>40191</v>
      </c>
      <c r="D3356" s="6" t="s">
        <v>25</v>
      </c>
      <c r="E3356" s="6">
        <f>IF((ISBLANK($B$1)),"",Sheet1!Q3364)</f>
        <v>5550</v>
      </c>
      <c r="F3356" s="20" t="s">
        <v>26</v>
      </c>
      <c r="G3356" s="53">
        <f t="shared" si="53"/>
        <v>1.2031220549314123</v>
      </c>
      <c r="H3356" s="35"/>
      <c r="P3356" s="6"/>
    </row>
    <row r="3357" spans="1:16" ht="14.4" x14ac:dyDescent="0.25">
      <c r="A3357" s="6">
        <v>1795</v>
      </c>
      <c r="B3357" s="6">
        <v>12868</v>
      </c>
      <c r="C3357" s="19">
        <v>40603</v>
      </c>
      <c r="D3357" s="6" t="s">
        <v>30</v>
      </c>
      <c r="E3357" s="6">
        <f>IF((ISBLANK($B$1)),"",Sheet1!Q3365)</f>
        <v>4950</v>
      </c>
      <c r="F3357" s="20" t="s">
        <v>26</v>
      </c>
      <c r="G3357" s="53">
        <f t="shared" si="53"/>
        <v>0.37454949130568621</v>
      </c>
      <c r="H3357" s="35"/>
      <c r="P3357" s="6"/>
    </row>
    <row r="3358" spans="1:16" ht="14.4" x14ac:dyDescent="0.25">
      <c r="A3358" s="6">
        <v>1809</v>
      </c>
      <c r="B3358" s="6">
        <v>12931</v>
      </c>
      <c r="C3358" s="19">
        <v>41023</v>
      </c>
      <c r="D3358" s="6" t="s">
        <v>16</v>
      </c>
      <c r="E3358" s="6">
        <f>IF((ISBLANK($B$1)),"",Sheet1!Q3366)</f>
        <v>3950</v>
      </c>
      <c r="F3358" s="20" t="s">
        <v>26</v>
      </c>
      <c r="G3358" s="53">
        <f t="shared" si="53"/>
        <v>-1.0064047814038573</v>
      </c>
      <c r="H3358" s="35"/>
      <c r="P3358" s="6"/>
    </row>
    <row r="3359" spans="1:16" ht="14.4" x14ac:dyDescent="0.25">
      <c r="A3359" s="6">
        <v>1815</v>
      </c>
      <c r="B3359" s="6">
        <v>13027</v>
      </c>
      <c r="C3359" s="19">
        <v>40923</v>
      </c>
      <c r="D3359" s="6" t="s">
        <v>30</v>
      </c>
      <c r="E3359" s="6">
        <f>IF((ISBLANK($B$1)),"",Sheet1!Q3367)</f>
        <v>5500</v>
      </c>
      <c r="F3359" s="20" t="s">
        <v>26</v>
      </c>
      <c r="G3359" s="53">
        <f t="shared" si="53"/>
        <v>1.1340743412959351</v>
      </c>
      <c r="H3359" s="35"/>
      <c r="P3359" s="6"/>
    </row>
    <row r="3360" spans="1:16" ht="14.4" x14ac:dyDescent="0.25">
      <c r="A3360" s="6">
        <v>1873</v>
      </c>
      <c r="B3360" s="6">
        <v>13476</v>
      </c>
      <c r="C3360" s="19">
        <v>40467</v>
      </c>
      <c r="D3360" s="6" t="s">
        <v>28</v>
      </c>
      <c r="E3360" s="6">
        <f>IF((ISBLANK($B$1)),"",Sheet1!Q3368)</f>
        <v>5750</v>
      </c>
      <c r="F3360" s="20" t="s">
        <v>26</v>
      </c>
      <c r="G3360" s="53">
        <f t="shared" si="53"/>
        <v>1.4793129094733208</v>
      </c>
      <c r="H3360" s="35"/>
      <c r="P3360" s="6"/>
    </row>
    <row r="3361" spans="1:16" ht="14.4" x14ac:dyDescent="0.25">
      <c r="A3361" s="6">
        <v>1891</v>
      </c>
      <c r="B3361" s="6">
        <v>13572</v>
      </c>
      <c r="C3361" s="19">
        <v>41046</v>
      </c>
      <c r="D3361" s="6" t="s">
        <v>30</v>
      </c>
      <c r="E3361" s="6">
        <f>IF((ISBLANK($B$1)),"",Sheet1!Q3369)</f>
        <v>3750</v>
      </c>
      <c r="F3361" s="20" t="s">
        <v>27</v>
      </c>
      <c r="G3361" s="53">
        <f t="shared" si="53"/>
        <v>-1.282595635945766</v>
      </c>
      <c r="H3361" s="35"/>
      <c r="P3361" s="6"/>
    </row>
    <row r="3362" spans="1:16" ht="14.4" x14ac:dyDescent="0.25">
      <c r="A3362" s="6">
        <v>1916</v>
      </c>
      <c r="B3362" s="6">
        <v>13731</v>
      </c>
      <c r="C3362" s="19">
        <v>40307</v>
      </c>
      <c r="D3362" s="6" t="s">
        <v>28</v>
      </c>
      <c r="E3362" s="6">
        <f>IF((ISBLANK($B$1)),"",Sheet1!Q3370)</f>
        <v>3900</v>
      </c>
      <c r="F3362" s="20" t="s">
        <v>26</v>
      </c>
      <c r="G3362" s="53">
        <f t="shared" si="53"/>
        <v>-1.0754524950393345</v>
      </c>
      <c r="H3362" s="35"/>
      <c r="P3362" s="6"/>
    </row>
    <row r="3363" spans="1:16" ht="14.4" x14ac:dyDescent="0.25">
      <c r="A3363" s="6">
        <v>1971</v>
      </c>
      <c r="B3363" s="6">
        <v>14112</v>
      </c>
      <c r="C3363" s="19">
        <v>40018</v>
      </c>
      <c r="D3363" s="6" t="s">
        <v>25</v>
      </c>
      <c r="E3363" s="6">
        <f>IF((ISBLANK($B$1)),"",Sheet1!Q3371)</f>
        <v>3450</v>
      </c>
      <c r="F3363" s="20" t="s">
        <v>26</v>
      </c>
      <c r="G3363" s="53">
        <f t="shared" si="53"/>
        <v>-1.696881917758629</v>
      </c>
      <c r="H3363" s="35"/>
      <c r="P3363" s="6"/>
    </row>
    <row r="3364" spans="1:16" ht="14.4" x14ac:dyDescent="0.25">
      <c r="A3364" s="6">
        <v>1974</v>
      </c>
      <c r="B3364" s="6">
        <v>14114</v>
      </c>
      <c r="C3364" s="19">
        <v>39909</v>
      </c>
      <c r="D3364" s="6" t="s">
        <v>30</v>
      </c>
      <c r="E3364" s="6">
        <f>IF((ISBLANK($B$1)),"",Sheet1!Q3372)</f>
        <v>5300</v>
      </c>
      <c r="F3364" s="20" t="s">
        <v>29</v>
      </c>
      <c r="G3364" s="53">
        <f t="shared" si="53"/>
        <v>0.85788348675402637</v>
      </c>
      <c r="H3364" s="35"/>
      <c r="P3364" s="6"/>
    </row>
    <row r="3365" spans="1:16" ht="14.4" x14ac:dyDescent="0.25">
      <c r="A3365" s="6">
        <v>1975</v>
      </c>
      <c r="B3365" s="6">
        <v>14114</v>
      </c>
      <c r="C3365" s="19">
        <v>39909</v>
      </c>
      <c r="D3365" s="6" t="s">
        <v>30</v>
      </c>
      <c r="E3365" s="6">
        <f>IF((ISBLANK($B$1)),"",Sheet1!Q3373)</f>
        <v>5450</v>
      </c>
      <c r="F3365" s="20" t="s">
        <v>29</v>
      </c>
      <c r="G3365" s="53">
        <f t="shared" si="53"/>
        <v>1.0650266276604579</v>
      </c>
      <c r="H3365" s="35"/>
      <c r="P3365" s="6"/>
    </row>
    <row r="3366" spans="1:16" ht="14.4" x14ac:dyDescent="0.25">
      <c r="A3366" s="6">
        <v>2099</v>
      </c>
      <c r="B3366" s="6">
        <v>15009</v>
      </c>
      <c r="C3366" s="19">
        <v>40898</v>
      </c>
      <c r="D3366" s="6" t="s">
        <v>28</v>
      </c>
      <c r="E3366" s="6">
        <f>IF((ISBLANK($B$1)),"",Sheet1!Q3374)</f>
        <v>5700</v>
      </c>
      <c r="F3366" s="20" t="s">
        <v>26</v>
      </c>
      <c r="G3366" s="53">
        <f t="shared" si="53"/>
        <v>1.4102651958378438</v>
      </c>
      <c r="H3366" s="35"/>
      <c r="P3366" s="6"/>
    </row>
    <row r="3367" spans="1:16" ht="14.4" x14ac:dyDescent="0.25">
      <c r="A3367" s="6">
        <v>2152</v>
      </c>
      <c r="B3367" s="6">
        <v>15399</v>
      </c>
      <c r="C3367" s="19">
        <v>41042</v>
      </c>
      <c r="D3367" s="6" t="s">
        <v>30</v>
      </c>
      <c r="E3367" s="6">
        <f>IF((ISBLANK($B$1)),"",Sheet1!Q3375)</f>
        <v>3750</v>
      </c>
      <c r="F3367" s="20" t="s">
        <v>29</v>
      </c>
      <c r="G3367" s="53">
        <f t="shared" si="53"/>
        <v>-1.282595635945766</v>
      </c>
      <c r="H3367" s="35"/>
      <c r="P3367" s="6"/>
    </row>
    <row r="3368" spans="1:16" ht="14.4" x14ac:dyDescent="0.25">
      <c r="A3368" s="6">
        <v>2218</v>
      </c>
      <c r="B3368" s="6">
        <v>16036</v>
      </c>
      <c r="C3368" s="19">
        <v>40913</v>
      </c>
      <c r="D3368" s="6" t="s">
        <v>16</v>
      </c>
      <c r="E3368" s="6">
        <f>IF((ISBLANK($B$1)),"",Sheet1!Q3376)</f>
        <v>4800</v>
      </c>
      <c r="F3368" s="20" t="s">
        <v>26</v>
      </c>
      <c r="G3368" s="53">
        <f t="shared" si="53"/>
        <v>0.16740635039925467</v>
      </c>
      <c r="H3368" s="35"/>
      <c r="P3368" s="6"/>
    </row>
    <row r="3369" spans="1:16" ht="14.4" x14ac:dyDescent="0.25">
      <c r="A3369" s="6">
        <v>2219</v>
      </c>
      <c r="B3369" s="6">
        <v>16036</v>
      </c>
      <c r="C3369" s="19">
        <v>40913</v>
      </c>
      <c r="D3369" s="6" t="s">
        <v>16</v>
      </c>
      <c r="E3369" s="6">
        <f>IF((ISBLANK($B$1)),"",Sheet1!Q3377)</f>
        <v>3900</v>
      </c>
      <c r="F3369" s="20" t="s">
        <v>27</v>
      </c>
      <c r="G3369" s="53">
        <f t="shared" si="53"/>
        <v>-1.0754524950393345</v>
      </c>
      <c r="H3369" s="35"/>
      <c r="P3369" s="6"/>
    </row>
    <row r="3370" spans="1:16" ht="14.4" x14ac:dyDescent="0.25">
      <c r="A3370" s="6">
        <v>2220</v>
      </c>
      <c r="B3370" s="6">
        <v>16036</v>
      </c>
      <c r="C3370" s="19">
        <v>40913</v>
      </c>
      <c r="D3370" s="6" t="s">
        <v>16</v>
      </c>
      <c r="E3370" s="6">
        <f>IF((ISBLANK($B$1)),"",Sheet1!Q3378)</f>
        <v>5050</v>
      </c>
      <c r="F3370" s="20" t="s">
        <v>26</v>
      </c>
      <c r="G3370" s="53">
        <f t="shared" si="53"/>
        <v>0.51264491857664052</v>
      </c>
      <c r="H3370" s="35"/>
      <c r="P3370" s="6"/>
    </row>
    <row r="3371" spans="1:16" ht="14.4" x14ac:dyDescent="0.25">
      <c r="A3371" s="6">
        <v>2374</v>
      </c>
      <c r="B3371" s="6">
        <v>17216</v>
      </c>
      <c r="C3371" s="19">
        <v>41056</v>
      </c>
      <c r="D3371" s="6" t="s">
        <v>16</v>
      </c>
      <c r="E3371" s="6">
        <f>IF((ISBLANK($B$1)),"",Sheet1!Q3379)</f>
        <v>3750</v>
      </c>
      <c r="F3371" s="20" t="s">
        <v>29</v>
      </c>
      <c r="G3371" s="53">
        <f t="shared" si="53"/>
        <v>-1.282595635945766</v>
      </c>
      <c r="H3371" s="35"/>
      <c r="P3371" s="6"/>
    </row>
    <row r="3372" spans="1:16" ht="14.4" x14ac:dyDescent="0.25">
      <c r="A3372" s="6">
        <v>2436</v>
      </c>
      <c r="B3372" s="6">
        <v>17698</v>
      </c>
      <c r="C3372" s="19">
        <v>41042</v>
      </c>
      <c r="D3372" s="6" t="s">
        <v>17</v>
      </c>
      <c r="E3372" s="6">
        <f>IF((ISBLANK($B$1)),"",Sheet1!Q3380)</f>
        <v>5550</v>
      </c>
      <c r="F3372" s="20" t="s">
        <v>26</v>
      </c>
      <c r="G3372" s="53">
        <f t="shared" si="53"/>
        <v>1.2031220549314123</v>
      </c>
      <c r="H3372" s="35"/>
      <c r="P3372" s="6"/>
    </row>
    <row r="3373" spans="1:16" ht="14.4" x14ac:dyDescent="0.25">
      <c r="A3373" s="6">
        <v>2467</v>
      </c>
      <c r="B3373" s="6">
        <v>17953</v>
      </c>
      <c r="C3373" s="19">
        <v>41141</v>
      </c>
      <c r="D3373" s="6" t="s">
        <v>17</v>
      </c>
      <c r="E3373" s="6">
        <f>IF((ISBLANK($B$1)),"",Sheet1!Q3381)</f>
        <v>4450</v>
      </c>
      <c r="F3373" s="20" t="s">
        <v>26</v>
      </c>
      <c r="G3373" s="53">
        <f t="shared" si="53"/>
        <v>-0.31592764504908549</v>
      </c>
      <c r="H3373" s="35"/>
      <c r="P3373" s="6"/>
    </row>
    <row r="3374" spans="1:16" ht="14.4" x14ac:dyDescent="0.25">
      <c r="A3374" s="6">
        <v>2468</v>
      </c>
      <c r="B3374" s="6">
        <v>17953</v>
      </c>
      <c r="C3374" s="19">
        <v>41141</v>
      </c>
      <c r="D3374" s="6" t="s">
        <v>17</v>
      </c>
      <c r="E3374" s="6">
        <f>IF((ISBLANK($B$1)),"",Sheet1!Q3382)</f>
        <v>4250</v>
      </c>
      <c r="F3374" s="20" t="s">
        <v>26</v>
      </c>
      <c r="G3374" s="53">
        <f t="shared" si="53"/>
        <v>-0.59211849959099416</v>
      </c>
      <c r="H3374" s="35"/>
      <c r="P3374" s="6"/>
    </row>
    <row r="3375" spans="1:16" ht="14.4" x14ac:dyDescent="0.25">
      <c r="A3375" s="6">
        <v>2472</v>
      </c>
      <c r="B3375" s="6">
        <v>17959</v>
      </c>
      <c r="C3375" s="19">
        <v>41161</v>
      </c>
      <c r="D3375" s="6" t="s">
        <v>16</v>
      </c>
      <c r="E3375" s="6">
        <f>IF((ISBLANK($B$1)),"",Sheet1!Q3383)</f>
        <v>4800</v>
      </c>
      <c r="F3375" s="20" t="s">
        <v>26</v>
      </c>
      <c r="G3375" s="53">
        <f t="shared" si="53"/>
        <v>0.16740635039925467</v>
      </c>
      <c r="H3375" s="35"/>
      <c r="P3375" s="6"/>
    </row>
    <row r="3376" spans="1:16" ht="14.4" x14ac:dyDescent="0.25">
      <c r="A3376" s="6">
        <v>2473</v>
      </c>
      <c r="B3376" s="6">
        <v>17959</v>
      </c>
      <c r="C3376" s="19">
        <v>41161</v>
      </c>
      <c r="D3376" s="6" t="s">
        <v>16</v>
      </c>
      <c r="E3376" s="6">
        <f>IF((ISBLANK($B$1)),"",Sheet1!Q3384)</f>
        <v>4450</v>
      </c>
      <c r="F3376" s="20" t="s">
        <v>29</v>
      </c>
      <c r="G3376" s="53">
        <f t="shared" si="53"/>
        <v>-0.31592764504908549</v>
      </c>
      <c r="H3376" s="35"/>
      <c r="P3376" s="6"/>
    </row>
    <row r="3377" spans="1:16" ht="14.4" x14ac:dyDescent="0.25">
      <c r="A3377" s="6">
        <v>2478</v>
      </c>
      <c r="B3377" s="6">
        <v>18017</v>
      </c>
      <c r="C3377" s="19">
        <v>40262</v>
      </c>
      <c r="D3377" s="6" t="s">
        <v>30</v>
      </c>
      <c r="E3377" s="6">
        <f>IF((ISBLANK($B$1)),"",Sheet1!Q3385)</f>
        <v>4500</v>
      </c>
      <c r="F3377" s="20" t="s">
        <v>29</v>
      </c>
      <c r="G3377" s="53">
        <f t="shared" si="53"/>
        <v>-0.24687993141360834</v>
      </c>
      <c r="H3377" s="35"/>
      <c r="P3377" s="6"/>
    </row>
    <row r="3378" spans="1:16" ht="14.4" x14ac:dyDescent="0.25">
      <c r="A3378" s="6">
        <v>2532</v>
      </c>
      <c r="B3378" s="6">
        <v>18373</v>
      </c>
      <c r="C3378" s="19">
        <v>41011</v>
      </c>
      <c r="D3378" s="6" t="s">
        <v>30</v>
      </c>
      <c r="E3378" s="6">
        <f>IF((ISBLANK($B$1)),"",Sheet1!Q3386)</f>
        <v>5150</v>
      </c>
      <c r="F3378" s="20" t="s">
        <v>26</v>
      </c>
      <c r="G3378" s="53">
        <f t="shared" si="53"/>
        <v>0.65074034584759488</v>
      </c>
      <c r="H3378" s="35"/>
      <c r="P3378" s="6"/>
    </row>
    <row r="3379" spans="1:16" ht="14.4" x14ac:dyDescent="0.25">
      <c r="A3379" s="6">
        <v>2708</v>
      </c>
      <c r="B3379" s="6">
        <v>19558</v>
      </c>
      <c r="C3379" s="19">
        <v>40599</v>
      </c>
      <c r="D3379" s="6" t="s">
        <v>25</v>
      </c>
      <c r="E3379" s="6">
        <f>IF((ISBLANK($B$1)),"",Sheet1!Q3387)</f>
        <v>3500</v>
      </c>
      <c r="F3379" s="20" t="s">
        <v>26</v>
      </c>
      <c r="G3379" s="53">
        <f t="shared" si="53"/>
        <v>-1.6278342041231517</v>
      </c>
      <c r="H3379" s="35"/>
      <c r="P3379" s="6"/>
    </row>
    <row r="3380" spans="1:16" ht="14.4" x14ac:dyDescent="0.25">
      <c r="A3380" s="6">
        <v>2849</v>
      </c>
      <c r="B3380" s="6">
        <v>20518</v>
      </c>
      <c r="C3380" s="19">
        <v>40091</v>
      </c>
      <c r="D3380" s="6" t="s">
        <v>30</v>
      </c>
      <c r="E3380" s="6">
        <f>IF((ISBLANK($B$1)),"",Sheet1!Q3388)</f>
        <v>5850</v>
      </c>
      <c r="F3380" s="20" t="s">
        <v>27</v>
      </c>
      <c r="G3380" s="53">
        <f t="shared" si="53"/>
        <v>1.6174083367442753</v>
      </c>
      <c r="H3380" s="35"/>
      <c r="P3380" s="6"/>
    </row>
    <row r="3381" spans="1:16" ht="14.4" x14ac:dyDescent="0.25">
      <c r="A3381" s="6">
        <v>2850</v>
      </c>
      <c r="B3381" s="6">
        <v>20518</v>
      </c>
      <c r="C3381" s="19">
        <v>40091</v>
      </c>
      <c r="D3381" s="6" t="s">
        <v>30</v>
      </c>
      <c r="E3381" s="6">
        <f>IF((ISBLANK($B$1)),"",Sheet1!Q3389)</f>
        <v>3750</v>
      </c>
      <c r="F3381" s="20" t="s">
        <v>27</v>
      </c>
      <c r="G3381" s="53">
        <f t="shared" si="53"/>
        <v>-1.282595635945766</v>
      </c>
      <c r="H3381" s="35"/>
      <c r="P3381" s="6"/>
    </row>
    <row r="3382" spans="1:16" ht="14.4" x14ac:dyDescent="0.25">
      <c r="A3382" s="6">
        <v>2877</v>
      </c>
      <c r="B3382" s="6">
        <v>20737</v>
      </c>
      <c r="C3382" s="19">
        <v>40902</v>
      </c>
      <c r="D3382" s="6" t="s">
        <v>16</v>
      </c>
      <c r="E3382" s="6">
        <f>IF((ISBLANK($B$1)),"",Sheet1!Q3390)</f>
        <v>4150</v>
      </c>
      <c r="F3382" s="20" t="s">
        <v>29</v>
      </c>
      <c r="G3382" s="53">
        <f t="shared" si="53"/>
        <v>-0.73021392686194853</v>
      </c>
      <c r="H3382" s="35"/>
      <c r="P3382" s="6"/>
    </row>
    <row r="3383" spans="1:16" ht="14.4" x14ac:dyDescent="0.25">
      <c r="A3383" s="6">
        <v>2897</v>
      </c>
      <c r="B3383" s="6">
        <v>20903</v>
      </c>
      <c r="C3383" s="19">
        <v>39953</v>
      </c>
      <c r="D3383" s="6" t="s">
        <v>17</v>
      </c>
      <c r="E3383" s="6">
        <f>IF((ISBLANK($B$1)),"",Sheet1!Q3391)</f>
        <v>3600</v>
      </c>
      <c r="F3383" s="20" t="s">
        <v>29</v>
      </c>
      <c r="G3383" s="53">
        <f t="shared" si="53"/>
        <v>-1.4897387768521975</v>
      </c>
      <c r="H3383" s="35"/>
      <c r="P3383" s="6"/>
    </row>
    <row r="3384" spans="1:16" ht="14.4" x14ac:dyDescent="0.25">
      <c r="A3384" s="6">
        <v>2945</v>
      </c>
      <c r="B3384" s="6">
        <v>21344</v>
      </c>
      <c r="C3384" s="19">
        <v>41252</v>
      </c>
      <c r="D3384" s="6" t="s">
        <v>25</v>
      </c>
      <c r="E3384" s="6">
        <f>IF((ISBLANK($B$1)),"",Sheet1!Q3392)</f>
        <v>4850</v>
      </c>
      <c r="F3384" s="20" t="s">
        <v>27</v>
      </c>
      <c r="G3384" s="53">
        <f t="shared" si="53"/>
        <v>0.23645406403473185</v>
      </c>
      <c r="H3384" s="35"/>
      <c r="P3384" s="6"/>
    </row>
    <row r="3385" spans="1:16" ht="14.4" x14ac:dyDescent="0.25">
      <c r="A3385" s="6">
        <v>2946</v>
      </c>
      <c r="B3385" s="6">
        <v>21344</v>
      </c>
      <c r="C3385" s="19">
        <v>41252</v>
      </c>
      <c r="D3385" s="6" t="s">
        <v>25</v>
      </c>
      <c r="E3385" s="6">
        <f>IF((ISBLANK($B$1)),"",Sheet1!Q3393)</f>
        <v>5350</v>
      </c>
      <c r="F3385" s="20" t="s">
        <v>26</v>
      </c>
      <c r="G3385" s="53">
        <f t="shared" si="53"/>
        <v>0.92693120038950361</v>
      </c>
      <c r="H3385" s="35"/>
      <c r="P3385" s="6"/>
    </row>
    <row r="3386" spans="1:16" ht="14.4" x14ac:dyDescent="0.25">
      <c r="A3386" s="6">
        <v>2998</v>
      </c>
      <c r="B3386" s="6">
        <v>21606</v>
      </c>
      <c r="C3386" s="19">
        <v>40565</v>
      </c>
      <c r="D3386" s="6" t="s">
        <v>28</v>
      </c>
      <c r="E3386" s="6">
        <f>IF((ISBLANK($B$1)),"",Sheet1!Q3394)</f>
        <v>4850</v>
      </c>
      <c r="F3386" s="20" t="s">
        <v>27</v>
      </c>
      <c r="G3386" s="53">
        <f t="shared" si="53"/>
        <v>0.23645406403473185</v>
      </c>
      <c r="H3386" s="35"/>
      <c r="P3386" s="6"/>
    </row>
    <row r="3387" spans="1:16" ht="14.4" x14ac:dyDescent="0.25">
      <c r="A3387" s="6">
        <v>3095</v>
      </c>
      <c r="B3387" s="6">
        <v>22183</v>
      </c>
      <c r="C3387" s="19">
        <v>41022</v>
      </c>
      <c r="D3387" s="6" t="s">
        <v>16</v>
      </c>
      <c r="E3387" s="6">
        <f>IF((ISBLANK($B$1)),"",Sheet1!Q3395)</f>
        <v>4900</v>
      </c>
      <c r="F3387" s="20" t="s">
        <v>26</v>
      </c>
      <c r="G3387" s="53">
        <f t="shared" si="53"/>
        <v>0.30550177767020903</v>
      </c>
      <c r="H3387" s="35"/>
      <c r="P3387" s="6"/>
    </row>
    <row r="3388" spans="1:16" ht="14.4" x14ac:dyDescent="0.25">
      <c r="A3388" s="6">
        <v>3109</v>
      </c>
      <c r="B3388" s="6">
        <v>22338</v>
      </c>
      <c r="C3388" s="19">
        <v>40312</v>
      </c>
      <c r="D3388" s="6" t="s">
        <v>16</v>
      </c>
      <c r="E3388" s="6">
        <f>IF((ISBLANK($B$1)),"",Sheet1!Q3396)</f>
        <v>4600</v>
      </c>
      <c r="F3388" s="20" t="s">
        <v>27</v>
      </c>
      <c r="G3388" s="53">
        <f t="shared" si="53"/>
        <v>-0.108784504142654</v>
      </c>
      <c r="H3388" s="35"/>
      <c r="P3388" s="6"/>
    </row>
    <row r="3389" spans="1:16" ht="14.4" x14ac:dyDescent="0.25">
      <c r="A3389" s="6">
        <v>3247</v>
      </c>
      <c r="B3389" s="6">
        <v>23268</v>
      </c>
      <c r="C3389" s="19">
        <v>40924</v>
      </c>
      <c r="D3389" s="6" t="s">
        <v>17</v>
      </c>
      <c r="E3389" s="6">
        <f>IF((ISBLANK($B$1)),"",Sheet1!Q3397)</f>
        <v>4100</v>
      </c>
      <c r="F3389" s="20" t="s">
        <v>26</v>
      </c>
      <c r="G3389" s="53">
        <f t="shared" si="53"/>
        <v>-0.79926164049742576</v>
      </c>
      <c r="H3389" s="35"/>
      <c r="P3389" s="6"/>
    </row>
    <row r="3390" spans="1:16" ht="14.4" x14ac:dyDescent="0.25">
      <c r="A3390" s="6">
        <v>3287</v>
      </c>
      <c r="B3390" s="6">
        <v>23522</v>
      </c>
      <c r="C3390" s="19">
        <v>40644</v>
      </c>
      <c r="D3390" s="6" t="s">
        <v>30</v>
      </c>
      <c r="E3390" s="6">
        <f>IF((ISBLANK($B$1)),"",Sheet1!Q3398)</f>
        <v>4400</v>
      </c>
      <c r="F3390" s="20" t="s">
        <v>27</v>
      </c>
      <c r="G3390" s="53">
        <f t="shared" si="53"/>
        <v>-0.38497535868456267</v>
      </c>
      <c r="H3390" s="35"/>
      <c r="P3390" s="6"/>
    </row>
    <row r="3391" spans="1:16" ht="14.4" x14ac:dyDescent="0.25">
      <c r="A3391" s="6">
        <v>3288</v>
      </c>
      <c r="B3391" s="6">
        <v>23522</v>
      </c>
      <c r="C3391" s="19">
        <v>40644</v>
      </c>
      <c r="D3391" s="6" t="s">
        <v>30</v>
      </c>
      <c r="E3391" s="6">
        <f>IF((ISBLANK($B$1)),"",Sheet1!Q3399)</f>
        <v>4350</v>
      </c>
      <c r="F3391" s="20" t="s">
        <v>27</v>
      </c>
      <c r="G3391" s="53">
        <f t="shared" si="53"/>
        <v>-0.45402307232003986</v>
      </c>
      <c r="H3391" s="35"/>
      <c r="P3391" s="6"/>
    </row>
    <row r="3392" spans="1:16" ht="14.4" x14ac:dyDescent="0.25">
      <c r="A3392" s="6">
        <v>3289</v>
      </c>
      <c r="B3392" s="6">
        <v>23522</v>
      </c>
      <c r="C3392" s="19">
        <v>40644</v>
      </c>
      <c r="D3392" s="6" t="s">
        <v>30</v>
      </c>
      <c r="E3392" s="6">
        <f>IF((ISBLANK($B$1)),"",Sheet1!Q3400)</f>
        <v>5200</v>
      </c>
      <c r="F3392" s="20" t="s">
        <v>26</v>
      </c>
      <c r="G3392" s="53">
        <f t="shared" si="53"/>
        <v>0.71978805948307201</v>
      </c>
      <c r="H3392" s="35"/>
      <c r="P3392" s="6"/>
    </row>
    <row r="3393" spans="1:16" ht="14.4" x14ac:dyDescent="0.25">
      <c r="A3393" s="6">
        <v>3349</v>
      </c>
      <c r="B3393" s="6">
        <v>23968</v>
      </c>
      <c r="C3393" s="19">
        <v>40606</v>
      </c>
      <c r="D3393" s="6" t="s">
        <v>30</v>
      </c>
      <c r="E3393" s="6">
        <f>IF((ISBLANK($B$1)),"",Sheet1!Q3401)</f>
        <v>4350</v>
      </c>
      <c r="F3393" s="20" t="s">
        <v>26</v>
      </c>
      <c r="G3393" s="53">
        <f t="shared" si="53"/>
        <v>-0.45402307232003986</v>
      </c>
      <c r="H3393" s="35"/>
      <c r="P3393" s="6"/>
    </row>
    <row r="3394" spans="1:16" ht="14.4" x14ac:dyDescent="0.25">
      <c r="A3394" s="6">
        <v>3458</v>
      </c>
      <c r="B3394" s="6">
        <v>24644</v>
      </c>
      <c r="C3394" s="19">
        <v>40022</v>
      </c>
      <c r="D3394" s="6" t="s">
        <v>30</v>
      </c>
      <c r="E3394" s="6">
        <f>IF((ISBLANK($B$1)),"",Sheet1!Q3402)</f>
        <v>5400</v>
      </c>
      <c r="F3394" s="20" t="s">
        <v>26</v>
      </c>
      <c r="G3394" s="53">
        <f t="shared" si="53"/>
        <v>0.99597891402498073</v>
      </c>
      <c r="H3394" s="35"/>
      <c r="P3394" s="6"/>
    </row>
    <row r="3395" spans="1:16" ht="14.4" x14ac:dyDescent="0.25">
      <c r="A3395" s="6">
        <v>3570</v>
      </c>
      <c r="B3395" s="6">
        <v>25472</v>
      </c>
      <c r="C3395" s="19">
        <v>39954</v>
      </c>
      <c r="D3395" s="6" t="s">
        <v>17</v>
      </c>
      <c r="E3395" s="6">
        <f>IF((ISBLANK($B$1)),"",Sheet1!Q3403)</f>
        <v>5400</v>
      </c>
      <c r="F3395" s="20" t="s">
        <v>26</v>
      </c>
      <c r="G3395" s="53">
        <f t="shared" si="53"/>
        <v>0.99597891402498073</v>
      </c>
      <c r="H3395" s="35"/>
      <c r="P3395" s="6"/>
    </row>
    <row r="3396" spans="1:16" ht="14.4" x14ac:dyDescent="0.25">
      <c r="A3396" s="6">
        <v>3629</v>
      </c>
      <c r="B3396" s="6">
        <v>25927</v>
      </c>
      <c r="C3396" s="19">
        <v>39925</v>
      </c>
      <c r="D3396" s="6" t="s">
        <v>16</v>
      </c>
      <c r="E3396" s="6">
        <f>IF((ISBLANK($B$1)),"",Sheet1!Q3404)</f>
        <v>4100</v>
      </c>
      <c r="F3396" s="20" t="s">
        <v>26</v>
      </c>
      <c r="G3396" s="53">
        <f t="shared" si="53"/>
        <v>-0.79926164049742576</v>
      </c>
      <c r="H3396" s="35"/>
      <c r="P3396" s="6"/>
    </row>
    <row r="3397" spans="1:16" ht="14.4" x14ac:dyDescent="0.25">
      <c r="A3397" s="6">
        <v>3634</v>
      </c>
      <c r="B3397" s="6">
        <v>25955</v>
      </c>
      <c r="C3397" s="19">
        <v>40667</v>
      </c>
      <c r="D3397" s="6" t="s">
        <v>28</v>
      </c>
      <c r="E3397" s="6">
        <f>IF((ISBLANK($B$1)),"",Sheet1!Q3405)</f>
        <v>3900</v>
      </c>
      <c r="F3397" s="20" t="s">
        <v>26</v>
      </c>
      <c r="G3397" s="53">
        <f t="shared" si="53"/>
        <v>-1.0754524950393345</v>
      </c>
      <c r="H3397" s="35"/>
      <c r="P3397" s="6"/>
    </row>
    <row r="3398" spans="1:16" ht="14.4" x14ac:dyDescent="0.25">
      <c r="A3398" s="6">
        <v>3668</v>
      </c>
      <c r="B3398" s="6">
        <v>26276</v>
      </c>
      <c r="C3398" s="19">
        <v>40433</v>
      </c>
      <c r="D3398" s="6" t="s">
        <v>25</v>
      </c>
      <c r="E3398" s="6">
        <f>IF((ISBLANK($B$1)),"",Sheet1!Q3406)</f>
        <v>4350</v>
      </c>
      <c r="F3398" s="20" t="s">
        <v>27</v>
      </c>
      <c r="G3398" s="53">
        <f t="shared" si="53"/>
        <v>-0.45402307232003986</v>
      </c>
      <c r="H3398" s="35"/>
      <c r="P3398" s="6"/>
    </row>
    <row r="3399" spans="1:16" ht="14.4" x14ac:dyDescent="0.25">
      <c r="A3399" s="6">
        <v>3676</v>
      </c>
      <c r="B3399" s="6">
        <v>26306</v>
      </c>
      <c r="C3399" s="19">
        <v>41212</v>
      </c>
      <c r="D3399" s="6" t="s">
        <v>25</v>
      </c>
      <c r="E3399" s="6">
        <f>IF((ISBLANK($B$1)),"",Sheet1!Q3407)</f>
        <v>4150</v>
      </c>
      <c r="F3399" s="20" t="s">
        <v>29</v>
      </c>
      <c r="G3399" s="53">
        <f t="shared" si="53"/>
        <v>-0.73021392686194853</v>
      </c>
      <c r="H3399" s="35"/>
      <c r="P3399" s="6"/>
    </row>
    <row r="3400" spans="1:16" ht="14.4" x14ac:dyDescent="0.25">
      <c r="A3400" s="6">
        <v>3739</v>
      </c>
      <c r="B3400" s="6">
        <v>26724</v>
      </c>
      <c r="C3400" s="19">
        <v>39850</v>
      </c>
      <c r="D3400" s="6" t="s">
        <v>30</v>
      </c>
      <c r="E3400" s="6">
        <f>IF((ISBLANK($B$1)),"",Sheet1!Q3408)</f>
        <v>3500</v>
      </c>
      <c r="F3400" s="20" t="s">
        <v>27</v>
      </c>
      <c r="G3400" s="53">
        <f t="shared" ref="G3400:G3463" si="54">STANDARDIZE(E3400,$L$26,$L$35)</f>
        <v>-1.6278342041231517</v>
      </c>
      <c r="H3400" s="35"/>
      <c r="P3400" s="6"/>
    </row>
    <row r="3401" spans="1:16" ht="14.4" x14ac:dyDescent="0.25">
      <c r="A3401" s="6">
        <v>3749</v>
      </c>
      <c r="B3401" s="6">
        <v>26784</v>
      </c>
      <c r="C3401" s="19">
        <v>40382</v>
      </c>
      <c r="D3401" s="6" t="s">
        <v>30</v>
      </c>
      <c r="E3401" s="6">
        <f>IF((ISBLANK($B$1)),"",Sheet1!Q3409)</f>
        <v>4000</v>
      </c>
      <c r="F3401" s="20" t="s">
        <v>29</v>
      </c>
      <c r="G3401" s="53">
        <f t="shared" si="54"/>
        <v>-0.93735706776838001</v>
      </c>
      <c r="H3401" s="35"/>
      <c r="P3401" s="6"/>
    </row>
    <row r="3402" spans="1:16" ht="14.4" x14ac:dyDescent="0.25">
      <c r="A3402" s="6">
        <v>3750</v>
      </c>
      <c r="B3402" s="6">
        <v>26784</v>
      </c>
      <c r="C3402" s="19">
        <v>40382</v>
      </c>
      <c r="D3402" s="6" t="s">
        <v>30</v>
      </c>
      <c r="E3402" s="6">
        <f>IF((ISBLANK($B$1)),"",Sheet1!Q3410)</f>
        <v>5050</v>
      </c>
      <c r="F3402" s="20" t="s">
        <v>27</v>
      </c>
      <c r="G3402" s="53">
        <f t="shared" si="54"/>
        <v>0.51264491857664052</v>
      </c>
      <c r="H3402" s="35"/>
      <c r="P3402" s="6"/>
    </row>
    <row r="3403" spans="1:16" ht="14.4" x14ac:dyDescent="0.25">
      <c r="A3403" s="6">
        <v>3765</v>
      </c>
      <c r="B3403" s="6">
        <v>26912</v>
      </c>
      <c r="C3403" s="19">
        <v>41026</v>
      </c>
      <c r="D3403" s="6" t="s">
        <v>25</v>
      </c>
      <c r="E3403" s="6">
        <f>IF((ISBLANK($B$1)),"",Sheet1!Q3411)</f>
        <v>4300</v>
      </c>
      <c r="F3403" s="20" t="s">
        <v>27</v>
      </c>
      <c r="G3403" s="53">
        <f t="shared" si="54"/>
        <v>-0.52307078595551704</v>
      </c>
      <c r="H3403" s="35"/>
      <c r="P3403" s="6"/>
    </row>
    <row r="3404" spans="1:16" ht="14.4" x14ac:dyDescent="0.25">
      <c r="A3404" s="6">
        <v>3776</v>
      </c>
      <c r="B3404" s="6">
        <v>26949</v>
      </c>
      <c r="C3404" s="19">
        <v>40040</v>
      </c>
      <c r="D3404" s="6" t="s">
        <v>30</v>
      </c>
      <c r="E3404" s="6">
        <f>IF((ISBLANK($B$1)),"",Sheet1!Q3412)</f>
        <v>5800</v>
      </c>
      <c r="F3404" s="20" t="s">
        <v>29</v>
      </c>
      <c r="G3404" s="53">
        <f t="shared" si="54"/>
        <v>1.5483606231087981</v>
      </c>
      <c r="H3404" s="35"/>
      <c r="P3404" s="6"/>
    </row>
    <row r="3405" spans="1:16" ht="14.4" x14ac:dyDescent="0.25">
      <c r="A3405" s="6">
        <v>3845</v>
      </c>
      <c r="B3405" s="6">
        <v>27430</v>
      </c>
      <c r="C3405" s="19">
        <v>40574</v>
      </c>
      <c r="D3405" s="6" t="s">
        <v>17</v>
      </c>
      <c r="E3405" s="6">
        <f>IF((ISBLANK($B$1)),"",Sheet1!Q3413)</f>
        <v>4000</v>
      </c>
      <c r="F3405" s="20" t="s">
        <v>26</v>
      </c>
      <c r="G3405" s="53">
        <f t="shared" si="54"/>
        <v>-0.93735706776838001</v>
      </c>
      <c r="H3405" s="35"/>
      <c r="P3405" s="6"/>
    </row>
    <row r="3406" spans="1:16" ht="14.4" x14ac:dyDescent="0.25">
      <c r="A3406" s="6">
        <v>3949</v>
      </c>
      <c r="B3406" s="6">
        <v>28161</v>
      </c>
      <c r="C3406" s="19">
        <v>39979</v>
      </c>
      <c r="D3406" s="6" t="s">
        <v>28</v>
      </c>
      <c r="E3406" s="6">
        <f>IF((ISBLANK($B$1)),"",Sheet1!Q3414)</f>
        <v>3900</v>
      </c>
      <c r="F3406" s="20" t="s">
        <v>29</v>
      </c>
      <c r="G3406" s="53">
        <f t="shared" si="54"/>
        <v>-1.0754524950393345</v>
      </c>
      <c r="H3406" s="35"/>
      <c r="P3406" s="6"/>
    </row>
    <row r="3407" spans="1:16" ht="14.4" x14ac:dyDescent="0.25">
      <c r="A3407" s="6">
        <v>3951</v>
      </c>
      <c r="B3407" s="6">
        <v>28161</v>
      </c>
      <c r="C3407" s="19">
        <v>39979</v>
      </c>
      <c r="D3407" s="6" t="s">
        <v>28</v>
      </c>
      <c r="E3407" s="6">
        <f>IF((ISBLANK($B$1)),"",Sheet1!Q3415)</f>
        <v>5450</v>
      </c>
      <c r="F3407" s="20" t="s">
        <v>27</v>
      </c>
      <c r="G3407" s="53">
        <f t="shared" si="54"/>
        <v>1.0650266276604579</v>
      </c>
      <c r="H3407" s="35"/>
      <c r="P3407" s="6"/>
    </row>
    <row r="3408" spans="1:16" ht="14.4" x14ac:dyDescent="0.25">
      <c r="A3408" s="6">
        <v>4070</v>
      </c>
      <c r="B3408" s="6">
        <v>28992</v>
      </c>
      <c r="C3408" s="19">
        <v>40805</v>
      </c>
      <c r="D3408" s="6" t="s">
        <v>30</v>
      </c>
      <c r="E3408" s="6">
        <f>IF((ISBLANK($B$1)),"",Sheet1!Q3416)</f>
        <v>5450</v>
      </c>
      <c r="F3408" s="20" t="s">
        <v>26</v>
      </c>
      <c r="G3408" s="53">
        <f t="shared" si="54"/>
        <v>1.0650266276604579</v>
      </c>
      <c r="H3408" s="35"/>
      <c r="P3408" s="6"/>
    </row>
    <row r="3409" spans="1:16" ht="14.4" x14ac:dyDescent="0.25">
      <c r="A3409" s="6">
        <v>4130</v>
      </c>
      <c r="B3409" s="6">
        <v>29349</v>
      </c>
      <c r="C3409" s="19">
        <v>40339</v>
      </c>
      <c r="D3409" s="6" t="s">
        <v>17</v>
      </c>
      <c r="E3409" s="6">
        <f>IF((ISBLANK($B$1)),"",Sheet1!Q3417)</f>
        <v>5050</v>
      </c>
      <c r="F3409" s="20" t="s">
        <v>26</v>
      </c>
      <c r="G3409" s="53">
        <f t="shared" si="54"/>
        <v>0.51264491857664052</v>
      </c>
      <c r="H3409" s="35"/>
      <c r="P3409" s="6"/>
    </row>
    <row r="3410" spans="1:16" ht="14.4" x14ac:dyDescent="0.25">
      <c r="A3410" s="6">
        <v>4131</v>
      </c>
      <c r="B3410" s="6">
        <v>29350</v>
      </c>
      <c r="C3410" s="19">
        <v>40050</v>
      </c>
      <c r="D3410" s="6" t="s">
        <v>17</v>
      </c>
      <c r="E3410" s="6">
        <f>IF((ISBLANK($B$1)),"",Sheet1!Q3418)</f>
        <v>5750</v>
      </c>
      <c r="F3410" s="20" t="s">
        <v>26</v>
      </c>
      <c r="G3410" s="53">
        <f t="shared" si="54"/>
        <v>1.4793129094733208</v>
      </c>
      <c r="H3410" s="35"/>
      <c r="P3410" s="6"/>
    </row>
    <row r="3411" spans="1:16" ht="14.4" x14ac:dyDescent="0.25">
      <c r="A3411" s="6">
        <v>4133</v>
      </c>
      <c r="B3411" s="6">
        <v>29350</v>
      </c>
      <c r="C3411" s="19">
        <v>40050</v>
      </c>
      <c r="D3411" s="6" t="s">
        <v>17</v>
      </c>
      <c r="E3411" s="6">
        <f>IF((ISBLANK($B$1)),"",Sheet1!Q3419)</f>
        <v>5700</v>
      </c>
      <c r="F3411" s="20" t="s">
        <v>26</v>
      </c>
      <c r="G3411" s="53">
        <f t="shared" si="54"/>
        <v>1.4102651958378438</v>
      </c>
      <c r="H3411" s="35"/>
      <c r="P3411" s="6"/>
    </row>
    <row r="3412" spans="1:16" ht="14.4" x14ac:dyDescent="0.25">
      <c r="A3412" s="6">
        <v>4152</v>
      </c>
      <c r="B3412" s="6">
        <v>29473</v>
      </c>
      <c r="C3412" s="19">
        <v>40954</v>
      </c>
      <c r="D3412" s="6" t="s">
        <v>16</v>
      </c>
      <c r="E3412" s="6">
        <f>IF((ISBLANK($B$1)),"",Sheet1!Q3420)</f>
        <v>5400</v>
      </c>
      <c r="F3412" s="20" t="s">
        <v>29</v>
      </c>
      <c r="G3412" s="53">
        <f t="shared" si="54"/>
        <v>0.99597891402498073</v>
      </c>
      <c r="H3412" s="35"/>
      <c r="P3412" s="6"/>
    </row>
    <row r="3413" spans="1:16" ht="14.4" x14ac:dyDescent="0.25">
      <c r="A3413" s="6">
        <v>4225</v>
      </c>
      <c r="B3413" s="6">
        <v>30023</v>
      </c>
      <c r="C3413" s="19">
        <v>40466</v>
      </c>
      <c r="D3413" s="6" t="s">
        <v>25</v>
      </c>
      <c r="E3413" s="6">
        <f>IF((ISBLANK($B$1)),"",Sheet1!Q3421)</f>
        <v>5100</v>
      </c>
      <c r="F3413" s="20" t="s">
        <v>27</v>
      </c>
      <c r="G3413" s="53">
        <f t="shared" si="54"/>
        <v>0.58169263221211776</v>
      </c>
      <c r="H3413" s="35"/>
      <c r="P3413" s="6"/>
    </row>
    <row r="3414" spans="1:16" ht="14.4" x14ac:dyDescent="0.25">
      <c r="A3414" s="6">
        <v>4241</v>
      </c>
      <c r="B3414" s="6">
        <v>30150</v>
      </c>
      <c r="C3414" s="19">
        <v>40455</v>
      </c>
      <c r="D3414" s="6" t="s">
        <v>30</v>
      </c>
      <c r="E3414" s="6">
        <f>IF((ISBLANK($B$1)),"",Sheet1!Q3422)</f>
        <v>4900</v>
      </c>
      <c r="F3414" s="20" t="s">
        <v>26</v>
      </c>
      <c r="G3414" s="53">
        <f t="shared" si="54"/>
        <v>0.30550177767020903</v>
      </c>
      <c r="H3414" s="35"/>
      <c r="P3414" s="6"/>
    </row>
    <row r="3415" spans="1:16" ht="14.4" x14ac:dyDescent="0.25">
      <c r="A3415" s="6">
        <v>4242</v>
      </c>
      <c r="B3415" s="6">
        <v>30151</v>
      </c>
      <c r="C3415" s="19">
        <v>40572</v>
      </c>
      <c r="D3415" s="6" t="s">
        <v>28</v>
      </c>
      <c r="E3415" s="6">
        <f>IF((ISBLANK($B$1)),"",Sheet1!Q3423)</f>
        <v>4950</v>
      </c>
      <c r="F3415" s="20" t="s">
        <v>26</v>
      </c>
      <c r="G3415" s="53">
        <f t="shared" si="54"/>
        <v>0.37454949130568621</v>
      </c>
      <c r="H3415" s="35"/>
      <c r="P3415" s="6"/>
    </row>
    <row r="3416" spans="1:16" ht="14.4" x14ac:dyDescent="0.25">
      <c r="A3416" s="6">
        <v>4251</v>
      </c>
      <c r="B3416" s="6">
        <v>30276</v>
      </c>
      <c r="C3416" s="19">
        <v>40781</v>
      </c>
      <c r="D3416" s="6" t="s">
        <v>25</v>
      </c>
      <c r="E3416" s="6">
        <f>IF((ISBLANK($B$1)),"",Sheet1!Q3424)</f>
        <v>5600</v>
      </c>
      <c r="F3416" s="20" t="s">
        <v>27</v>
      </c>
      <c r="G3416" s="53">
        <f t="shared" si="54"/>
        <v>1.2721697685668893</v>
      </c>
      <c r="H3416" s="35"/>
      <c r="P3416" s="6"/>
    </row>
    <row r="3417" spans="1:16" ht="14.4" x14ac:dyDescent="0.25">
      <c r="A3417" s="6">
        <v>4252</v>
      </c>
      <c r="B3417" s="6">
        <v>30276</v>
      </c>
      <c r="C3417" s="19">
        <v>40781</v>
      </c>
      <c r="D3417" s="6" t="s">
        <v>25</v>
      </c>
      <c r="E3417" s="6">
        <f>IF((ISBLANK($B$1)),"",Sheet1!Q3425)</f>
        <v>5100</v>
      </c>
      <c r="F3417" s="20" t="s">
        <v>29</v>
      </c>
      <c r="G3417" s="53">
        <f t="shared" si="54"/>
        <v>0.58169263221211776</v>
      </c>
      <c r="H3417" s="35"/>
      <c r="P3417" s="6"/>
    </row>
    <row r="3418" spans="1:16" ht="14.4" x14ac:dyDescent="0.25">
      <c r="A3418" s="6">
        <v>4254</v>
      </c>
      <c r="B3418" s="6">
        <v>30279</v>
      </c>
      <c r="C3418" s="19">
        <v>40884</v>
      </c>
      <c r="D3418" s="6" t="s">
        <v>30</v>
      </c>
      <c r="E3418" s="6">
        <f>IF((ISBLANK($B$1)),"",Sheet1!Q3426)</f>
        <v>4650</v>
      </c>
      <c r="F3418" s="20" t="s">
        <v>26</v>
      </c>
      <c r="G3418" s="53">
        <f t="shared" si="54"/>
        <v>-3.9736790507176829E-2</v>
      </c>
      <c r="H3418" s="35"/>
      <c r="P3418" s="6"/>
    </row>
    <row r="3419" spans="1:16" ht="14.4" x14ac:dyDescent="0.25">
      <c r="A3419" s="6">
        <v>4255</v>
      </c>
      <c r="B3419" s="6">
        <v>30279</v>
      </c>
      <c r="C3419" s="19">
        <v>40884</v>
      </c>
      <c r="D3419" s="6" t="s">
        <v>30</v>
      </c>
      <c r="E3419" s="6">
        <f>IF((ISBLANK($B$1)),"",Sheet1!Q3427)</f>
        <v>5350</v>
      </c>
      <c r="F3419" s="20" t="s">
        <v>27</v>
      </c>
      <c r="G3419" s="53">
        <f t="shared" si="54"/>
        <v>0.92693120038950361</v>
      </c>
      <c r="H3419" s="35"/>
      <c r="P3419" s="6"/>
    </row>
    <row r="3420" spans="1:16" ht="14.4" x14ac:dyDescent="0.25">
      <c r="A3420" s="6">
        <v>4587</v>
      </c>
      <c r="B3420" s="6">
        <v>32640</v>
      </c>
      <c r="C3420" s="19">
        <v>41167</v>
      </c>
      <c r="D3420" s="6" t="s">
        <v>17</v>
      </c>
      <c r="E3420" s="6">
        <f>IF((ISBLANK($B$1)),"",Sheet1!Q3428)</f>
        <v>4300</v>
      </c>
      <c r="F3420" s="20" t="s">
        <v>26</v>
      </c>
      <c r="G3420" s="53">
        <f t="shared" si="54"/>
        <v>-0.52307078595551704</v>
      </c>
      <c r="H3420" s="35"/>
      <c r="P3420" s="6"/>
    </row>
    <row r="3421" spans="1:16" ht="14.4" x14ac:dyDescent="0.25">
      <c r="A3421" s="6">
        <v>4588</v>
      </c>
      <c r="B3421" s="6">
        <v>32640</v>
      </c>
      <c r="C3421" s="19">
        <v>41167</v>
      </c>
      <c r="D3421" s="6" t="s">
        <v>17</v>
      </c>
      <c r="E3421" s="6">
        <f>IF((ISBLANK($B$1)),"",Sheet1!Q3429)</f>
        <v>4000</v>
      </c>
      <c r="F3421" s="20" t="s">
        <v>26</v>
      </c>
      <c r="G3421" s="53">
        <f t="shared" si="54"/>
        <v>-0.93735706776838001</v>
      </c>
      <c r="H3421" s="35"/>
      <c r="P3421" s="6"/>
    </row>
    <row r="3422" spans="1:16" ht="14.4" x14ac:dyDescent="0.25">
      <c r="A3422" s="6">
        <v>4621</v>
      </c>
      <c r="B3422" s="6">
        <v>32902</v>
      </c>
      <c r="C3422" s="19">
        <v>40971</v>
      </c>
      <c r="D3422" s="6" t="s">
        <v>17</v>
      </c>
      <c r="E3422" s="6">
        <f>IF((ISBLANK($B$1)),"",Sheet1!Q3430)</f>
        <v>5100</v>
      </c>
      <c r="F3422" s="20" t="s">
        <v>26</v>
      </c>
      <c r="G3422" s="53">
        <f t="shared" si="54"/>
        <v>0.58169263221211776</v>
      </c>
      <c r="H3422" s="35"/>
      <c r="P3422" s="6"/>
    </row>
    <row r="3423" spans="1:16" ht="14.4" x14ac:dyDescent="0.25">
      <c r="A3423" s="6">
        <v>4631</v>
      </c>
      <c r="B3423" s="6">
        <v>32965</v>
      </c>
      <c r="C3423" s="19">
        <v>40598</v>
      </c>
      <c r="D3423" s="6" t="s">
        <v>17</v>
      </c>
      <c r="E3423" s="6">
        <f>IF((ISBLANK($B$1)),"",Sheet1!Q3431)</f>
        <v>4650</v>
      </c>
      <c r="F3423" s="20" t="s">
        <v>27</v>
      </c>
      <c r="G3423" s="53">
        <f t="shared" si="54"/>
        <v>-3.9736790507176829E-2</v>
      </c>
      <c r="H3423" s="35"/>
      <c r="P3423" s="6"/>
    </row>
    <row r="3424" spans="1:16" ht="14.4" x14ac:dyDescent="0.25">
      <c r="A3424" s="6">
        <v>4639</v>
      </c>
      <c r="B3424" s="6">
        <v>33025</v>
      </c>
      <c r="C3424" s="19">
        <v>39837</v>
      </c>
      <c r="D3424" s="6" t="s">
        <v>25</v>
      </c>
      <c r="E3424" s="6">
        <f>IF((ISBLANK($B$1)),"",Sheet1!Q3432)</f>
        <v>3650</v>
      </c>
      <c r="F3424" s="20" t="s">
        <v>26</v>
      </c>
      <c r="G3424" s="53">
        <f t="shared" si="54"/>
        <v>-1.4206910632167202</v>
      </c>
      <c r="H3424" s="35"/>
      <c r="P3424" s="6"/>
    </row>
    <row r="3425" spans="1:16" ht="14.4" x14ac:dyDescent="0.25">
      <c r="A3425" s="6">
        <v>4655</v>
      </c>
      <c r="B3425" s="6">
        <v>33154</v>
      </c>
      <c r="C3425" s="19">
        <v>40393</v>
      </c>
      <c r="D3425" s="6" t="s">
        <v>30</v>
      </c>
      <c r="E3425" s="6">
        <f>IF((ISBLANK($B$1)),"",Sheet1!Q3433)</f>
        <v>3750</v>
      </c>
      <c r="F3425" s="20" t="s">
        <v>27</v>
      </c>
      <c r="G3425" s="53">
        <f t="shared" si="54"/>
        <v>-1.282595635945766</v>
      </c>
      <c r="H3425" s="35"/>
      <c r="P3425" s="6"/>
    </row>
    <row r="3426" spans="1:16" ht="14.4" x14ac:dyDescent="0.25">
      <c r="A3426" s="6">
        <v>4673</v>
      </c>
      <c r="B3426" s="6">
        <v>33253</v>
      </c>
      <c r="C3426" s="19">
        <v>40877</v>
      </c>
      <c r="D3426" s="6" t="s">
        <v>28</v>
      </c>
      <c r="E3426" s="6">
        <f>IF((ISBLANK($B$1)),"",Sheet1!Q3434)</f>
        <v>3700</v>
      </c>
      <c r="F3426" s="20" t="s">
        <v>26</v>
      </c>
      <c r="G3426" s="53">
        <f t="shared" si="54"/>
        <v>-1.351643349581243</v>
      </c>
      <c r="H3426" s="35"/>
      <c r="P3426" s="6"/>
    </row>
    <row r="3427" spans="1:16" ht="14.4" x14ac:dyDescent="0.25">
      <c r="A3427" s="6">
        <v>4733</v>
      </c>
      <c r="B3427" s="6">
        <v>33699</v>
      </c>
      <c r="C3427" s="19">
        <v>40020</v>
      </c>
      <c r="D3427" s="6" t="s">
        <v>25</v>
      </c>
      <c r="E3427" s="6">
        <f>IF((ISBLANK($B$1)),"",Sheet1!Q3435)</f>
        <v>4050</v>
      </c>
      <c r="F3427" s="20" t="s">
        <v>29</v>
      </c>
      <c r="G3427" s="53">
        <f t="shared" si="54"/>
        <v>-0.86830935413290289</v>
      </c>
      <c r="H3427" s="35"/>
      <c r="P3427" s="6"/>
    </row>
    <row r="3428" spans="1:16" ht="14.4" x14ac:dyDescent="0.25">
      <c r="A3428" s="6">
        <v>4747</v>
      </c>
      <c r="B3428" s="6">
        <v>33761</v>
      </c>
      <c r="C3428" s="19">
        <v>41125</v>
      </c>
      <c r="D3428" s="6" t="s">
        <v>17</v>
      </c>
      <c r="E3428" s="6">
        <f>IF((ISBLANK($B$1)),"",Sheet1!Q3436)</f>
        <v>5650</v>
      </c>
      <c r="F3428" s="20" t="s">
        <v>26</v>
      </c>
      <c r="G3428" s="53">
        <f t="shared" si="54"/>
        <v>1.3412174822023666</v>
      </c>
      <c r="H3428" s="35"/>
      <c r="P3428" s="6"/>
    </row>
    <row r="3429" spans="1:16" ht="14.4" x14ac:dyDescent="0.25">
      <c r="A3429" s="6">
        <v>4757</v>
      </c>
      <c r="B3429" s="6">
        <v>33797</v>
      </c>
      <c r="C3429" s="19">
        <v>39824</v>
      </c>
      <c r="D3429" s="6" t="s">
        <v>28</v>
      </c>
      <c r="E3429" s="6">
        <f>IF((ISBLANK($B$1)),"",Sheet1!Q3437)</f>
        <v>4850</v>
      </c>
      <c r="F3429" s="20" t="s">
        <v>29</v>
      </c>
      <c r="G3429" s="53">
        <f t="shared" si="54"/>
        <v>0.23645406403473185</v>
      </c>
      <c r="H3429" s="35"/>
      <c r="P3429" s="6"/>
    </row>
    <row r="3430" spans="1:16" ht="14.4" x14ac:dyDescent="0.25">
      <c r="A3430" s="6">
        <v>4758</v>
      </c>
      <c r="B3430" s="6">
        <v>33797</v>
      </c>
      <c r="C3430" s="19">
        <v>39824</v>
      </c>
      <c r="D3430" s="6" t="s">
        <v>28</v>
      </c>
      <c r="E3430" s="6">
        <f>IF((ISBLANK($B$1)),"",Sheet1!Q3438)</f>
        <v>4300</v>
      </c>
      <c r="F3430" s="20" t="s">
        <v>26</v>
      </c>
      <c r="G3430" s="53">
        <f t="shared" si="54"/>
        <v>-0.52307078595551704</v>
      </c>
      <c r="H3430" s="35"/>
      <c r="P3430" s="6"/>
    </row>
    <row r="3431" spans="1:16" ht="14.4" x14ac:dyDescent="0.25">
      <c r="A3431" s="6">
        <v>4826</v>
      </c>
      <c r="B3431" s="6">
        <v>34309</v>
      </c>
      <c r="C3431" s="19">
        <v>41158</v>
      </c>
      <c r="D3431" s="6" t="s">
        <v>17</v>
      </c>
      <c r="E3431" s="6">
        <f>IF((ISBLANK($B$1)),"",Sheet1!Q3439)</f>
        <v>4200</v>
      </c>
      <c r="F3431" s="20" t="s">
        <v>26</v>
      </c>
      <c r="G3431" s="53">
        <f t="shared" si="54"/>
        <v>-0.6611662132264714</v>
      </c>
      <c r="H3431" s="35"/>
      <c r="P3431" s="6"/>
    </row>
    <row r="3432" spans="1:16" ht="14.4" x14ac:dyDescent="0.25">
      <c r="A3432" s="6">
        <v>4859</v>
      </c>
      <c r="B3432" s="6">
        <v>34595</v>
      </c>
      <c r="C3432" s="19">
        <v>41109</v>
      </c>
      <c r="D3432" s="6" t="s">
        <v>16</v>
      </c>
      <c r="E3432" s="6">
        <f>IF((ISBLANK($B$1)),"",Sheet1!Q3440)</f>
        <v>4000</v>
      </c>
      <c r="F3432" s="20" t="s">
        <v>26</v>
      </c>
      <c r="G3432" s="53">
        <f t="shared" si="54"/>
        <v>-0.93735706776838001</v>
      </c>
      <c r="H3432" s="35"/>
      <c r="P3432" s="6"/>
    </row>
    <row r="3433" spans="1:16" ht="14.4" x14ac:dyDescent="0.25">
      <c r="A3433" s="6">
        <v>4872</v>
      </c>
      <c r="B3433" s="6">
        <v>34662</v>
      </c>
      <c r="C3433" s="19">
        <v>40918</v>
      </c>
      <c r="D3433" s="6" t="s">
        <v>30</v>
      </c>
      <c r="E3433" s="6">
        <f>IF((ISBLANK($B$1)),"",Sheet1!Q3441)</f>
        <v>5150</v>
      </c>
      <c r="F3433" s="20" t="s">
        <v>26</v>
      </c>
      <c r="G3433" s="53">
        <f t="shared" si="54"/>
        <v>0.65074034584759488</v>
      </c>
      <c r="H3433" s="35"/>
      <c r="P3433" s="6"/>
    </row>
    <row r="3434" spans="1:16" ht="14.4" x14ac:dyDescent="0.25">
      <c r="A3434" s="6">
        <v>4874</v>
      </c>
      <c r="B3434" s="6">
        <v>34689</v>
      </c>
      <c r="C3434" s="19">
        <v>40140</v>
      </c>
      <c r="D3434" s="6" t="s">
        <v>25</v>
      </c>
      <c r="E3434" s="6">
        <f>IF((ISBLANK($B$1)),"",Sheet1!Q3442)</f>
        <v>5200</v>
      </c>
      <c r="F3434" s="20" t="s">
        <v>26</v>
      </c>
      <c r="G3434" s="53">
        <f t="shared" si="54"/>
        <v>0.71978805948307201</v>
      </c>
      <c r="H3434" s="35"/>
      <c r="P3434" s="6"/>
    </row>
    <row r="3435" spans="1:16" ht="14.4" x14ac:dyDescent="0.25">
      <c r="A3435" s="6">
        <v>4878</v>
      </c>
      <c r="B3435" s="6">
        <v>34694</v>
      </c>
      <c r="C3435" s="19">
        <v>40661</v>
      </c>
      <c r="D3435" s="6" t="s">
        <v>25</v>
      </c>
      <c r="E3435" s="6">
        <f>IF((ISBLANK($B$1)),"",Sheet1!Q3443)</f>
        <v>3950</v>
      </c>
      <c r="F3435" s="20" t="s">
        <v>29</v>
      </c>
      <c r="G3435" s="53">
        <f t="shared" si="54"/>
        <v>-1.0064047814038573</v>
      </c>
      <c r="H3435" s="35"/>
      <c r="P3435" s="6"/>
    </row>
    <row r="3436" spans="1:16" ht="14.4" x14ac:dyDescent="0.25">
      <c r="A3436" s="6">
        <v>4883</v>
      </c>
      <c r="B3436" s="6">
        <v>34725</v>
      </c>
      <c r="C3436" s="19">
        <v>40751</v>
      </c>
      <c r="D3436" s="6" t="s">
        <v>25</v>
      </c>
      <c r="E3436" s="6">
        <f>IF((ISBLANK($B$1)),"",Sheet1!Q3444)</f>
        <v>4100</v>
      </c>
      <c r="F3436" s="20" t="s">
        <v>26</v>
      </c>
      <c r="G3436" s="53">
        <f t="shared" si="54"/>
        <v>-0.79926164049742576</v>
      </c>
      <c r="H3436" s="35"/>
      <c r="P3436" s="6"/>
    </row>
    <row r="3437" spans="1:16" ht="14.4" x14ac:dyDescent="0.25">
      <c r="A3437" s="6">
        <v>4960</v>
      </c>
      <c r="B3437" s="6">
        <v>35296</v>
      </c>
      <c r="C3437" s="19">
        <v>40623</v>
      </c>
      <c r="D3437" s="6" t="s">
        <v>25</v>
      </c>
      <c r="E3437" s="6">
        <f>IF((ISBLANK($B$1)),"",Sheet1!Q3445)</f>
        <v>3750</v>
      </c>
      <c r="F3437" s="20" t="s">
        <v>27</v>
      </c>
      <c r="G3437" s="53">
        <f t="shared" si="54"/>
        <v>-1.282595635945766</v>
      </c>
      <c r="H3437" s="35"/>
      <c r="P3437" s="6"/>
    </row>
    <row r="3438" spans="1:16" ht="14.4" x14ac:dyDescent="0.25">
      <c r="A3438" s="6">
        <v>4990</v>
      </c>
      <c r="B3438" s="6">
        <v>35494</v>
      </c>
      <c r="C3438" s="19">
        <v>40588</v>
      </c>
      <c r="D3438" s="6" t="s">
        <v>16</v>
      </c>
      <c r="E3438" s="6">
        <f>IF((ISBLANK($B$1)),"",Sheet1!Q3446)</f>
        <v>4300</v>
      </c>
      <c r="F3438" s="20" t="s">
        <v>29</v>
      </c>
      <c r="G3438" s="53">
        <f t="shared" si="54"/>
        <v>-0.52307078595551704</v>
      </c>
      <c r="H3438" s="35"/>
      <c r="P3438" s="6"/>
    </row>
    <row r="3439" spans="1:16" ht="14.4" x14ac:dyDescent="0.25">
      <c r="A3439" s="6">
        <v>5030</v>
      </c>
      <c r="B3439" s="6">
        <v>35845</v>
      </c>
      <c r="C3439" s="19">
        <v>40549</v>
      </c>
      <c r="D3439" s="6" t="s">
        <v>17</v>
      </c>
      <c r="E3439" s="6">
        <f>IF((ISBLANK($B$1)),"",Sheet1!Q3447)</f>
        <v>4150</v>
      </c>
      <c r="F3439" s="20" t="s">
        <v>29</v>
      </c>
      <c r="G3439" s="53">
        <f t="shared" si="54"/>
        <v>-0.73021392686194853</v>
      </c>
      <c r="H3439" s="35"/>
      <c r="P3439" s="6"/>
    </row>
    <row r="3440" spans="1:16" ht="14.4" x14ac:dyDescent="0.25">
      <c r="A3440" s="6">
        <v>5036</v>
      </c>
      <c r="B3440" s="6">
        <v>35905</v>
      </c>
      <c r="C3440" s="19">
        <v>40958</v>
      </c>
      <c r="D3440" s="6" t="s">
        <v>25</v>
      </c>
      <c r="E3440" s="6">
        <f>IF((ISBLANK($B$1)),"",Sheet1!Q3448)</f>
        <v>4400</v>
      </c>
      <c r="F3440" s="20" t="s">
        <v>26</v>
      </c>
      <c r="G3440" s="53">
        <f t="shared" si="54"/>
        <v>-0.38497535868456267</v>
      </c>
      <c r="H3440" s="35"/>
      <c r="P3440" s="6"/>
    </row>
    <row r="3441" spans="1:16" ht="14.4" x14ac:dyDescent="0.25">
      <c r="A3441" s="6">
        <v>5240</v>
      </c>
      <c r="B3441" s="6">
        <v>37287</v>
      </c>
      <c r="C3441" s="19">
        <v>41214</v>
      </c>
      <c r="D3441" s="6" t="s">
        <v>25</v>
      </c>
      <c r="E3441" s="6">
        <f>IF((ISBLANK($B$1)),"",Sheet1!Q3449)</f>
        <v>4500</v>
      </c>
      <c r="F3441" s="20" t="s">
        <v>27</v>
      </c>
      <c r="G3441" s="53">
        <f t="shared" si="54"/>
        <v>-0.24687993141360834</v>
      </c>
      <c r="H3441" s="35"/>
      <c r="P3441" s="6"/>
    </row>
    <row r="3442" spans="1:16" ht="14.4" x14ac:dyDescent="0.25">
      <c r="A3442" s="6">
        <v>5263</v>
      </c>
      <c r="B3442" s="6">
        <v>37443</v>
      </c>
      <c r="C3442" s="19">
        <v>40283</v>
      </c>
      <c r="D3442" s="6" t="s">
        <v>28</v>
      </c>
      <c r="E3442" s="6">
        <f>IF((ISBLANK($B$1)),"",Sheet1!Q3450)</f>
        <v>4450</v>
      </c>
      <c r="F3442" s="20" t="s">
        <v>27</v>
      </c>
      <c r="G3442" s="53">
        <f t="shared" si="54"/>
        <v>-0.31592764504908549</v>
      </c>
      <c r="H3442" s="35"/>
      <c r="P3442" s="6"/>
    </row>
    <row r="3443" spans="1:16" ht="14.4" x14ac:dyDescent="0.25">
      <c r="A3443" s="6">
        <v>5299</v>
      </c>
      <c r="B3443" s="6">
        <v>37731</v>
      </c>
      <c r="C3443" s="19">
        <v>40121</v>
      </c>
      <c r="D3443" s="6" t="s">
        <v>30</v>
      </c>
      <c r="E3443" s="6">
        <f>IF((ISBLANK($B$1)),"",Sheet1!Q3451)</f>
        <v>4650</v>
      </c>
      <c r="F3443" s="20" t="s">
        <v>26</v>
      </c>
      <c r="G3443" s="53">
        <f t="shared" si="54"/>
        <v>-3.9736790507176829E-2</v>
      </c>
      <c r="H3443" s="35"/>
      <c r="P3443" s="6"/>
    </row>
    <row r="3444" spans="1:16" ht="14.4" x14ac:dyDescent="0.25">
      <c r="A3444" s="6">
        <v>5310</v>
      </c>
      <c r="B3444" s="6">
        <v>37792</v>
      </c>
      <c r="C3444" s="19">
        <v>40906</v>
      </c>
      <c r="D3444" s="6" t="s">
        <v>17</v>
      </c>
      <c r="E3444" s="6">
        <f>IF((ISBLANK($B$1)),"",Sheet1!Q3452)</f>
        <v>4100</v>
      </c>
      <c r="F3444" s="20" t="s">
        <v>26</v>
      </c>
      <c r="G3444" s="53">
        <f t="shared" si="54"/>
        <v>-0.79926164049742576</v>
      </c>
      <c r="H3444" s="35"/>
      <c r="P3444" s="6"/>
    </row>
    <row r="3445" spans="1:16" ht="14.4" x14ac:dyDescent="0.25">
      <c r="A3445" s="6">
        <v>5334</v>
      </c>
      <c r="B3445" s="6">
        <v>37893</v>
      </c>
      <c r="C3445" s="19">
        <v>40871</v>
      </c>
      <c r="D3445" s="6" t="s">
        <v>28</v>
      </c>
      <c r="E3445" s="6">
        <f>IF((ISBLANK($B$1)),"",Sheet1!Q3453)</f>
        <v>4100</v>
      </c>
      <c r="F3445" s="20" t="s">
        <v>27</v>
      </c>
      <c r="G3445" s="53">
        <f t="shared" si="54"/>
        <v>-0.79926164049742576</v>
      </c>
      <c r="H3445" s="35"/>
      <c r="P3445" s="6"/>
    </row>
    <row r="3446" spans="1:16" ht="14.4" x14ac:dyDescent="0.25">
      <c r="A3446" s="6">
        <v>5399</v>
      </c>
      <c r="B3446" s="6">
        <v>38372</v>
      </c>
      <c r="C3446" s="19">
        <v>40313</v>
      </c>
      <c r="D3446" s="6" t="s">
        <v>17</v>
      </c>
      <c r="E3446" s="6">
        <f>IF((ISBLANK($B$1)),"",Sheet1!Q3454)</f>
        <v>5700</v>
      </c>
      <c r="F3446" s="20" t="s">
        <v>29</v>
      </c>
      <c r="G3446" s="53">
        <f t="shared" si="54"/>
        <v>1.4102651958378438</v>
      </c>
      <c r="H3446" s="35"/>
      <c r="P3446" s="6"/>
    </row>
    <row r="3447" spans="1:16" ht="14.4" x14ac:dyDescent="0.25">
      <c r="A3447" s="6">
        <v>5427</v>
      </c>
      <c r="B3447" s="6">
        <v>38564</v>
      </c>
      <c r="C3447" s="19">
        <v>40119</v>
      </c>
      <c r="D3447" s="6" t="s">
        <v>30</v>
      </c>
      <c r="E3447" s="6">
        <f>IF((ISBLANK($B$1)),"",Sheet1!Q3455)</f>
        <v>5250</v>
      </c>
      <c r="F3447" s="20" t="s">
        <v>29</v>
      </c>
      <c r="G3447" s="53">
        <f t="shared" si="54"/>
        <v>0.78883577311854924</v>
      </c>
      <c r="H3447" s="35"/>
      <c r="P3447" s="6"/>
    </row>
    <row r="3448" spans="1:16" ht="14.4" x14ac:dyDescent="0.25">
      <c r="A3448" s="6">
        <v>5477</v>
      </c>
      <c r="B3448" s="6">
        <v>38912</v>
      </c>
      <c r="C3448" s="19">
        <v>41210</v>
      </c>
      <c r="D3448" s="6" t="s">
        <v>25</v>
      </c>
      <c r="E3448" s="6">
        <f>IF((ISBLANK($B$1)),"",Sheet1!Q3456)</f>
        <v>5700</v>
      </c>
      <c r="F3448" s="20" t="s">
        <v>27</v>
      </c>
      <c r="G3448" s="53">
        <f t="shared" si="54"/>
        <v>1.4102651958378438</v>
      </c>
      <c r="H3448" s="35"/>
      <c r="P3448" s="6"/>
    </row>
    <row r="3449" spans="1:16" ht="14.4" x14ac:dyDescent="0.25">
      <c r="A3449" s="6">
        <v>5493</v>
      </c>
      <c r="B3449" s="6">
        <v>38976</v>
      </c>
      <c r="C3449" s="19">
        <v>40537</v>
      </c>
      <c r="D3449" s="6" t="s">
        <v>30</v>
      </c>
      <c r="E3449" s="6">
        <f>IF((ISBLANK($B$1)),"",Sheet1!Q3457)</f>
        <v>5700</v>
      </c>
      <c r="F3449" s="20" t="s">
        <v>26</v>
      </c>
      <c r="G3449" s="53">
        <f t="shared" si="54"/>
        <v>1.4102651958378438</v>
      </c>
      <c r="H3449" s="35"/>
      <c r="P3449" s="6"/>
    </row>
    <row r="3450" spans="1:16" ht="14.4" x14ac:dyDescent="0.25">
      <c r="A3450" s="6">
        <v>5503</v>
      </c>
      <c r="B3450" s="6">
        <v>39040</v>
      </c>
      <c r="C3450" s="19">
        <v>39954</v>
      </c>
      <c r="D3450" s="6" t="s">
        <v>30</v>
      </c>
      <c r="E3450" s="6">
        <f>IF((ISBLANK($B$1)),"",Sheet1!Q3458)</f>
        <v>4700</v>
      </c>
      <c r="F3450" s="20" t="s">
        <v>27</v>
      </c>
      <c r="G3450" s="53">
        <f t="shared" si="54"/>
        <v>2.9310923128300338E-2</v>
      </c>
      <c r="H3450" s="35"/>
      <c r="P3450" s="6"/>
    </row>
    <row r="3451" spans="1:16" ht="14.4" x14ac:dyDescent="0.25">
      <c r="A3451" s="6">
        <v>5530</v>
      </c>
      <c r="B3451" s="6">
        <v>39169</v>
      </c>
      <c r="C3451" s="19">
        <v>40781</v>
      </c>
      <c r="D3451" s="6" t="s">
        <v>16</v>
      </c>
      <c r="E3451" s="6">
        <f>IF((ISBLANK($B$1)),"",Sheet1!Q3459)</f>
        <v>3650</v>
      </c>
      <c r="F3451" s="20" t="s">
        <v>26</v>
      </c>
      <c r="G3451" s="53">
        <f t="shared" si="54"/>
        <v>-1.4206910632167202</v>
      </c>
      <c r="H3451" s="35"/>
      <c r="P3451" s="6"/>
    </row>
    <row r="3452" spans="1:16" ht="14.4" x14ac:dyDescent="0.25">
      <c r="A3452" s="6">
        <v>5538</v>
      </c>
      <c r="B3452" s="6">
        <v>39238</v>
      </c>
      <c r="C3452" s="19">
        <v>40447</v>
      </c>
      <c r="D3452" s="6" t="s">
        <v>30</v>
      </c>
      <c r="E3452" s="6">
        <f>IF((ISBLANK($B$1)),"",Sheet1!Q3460)</f>
        <v>3850</v>
      </c>
      <c r="F3452" s="20" t="s">
        <v>26</v>
      </c>
      <c r="G3452" s="53">
        <f t="shared" si="54"/>
        <v>-1.1445002086748115</v>
      </c>
      <c r="H3452" s="35"/>
      <c r="P3452" s="6"/>
    </row>
    <row r="3453" spans="1:16" ht="14.4" x14ac:dyDescent="0.25">
      <c r="A3453" s="6">
        <v>5567</v>
      </c>
      <c r="B3453" s="6">
        <v>39426</v>
      </c>
      <c r="C3453" s="19">
        <v>39959</v>
      </c>
      <c r="D3453" s="6" t="s">
        <v>30</v>
      </c>
      <c r="E3453" s="6">
        <f>IF((ISBLANK($B$1)),"",Sheet1!Q3461)</f>
        <v>4450</v>
      </c>
      <c r="F3453" s="20" t="s">
        <v>26</v>
      </c>
      <c r="G3453" s="53">
        <f t="shared" si="54"/>
        <v>-0.31592764504908549</v>
      </c>
      <c r="H3453" s="35"/>
      <c r="P3453" s="6"/>
    </row>
    <row r="3454" spans="1:16" ht="14.4" x14ac:dyDescent="0.25">
      <c r="A3454" s="6">
        <v>5613</v>
      </c>
      <c r="B3454" s="6">
        <v>39780</v>
      </c>
      <c r="C3454" s="19">
        <v>39971</v>
      </c>
      <c r="D3454" s="6" t="s">
        <v>25</v>
      </c>
      <c r="E3454" s="6">
        <f>IF((ISBLANK($B$1)),"",Sheet1!Q3462)</f>
        <v>5050</v>
      </c>
      <c r="F3454" s="20" t="s">
        <v>26</v>
      </c>
      <c r="G3454" s="53">
        <f t="shared" si="54"/>
        <v>0.51264491857664052</v>
      </c>
      <c r="H3454" s="35"/>
      <c r="P3454" s="6"/>
    </row>
    <row r="3455" spans="1:16" ht="14.4" x14ac:dyDescent="0.25">
      <c r="A3455" s="6">
        <v>5653</v>
      </c>
      <c r="B3455" s="6">
        <v>40005</v>
      </c>
      <c r="C3455" s="19">
        <v>40384</v>
      </c>
      <c r="D3455" s="6" t="s">
        <v>17</v>
      </c>
      <c r="E3455" s="6">
        <f>IF((ISBLANK($B$1)),"",Sheet1!Q3463)</f>
        <v>3850</v>
      </c>
      <c r="F3455" s="20" t="s">
        <v>26</v>
      </c>
      <c r="G3455" s="53">
        <f t="shared" si="54"/>
        <v>-1.1445002086748115</v>
      </c>
      <c r="H3455" s="35"/>
      <c r="P3455" s="6"/>
    </row>
    <row r="3456" spans="1:16" ht="14.4" x14ac:dyDescent="0.25">
      <c r="A3456" s="6">
        <v>5829</v>
      </c>
      <c r="B3456" s="6">
        <v>41350</v>
      </c>
      <c r="C3456" s="19">
        <v>40306</v>
      </c>
      <c r="D3456" s="6" t="s">
        <v>16</v>
      </c>
      <c r="E3456" s="6">
        <f>IF((ISBLANK($B$1)),"",Sheet1!Q3464)</f>
        <v>3450</v>
      </c>
      <c r="F3456" s="20" t="s">
        <v>26</v>
      </c>
      <c r="G3456" s="53">
        <f t="shared" si="54"/>
        <v>-1.696881917758629</v>
      </c>
      <c r="H3456" s="35"/>
      <c r="P3456" s="6"/>
    </row>
    <row r="3457" spans="1:16" ht="14.4" x14ac:dyDescent="0.25">
      <c r="A3457" s="6">
        <v>5834</v>
      </c>
      <c r="B3457" s="6">
        <v>41383</v>
      </c>
      <c r="C3457" s="19">
        <v>40310</v>
      </c>
      <c r="D3457" s="6" t="s">
        <v>25</v>
      </c>
      <c r="E3457" s="6">
        <f>IF((ISBLANK($B$1)),"",Sheet1!Q3465)</f>
        <v>5300</v>
      </c>
      <c r="F3457" s="20" t="s">
        <v>29</v>
      </c>
      <c r="G3457" s="53">
        <f t="shared" si="54"/>
        <v>0.85788348675402637</v>
      </c>
      <c r="H3457" s="35"/>
      <c r="P3457" s="6"/>
    </row>
    <row r="3458" spans="1:16" ht="14.4" x14ac:dyDescent="0.25">
      <c r="A3458" s="6">
        <v>5900</v>
      </c>
      <c r="B3458" s="6">
        <v>41826</v>
      </c>
      <c r="C3458" s="19">
        <v>40467</v>
      </c>
      <c r="D3458" s="6" t="s">
        <v>16</v>
      </c>
      <c r="E3458" s="6">
        <f>IF((ISBLANK($B$1)),"",Sheet1!Q3466)</f>
        <v>3500</v>
      </c>
      <c r="F3458" s="20" t="s">
        <v>29</v>
      </c>
      <c r="G3458" s="53">
        <f t="shared" si="54"/>
        <v>-1.6278342041231517</v>
      </c>
      <c r="H3458" s="35"/>
      <c r="P3458" s="6"/>
    </row>
    <row r="3459" spans="1:16" ht="14.4" x14ac:dyDescent="0.25">
      <c r="A3459" s="6">
        <v>5996</v>
      </c>
      <c r="B3459" s="6">
        <v>42471</v>
      </c>
      <c r="C3459" s="19">
        <v>40977</v>
      </c>
      <c r="D3459" s="6" t="s">
        <v>25</v>
      </c>
      <c r="E3459" s="6">
        <f>IF((ISBLANK($B$1)),"",Sheet1!Q3467)</f>
        <v>4550</v>
      </c>
      <c r="F3459" s="20" t="s">
        <v>26</v>
      </c>
      <c r="G3459" s="53">
        <f t="shared" si="54"/>
        <v>-0.17783221777813119</v>
      </c>
      <c r="H3459" s="35"/>
      <c r="P3459" s="6"/>
    </row>
    <row r="3460" spans="1:16" ht="14.4" x14ac:dyDescent="0.25">
      <c r="A3460" s="6">
        <v>6003</v>
      </c>
      <c r="B3460" s="6">
        <v>42528</v>
      </c>
      <c r="C3460" s="19">
        <v>40232</v>
      </c>
      <c r="D3460" s="6" t="s">
        <v>16</v>
      </c>
      <c r="E3460" s="6">
        <f>IF((ISBLANK($B$1)),"",Sheet1!Q3468)</f>
        <v>4850</v>
      </c>
      <c r="F3460" s="20" t="s">
        <v>26</v>
      </c>
      <c r="G3460" s="53">
        <f t="shared" si="54"/>
        <v>0.23645406403473185</v>
      </c>
      <c r="H3460" s="35"/>
      <c r="P3460" s="6"/>
    </row>
    <row r="3461" spans="1:16" ht="14.4" x14ac:dyDescent="0.25">
      <c r="A3461" s="6">
        <v>6004</v>
      </c>
      <c r="B3461" s="6">
        <v>42529</v>
      </c>
      <c r="C3461" s="19">
        <v>40461</v>
      </c>
      <c r="D3461" s="6" t="s">
        <v>25</v>
      </c>
      <c r="E3461" s="6">
        <f>IF((ISBLANK($B$1)),"",Sheet1!Q3469)</f>
        <v>3500</v>
      </c>
      <c r="F3461" s="20" t="s">
        <v>26</v>
      </c>
      <c r="G3461" s="53">
        <f t="shared" si="54"/>
        <v>-1.6278342041231517</v>
      </c>
      <c r="H3461" s="35"/>
      <c r="P3461" s="6"/>
    </row>
    <row r="3462" spans="1:16" ht="14.4" x14ac:dyDescent="0.25">
      <c r="A3462" s="6">
        <v>6006</v>
      </c>
      <c r="B3462" s="6">
        <v>42529</v>
      </c>
      <c r="C3462" s="19">
        <v>40461</v>
      </c>
      <c r="D3462" s="6" t="s">
        <v>25</v>
      </c>
      <c r="E3462" s="6">
        <f>IF((ISBLANK($B$1)),"",Sheet1!Q3470)</f>
        <v>5800</v>
      </c>
      <c r="F3462" s="20" t="s">
        <v>26</v>
      </c>
      <c r="G3462" s="53">
        <f t="shared" si="54"/>
        <v>1.5483606231087981</v>
      </c>
      <c r="H3462" s="35"/>
      <c r="P3462" s="6"/>
    </row>
    <row r="3463" spans="1:16" ht="14.4" x14ac:dyDescent="0.25">
      <c r="A3463" s="6">
        <v>6095</v>
      </c>
      <c r="B3463" s="6">
        <v>43200</v>
      </c>
      <c r="C3463" s="19">
        <v>40390</v>
      </c>
      <c r="D3463" s="6" t="s">
        <v>28</v>
      </c>
      <c r="E3463" s="6">
        <f>IF((ISBLANK($B$1)),"",Sheet1!Q3471)</f>
        <v>3550</v>
      </c>
      <c r="F3463" s="20" t="s">
        <v>26</v>
      </c>
      <c r="G3463" s="53">
        <f t="shared" si="54"/>
        <v>-1.5587864904876745</v>
      </c>
      <c r="H3463" s="35"/>
      <c r="P3463" s="6"/>
    </row>
    <row r="3464" spans="1:16" ht="14.4" x14ac:dyDescent="0.25">
      <c r="A3464" s="6">
        <v>6096</v>
      </c>
      <c r="B3464" s="6">
        <v>43200</v>
      </c>
      <c r="C3464" s="19">
        <v>40390</v>
      </c>
      <c r="D3464" s="6" t="s">
        <v>28</v>
      </c>
      <c r="E3464" s="6">
        <f>IF((ISBLANK($B$1)),"",Sheet1!Q3472)</f>
        <v>4150</v>
      </c>
      <c r="F3464" s="20" t="s">
        <v>27</v>
      </c>
      <c r="G3464" s="53">
        <f t="shared" ref="G3464:G3527" si="55">STANDARDIZE(E3464,$L$26,$L$35)</f>
        <v>-0.73021392686194853</v>
      </c>
      <c r="H3464" s="35"/>
      <c r="P3464" s="6"/>
    </row>
    <row r="3465" spans="1:16" ht="14.4" x14ac:dyDescent="0.25">
      <c r="A3465" s="6">
        <v>6150</v>
      </c>
      <c r="B3465" s="6">
        <v>43553</v>
      </c>
      <c r="C3465" s="19">
        <v>39947</v>
      </c>
      <c r="D3465" s="6" t="s">
        <v>28</v>
      </c>
      <c r="E3465" s="6">
        <f>IF((ISBLANK($B$1)),"",Sheet1!Q3473)</f>
        <v>4850</v>
      </c>
      <c r="F3465" s="20" t="s">
        <v>26</v>
      </c>
      <c r="G3465" s="53">
        <f t="shared" si="55"/>
        <v>0.23645406403473185</v>
      </c>
      <c r="H3465" s="35"/>
      <c r="P3465" s="6"/>
    </row>
    <row r="3466" spans="1:16" ht="14.4" x14ac:dyDescent="0.25">
      <c r="A3466" s="6">
        <v>6217</v>
      </c>
      <c r="B3466" s="6">
        <v>44033</v>
      </c>
      <c r="C3466" s="19">
        <v>40918</v>
      </c>
      <c r="D3466" s="6" t="s">
        <v>30</v>
      </c>
      <c r="E3466" s="6">
        <f>IF((ISBLANK($B$1)),"",Sheet1!Q3474)</f>
        <v>5650</v>
      </c>
      <c r="F3466" s="20" t="s">
        <v>29</v>
      </c>
      <c r="G3466" s="53">
        <f t="shared" si="55"/>
        <v>1.3412174822023666</v>
      </c>
      <c r="H3466" s="35"/>
      <c r="P3466" s="6"/>
    </row>
    <row r="3467" spans="1:16" ht="14.4" x14ac:dyDescent="0.25">
      <c r="A3467" s="6">
        <v>6223</v>
      </c>
      <c r="B3467" s="6">
        <v>44065</v>
      </c>
      <c r="C3467" s="19">
        <v>40362</v>
      </c>
      <c r="D3467" s="6" t="s">
        <v>25</v>
      </c>
      <c r="E3467" s="6">
        <f>IF((ISBLANK($B$1)),"",Sheet1!Q3475)</f>
        <v>4550</v>
      </c>
      <c r="F3467" s="20" t="s">
        <v>27</v>
      </c>
      <c r="G3467" s="53">
        <f t="shared" si="55"/>
        <v>-0.17783221777813119</v>
      </c>
      <c r="H3467" s="35"/>
      <c r="P3467" s="6"/>
    </row>
    <row r="3468" spans="1:16" ht="14.4" x14ac:dyDescent="0.25">
      <c r="A3468" s="6">
        <v>6299</v>
      </c>
      <c r="B3468" s="6">
        <v>44583</v>
      </c>
      <c r="C3468" s="19">
        <v>40090</v>
      </c>
      <c r="D3468" s="6" t="s">
        <v>25</v>
      </c>
      <c r="E3468" s="6">
        <f>IF((ISBLANK($B$1)),"",Sheet1!Q3476)</f>
        <v>4450</v>
      </c>
      <c r="F3468" s="20" t="s">
        <v>29</v>
      </c>
      <c r="G3468" s="53">
        <f t="shared" si="55"/>
        <v>-0.31592764504908549</v>
      </c>
      <c r="H3468" s="35"/>
      <c r="P3468" s="6"/>
    </row>
    <row r="3469" spans="1:16" ht="14.4" x14ac:dyDescent="0.25">
      <c r="A3469" s="6">
        <v>6353</v>
      </c>
      <c r="B3469" s="6">
        <v>45030</v>
      </c>
      <c r="C3469" s="19">
        <v>40383</v>
      </c>
      <c r="D3469" s="6" t="s">
        <v>17</v>
      </c>
      <c r="E3469" s="6">
        <f>IF((ISBLANK($B$1)),"",Sheet1!Q3477)</f>
        <v>3450</v>
      </c>
      <c r="F3469" s="20" t="s">
        <v>26</v>
      </c>
      <c r="G3469" s="53">
        <f t="shared" si="55"/>
        <v>-1.696881917758629</v>
      </c>
      <c r="H3469" s="35"/>
      <c r="P3469" s="6"/>
    </row>
    <row r="3470" spans="1:16" ht="14.4" x14ac:dyDescent="0.25">
      <c r="A3470" s="6">
        <v>6487</v>
      </c>
      <c r="B3470" s="6">
        <v>46177</v>
      </c>
      <c r="C3470" s="19">
        <v>40517</v>
      </c>
      <c r="D3470" s="6" t="s">
        <v>25</v>
      </c>
      <c r="E3470" s="6">
        <f>IF((ISBLANK($B$1)),"",Sheet1!Q3478)</f>
        <v>4050</v>
      </c>
      <c r="F3470" s="20" t="s">
        <v>26</v>
      </c>
      <c r="G3470" s="53">
        <f t="shared" si="55"/>
        <v>-0.86830935413290289</v>
      </c>
      <c r="H3470" s="35"/>
      <c r="P3470" s="6"/>
    </row>
    <row r="3471" spans="1:16" ht="14.4" x14ac:dyDescent="0.25">
      <c r="A3471" s="6">
        <v>6512</v>
      </c>
      <c r="B3471" s="6">
        <v>46341</v>
      </c>
      <c r="C3471" s="19">
        <v>40164</v>
      </c>
      <c r="D3471" s="6" t="s">
        <v>17</v>
      </c>
      <c r="E3471" s="6">
        <f>IF((ISBLANK($B$1)),"",Sheet1!Q3479)</f>
        <v>4550</v>
      </c>
      <c r="F3471" s="20" t="s">
        <v>26</v>
      </c>
      <c r="G3471" s="53">
        <f t="shared" si="55"/>
        <v>-0.17783221777813119</v>
      </c>
      <c r="H3471" s="35"/>
      <c r="P3471" s="6"/>
    </row>
    <row r="3472" spans="1:16" ht="14.4" x14ac:dyDescent="0.25">
      <c r="A3472" s="6">
        <v>6513</v>
      </c>
      <c r="B3472" s="6">
        <v>46368</v>
      </c>
      <c r="C3472" s="19">
        <v>41023</v>
      </c>
      <c r="D3472" s="6" t="s">
        <v>17</v>
      </c>
      <c r="E3472" s="6">
        <f>IF((ISBLANK($B$1)),"",Sheet1!Q3480)</f>
        <v>5800</v>
      </c>
      <c r="F3472" s="20" t="s">
        <v>26</v>
      </c>
      <c r="G3472" s="53">
        <f t="shared" si="55"/>
        <v>1.5483606231087981</v>
      </c>
      <c r="H3472" s="35"/>
      <c r="P3472" s="6"/>
    </row>
    <row r="3473" spans="1:16" ht="14.4" x14ac:dyDescent="0.25">
      <c r="A3473" s="6">
        <v>6541</v>
      </c>
      <c r="B3473" s="6">
        <v>46531</v>
      </c>
      <c r="C3473" s="19">
        <v>40776</v>
      </c>
      <c r="D3473" s="6" t="s">
        <v>25</v>
      </c>
      <c r="E3473" s="6">
        <f>IF((ISBLANK($B$1)),"",Sheet1!Q3481)</f>
        <v>4250</v>
      </c>
      <c r="F3473" s="20" t="s">
        <v>27</v>
      </c>
      <c r="G3473" s="53">
        <f t="shared" si="55"/>
        <v>-0.59211849959099416</v>
      </c>
      <c r="H3473" s="35"/>
      <c r="P3473" s="6"/>
    </row>
    <row r="3474" spans="1:16" ht="14.4" x14ac:dyDescent="0.25">
      <c r="A3474" s="6">
        <v>6608</v>
      </c>
      <c r="B3474" s="6">
        <v>47012</v>
      </c>
      <c r="C3474" s="19">
        <v>40311</v>
      </c>
      <c r="D3474" s="6" t="s">
        <v>25</v>
      </c>
      <c r="E3474" s="6">
        <f>IF((ISBLANK($B$1)),"",Sheet1!Q3482)</f>
        <v>5150</v>
      </c>
      <c r="F3474" s="20" t="s">
        <v>26</v>
      </c>
      <c r="G3474" s="53">
        <f t="shared" si="55"/>
        <v>0.65074034584759488</v>
      </c>
      <c r="H3474" s="35"/>
      <c r="P3474" s="6"/>
    </row>
    <row r="3475" spans="1:16" ht="14.4" x14ac:dyDescent="0.25">
      <c r="A3475" s="6">
        <v>6619</v>
      </c>
      <c r="B3475" s="6">
        <v>47106</v>
      </c>
      <c r="C3475" s="19">
        <v>40841</v>
      </c>
      <c r="D3475" s="6" t="s">
        <v>16</v>
      </c>
      <c r="E3475" s="6">
        <f>IF((ISBLANK($B$1)),"",Sheet1!Q3483)</f>
        <v>5250</v>
      </c>
      <c r="F3475" s="20" t="s">
        <v>26</v>
      </c>
      <c r="G3475" s="53">
        <f t="shared" si="55"/>
        <v>0.78883577311854924</v>
      </c>
      <c r="H3475" s="35"/>
      <c r="P3475" s="6"/>
    </row>
    <row r="3476" spans="1:16" ht="14.4" x14ac:dyDescent="0.25">
      <c r="A3476" s="6">
        <v>6693</v>
      </c>
      <c r="B3476" s="6">
        <v>47621</v>
      </c>
      <c r="C3476" s="19">
        <v>40005</v>
      </c>
      <c r="D3476" s="6" t="s">
        <v>30</v>
      </c>
      <c r="E3476" s="6">
        <f>IF((ISBLANK($B$1)),"",Sheet1!Q3484)</f>
        <v>4200</v>
      </c>
      <c r="F3476" s="20" t="s">
        <v>29</v>
      </c>
      <c r="G3476" s="53">
        <f t="shared" si="55"/>
        <v>-0.6611662132264714</v>
      </c>
      <c r="H3476" s="35"/>
      <c r="P3476" s="6"/>
    </row>
    <row r="3477" spans="1:16" ht="14.4" x14ac:dyDescent="0.25">
      <c r="A3477" s="6">
        <v>6839</v>
      </c>
      <c r="B3477" s="6">
        <v>48706</v>
      </c>
      <c r="C3477" s="19">
        <v>41212</v>
      </c>
      <c r="D3477" s="6" t="s">
        <v>25</v>
      </c>
      <c r="E3477" s="6">
        <f>IF((ISBLANK($B$1)),"",Sheet1!Q3485)</f>
        <v>4800</v>
      </c>
      <c r="F3477" s="20" t="s">
        <v>26</v>
      </c>
      <c r="G3477" s="53">
        <f t="shared" si="55"/>
        <v>0.16740635039925467</v>
      </c>
      <c r="H3477" s="35"/>
      <c r="P3477" s="6"/>
    </row>
    <row r="3478" spans="1:16" ht="14.4" x14ac:dyDescent="0.25">
      <c r="A3478" s="6">
        <v>6929</v>
      </c>
      <c r="B3478" s="6">
        <v>49443</v>
      </c>
      <c r="C3478" s="19">
        <v>40566</v>
      </c>
      <c r="D3478" s="6" t="s">
        <v>17</v>
      </c>
      <c r="E3478" s="6">
        <f>IF((ISBLANK($B$1)),"",Sheet1!Q3486)</f>
        <v>5450</v>
      </c>
      <c r="F3478" s="20" t="s">
        <v>26</v>
      </c>
      <c r="G3478" s="53">
        <f t="shared" si="55"/>
        <v>1.0650266276604579</v>
      </c>
      <c r="H3478" s="35"/>
      <c r="P3478" s="6"/>
    </row>
    <row r="3479" spans="1:16" ht="14.4" x14ac:dyDescent="0.25">
      <c r="A3479" s="6">
        <v>6972</v>
      </c>
      <c r="B3479" s="6">
        <v>49824</v>
      </c>
      <c r="C3479" s="19">
        <v>40624</v>
      </c>
      <c r="D3479" s="6" t="s">
        <v>17</v>
      </c>
      <c r="E3479" s="6">
        <f>IF((ISBLANK($B$1)),"",Sheet1!Q3487)</f>
        <v>5050</v>
      </c>
      <c r="F3479" s="20" t="s">
        <v>27</v>
      </c>
      <c r="G3479" s="53">
        <f t="shared" si="55"/>
        <v>0.51264491857664052</v>
      </c>
      <c r="H3479" s="35"/>
      <c r="P3479" s="6"/>
    </row>
    <row r="3480" spans="1:16" ht="14.4" x14ac:dyDescent="0.25">
      <c r="A3480" s="6">
        <v>7156</v>
      </c>
      <c r="B3480" s="6">
        <v>51047</v>
      </c>
      <c r="C3480" s="19">
        <v>39913</v>
      </c>
      <c r="D3480" s="6" t="s">
        <v>16</v>
      </c>
      <c r="E3480" s="6">
        <f>IF((ISBLANK($B$1)),"",Sheet1!Q3488)</f>
        <v>4800</v>
      </c>
      <c r="F3480" s="20" t="s">
        <v>29</v>
      </c>
      <c r="G3480" s="53">
        <f t="shared" si="55"/>
        <v>0.16740635039925467</v>
      </c>
      <c r="H3480" s="35"/>
      <c r="P3480" s="6"/>
    </row>
    <row r="3481" spans="1:16" ht="14.4" x14ac:dyDescent="0.25">
      <c r="A3481" s="6">
        <v>7157</v>
      </c>
      <c r="B3481" s="6">
        <v>51047</v>
      </c>
      <c r="C3481" s="19">
        <v>39913</v>
      </c>
      <c r="D3481" s="6" t="s">
        <v>16</v>
      </c>
      <c r="E3481" s="6">
        <f>IF((ISBLANK($B$1)),"",Sheet1!Q3489)</f>
        <v>5300</v>
      </c>
      <c r="F3481" s="20" t="s">
        <v>29</v>
      </c>
      <c r="G3481" s="53">
        <f t="shared" si="55"/>
        <v>0.85788348675402637</v>
      </c>
      <c r="H3481" s="35"/>
      <c r="P3481" s="6"/>
    </row>
    <row r="3482" spans="1:16" ht="14.4" x14ac:dyDescent="0.25">
      <c r="A3482" s="6">
        <v>7261</v>
      </c>
      <c r="B3482" s="6">
        <v>51783</v>
      </c>
      <c r="C3482" s="19">
        <v>40858</v>
      </c>
      <c r="D3482" s="6" t="s">
        <v>16</v>
      </c>
      <c r="E3482" s="6">
        <f>IF((ISBLANK($B$1)),"",Sheet1!Q3490)</f>
        <v>5750</v>
      </c>
      <c r="F3482" s="20" t="s">
        <v>29</v>
      </c>
      <c r="G3482" s="53">
        <f t="shared" si="55"/>
        <v>1.4793129094733208</v>
      </c>
      <c r="H3482" s="35"/>
      <c r="P3482" s="6"/>
    </row>
    <row r="3483" spans="1:16" ht="14.4" x14ac:dyDescent="0.25">
      <c r="A3483" s="6">
        <v>7556</v>
      </c>
      <c r="B3483" s="6">
        <v>54053</v>
      </c>
      <c r="C3483" s="19">
        <v>40953</v>
      </c>
      <c r="D3483" s="6" t="s">
        <v>17</v>
      </c>
      <c r="E3483" s="6">
        <f>IF((ISBLANK($B$1)),"",Sheet1!Q3491)</f>
        <v>5100</v>
      </c>
      <c r="F3483" s="20" t="s">
        <v>27</v>
      </c>
      <c r="G3483" s="53">
        <f t="shared" si="55"/>
        <v>0.58169263221211776</v>
      </c>
      <c r="H3483" s="35"/>
      <c r="P3483" s="6"/>
    </row>
    <row r="3484" spans="1:16" ht="14.4" x14ac:dyDescent="0.25">
      <c r="A3484" s="6">
        <v>7630</v>
      </c>
      <c r="B3484" s="6">
        <v>54592</v>
      </c>
      <c r="C3484" s="19">
        <v>40706</v>
      </c>
      <c r="D3484" s="6" t="s">
        <v>25</v>
      </c>
      <c r="E3484" s="6">
        <f>IF((ISBLANK($B$1)),"",Sheet1!Q3492)</f>
        <v>5100</v>
      </c>
      <c r="F3484" s="20" t="s">
        <v>29</v>
      </c>
      <c r="G3484" s="53">
        <f t="shared" si="55"/>
        <v>0.58169263221211776</v>
      </c>
      <c r="H3484" s="35"/>
      <c r="P3484" s="6"/>
    </row>
    <row r="3485" spans="1:16" ht="14.4" x14ac:dyDescent="0.25">
      <c r="A3485" s="6">
        <v>7741</v>
      </c>
      <c r="B3485" s="6">
        <v>55425</v>
      </c>
      <c r="C3485" s="19">
        <v>40848</v>
      </c>
      <c r="D3485" s="6" t="s">
        <v>30</v>
      </c>
      <c r="E3485" s="6">
        <f>IF((ISBLANK($B$1)),"",Sheet1!Q3493)</f>
        <v>3800</v>
      </c>
      <c r="F3485" s="20" t="s">
        <v>27</v>
      </c>
      <c r="G3485" s="53">
        <f t="shared" si="55"/>
        <v>-1.2135479223102887</v>
      </c>
      <c r="H3485" s="35"/>
      <c r="P3485" s="6"/>
    </row>
    <row r="3486" spans="1:16" ht="14.4" x14ac:dyDescent="0.25">
      <c r="A3486" s="6">
        <v>7767</v>
      </c>
      <c r="B3486" s="6">
        <v>55616</v>
      </c>
      <c r="C3486" s="19">
        <v>40671</v>
      </c>
      <c r="D3486" s="6" t="s">
        <v>17</v>
      </c>
      <c r="E3486" s="6">
        <f>IF((ISBLANK($B$1)),"",Sheet1!Q3494)</f>
        <v>4600</v>
      </c>
      <c r="F3486" s="20" t="s">
        <v>27</v>
      </c>
      <c r="G3486" s="53">
        <f t="shared" si="55"/>
        <v>-0.108784504142654</v>
      </c>
      <c r="H3486" s="35"/>
      <c r="P3486" s="6"/>
    </row>
    <row r="3487" spans="1:16" ht="14.4" x14ac:dyDescent="0.25">
      <c r="A3487" s="6">
        <v>7821</v>
      </c>
      <c r="B3487" s="6">
        <v>55909</v>
      </c>
      <c r="C3487" s="19">
        <v>39952</v>
      </c>
      <c r="D3487" s="6" t="s">
        <v>25</v>
      </c>
      <c r="E3487" s="6">
        <f>IF((ISBLANK($B$1)),"",Sheet1!Q3495)</f>
        <v>3500</v>
      </c>
      <c r="F3487" s="20" t="s">
        <v>26</v>
      </c>
      <c r="G3487" s="53">
        <f t="shared" si="55"/>
        <v>-1.6278342041231517</v>
      </c>
      <c r="H3487" s="35"/>
      <c r="P3487" s="6"/>
    </row>
    <row r="3488" spans="1:16" ht="14.4" x14ac:dyDescent="0.25">
      <c r="A3488" s="6">
        <v>7825</v>
      </c>
      <c r="B3488" s="6">
        <v>55938</v>
      </c>
      <c r="C3488" s="19">
        <v>41092</v>
      </c>
      <c r="D3488" s="6" t="s">
        <v>28</v>
      </c>
      <c r="E3488" s="6">
        <f>IF((ISBLANK($B$1)),"",Sheet1!Q3496)</f>
        <v>5500</v>
      </c>
      <c r="F3488" s="20" t="s">
        <v>26</v>
      </c>
      <c r="G3488" s="53">
        <f t="shared" si="55"/>
        <v>1.1340743412959351</v>
      </c>
      <c r="H3488" s="35"/>
      <c r="P3488" s="6"/>
    </row>
    <row r="3489" spans="1:16" ht="14.4" x14ac:dyDescent="0.25">
      <c r="A3489" s="6">
        <v>7866</v>
      </c>
      <c r="B3489" s="6">
        <v>56260</v>
      </c>
      <c r="C3489" s="19">
        <v>40040</v>
      </c>
      <c r="D3489" s="6" t="s">
        <v>28</v>
      </c>
      <c r="E3489" s="6">
        <f>IF((ISBLANK($B$1)),"",Sheet1!Q3497)</f>
        <v>5100</v>
      </c>
      <c r="F3489" s="20" t="s">
        <v>26</v>
      </c>
      <c r="G3489" s="53">
        <f t="shared" si="55"/>
        <v>0.58169263221211776</v>
      </c>
      <c r="H3489" s="35"/>
      <c r="P3489" s="6"/>
    </row>
    <row r="3490" spans="1:16" ht="14.4" x14ac:dyDescent="0.25">
      <c r="A3490" s="6">
        <v>7946</v>
      </c>
      <c r="B3490" s="6">
        <v>56768</v>
      </c>
      <c r="C3490" s="19">
        <v>40751</v>
      </c>
      <c r="D3490" s="6" t="s">
        <v>30</v>
      </c>
      <c r="E3490" s="6">
        <f>IF((ISBLANK($B$1)),"",Sheet1!Q3498)</f>
        <v>4050</v>
      </c>
      <c r="F3490" s="20" t="s">
        <v>27</v>
      </c>
      <c r="G3490" s="53">
        <f t="shared" si="55"/>
        <v>-0.86830935413290289</v>
      </c>
      <c r="H3490" s="35"/>
      <c r="P3490" s="6"/>
    </row>
    <row r="3491" spans="1:16" ht="14.4" x14ac:dyDescent="0.25">
      <c r="A3491" s="6">
        <v>8156</v>
      </c>
      <c r="B3491" s="6">
        <v>58337</v>
      </c>
      <c r="C3491" s="19">
        <v>39961</v>
      </c>
      <c r="D3491" s="6" t="s">
        <v>25</v>
      </c>
      <c r="E3491" s="6">
        <f>IF((ISBLANK($B$1)),"",Sheet1!Q3499)</f>
        <v>4300</v>
      </c>
      <c r="F3491" s="20" t="s">
        <v>26</v>
      </c>
      <c r="G3491" s="53">
        <f t="shared" si="55"/>
        <v>-0.52307078595551704</v>
      </c>
      <c r="H3491" s="35"/>
      <c r="P3491" s="6"/>
    </row>
    <row r="3492" spans="1:16" ht="14.4" x14ac:dyDescent="0.25">
      <c r="A3492" s="6">
        <v>8161</v>
      </c>
      <c r="B3492" s="6">
        <v>58343</v>
      </c>
      <c r="C3492" s="19">
        <v>39822</v>
      </c>
      <c r="D3492" s="6" t="s">
        <v>28</v>
      </c>
      <c r="E3492" s="6">
        <f>IF((ISBLANK($B$1)),"",Sheet1!Q3500)</f>
        <v>5350</v>
      </c>
      <c r="F3492" s="20" t="s">
        <v>26</v>
      </c>
      <c r="G3492" s="53">
        <f t="shared" si="55"/>
        <v>0.92693120038950361</v>
      </c>
      <c r="H3492" s="35"/>
      <c r="P3492" s="6"/>
    </row>
    <row r="3493" spans="1:16" ht="14.4" x14ac:dyDescent="0.25">
      <c r="A3493" s="6">
        <v>8299</v>
      </c>
      <c r="B3493" s="6">
        <v>59270</v>
      </c>
      <c r="C3493" s="19">
        <v>40189</v>
      </c>
      <c r="D3493" s="6" t="s">
        <v>17</v>
      </c>
      <c r="E3493" s="6">
        <f>IF((ISBLANK($B$1)),"",Sheet1!Q3501)</f>
        <v>3650</v>
      </c>
      <c r="F3493" s="20" t="s">
        <v>29</v>
      </c>
      <c r="G3493" s="53">
        <f t="shared" si="55"/>
        <v>-1.4206910632167202</v>
      </c>
      <c r="H3493" s="35"/>
      <c r="P3493" s="6"/>
    </row>
    <row r="3494" spans="1:16" ht="14.4" x14ac:dyDescent="0.25">
      <c r="A3494" s="6">
        <v>8342</v>
      </c>
      <c r="B3494" s="6">
        <v>59619</v>
      </c>
      <c r="C3494" s="19">
        <v>40222</v>
      </c>
      <c r="D3494" s="6" t="s">
        <v>28</v>
      </c>
      <c r="E3494" s="6">
        <f>IF((ISBLANK($B$1)),"",Sheet1!Q3502)</f>
        <v>5150</v>
      </c>
      <c r="F3494" s="20" t="s">
        <v>26</v>
      </c>
      <c r="G3494" s="53">
        <f t="shared" si="55"/>
        <v>0.65074034584759488</v>
      </c>
      <c r="H3494" s="35"/>
      <c r="P3494" s="6"/>
    </row>
    <row r="3495" spans="1:16" ht="14.4" x14ac:dyDescent="0.25">
      <c r="A3495" s="6">
        <v>8358</v>
      </c>
      <c r="B3495" s="6">
        <v>59714</v>
      </c>
      <c r="C3495" s="19">
        <v>40525</v>
      </c>
      <c r="D3495" s="6" t="s">
        <v>30</v>
      </c>
      <c r="E3495" s="6">
        <f>IF((ISBLANK($B$1)),"",Sheet1!Q3503)</f>
        <v>4700</v>
      </c>
      <c r="F3495" s="20" t="s">
        <v>29</v>
      </c>
      <c r="G3495" s="53">
        <f t="shared" si="55"/>
        <v>2.9310923128300338E-2</v>
      </c>
      <c r="H3495" s="35"/>
      <c r="P3495" s="6"/>
    </row>
    <row r="3496" spans="1:16" ht="14.4" x14ac:dyDescent="0.25">
      <c r="A3496" s="6">
        <v>8366</v>
      </c>
      <c r="B3496" s="6">
        <v>59781</v>
      </c>
      <c r="C3496" s="19">
        <v>41255</v>
      </c>
      <c r="D3496" s="6" t="s">
        <v>28</v>
      </c>
      <c r="E3496" s="6">
        <f>IF((ISBLANK($B$1)),"",Sheet1!Q3504)</f>
        <v>4300</v>
      </c>
      <c r="F3496" s="20" t="s">
        <v>29</v>
      </c>
      <c r="G3496" s="53">
        <f t="shared" si="55"/>
        <v>-0.52307078595551704</v>
      </c>
      <c r="H3496" s="35"/>
      <c r="P3496" s="6"/>
    </row>
    <row r="3497" spans="1:16" ht="14.4" x14ac:dyDescent="0.25">
      <c r="A3497" s="6">
        <v>8368</v>
      </c>
      <c r="B3497" s="6">
        <v>59781</v>
      </c>
      <c r="C3497" s="19">
        <v>41255</v>
      </c>
      <c r="D3497" s="6" t="s">
        <v>28</v>
      </c>
      <c r="E3497" s="6">
        <f>IF((ISBLANK($B$1)),"",Sheet1!Q3505)</f>
        <v>4800</v>
      </c>
      <c r="F3497" s="20" t="s">
        <v>29</v>
      </c>
      <c r="G3497" s="53">
        <f t="shared" si="55"/>
        <v>0.16740635039925467</v>
      </c>
      <c r="H3497" s="35"/>
      <c r="P3497" s="6"/>
    </row>
    <row r="3498" spans="1:16" ht="14.4" x14ac:dyDescent="0.25">
      <c r="A3498" s="6">
        <v>14</v>
      </c>
      <c r="B3498" s="6">
        <v>70</v>
      </c>
      <c r="C3498" s="19">
        <v>40529</v>
      </c>
      <c r="D3498" s="6" t="s">
        <v>25</v>
      </c>
      <c r="E3498" s="6">
        <f>IF((ISBLANK($B$1)),"",Sheet1!Q3506)</f>
        <v>5800</v>
      </c>
      <c r="F3498" s="20" t="s">
        <v>26</v>
      </c>
      <c r="G3498" s="53">
        <f t="shared" si="55"/>
        <v>1.5483606231087981</v>
      </c>
      <c r="H3498" s="35"/>
      <c r="P3498" s="6"/>
    </row>
    <row r="3499" spans="1:16" ht="14.4" x14ac:dyDescent="0.25">
      <c r="A3499" s="6">
        <v>15</v>
      </c>
      <c r="B3499" s="6">
        <v>70</v>
      </c>
      <c r="C3499" s="19">
        <v>40529</v>
      </c>
      <c r="D3499" s="6" t="s">
        <v>25</v>
      </c>
      <c r="E3499" s="6">
        <f>IF((ISBLANK($B$1)),"",Sheet1!Q3507)</f>
        <v>5700</v>
      </c>
      <c r="F3499" s="20" t="s">
        <v>27</v>
      </c>
      <c r="G3499" s="53">
        <f t="shared" si="55"/>
        <v>1.4102651958378438</v>
      </c>
      <c r="H3499" s="35"/>
      <c r="P3499" s="6"/>
    </row>
    <row r="3500" spans="1:16" ht="14.4" x14ac:dyDescent="0.25">
      <c r="A3500" s="6">
        <v>25</v>
      </c>
      <c r="B3500" s="6">
        <v>135</v>
      </c>
      <c r="C3500" s="19">
        <v>40836</v>
      </c>
      <c r="D3500" s="6" t="s">
        <v>28</v>
      </c>
      <c r="E3500" s="6">
        <f>IF((ISBLANK($B$1)),"",Sheet1!Q3508)</f>
        <v>4650</v>
      </c>
      <c r="F3500" s="20" t="s">
        <v>27</v>
      </c>
      <c r="G3500" s="53">
        <f t="shared" si="55"/>
        <v>-3.9736790507176829E-2</v>
      </c>
      <c r="H3500" s="35"/>
      <c r="P3500" s="6"/>
    </row>
    <row r="3501" spans="1:16" ht="14.4" x14ac:dyDescent="0.25">
      <c r="A3501" s="6">
        <v>27</v>
      </c>
      <c r="B3501" s="6">
        <v>193</v>
      </c>
      <c r="C3501" s="19">
        <v>40397</v>
      </c>
      <c r="D3501" s="6" t="s">
        <v>30</v>
      </c>
      <c r="E3501" s="6">
        <f>IF((ISBLANK($B$1)),"",Sheet1!Q3509)</f>
        <v>4100</v>
      </c>
      <c r="F3501" s="20" t="s">
        <v>26</v>
      </c>
      <c r="G3501" s="53">
        <f t="shared" si="55"/>
        <v>-0.79926164049742576</v>
      </c>
      <c r="H3501" s="35"/>
      <c r="P3501" s="6"/>
    </row>
    <row r="3502" spans="1:16" ht="14.4" x14ac:dyDescent="0.25">
      <c r="A3502" s="6">
        <v>35</v>
      </c>
      <c r="B3502" s="6">
        <v>225</v>
      </c>
      <c r="C3502" s="19">
        <v>40687</v>
      </c>
      <c r="D3502" s="6" t="s">
        <v>30</v>
      </c>
      <c r="E3502" s="6">
        <f>IF((ISBLANK($B$1)),"",Sheet1!Q3510)</f>
        <v>4600</v>
      </c>
      <c r="F3502" s="20" t="s">
        <v>26</v>
      </c>
      <c r="G3502" s="53">
        <f t="shared" si="55"/>
        <v>-0.108784504142654</v>
      </c>
      <c r="H3502" s="35"/>
      <c r="P3502" s="6"/>
    </row>
    <row r="3503" spans="1:16" ht="14.4" x14ac:dyDescent="0.25">
      <c r="A3503" s="6">
        <v>36</v>
      </c>
      <c r="B3503" s="6">
        <v>225</v>
      </c>
      <c r="C3503" s="19">
        <v>40687</v>
      </c>
      <c r="D3503" s="6" t="s">
        <v>30</v>
      </c>
      <c r="E3503" s="6">
        <f>IF((ISBLANK($B$1)),"",Sheet1!Q3511)</f>
        <v>3450</v>
      </c>
      <c r="F3503" s="20" t="s">
        <v>26</v>
      </c>
      <c r="G3503" s="53">
        <f t="shared" si="55"/>
        <v>-1.696881917758629</v>
      </c>
      <c r="H3503" s="35"/>
      <c r="P3503" s="6"/>
    </row>
    <row r="3504" spans="1:16" ht="14.4" x14ac:dyDescent="0.25">
      <c r="A3504" s="6">
        <v>47</v>
      </c>
      <c r="B3504" s="6">
        <v>290</v>
      </c>
      <c r="C3504" s="19">
        <v>39818</v>
      </c>
      <c r="D3504" s="6" t="s">
        <v>28</v>
      </c>
      <c r="E3504" s="6">
        <f>IF((ISBLANK($B$1)),"",Sheet1!Q3512)</f>
        <v>4600</v>
      </c>
      <c r="F3504" s="20" t="s">
        <v>26</v>
      </c>
      <c r="G3504" s="53">
        <f t="shared" si="55"/>
        <v>-0.108784504142654</v>
      </c>
      <c r="H3504" s="35"/>
      <c r="P3504" s="6"/>
    </row>
    <row r="3505" spans="1:16" ht="14.4" x14ac:dyDescent="0.25">
      <c r="A3505" s="6">
        <v>104</v>
      </c>
      <c r="B3505" s="6">
        <v>644</v>
      </c>
      <c r="C3505" s="19">
        <v>41029</v>
      </c>
      <c r="D3505" s="6" t="s">
        <v>30</v>
      </c>
      <c r="E3505" s="6">
        <f>IF((ISBLANK($B$1)),"",Sheet1!Q3513)</f>
        <v>3650</v>
      </c>
      <c r="F3505" s="20" t="s">
        <v>29</v>
      </c>
      <c r="G3505" s="53">
        <f t="shared" si="55"/>
        <v>-1.4206910632167202</v>
      </c>
      <c r="H3505" s="35"/>
      <c r="P3505" s="6"/>
    </row>
    <row r="3506" spans="1:16" ht="14.4" x14ac:dyDescent="0.25">
      <c r="A3506" s="6">
        <v>112</v>
      </c>
      <c r="B3506" s="6">
        <v>738</v>
      </c>
      <c r="C3506" s="19">
        <v>40238</v>
      </c>
      <c r="D3506" s="6" t="s">
        <v>28</v>
      </c>
      <c r="E3506" s="6">
        <f>IF((ISBLANK($B$1)),"",Sheet1!Q3514)</f>
        <v>3750</v>
      </c>
      <c r="F3506" s="20" t="s">
        <v>26</v>
      </c>
      <c r="G3506" s="53">
        <f t="shared" si="55"/>
        <v>-1.282595635945766</v>
      </c>
      <c r="H3506" s="35"/>
      <c r="P3506" s="6"/>
    </row>
    <row r="3507" spans="1:16" ht="14.4" x14ac:dyDescent="0.25">
      <c r="A3507" s="6">
        <v>113</v>
      </c>
      <c r="B3507" s="6">
        <v>738</v>
      </c>
      <c r="C3507" s="19">
        <v>40238</v>
      </c>
      <c r="D3507" s="6" t="s">
        <v>28</v>
      </c>
      <c r="E3507" s="6">
        <f>IF((ISBLANK($B$1)),"",Sheet1!Q3515)</f>
        <v>4950</v>
      </c>
      <c r="F3507" s="20" t="s">
        <v>26</v>
      </c>
      <c r="G3507" s="53">
        <f t="shared" si="55"/>
        <v>0.37454949130568621</v>
      </c>
      <c r="H3507" s="35"/>
      <c r="P3507" s="6"/>
    </row>
    <row r="3508" spans="1:16" ht="14.4" x14ac:dyDescent="0.25">
      <c r="A3508" s="6">
        <v>117</v>
      </c>
      <c r="B3508" s="6">
        <v>772</v>
      </c>
      <c r="C3508" s="19">
        <v>40284</v>
      </c>
      <c r="D3508" s="6" t="s">
        <v>17</v>
      </c>
      <c r="E3508" s="6">
        <f>IF((ISBLANK($B$1)),"",Sheet1!Q3516)</f>
        <v>5150</v>
      </c>
      <c r="F3508" s="20" t="s">
        <v>26</v>
      </c>
      <c r="G3508" s="53">
        <f t="shared" si="55"/>
        <v>0.65074034584759488</v>
      </c>
      <c r="H3508" s="35"/>
      <c r="P3508" s="6"/>
    </row>
    <row r="3509" spans="1:16" ht="14.4" x14ac:dyDescent="0.25">
      <c r="A3509" s="6">
        <v>118</v>
      </c>
      <c r="B3509" s="6">
        <v>772</v>
      </c>
      <c r="C3509" s="19">
        <v>40284</v>
      </c>
      <c r="D3509" s="6" t="s">
        <v>17</v>
      </c>
      <c r="E3509" s="6">
        <f>IF((ISBLANK($B$1)),"",Sheet1!Q3517)</f>
        <v>4650</v>
      </c>
      <c r="F3509" s="20" t="s">
        <v>26</v>
      </c>
      <c r="G3509" s="53">
        <f t="shared" si="55"/>
        <v>-3.9736790507176829E-2</v>
      </c>
      <c r="H3509" s="35"/>
      <c r="P3509" s="6"/>
    </row>
    <row r="3510" spans="1:16" ht="14.4" x14ac:dyDescent="0.25">
      <c r="A3510" s="6">
        <v>181</v>
      </c>
      <c r="B3510" s="6">
        <v>1189</v>
      </c>
      <c r="C3510" s="19">
        <v>39911</v>
      </c>
      <c r="D3510" s="6" t="s">
        <v>30</v>
      </c>
      <c r="E3510" s="6">
        <f>IF((ISBLANK($B$1)),"",Sheet1!Q3518)</f>
        <v>4750</v>
      </c>
      <c r="F3510" s="20" t="s">
        <v>26</v>
      </c>
      <c r="G3510" s="53">
        <f t="shared" si="55"/>
        <v>9.8358636763777513E-2</v>
      </c>
      <c r="H3510" s="35"/>
      <c r="P3510" s="6"/>
    </row>
    <row r="3511" spans="1:16" ht="14.4" x14ac:dyDescent="0.25">
      <c r="A3511" s="6">
        <v>263</v>
      </c>
      <c r="B3511" s="6">
        <v>1825</v>
      </c>
      <c r="C3511" s="19">
        <v>40516</v>
      </c>
      <c r="D3511" s="6" t="s">
        <v>16</v>
      </c>
      <c r="E3511" s="6">
        <f>IF((ISBLANK($B$1)),"",Sheet1!Q3519)</f>
        <v>4500</v>
      </c>
      <c r="F3511" s="20" t="s">
        <v>26</v>
      </c>
      <c r="G3511" s="53">
        <f t="shared" si="55"/>
        <v>-0.24687993141360834</v>
      </c>
      <c r="H3511" s="35"/>
      <c r="P3511" s="6"/>
    </row>
    <row r="3512" spans="1:16" ht="14.4" x14ac:dyDescent="0.25">
      <c r="A3512" s="6">
        <v>355</v>
      </c>
      <c r="B3512" s="6">
        <v>2467</v>
      </c>
      <c r="C3512" s="19">
        <v>40739</v>
      </c>
      <c r="D3512" s="6" t="s">
        <v>28</v>
      </c>
      <c r="E3512" s="6">
        <f>IF((ISBLANK($B$1)),"",Sheet1!Q3520)</f>
        <v>4900</v>
      </c>
      <c r="F3512" s="20" t="s">
        <v>27</v>
      </c>
      <c r="G3512" s="53">
        <f t="shared" si="55"/>
        <v>0.30550177767020903</v>
      </c>
      <c r="H3512" s="35"/>
      <c r="P3512" s="6"/>
    </row>
    <row r="3513" spans="1:16" ht="14.4" x14ac:dyDescent="0.25">
      <c r="A3513" s="6">
        <v>446</v>
      </c>
      <c r="B3513" s="6">
        <v>3014</v>
      </c>
      <c r="C3513" s="19">
        <v>41211</v>
      </c>
      <c r="D3513" s="6" t="s">
        <v>28</v>
      </c>
      <c r="E3513" s="6">
        <f>IF((ISBLANK($B$1)),"",Sheet1!Q3521)</f>
        <v>4050</v>
      </c>
      <c r="F3513" s="20" t="s">
        <v>26</v>
      </c>
      <c r="G3513" s="53">
        <f t="shared" si="55"/>
        <v>-0.86830935413290289</v>
      </c>
      <c r="H3513" s="35"/>
      <c r="P3513" s="6"/>
    </row>
    <row r="3514" spans="1:16" ht="14.4" x14ac:dyDescent="0.25">
      <c r="A3514" s="6">
        <v>450</v>
      </c>
      <c r="B3514" s="6">
        <v>3073</v>
      </c>
      <c r="C3514" s="19">
        <v>39820</v>
      </c>
      <c r="D3514" s="6" t="s">
        <v>16</v>
      </c>
      <c r="E3514" s="6">
        <f>IF((ISBLANK($B$1)),"",Sheet1!Q3522)</f>
        <v>3550</v>
      </c>
      <c r="F3514" s="20" t="s">
        <v>26</v>
      </c>
      <c r="G3514" s="53">
        <f t="shared" si="55"/>
        <v>-1.5587864904876745</v>
      </c>
      <c r="H3514" s="35"/>
      <c r="P3514" s="6"/>
    </row>
    <row r="3515" spans="1:16" ht="14.4" x14ac:dyDescent="0.25">
      <c r="A3515" s="6">
        <v>451</v>
      </c>
      <c r="B3515" s="6">
        <v>3073</v>
      </c>
      <c r="C3515" s="19">
        <v>39820</v>
      </c>
      <c r="D3515" s="6" t="s">
        <v>16</v>
      </c>
      <c r="E3515" s="6">
        <f>IF((ISBLANK($B$1)),"",Sheet1!Q3523)</f>
        <v>3550</v>
      </c>
      <c r="F3515" s="20" t="s">
        <v>27</v>
      </c>
      <c r="G3515" s="53">
        <f t="shared" si="55"/>
        <v>-1.5587864904876745</v>
      </c>
      <c r="H3515" s="35"/>
      <c r="P3515" s="6"/>
    </row>
    <row r="3516" spans="1:16" ht="14.4" x14ac:dyDescent="0.25">
      <c r="A3516" s="6">
        <v>452</v>
      </c>
      <c r="B3516" s="6">
        <v>3073</v>
      </c>
      <c r="C3516" s="19">
        <v>39820</v>
      </c>
      <c r="D3516" s="6" t="s">
        <v>16</v>
      </c>
      <c r="E3516" s="6">
        <f>IF((ISBLANK($B$1)),"",Sheet1!Q3524)</f>
        <v>3750</v>
      </c>
      <c r="F3516" s="20" t="s">
        <v>27</v>
      </c>
      <c r="G3516" s="53">
        <f t="shared" si="55"/>
        <v>-1.282595635945766</v>
      </c>
      <c r="H3516" s="35"/>
      <c r="P3516" s="6"/>
    </row>
    <row r="3517" spans="1:16" ht="14.4" x14ac:dyDescent="0.25">
      <c r="A3517" s="6">
        <v>464</v>
      </c>
      <c r="B3517" s="6">
        <v>3168</v>
      </c>
      <c r="C3517" s="19">
        <v>40937</v>
      </c>
      <c r="D3517" s="6" t="s">
        <v>25</v>
      </c>
      <c r="E3517" s="6">
        <f>IF((ISBLANK($B$1)),"",Sheet1!Q3525)</f>
        <v>4100</v>
      </c>
      <c r="F3517" s="20" t="s">
        <v>29</v>
      </c>
      <c r="G3517" s="53">
        <f t="shared" si="55"/>
        <v>-0.79926164049742576</v>
      </c>
      <c r="H3517" s="35"/>
      <c r="P3517" s="6"/>
    </row>
    <row r="3518" spans="1:16" ht="14.4" x14ac:dyDescent="0.25">
      <c r="A3518" s="6">
        <v>469</v>
      </c>
      <c r="B3518" s="6">
        <v>3205</v>
      </c>
      <c r="C3518" s="19">
        <v>41009</v>
      </c>
      <c r="D3518" s="6" t="s">
        <v>25</v>
      </c>
      <c r="E3518" s="6">
        <f>IF((ISBLANK($B$1)),"",Sheet1!Q3526)</f>
        <v>3800</v>
      </c>
      <c r="F3518" s="20" t="s">
        <v>29</v>
      </c>
      <c r="G3518" s="53">
        <f t="shared" si="55"/>
        <v>-1.2135479223102887</v>
      </c>
      <c r="H3518" s="35"/>
      <c r="P3518" s="6"/>
    </row>
    <row r="3519" spans="1:16" ht="14.4" x14ac:dyDescent="0.25">
      <c r="A3519" s="6">
        <v>470</v>
      </c>
      <c r="B3519" s="6">
        <v>3205</v>
      </c>
      <c r="C3519" s="19">
        <v>41009</v>
      </c>
      <c r="D3519" s="6" t="s">
        <v>25</v>
      </c>
      <c r="E3519" s="6">
        <f>IF((ISBLANK($B$1)),"",Sheet1!Q3527)</f>
        <v>5500</v>
      </c>
      <c r="F3519" s="20" t="s">
        <v>29</v>
      </c>
      <c r="G3519" s="53">
        <f t="shared" si="55"/>
        <v>1.1340743412959351</v>
      </c>
      <c r="H3519" s="35"/>
      <c r="P3519" s="6"/>
    </row>
    <row r="3520" spans="1:16" ht="14.4" x14ac:dyDescent="0.25">
      <c r="A3520" s="6">
        <v>520</v>
      </c>
      <c r="B3520" s="6">
        <v>3559</v>
      </c>
      <c r="C3520" s="19">
        <v>41205</v>
      </c>
      <c r="D3520" s="6" t="s">
        <v>16</v>
      </c>
      <c r="E3520" s="6">
        <f>IF((ISBLANK($B$1)),"",Sheet1!Q3528)</f>
        <v>5100</v>
      </c>
      <c r="F3520" s="20" t="s">
        <v>26</v>
      </c>
      <c r="G3520" s="53">
        <f t="shared" si="55"/>
        <v>0.58169263221211776</v>
      </c>
      <c r="H3520" s="35"/>
      <c r="P3520" s="6"/>
    </row>
    <row r="3521" spans="1:16" ht="14.4" x14ac:dyDescent="0.25">
      <c r="A3521" s="6">
        <v>523</v>
      </c>
      <c r="B3521" s="6">
        <v>3586</v>
      </c>
      <c r="C3521" s="19">
        <v>40516</v>
      </c>
      <c r="D3521" s="6" t="s">
        <v>17</v>
      </c>
      <c r="E3521" s="6">
        <f>IF((ISBLANK($B$1)),"",Sheet1!Q3529)</f>
        <v>5000</v>
      </c>
      <c r="F3521" s="20" t="s">
        <v>29</v>
      </c>
      <c r="G3521" s="53">
        <f t="shared" si="55"/>
        <v>0.44359720494116334</v>
      </c>
      <c r="H3521" s="35"/>
      <c r="P3521" s="6"/>
    </row>
    <row r="3522" spans="1:16" ht="14.4" x14ac:dyDescent="0.25">
      <c r="A3522" s="6">
        <v>524</v>
      </c>
      <c r="B3522" s="6">
        <v>3586</v>
      </c>
      <c r="C3522" s="19">
        <v>40516</v>
      </c>
      <c r="D3522" s="6" t="s">
        <v>17</v>
      </c>
      <c r="E3522" s="6">
        <f>IF((ISBLANK($B$1)),"",Sheet1!Q3530)</f>
        <v>4950</v>
      </c>
      <c r="F3522" s="20" t="s">
        <v>29</v>
      </c>
      <c r="G3522" s="53">
        <f t="shared" si="55"/>
        <v>0.37454949130568621</v>
      </c>
      <c r="H3522" s="35"/>
      <c r="P3522" s="6"/>
    </row>
    <row r="3523" spans="1:16" ht="14.4" x14ac:dyDescent="0.25">
      <c r="A3523" s="6">
        <v>554</v>
      </c>
      <c r="B3523" s="6">
        <v>3750</v>
      </c>
      <c r="C3523" s="19">
        <v>40662</v>
      </c>
      <c r="D3523" s="6" t="s">
        <v>16</v>
      </c>
      <c r="E3523" s="6">
        <f>IF((ISBLANK($B$1)),"",Sheet1!Q3531)</f>
        <v>4000</v>
      </c>
      <c r="F3523" s="20" t="s">
        <v>26</v>
      </c>
      <c r="G3523" s="53">
        <f t="shared" si="55"/>
        <v>-0.93735706776838001</v>
      </c>
      <c r="H3523" s="35"/>
      <c r="P3523" s="6"/>
    </row>
    <row r="3524" spans="1:16" ht="14.4" x14ac:dyDescent="0.25">
      <c r="A3524" s="6">
        <v>556</v>
      </c>
      <c r="B3524" s="6">
        <v>3778</v>
      </c>
      <c r="C3524" s="19">
        <v>40323</v>
      </c>
      <c r="D3524" s="6" t="s">
        <v>30</v>
      </c>
      <c r="E3524" s="6">
        <f>IF((ISBLANK($B$1)),"",Sheet1!Q3532)</f>
        <v>5100</v>
      </c>
      <c r="F3524" s="20" t="s">
        <v>27</v>
      </c>
      <c r="G3524" s="53">
        <f t="shared" si="55"/>
        <v>0.58169263221211776</v>
      </c>
      <c r="H3524" s="35"/>
      <c r="P3524" s="6"/>
    </row>
    <row r="3525" spans="1:16" ht="14.4" x14ac:dyDescent="0.25">
      <c r="A3525" s="6">
        <v>557</v>
      </c>
      <c r="B3525" s="6">
        <v>3778</v>
      </c>
      <c r="C3525" s="19">
        <v>40323</v>
      </c>
      <c r="D3525" s="6" t="s">
        <v>30</v>
      </c>
      <c r="E3525" s="6">
        <f>IF((ISBLANK($B$1)),"",Sheet1!Q3533)</f>
        <v>4000</v>
      </c>
      <c r="F3525" s="20" t="s">
        <v>27</v>
      </c>
      <c r="G3525" s="53">
        <f t="shared" si="55"/>
        <v>-0.93735706776838001</v>
      </c>
      <c r="H3525" s="35"/>
      <c r="P3525" s="6"/>
    </row>
    <row r="3526" spans="1:16" ht="14.4" x14ac:dyDescent="0.25">
      <c r="A3526" s="6">
        <v>558</v>
      </c>
      <c r="B3526" s="6">
        <v>3778</v>
      </c>
      <c r="C3526" s="19">
        <v>40323</v>
      </c>
      <c r="D3526" s="6" t="s">
        <v>30</v>
      </c>
      <c r="E3526" s="6">
        <f>IF((ISBLANK($B$1)),"",Sheet1!Q3534)</f>
        <v>3550</v>
      </c>
      <c r="F3526" s="20" t="s">
        <v>26</v>
      </c>
      <c r="G3526" s="53">
        <f t="shared" si="55"/>
        <v>-1.5587864904876745</v>
      </c>
      <c r="H3526" s="35"/>
      <c r="P3526" s="6"/>
    </row>
    <row r="3527" spans="1:16" ht="14.4" x14ac:dyDescent="0.25">
      <c r="A3527" s="6">
        <v>559</v>
      </c>
      <c r="B3527" s="6">
        <v>3778</v>
      </c>
      <c r="C3527" s="19">
        <v>40323</v>
      </c>
      <c r="D3527" s="6" t="s">
        <v>30</v>
      </c>
      <c r="E3527" s="6">
        <f>IF((ISBLANK($B$1)),"",Sheet1!Q3535)</f>
        <v>5100</v>
      </c>
      <c r="F3527" s="20" t="s">
        <v>27</v>
      </c>
      <c r="G3527" s="53">
        <f t="shared" si="55"/>
        <v>0.58169263221211776</v>
      </c>
      <c r="H3527" s="35"/>
      <c r="P3527" s="6"/>
    </row>
    <row r="3528" spans="1:16" ht="14.4" x14ac:dyDescent="0.25">
      <c r="A3528" s="6">
        <v>566</v>
      </c>
      <c r="B3528" s="6">
        <v>3841</v>
      </c>
      <c r="C3528" s="19">
        <v>40090</v>
      </c>
      <c r="D3528" s="6" t="s">
        <v>28</v>
      </c>
      <c r="E3528" s="6">
        <f>IF((ISBLANK($B$1)),"",Sheet1!Q3536)</f>
        <v>4350</v>
      </c>
      <c r="F3528" s="20" t="s">
        <v>26</v>
      </c>
      <c r="G3528" s="53">
        <f t="shared" ref="G3528:G3591" si="56">STANDARDIZE(E3528,$L$26,$L$35)</f>
        <v>-0.45402307232003986</v>
      </c>
      <c r="H3528" s="35"/>
      <c r="P3528" s="6"/>
    </row>
    <row r="3529" spans="1:16" ht="14.4" x14ac:dyDescent="0.25">
      <c r="A3529" s="6">
        <v>567</v>
      </c>
      <c r="B3529" s="6">
        <v>3841</v>
      </c>
      <c r="C3529" s="19">
        <v>40090</v>
      </c>
      <c r="D3529" s="6" t="s">
        <v>28</v>
      </c>
      <c r="E3529" s="6">
        <f>IF((ISBLANK($B$1)),"",Sheet1!Q3537)</f>
        <v>4400</v>
      </c>
      <c r="F3529" s="20" t="s">
        <v>26</v>
      </c>
      <c r="G3529" s="53">
        <f t="shared" si="56"/>
        <v>-0.38497535868456267</v>
      </c>
      <c r="H3529" s="35"/>
      <c r="P3529" s="6"/>
    </row>
    <row r="3530" spans="1:16" ht="14.4" x14ac:dyDescent="0.25">
      <c r="A3530" s="6">
        <v>568</v>
      </c>
      <c r="B3530" s="6">
        <v>3841</v>
      </c>
      <c r="C3530" s="19">
        <v>40090</v>
      </c>
      <c r="D3530" s="6" t="s">
        <v>28</v>
      </c>
      <c r="E3530" s="6">
        <f>IF((ISBLANK($B$1)),"",Sheet1!Q3538)</f>
        <v>5550</v>
      </c>
      <c r="F3530" s="20" t="s">
        <v>27</v>
      </c>
      <c r="G3530" s="53">
        <f t="shared" si="56"/>
        <v>1.2031220549314123</v>
      </c>
      <c r="H3530" s="35"/>
      <c r="P3530" s="6"/>
    </row>
    <row r="3531" spans="1:16" ht="14.4" x14ac:dyDescent="0.25">
      <c r="A3531" s="6">
        <v>584</v>
      </c>
      <c r="B3531" s="6">
        <v>4004</v>
      </c>
      <c r="C3531" s="19">
        <v>40304</v>
      </c>
      <c r="D3531" s="6" t="s">
        <v>16</v>
      </c>
      <c r="E3531" s="6">
        <f>IF((ISBLANK($B$1)),"",Sheet1!Q3539)</f>
        <v>4100</v>
      </c>
      <c r="F3531" s="20" t="s">
        <v>26</v>
      </c>
      <c r="G3531" s="53">
        <f t="shared" si="56"/>
        <v>-0.79926164049742576</v>
      </c>
      <c r="H3531" s="35"/>
      <c r="P3531" s="6"/>
    </row>
    <row r="3532" spans="1:16" ht="14.4" x14ac:dyDescent="0.25">
      <c r="A3532" s="6">
        <v>585</v>
      </c>
      <c r="B3532" s="6">
        <v>4004</v>
      </c>
      <c r="C3532" s="19">
        <v>40304</v>
      </c>
      <c r="D3532" s="6" t="s">
        <v>16</v>
      </c>
      <c r="E3532" s="6">
        <f>IF((ISBLANK($B$1)),"",Sheet1!Q3540)</f>
        <v>5600</v>
      </c>
      <c r="F3532" s="20" t="s">
        <v>26</v>
      </c>
      <c r="G3532" s="53">
        <f t="shared" si="56"/>
        <v>1.2721697685668893</v>
      </c>
      <c r="H3532" s="35"/>
      <c r="P3532" s="6"/>
    </row>
    <row r="3533" spans="1:16" ht="14.4" x14ac:dyDescent="0.25">
      <c r="A3533" s="6">
        <v>599</v>
      </c>
      <c r="B3533" s="6">
        <v>4096</v>
      </c>
      <c r="C3533" s="19">
        <v>41092</v>
      </c>
      <c r="D3533" s="6" t="s">
        <v>28</v>
      </c>
      <c r="E3533" s="6">
        <f>IF((ISBLANK($B$1)),"",Sheet1!Q3541)</f>
        <v>4450</v>
      </c>
      <c r="F3533" s="20" t="s">
        <v>26</v>
      </c>
      <c r="G3533" s="53">
        <f t="shared" si="56"/>
        <v>-0.31592764504908549</v>
      </c>
      <c r="H3533" s="35"/>
      <c r="P3533" s="6"/>
    </row>
    <row r="3534" spans="1:16" ht="14.4" x14ac:dyDescent="0.25">
      <c r="A3534" s="6">
        <v>682</v>
      </c>
      <c r="B3534" s="6">
        <v>4769</v>
      </c>
      <c r="C3534" s="19">
        <v>40646</v>
      </c>
      <c r="D3534" s="6" t="s">
        <v>28</v>
      </c>
      <c r="E3534" s="6">
        <f>IF((ISBLANK($B$1)),"",Sheet1!Q3542)</f>
        <v>5450</v>
      </c>
      <c r="F3534" s="20" t="s">
        <v>26</v>
      </c>
      <c r="G3534" s="53">
        <f t="shared" si="56"/>
        <v>1.0650266276604579</v>
      </c>
      <c r="H3534" s="35"/>
      <c r="P3534" s="6"/>
    </row>
    <row r="3535" spans="1:16" ht="14.4" x14ac:dyDescent="0.25">
      <c r="A3535" s="6">
        <v>688</v>
      </c>
      <c r="B3535" s="6">
        <v>4800</v>
      </c>
      <c r="C3535" s="19">
        <v>40913</v>
      </c>
      <c r="D3535" s="6" t="s">
        <v>25</v>
      </c>
      <c r="E3535" s="6">
        <f>IF((ISBLANK($B$1)),"",Sheet1!Q3543)</f>
        <v>3600</v>
      </c>
      <c r="F3535" s="20" t="s">
        <v>26</v>
      </c>
      <c r="G3535" s="53">
        <f t="shared" si="56"/>
        <v>-1.4897387768521975</v>
      </c>
      <c r="H3535" s="35"/>
      <c r="P3535" s="6"/>
    </row>
    <row r="3536" spans="1:16" ht="14.4" x14ac:dyDescent="0.25">
      <c r="A3536" s="6">
        <v>689</v>
      </c>
      <c r="B3536" s="6">
        <v>4800</v>
      </c>
      <c r="C3536" s="19">
        <v>40913</v>
      </c>
      <c r="D3536" s="6" t="s">
        <v>25</v>
      </c>
      <c r="E3536" s="6">
        <f>IF((ISBLANK($B$1)),"",Sheet1!Q3544)</f>
        <v>4250</v>
      </c>
      <c r="F3536" s="20" t="s">
        <v>26</v>
      </c>
      <c r="G3536" s="53">
        <f t="shared" si="56"/>
        <v>-0.59211849959099416</v>
      </c>
      <c r="H3536" s="35"/>
      <c r="P3536" s="6"/>
    </row>
    <row r="3537" spans="1:16" ht="14.4" x14ac:dyDescent="0.25">
      <c r="A3537" s="6">
        <v>690</v>
      </c>
      <c r="B3537" s="6">
        <v>4800</v>
      </c>
      <c r="C3537" s="19">
        <v>40913</v>
      </c>
      <c r="D3537" s="6" t="s">
        <v>25</v>
      </c>
      <c r="E3537" s="6">
        <f>IF((ISBLANK($B$1)),"",Sheet1!Q3545)</f>
        <v>3750</v>
      </c>
      <c r="F3537" s="20" t="s">
        <v>26</v>
      </c>
      <c r="G3537" s="53">
        <f t="shared" si="56"/>
        <v>-1.282595635945766</v>
      </c>
      <c r="H3537" s="35"/>
      <c r="P3537" s="6"/>
    </row>
    <row r="3538" spans="1:16" ht="14.4" x14ac:dyDescent="0.25">
      <c r="A3538" s="6">
        <v>778</v>
      </c>
      <c r="B3538" s="6">
        <v>5543</v>
      </c>
      <c r="C3538" s="19">
        <v>40445</v>
      </c>
      <c r="D3538" s="6" t="s">
        <v>16</v>
      </c>
      <c r="E3538" s="6">
        <f>IF((ISBLANK($B$1)),"",Sheet1!Q3546)</f>
        <v>4150</v>
      </c>
      <c r="F3538" s="20" t="s">
        <v>26</v>
      </c>
      <c r="G3538" s="53">
        <f t="shared" si="56"/>
        <v>-0.73021392686194853</v>
      </c>
      <c r="H3538" s="35"/>
      <c r="P3538" s="6"/>
    </row>
    <row r="3539" spans="1:16" ht="14.4" x14ac:dyDescent="0.25">
      <c r="A3539" s="6">
        <v>779</v>
      </c>
      <c r="B3539" s="6">
        <v>5543</v>
      </c>
      <c r="C3539" s="19">
        <v>40445</v>
      </c>
      <c r="D3539" s="6" t="s">
        <v>16</v>
      </c>
      <c r="E3539" s="6">
        <f>IF((ISBLANK($B$1)),"",Sheet1!Q3547)</f>
        <v>3700</v>
      </c>
      <c r="F3539" s="20" t="s">
        <v>26</v>
      </c>
      <c r="G3539" s="53">
        <f t="shared" si="56"/>
        <v>-1.351643349581243</v>
      </c>
      <c r="H3539" s="35"/>
      <c r="P3539" s="6"/>
    </row>
    <row r="3540" spans="1:16" ht="14.4" x14ac:dyDescent="0.25">
      <c r="A3540" s="6">
        <v>780</v>
      </c>
      <c r="B3540" s="6">
        <v>5543</v>
      </c>
      <c r="C3540" s="19">
        <v>40445</v>
      </c>
      <c r="D3540" s="6" t="s">
        <v>16</v>
      </c>
      <c r="E3540" s="6">
        <f>IF((ISBLANK($B$1)),"",Sheet1!Q3548)</f>
        <v>4750</v>
      </c>
      <c r="F3540" s="20" t="s">
        <v>26</v>
      </c>
      <c r="G3540" s="53">
        <f t="shared" si="56"/>
        <v>9.8358636763777513E-2</v>
      </c>
      <c r="H3540" s="35"/>
      <c r="P3540" s="6"/>
    </row>
    <row r="3541" spans="1:16" ht="14.4" x14ac:dyDescent="0.25">
      <c r="A3541" s="6">
        <v>789</v>
      </c>
      <c r="B3541" s="6">
        <v>5636</v>
      </c>
      <c r="C3541" s="19">
        <v>40589</v>
      </c>
      <c r="D3541" s="6" t="s">
        <v>16</v>
      </c>
      <c r="E3541" s="6">
        <f>IF((ISBLANK($B$1)),"",Sheet1!Q3549)</f>
        <v>4550</v>
      </c>
      <c r="F3541" s="20" t="s">
        <v>26</v>
      </c>
      <c r="G3541" s="53">
        <f t="shared" si="56"/>
        <v>-0.17783221777813119</v>
      </c>
      <c r="H3541" s="35"/>
      <c r="P3541" s="6"/>
    </row>
    <row r="3542" spans="1:16" ht="14.4" x14ac:dyDescent="0.25">
      <c r="A3542" s="6">
        <v>843</v>
      </c>
      <c r="B3542" s="6">
        <v>6050</v>
      </c>
      <c r="C3542" s="19">
        <v>40265</v>
      </c>
      <c r="D3542" s="6" t="s">
        <v>25</v>
      </c>
      <c r="E3542" s="6">
        <f>IF((ISBLANK($B$1)),"",Sheet1!Q3550)</f>
        <v>3550</v>
      </c>
      <c r="F3542" s="20" t="s">
        <v>27</v>
      </c>
      <c r="G3542" s="53">
        <f t="shared" si="56"/>
        <v>-1.5587864904876745</v>
      </c>
      <c r="H3542" s="35"/>
      <c r="P3542" s="6"/>
    </row>
    <row r="3543" spans="1:16" ht="14.4" x14ac:dyDescent="0.25">
      <c r="A3543" s="6">
        <v>844</v>
      </c>
      <c r="B3543" s="6">
        <v>6050</v>
      </c>
      <c r="C3543" s="19">
        <v>40265</v>
      </c>
      <c r="D3543" s="6" t="s">
        <v>25</v>
      </c>
      <c r="E3543" s="6">
        <f>IF((ISBLANK($B$1)),"",Sheet1!Q3551)</f>
        <v>5750</v>
      </c>
      <c r="F3543" s="20" t="s">
        <v>29</v>
      </c>
      <c r="G3543" s="53">
        <f t="shared" si="56"/>
        <v>1.4793129094733208</v>
      </c>
      <c r="H3543" s="35"/>
      <c r="P3543" s="6"/>
    </row>
    <row r="3544" spans="1:16" ht="14.4" x14ac:dyDescent="0.25">
      <c r="A3544" s="6">
        <v>857</v>
      </c>
      <c r="B3544" s="6">
        <v>6148</v>
      </c>
      <c r="C3544" s="19">
        <v>40901</v>
      </c>
      <c r="D3544" s="6" t="s">
        <v>16</v>
      </c>
      <c r="E3544" s="6">
        <f>IF((ISBLANK($B$1)),"",Sheet1!Q3552)</f>
        <v>5900</v>
      </c>
      <c r="F3544" s="20" t="s">
        <v>29</v>
      </c>
      <c r="G3544" s="53">
        <f t="shared" si="56"/>
        <v>1.6864560503797523</v>
      </c>
      <c r="H3544" s="35"/>
      <c r="P3544" s="6"/>
    </row>
    <row r="3545" spans="1:16" ht="14.4" x14ac:dyDescent="0.25">
      <c r="A3545" s="6">
        <v>858</v>
      </c>
      <c r="B3545" s="6">
        <v>6148</v>
      </c>
      <c r="C3545" s="19">
        <v>40901</v>
      </c>
      <c r="D3545" s="6" t="s">
        <v>16</v>
      </c>
      <c r="E3545" s="6">
        <f>IF((ISBLANK($B$1)),"",Sheet1!Q3553)</f>
        <v>4300</v>
      </c>
      <c r="F3545" s="20" t="s">
        <v>29</v>
      </c>
      <c r="G3545" s="53">
        <f t="shared" si="56"/>
        <v>-0.52307078595551704</v>
      </c>
      <c r="H3545" s="35"/>
      <c r="P3545" s="6"/>
    </row>
    <row r="3546" spans="1:16" ht="14.4" x14ac:dyDescent="0.25">
      <c r="A3546" s="6">
        <v>930</v>
      </c>
      <c r="B3546" s="6">
        <v>6727</v>
      </c>
      <c r="C3546" s="19">
        <v>40054</v>
      </c>
      <c r="D3546" s="6" t="s">
        <v>25</v>
      </c>
      <c r="E3546" s="6">
        <f>IF((ISBLANK($B$1)),"",Sheet1!Q3554)</f>
        <v>4000</v>
      </c>
      <c r="F3546" s="20" t="s">
        <v>26</v>
      </c>
      <c r="G3546" s="53">
        <f t="shared" si="56"/>
        <v>-0.93735706776838001</v>
      </c>
      <c r="H3546" s="35"/>
      <c r="P3546" s="6"/>
    </row>
    <row r="3547" spans="1:16" ht="14.4" x14ac:dyDescent="0.25">
      <c r="A3547" s="6">
        <v>979</v>
      </c>
      <c r="B3547" s="6">
        <v>7079</v>
      </c>
      <c r="C3547" s="19">
        <v>40217</v>
      </c>
      <c r="D3547" s="6" t="s">
        <v>16</v>
      </c>
      <c r="E3547" s="6">
        <f>IF((ISBLANK($B$1)),"",Sheet1!Q3555)</f>
        <v>5600</v>
      </c>
      <c r="F3547" s="20" t="s">
        <v>29</v>
      </c>
      <c r="G3547" s="53">
        <f t="shared" si="56"/>
        <v>1.2721697685668893</v>
      </c>
      <c r="H3547" s="35"/>
      <c r="P3547" s="6"/>
    </row>
    <row r="3548" spans="1:16" ht="14.4" x14ac:dyDescent="0.25">
      <c r="A3548" s="6">
        <v>980</v>
      </c>
      <c r="B3548" s="6">
        <v>7079</v>
      </c>
      <c r="C3548" s="19">
        <v>40217</v>
      </c>
      <c r="D3548" s="6" t="s">
        <v>16</v>
      </c>
      <c r="E3548" s="6">
        <f>IF((ISBLANK($B$1)),"",Sheet1!Q3556)</f>
        <v>4300</v>
      </c>
      <c r="F3548" s="20" t="s">
        <v>26</v>
      </c>
      <c r="G3548" s="53">
        <f t="shared" si="56"/>
        <v>-0.52307078595551704</v>
      </c>
      <c r="H3548" s="35"/>
      <c r="P3548" s="6"/>
    </row>
    <row r="3549" spans="1:16" ht="14.4" x14ac:dyDescent="0.25">
      <c r="A3549" s="6">
        <v>1005</v>
      </c>
      <c r="B3549" s="6">
        <v>7301</v>
      </c>
      <c r="C3549" s="19">
        <v>40540</v>
      </c>
      <c r="D3549" s="6" t="s">
        <v>25</v>
      </c>
      <c r="E3549" s="6">
        <f>IF((ISBLANK($B$1)),"",Sheet1!Q3557)</f>
        <v>4250</v>
      </c>
      <c r="F3549" s="20" t="s">
        <v>27</v>
      </c>
      <c r="G3549" s="53">
        <f t="shared" si="56"/>
        <v>-0.59211849959099416</v>
      </c>
      <c r="H3549" s="35"/>
      <c r="P3549" s="6"/>
    </row>
    <row r="3550" spans="1:16" ht="14.4" x14ac:dyDescent="0.25">
      <c r="A3550" s="6">
        <v>1041</v>
      </c>
      <c r="B3550" s="6">
        <v>7623</v>
      </c>
      <c r="C3550" s="19">
        <v>40114</v>
      </c>
      <c r="D3550" s="6" t="s">
        <v>30</v>
      </c>
      <c r="E3550" s="6">
        <f>IF((ISBLANK($B$1)),"",Sheet1!Q3558)</f>
        <v>4300</v>
      </c>
      <c r="F3550" s="20" t="s">
        <v>26</v>
      </c>
      <c r="G3550" s="53">
        <f t="shared" si="56"/>
        <v>-0.52307078595551704</v>
      </c>
      <c r="H3550" s="35"/>
      <c r="P3550" s="6"/>
    </row>
    <row r="3551" spans="1:16" ht="14.4" x14ac:dyDescent="0.25">
      <c r="A3551" s="6">
        <v>1042</v>
      </c>
      <c r="B3551" s="6">
        <v>7623</v>
      </c>
      <c r="C3551" s="19">
        <v>40114</v>
      </c>
      <c r="D3551" s="6" t="s">
        <v>30</v>
      </c>
      <c r="E3551" s="6">
        <f>IF((ISBLANK($B$1)),"",Sheet1!Q3559)</f>
        <v>5250</v>
      </c>
      <c r="F3551" s="20" t="s">
        <v>27</v>
      </c>
      <c r="G3551" s="53">
        <f t="shared" si="56"/>
        <v>0.78883577311854924</v>
      </c>
      <c r="H3551" s="35"/>
      <c r="P3551" s="6"/>
    </row>
    <row r="3552" spans="1:16" ht="14.4" x14ac:dyDescent="0.25">
      <c r="A3552" s="6">
        <v>1043</v>
      </c>
      <c r="B3552" s="6">
        <v>7623</v>
      </c>
      <c r="C3552" s="19">
        <v>40114</v>
      </c>
      <c r="D3552" s="6" t="s">
        <v>30</v>
      </c>
      <c r="E3552" s="6">
        <f>IF((ISBLANK($B$1)),"",Sheet1!Q3560)</f>
        <v>5000</v>
      </c>
      <c r="F3552" s="20" t="s">
        <v>26</v>
      </c>
      <c r="G3552" s="53">
        <f t="shared" si="56"/>
        <v>0.44359720494116334</v>
      </c>
      <c r="H3552" s="35"/>
      <c r="P3552" s="6"/>
    </row>
    <row r="3553" spans="1:16" ht="14.4" x14ac:dyDescent="0.25">
      <c r="A3553" s="6">
        <v>1084</v>
      </c>
      <c r="B3553" s="6">
        <v>8000</v>
      </c>
      <c r="C3553" s="19">
        <v>40440</v>
      </c>
      <c r="D3553" s="6" t="s">
        <v>25</v>
      </c>
      <c r="E3553" s="6">
        <f>IF((ISBLANK($B$1)),"",Sheet1!Q3561)</f>
        <v>3900</v>
      </c>
      <c r="F3553" s="20" t="s">
        <v>26</v>
      </c>
      <c r="G3553" s="53">
        <f t="shared" si="56"/>
        <v>-1.0754524950393345</v>
      </c>
      <c r="H3553" s="35"/>
      <c r="P3553" s="6"/>
    </row>
    <row r="3554" spans="1:16" ht="14.4" x14ac:dyDescent="0.25">
      <c r="A3554" s="6">
        <v>1085</v>
      </c>
      <c r="B3554" s="6">
        <v>8000</v>
      </c>
      <c r="C3554" s="19">
        <v>40440</v>
      </c>
      <c r="D3554" s="6" t="s">
        <v>25</v>
      </c>
      <c r="E3554" s="6">
        <f>IF((ISBLANK($B$1)),"",Sheet1!Q3562)</f>
        <v>3450</v>
      </c>
      <c r="F3554" s="20" t="s">
        <v>26</v>
      </c>
      <c r="G3554" s="53">
        <f t="shared" si="56"/>
        <v>-1.696881917758629</v>
      </c>
      <c r="H3554" s="35"/>
      <c r="P3554" s="6"/>
    </row>
    <row r="3555" spans="1:16" ht="14.4" x14ac:dyDescent="0.25">
      <c r="A3555" s="6">
        <v>1097</v>
      </c>
      <c r="B3555" s="6">
        <v>8039</v>
      </c>
      <c r="C3555" s="19">
        <v>41144</v>
      </c>
      <c r="D3555" s="6" t="s">
        <v>16</v>
      </c>
      <c r="E3555" s="6">
        <f>IF((ISBLANK($B$1)),"",Sheet1!Q3563)</f>
        <v>5250</v>
      </c>
      <c r="F3555" s="20" t="s">
        <v>26</v>
      </c>
      <c r="G3555" s="53">
        <f t="shared" si="56"/>
        <v>0.78883577311854924</v>
      </c>
      <c r="H3555" s="35"/>
      <c r="P3555" s="6"/>
    </row>
    <row r="3556" spans="1:16" ht="14.4" x14ac:dyDescent="0.25">
      <c r="A3556" s="6">
        <v>1112</v>
      </c>
      <c r="B3556" s="6">
        <v>8162</v>
      </c>
      <c r="C3556" s="19">
        <v>40093</v>
      </c>
      <c r="D3556" s="6" t="s">
        <v>16</v>
      </c>
      <c r="E3556" s="6">
        <f>IF((ISBLANK($B$1)),"",Sheet1!Q3564)</f>
        <v>4650</v>
      </c>
      <c r="F3556" s="20" t="s">
        <v>27</v>
      </c>
      <c r="G3556" s="53">
        <f t="shared" si="56"/>
        <v>-3.9736790507176829E-2</v>
      </c>
      <c r="H3556" s="35"/>
      <c r="P3556" s="6"/>
    </row>
    <row r="3557" spans="1:16" ht="14.4" x14ac:dyDescent="0.25">
      <c r="A3557" s="6">
        <v>1113</v>
      </c>
      <c r="B3557" s="6">
        <v>8162</v>
      </c>
      <c r="C3557" s="19">
        <v>40093</v>
      </c>
      <c r="D3557" s="6" t="s">
        <v>16</v>
      </c>
      <c r="E3557" s="6">
        <f>IF((ISBLANK($B$1)),"",Sheet1!Q3565)</f>
        <v>5000</v>
      </c>
      <c r="F3557" s="20" t="s">
        <v>27</v>
      </c>
      <c r="G3557" s="53">
        <f t="shared" si="56"/>
        <v>0.44359720494116334</v>
      </c>
      <c r="H3557" s="35"/>
      <c r="P3557" s="6"/>
    </row>
    <row r="3558" spans="1:16" ht="14.4" x14ac:dyDescent="0.25">
      <c r="A3558" s="6">
        <v>1114</v>
      </c>
      <c r="B3558" s="6">
        <v>8162</v>
      </c>
      <c r="C3558" s="19">
        <v>40093</v>
      </c>
      <c r="D3558" s="6" t="s">
        <v>16</v>
      </c>
      <c r="E3558" s="6">
        <f>IF((ISBLANK($B$1)),"",Sheet1!Q3566)</f>
        <v>5500</v>
      </c>
      <c r="F3558" s="20" t="s">
        <v>26</v>
      </c>
      <c r="G3558" s="53">
        <f t="shared" si="56"/>
        <v>1.1340743412959351</v>
      </c>
      <c r="H3558" s="35"/>
      <c r="P3558" s="6"/>
    </row>
    <row r="3559" spans="1:16" ht="14.4" x14ac:dyDescent="0.25">
      <c r="A3559" s="6">
        <v>1211</v>
      </c>
      <c r="B3559" s="6">
        <v>8870</v>
      </c>
      <c r="C3559" s="19">
        <v>40242</v>
      </c>
      <c r="D3559" s="6" t="s">
        <v>28</v>
      </c>
      <c r="E3559" s="6">
        <f>IF((ISBLANK($B$1)),"",Sheet1!Q3567)</f>
        <v>4150</v>
      </c>
      <c r="F3559" s="20" t="s">
        <v>26</v>
      </c>
      <c r="G3559" s="53">
        <f t="shared" si="56"/>
        <v>-0.73021392686194853</v>
      </c>
      <c r="H3559" s="35"/>
      <c r="P3559" s="6"/>
    </row>
    <row r="3560" spans="1:16" ht="14.4" x14ac:dyDescent="0.25">
      <c r="A3560" s="6">
        <v>1275</v>
      </c>
      <c r="B3560" s="6">
        <v>9253</v>
      </c>
      <c r="C3560" s="19">
        <v>40938</v>
      </c>
      <c r="D3560" s="6" t="s">
        <v>30</v>
      </c>
      <c r="E3560" s="6">
        <f>IF((ISBLANK($B$1)),"",Sheet1!Q3568)</f>
        <v>5200</v>
      </c>
      <c r="F3560" s="20" t="s">
        <v>29</v>
      </c>
      <c r="G3560" s="53">
        <f t="shared" si="56"/>
        <v>0.71978805948307201</v>
      </c>
      <c r="H3560" s="35"/>
      <c r="P3560" s="6"/>
    </row>
    <row r="3561" spans="1:16" ht="14.4" x14ac:dyDescent="0.25">
      <c r="A3561" s="6">
        <v>1490</v>
      </c>
      <c r="B3561" s="6">
        <v>10722</v>
      </c>
      <c r="C3561" s="19">
        <v>40562</v>
      </c>
      <c r="D3561" s="6" t="s">
        <v>28</v>
      </c>
      <c r="E3561" s="6">
        <f>IF((ISBLANK($B$1)),"",Sheet1!Q3569)</f>
        <v>3800</v>
      </c>
      <c r="F3561" s="20" t="s">
        <v>26</v>
      </c>
      <c r="G3561" s="53">
        <f t="shared" si="56"/>
        <v>-1.2135479223102887</v>
      </c>
      <c r="H3561" s="35"/>
      <c r="P3561" s="6"/>
    </row>
    <row r="3562" spans="1:16" ht="14.4" x14ac:dyDescent="0.25">
      <c r="A3562" s="6">
        <v>1595</v>
      </c>
      <c r="B3562" s="6">
        <v>11527</v>
      </c>
      <c r="C3562" s="19">
        <v>39996</v>
      </c>
      <c r="D3562" s="6" t="s">
        <v>16</v>
      </c>
      <c r="E3562" s="6">
        <f>IF((ISBLANK($B$1)),"",Sheet1!Q3570)</f>
        <v>5650</v>
      </c>
      <c r="F3562" s="20" t="s">
        <v>29</v>
      </c>
      <c r="G3562" s="53">
        <f t="shared" si="56"/>
        <v>1.3412174822023666</v>
      </c>
      <c r="H3562" s="35"/>
      <c r="P3562" s="6"/>
    </row>
    <row r="3563" spans="1:16" ht="14.4" x14ac:dyDescent="0.25">
      <c r="A3563" s="6">
        <v>1613</v>
      </c>
      <c r="B3563" s="6">
        <v>11683</v>
      </c>
      <c r="C3563" s="19">
        <v>40946</v>
      </c>
      <c r="D3563" s="6" t="s">
        <v>28</v>
      </c>
      <c r="E3563" s="6">
        <f>IF((ISBLANK($B$1)),"",Sheet1!Q3571)</f>
        <v>4800</v>
      </c>
      <c r="F3563" s="20" t="s">
        <v>27</v>
      </c>
      <c r="G3563" s="53">
        <f t="shared" si="56"/>
        <v>0.16740635039925467</v>
      </c>
      <c r="H3563" s="35"/>
      <c r="P3563" s="6"/>
    </row>
    <row r="3564" spans="1:16" ht="14.4" x14ac:dyDescent="0.25">
      <c r="A3564" s="6">
        <v>1730</v>
      </c>
      <c r="B3564" s="6">
        <v>12448</v>
      </c>
      <c r="C3564" s="19">
        <v>40855</v>
      </c>
      <c r="D3564" s="6" t="s">
        <v>30</v>
      </c>
      <c r="E3564" s="6">
        <f>IF((ISBLANK($B$1)),"",Sheet1!Q3572)</f>
        <v>5050</v>
      </c>
      <c r="F3564" s="20" t="s">
        <v>26</v>
      </c>
      <c r="G3564" s="53">
        <f t="shared" si="56"/>
        <v>0.51264491857664052</v>
      </c>
      <c r="H3564" s="35"/>
      <c r="P3564" s="6"/>
    </row>
    <row r="3565" spans="1:16" ht="14.4" x14ac:dyDescent="0.25">
      <c r="A3565" s="6">
        <v>1731</v>
      </c>
      <c r="B3565" s="6">
        <v>12448</v>
      </c>
      <c r="C3565" s="19">
        <v>40855</v>
      </c>
      <c r="D3565" s="6" t="s">
        <v>30</v>
      </c>
      <c r="E3565" s="6">
        <f>IF((ISBLANK($B$1)),"",Sheet1!Q3573)</f>
        <v>4600</v>
      </c>
      <c r="F3565" s="20" t="s">
        <v>29</v>
      </c>
      <c r="G3565" s="53">
        <f t="shared" si="56"/>
        <v>-0.108784504142654</v>
      </c>
      <c r="H3565" s="35"/>
      <c r="P3565" s="6"/>
    </row>
    <row r="3566" spans="1:16" ht="14.4" x14ac:dyDescent="0.25">
      <c r="A3566" s="6">
        <v>1816</v>
      </c>
      <c r="B3566" s="6">
        <v>13028</v>
      </c>
      <c r="C3566" s="19">
        <v>39911</v>
      </c>
      <c r="D3566" s="6" t="s">
        <v>30</v>
      </c>
      <c r="E3566" s="6">
        <f>IF((ISBLANK($B$1)),"",Sheet1!Q3574)</f>
        <v>5350</v>
      </c>
      <c r="F3566" s="20" t="s">
        <v>26</v>
      </c>
      <c r="G3566" s="53">
        <f t="shared" si="56"/>
        <v>0.92693120038950361</v>
      </c>
      <c r="H3566" s="35"/>
      <c r="P3566" s="6"/>
    </row>
    <row r="3567" spans="1:16" ht="14.4" x14ac:dyDescent="0.25">
      <c r="A3567" s="6">
        <v>1835</v>
      </c>
      <c r="B3567" s="6">
        <v>13156</v>
      </c>
      <c r="C3567" s="19">
        <v>40821</v>
      </c>
      <c r="D3567" s="6" t="s">
        <v>25</v>
      </c>
      <c r="E3567" s="6">
        <f>IF((ISBLANK($B$1)),"",Sheet1!Q3575)</f>
        <v>4000</v>
      </c>
      <c r="F3567" s="20" t="s">
        <v>29</v>
      </c>
      <c r="G3567" s="53">
        <f t="shared" si="56"/>
        <v>-0.93735706776838001</v>
      </c>
      <c r="H3567" s="35"/>
      <c r="P3567" s="6"/>
    </row>
    <row r="3568" spans="1:16" ht="14.4" x14ac:dyDescent="0.25">
      <c r="A3568" s="6">
        <v>1840</v>
      </c>
      <c r="B3568" s="6">
        <v>13252</v>
      </c>
      <c r="C3568" s="19">
        <v>39894</v>
      </c>
      <c r="D3568" s="6" t="s">
        <v>28</v>
      </c>
      <c r="E3568" s="6">
        <f>IF((ISBLANK($B$1)),"",Sheet1!Q3576)</f>
        <v>5600</v>
      </c>
      <c r="F3568" s="20" t="s">
        <v>29</v>
      </c>
      <c r="G3568" s="53">
        <f t="shared" si="56"/>
        <v>1.2721697685668893</v>
      </c>
      <c r="H3568" s="35"/>
      <c r="P3568" s="6"/>
    </row>
    <row r="3569" spans="1:16" ht="14.4" x14ac:dyDescent="0.25">
      <c r="A3569" s="6">
        <v>1841</v>
      </c>
      <c r="B3569" s="6">
        <v>13252</v>
      </c>
      <c r="C3569" s="19">
        <v>39894</v>
      </c>
      <c r="D3569" s="6" t="s">
        <v>28</v>
      </c>
      <c r="E3569" s="6">
        <f>IF((ISBLANK($B$1)),"",Sheet1!Q3577)</f>
        <v>5350</v>
      </c>
      <c r="F3569" s="20" t="s">
        <v>27</v>
      </c>
      <c r="G3569" s="53">
        <f t="shared" si="56"/>
        <v>0.92693120038950361</v>
      </c>
      <c r="H3569" s="35"/>
      <c r="P3569" s="6"/>
    </row>
    <row r="3570" spans="1:16" ht="14.4" x14ac:dyDescent="0.25">
      <c r="A3570" s="6">
        <v>1879</v>
      </c>
      <c r="B3570" s="6">
        <v>13540</v>
      </c>
      <c r="C3570" s="19">
        <v>40321</v>
      </c>
      <c r="D3570" s="6" t="s">
        <v>17</v>
      </c>
      <c r="E3570" s="6">
        <f>IF((ISBLANK($B$1)),"",Sheet1!Q3578)</f>
        <v>5050</v>
      </c>
      <c r="F3570" s="20" t="s">
        <v>26</v>
      </c>
      <c r="G3570" s="53">
        <f t="shared" si="56"/>
        <v>0.51264491857664052</v>
      </c>
      <c r="H3570" s="35"/>
      <c r="P3570" s="6"/>
    </row>
    <row r="3571" spans="1:16" ht="14.4" x14ac:dyDescent="0.25">
      <c r="A3571" s="6">
        <v>1880</v>
      </c>
      <c r="B3571" s="6">
        <v>13540</v>
      </c>
      <c r="C3571" s="19">
        <v>40321</v>
      </c>
      <c r="D3571" s="6" t="s">
        <v>17</v>
      </c>
      <c r="E3571" s="6">
        <f>IF((ISBLANK($B$1)),"",Sheet1!Q3579)</f>
        <v>4750</v>
      </c>
      <c r="F3571" s="20" t="s">
        <v>27</v>
      </c>
      <c r="G3571" s="53">
        <f t="shared" si="56"/>
        <v>9.8358636763777513E-2</v>
      </c>
      <c r="H3571" s="35"/>
      <c r="P3571" s="6"/>
    </row>
    <row r="3572" spans="1:16" ht="14.4" x14ac:dyDescent="0.25">
      <c r="A3572" s="6">
        <v>1968</v>
      </c>
      <c r="B3572" s="6">
        <v>14081</v>
      </c>
      <c r="C3572" s="19">
        <v>40457</v>
      </c>
      <c r="D3572" s="6" t="s">
        <v>17</v>
      </c>
      <c r="E3572" s="6">
        <f>IF((ISBLANK($B$1)),"",Sheet1!Q3580)</f>
        <v>4950</v>
      </c>
      <c r="F3572" s="20" t="s">
        <v>29</v>
      </c>
      <c r="G3572" s="53">
        <f t="shared" si="56"/>
        <v>0.37454949130568621</v>
      </c>
      <c r="H3572" s="35"/>
      <c r="P3572" s="6"/>
    </row>
    <row r="3573" spans="1:16" ht="14.4" x14ac:dyDescent="0.25">
      <c r="A3573" s="6">
        <v>1969</v>
      </c>
      <c r="B3573" s="6">
        <v>14086</v>
      </c>
      <c r="C3573" s="19">
        <v>40471</v>
      </c>
      <c r="D3573" s="6" t="s">
        <v>25</v>
      </c>
      <c r="E3573" s="6">
        <f>IF((ISBLANK($B$1)),"",Sheet1!Q3581)</f>
        <v>4050</v>
      </c>
      <c r="F3573" s="20" t="s">
        <v>29</v>
      </c>
      <c r="G3573" s="53">
        <f t="shared" si="56"/>
        <v>-0.86830935413290289</v>
      </c>
      <c r="H3573" s="35"/>
      <c r="P3573" s="6"/>
    </row>
    <row r="3574" spans="1:16" ht="14.4" x14ac:dyDescent="0.25">
      <c r="A3574" s="6">
        <v>1970</v>
      </c>
      <c r="B3574" s="6">
        <v>14086</v>
      </c>
      <c r="C3574" s="19">
        <v>40471</v>
      </c>
      <c r="D3574" s="6" t="s">
        <v>25</v>
      </c>
      <c r="E3574" s="6">
        <f>IF((ISBLANK($B$1)),"",Sheet1!Q3582)</f>
        <v>5900</v>
      </c>
      <c r="F3574" s="20" t="s">
        <v>26</v>
      </c>
      <c r="G3574" s="53">
        <f t="shared" si="56"/>
        <v>1.6864560503797523</v>
      </c>
      <c r="H3574" s="35"/>
      <c r="P3574" s="6"/>
    </row>
    <row r="3575" spans="1:16" ht="14.4" x14ac:dyDescent="0.25">
      <c r="A3575" s="6">
        <v>2025</v>
      </c>
      <c r="B3575" s="6">
        <v>14435</v>
      </c>
      <c r="C3575" s="19">
        <v>41244</v>
      </c>
      <c r="D3575" s="6" t="s">
        <v>28</v>
      </c>
      <c r="E3575" s="6">
        <f>IF((ISBLANK($B$1)),"",Sheet1!Q3583)</f>
        <v>5450</v>
      </c>
      <c r="F3575" s="20" t="s">
        <v>29</v>
      </c>
      <c r="G3575" s="53">
        <f t="shared" si="56"/>
        <v>1.0650266276604579</v>
      </c>
      <c r="H3575" s="35"/>
      <c r="P3575" s="6"/>
    </row>
    <row r="3576" spans="1:16" ht="14.4" x14ac:dyDescent="0.25">
      <c r="A3576" s="6">
        <v>2026</v>
      </c>
      <c r="B3576" s="6">
        <v>14435</v>
      </c>
      <c r="C3576" s="19">
        <v>41244</v>
      </c>
      <c r="D3576" s="6" t="s">
        <v>28</v>
      </c>
      <c r="E3576" s="6">
        <f>IF((ISBLANK($B$1)),"",Sheet1!Q3584)</f>
        <v>3850</v>
      </c>
      <c r="F3576" s="20" t="s">
        <v>27</v>
      </c>
      <c r="G3576" s="53">
        <f t="shared" si="56"/>
        <v>-1.1445002086748115</v>
      </c>
      <c r="H3576" s="35"/>
      <c r="P3576" s="6"/>
    </row>
    <row r="3577" spans="1:16" ht="14.4" x14ac:dyDescent="0.25">
      <c r="A3577" s="6">
        <v>2027</v>
      </c>
      <c r="B3577" s="6">
        <v>14435</v>
      </c>
      <c r="C3577" s="19">
        <v>41244</v>
      </c>
      <c r="D3577" s="6" t="s">
        <v>28</v>
      </c>
      <c r="E3577" s="6">
        <f>IF((ISBLANK($B$1)),"",Sheet1!Q3585)</f>
        <v>5600</v>
      </c>
      <c r="F3577" s="20" t="s">
        <v>26</v>
      </c>
      <c r="G3577" s="53">
        <f t="shared" si="56"/>
        <v>1.2721697685668893</v>
      </c>
      <c r="H3577" s="35"/>
      <c r="P3577" s="6"/>
    </row>
    <row r="3578" spans="1:16" ht="14.4" x14ac:dyDescent="0.25">
      <c r="A3578" s="6">
        <v>2064</v>
      </c>
      <c r="B3578" s="6">
        <v>14784</v>
      </c>
      <c r="C3578" s="19">
        <v>40982</v>
      </c>
      <c r="D3578" s="6" t="s">
        <v>16</v>
      </c>
      <c r="E3578" s="6">
        <f>IF((ISBLANK($B$1)),"",Sheet1!Q3586)</f>
        <v>5550</v>
      </c>
      <c r="F3578" s="20" t="s">
        <v>29</v>
      </c>
      <c r="G3578" s="53">
        <f t="shared" si="56"/>
        <v>1.2031220549314123</v>
      </c>
      <c r="H3578" s="35"/>
      <c r="P3578" s="6"/>
    </row>
    <row r="3579" spans="1:16" ht="14.4" x14ac:dyDescent="0.25">
      <c r="A3579" s="6">
        <v>2136</v>
      </c>
      <c r="B3579" s="6">
        <v>15264</v>
      </c>
      <c r="C3579" s="19">
        <v>40864</v>
      </c>
      <c r="D3579" s="6" t="s">
        <v>16</v>
      </c>
      <c r="E3579" s="6">
        <f>IF((ISBLANK($B$1)),"",Sheet1!Q3587)</f>
        <v>3550</v>
      </c>
      <c r="F3579" s="20" t="s">
        <v>26</v>
      </c>
      <c r="G3579" s="53">
        <f t="shared" si="56"/>
        <v>-1.5587864904876745</v>
      </c>
      <c r="H3579" s="35"/>
      <c r="P3579" s="6"/>
    </row>
    <row r="3580" spans="1:16" ht="14.4" x14ac:dyDescent="0.25">
      <c r="A3580" s="6">
        <v>2137</v>
      </c>
      <c r="B3580" s="6">
        <v>15264</v>
      </c>
      <c r="C3580" s="19">
        <v>40864</v>
      </c>
      <c r="D3580" s="6" t="s">
        <v>16</v>
      </c>
      <c r="E3580" s="6">
        <f>IF((ISBLANK($B$1)),"",Sheet1!Q3588)</f>
        <v>4050</v>
      </c>
      <c r="F3580" s="20" t="s">
        <v>26</v>
      </c>
      <c r="G3580" s="53">
        <f t="shared" si="56"/>
        <v>-0.86830935413290289</v>
      </c>
      <c r="H3580" s="35"/>
      <c r="P3580" s="6"/>
    </row>
    <row r="3581" spans="1:16" ht="14.4" x14ac:dyDescent="0.25">
      <c r="A3581" s="6">
        <v>2273</v>
      </c>
      <c r="B3581" s="6">
        <v>16352</v>
      </c>
      <c r="C3581" s="19">
        <v>41120</v>
      </c>
      <c r="D3581" s="6" t="s">
        <v>16</v>
      </c>
      <c r="E3581" s="6">
        <f>IF((ISBLANK($B$1)),"",Sheet1!Q3589)</f>
        <v>4200</v>
      </c>
      <c r="F3581" s="20" t="s">
        <v>26</v>
      </c>
      <c r="G3581" s="53">
        <f t="shared" si="56"/>
        <v>-0.6611662132264714</v>
      </c>
      <c r="H3581" s="35"/>
      <c r="P3581" s="6"/>
    </row>
    <row r="3582" spans="1:16" ht="14.4" x14ac:dyDescent="0.25">
      <c r="A3582" s="6">
        <v>2289</v>
      </c>
      <c r="B3582" s="6">
        <v>16513</v>
      </c>
      <c r="C3582" s="19">
        <v>40424</v>
      </c>
      <c r="D3582" s="6" t="s">
        <v>30</v>
      </c>
      <c r="E3582" s="6">
        <f>IF((ISBLANK($B$1)),"",Sheet1!Q3590)</f>
        <v>3900</v>
      </c>
      <c r="F3582" s="20" t="s">
        <v>29</v>
      </c>
      <c r="G3582" s="53">
        <f t="shared" si="56"/>
        <v>-1.0754524950393345</v>
      </c>
      <c r="H3582" s="35"/>
      <c r="P3582" s="6"/>
    </row>
    <row r="3583" spans="1:16" ht="14.4" x14ac:dyDescent="0.25">
      <c r="A3583" s="6">
        <v>2302</v>
      </c>
      <c r="B3583" s="6">
        <v>16582</v>
      </c>
      <c r="C3583" s="19">
        <v>40817</v>
      </c>
      <c r="D3583" s="6" t="s">
        <v>30</v>
      </c>
      <c r="E3583" s="6">
        <f>IF((ISBLANK($B$1)),"",Sheet1!Q3591)</f>
        <v>4700</v>
      </c>
      <c r="F3583" s="20" t="s">
        <v>29</v>
      </c>
      <c r="G3583" s="53">
        <f t="shared" si="56"/>
        <v>2.9310923128300338E-2</v>
      </c>
      <c r="H3583" s="35"/>
      <c r="P3583" s="6"/>
    </row>
    <row r="3584" spans="1:16" ht="14.4" x14ac:dyDescent="0.25">
      <c r="A3584" s="6">
        <v>2307</v>
      </c>
      <c r="B3584" s="6">
        <v>16640</v>
      </c>
      <c r="C3584" s="19">
        <v>40386</v>
      </c>
      <c r="D3584" s="6" t="s">
        <v>25</v>
      </c>
      <c r="E3584" s="6">
        <f>IF((ISBLANK($B$1)),"",Sheet1!Q3592)</f>
        <v>3700</v>
      </c>
      <c r="F3584" s="20" t="s">
        <v>29</v>
      </c>
      <c r="G3584" s="53">
        <f t="shared" si="56"/>
        <v>-1.351643349581243</v>
      </c>
      <c r="H3584" s="35"/>
      <c r="P3584" s="6"/>
    </row>
    <row r="3585" spans="1:16" ht="14.4" x14ac:dyDescent="0.25">
      <c r="A3585" s="6">
        <v>2321</v>
      </c>
      <c r="B3585" s="6">
        <v>16711</v>
      </c>
      <c r="C3585" s="19">
        <v>41024</v>
      </c>
      <c r="D3585" s="6" t="s">
        <v>28</v>
      </c>
      <c r="E3585" s="6">
        <f>IF((ISBLANK($B$1)),"",Sheet1!Q3593)</f>
        <v>3550</v>
      </c>
      <c r="F3585" s="20" t="s">
        <v>26</v>
      </c>
      <c r="G3585" s="53">
        <f t="shared" si="56"/>
        <v>-1.5587864904876745</v>
      </c>
      <c r="H3585" s="35"/>
      <c r="P3585" s="6"/>
    </row>
    <row r="3586" spans="1:16" ht="14.4" x14ac:dyDescent="0.25">
      <c r="A3586" s="6">
        <v>2375</v>
      </c>
      <c r="B3586" s="6">
        <v>17218</v>
      </c>
      <c r="C3586" s="19">
        <v>41113</v>
      </c>
      <c r="D3586" s="6" t="s">
        <v>30</v>
      </c>
      <c r="E3586" s="6">
        <f>IF((ISBLANK($B$1)),"",Sheet1!Q3594)</f>
        <v>5000</v>
      </c>
      <c r="F3586" s="20" t="s">
        <v>26</v>
      </c>
      <c r="G3586" s="53">
        <f t="shared" si="56"/>
        <v>0.44359720494116334</v>
      </c>
      <c r="H3586" s="35"/>
      <c r="P3586" s="6"/>
    </row>
    <row r="3587" spans="1:16" ht="14.4" x14ac:dyDescent="0.25">
      <c r="A3587" s="6">
        <v>2381</v>
      </c>
      <c r="B3587" s="6">
        <v>17255</v>
      </c>
      <c r="C3587" s="19">
        <v>40373</v>
      </c>
      <c r="D3587" s="6" t="s">
        <v>28</v>
      </c>
      <c r="E3587" s="6">
        <f>IF((ISBLANK($B$1)),"",Sheet1!Q3595)</f>
        <v>4250</v>
      </c>
      <c r="F3587" s="20" t="s">
        <v>26</v>
      </c>
      <c r="G3587" s="53">
        <f t="shared" si="56"/>
        <v>-0.59211849959099416</v>
      </c>
      <c r="H3587" s="35"/>
      <c r="P3587" s="6"/>
    </row>
    <row r="3588" spans="1:16" ht="14.4" x14ac:dyDescent="0.25">
      <c r="A3588" s="6">
        <v>2392</v>
      </c>
      <c r="B3588" s="6">
        <v>17317</v>
      </c>
      <c r="C3588" s="19">
        <v>40150</v>
      </c>
      <c r="D3588" s="6" t="s">
        <v>28</v>
      </c>
      <c r="E3588" s="6">
        <f>IF((ISBLANK($B$1)),"",Sheet1!Q3596)</f>
        <v>3750</v>
      </c>
      <c r="F3588" s="20" t="s">
        <v>26</v>
      </c>
      <c r="G3588" s="53">
        <f t="shared" si="56"/>
        <v>-1.282595635945766</v>
      </c>
      <c r="H3588" s="35"/>
      <c r="P3588" s="6"/>
    </row>
    <row r="3589" spans="1:16" ht="14.4" x14ac:dyDescent="0.25">
      <c r="A3589" s="6">
        <v>2405</v>
      </c>
      <c r="B3589" s="6">
        <v>17414</v>
      </c>
      <c r="C3589" s="19">
        <v>41089</v>
      </c>
      <c r="D3589" s="6" t="s">
        <v>17</v>
      </c>
      <c r="E3589" s="6">
        <f>IF((ISBLANK($B$1)),"",Sheet1!Q3597)</f>
        <v>5350</v>
      </c>
      <c r="F3589" s="20" t="s">
        <v>27</v>
      </c>
      <c r="G3589" s="53">
        <f t="shared" si="56"/>
        <v>0.92693120038950361</v>
      </c>
      <c r="H3589" s="35"/>
      <c r="P3589" s="6"/>
    </row>
    <row r="3590" spans="1:16" ht="14.4" x14ac:dyDescent="0.25">
      <c r="A3590" s="6">
        <v>2406</v>
      </c>
      <c r="B3590" s="6">
        <v>17414</v>
      </c>
      <c r="C3590" s="19">
        <v>41089</v>
      </c>
      <c r="D3590" s="6" t="s">
        <v>17</v>
      </c>
      <c r="E3590" s="6">
        <f>IF((ISBLANK($B$1)),"",Sheet1!Q3598)</f>
        <v>5000</v>
      </c>
      <c r="F3590" s="20" t="s">
        <v>26</v>
      </c>
      <c r="G3590" s="53">
        <f t="shared" si="56"/>
        <v>0.44359720494116334</v>
      </c>
      <c r="H3590" s="35"/>
      <c r="P3590" s="6"/>
    </row>
    <row r="3591" spans="1:16" ht="14.4" x14ac:dyDescent="0.25">
      <c r="A3591" s="6">
        <v>2408</v>
      </c>
      <c r="B3591" s="6">
        <v>17446</v>
      </c>
      <c r="C3591" s="19">
        <v>39973</v>
      </c>
      <c r="D3591" s="6" t="s">
        <v>30</v>
      </c>
      <c r="E3591" s="6">
        <f>IF((ISBLANK($B$1)),"",Sheet1!Q3599)</f>
        <v>4150</v>
      </c>
      <c r="F3591" s="20" t="s">
        <v>26</v>
      </c>
      <c r="G3591" s="53">
        <f t="shared" si="56"/>
        <v>-0.73021392686194853</v>
      </c>
      <c r="H3591" s="35"/>
      <c r="P3591" s="6"/>
    </row>
    <row r="3592" spans="1:16" ht="14.4" x14ac:dyDescent="0.25">
      <c r="A3592" s="6">
        <v>2446</v>
      </c>
      <c r="B3592" s="6">
        <v>17765</v>
      </c>
      <c r="C3592" s="19">
        <v>40801</v>
      </c>
      <c r="D3592" s="6" t="s">
        <v>28</v>
      </c>
      <c r="E3592" s="6">
        <f>IF((ISBLANK($B$1)),"",Sheet1!Q3600)</f>
        <v>5200</v>
      </c>
      <c r="F3592" s="20" t="s">
        <v>26</v>
      </c>
      <c r="G3592" s="53">
        <f t="shared" ref="G3592:G3655" si="57">STANDARDIZE(E3592,$L$26,$L$35)</f>
        <v>0.71978805948307201</v>
      </c>
      <c r="H3592" s="35"/>
      <c r="P3592" s="6"/>
    </row>
    <row r="3593" spans="1:16" ht="14.4" x14ac:dyDescent="0.25">
      <c r="A3593" s="6">
        <v>2471</v>
      </c>
      <c r="B3593" s="6">
        <v>17958</v>
      </c>
      <c r="C3593" s="19">
        <v>40766</v>
      </c>
      <c r="D3593" s="6" t="s">
        <v>25</v>
      </c>
      <c r="E3593" s="6">
        <f>IF((ISBLANK($B$1)),"",Sheet1!Q3601)</f>
        <v>5050</v>
      </c>
      <c r="F3593" s="20" t="s">
        <v>29</v>
      </c>
      <c r="G3593" s="53">
        <f t="shared" si="57"/>
        <v>0.51264491857664052</v>
      </c>
      <c r="H3593" s="35"/>
      <c r="P3593" s="6"/>
    </row>
    <row r="3594" spans="1:16" ht="14.4" x14ac:dyDescent="0.25">
      <c r="A3594" s="6">
        <v>2534</v>
      </c>
      <c r="B3594" s="6">
        <v>18375</v>
      </c>
      <c r="C3594" s="19">
        <v>40808</v>
      </c>
      <c r="D3594" s="6" t="s">
        <v>25</v>
      </c>
      <c r="E3594" s="6">
        <f>IF((ISBLANK($B$1)),"",Sheet1!Q3602)</f>
        <v>4400</v>
      </c>
      <c r="F3594" s="20" t="s">
        <v>26</v>
      </c>
      <c r="G3594" s="53">
        <f t="shared" si="57"/>
        <v>-0.38497535868456267</v>
      </c>
      <c r="H3594" s="35"/>
      <c r="P3594" s="6"/>
    </row>
    <row r="3595" spans="1:16" ht="14.4" x14ac:dyDescent="0.25">
      <c r="A3595" s="6">
        <v>2566</v>
      </c>
      <c r="B3595" s="6">
        <v>18532</v>
      </c>
      <c r="C3595" s="19">
        <v>40836</v>
      </c>
      <c r="D3595" s="6" t="s">
        <v>28</v>
      </c>
      <c r="E3595" s="6">
        <f>IF((ISBLANK($B$1)),"",Sheet1!Q3603)</f>
        <v>4850</v>
      </c>
      <c r="F3595" s="20" t="s">
        <v>26</v>
      </c>
      <c r="G3595" s="53">
        <f t="shared" si="57"/>
        <v>0.23645406403473185</v>
      </c>
      <c r="H3595" s="35"/>
      <c r="P3595" s="6"/>
    </row>
    <row r="3596" spans="1:16" ht="14.4" x14ac:dyDescent="0.25">
      <c r="A3596" s="6">
        <v>2567</v>
      </c>
      <c r="B3596" s="6">
        <v>18532</v>
      </c>
      <c r="C3596" s="19">
        <v>40836</v>
      </c>
      <c r="D3596" s="6" t="s">
        <v>28</v>
      </c>
      <c r="E3596" s="6">
        <f>IF((ISBLANK($B$1)),"",Sheet1!Q3604)</f>
        <v>4950</v>
      </c>
      <c r="F3596" s="20" t="s">
        <v>26</v>
      </c>
      <c r="G3596" s="53">
        <f t="shared" si="57"/>
        <v>0.37454949130568621</v>
      </c>
      <c r="H3596" s="35"/>
      <c r="P3596" s="6"/>
    </row>
    <row r="3597" spans="1:16" ht="14.4" x14ac:dyDescent="0.25">
      <c r="A3597" s="6">
        <v>2583</v>
      </c>
      <c r="B3597" s="6">
        <v>18627</v>
      </c>
      <c r="C3597" s="19">
        <v>40532</v>
      </c>
      <c r="D3597" s="6" t="s">
        <v>16</v>
      </c>
      <c r="E3597" s="6">
        <f>IF((ISBLANK($B$1)),"",Sheet1!Q3605)</f>
        <v>3600</v>
      </c>
      <c r="F3597" s="20" t="s">
        <v>26</v>
      </c>
      <c r="G3597" s="53">
        <f t="shared" si="57"/>
        <v>-1.4897387768521975</v>
      </c>
      <c r="H3597" s="35"/>
      <c r="P3597" s="6"/>
    </row>
    <row r="3598" spans="1:16" ht="14.4" x14ac:dyDescent="0.25">
      <c r="A3598" s="6">
        <v>2603</v>
      </c>
      <c r="B3598" s="6">
        <v>18816</v>
      </c>
      <c r="C3598" s="19">
        <v>39868</v>
      </c>
      <c r="D3598" s="6" t="s">
        <v>30</v>
      </c>
      <c r="E3598" s="6">
        <f>IF((ISBLANK($B$1)),"",Sheet1!Q3606)</f>
        <v>4000</v>
      </c>
      <c r="F3598" s="20" t="s">
        <v>26</v>
      </c>
      <c r="G3598" s="53">
        <f t="shared" si="57"/>
        <v>-0.93735706776838001</v>
      </c>
      <c r="H3598" s="35"/>
      <c r="P3598" s="6"/>
    </row>
    <row r="3599" spans="1:16" ht="14.4" x14ac:dyDescent="0.25">
      <c r="A3599" s="6">
        <v>2610</v>
      </c>
      <c r="B3599" s="6">
        <v>18852</v>
      </c>
      <c r="C3599" s="19">
        <v>40805</v>
      </c>
      <c r="D3599" s="6" t="s">
        <v>17</v>
      </c>
      <c r="E3599" s="6">
        <f>IF((ISBLANK($B$1)),"",Sheet1!Q3607)</f>
        <v>4250</v>
      </c>
      <c r="F3599" s="20" t="s">
        <v>26</v>
      </c>
      <c r="G3599" s="53">
        <f t="shared" si="57"/>
        <v>-0.59211849959099416</v>
      </c>
      <c r="H3599" s="35"/>
      <c r="P3599" s="6"/>
    </row>
    <row r="3600" spans="1:16" ht="14.4" x14ac:dyDescent="0.25">
      <c r="A3600" s="6">
        <v>2670</v>
      </c>
      <c r="B3600" s="6">
        <v>19329</v>
      </c>
      <c r="C3600" s="19">
        <v>40244</v>
      </c>
      <c r="D3600" s="6" t="s">
        <v>28</v>
      </c>
      <c r="E3600" s="6">
        <f>IF((ISBLANK($B$1)),"",Sheet1!Q3608)</f>
        <v>5250</v>
      </c>
      <c r="F3600" s="20" t="s">
        <v>29</v>
      </c>
      <c r="G3600" s="53">
        <f t="shared" si="57"/>
        <v>0.78883577311854924</v>
      </c>
      <c r="H3600" s="35"/>
      <c r="P3600" s="6"/>
    </row>
    <row r="3601" spans="1:16" ht="14.4" x14ac:dyDescent="0.25">
      <c r="A3601" s="6">
        <v>2671</v>
      </c>
      <c r="B3601" s="6">
        <v>19329</v>
      </c>
      <c r="C3601" s="19">
        <v>40244</v>
      </c>
      <c r="D3601" s="6" t="s">
        <v>28</v>
      </c>
      <c r="E3601" s="6">
        <f>IF((ISBLANK($B$1)),"",Sheet1!Q3609)</f>
        <v>3700</v>
      </c>
      <c r="F3601" s="20" t="s">
        <v>27</v>
      </c>
      <c r="G3601" s="53">
        <f t="shared" si="57"/>
        <v>-1.351643349581243</v>
      </c>
      <c r="H3601" s="35"/>
      <c r="P3601" s="6"/>
    </row>
    <row r="3602" spans="1:16" ht="14.4" x14ac:dyDescent="0.25">
      <c r="A3602" s="6">
        <v>2697</v>
      </c>
      <c r="B3602" s="6">
        <v>19522</v>
      </c>
      <c r="C3602" s="19">
        <v>40106</v>
      </c>
      <c r="D3602" s="6" t="s">
        <v>16</v>
      </c>
      <c r="E3602" s="6">
        <f>IF((ISBLANK($B$1)),"",Sheet1!Q3610)</f>
        <v>5600</v>
      </c>
      <c r="F3602" s="20" t="s">
        <v>26</v>
      </c>
      <c r="G3602" s="53">
        <f t="shared" si="57"/>
        <v>1.2721697685668893</v>
      </c>
      <c r="H3602" s="35"/>
      <c r="P3602" s="6"/>
    </row>
    <row r="3603" spans="1:16" ht="14.4" x14ac:dyDescent="0.25">
      <c r="A3603" s="6">
        <v>2698</v>
      </c>
      <c r="B3603" s="6">
        <v>19522</v>
      </c>
      <c r="C3603" s="19">
        <v>40106</v>
      </c>
      <c r="D3603" s="6" t="s">
        <v>16</v>
      </c>
      <c r="E3603" s="6">
        <f>IF((ISBLANK($B$1)),"",Sheet1!Q3611)</f>
        <v>5250</v>
      </c>
      <c r="F3603" s="20" t="s">
        <v>26</v>
      </c>
      <c r="G3603" s="53">
        <f t="shared" si="57"/>
        <v>0.78883577311854924</v>
      </c>
      <c r="H3603" s="35"/>
      <c r="P3603" s="6"/>
    </row>
    <row r="3604" spans="1:16" ht="14.4" x14ac:dyDescent="0.25">
      <c r="A3604" s="6">
        <v>2743</v>
      </c>
      <c r="B3604" s="6">
        <v>19811</v>
      </c>
      <c r="C3604" s="19">
        <v>40763</v>
      </c>
      <c r="D3604" s="6" t="s">
        <v>25</v>
      </c>
      <c r="E3604" s="6">
        <f>IF((ISBLANK($B$1)),"",Sheet1!Q3612)</f>
        <v>5850</v>
      </c>
      <c r="F3604" s="20" t="s">
        <v>26</v>
      </c>
      <c r="G3604" s="53">
        <f t="shared" si="57"/>
        <v>1.6174083367442753</v>
      </c>
      <c r="H3604" s="35"/>
      <c r="P3604" s="6"/>
    </row>
    <row r="3605" spans="1:16" ht="14.4" x14ac:dyDescent="0.25">
      <c r="A3605" s="6">
        <v>2748</v>
      </c>
      <c r="B3605" s="6">
        <v>19841</v>
      </c>
      <c r="C3605" s="19">
        <v>40538</v>
      </c>
      <c r="D3605" s="6" t="s">
        <v>25</v>
      </c>
      <c r="E3605" s="6">
        <f>IF((ISBLANK($B$1)),"",Sheet1!Q3613)</f>
        <v>4250</v>
      </c>
      <c r="F3605" s="20" t="s">
        <v>26</v>
      </c>
      <c r="G3605" s="53">
        <f t="shared" si="57"/>
        <v>-0.59211849959099416</v>
      </c>
      <c r="H3605" s="35"/>
      <c r="P3605" s="6"/>
    </row>
    <row r="3606" spans="1:16" ht="14.4" x14ac:dyDescent="0.25">
      <c r="A3606" s="6">
        <v>2749</v>
      </c>
      <c r="B3606" s="6">
        <v>19841</v>
      </c>
      <c r="C3606" s="19">
        <v>40538</v>
      </c>
      <c r="D3606" s="6" t="s">
        <v>25</v>
      </c>
      <c r="E3606" s="6">
        <f>IF((ISBLANK($B$1)),"",Sheet1!Q3614)</f>
        <v>3750</v>
      </c>
      <c r="F3606" s="20" t="s">
        <v>27</v>
      </c>
      <c r="G3606" s="53">
        <f t="shared" si="57"/>
        <v>-1.282595635945766</v>
      </c>
      <c r="H3606" s="35"/>
      <c r="P3606" s="6"/>
    </row>
    <row r="3607" spans="1:16" ht="14.4" x14ac:dyDescent="0.25">
      <c r="A3607" s="6">
        <v>2752</v>
      </c>
      <c r="B3607" s="6">
        <v>19874</v>
      </c>
      <c r="C3607" s="19">
        <v>41068</v>
      </c>
      <c r="D3607" s="6" t="s">
        <v>17</v>
      </c>
      <c r="E3607" s="6">
        <f>IF((ISBLANK($B$1)),"",Sheet1!Q3615)</f>
        <v>4950</v>
      </c>
      <c r="F3607" s="20" t="s">
        <v>26</v>
      </c>
      <c r="G3607" s="53">
        <f t="shared" si="57"/>
        <v>0.37454949130568621</v>
      </c>
      <c r="H3607" s="35"/>
      <c r="P3607" s="6"/>
    </row>
    <row r="3608" spans="1:16" ht="14.4" x14ac:dyDescent="0.25">
      <c r="A3608" s="6">
        <v>2767</v>
      </c>
      <c r="B3608" s="6">
        <v>20003</v>
      </c>
      <c r="C3608" s="19">
        <v>40938</v>
      </c>
      <c r="D3608" s="6" t="s">
        <v>16</v>
      </c>
      <c r="E3608" s="6">
        <f>IF((ISBLANK($B$1)),"",Sheet1!Q3616)</f>
        <v>3650</v>
      </c>
      <c r="F3608" s="20" t="s">
        <v>27</v>
      </c>
      <c r="G3608" s="53">
        <f t="shared" si="57"/>
        <v>-1.4206910632167202</v>
      </c>
      <c r="H3608" s="35"/>
      <c r="P3608" s="6"/>
    </row>
    <row r="3609" spans="1:16" ht="14.4" x14ac:dyDescent="0.25">
      <c r="A3609" s="6">
        <v>2780</v>
      </c>
      <c r="B3609" s="6">
        <v>20068</v>
      </c>
      <c r="C3609" s="19">
        <v>40602</v>
      </c>
      <c r="D3609" s="6" t="s">
        <v>30</v>
      </c>
      <c r="E3609" s="6">
        <f>IF((ISBLANK($B$1)),"",Sheet1!Q3617)</f>
        <v>3850</v>
      </c>
      <c r="F3609" s="20" t="s">
        <v>26</v>
      </c>
      <c r="G3609" s="53">
        <f t="shared" si="57"/>
        <v>-1.1445002086748115</v>
      </c>
      <c r="H3609" s="35"/>
      <c r="P3609" s="6"/>
    </row>
    <row r="3610" spans="1:16" ht="14.4" x14ac:dyDescent="0.25">
      <c r="A3610" s="6">
        <v>2797</v>
      </c>
      <c r="B3610" s="6">
        <v>20162</v>
      </c>
      <c r="C3610" s="19">
        <v>39852</v>
      </c>
      <c r="D3610" s="6" t="s">
        <v>16</v>
      </c>
      <c r="E3610" s="6">
        <f>IF((ISBLANK($B$1)),"",Sheet1!Q3618)</f>
        <v>5300</v>
      </c>
      <c r="F3610" s="20" t="s">
        <v>26</v>
      </c>
      <c r="G3610" s="53">
        <f t="shared" si="57"/>
        <v>0.85788348675402637</v>
      </c>
      <c r="H3610" s="35"/>
      <c r="P3610" s="6"/>
    </row>
    <row r="3611" spans="1:16" ht="14.4" x14ac:dyDescent="0.25">
      <c r="A3611" s="6">
        <v>2820</v>
      </c>
      <c r="B3611" s="6">
        <v>20354</v>
      </c>
      <c r="C3611" s="19">
        <v>41171</v>
      </c>
      <c r="D3611" s="6" t="s">
        <v>30</v>
      </c>
      <c r="E3611" s="6">
        <f>IF((ISBLANK($B$1)),"",Sheet1!Q3619)</f>
        <v>4600</v>
      </c>
      <c r="F3611" s="20" t="s">
        <v>26</v>
      </c>
      <c r="G3611" s="53">
        <f t="shared" si="57"/>
        <v>-0.108784504142654</v>
      </c>
      <c r="H3611" s="35"/>
      <c r="P3611" s="6"/>
    </row>
    <row r="3612" spans="1:16" ht="14.4" x14ac:dyDescent="0.25">
      <c r="A3612" s="6">
        <v>2821</v>
      </c>
      <c r="B3612" s="6">
        <v>20384</v>
      </c>
      <c r="C3612" s="19">
        <v>40841</v>
      </c>
      <c r="D3612" s="6" t="s">
        <v>25</v>
      </c>
      <c r="E3612" s="6">
        <f>IF((ISBLANK($B$1)),"",Sheet1!Q3620)</f>
        <v>4900</v>
      </c>
      <c r="F3612" s="20" t="s">
        <v>26</v>
      </c>
      <c r="G3612" s="53">
        <f t="shared" si="57"/>
        <v>0.30550177767020903</v>
      </c>
      <c r="H3612" s="35"/>
      <c r="P3612" s="6"/>
    </row>
    <row r="3613" spans="1:16" ht="14.4" x14ac:dyDescent="0.25">
      <c r="A3613" s="6">
        <v>2822</v>
      </c>
      <c r="B3613" s="6">
        <v>20384</v>
      </c>
      <c r="C3613" s="19">
        <v>40841</v>
      </c>
      <c r="D3613" s="6" t="s">
        <v>25</v>
      </c>
      <c r="E3613" s="6">
        <f>IF((ISBLANK($B$1)),"",Sheet1!Q3621)</f>
        <v>5000</v>
      </c>
      <c r="F3613" s="20" t="s">
        <v>29</v>
      </c>
      <c r="G3613" s="53">
        <f t="shared" si="57"/>
        <v>0.44359720494116334</v>
      </c>
      <c r="H3613" s="35"/>
      <c r="P3613" s="6"/>
    </row>
    <row r="3614" spans="1:16" ht="14.4" x14ac:dyDescent="0.25">
      <c r="A3614" s="6">
        <v>2872</v>
      </c>
      <c r="B3614" s="6">
        <v>20710</v>
      </c>
      <c r="C3614" s="19">
        <v>40146</v>
      </c>
      <c r="D3614" s="6" t="s">
        <v>17</v>
      </c>
      <c r="E3614" s="6">
        <f>IF((ISBLANK($B$1)),"",Sheet1!Q3622)</f>
        <v>4950</v>
      </c>
      <c r="F3614" s="20" t="s">
        <v>27</v>
      </c>
      <c r="G3614" s="53">
        <f t="shared" si="57"/>
        <v>0.37454949130568621</v>
      </c>
      <c r="H3614" s="35"/>
      <c r="P3614" s="6"/>
    </row>
    <row r="3615" spans="1:16" ht="14.4" x14ac:dyDescent="0.25">
      <c r="A3615" s="6">
        <v>2873</v>
      </c>
      <c r="B3615" s="6">
        <v>20710</v>
      </c>
      <c r="C3615" s="19">
        <v>40146</v>
      </c>
      <c r="D3615" s="6" t="s">
        <v>17</v>
      </c>
      <c r="E3615" s="6">
        <f>IF((ISBLANK($B$1)),"",Sheet1!Q3623)</f>
        <v>4700</v>
      </c>
      <c r="F3615" s="20" t="s">
        <v>26</v>
      </c>
      <c r="G3615" s="53">
        <f t="shared" si="57"/>
        <v>2.9310923128300338E-2</v>
      </c>
      <c r="H3615" s="35"/>
      <c r="P3615" s="6"/>
    </row>
    <row r="3616" spans="1:16" ht="14.4" x14ac:dyDescent="0.25">
      <c r="A3616" s="6">
        <v>2886</v>
      </c>
      <c r="B3616" s="6">
        <v>20807</v>
      </c>
      <c r="C3616" s="19">
        <v>41111</v>
      </c>
      <c r="D3616" s="6" t="s">
        <v>28</v>
      </c>
      <c r="E3616" s="6">
        <f>IF((ISBLANK($B$1)),"",Sheet1!Q3624)</f>
        <v>4200</v>
      </c>
      <c r="F3616" s="20" t="s">
        <v>27</v>
      </c>
      <c r="G3616" s="53">
        <f t="shared" si="57"/>
        <v>-0.6611662132264714</v>
      </c>
      <c r="H3616" s="35"/>
      <c r="P3616" s="6"/>
    </row>
    <row r="3617" spans="1:16" ht="14.4" x14ac:dyDescent="0.25">
      <c r="A3617" s="6">
        <v>2900</v>
      </c>
      <c r="B3617" s="6">
        <v>20934</v>
      </c>
      <c r="C3617" s="19">
        <v>40198</v>
      </c>
      <c r="D3617" s="6" t="s">
        <v>30</v>
      </c>
      <c r="E3617" s="6">
        <f>IF((ISBLANK($B$1)),"",Sheet1!Q3625)</f>
        <v>3650</v>
      </c>
      <c r="F3617" s="20" t="s">
        <v>27</v>
      </c>
      <c r="G3617" s="53">
        <f t="shared" si="57"/>
        <v>-1.4206910632167202</v>
      </c>
      <c r="H3617" s="35"/>
      <c r="P3617" s="6"/>
    </row>
    <row r="3618" spans="1:16" ht="14.4" x14ac:dyDescent="0.25">
      <c r="A3618" s="6">
        <v>2915</v>
      </c>
      <c r="B3618" s="6">
        <v>21057</v>
      </c>
      <c r="C3618" s="19">
        <v>40577</v>
      </c>
      <c r="D3618" s="6" t="s">
        <v>25</v>
      </c>
      <c r="E3618" s="6">
        <f>IF((ISBLANK($B$1)),"",Sheet1!Q3626)</f>
        <v>4800</v>
      </c>
      <c r="F3618" s="20" t="s">
        <v>27</v>
      </c>
      <c r="G3618" s="53">
        <f t="shared" si="57"/>
        <v>0.16740635039925467</v>
      </c>
      <c r="H3618" s="35"/>
      <c r="P3618" s="6"/>
    </row>
    <row r="3619" spans="1:16" ht="14.4" x14ac:dyDescent="0.25">
      <c r="A3619" s="6">
        <v>2925</v>
      </c>
      <c r="B3619" s="6">
        <v>21190</v>
      </c>
      <c r="C3619" s="19">
        <v>39961</v>
      </c>
      <c r="D3619" s="6" t="s">
        <v>16</v>
      </c>
      <c r="E3619" s="6">
        <f>IF((ISBLANK($B$1)),"",Sheet1!Q3627)</f>
        <v>4800</v>
      </c>
      <c r="F3619" s="20" t="s">
        <v>26</v>
      </c>
      <c r="G3619" s="53">
        <f t="shared" si="57"/>
        <v>0.16740635039925467</v>
      </c>
      <c r="H3619" s="35"/>
      <c r="P3619" s="6"/>
    </row>
    <row r="3620" spans="1:16" ht="14.4" x14ac:dyDescent="0.25">
      <c r="A3620" s="6">
        <v>2977</v>
      </c>
      <c r="B3620" s="6">
        <v>21505</v>
      </c>
      <c r="C3620" s="19">
        <v>41246</v>
      </c>
      <c r="D3620" s="6" t="s">
        <v>25</v>
      </c>
      <c r="E3620" s="6">
        <f>IF((ISBLANK($B$1)),"",Sheet1!Q3628)</f>
        <v>3550</v>
      </c>
      <c r="F3620" s="20" t="s">
        <v>29</v>
      </c>
      <c r="G3620" s="53">
        <f t="shared" si="57"/>
        <v>-1.5587864904876745</v>
      </c>
      <c r="H3620" s="35"/>
      <c r="P3620" s="6"/>
    </row>
    <row r="3621" spans="1:16" ht="14.4" x14ac:dyDescent="0.25">
      <c r="A3621" s="6">
        <v>3076</v>
      </c>
      <c r="B3621" s="6">
        <v>22055</v>
      </c>
      <c r="C3621" s="19">
        <v>41175</v>
      </c>
      <c r="D3621" s="6" t="s">
        <v>16</v>
      </c>
      <c r="E3621" s="6">
        <f>IF((ISBLANK($B$1)),"",Sheet1!Q3629)</f>
        <v>5400</v>
      </c>
      <c r="F3621" s="20" t="s">
        <v>29</v>
      </c>
      <c r="G3621" s="53">
        <f t="shared" si="57"/>
        <v>0.99597891402498073</v>
      </c>
      <c r="H3621" s="35"/>
      <c r="P3621" s="6"/>
    </row>
    <row r="3622" spans="1:16" ht="14.4" x14ac:dyDescent="0.25">
      <c r="A3622" s="6">
        <v>3114</v>
      </c>
      <c r="B3622" s="6">
        <v>22371</v>
      </c>
      <c r="C3622" s="19">
        <v>39907</v>
      </c>
      <c r="D3622" s="6" t="s">
        <v>17</v>
      </c>
      <c r="E3622" s="6">
        <f>IF((ISBLANK($B$1)),"",Sheet1!Q3630)</f>
        <v>3800</v>
      </c>
      <c r="F3622" s="20" t="s">
        <v>26</v>
      </c>
      <c r="G3622" s="53">
        <f t="shared" si="57"/>
        <v>-1.2135479223102887</v>
      </c>
      <c r="H3622" s="35"/>
      <c r="P3622" s="6"/>
    </row>
    <row r="3623" spans="1:16" ht="14.4" x14ac:dyDescent="0.25">
      <c r="A3623" s="6">
        <v>3137</v>
      </c>
      <c r="B3623" s="6">
        <v>22498</v>
      </c>
      <c r="C3623" s="19">
        <v>40491</v>
      </c>
      <c r="D3623" s="6" t="s">
        <v>30</v>
      </c>
      <c r="E3623" s="6">
        <f>IF((ISBLANK($B$1)),"",Sheet1!Q3631)</f>
        <v>4400</v>
      </c>
      <c r="F3623" s="20" t="s">
        <v>27</v>
      </c>
      <c r="G3623" s="53">
        <f t="shared" si="57"/>
        <v>-0.38497535868456267</v>
      </c>
      <c r="H3623" s="35"/>
      <c r="P3623" s="6"/>
    </row>
    <row r="3624" spans="1:16" ht="14.4" x14ac:dyDescent="0.25">
      <c r="A3624" s="6">
        <v>3145</v>
      </c>
      <c r="B3624" s="6">
        <v>22562</v>
      </c>
      <c r="C3624" s="19">
        <v>39899</v>
      </c>
      <c r="D3624" s="6" t="s">
        <v>16</v>
      </c>
      <c r="E3624" s="6">
        <f>IF((ISBLANK($B$1)),"",Sheet1!Q3632)</f>
        <v>5700</v>
      </c>
      <c r="F3624" s="20" t="s">
        <v>27</v>
      </c>
      <c r="G3624" s="53">
        <f t="shared" si="57"/>
        <v>1.4102651958378438</v>
      </c>
      <c r="H3624" s="35"/>
      <c r="P3624" s="6"/>
    </row>
    <row r="3625" spans="1:16" ht="14.4" x14ac:dyDescent="0.25">
      <c r="A3625" s="6">
        <v>3146</v>
      </c>
      <c r="B3625" s="6">
        <v>22562</v>
      </c>
      <c r="C3625" s="19">
        <v>39899</v>
      </c>
      <c r="D3625" s="6" t="s">
        <v>16</v>
      </c>
      <c r="E3625" s="6">
        <f>IF((ISBLANK($B$1)),"",Sheet1!Q3633)</f>
        <v>4950</v>
      </c>
      <c r="F3625" s="20" t="s">
        <v>26</v>
      </c>
      <c r="G3625" s="53">
        <f t="shared" si="57"/>
        <v>0.37454949130568621</v>
      </c>
      <c r="H3625" s="35"/>
      <c r="P3625" s="6"/>
    </row>
    <row r="3626" spans="1:16" ht="14.4" x14ac:dyDescent="0.25">
      <c r="A3626" s="6">
        <v>3147</v>
      </c>
      <c r="B3626" s="6">
        <v>22562</v>
      </c>
      <c r="C3626" s="19">
        <v>39899</v>
      </c>
      <c r="D3626" s="6" t="s">
        <v>16</v>
      </c>
      <c r="E3626" s="6">
        <f>IF((ISBLANK($B$1)),"",Sheet1!Q3634)</f>
        <v>3550</v>
      </c>
      <c r="F3626" s="20" t="s">
        <v>26</v>
      </c>
      <c r="G3626" s="53">
        <f t="shared" si="57"/>
        <v>-1.5587864904876745</v>
      </c>
      <c r="H3626" s="35"/>
      <c r="P3626" s="6"/>
    </row>
    <row r="3627" spans="1:16" ht="14.4" x14ac:dyDescent="0.25">
      <c r="A3627" s="6">
        <v>3270</v>
      </c>
      <c r="B3627" s="6">
        <v>23392</v>
      </c>
      <c r="C3627" s="19">
        <v>40041</v>
      </c>
      <c r="D3627" s="6" t="s">
        <v>16</v>
      </c>
      <c r="E3627" s="6">
        <f>IF((ISBLANK($B$1)),"",Sheet1!Q3635)</f>
        <v>4600</v>
      </c>
      <c r="F3627" s="20" t="s">
        <v>29</v>
      </c>
      <c r="G3627" s="53">
        <f t="shared" si="57"/>
        <v>-0.108784504142654</v>
      </c>
      <c r="H3627" s="35"/>
      <c r="P3627" s="6"/>
    </row>
    <row r="3628" spans="1:16" ht="14.4" x14ac:dyDescent="0.25">
      <c r="A3628" s="6">
        <v>3327</v>
      </c>
      <c r="B3628" s="6">
        <v>23782</v>
      </c>
      <c r="C3628" s="19">
        <v>40188</v>
      </c>
      <c r="D3628" s="6" t="s">
        <v>25</v>
      </c>
      <c r="E3628" s="6">
        <f>IF((ISBLANK($B$1)),"",Sheet1!Q3636)</f>
        <v>5700</v>
      </c>
      <c r="F3628" s="20" t="s">
        <v>29</v>
      </c>
      <c r="G3628" s="53">
        <f t="shared" si="57"/>
        <v>1.4102651958378438</v>
      </c>
      <c r="H3628" s="35"/>
      <c r="P3628" s="6"/>
    </row>
    <row r="3629" spans="1:16" ht="14.4" x14ac:dyDescent="0.25">
      <c r="A3629" s="6">
        <v>3328</v>
      </c>
      <c r="B3629" s="6">
        <v>23782</v>
      </c>
      <c r="C3629" s="19">
        <v>40188</v>
      </c>
      <c r="D3629" s="6" t="s">
        <v>25</v>
      </c>
      <c r="E3629" s="6">
        <f>IF((ISBLANK($B$1)),"",Sheet1!Q3637)</f>
        <v>3750</v>
      </c>
      <c r="F3629" s="20" t="s">
        <v>26</v>
      </c>
      <c r="G3629" s="53">
        <f t="shared" si="57"/>
        <v>-1.282595635945766</v>
      </c>
      <c r="H3629" s="35"/>
      <c r="P3629" s="6"/>
    </row>
    <row r="3630" spans="1:16" ht="14.4" x14ac:dyDescent="0.25">
      <c r="A3630" s="6">
        <v>3367</v>
      </c>
      <c r="B3630" s="6">
        <v>24069</v>
      </c>
      <c r="C3630" s="19">
        <v>40375</v>
      </c>
      <c r="D3630" s="6" t="s">
        <v>25</v>
      </c>
      <c r="E3630" s="6">
        <f>IF((ISBLANK($B$1)),"",Sheet1!Q3638)</f>
        <v>4450</v>
      </c>
      <c r="F3630" s="20" t="s">
        <v>29</v>
      </c>
      <c r="G3630" s="53">
        <f t="shared" si="57"/>
        <v>-0.31592764504908549</v>
      </c>
      <c r="H3630" s="35"/>
      <c r="P3630" s="6"/>
    </row>
    <row r="3631" spans="1:16" ht="14.4" x14ac:dyDescent="0.25">
      <c r="A3631" s="6">
        <v>3377</v>
      </c>
      <c r="B3631" s="6">
        <v>24099</v>
      </c>
      <c r="C3631" s="19">
        <v>40683</v>
      </c>
      <c r="D3631" s="6" t="s">
        <v>28</v>
      </c>
      <c r="E3631" s="6">
        <f>IF((ISBLANK($B$1)),"",Sheet1!Q3639)</f>
        <v>3700</v>
      </c>
      <c r="F3631" s="20" t="s">
        <v>27</v>
      </c>
      <c r="G3631" s="53">
        <f t="shared" si="57"/>
        <v>-1.351643349581243</v>
      </c>
      <c r="H3631" s="35"/>
      <c r="P3631" s="6"/>
    </row>
    <row r="3632" spans="1:16" ht="14.4" x14ac:dyDescent="0.25">
      <c r="A3632" s="6">
        <v>3378</v>
      </c>
      <c r="B3632" s="6">
        <v>24099</v>
      </c>
      <c r="C3632" s="19">
        <v>40683</v>
      </c>
      <c r="D3632" s="6" t="s">
        <v>28</v>
      </c>
      <c r="E3632" s="6">
        <f>IF((ISBLANK($B$1)),"",Sheet1!Q3640)</f>
        <v>5200</v>
      </c>
      <c r="F3632" s="20" t="s">
        <v>26</v>
      </c>
      <c r="G3632" s="53">
        <f t="shared" si="57"/>
        <v>0.71978805948307201</v>
      </c>
      <c r="H3632" s="35"/>
      <c r="P3632" s="6"/>
    </row>
    <row r="3633" spans="1:16" ht="14.4" x14ac:dyDescent="0.25">
      <c r="A3633" s="6">
        <v>3401</v>
      </c>
      <c r="B3633" s="6">
        <v>24228</v>
      </c>
      <c r="C3633" s="19">
        <v>40011</v>
      </c>
      <c r="D3633" s="6" t="s">
        <v>25</v>
      </c>
      <c r="E3633" s="6">
        <f>IF((ISBLANK($B$1)),"",Sheet1!Q3641)</f>
        <v>4950</v>
      </c>
      <c r="F3633" s="20" t="s">
        <v>26</v>
      </c>
      <c r="G3633" s="53">
        <f t="shared" si="57"/>
        <v>0.37454949130568621</v>
      </c>
      <c r="H3633" s="35"/>
      <c r="P3633" s="6"/>
    </row>
    <row r="3634" spans="1:16" ht="14.4" x14ac:dyDescent="0.25">
      <c r="A3634" s="6">
        <v>3402</v>
      </c>
      <c r="B3634" s="6">
        <v>24231</v>
      </c>
      <c r="C3634" s="19">
        <v>40032</v>
      </c>
      <c r="D3634" s="6" t="s">
        <v>28</v>
      </c>
      <c r="E3634" s="6">
        <f>IF((ISBLANK($B$1)),"",Sheet1!Q3642)</f>
        <v>5800</v>
      </c>
      <c r="F3634" s="20" t="s">
        <v>27</v>
      </c>
      <c r="G3634" s="53">
        <f t="shared" si="57"/>
        <v>1.5483606231087981</v>
      </c>
      <c r="H3634" s="35"/>
      <c r="P3634" s="6"/>
    </row>
    <row r="3635" spans="1:16" ht="14.4" x14ac:dyDescent="0.25">
      <c r="A3635" s="6">
        <v>3452</v>
      </c>
      <c r="B3635" s="6">
        <v>24613</v>
      </c>
      <c r="C3635" s="19">
        <v>41106</v>
      </c>
      <c r="D3635" s="6" t="s">
        <v>25</v>
      </c>
      <c r="E3635" s="6">
        <f>IF((ISBLANK($B$1)),"",Sheet1!Q3643)</f>
        <v>4200</v>
      </c>
      <c r="F3635" s="20" t="s">
        <v>27</v>
      </c>
      <c r="G3635" s="53">
        <f t="shared" si="57"/>
        <v>-0.6611662132264714</v>
      </c>
      <c r="H3635" s="35"/>
      <c r="P3635" s="6"/>
    </row>
    <row r="3636" spans="1:16" ht="14.4" x14ac:dyDescent="0.25">
      <c r="A3636" s="6">
        <v>3453</v>
      </c>
      <c r="B3636" s="6">
        <v>24613</v>
      </c>
      <c r="C3636" s="19">
        <v>41106</v>
      </c>
      <c r="D3636" s="6" t="s">
        <v>25</v>
      </c>
      <c r="E3636" s="6">
        <f>IF((ISBLANK($B$1)),"",Sheet1!Q3644)</f>
        <v>5200</v>
      </c>
      <c r="F3636" s="20" t="s">
        <v>26</v>
      </c>
      <c r="G3636" s="53">
        <f t="shared" si="57"/>
        <v>0.71978805948307201</v>
      </c>
      <c r="H3636" s="35"/>
      <c r="P3636" s="6"/>
    </row>
    <row r="3637" spans="1:16" ht="14.4" x14ac:dyDescent="0.25">
      <c r="A3637" s="6">
        <v>3454</v>
      </c>
      <c r="B3637" s="6">
        <v>24613</v>
      </c>
      <c r="C3637" s="19">
        <v>41106</v>
      </c>
      <c r="D3637" s="6" t="s">
        <v>25</v>
      </c>
      <c r="E3637" s="6">
        <f>IF((ISBLANK($B$1)),"",Sheet1!Q3645)</f>
        <v>5350</v>
      </c>
      <c r="F3637" s="20" t="s">
        <v>26</v>
      </c>
      <c r="G3637" s="53">
        <f t="shared" si="57"/>
        <v>0.92693120038950361</v>
      </c>
      <c r="H3637" s="35"/>
      <c r="P3637" s="6"/>
    </row>
    <row r="3638" spans="1:16" ht="14.4" x14ac:dyDescent="0.25">
      <c r="A3638" s="6">
        <v>3462</v>
      </c>
      <c r="B3638" s="6">
        <v>24647</v>
      </c>
      <c r="C3638" s="19">
        <v>39968</v>
      </c>
      <c r="D3638" s="6" t="s">
        <v>28</v>
      </c>
      <c r="E3638" s="6">
        <f>IF((ISBLANK($B$1)),"",Sheet1!Q3646)</f>
        <v>3550</v>
      </c>
      <c r="F3638" s="20" t="s">
        <v>27</v>
      </c>
      <c r="G3638" s="53">
        <f t="shared" si="57"/>
        <v>-1.5587864904876745</v>
      </c>
      <c r="H3638" s="35"/>
      <c r="P3638" s="6"/>
    </row>
    <row r="3639" spans="1:16" ht="14.4" x14ac:dyDescent="0.25">
      <c r="A3639" s="6">
        <v>3463</v>
      </c>
      <c r="B3639" s="6">
        <v>24647</v>
      </c>
      <c r="C3639" s="19">
        <v>39968</v>
      </c>
      <c r="D3639" s="6" t="s">
        <v>28</v>
      </c>
      <c r="E3639" s="6">
        <f>IF((ISBLANK($B$1)),"",Sheet1!Q3647)</f>
        <v>5100</v>
      </c>
      <c r="F3639" s="20" t="s">
        <v>26</v>
      </c>
      <c r="G3639" s="53">
        <f t="shared" si="57"/>
        <v>0.58169263221211776</v>
      </c>
      <c r="H3639" s="35"/>
      <c r="P3639" s="6"/>
    </row>
    <row r="3640" spans="1:16" ht="14.4" x14ac:dyDescent="0.25">
      <c r="A3640" s="6">
        <v>3464</v>
      </c>
      <c r="B3640" s="6">
        <v>24672</v>
      </c>
      <c r="C3640" s="19">
        <v>40985</v>
      </c>
      <c r="D3640" s="6" t="s">
        <v>16</v>
      </c>
      <c r="E3640" s="6">
        <f>IF((ISBLANK($B$1)),"",Sheet1!Q3648)</f>
        <v>3650</v>
      </c>
      <c r="F3640" s="20" t="s">
        <v>29</v>
      </c>
      <c r="G3640" s="53">
        <f t="shared" si="57"/>
        <v>-1.4206910632167202</v>
      </c>
      <c r="H3640" s="35"/>
      <c r="P3640" s="6"/>
    </row>
    <row r="3641" spans="1:16" ht="14.4" x14ac:dyDescent="0.25">
      <c r="A3641" s="6">
        <v>3465</v>
      </c>
      <c r="B3641" s="6">
        <v>24672</v>
      </c>
      <c r="C3641" s="19">
        <v>40985</v>
      </c>
      <c r="D3641" s="6" t="s">
        <v>16</v>
      </c>
      <c r="E3641" s="6">
        <f>IF((ISBLANK($B$1)),"",Sheet1!Q3649)</f>
        <v>5250</v>
      </c>
      <c r="F3641" s="20" t="s">
        <v>26</v>
      </c>
      <c r="G3641" s="53">
        <f t="shared" si="57"/>
        <v>0.78883577311854924</v>
      </c>
      <c r="H3641" s="35"/>
      <c r="P3641" s="6"/>
    </row>
    <row r="3642" spans="1:16" ht="14.4" x14ac:dyDescent="0.25">
      <c r="A3642" s="6">
        <v>3466</v>
      </c>
      <c r="B3642" s="6">
        <v>24672</v>
      </c>
      <c r="C3642" s="19">
        <v>40985</v>
      </c>
      <c r="D3642" s="6" t="s">
        <v>16</v>
      </c>
      <c r="E3642" s="6">
        <f>IF((ISBLANK($B$1)),"",Sheet1!Q3650)</f>
        <v>5250</v>
      </c>
      <c r="F3642" s="20" t="s">
        <v>26</v>
      </c>
      <c r="G3642" s="53">
        <f t="shared" si="57"/>
        <v>0.78883577311854924</v>
      </c>
      <c r="H3642" s="35"/>
      <c r="P3642" s="6"/>
    </row>
    <row r="3643" spans="1:16" ht="14.4" x14ac:dyDescent="0.25">
      <c r="A3643" s="6">
        <v>3476</v>
      </c>
      <c r="B3643" s="6">
        <v>24740</v>
      </c>
      <c r="C3643" s="19">
        <v>40188</v>
      </c>
      <c r="D3643" s="6" t="s">
        <v>16</v>
      </c>
      <c r="E3643" s="6">
        <f>IF((ISBLANK($B$1)),"",Sheet1!Q3651)</f>
        <v>3950</v>
      </c>
      <c r="F3643" s="20" t="s">
        <v>29</v>
      </c>
      <c r="G3643" s="53">
        <f t="shared" si="57"/>
        <v>-1.0064047814038573</v>
      </c>
      <c r="H3643" s="35"/>
      <c r="P3643" s="6"/>
    </row>
    <row r="3644" spans="1:16" ht="14.4" x14ac:dyDescent="0.25">
      <c r="A3644" s="6">
        <v>3477</v>
      </c>
      <c r="B3644" s="6">
        <v>24740</v>
      </c>
      <c r="C3644" s="19">
        <v>40188</v>
      </c>
      <c r="D3644" s="6" t="s">
        <v>16</v>
      </c>
      <c r="E3644" s="6">
        <f>IF((ISBLANK($B$1)),"",Sheet1!Q3652)</f>
        <v>5150</v>
      </c>
      <c r="F3644" s="20" t="s">
        <v>26</v>
      </c>
      <c r="G3644" s="53">
        <f t="shared" si="57"/>
        <v>0.65074034584759488</v>
      </c>
      <c r="H3644" s="35"/>
      <c r="P3644" s="6"/>
    </row>
    <row r="3645" spans="1:16" ht="14.4" x14ac:dyDescent="0.25">
      <c r="A3645" s="6">
        <v>3578</v>
      </c>
      <c r="B3645" s="6">
        <v>25479</v>
      </c>
      <c r="C3645" s="19">
        <v>40661</v>
      </c>
      <c r="D3645" s="6" t="s">
        <v>30</v>
      </c>
      <c r="E3645" s="6">
        <f>IF((ISBLANK($B$1)),"",Sheet1!Q3653)</f>
        <v>3550</v>
      </c>
      <c r="F3645" s="20" t="s">
        <v>27</v>
      </c>
      <c r="G3645" s="53">
        <f t="shared" si="57"/>
        <v>-1.5587864904876745</v>
      </c>
      <c r="H3645" s="35"/>
      <c r="P3645" s="6"/>
    </row>
    <row r="3646" spans="1:16" ht="14.4" x14ac:dyDescent="0.25">
      <c r="A3646" s="6">
        <v>3635</v>
      </c>
      <c r="B3646" s="6">
        <v>25985</v>
      </c>
      <c r="C3646" s="19">
        <v>41154</v>
      </c>
      <c r="D3646" s="6" t="s">
        <v>25</v>
      </c>
      <c r="E3646" s="6">
        <f>IF((ISBLANK($B$1)),"",Sheet1!Q3654)</f>
        <v>5900</v>
      </c>
      <c r="F3646" s="20" t="s">
        <v>29</v>
      </c>
      <c r="G3646" s="53">
        <f t="shared" si="57"/>
        <v>1.6864560503797523</v>
      </c>
      <c r="H3646" s="35"/>
      <c r="P3646" s="6"/>
    </row>
    <row r="3647" spans="1:16" ht="14.4" x14ac:dyDescent="0.25">
      <c r="A3647" s="6">
        <v>3636</v>
      </c>
      <c r="B3647" s="6">
        <v>25985</v>
      </c>
      <c r="C3647" s="19">
        <v>41154</v>
      </c>
      <c r="D3647" s="6" t="s">
        <v>25</v>
      </c>
      <c r="E3647" s="6">
        <f>IF((ISBLANK($B$1)),"",Sheet1!Q3655)</f>
        <v>4500</v>
      </c>
      <c r="F3647" s="20" t="s">
        <v>26</v>
      </c>
      <c r="G3647" s="53">
        <f t="shared" si="57"/>
        <v>-0.24687993141360834</v>
      </c>
      <c r="H3647" s="35"/>
      <c r="P3647" s="6"/>
    </row>
    <row r="3648" spans="1:16" ht="14.4" x14ac:dyDescent="0.25">
      <c r="A3648" s="6">
        <v>3683</v>
      </c>
      <c r="B3648" s="6">
        <v>26341</v>
      </c>
      <c r="C3648" s="19">
        <v>40387</v>
      </c>
      <c r="D3648" s="6" t="s">
        <v>30</v>
      </c>
      <c r="E3648" s="6">
        <f>IF((ISBLANK($B$1)),"",Sheet1!Q3656)</f>
        <v>3800</v>
      </c>
      <c r="F3648" s="20" t="s">
        <v>29</v>
      </c>
      <c r="G3648" s="53">
        <f t="shared" si="57"/>
        <v>-1.2135479223102887</v>
      </c>
      <c r="H3648" s="35"/>
      <c r="P3648" s="6"/>
    </row>
    <row r="3649" spans="1:16" ht="14.4" x14ac:dyDescent="0.25">
      <c r="A3649" s="6">
        <v>3695</v>
      </c>
      <c r="B3649" s="6">
        <v>26407</v>
      </c>
      <c r="C3649" s="19">
        <v>41079</v>
      </c>
      <c r="D3649" s="6" t="s">
        <v>30</v>
      </c>
      <c r="E3649" s="6">
        <f>IF((ISBLANK($B$1)),"",Sheet1!Q3657)</f>
        <v>5100</v>
      </c>
      <c r="F3649" s="20" t="s">
        <v>26</v>
      </c>
      <c r="G3649" s="53">
        <f t="shared" si="57"/>
        <v>0.58169263221211776</v>
      </c>
      <c r="H3649" s="35"/>
      <c r="P3649" s="6"/>
    </row>
    <row r="3650" spans="1:16" ht="14.4" x14ac:dyDescent="0.25">
      <c r="A3650" s="6">
        <v>3696</v>
      </c>
      <c r="B3650" s="6">
        <v>26407</v>
      </c>
      <c r="C3650" s="19">
        <v>41079</v>
      </c>
      <c r="D3650" s="6" t="s">
        <v>30</v>
      </c>
      <c r="E3650" s="6">
        <f>IF((ISBLANK($B$1)),"",Sheet1!Q3658)</f>
        <v>4200</v>
      </c>
      <c r="F3650" s="20" t="s">
        <v>27</v>
      </c>
      <c r="G3650" s="53">
        <f t="shared" si="57"/>
        <v>-0.6611662132264714</v>
      </c>
      <c r="H3650" s="35"/>
      <c r="P3650" s="6"/>
    </row>
    <row r="3651" spans="1:16" ht="14.4" x14ac:dyDescent="0.25">
      <c r="A3651" s="6">
        <v>3697</v>
      </c>
      <c r="B3651" s="6">
        <v>26432</v>
      </c>
      <c r="C3651" s="19">
        <v>40177</v>
      </c>
      <c r="D3651" s="6" t="s">
        <v>25</v>
      </c>
      <c r="E3651" s="6">
        <f>IF((ISBLANK($B$1)),"",Sheet1!Q3659)</f>
        <v>5250</v>
      </c>
      <c r="F3651" s="20" t="s">
        <v>26</v>
      </c>
      <c r="G3651" s="53">
        <f t="shared" si="57"/>
        <v>0.78883577311854924</v>
      </c>
      <c r="H3651" s="35"/>
      <c r="P3651" s="6"/>
    </row>
    <row r="3652" spans="1:16" ht="14.4" x14ac:dyDescent="0.25">
      <c r="A3652" s="6">
        <v>3698</v>
      </c>
      <c r="B3652" s="6">
        <v>26432</v>
      </c>
      <c r="C3652" s="19">
        <v>40177</v>
      </c>
      <c r="D3652" s="6" t="s">
        <v>25</v>
      </c>
      <c r="E3652" s="6">
        <f>IF((ISBLANK($B$1)),"",Sheet1!Q3660)</f>
        <v>5800</v>
      </c>
      <c r="F3652" s="20" t="s">
        <v>27</v>
      </c>
      <c r="G3652" s="53">
        <f t="shared" si="57"/>
        <v>1.5483606231087981</v>
      </c>
      <c r="H3652" s="35"/>
      <c r="P3652" s="6"/>
    </row>
    <row r="3653" spans="1:16" ht="14.4" x14ac:dyDescent="0.25">
      <c r="A3653" s="6">
        <v>3699</v>
      </c>
      <c r="B3653" s="6">
        <v>26432</v>
      </c>
      <c r="C3653" s="19">
        <v>40177</v>
      </c>
      <c r="D3653" s="6" t="s">
        <v>25</v>
      </c>
      <c r="E3653" s="6">
        <f>IF((ISBLANK($B$1)),"",Sheet1!Q3661)</f>
        <v>3950</v>
      </c>
      <c r="F3653" s="20" t="s">
        <v>26</v>
      </c>
      <c r="G3653" s="53">
        <f t="shared" si="57"/>
        <v>-1.0064047814038573</v>
      </c>
      <c r="H3653" s="35"/>
      <c r="P3653" s="6"/>
    </row>
    <row r="3654" spans="1:16" ht="14.4" x14ac:dyDescent="0.25">
      <c r="A3654" s="6">
        <v>3726</v>
      </c>
      <c r="B3654" s="6">
        <v>26630</v>
      </c>
      <c r="C3654" s="19">
        <v>40509</v>
      </c>
      <c r="D3654" s="6" t="s">
        <v>17</v>
      </c>
      <c r="E3654" s="6">
        <f>IF((ISBLANK($B$1)),"",Sheet1!Q3662)</f>
        <v>3850</v>
      </c>
      <c r="F3654" s="20" t="s">
        <v>26</v>
      </c>
      <c r="G3654" s="53">
        <f t="shared" si="57"/>
        <v>-1.1445002086748115</v>
      </c>
      <c r="H3654" s="35"/>
      <c r="P3654" s="6"/>
    </row>
    <row r="3655" spans="1:16" ht="14.4" x14ac:dyDescent="0.25">
      <c r="A3655" s="6">
        <v>3730</v>
      </c>
      <c r="B3655" s="6">
        <v>26660</v>
      </c>
      <c r="C3655" s="19">
        <v>40986</v>
      </c>
      <c r="D3655" s="6" t="s">
        <v>16</v>
      </c>
      <c r="E3655" s="6">
        <f>IF((ISBLANK($B$1)),"",Sheet1!Q3663)</f>
        <v>3450</v>
      </c>
      <c r="F3655" s="20" t="s">
        <v>26</v>
      </c>
      <c r="G3655" s="53">
        <f t="shared" si="57"/>
        <v>-1.696881917758629</v>
      </c>
      <c r="H3655" s="35"/>
      <c r="P3655" s="6"/>
    </row>
    <row r="3656" spans="1:16" ht="14.4" x14ac:dyDescent="0.25">
      <c r="A3656" s="6">
        <v>3754</v>
      </c>
      <c r="B3656" s="6">
        <v>26818</v>
      </c>
      <c r="C3656" s="19">
        <v>40916</v>
      </c>
      <c r="D3656" s="6" t="s">
        <v>28</v>
      </c>
      <c r="E3656" s="6">
        <f>IF((ISBLANK($B$1)),"",Sheet1!Q3664)</f>
        <v>4550</v>
      </c>
      <c r="F3656" s="20" t="s">
        <v>26</v>
      </c>
      <c r="G3656" s="53">
        <f t="shared" ref="G3656:G3719" si="58">STANDARDIZE(E3656,$L$26,$L$35)</f>
        <v>-0.17783221777813119</v>
      </c>
      <c r="H3656" s="35"/>
      <c r="P3656" s="6"/>
    </row>
    <row r="3657" spans="1:16" ht="14.4" x14ac:dyDescent="0.25">
      <c r="A3657" s="6">
        <v>3755</v>
      </c>
      <c r="B3657" s="6">
        <v>26818</v>
      </c>
      <c r="C3657" s="19">
        <v>40916</v>
      </c>
      <c r="D3657" s="6" t="s">
        <v>28</v>
      </c>
      <c r="E3657" s="6">
        <f>IF((ISBLANK($B$1)),"",Sheet1!Q3665)</f>
        <v>3650</v>
      </c>
      <c r="F3657" s="20" t="s">
        <v>26</v>
      </c>
      <c r="G3657" s="53">
        <f t="shared" si="58"/>
        <v>-1.4206910632167202</v>
      </c>
      <c r="H3657" s="35"/>
      <c r="P3657" s="6"/>
    </row>
    <row r="3658" spans="1:16" ht="14.4" x14ac:dyDescent="0.25">
      <c r="A3658" s="6">
        <v>3756</v>
      </c>
      <c r="B3658" s="6">
        <v>26818</v>
      </c>
      <c r="C3658" s="19">
        <v>40916</v>
      </c>
      <c r="D3658" s="6" t="s">
        <v>28</v>
      </c>
      <c r="E3658" s="6">
        <f>IF((ISBLANK($B$1)),"",Sheet1!Q3666)</f>
        <v>5200</v>
      </c>
      <c r="F3658" s="20" t="s">
        <v>26</v>
      </c>
      <c r="G3658" s="53">
        <f t="shared" si="58"/>
        <v>0.71978805948307201</v>
      </c>
      <c r="H3658" s="35"/>
      <c r="P3658" s="6"/>
    </row>
    <row r="3659" spans="1:16" ht="14.4" x14ac:dyDescent="0.25">
      <c r="A3659" s="6">
        <v>3790</v>
      </c>
      <c r="B3659" s="6">
        <v>27011</v>
      </c>
      <c r="C3659" s="19">
        <v>40542</v>
      </c>
      <c r="D3659" s="6" t="s">
        <v>16</v>
      </c>
      <c r="E3659" s="6">
        <f>IF((ISBLANK($B$1)),"",Sheet1!Q3667)</f>
        <v>3650</v>
      </c>
      <c r="F3659" s="20" t="s">
        <v>26</v>
      </c>
      <c r="G3659" s="53">
        <f t="shared" si="58"/>
        <v>-1.4206910632167202</v>
      </c>
      <c r="H3659" s="35"/>
      <c r="P3659" s="6"/>
    </row>
    <row r="3660" spans="1:16" ht="14.4" x14ac:dyDescent="0.25">
      <c r="A3660" s="6">
        <v>3903</v>
      </c>
      <c r="B3660" s="6">
        <v>27841</v>
      </c>
      <c r="C3660" s="19">
        <v>41168</v>
      </c>
      <c r="D3660" s="6" t="s">
        <v>17</v>
      </c>
      <c r="E3660" s="6">
        <f>IF((ISBLANK($B$1)),"",Sheet1!Q3668)</f>
        <v>5050</v>
      </c>
      <c r="F3660" s="20" t="s">
        <v>26</v>
      </c>
      <c r="G3660" s="53">
        <f t="shared" si="58"/>
        <v>0.51264491857664052</v>
      </c>
      <c r="H3660" s="35"/>
      <c r="P3660" s="6"/>
    </row>
    <row r="3661" spans="1:16" ht="14.4" x14ac:dyDescent="0.25">
      <c r="A3661" s="6">
        <v>4003</v>
      </c>
      <c r="B3661" s="6">
        <v>28581</v>
      </c>
      <c r="C3661" s="19">
        <v>40884</v>
      </c>
      <c r="D3661" s="6" t="s">
        <v>16</v>
      </c>
      <c r="E3661" s="6">
        <f>IF((ISBLANK($B$1)),"",Sheet1!Q3669)</f>
        <v>3450</v>
      </c>
      <c r="F3661" s="20" t="s">
        <v>26</v>
      </c>
      <c r="G3661" s="53">
        <f t="shared" si="58"/>
        <v>-1.696881917758629</v>
      </c>
      <c r="H3661" s="35"/>
      <c r="P3661" s="6"/>
    </row>
    <row r="3662" spans="1:16" ht="14.4" x14ac:dyDescent="0.25">
      <c r="A3662" s="6">
        <v>4004</v>
      </c>
      <c r="B3662" s="6">
        <v>28581</v>
      </c>
      <c r="C3662" s="19">
        <v>40884</v>
      </c>
      <c r="D3662" s="6" t="s">
        <v>16</v>
      </c>
      <c r="E3662" s="6">
        <f>IF((ISBLANK($B$1)),"",Sheet1!Q3670)</f>
        <v>5200</v>
      </c>
      <c r="F3662" s="20" t="s">
        <v>26</v>
      </c>
      <c r="G3662" s="53">
        <f t="shared" si="58"/>
        <v>0.71978805948307201</v>
      </c>
      <c r="H3662" s="35"/>
      <c r="P3662" s="6"/>
    </row>
    <row r="3663" spans="1:16" ht="14.4" x14ac:dyDescent="0.25">
      <c r="A3663" s="6">
        <v>4008</v>
      </c>
      <c r="B3663" s="6">
        <v>28611</v>
      </c>
      <c r="C3663" s="19">
        <v>41270</v>
      </c>
      <c r="D3663" s="6" t="s">
        <v>25</v>
      </c>
      <c r="E3663" s="6">
        <f>IF((ISBLANK($B$1)),"",Sheet1!Q3671)</f>
        <v>4900</v>
      </c>
      <c r="F3663" s="20" t="s">
        <v>26</v>
      </c>
      <c r="G3663" s="53">
        <f t="shared" si="58"/>
        <v>0.30550177767020903</v>
      </c>
      <c r="H3663" s="35"/>
      <c r="P3663" s="6"/>
    </row>
    <row r="3664" spans="1:16" ht="14.4" x14ac:dyDescent="0.25">
      <c r="A3664" s="6">
        <v>4009</v>
      </c>
      <c r="B3664" s="6">
        <v>28611</v>
      </c>
      <c r="C3664" s="19">
        <v>41270</v>
      </c>
      <c r="D3664" s="6" t="s">
        <v>25</v>
      </c>
      <c r="E3664" s="6">
        <f>IF((ISBLANK($B$1)),"",Sheet1!Q3672)</f>
        <v>5500</v>
      </c>
      <c r="F3664" s="20" t="s">
        <v>27</v>
      </c>
      <c r="G3664" s="53">
        <f t="shared" si="58"/>
        <v>1.1340743412959351</v>
      </c>
      <c r="H3664" s="35"/>
      <c r="P3664" s="6"/>
    </row>
    <row r="3665" spans="1:16" ht="14.4" x14ac:dyDescent="0.25">
      <c r="A3665" s="6">
        <v>4015</v>
      </c>
      <c r="B3665" s="6">
        <v>28647</v>
      </c>
      <c r="C3665" s="19">
        <v>39886</v>
      </c>
      <c r="D3665" s="6" t="s">
        <v>30</v>
      </c>
      <c r="E3665" s="6">
        <f>IF((ISBLANK($B$1)),"",Sheet1!Q3673)</f>
        <v>5300</v>
      </c>
      <c r="F3665" s="20" t="s">
        <v>29</v>
      </c>
      <c r="G3665" s="53">
        <f t="shared" si="58"/>
        <v>0.85788348675402637</v>
      </c>
      <c r="H3665" s="35"/>
      <c r="P3665" s="6"/>
    </row>
    <row r="3666" spans="1:16" ht="14.4" x14ac:dyDescent="0.25">
      <c r="A3666" s="6">
        <v>4018</v>
      </c>
      <c r="B3666" s="6">
        <v>28736</v>
      </c>
      <c r="C3666" s="19">
        <v>39924</v>
      </c>
      <c r="D3666" s="6" t="s">
        <v>17</v>
      </c>
      <c r="E3666" s="6">
        <f>IF((ISBLANK($B$1)),"",Sheet1!Q3674)</f>
        <v>4700</v>
      </c>
      <c r="F3666" s="20" t="s">
        <v>26</v>
      </c>
      <c r="G3666" s="53">
        <f t="shared" si="58"/>
        <v>2.9310923128300338E-2</v>
      </c>
      <c r="H3666" s="35"/>
      <c r="P3666" s="6"/>
    </row>
    <row r="3667" spans="1:16" ht="14.4" x14ac:dyDescent="0.25">
      <c r="A3667" s="6">
        <v>4041</v>
      </c>
      <c r="B3667" s="6">
        <v>28835</v>
      </c>
      <c r="C3667" s="19">
        <v>40999</v>
      </c>
      <c r="D3667" s="6" t="s">
        <v>28</v>
      </c>
      <c r="E3667" s="6">
        <f>IF((ISBLANK($B$1)),"",Sheet1!Q3675)</f>
        <v>3450</v>
      </c>
      <c r="F3667" s="20" t="s">
        <v>26</v>
      </c>
      <c r="G3667" s="53">
        <f t="shared" si="58"/>
        <v>-1.696881917758629</v>
      </c>
      <c r="H3667" s="35"/>
      <c r="P3667" s="6"/>
    </row>
    <row r="3668" spans="1:16" ht="14.4" x14ac:dyDescent="0.25">
      <c r="A3668" s="6">
        <v>4106</v>
      </c>
      <c r="B3668" s="6">
        <v>29220</v>
      </c>
      <c r="C3668" s="19">
        <v>41272</v>
      </c>
      <c r="D3668" s="6" t="s">
        <v>16</v>
      </c>
      <c r="E3668" s="6">
        <f>IF((ISBLANK($B$1)),"",Sheet1!Q3676)</f>
        <v>5200</v>
      </c>
      <c r="F3668" s="20" t="s">
        <v>26</v>
      </c>
      <c r="G3668" s="53">
        <f t="shared" si="58"/>
        <v>0.71978805948307201</v>
      </c>
      <c r="H3668" s="35"/>
      <c r="P3668" s="6"/>
    </row>
    <row r="3669" spans="1:16" ht="14.4" x14ac:dyDescent="0.25">
      <c r="A3669" s="6">
        <v>4235</v>
      </c>
      <c r="B3669" s="6">
        <v>30114</v>
      </c>
      <c r="C3669" s="19">
        <v>40406</v>
      </c>
      <c r="D3669" s="6" t="s">
        <v>25</v>
      </c>
      <c r="E3669" s="6">
        <f>IF((ISBLANK($B$1)),"",Sheet1!Q3677)</f>
        <v>3750</v>
      </c>
      <c r="F3669" s="20" t="s">
        <v>27</v>
      </c>
      <c r="G3669" s="53">
        <f t="shared" si="58"/>
        <v>-1.282595635945766</v>
      </c>
      <c r="H3669" s="35"/>
      <c r="P3669" s="6"/>
    </row>
    <row r="3670" spans="1:16" ht="14.4" x14ac:dyDescent="0.25">
      <c r="A3670" s="6">
        <v>4258</v>
      </c>
      <c r="B3670" s="6">
        <v>30336</v>
      </c>
      <c r="C3670" s="19">
        <v>40207</v>
      </c>
      <c r="D3670" s="6" t="s">
        <v>16</v>
      </c>
      <c r="E3670" s="6">
        <f>IF((ISBLANK($B$1)),"",Sheet1!Q3678)</f>
        <v>4800</v>
      </c>
      <c r="F3670" s="20" t="s">
        <v>26</v>
      </c>
      <c r="G3670" s="53">
        <f t="shared" si="58"/>
        <v>0.16740635039925467</v>
      </c>
      <c r="H3670" s="35"/>
      <c r="P3670" s="6"/>
    </row>
    <row r="3671" spans="1:16" ht="14.4" x14ac:dyDescent="0.25">
      <c r="A3671" s="6">
        <v>4312</v>
      </c>
      <c r="B3671" s="6">
        <v>30725</v>
      </c>
      <c r="C3671" s="19">
        <v>40175</v>
      </c>
      <c r="D3671" s="6" t="s">
        <v>16</v>
      </c>
      <c r="E3671" s="6">
        <f>IF((ISBLANK($B$1)),"",Sheet1!Q3679)</f>
        <v>5350</v>
      </c>
      <c r="F3671" s="20" t="s">
        <v>27</v>
      </c>
      <c r="G3671" s="53">
        <f t="shared" si="58"/>
        <v>0.92693120038950361</v>
      </c>
      <c r="H3671" s="35"/>
      <c r="P3671" s="6"/>
    </row>
    <row r="3672" spans="1:16" ht="14.4" x14ac:dyDescent="0.25">
      <c r="A3672" s="6">
        <v>4319</v>
      </c>
      <c r="B3672" s="6">
        <v>30784</v>
      </c>
      <c r="C3672" s="19">
        <v>41036</v>
      </c>
      <c r="D3672" s="6" t="s">
        <v>16</v>
      </c>
      <c r="E3672" s="6">
        <f>IF((ISBLANK($B$1)),"",Sheet1!Q3680)</f>
        <v>3900</v>
      </c>
      <c r="F3672" s="20" t="s">
        <v>29</v>
      </c>
      <c r="G3672" s="53">
        <f t="shared" si="58"/>
        <v>-1.0754524950393345</v>
      </c>
      <c r="H3672" s="35"/>
      <c r="P3672" s="6"/>
    </row>
    <row r="3673" spans="1:16" ht="14.4" x14ac:dyDescent="0.25">
      <c r="A3673" s="6">
        <v>4320</v>
      </c>
      <c r="B3673" s="6">
        <v>30784</v>
      </c>
      <c r="C3673" s="19">
        <v>41036</v>
      </c>
      <c r="D3673" s="6" t="s">
        <v>16</v>
      </c>
      <c r="E3673" s="6">
        <f>IF((ISBLANK($B$1)),"",Sheet1!Q3681)</f>
        <v>5800</v>
      </c>
      <c r="F3673" s="20" t="s">
        <v>26</v>
      </c>
      <c r="G3673" s="53">
        <f t="shared" si="58"/>
        <v>1.5483606231087981</v>
      </c>
      <c r="H3673" s="35"/>
      <c r="P3673" s="6"/>
    </row>
    <row r="3674" spans="1:16" ht="14.4" x14ac:dyDescent="0.25">
      <c r="A3674" s="6">
        <v>4351</v>
      </c>
      <c r="B3674" s="6">
        <v>31040</v>
      </c>
      <c r="C3674" s="19">
        <v>40435</v>
      </c>
      <c r="D3674" s="6" t="s">
        <v>28</v>
      </c>
      <c r="E3674" s="6">
        <f>IF((ISBLANK($B$1)),"",Sheet1!Q3682)</f>
        <v>4550</v>
      </c>
      <c r="F3674" s="20" t="s">
        <v>27</v>
      </c>
      <c r="G3674" s="53">
        <f t="shared" si="58"/>
        <v>-0.17783221777813119</v>
      </c>
      <c r="H3674" s="35"/>
      <c r="P3674" s="6"/>
    </row>
    <row r="3675" spans="1:16" ht="14.4" x14ac:dyDescent="0.25">
      <c r="A3675" s="6">
        <v>4352</v>
      </c>
      <c r="B3675" s="6">
        <v>31040</v>
      </c>
      <c r="C3675" s="19">
        <v>40435</v>
      </c>
      <c r="D3675" s="6" t="s">
        <v>28</v>
      </c>
      <c r="E3675" s="6">
        <f>IF((ISBLANK($B$1)),"",Sheet1!Q3683)</f>
        <v>4350</v>
      </c>
      <c r="F3675" s="20" t="s">
        <v>26</v>
      </c>
      <c r="G3675" s="53">
        <f t="shared" si="58"/>
        <v>-0.45402307232003986</v>
      </c>
      <c r="H3675" s="35"/>
      <c r="P3675" s="6"/>
    </row>
    <row r="3676" spans="1:16" ht="14.4" x14ac:dyDescent="0.25">
      <c r="A3676" s="6">
        <v>4469</v>
      </c>
      <c r="B3676" s="6">
        <v>31846</v>
      </c>
      <c r="C3676" s="19">
        <v>40768</v>
      </c>
      <c r="D3676" s="6" t="s">
        <v>30</v>
      </c>
      <c r="E3676" s="6">
        <f>IF((ISBLANK($B$1)),"",Sheet1!Q3684)</f>
        <v>3750</v>
      </c>
      <c r="F3676" s="20" t="s">
        <v>29</v>
      </c>
      <c r="G3676" s="53">
        <f t="shared" si="58"/>
        <v>-1.282595635945766</v>
      </c>
      <c r="H3676" s="35"/>
      <c r="P3676" s="6"/>
    </row>
    <row r="3677" spans="1:16" ht="14.4" x14ac:dyDescent="0.25">
      <c r="A3677" s="6">
        <v>4503</v>
      </c>
      <c r="B3677" s="6">
        <v>32038</v>
      </c>
      <c r="C3677" s="19">
        <v>39981</v>
      </c>
      <c r="D3677" s="6" t="s">
        <v>25</v>
      </c>
      <c r="E3677" s="6">
        <f>IF((ISBLANK($B$1)),"",Sheet1!Q3685)</f>
        <v>4700</v>
      </c>
      <c r="F3677" s="20" t="s">
        <v>26</v>
      </c>
      <c r="G3677" s="53">
        <f t="shared" si="58"/>
        <v>2.9310923128300338E-2</v>
      </c>
      <c r="H3677" s="35"/>
      <c r="P3677" s="6"/>
    </row>
    <row r="3678" spans="1:16" ht="14.4" x14ac:dyDescent="0.25">
      <c r="A3678" s="6">
        <v>4504</v>
      </c>
      <c r="B3678" s="6">
        <v>32065</v>
      </c>
      <c r="C3678" s="19">
        <v>40879</v>
      </c>
      <c r="D3678" s="6" t="s">
        <v>16</v>
      </c>
      <c r="E3678" s="6">
        <f>IF((ISBLANK($B$1)),"",Sheet1!Q3686)</f>
        <v>4650</v>
      </c>
      <c r="F3678" s="20" t="s">
        <v>27</v>
      </c>
      <c r="G3678" s="53">
        <f t="shared" si="58"/>
        <v>-3.9736790507176829E-2</v>
      </c>
      <c r="H3678" s="35"/>
      <c r="P3678" s="6"/>
    </row>
    <row r="3679" spans="1:16" ht="14.4" x14ac:dyDescent="0.25">
      <c r="A3679" s="6">
        <v>4545</v>
      </c>
      <c r="B3679" s="6">
        <v>32326</v>
      </c>
      <c r="C3679" s="19">
        <v>40482</v>
      </c>
      <c r="D3679" s="6" t="s">
        <v>17</v>
      </c>
      <c r="E3679" s="6">
        <f>IF((ISBLANK($B$1)),"",Sheet1!Q3687)</f>
        <v>5900</v>
      </c>
      <c r="F3679" s="20" t="s">
        <v>29</v>
      </c>
      <c r="G3679" s="53">
        <f t="shared" si="58"/>
        <v>1.6864560503797523</v>
      </c>
      <c r="H3679" s="35"/>
      <c r="P3679" s="6"/>
    </row>
    <row r="3680" spans="1:16" ht="14.4" x14ac:dyDescent="0.25">
      <c r="A3680" s="6">
        <v>4584</v>
      </c>
      <c r="B3680" s="6">
        <v>32613</v>
      </c>
      <c r="C3680" s="19">
        <v>40893</v>
      </c>
      <c r="D3680" s="6" t="s">
        <v>25</v>
      </c>
      <c r="E3680" s="6">
        <f>IF((ISBLANK($B$1)),"",Sheet1!Q3688)</f>
        <v>4950</v>
      </c>
      <c r="F3680" s="20" t="s">
        <v>26</v>
      </c>
      <c r="G3680" s="53">
        <f t="shared" si="58"/>
        <v>0.37454949130568621</v>
      </c>
      <c r="H3680" s="35"/>
      <c r="P3680" s="6"/>
    </row>
    <row r="3681" spans="1:16" ht="14.4" x14ac:dyDescent="0.25">
      <c r="A3681" s="6">
        <v>4585</v>
      </c>
      <c r="B3681" s="6">
        <v>32613</v>
      </c>
      <c r="C3681" s="19">
        <v>40893</v>
      </c>
      <c r="D3681" s="6" t="s">
        <v>25</v>
      </c>
      <c r="E3681" s="6">
        <f>IF((ISBLANK($B$1)),"",Sheet1!Q3689)</f>
        <v>5300</v>
      </c>
      <c r="F3681" s="20" t="s">
        <v>26</v>
      </c>
      <c r="G3681" s="53">
        <f t="shared" si="58"/>
        <v>0.85788348675402637</v>
      </c>
      <c r="H3681" s="35"/>
      <c r="P3681" s="6"/>
    </row>
    <row r="3682" spans="1:16" ht="14.4" x14ac:dyDescent="0.25">
      <c r="A3682" s="6">
        <v>4586</v>
      </c>
      <c r="B3682" s="6">
        <v>32613</v>
      </c>
      <c r="C3682" s="19">
        <v>40893</v>
      </c>
      <c r="D3682" s="6" t="s">
        <v>25</v>
      </c>
      <c r="E3682" s="6">
        <f>IF((ISBLANK($B$1)),"",Sheet1!Q3690)</f>
        <v>5450</v>
      </c>
      <c r="F3682" s="20" t="s">
        <v>27</v>
      </c>
      <c r="G3682" s="53">
        <f t="shared" si="58"/>
        <v>1.0650266276604579</v>
      </c>
      <c r="H3682" s="35"/>
      <c r="P3682" s="6"/>
    </row>
    <row r="3683" spans="1:16" ht="14.4" x14ac:dyDescent="0.25">
      <c r="A3683" s="6">
        <v>4598</v>
      </c>
      <c r="B3683" s="6">
        <v>32741</v>
      </c>
      <c r="C3683" s="19">
        <v>39859</v>
      </c>
      <c r="D3683" s="6" t="s">
        <v>25</v>
      </c>
      <c r="E3683" s="6">
        <f>IF((ISBLANK($B$1)),"",Sheet1!Q3691)</f>
        <v>4050</v>
      </c>
      <c r="F3683" s="20" t="s">
        <v>26</v>
      </c>
      <c r="G3683" s="53">
        <f t="shared" si="58"/>
        <v>-0.86830935413290289</v>
      </c>
      <c r="H3683" s="35"/>
      <c r="P3683" s="6"/>
    </row>
    <row r="3684" spans="1:16" ht="14.4" x14ac:dyDescent="0.25">
      <c r="A3684" s="6">
        <v>4624</v>
      </c>
      <c r="B3684" s="6">
        <v>32903</v>
      </c>
      <c r="C3684" s="19">
        <v>41116</v>
      </c>
      <c r="D3684" s="6" t="s">
        <v>25</v>
      </c>
      <c r="E3684" s="6">
        <f>IF((ISBLANK($B$1)),"",Sheet1!Q3692)</f>
        <v>4950</v>
      </c>
      <c r="F3684" s="20" t="s">
        <v>26</v>
      </c>
      <c r="G3684" s="53">
        <f t="shared" si="58"/>
        <v>0.37454949130568621</v>
      </c>
      <c r="H3684" s="35"/>
      <c r="P3684" s="6"/>
    </row>
    <row r="3685" spans="1:16" ht="14.4" x14ac:dyDescent="0.25">
      <c r="A3685" s="6">
        <v>4642</v>
      </c>
      <c r="B3685" s="6">
        <v>33031</v>
      </c>
      <c r="C3685" s="19">
        <v>41145</v>
      </c>
      <c r="D3685" s="6" t="s">
        <v>17</v>
      </c>
      <c r="E3685" s="6">
        <f>IF((ISBLANK($B$1)),"",Sheet1!Q3693)</f>
        <v>4600</v>
      </c>
      <c r="F3685" s="20" t="s">
        <v>29</v>
      </c>
      <c r="G3685" s="53">
        <f t="shared" si="58"/>
        <v>-0.108784504142654</v>
      </c>
      <c r="H3685" s="35"/>
      <c r="P3685" s="6"/>
    </row>
    <row r="3686" spans="1:16" ht="14.4" x14ac:dyDescent="0.25">
      <c r="A3686" s="6">
        <v>4643</v>
      </c>
      <c r="B3686" s="6">
        <v>33031</v>
      </c>
      <c r="C3686" s="19">
        <v>41145</v>
      </c>
      <c r="D3686" s="6" t="s">
        <v>17</v>
      </c>
      <c r="E3686" s="6">
        <f>IF((ISBLANK($B$1)),"",Sheet1!Q3694)</f>
        <v>4300</v>
      </c>
      <c r="F3686" s="20" t="s">
        <v>26</v>
      </c>
      <c r="G3686" s="53">
        <f t="shared" si="58"/>
        <v>-0.52307078595551704</v>
      </c>
      <c r="H3686" s="35"/>
      <c r="P3686" s="6"/>
    </row>
    <row r="3687" spans="1:16" ht="14.4" x14ac:dyDescent="0.25">
      <c r="A3687" s="6">
        <v>4654</v>
      </c>
      <c r="B3687" s="6">
        <v>33152</v>
      </c>
      <c r="C3687" s="19">
        <v>40503</v>
      </c>
      <c r="D3687" s="6" t="s">
        <v>30</v>
      </c>
      <c r="E3687" s="6">
        <f>IF((ISBLANK($B$1)),"",Sheet1!Q3695)</f>
        <v>4350</v>
      </c>
      <c r="F3687" s="20" t="s">
        <v>27</v>
      </c>
      <c r="G3687" s="53">
        <f t="shared" si="58"/>
        <v>-0.45402307232003986</v>
      </c>
      <c r="H3687" s="35"/>
      <c r="P3687" s="6"/>
    </row>
    <row r="3688" spans="1:16" ht="14.4" x14ac:dyDescent="0.25">
      <c r="A3688" s="6">
        <v>4662</v>
      </c>
      <c r="B3688" s="6">
        <v>33217</v>
      </c>
      <c r="C3688" s="19">
        <v>39884</v>
      </c>
      <c r="D3688" s="6" t="s">
        <v>17</v>
      </c>
      <c r="E3688" s="6">
        <f>IF((ISBLANK($B$1)),"",Sheet1!Q3696)</f>
        <v>4400</v>
      </c>
      <c r="F3688" s="20" t="s">
        <v>27</v>
      </c>
      <c r="G3688" s="53">
        <f t="shared" si="58"/>
        <v>-0.38497535868456267</v>
      </c>
      <c r="H3688" s="35"/>
      <c r="P3688" s="6"/>
    </row>
    <row r="3689" spans="1:16" ht="14.4" x14ac:dyDescent="0.25">
      <c r="A3689" s="6">
        <v>4663</v>
      </c>
      <c r="B3689" s="6">
        <v>33217</v>
      </c>
      <c r="C3689" s="19">
        <v>39884</v>
      </c>
      <c r="D3689" s="6" t="s">
        <v>17</v>
      </c>
      <c r="E3689" s="6">
        <f>IF((ISBLANK($B$1)),"",Sheet1!Q3697)</f>
        <v>5100</v>
      </c>
      <c r="F3689" s="20" t="s">
        <v>27</v>
      </c>
      <c r="G3689" s="53">
        <f t="shared" si="58"/>
        <v>0.58169263221211776</v>
      </c>
      <c r="H3689" s="35"/>
      <c r="P3689" s="6"/>
    </row>
    <row r="3690" spans="1:16" ht="14.4" x14ac:dyDescent="0.25">
      <c r="A3690" s="6">
        <v>4721</v>
      </c>
      <c r="B3690" s="6">
        <v>33606</v>
      </c>
      <c r="C3690" s="19">
        <v>40969</v>
      </c>
      <c r="D3690" s="6" t="s">
        <v>17</v>
      </c>
      <c r="E3690" s="6">
        <f>IF((ISBLANK($B$1)),"",Sheet1!Q3698)</f>
        <v>5700</v>
      </c>
      <c r="F3690" s="20" t="s">
        <v>29</v>
      </c>
      <c r="G3690" s="53">
        <f t="shared" si="58"/>
        <v>1.4102651958378438</v>
      </c>
      <c r="H3690" s="35"/>
      <c r="P3690" s="6"/>
    </row>
    <row r="3691" spans="1:16" ht="14.4" x14ac:dyDescent="0.25">
      <c r="A3691" s="6">
        <v>4728</v>
      </c>
      <c r="B3691" s="6">
        <v>33666</v>
      </c>
      <c r="C3691" s="19">
        <v>41106</v>
      </c>
      <c r="D3691" s="6" t="s">
        <v>28</v>
      </c>
      <c r="E3691" s="6">
        <f>IF((ISBLANK($B$1)),"",Sheet1!Q3699)</f>
        <v>4250</v>
      </c>
      <c r="F3691" s="20" t="s">
        <v>29</v>
      </c>
      <c r="G3691" s="53">
        <f t="shared" si="58"/>
        <v>-0.59211849959099416</v>
      </c>
      <c r="H3691" s="35"/>
      <c r="P3691" s="6"/>
    </row>
    <row r="3692" spans="1:16" ht="14.4" x14ac:dyDescent="0.25">
      <c r="A3692" s="6">
        <v>4749</v>
      </c>
      <c r="B3692" s="6">
        <v>33764</v>
      </c>
      <c r="C3692" s="19">
        <v>40584</v>
      </c>
      <c r="D3692" s="6" t="s">
        <v>30</v>
      </c>
      <c r="E3692" s="6">
        <f>IF((ISBLANK($B$1)),"",Sheet1!Q3700)</f>
        <v>4950</v>
      </c>
      <c r="F3692" s="20" t="s">
        <v>26</v>
      </c>
      <c r="G3692" s="53">
        <f t="shared" si="58"/>
        <v>0.37454949130568621</v>
      </c>
      <c r="H3692" s="35"/>
      <c r="P3692" s="6"/>
    </row>
    <row r="3693" spans="1:16" ht="14.4" x14ac:dyDescent="0.25">
      <c r="A3693" s="6">
        <v>4776</v>
      </c>
      <c r="B3693" s="6">
        <v>33921</v>
      </c>
      <c r="C3693" s="19">
        <v>40267</v>
      </c>
      <c r="D3693" s="6" t="s">
        <v>25</v>
      </c>
      <c r="E3693" s="6">
        <f>IF((ISBLANK($B$1)),"",Sheet1!Q3701)</f>
        <v>5150</v>
      </c>
      <c r="F3693" s="20" t="s">
        <v>29</v>
      </c>
      <c r="G3693" s="53">
        <f t="shared" si="58"/>
        <v>0.65074034584759488</v>
      </c>
      <c r="H3693" s="35"/>
      <c r="P3693" s="6"/>
    </row>
    <row r="3694" spans="1:16" ht="14.4" x14ac:dyDescent="0.25">
      <c r="A3694" s="6">
        <v>4781</v>
      </c>
      <c r="B3694" s="6">
        <v>33956</v>
      </c>
      <c r="C3694" s="19">
        <v>40927</v>
      </c>
      <c r="D3694" s="6" t="s">
        <v>25</v>
      </c>
      <c r="E3694" s="6">
        <f>IF((ISBLANK($B$1)),"",Sheet1!Q3702)</f>
        <v>4050</v>
      </c>
      <c r="F3694" s="20" t="s">
        <v>29</v>
      </c>
      <c r="G3694" s="53">
        <f t="shared" si="58"/>
        <v>-0.86830935413290289</v>
      </c>
      <c r="H3694" s="35"/>
      <c r="P3694" s="6"/>
    </row>
    <row r="3695" spans="1:16" ht="14.4" x14ac:dyDescent="0.25">
      <c r="A3695" s="6">
        <v>4790</v>
      </c>
      <c r="B3695" s="6">
        <v>34022</v>
      </c>
      <c r="C3695" s="19">
        <v>41216</v>
      </c>
      <c r="D3695" s="6" t="s">
        <v>28</v>
      </c>
      <c r="E3695" s="6">
        <f>IF((ISBLANK($B$1)),"",Sheet1!Q3703)</f>
        <v>3700</v>
      </c>
      <c r="F3695" s="20" t="s">
        <v>29</v>
      </c>
      <c r="G3695" s="53">
        <f t="shared" si="58"/>
        <v>-1.351643349581243</v>
      </c>
      <c r="H3695" s="35"/>
      <c r="P3695" s="6"/>
    </row>
    <row r="3696" spans="1:16" ht="14.4" x14ac:dyDescent="0.25">
      <c r="A3696" s="6">
        <v>4791</v>
      </c>
      <c r="B3696" s="6">
        <v>34022</v>
      </c>
      <c r="C3696" s="19">
        <v>41216</v>
      </c>
      <c r="D3696" s="6" t="s">
        <v>28</v>
      </c>
      <c r="E3696" s="6">
        <f>IF((ISBLANK($B$1)),"",Sheet1!Q3704)</f>
        <v>5900</v>
      </c>
      <c r="F3696" s="20" t="s">
        <v>29</v>
      </c>
      <c r="G3696" s="53">
        <f t="shared" si="58"/>
        <v>1.6864560503797523</v>
      </c>
      <c r="H3696" s="35"/>
      <c r="P3696" s="6"/>
    </row>
    <row r="3697" spans="1:16" ht="14.4" x14ac:dyDescent="0.25">
      <c r="A3697" s="6">
        <v>4801</v>
      </c>
      <c r="B3697" s="6">
        <v>34148</v>
      </c>
      <c r="C3697" s="19">
        <v>41142</v>
      </c>
      <c r="D3697" s="6" t="s">
        <v>30</v>
      </c>
      <c r="E3697" s="6">
        <f>IF((ISBLANK($B$1)),"",Sheet1!Q3705)</f>
        <v>5050</v>
      </c>
      <c r="F3697" s="20" t="s">
        <v>26</v>
      </c>
      <c r="G3697" s="53">
        <f t="shared" si="58"/>
        <v>0.51264491857664052</v>
      </c>
      <c r="H3697" s="35"/>
      <c r="P3697" s="6"/>
    </row>
    <row r="3698" spans="1:16" ht="14.4" x14ac:dyDescent="0.25">
      <c r="A3698" s="6">
        <v>4808</v>
      </c>
      <c r="B3698" s="6">
        <v>34182</v>
      </c>
      <c r="C3698" s="19">
        <v>41199</v>
      </c>
      <c r="D3698" s="6" t="s">
        <v>30</v>
      </c>
      <c r="E3698" s="6">
        <f>IF((ISBLANK($B$1)),"",Sheet1!Q3706)</f>
        <v>4950</v>
      </c>
      <c r="F3698" s="20" t="s">
        <v>29</v>
      </c>
      <c r="G3698" s="53">
        <f t="shared" si="58"/>
        <v>0.37454949130568621</v>
      </c>
      <c r="H3698" s="35"/>
      <c r="P3698" s="6"/>
    </row>
    <row r="3699" spans="1:16" ht="14.4" x14ac:dyDescent="0.25">
      <c r="A3699" s="6">
        <v>4829</v>
      </c>
      <c r="B3699" s="6">
        <v>34337</v>
      </c>
      <c r="C3699" s="19">
        <v>40312</v>
      </c>
      <c r="D3699" s="6" t="s">
        <v>16</v>
      </c>
      <c r="E3699" s="6">
        <f>IF((ISBLANK($B$1)),"",Sheet1!Q3707)</f>
        <v>5200</v>
      </c>
      <c r="F3699" s="20" t="s">
        <v>29</v>
      </c>
      <c r="G3699" s="53">
        <f t="shared" si="58"/>
        <v>0.71978805948307201</v>
      </c>
      <c r="H3699" s="35"/>
      <c r="P3699" s="6"/>
    </row>
    <row r="3700" spans="1:16" ht="14.4" x14ac:dyDescent="0.25">
      <c r="A3700" s="6">
        <v>4866</v>
      </c>
      <c r="B3700" s="6">
        <v>34657</v>
      </c>
      <c r="C3700" s="19">
        <v>40303</v>
      </c>
      <c r="D3700" s="6" t="s">
        <v>25</v>
      </c>
      <c r="E3700" s="6">
        <f>IF((ISBLANK($B$1)),"",Sheet1!Q3708)</f>
        <v>5700</v>
      </c>
      <c r="F3700" s="20" t="s">
        <v>26</v>
      </c>
      <c r="G3700" s="53">
        <f t="shared" si="58"/>
        <v>1.4102651958378438</v>
      </c>
      <c r="H3700" s="35"/>
      <c r="P3700" s="6"/>
    </row>
    <row r="3701" spans="1:16" ht="14.4" x14ac:dyDescent="0.25">
      <c r="A3701" s="6">
        <v>4884</v>
      </c>
      <c r="B3701" s="6">
        <v>34727</v>
      </c>
      <c r="C3701" s="19">
        <v>40615</v>
      </c>
      <c r="D3701" s="6" t="s">
        <v>25</v>
      </c>
      <c r="E3701" s="6">
        <f>IF((ISBLANK($B$1)),"",Sheet1!Q3709)</f>
        <v>4400</v>
      </c>
      <c r="F3701" s="20" t="s">
        <v>26</v>
      </c>
      <c r="G3701" s="53">
        <f t="shared" si="58"/>
        <v>-0.38497535868456267</v>
      </c>
      <c r="H3701" s="35"/>
      <c r="P3701" s="6"/>
    </row>
    <row r="3702" spans="1:16" ht="14.4" x14ac:dyDescent="0.25">
      <c r="A3702" s="6">
        <v>4902</v>
      </c>
      <c r="B3702" s="6">
        <v>34881</v>
      </c>
      <c r="C3702" s="19">
        <v>40581</v>
      </c>
      <c r="D3702" s="6" t="s">
        <v>16</v>
      </c>
      <c r="E3702" s="6">
        <f>IF((ISBLANK($B$1)),"",Sheet1!Q3710)</f>
        <v>5250</v>
      </c>
      <c r="F3702" s="20" t="s">
        <v>26</v>
      </c>
      <c r="G3702" s="53">
        <f t="shared" si="58"/>
        <v>0.78883577311854924</v>
      </c>
      <c r="H3702" s="35"/>
      <c r="P3702" s="6"/>
    </row>
    <row r="3703" spans="1:16" ht="14.4" x14ac:dyDescent="0.25">
      <c r="A3703" s="6">
        <v>4903</v>
      </c>
      <c r="B3703" s="6">
        <v>34882</v>
      </c>
      <c r="C3703" s="19">
        <v>40018</v>
      </c>
      <c r="D3703" s="6" t="s">
        <v>30</v>
      </c>
      <c r="E3703" s="6">
        <f>IF((ISBLANK($B$1)),"",Sheet1!Q3711)</f>
        <v>5550</v>
      </c>
      <c r="F3703" s="20" t="s">
        <v>26</v>
      </c>
      <c r="G3703" s="53">
        <f t="shared" si="58"/>
        <v>1.2031220549314123</v>
      </c>
      <c r="H3703" s="35"/>
      <c r="P3703" s="6"/>
    </row>
    <row r="3704" spans="1:16" ht="14.4" x14ac:dyDescent="0.25">
      <c r="A3704" s="6">
        <v>4906</v>
      </c>
      <c r="B3704" s="6">
        <v>34916</v>
      </c>
      <c r="C3704" s="19">
        <v>40399</v>
      </c>
      <c r="D3704" s="6" t="s">
        <v>17</v>
      </c>
      <c r="E3704" s="6">
        <f>IF((ISBLANK($B$1)),"",Sheet1!Q3712)</f>
        <v>3550</v>
      </c>
      <c r="F3704" s="20" t="s">
        <v>29</v>
      </c>
      <c r="G3704" s="53">
        <f t="shared" si="58"/>
        <v>-1.5587864904876745</v>
      </c>
      <c r="H3704" s="35"/>
      <c r="P3704" s="6"/>
    </row>
    <row r="3705" spans="1:16" ht="14.4" x14ac:dyDescent="0.25">
      <c r="A3705" s="6">
        <v>4921</v>
      </c>
      <c r="B3705" s="6">
        <v>35041</v>
      </c>
      <c r="C3705" s="19">
        <v>39918</v>
      </c>
      <c r="D3705" s="6" t="s">
        <v>28</v>
      </c>
      <c r="E3705" s="6">
        <f>IF((ISBLANK($B$1)),"",Sheet1!Q3713)</f>
        <v>4800</v>
      </c>
      <c r="F3705" s="20" t="s">
        <v>26</v>
      </c>
      <c r="G3705" s="53">
        <f t="shared" si="58"/>
        <v>0.16740635039925467</v>
      </c>
      <c r="H3705" s="35"/>
      <c r="P3705" s="6"/>
    </row>
    <row r="3706" spans="1:16" ht="14.4" x14ac:dyDescent="0.25">
      <c r="A3706" s="6">
        <v>4965</v>
      </c>
      <c r="B3706" s="6">
        <v>35302</v>
      </c>
      <c r="C3706" s="19">
        <v>40336</v>
      </c>
      <c r="D3706" s="6" t="s">
        <v>16</v>
      </c>
      <c r="E3706" s="6">
        <f>IF((ISBLANK($B$1)),"",Sheet1!Q3714)</f>
        <v>3700</v>
      </c>
      <c r="F3706" s="20" t="s">
        <v>26</v>
      </c>
      <c r="G3706" s="53">
        <f t="shared" si="58"/>
        <v>-1.351643349581243</v>
      </c>
      <c r="H3706" s="35"/>
      <c r="P3706" s="6"/>
    </row>
    <row r="3707" spans="1:16" ht="14.4" x14ac:dyDescent="0.25">
      <c r="A3707" s="6">
        <v>4966</v>
      </c>
      <c r="B3707" s="6">
        <v>35302</v>
      </c>
      <c r="C3707" s="19">
        <v>40336</v>
      </c>
      <c r="D3707" s="6" t="s">
        <v>16</v>
      </c>
      <c r="E3707" s="6">
        <f>IF((ISBLANK($B$1)),"",Sheet1!Q3715)</f>
        <v>4050</v>
      </c>
      <c r="F3707" s="20" t="s">
        <v>27</v>
      </c>
      <c r="G3707" s="53">
        <f t="shared" si="58"/>
        <v>-0.86830935413290289</v>
      </c>
      <c r="H3707" s="35"/>
      <c r="P3707" s="6"/>
    </row>
    <row r="3708" spans="1:16" ht="14.4" x14ac:dyDescent="0.25">
      <c r="A3708" s="6">
        <v>5027</v>
      </c>
      <c r="B3708" s="6">
        <v>35841</v>
      </c>
      <c r="C3708" s="19">
        <v>40671</v>
      </c>
      <c r="D3708" s="6" t="s">
        <v>16</v>
      </c>
      <c r="E3708" s="6">
        <f>IF((ISBLANK($B$1)),"",Sheet1!Q3716)</f>
        <v>4550</v>
      </c>
      <c r="F3708" s="20" t="s">
        <v>26</v>
      </c>
      <c r="G3708" s="53">
        <f t="shared" si="58"/>
        <v>-0.17783221777813119</v>
      </c>
      <c r="H3708" s="35"/>
      <c r="P3708" s="6"/>
    </row>
    <row r="3709" spans="1:16" ht="14.4" x14ac:dyDescent="0.25">
      <c r="A3709" s="6">
        <v>5028</v>
      </c>
      <c r="B3709" s="6">
        <v>35841</v>
      </c>
      <c r="C3709" s="19">
        <v>40671</v>
      </c>
      <c r="D3709" s="6" t="s">
        <v>16</v>
      </c>
      <c r="E3709" s="6">
        <f>IF((ISBLANK($B$1)),"",Sheet1!Q3717)</f>
        <v>5800</v>
      </c>
      <c r="F3709" s="20" t="s">
        <v>27</v>
      </c>
      <c r="G3709" s="53">
        <f t="shared" si="58"/>
        <v>1.5483606231087981</v>
      </c>
      <c r="H3709" s="35"/>
      <c r="P3709" s="6"/>
    </row>
    <row r="3710" spans="1:16" ht="14.4" x14ac:dyDescent="0.25">
      <c r="A3710" s="6">
        <v>5054</v>
      </c>
      <c r="B3710" s="6">
        <v>36034</v>
      </c>
      <c r="C3710" s="19">
        <v>41198</v>
      </c>
      <c r="D3710" s="6" t="s">
        <v>17</v>
      </c>
      <c r="E3710" s="6">
        <f>IF((ISBLANK($B$1)),"",Sheet1!Q3718)</f>
        <v>3900</v>
      </c>
      <c r="F3710" s="20" t="s">
        <v>26</v>
      </c>
      <c r="G3710" s="53">
        <f t="shared" si="58"/>
        <v>-1.0754524950393345</v>
      </c>
      <c r="H3710" s="35"/>
      <c r="P3710" s="6"/>
    </row>
    <row r="3711" spans="1:16" ht="14.4" x14ac:dyDescent="0.25">
      <c r="A3711" s="6">
        <v>5056</v>
      </c>
      <c r="B3711" s="6">
        <v>36065</v>
      </c>
      <c r="C3711" s="19">
        <v>40226</v>
      </c>
      <c r="D3711" s="6" t="s">
        <v>17</v>
      </c>
      <c r="E3711" s="6">
        <f>IF((ISBLANK($B$1)),"",Sheet1!Q3719)</f>
        <v>4950</v>
      </c>
      <c r="F3711" s="20" t="s">
        <v>26</v>
      </c>
      <c r="G3711" s="53">
        <f t="shared" si="58"/>
        <v>0.37454949130568621</v>
      </c>
      <c r="H3711" s="35"/>
      <c r="P3711" s="6"/>
    </row>
    <row r="3712" spans="1:16" ht="14.4" x14ac:dyDescent="0.25">
      <c r="A3712" s="6">
        <v>5097</v>
      </c>
      <c r="B3712" s="6">
        <v>36355</v>
      </c>
      <c r="C3712" s="19">
        <v>40149</v>
      </c>
      <c r="D3712" s="6" t="s">
        <v>16</v>
      </c>
      <c r="E3712" s="6">
        <f>IF((ISBLANK($B$1)),"",Sheet1!Q3720)</f>
        <v>3850</v>
      </c>
      <c r="F3712" s="20" t="s">
        <v>26</v>
      </c>
      <c r="G3712" s="53">
        <f t="shared" si="58"/>
        <v>-1.1445002086748115</v>
      </c>
      <c r="H3712" s="35"/>
      <c r="P3712" s="6"/>
    </row>
    <row r="3713" spans="1:16" ht="14.4" x14ac:dyDescent="0.25">
      <c r="A3713" s="6">
        <v>5098</v>
      </c>
      <c r="B3713" s="6">
        <v>36355</v>
      </c>
      <c r="C3713" s="19">
        <v>40149</v>
      </c>
      <c r="D3713" s="6" t="s">
        <v>16</v>
      </c>
      <c r="E3713" s="6">
        <f>IF((ISBLANK($B$1)),"",Sheet1!Q3721)</f>
        <v>3700</v>
      </c>
      <c r="F3713" s="20" t="s">
        <v>29</v>
      </c>
      <c r="G3713" s="53">
        <f t="shared" si="58"/>
        <v>-1.351643349581243</v>
      </c>
      <c r="H3713" s="35"/>
      <c r="P3713" s="6"/>
    </row>
    <row r="3714" spans="1:16" ht="14.4" x14ac:dyDescent="0.25">
      <c r="A3714" s="6">
        <v>5099</v>
      </c>
      <c r="B3714" s="6">
        <v>36355</v>
      </c>
      <c r="C3714" s="19">
        <v>40149</v>
      </c>
      <c r="D3714" s="6" t="s">
        <v>16</v>
      </c>
      <c r="E3714" s="6">
        <f>IF((ISBLANK($B$1)),"",Sheet1!Q3722)</f>
        <v>3900</v>
      </c>
      <c r="F3714" s="20" t="s">
        <v>26</v>
      </c>
      <c r="G3714" s="53">
        <f t="shared" si="58"/>
        <v>-1.0754524950393345</v>
      </c>
      <c r="H3714" s="35"/>
      <c r="P3714" s="6"/>
    </row>
    <row r="3715" spans="1:16" ht="14.4" x14ac:dyDescent="0.25">
      <c r="A3715" s="6">
        <v>5100</v>
      </c>
      <c r="B3715" s="6">
        <v>36355</v>
      </c>
      <c r="C3715" s="19">
        <v>40149</v>
      </c>
      <c r="D3715" s="6" t="s">
        <v>16</v>
      </c>
      <c r="E3715" s="6">
        <f>IF((ISBLANK($B$1)),"",Sheet1!Q3723)</f>
        <v>5550</v>
      </c>
      <c r="F3715" s="20" t="s">
        <v>26</v>
      </c>
      <c r="G3715" s="53">
        <f t="shared" si="58"/>
        <v>1.2031220549314123</v>
      </c>
      <c r="H3715" s="35"/>
      <c r="P3715" s="6"/>
    </row>
    <row r="3716" spans="1:16" ht="14.4" x14ac:dyDescent="0.25">
      <c r="A3716" s="6">
        <v>5104</v>
      </c>
      <c r="B3716" s="6">
        <v>36358</v>
      </c>
      <c r="C3716" s="19">
        <v>39946</v>
      </c>
      <c r="D3716" s="6" t="s">
        <v>28</v>
      </c>
      <c r="E3716" s="6">
        <f>IF((ISBLANK($B$1)),"",Sheet1!Q3724)</f>
        <v>4800</v>
      </c>
      <c r="F3716" s="20" t="s">
        <v>27</v>
      </c>
      <c r="G3716" s="53">
        <f t="shared" si="58"/>
        <v>0.16740635039925467</v>
      </c>
      <c r="H3716" s="35"/>
      <c r="P3716" s="6"/>
    </row>
    <row r="3717" spans="1:16" ht="14.4" x14ac:dyDescent="0.25">
      <c r="A3717" s="6">
        <v>5105</v>
      </c>
      <c r="B3717" s="6">
        <v>36358</v>
      </c>
      <c r="C3717" s="19">
        <v>39946</v>
      </c>
      <c r="D3717" s="6" t="s">
        <v>28</v>
      </c>
      <c r="E3717" s="6">
        <f>IF((ISBLANK($B$1)),"",Sheet1!Q3725)</f>
        <v>4500</v>
      </c>
      <c r="F3717" s="20" t="s">
        <v>26</v>
      </c>
      <c r="G3717" s="53">
        <f t="shared" si="58"/>
        <v>-0.24687993141360834</v>
      </c>
      <c r="H3717" s="35"/>
      <c r="P3717" s="6"/>
    </row>
    <row r="3718" spans="1:16" ht="14.4" x14ac:dyDescent="0.25">
      <c r="A3718" s="6">
        <v>5161</v>
      </c>
      <c r="B3718" s="6">
        <v>36739</v>
      </c>
      <c r="C3718" s="19">
        <v>40094</v>
      </c>
      <c r="D3718" s="6" t="s">
        <v>28</v>
      </c>
      <c r="E3718" s="6">
        <f>IF((ISBLANK($B$1)),"",Sheet1!Q3726)</f>
        <v>4200</v>
      </c>
      <c r="F3718" s="20" t="s">
        <v>26</v>
      </c>
      <c r="G3718" s="53">
        <f t="shared" si="58"/>
        <v>-0.6611662132264714</v>
      </c>
      <c r="H3718" s="35"/>
      <c r="P3718" s="6"/>
    </row>
    <row r="3719" spans="1:16" ht="14.4" x14ac:dyDescent="0.25">
      <c r="A3719" s="6">
        <v>5162</v>
      </c>
      <c r="B3719" s="6">
        <v>36739</v>
      </c>
      <c r="C3719" s="19">
        <v>40094</v>
      </c>
      <c r="D3719" s="6" t="s">
        <v>28</v>
      </c>
      <c r="E3719" s="6">
        <f>IF((ISBLANK($B$1)),"",Sheet1!Q3727)</f>
        <v>4750</v>
      </c>
      <c r="F3719" s="20" t="s">
        <v>29</v>
      </c>
      <c r="G3719" s="53">
        <f t="shared" si="58"/>
        <v>9.8358636763777513E-2</v>
      </c>
      <c r="H3719" s="35"/>
      <c r="P3719" s="6"/>
    </row>
    <row r="3720" spans="1:16" ht="14.4" x14ac:dyDescent="0.25">
      <c r="A3720" s="6">
        <v>5165</v>
      </c>
      <c r="B3720" s="6">
        <v>36743</v>
      </c>
      <c r="C3720" s="19">
        <v>41160</v>
      </c>
      <c r="D3720" s="6" t="s">
        <v>30</v>
      </c>
      <c r="E3720" s="6">
        <f>IF((ISBLANK($B$1)),"",Sheet1!Q3728)</f>
        <v>3550</v>
      </c>
      <c r="F3720" s="20" t="s">
        <v>29</v>
      </c>
      <c r="G3720" s="53">
        <f t="shared" ref="G3720:G3783" si="59">STANDARDIZE(E3720,$L$26,$L$35)</f>
        <v>-1.5587864904876745</v>
      </c>
      <c r="H3720" s="35"/>
      <c r="P3720" s="6"/>
    </row>
    <row r="3721" spans="1:16" ht="14.4" x14ac:dyDescent="0.25">
      <c r="A3721" s="6">
        <v>5186</v>
      </c>
      <c r="B3721" s="6">
        <v>36864</v>
      </c>
      <c r="C3721" s="19">
        <v>41119</v>
      </c>
      <c r="D3721" s="6" t="s">
        <v>25</v>
      </c>
      <c r="E3721" s="6">
        <f>IF((ISBLANK($B$1)),"",Sheet1!Q3729)</f>
        <v>3850</v>
      </c>
      <c r="F3721" s="20" t="s">
        <v>26</v>
      </c>
      <c r="G3721" s="53">
        <f t="shared" si="59"/>
        <v>-1.1445002086748115</v>
      </c>
      <c r="H3721" s="35"/>
      <c r="P3721" s="6"/>
    </row>
    <row r="3722" spans="1:16" ht="14.4" x14ac:dyDescent="0.25">
      <c r="A3722" s="6">
        <v>5224</v>
      </c>
      <c r="B3722" s="6">
        <v>37188</v>
      </c>
      <c r="C3722" s="19">
        <v>40972</v>
      </c>
      <c r="D3722" s="6" t="s">
        <v>30</v>
      </c>
      <c r="E3722" s="6">
        <f>IF((ISBLANK($B$1)),"",Sheet1!Q3730)</f>
        <v>4600</v>
      </c>
      <c r="F3722" s="20" t="s">
        <v>26</v>
      </c>
      <c r="G3722" s="53">
        <f t="shared" si="59"/>
        <v>-0.108784504142654</v>
      </c>
      <c r="H3722" s="35"/>
      <c r="P3722" s="6"/>
    </row>
    <row r="3723" spans="1:16" ht="14.4" x14ac:dyDescent="0.25">
      <c r="A3723" s="6">
        <v>5257</v>
      </c>
      <c r="B3723" s="6">
        <v>37414</v>
      </c>
      <c r="C3723" s="19">
        <v>40795</v>
      </c>
      <c r="D3723" s="6" t="s">
        <v>25</v>
      </c>
      <c r="E3723" s="6">
        <f>IF((ISBLANK($B$1)),"",Sheet1!Q3731)</f>
        <v>5350</v>
      </c>
      <c r="F3723" s="20" t="s">
        <v>29</v>
      </c>
      <c r="G3723" s="53">
        <f t="shared" si="59"/>
        <v>0.92693120038950361</v>
      </c>
      <c r="H3723" s="35"/>
      <c r="P3723" s="6"/>
    </row>
    <row r="3724" spans="1:16" ht="14.4" x14ac:dyDescent="0.25">
      <c r="A3724" s="6">
        <v>5287</v>
      </c>
      <c r="B3724" s="6">
        <v>37638</v>
      </c>
      <c r="C3724" s="19">
        <v>39834</v>
      </c>
      <c r="D3724" s="6" t="s">
        <v>25</v>
      </c>
      <c r="E3724" s="6">
        <f>IF((ISBLANK($B$1)),"",Sheet1!Q3732)</f>
        <v>5050</v>
      </c>
      <c r="F3724" s="20" t="s">
        <v>26</v>
      </c>
      <c r="G3724" s="53">
        <f t="shared" si="59"/>
        <v>0.51264491857664052</v>
      </c>
      <c r="H3724" s="35"/>
      <c r="P3724" s="6"/>
    </row>
    <row r="3725" spans="1:16" ht="14.4" x14ac:dyDescent="0.25">
      <c r="A3725" s="6">
        <v>5300</v>
      </c>
      <c r="B3725" s="6">
        <v>37734</v>
      </c>
      <c r="C3725" s="19">
        <v>40173</v>
      </c>
      <c r="D3725" s="6" t="s">
        <v>30</v>
      </c>
      <c r="E3725" s="6">
        <f>IF((ISBLANK($B$1)),"",Sheet1!Q3733)</f>
        <v>4150</v>
      </c>
      <c r="F3725" s="20" t="s">
        <v>27</v>
      </c>
      <c r="G3725" s="53">
        <f t="shared" si="59"/>
        <v>-0.73021392686194853</v>
      </c>
      <c r="H3725" s="35"/>
      <c r="P3725" s="6"/>
    </row>
    <row r="3726" spans="1:16" ht="14.4" x14ac:dyDescent="0.25">
      <c r="A3726" s="6">
        <v>5301</v>
      </c>
      <c r="B3726" s="6">
        <v>37734</v>
      </c>
      <c r="C3726" s="19">
        <v>40173</v>
      </c>
      <c r="D3726" s="6" t="s">
        <v>30</v>
      </c>
      <c r="E3726" s="6">
        <f>IF((ISBLANK($B$1)),"",Sheet1!Q3734)</f>
        <v>5500</v>
      </c>
      <c r="F3726" s="20" t="s">
        <v>29</v>
      </c>
      <c r="G3726" s="53">
        <f t="shared" si="59"/>
        <v>1.1340743412959351</v>
      </c>
      <c r="H3726" s="35"/>
      <c r="P3726" s="6"/>
    </row>
    <row r="3727" spans="1:16" ht="14.4" x14ac:dyDescent="0.25">
      <c r="A3727" s="6">
        <v>5305</v>
      </c>
      <c r="B3727" s="6">
        <v>37763</v>
      </c>
      <c r="C3727" s="19">
        <v>40947</v>
      </c>
      <c r="D3727" s="6" t="s">
        <v>28</v>
      </c>
      <c r="E3727" s="6">
        <f>IF((ISBLANK($B$1)),"",Sheet1!Q3735)</f>
        <v>4850</v>
      </c>
      <c r="F3727" s="20" t="s">
        <v>26</v>
      </c>
      <c r="G3727" s="53">
        <f t="shared" si="59"/>
        <v>0.23645406403473185</v>
      </c>
      <c r="H3727" s="35"/>
      <c r="P3727" s="6"/>
    </row>
    <row r="3728" spans="1:16" ht="14.4" x14ac:dyDescent="0.25">
      <c r="A3728" s="6">
        <v>5306</v>
      </c>
      <c r="B3728" s="6">
        <v>37763</v>
      </c>
      <c r="C3728" s="19">
        <v>40947</v>
      </c>
      <c r="D3728" s="6" t="s">
        <v>28</v>
      </c>
      <c r="E3728" s="6">
        <f>IF((ISBLANK($B$1)),"",Sheet1!Q3736)</f>
        <v>4600</v>
      </c>
      <c r="F3728" s="20" t="s">
        <v>27</v>
      </c>
      <c r="G3728" s="53">
        <f t="shared" si="59"/>
        <v>-0.108784504142654</v>
      </c>
      <c r="H3728" s="35"/>
      <c r="P3728" s="6"/>
    </row>
    <row r="3729" spans="1:16" ht="14.4" x14ac:dyDescent="0.25">
      <c r="A3729" s="6">
        <v>5324</v>
      </c>
      <c r="B3729" s="6">
        <v>37859</v>
      </c>
      <c r="C3729" s="19">
        <v>39902</v>
      </c>
      <c r="D3729" s="6" t="s">
        <v>30</v>
      </c>
      <c r="E3729" s="6">
        <f>IF((ISBLANK($B$1)),"",Sheet1!Q3737)</f>
        <v>3500</v>
      </c>
      <c r="F3729" s="20" t="s">
        <v>26</v>
      </c>
      <c r="G3729" s="53">
        <f t="shared" si="59"/>
        <v>-1.6278342041231517</v>
      </c>
      <c r="H3729" s="35"/>
      <c r="P3729" s="6"/>
    </row>
    <row r="3730" spans="1:16" ht="14.4" x14ac:dyDescent="0.25">
      <c r="A3730" s="6">
        <v>5352</v>
      </c>
      <c r="B3730" s="6">
        <v>38048</v>
      </c>
      <c r="C3730" s="19">
        <v>40202</v>
      </c>
      <c r="D3730" s="6" t="s">
        <v>17</v>
      </c>
      <c r="E3730" s="6">
        <f>IF((ISBLANK($B$1)),"",Sheet1!Q3738)</f>
        <v>5500</v>
      </c>
      <c r="F3730" s="20" t="s">
        <v>27</v>
      </c>
      <c r="G3730" s="53">
        <f t="shared" si="59"/>
        <v>1.1340743412959351</v>
      </c>
      <c r="H3730" s="35"/>
      <c r="P3730" s="6"/>
    </row>
    <row r="3731" spans="1:16" ht="14.4" x14ac:dyDescent="0.25">
      <c r="A3731" s="6">
        <v>5353</v>
      </c>
      <c r="B3731" s="6">
        <v>38048</v>
      </c>
      <c r="C3731" s="19">
        <v>40202</v>
      </c>
      <c r="D3731" s="6" t="s">
        <v>17</v>
      </c>
      <c r="E3731" s="6">
        <f>IF((ISBLANK($B$1)),"",Sheet1!Q3739)</f>
        <v>5750</v>
      </c>
      <c r="F3731" s="20" t="s">
        <v>29</v>
      </c>
      <c r="G3731" s="53">
        <f t="shared" si="59"/>
        <v>1.4793129094733208</v>
      </c>
      <c r="H3731" s="35"/>
      <c r="P3731" s="6"/>
    </row>
    <row r="3732" spans="1:16" ht="14.4" x14ac:dyDescent="0.25">
      <c r="A3732" s="6">
        <v>5386</v>
      </c>
      <c r="B3732" s="6">
        <v>38305</v>
      </c>
      <c r="C3732" s="19">
        <v>40663</v>
      </c>
      <c r="D3732" s="6" t="s">
        <v>30</v>
      </c>
      <c r="E3732" s="6">
        <f>IF((ISBLANK($B$1)),"",Sheet1!Q3740)</f>
        <v>4450</v>
      </c>
      <c r="F3732" s="20" t="s">
        <v>27</v>
      </c>
      <c r="G3732" s="53">
        <f t="shared" si="59"/>
        <v>-0.31592764504908549</v>
      </c>
      <c r="H3732" s="35"/>
      <c r="P3732" s="6"/>
    </row>
    <row r="3733" spans="1:16" ht="14.4" x14ac:dyDescent="0.25">
      <c r="A3733" s="6">
        <v>5398</v>
      </c>
      <c r="B3733" s="6">
        <v>38371</v>
      </c>
      <c r="C3733" s="19">
        <v>40125</v>
      </c>
      <c r="D3733" s="6" t="s">
        <v>28</v>
      </c>
      <c r="E3733" s="6">
        <f>IF((ISBLANK($B$1)),"",Sheet1!Q3741)</f>
        <v>4600</v>
      </c>
      <c r="F3733" s="20" t="s">
        <v>27</v>
      </c>
      <c r="G3733" s="53">
        <f t="shared" si="59"/>
        <v>-0.108784504142654</v>
      </c>
      <c r="H3733" s="35"/>
      <c r="P3733" s="6"/>
    </row>
    <row r="3734" spans="1:16" ht="14.4" x14ac:dyDescent="0.25">
      <c r="A3734" s="6">
        <v>5461</v>
      </c>
      <c r="B3734" s="6">
        <v>38789</v>
      </c>
      <c r="C3734" s="19">
        <v>40496</v>
      </c>
      <c r="D3734" s="6" t="s">
        <v>17</v>
      </c>
      <c r="E3734" s="6">
        <f>IF((ISBLANK($B$1)),"",Sheet1!Q3742)</f>
        <v>3850</v>
      </c>
      <c r="F3734" s="20" t="s">
        <v>29</v>
      </c>
      <c r="G3734" s="53">
        <f t="shared" si="59"/>
        <v>-1.1445002086748115</v>
      </c>
      <c r="H3734" s="35"/>
      <c r="P3734" s="6"/>
    </row>
    <row r="3735" spans="1:16" ht="14.4" x14ac:dyDescent="0.25">
      <c r="A3735" s="6">
        <v>5462</v>
      </c>
      <c r="B3735" s="6">
        <v>38789</v>
      </c>
      <c r="C3735" s="19">
        <v>40496</v>
      </c>
      <c r="D3735" s="6" t="s">
        <v>17</v>
      </c>
      <c r="E3735" s="6">
        <f>IF((ISBLANK($B$1)),"",Sheet1!Q3743)</f>
        <v>3600</v>
      </c>
      <c r="F3735" s="20" t="s">
        <v>29</v>
      </c>
      <c r="G3735" s="53">
        <f t="shared" si="59"/>
        <v>-1.4897387768521975</v>
      </c>
      <c r="H3735" s="35"/>
      <c r="P3735" s="6"/>
    </row>
    <row r="3736" spans="1:16" ht="14.4" x14ac:dyDescent="0.25">
      <c r="A3736" s="6">
        <v>5511</v>
      </c>
      <c r="B3736" s="6">
        <v>39076</v>
      </c>
      <c r="C3736" s="19">
        <v>40158</v>
      </c>
      <c r="D3736" s="6" t="s">
        <v>30</v>
      </c>
      <c r="E3736" s="6">
        <f>IF((ISBLANK($B$1)),"",Sheet1!Q3744)</f>
        <v>5450</v>
      </c>
      <c r="F3736" s="20" t="s">
        <v>26</v>
      </c>
      <c r="G3736" s="53">
        <f t="shared" si="59"/>
        <v>1.0650266276604579</v>
      </c>
      <c r="H3736" s="35"/>
      <c r="P3736" s="6"/>
    </row>
    <row r="3737" spans="1:16" ht="14.4" x14ac:dyDescent="0.25">
      <c r="A3737" s="6">
        <v>5534</v>
      </c>
      <c r="B3737" s="6">
        <v>39173</v>
      </c>
      <c r="C3737" s="19">
        <v>39829</v>
      </c>
      <c r="D3737" s="6" t="s">
        <v>30</v>
      </c>
      <c r="E3737" s="6">
        <f>IF((ISBLANK($B$1)),"",Sheet1!Q3746)</f>
        <v>3500</v>
      </c>
      <c r="F3737" s="20" t="s">
        <v>29</v>
      </c>
      <c r="G3737" s="53">
        <f t="shared" si="59"/>
        <v>-1.6278342041231517</v>
      </c>
      <c r="H3737" s="35"/>
      <c r="P3737" s="6"/>
    </row>
    <row r="3738" spans="1:16" ht="14.4" x14ac:dyDescent="0.25">
      <c r="A3738" s="6">
        <v>5557</v>
      </c>
      <c r="B3738" s="6">
        <v>39335</v>
      </c>
      <c r="C3738" s="19">
        <v>39958</v>
      </c>
      <c r="D3738" s="6" t="s">
        <v>28</v>
      </c>
      <c r="E3738" s="6">
        <f>IF((ISBLANK($B$1)),"",Sheet1!Q3747)</f>
        <v>4600</v>
      </c>
      <c r="F3738" s="20" t="s">
        <v>27</v>
      </c>
      <c r="G3738" s="53">
        <f t="shared" si="59"/>
        <v>-0.108784504142654</v>
      </c>
      <c r="H3738" s="35"/>
      <c r="P3738" s="6"/>
    </row>
    <row r="3739" spans="1:16" ht="14.4" x14ac:dyDescent="0.25">
      <c r="A3739" s="6">
        <v>5558</v>
      </c>
      <c r="B3739" s="6">
        <v>39335</v>
      </c>
      <c r="C3739" s="19">
        <v>39958</v>
      </c>
      <c r="D3739" s="6" t="s">
        <v>28</v>
      </c>
      <c r="E3739" s="6">
        <f>IF((ISBLANK($B$1)),"",Sheet1!Q3748)</f>
        <v>5100</v>
      </c>
      <c r="F3739" s="20" t="s">
        <v>26</v>
      </c>
      <c r="G3739" s="53">
        <f t="shared" si="59"/>
        <v>0.58169263221211776</v>
      </c>
      <c r="H3739" s="35"/>
      <c r="P3739" s="6"/>
    </row>
    <row r="3740" spans="1:16" ht="14.4" x14ac:dyDescent="0.25">
      <c r="A3740" s="6">
        <v>5605</v>
      </c>
      <c r="B3740" s="6">
        <v>39744</v>
      </c>
      <c r="C3740" s="19">
        <v>40000</v>
      </c>
      <c r="D3740" s="6" t="s">
        <v>16</v>
      </c>
      <c r="E3740" s="6">
        <f>IF((ISBLANK($B$1)),"",Sheet1!Q3749)</f>
        <v>3700</v>
      </c>
      <c r="F3740" s="20" t="s">
        <v>26</v>
      </c>
      <c r="G3740" s="53">
        <f t="shared" si="59"/>
        <v>-1.351643349581243</v>
      </c>
      <c r="H3740" s="35"/>
      <c r="P3740" s="6"/>
    </row>
    <row r="3741" spans="1:16" ht="14.4" x14ac:dyDescent="0.25">
      <c r="A3741" s="6">
        <v>5606</v>
      </c>
      <c r="B3741" s="6">
        <v>39744</v>
      </c>
      <c r="C3741" s="19">
        <v>40000</v>
      </c>
      <c r="D3741" s="6" t="s">
        <v>16</v>
      </c>
      <c r="E3741" s="6">
        <f>IF((ISBLANK($B$1)),"",Sheet1!Q3750)</f>
        <v>3850</v>
      </c>
      <c r="F3741" s="20" t="s">
        <v>27</v>
      </c>
      <c r="G3741" s="53">
        <f t="shared" si="59"/>
        <v>-1.1445002086748115</v>
      </c>
      <c r="H3741" s="35"/>
      <c r="P3741" s="6"/>
    </row>
    <row r="3742" spans="1:16" ht="14.4" x14ac:dyDescent="0.25">
      <c r="A3742" s="6">
        <v>5607</v>
      </c>
      <c r="B3742" s="6">
        <v>39744</v>
      </c>
      <c r="C3742" s="19">
        <v>40000</v>
      </c>
      <c r="D3742" s="6" t="s">
        <v>16</v>
      </c>
      <c r="E3742" s="6">
        <f>IF((ISBLANK($B$1)),"",Sheet1!Q3751)</f>
        <v>5450</v>
      </c>
      <c r="F3742" s="20" t="s">
        <v>27</v>
      </c>
      <c r="G3742" s="53">
        <f t="shared" si="59"/>
        <v>1.0650266276604579</v>
      </c>
      <c r="H3742" s="35"/>
      <c r="P3742" s="6"/>
    </row>
    <row r="3743" spans="1:16" ht="14.4" x14ac:dyDescent="0.25">
      <c r="A3743" s="6">
        <v>5638</v>
      </c>
      <c r="B3743" s="6">
        <v>39878</v>
      </c>
      <c r="C3743" s="19">
        <v>40607</v>
      </c>
      <c r="D3743" s="6" t="s">
        <v>28</v>
      </c>
      <c r="E3743" s="6">
        <f>IF((ISBLANK($B$1)),"",Sheet1!Q3752)</f>
        <v>5900</v>
      </c>
      <c r="F3743" s="20" t="s">
        <v>29</v>
      </c>
      <c r="G3743" s="53">
        <f t="shared" si="59"/>
        <v>1.6864560503797523</v>
      </c>
      <c r="H3743" s="35"/>
      <c r="P3743" s="6"/>
    </row>
    <row r="3744" spans="1:16" ht="14.4" x14ac:dyDescent="0.25">
      <c r="A3744" s="6">
        <v>5648</v>
      </c>
      <c r="B3744" s="6">
        <v>39972</v>
      </c>
      <c r="C3744" s="19">
        <v>41177</v>
      </c>
      <c r="D3744" s="6" t="s">
        <v>28</v>
      </c>
      <c r="E3744" s="6">
        <f>IF((ISBLANK($B$1)),"",Sheet1!Q3753)</f>
        <v>5150</v>
      </c>
      <c r="F3744" s="20" t="s">
        <v>26</v>
      </c>
      <c r="G3744" s="53">
        <f t="shared" si="59"/>
        <v>0.65074034584759488</v>
      </c>
      <c r="H3744" s="35"/>
      <c r="P3744" s="6"/>
    </row>
    <row r="3745" spans="1:16" ht="14.4" x14ac:dyDescent="0.25">
      <c r="A3745" s="6">
        <v>5649</v>
      </c>
      <c r="B3745" s="6">
        <v>39972</v>
      </c>
      <c r="C3745" s="19">
        <v>41177</v>
      </c>
      <c r="D3745" s="6" t="s">
        <v>28</v>
      </c>
      <c r="E3745" s="6">
        <f>IF((ISBLANK($B$1)),"",Sheet1!Q3754)</f>
        <v>5200</v>
      </c>
      <c r="F3745" s="20" t="s">
        <v>26</v>
      </c>
      <c r="G3745" s="53">
        <f t="shared" si="59"/>
        <v>0.71978805948307201</v>
      </c>
      <c r="H3745" s="35"/>
      <c r="P3745" s="6"/>
    </row>
    <row r="3746" spans="1:16" ht="14.4" x14ac:dyDescent="0.25">
      <c r="A3746" s="6">
        <v>5650</v>
      </c>
      <c r="B3746" s="6">
        <v>39972</v>
      </c>
      <c r="C3746" s="19">
        <v>41177</v>
      </c>
      <c r="D3746" s="6" t="s">
        <v>28</v>
      </c>
      <c r="E3746" s="6">
        <f>IF((ISBLANK($B$1)),"",Sheet1!Q3755)</f>
        <v>4350</v>
      </c>
      <c r="F3746" s="20" t="s">
        <v>26</v>
      </c>
      <c r="G3746" s="53">
        <f t="shared" si="59"/>
        <v>-0.45402307232003986</v>
      </c>
      <c r="H3746" s="35"/>
      <c r="P3746" s="6"/>
    </row>
    <row r="3747" spans="1:16" ht="14.4" x14ac:dyDescent="0.25">
      <c r="A3747" s="6">
        <v>5728</v>
      </c>
      <c r="B3747" s="6">
        <v>40643</v>
      </c>
      <c r="C3747" s="19">
        <v>40638</v>
      </c>
      <c r="D3747" s="6" t="s">
        <v>30</v>
      </c>
      <c r="E3747" s="6">
        <f>IF((ISBLANK($B$1)),"",Sheet1!Q3756)</f>
        <v>4550</v>
      </c>
      <c r="F3747" s="20" t="s">
        <v>26</v>
      </c>
      <c r="G3747" s="53">
        <f t="shared" si="59"/>
        <v>-0.17783221777813119</v>
      </c>
      <c r="H3747" s="35"/>
      <c r="P3747" s="6"/>
    </row>
    <row r="3748" spans="1:16" ht="14.4" x14ac:dyDescent="0.25">
      <c r="A3748" s="6">
        <v>5757</v>
      </c>
      <c r="B3748" s="6">
        <v>40870</v>
      </c>
      <c r="C3748" s="19">
        <v>40888</v>
      </c>
      <c r="D3748" s="6" t="s">
        <v>30</v>
      </c>
      <c r="E3748" s="6">
        <f>IF((ISBLANK($B$1)),"",Sheet1!Q3757)</f>
        <v>5550</v>
      </c>
      <c r="F3748" s="20" t="s">
        <v>27</v>
      </c>
      <c r="G3748" s="53">
        <f t="shared" si="59"/>
        <v>1.2031220549314123</v>
      </c>
      <c r="H3748" s="35"/>
      <c r="P3748" s="6"/>
    </row>
    <row r="3749" spans="1:16" ht="14.4" x14ac:dyDescent="0.25">
      <c r="A3749" s="6">
        <v>5758</v>
      </c>
      <c r="B3749" s="6">
        <v>40870</v>
      </c>
      <c r="C3749" s="19">
        <v>40888</v>
      </c>
      <c r="D3749" s="6" t="s">
        <v>30</v>
      </c>
      <c r="E3749" s="6">
        <f>IF((ISBLANK($B$1)),"",Sheet1!Q3758)</f>
        <v>4800</v>
      </c>
      <c r="F3749" s="20" t="s">
        <v>29</v>
      </c>
      <c r="G3749" s="53">
        <f t="shared" si="59"/>
        <v>0.16740635039925467</v>
      </c>
      <c r="H3749" s="35"/>
      <c r="P3749" s="6"/>
    </row>
    <row r="3750" spans="1:16" ht="14.4" x14ac:dyDescent="0.25">
      <c r="A3750" s="6">
        <v>5767</v>
      </c>
      <c r="B3750" s="6">
        <v>40934</v>
      </c>
      <c r="C3750" s="19">
        <v>40860</v>
      </c>
      <c r="D3750" s="6" t="s">
        <v>28</v>
      </c>
      <c r="E3750" s="6">
        <f>IF((ISBLANK($B$1)),"",Sheet1!Q3759)</f>
        <v>4800</v>
      </c>
      <c r="F3750" s="20" t="s">
        <v>26</v>
      </c>
      <c r="G3750" s="53">
        <f t="shared" si="59"/>
        <v>0.16740635039925467</v>
      </c>
      <c r="H3750" s="35"/>
      <c r="P3750" s="6"/>
    </row>
    <row r="3751" spans="1:16" ht="14.4" x14ac:dyDescent="0.25">
      <c r="A3751" s="6">
        <v>5768</v>
      </c>
      <c r="B3751" s="6">
        <v>40934</v>
      </c>
      <c r="C3751" s="19">
        <v>40860</v>
      </c>
      <c r="D3751" s="6" t="s">
        <v>28</v>
      </c>
      <c r="E3751" s="6">
        <f>IF((ISBLANK($B$1)),"",Sheet1!Q3760)</f>
        <v>3950</v>
      </c>
      <c r="F3751" s="20" t="s">
        <v>27</v>
      </c>
      <c r="G3751" s="53">
        <f t="shared" si="59"/>
        <v>-1.0064047814038573</v>
      </c>
      <c r="H3751" s="35"/>
      <c r="P3751" s="6"/>
    </row>
    <row r="3752" spans="1:16" ht="14.4" x14ac:dyDescent="0.25">
      <c r="A3752" s="6">
        <v>5817</v>
      </c>
      <c r="B3752" s="6">
        <v>41254</v>
      </c>
      <c r="C3752" s="19">
        <v>40553</v>
      </c>
      <c r="D3752" s="6" t="s">
        <v>30</v>
      </c>
      <c r="E3752" s="6">
        <f>IF((ISBLANK($B$1)),"",Sheet1!Q3761)</f>
        <v>4250</v>
      </c>
      <c r="F3752" s="20" t="s">
        <v>29</v>
      </c>
      <c r="G3752" s="53">
        <f t="shared" si="59"/>
        <v>-0.59211849959099416</v>
      </c>
      <c r="H3752" s="35"/>
      <c r="P3752" s="6"/>
    </row>
    <row r="3753" spans="1:16" ht="14.4" x14ac:dyDescent="0.25">
      <c r="A3753" s="6">
        <v>5844</v>
      </c>
      <c r="B3753" s="6">
        <v>41472</v>
      </c>
      <c r="C3753" s="19">
        <v>40201</v>
      </c>
      <c r="D3753" s="6" t="s">
        <v>25</v>
      </c>
      <c r="E3753" s="6">
        <f>IF((ISBLANK($B$1)),"",Sheet1!Q3762)</f>
        <v>5800</v>
      </c>
      <c r="F3753" s="20" t="s">
        <v>26</v>
      </c>
      <c r="G3753" s="53">
        <f t="shared" si="59"/>
        <v>1.5483606231087981</v>
      </c>
      <c r="H3753" s="35"/>
      <c r="P3753" s="6"/>
    </row>
    <row r="3754" spans="1:16" ht="14.4" x14ac:dyDescent="0.25">
      <c r="A3754" s="6">
        <v>5901</v>
      </c>
      <c r="B3754" s="6">
        <v>41830</v>
      </c>
      <c r="C3754" s="19">
        <v>40956</v>
      </c>
      <c r="D3754" s="6" t="s">
        <v>25</v>
      </c>
      <c r="E3754" s="6">
        <f>IF((ISBLANK($B$1)),"",Sheet1!Q3763)</f>
        <v>5500</v>
      </c>
      <c r="F3754" s="20" t="s">
        <v>27</v>
      </c>
      <c r="G3754" s="53">
        <f t="shared" si="59"/>
        <v>1.1340743412959351</v>
      </c>
      <c r="H3754" s="35"/>
      <c r="P3754" s="6"/>
    </row>
    <row r="3755" spans="1:16" ht="14.4" x14ac:dyDescent="0.25">
      <c r="A3755" s="6">
        <v>5939</v>
      </c>
      <c r="B3755" s="6">
        <v>42144</v>
      </c>
      <c r="C3755" s="19">
        <v>40129</v>
      </c>
      <c r="D3755" s="6" t="s">
        <v>16</v>
      </c>
      <c r="E3755" s="6">
        <f>IF((ISBLANK($B$1)),"",Sheet1!Q3764)</f>
        <v>3900</v>
      </c>
      <c r="F3755" s="20" t="s">
        <v>26</v>
      </c>
      <c r="G3755" s="53">
        <f t="shared" si="59"/>
        <v>-1.0754524950393345</v>
      </c>
      <c r="H3755" s="35"/>
      <c r="P3755" s="6"/>
    </row>
    <row r="3756" spans="1:16" ht="14.4" x14ac:dyDescent="0.25">
      <c r="A3756" s="6">
        <v>5989</v>
      </c>
      <c r="B3756" s="6">
        <v>42439</v>
      </c>
      <c r="C3756" s="19">
        <v>40348</v>
      </c>
      <c r="D3756" s="6" t="s">
        <v>28</v>
      </c>
      <c r="E3756" s="6">
        <f>IF((ISBLANK($B$1)),"",Sheet1!Q3765)</f>
        <v>4800</v>
      </c>
      <c r="F3756" s="20" t="s">
        <v>26</v>
      </c>
      <c r="G3756" s="53">
        <f t="shared" si="59"/>
        <v>0.16740635039925467</v>
      </c>
      <c r="H3756" s="35"/>
      <c r="P3756" s="6"/>
    </row>
    <row r="3757" spans="1:16" ht="14.4" x14ac:dyDescent="0.25">
      <c r="A3757" s="6">
        <v>6037</v>
      </c>
      <c r="B3757" s="6">
        <v>42758</v>
      </c>
      <c r="C3757" s="19">
        <v>41223</v>
      </c>
      <c r="D3757" s="6" t="s">
        <v>30</v>
      </c>
      <c r="E3757" s="6">
        <f>IF((ISBLANK($B$1)),"",Sheet1!Q3766)</f>
        <v>4000</v>
      </c>
      <c r="F3757" s="20" t="s">
        <v>27</v>
      </c>
      <c r="G3757" s="53">
        <f t="shared" si="59"/>
        <v>-0.93735706776838001</v>
      </c>
      <c r="H3757" s="35"/>
      <c r="P3757" s="6"/>
    </row>
    <row r="3758" spans="1:16" ht="14.4" x14ac:dyDescent="0.25">
      <c r="A3758" s="6">
        <v>6038</v>
      </c>
      <c r="B3758" s="6">
        <v>42758</v>
      </c>
      <c r="C3758" s="19">
        <v>41223</v>
      </c>
      <c r="D3758" s="6" t="s">
        <v>30</v>
      </c>
      <c r="E3758" s="6">
        <f>IF((ISBLANK($B$1)),"",Sheet1!Q3767)</f>
        <v>5500</v>
      </c>
      <c r="F3758" s="20" t="s">
        <v>26</v>
      </c>
      <c r="G3758" s="53">
        <f t="shared" si="59"/>
        <v>1.1340743412959351</v>
      </c>
      <c r="H3758" s="35"/>
      <c r="P3758" s="6"/>
    </row>
    <row r="3759" spans="1:16" ht="14.4" x14ac:dyDescent="0.25">
      <c r="A3759" s="6">
        <v>6057</v>
      </c>
      <c r="B3759" s="6">
        <v>42918</v>
      </c>
      <c r="C3759" s="19">
        <v>40685</v>
      </c>
      <c r="D3759" s="6" t="s">
        <v>17</v>
      </c>
      <c r="E3759" s="6">
        <f>IF((ISBLANK($B$1)),"",Sheet1!Q3768)</f>
        <v>5300</v>
      </c>
      <c r="F3759" s="20" t="s">
        <v>26</v>
      </c>
      <c r="G3759" s="53">
        <f t="shared" si="59"/>
        <v>0.85788348675402637</v>
      </c>
      <c r="H3759" s="35"/>
      <c r="P3759" s="6"/>
    </row>
    <row r="3760" spans="1:16" ht="14.4" x14ac:dyDescent="0.25">
      <c r="A3760" s="6">
        <v>6064</v>
      </c>
      <c r="B3760" s="6">
        <v>42950</v>
      </c>
      <c r="C3760" s="19">
        <v>40412</v>
      </c>
      <c r="D3760" s="6" t="s">
        <v>17</v>
      </c>
      <c r="E3760" s="6">
        <f>IF((ISBLANK($B$1)),"",Sheet1!Q3769)</f>
        <v>5300</v>
      </c>
      <c r="F3760" s="20" t="s">
        <v>27</v>
      </c>
      <c r="G3760" s="53">
        <f t="shared" si="59"/>
        <v>0.85788348675402637</v>
      </c>
      <c r="H3760" s="35"/>
      <c r="P3760" s="6"/>
    </row>
    <row r="3761" spans="1:16" ht="14.4" x14ac:dyDescent="0.25">
      <c r="A3761" s="6">
        <v>6065</v>
      </c>
      <c r="B3761" s="6">
        <v>42951</v>
      </c>
      <c r="C3761" s="19">
        <v>41168</v>
      </c>
      <c r="D3761" s="6" t="s">
        <v>30</v>
      </c>
      <c r="E3761" s="6">
        <f>IF((ISBLANK($B$1)),"",Sheet1!Q3770)</f>
        <v>4400</v>
      </c>
      <c r="F3761" s="20" t="s">
        <v>27</v>
      </c>
      <c r="G3761" s="53">
        <f t="shared" si="59"/>
        <v>-0.38497535868456267</v>
      </c>
      <c r="H3761" s="35"/>
      <c r="P3761" s="6"/>
    </row>
    <row r="3762" spans="1:16" ht="14.4" x14ac:dyDescent="0.25">
      <c r="A3762" s="6">
        <v>6094</v>
      </c>
      <c r="B3762" s="6">
        <v>43172</v>
      </c>
      <c r="C3762" s="19">
        <v>39997</v>
      </c>
      <c r="D3762" s="6" t="s">
        <v>25</v>
      </c>
      <c r="E3762" s="6">
        <f>IF((ISBLANK($B$1)),"",Sheet1!Q3771)</f>
        <v>4350</v>
      </c>
      <c r="F3762" s="20" t="s">
        <v>26</v>
      </c>
      <c r="G3762" s="53">
        <f t="shared" si="59"/>
        <v>-0.45402307232003986</v>
      </c>
      <c r="H3762" s="35"/>
      <c r="P3762" s="6"/>
    </row>
    <row r="3763" spans="1:16" ht="14.4" x14ac:dyDescent="0.25">
      <c r="A3763" s="6">
        <v>6108</v>
      </c>
      <c r="B3763" s="6">
        <v>43270</v>
      </c>
      <c r="C3763" s="19">
        <v>41153</v>
      </c>
      <c r="D3763" s="6" t="s">
        <v>30</v>
      </c>
      <c r="E3763" s="6">
        <f>IF((ISBLANK($B$1)),"",Sheet1!Q3772)</f>
        <v>5150</v>
      </c>
      <c r="F3763" s="20" t="s">
        <v>26</v>
      </c>
      <c r="G3763" s="53">
        <f t="shared" si="59"/>
        <v>0.65074034584759488</v>
      </c>
      <c r="H3763" s="35"/>
      <c r="P3763" s="6"/>
    </row>
    <row r="3764" spans="1:16" ht="14.4" x14ac:dyDescent="0.25">
      <c r="A3764" s="6">
        <v>6109</v>
      </c>
      <c r="B3764" s="6">
        <v>43271</v>
      </c>
      <c r="C3764" s="19">
        <v>40240</v>
      </c>
      <c r="D3764" s="6" t="s">
        <v>16</v>
      </c>
      <c r="E3764" s="6">
        <f>IF((ISBLANK($B$1)),"",Sheet1!Q3773)</f>
        <v>3500</v>
      </c>
      <c r="F3764" s="20" t="s">
        <v>26</v>
      </c>
      <c r="G3764" s="53">
        <f t="shared" si="59"/>
        <v>-1.6278342041231517</v>
      </c>
      <c r="H3764" s="35"/>
      <c r="P3764" s="6"/>
    </row>
    <row r="3765" spans="1:16" ht="14.4" x14ac:dyDescent="0.25">
      <c r="A3765" s="6">
        <v>6168</v>
      </c>
      <c r="B3765" s="6">
        <v>43745</v>
      </c>
      <c r="C3765" s="19">
        <v>40483</v>
      </c>
      <c r="D3765" s="6" t="s">
        <v>25</v>
      </c>
      <c r="E3765" s="6">
        <f>IF((ISBLANK($B$1)),"",Sheet1!Q3774)</f>
        <v>5550</v>
      </c>
      <c r="F3765" s="20" t="s">
        <v>26</v>
      </c>
      <c r="G3765" s="53">
        <f t="shared" si="59"/>
        <v>1.2031220549314123</v>
      </c>
      <c r="H3765" s="35"/>
      <c r="P3765" s="6"/>
    </row>
    <row r="3766" spans="1:16" ht="14.4" x14ac:dyDescent="0.25">
      <c r="A3766" s="6">
        <v>6169</v>
      </c>
      <c r="B3766" s="6">
        <v>43745</v>
      </c>
      <c r="C3766" s="19">
        <v>40483</v>
      </c>
      <c r="D3766" s="6" t="s">
        <v>25</v>
      </c>
      <c r="E3766" s="6">
        <f>IF((ISBLANK($B$1)),"",Sheet1!Q3775)</f>
        <v>4700</v>
      </c>
      <c r="F3766" s="20" t="s">
        <v>27</v>
      </c>
      <c r="G3766" s="53">
        <f t="shared" si="59"/>
        <v>2.9310923128300338E-2</v>
      </c>
      <c r="H3766" s="35"/>
      <c r="P3766" s="6"/>
    </row>
    <row r="3767" spans="1:16" ht="14.4" x14ac:dyDescent="0.25">
      <c r="A3767" s="6">
        <v>6170</v>
      </c>
      <c r="B3767" s="6">
        <v>43745</v>
      </c>
      <c r="C3767" s="19">
        <v>40483</v>
      </c>
      <c r="D3767" s="6" t="s">
        <v>25</v>
      </c>
      <c r="E3767" s="6">
        <f>IF((ISBLANK($B$1)),"",Sheet1!Q3776)</f>
        <v>5450</v>
      </c>
      <c r="F3767" s="20" t="s">
        <v>26</v>
      </c>
      <c r="G3767" s="53">
        <f t="shared" si="59"/>
        <v>1.0650266276604579</v>
      </c>
      <c r="H3767" s="35"/>
      <c r="P3767" s="6"/>
    </row>
    <row r="3768" spans="1:16" ht="14.4" x14ac:dyDescent="0.25">
      <c r="A3768" s="6">
        <v>6171</v>
      </c>
      <c r="B3768" s="6">
        <v>43745</v>
      </c>
      <c r="C3768" s="19">
        <v>40483</v>
      </c>
      <c r="D3768" s="6" t="s">
        <v>25</v>
      </c>
      <c r="E3768" s="6">
        <f>IF((ISBLANK($B$1)),"",Sheet1!Q3777)</f>
        <v>5000</v>
      </c>
      <c r="F3768" s="20" t="s">
        <v>27</v>
      </c>
      <c r="G3768" s="53">
        <f t="shared" si="59"/>
        <v>0.44359720494116334</v>
      </c>
      <c r="H3768" s="35"/>
      <c r="P3768" s="6"/>
    </row>
    <row r="3769" spans="1:16" ht="14.4" x14ac:dyDescent="0.25">
      <c r="A3769" s="6">
        <v>6175</v>
      </c>
      <c r="B3769" s="6">
        <v>43779</v>
      </c>
      <c r="C3769" s="19">
        <v>40046</v>
      </c>
      <c r="D3769" s="6" t="s">
        <v>17</v>
      </c>
      <c r="E3769" s="6">
        <f>IF((ISBLANK($B$1)),"",Sheet1!Q3778)</f>
        <v>4400</v>
      </c>
      <c r="F3769" s="20" t="s">
        <v>29</v>
      </c>
      <c r="G3769" s="53">
        <f t="shared" si="59"/>
        <v>-0.38497535868456267</v>
      </c>
      <c r="H3769" s="35"/>
      <c r="P3769" s="6"/>
    </row>
    <row r="3770" spans="1:16" ht="14.4" x14ac:dyDescent="0.25">
      <c r="A3770" s="6">
        <v>6194</v>
      </c>
      <c r="B3770" s="6">
        <v>43877</v>
      </c>
      <c r="C3770" s="19">
        <v>40252</v>
      </c>
      <c r="D3770" s="6" t="s">
        <v>25</v>
      </c>
      <c r="E3770" s="6">
        <f>IF((ISBLANK($B$1)),"",Sheet1!Q3779)</f>
        <v>5200</v>
      </c>
      <c r="F3770" s="20" t="s">
        <v>26</v>
      </c>
      <c r="G3770" s="53">
        <f t="shared" si="59"/>
        <v>0.71978805948307201</v>
      </c>
      <c r="H3770" s="35"/>
      <c r="P3770" s="6"/>
    </row>
    <row r="3771" spans="1:16" ht="14.4" x14ac:dyDescent="0.25">
      <c r="A3771" s="6">
        <v>6198</v>
      </c>
      <c r="B3771" s="6">
        <v>43907</v>
      </c>
      <c r="C3771" s="19">
        <v>41108</v>
      </c>
      <c r="D3771" s="6" t="s">
        <v>30</v>
      </c>
      <c r="E3771" s="6">
        <f>IF((ISBLANK($B$1)),"",Sheet1!Q3780)</f>
        <v>5500</v>
      </c>
      <c r="F3771" s="20" t="s">
        <v>29</v>
      </c>
      <c r="G3771" s="53">
        <f t="shared" si="59"/>
        <v>1.1340743412959351</v>
      </c>
      <c r="H3771" s="35"/>
      <c r="P3771" s="6"/>
    </row>
    <row r="3772" spans="1:16" ht="14.4" x14ac:dyDescent="0.25">
      <c r="A3772" s="6">
        <v>6204</v>
      </c>
      <c r="B3772" s="6">
        <v>43940</v>
      </c>
      <c r="C3772" s="19">
        <v>40230</v>
      </c>
      <c r="D3772" s="6" t="s">
        <v>30</v>
      </c>
      <c r="E3772" s="6">
        <f>IF((ISBLANK($B$1)),"",Sheet1!Q3781)</f>
        <v>4000</v>
      </c>
      <c r="F3772" s="20" t="s">
        <v>27</v>
      </c>
      <c r="G3772" s="53">
        <f t="shared" si="59"/>
        <v>-0.93735706776838001</v>
      </c>
      <c r="H3772" s="35"/>
      <c r="P3772" s="6"/>
    </row>
    <row r="3773" spans="1:16" ht="14.4" x14ac:dyDescent="0.25">
      <c r="A3773" s="6">
        <v>6205</v>
      </c>
      <c r="B3773" s="6">
        <v>43940</v>
      </c>
      <c r="C3773" s="19">
        <v>40230</v>
      </c>
      <c r="D3773" s="6" t="s">
        <v>30</v>
      </c>
      <c r="E3773" s="6">
        <f>IF((ISBLANK($B$1)),"",Sheet1!Q3782)</f>
        <v>5600</v>
      </c>
      <c r="F3773" s="20" t="s">
        <v>26</v>
      </c>
      <c r="G3773" s="53">
        <f t="shared" si="59"/>
        <v>1.2721697685668893</v>
      </c>
      <c r="H3773" s="35"/>
      <c r="P3773" s="6"/>
    </row>
    <row r="3774" spans="1:16" ht="14.4" x14ac:dyDescent="0.25">
      <c r="A3774" s="6">
        <v>6218</v>
      </c>
      <c r="B3774" s="6">
        <v>44036</v>
      </c>
      <c r="C3774" s="19">
        <v>40919</v>
      </c>
      <c r="D3774" s="6" t="s">
        <v>17</v>
      </c>
      <c r="E3774" s="6">
        <f>IF((ISBLANK($B$1)),"",Sheet1!Q3783)</f>
        <v>5400</v>
      </c>
      <c r="F3774" s="20" t="s">
        <v>26</v>
      </c>
      <c r="G3774" s="53">
        <f t="shared" si="59"/>
        <v>0.99597891402498073</v>
      </c>
      <c r="H3774" s="35"/>
      <c r="P3774" s="6"/>
    </row>
    <row r="3775" spans="1:16" ht="14.4" x14ac:dyDescent="0.25">
      <c r="A3775" s="6">
        <v>6241</v>
      </c>
      <c r="B3775" s="6">
        <v>44225</v>
      </c>
      <c r="C3775" s="19">
        <v>39906</v>
      </c>
      <c r="D3775" s="6" t="s">
        <v>17</v>
      </c>
      <c r="E3775" s="6">
        <f>IF((ISBLANK($B$1)),"",Sheet1!Q3784)</f>
        <v>4850</v>
      </c>
      <c r="F3775" s="20" t="s">
        <v>29</v>
      </c>
      <c r="G3775" s="53">
        <f t="shared" si="59"/>
        <v>0.23645406403473185</v>
      </c>
      <c r="H3775" s="35"/>
      <c r="P3775" s="6"/>
    </row>
    <row r="3776" spans="1:16" ht="14.4" x14ac:dyDescent="0.25">
      <c r="A3776" s="6">
        <v>6265</v>
      </c>
      <c r="B3776" s="6">
        <v>44352</v>
      </c>
      <c r="C3776" s="19">
        <v>40071</v>
      </c>
      <c r="D3776" s="6" t="s">
        <v>28</v>
      </c>
      <c r="E3776" s="6">
        <f>IF((ISBLANK($B$1)),"",Sheet1!Q3785)</f>
        <v>4650</v>
      </c>
      <c r="F3776" s="20" t="s">
        <v>26</v>
      </c>
      <c r="G3776" s="53">
        <f t="shared" si="59"/>
        <v>-3.9736790507176829E-2</v>
      </c>
      <c r="H3776" s="35"/>
      <c r="P3776" s="6"/>
    </row>
    <row r="3777" spans="1:16" ht="14.4" x14ac:dyDescent="0.25">
      <c r="A3777" s="6">
        <v>6286</v>
      </c>
      <c r="B3777" s="6">
        <v>44487</v>
      </c>
      <c r="C3777" s="19">
        <v>40067</v>
      </c>
      <c r="D3777" s="6" t="s">
        <v>30</v>
      </c>
      <c r="E3777" s="6">
        <f>IF((ISBLANK($B$1)),"",Sheet1!Q3786)</f>
        <v>3600</v>
      </c>
      <c r="F3777" s="20" t="s">
        <v>29</v>
      </c>
      <c r="G3777" s="53">
        <f t="shared" si="59"/>
        <v>-1.4897387768521975</v>
      </c>
      <c r="H3777" s="35"/>
      <c r="P3777" s="6"/>
    </row>
    <row r="3778" spans="1:16" ht="14.4" x14ac:dyDescent="0.25">
      <c r="A3778" s="6">
        <v>6287</v>
      </c>
      <c r="B3778" s="6">
        <v>44487</v>
      </c>
      <c r="C3778" s="19">
        <v>40067</v>
      </c>
      <c r="D3778" s="6" t="s">
        <v>30</v>
      </c>
      <c r="E3778" s="6">
        <f>IF((ISBLANK($B$1)),"",Sheet1!Q3787)</f>
        <v>5250</v>
      </c>
      <c r="F3778" s="20" t="s">
        <v>26</v>
      </c>
      <c r="G3778" s="53">
        <f t="shared" si="59"/>
        <v>0.78883577311854924</v>
      </c>
      <c r="H3778" s="35"/>
      <c r="P3778" s="6"/>
    </row>
    <row r="3779" spans="1:16" ht="14.4" x14ac:dyDescent="0.25">
      <c r="A3779" s="6">
        <v>6325</v>
      </c>
      <c r="B3779" s="6">
        <v>44775</v>
      </c>
      <c r="C3779" s="19">
        <v>40085</v>
      </c>
      <c r="D3779" s="6" t="s">
        <v>16</v>
      </c>
      <c r="E3779" s="6">
        <f>IF((ISBLANK($B$1)),"",Sheet1!Q3788)</f>
        <v>4850</v>
      </c>
      <c r="F3779" s="20" t="s">
        <v>26</v>
      </c>
      <c r="G3779" s="53">
        <f t="shared" si="59"/>
        <v>0.23645406403473185</v>
      </c>
      <c r="H3779" s="35"/>
      <c r="P3779" s="6"/>
    </row>
    <row r="3780" spans="1:16" ht="14.4" x14ac:dyDescent="0.25">
      <c r="A3780" s="6">
        <v>6511</v>
      </c>
      <c r="B3780" s="6">
        <v>46337</v>
      </c>
      <c r="C3780" s="19">
        <v>41026</v>
      </c>
      <c r="D3780" s="6" t="s">
        <v>25</v>
      </c>
      <c r="E3780" s="6">
        <f>IF((ISBLANK($B$1)),"",Sheet1!Q3789)</f>
        <v>5100</v>
      </c>
      <c r="F3780" s="20" t="s">
        <v>26</v>
      </c>
      <c r="G3780" s="53">
        <f t="shared" si="59"/>
        <v>0.58169263221211776</v>
      </c>
      <c r="H3780" s="35"/>
      <c r="P3780" s="6"/>
    </row>
    <row r="3781" spans="1:16" ht="14.4" x14ac:dyDescent="0.25">
      <c r="A3781" s="6">
        <v>6547</v>
      </c>
      <c r="B3781" s="6">
        <v>46562</v>
      </c>
      <c r="C3781" s="19">
        <v>40586</v>
      </c>
      <c r="D3781" s="6" t="s">
        <v>28</v>
      </c>
      <c r="E3781" s="6">
        <f>IF((ISBLANK($B$1)),"",Sheet1!Q3790)</f>
        <v>5150</v>
      </c>
      <c r="F3781" s="20" t="s">
        <v>29</v>
      </c>
      <c r="G3781" s="53">
        <f t="shared" si="59"/>
        <v>0.65074034584759488</v>
      </c>
      <c r="H3781" s="35"/>
      <c r="P3781" s="6"/>
    </row>
    <row r="3782" spans="1:16" ht="14.4" x14ac:dyDescent="0.25">
      <c r="A3782" s="6">
        <v>6552</v>
      </c>
      <c r="B3782" s="6">
        <v>46597</v>
      </c>
      <c r="C3782" s="19">
        <v>40178</v>
      </c>
      <c r="D3782" s="6" t="s">
        <v>28</v>
      </c>
      <c r="E3782" s="6">
        <f>IF((ISBLANK($B$1)),"",Sheet1!Q3791)</f>
        <v>5750</v>
      </c>
      <c r="F3782" s="20" t="s">
        <v>27</v>
      </c>
      <c r="G3782" s="53">
        <f t="shared" si="59"/>
        <v>1.4793129094733208</v>
      </c>
      <c r="H3782" s="35"/>
      <c r="P3782" s="6"/>
    </row>
    <row r="3783" spans="1:16" ht="14.4" x14ac:dyDescent="0.25">
      <c r="A3783" s="6">
        <v>6553</v>
      </c>
      <c r="B3783" s="6">
        <v>46597</v>
      </c>
      <c r="C3783" s="19">
        <v>40178</v>
      </c>
      <c r="D3783" s="6" t="s">
        <v>28</v>
      </c>
      <c r="E3783" s="6">
        <f>IF((ISBLANK($B$1)),"",Sheet1!Q3792)</f>
        <v>3900</v>
      </c>
      <c r="F3783" s="20" t="s">
        <v>26</v>
      </c>
      <c r="G3783" s="53">
        <f t="shared" si="59"/>
        <v>-1.0754524950393345</v>
      </c>
      <c r="H3783" s="35"/>
      <c r="P3783" s="6"/>
    </row>
    <row r="3784" spans="1:16" ht="14.4" x14ac:dyDescent="0.25">
      <c r="A3784" s="6">
        <v>6554</v>
      </c>
      <c r="B3784" s="6">
        <v>46597</v>
      </c>
      <c r="C3784" s="19">
        <v>40178</v>
      </c>
      <c r="D3784" s="6" t="s">
        <v>28</v>
      </c>
      <c r="E3784" s="6">
        <f>IF((ISBLANK($B$1)),"",Sheet1!Q3793)</f>
        <v>3450</v>
      </c>
      <c r="F3784" s="20" t="s">
        <v>29</v>
      </c>
      <c r="G3784" s="53">
        <f t="shared" ref="G3784:G3847" si="60">STANDARDIZE(E3784,$L$26,$L$35)</f>
        <v>-1.696881917758629</v>
      </c>
      <c r="H3784" s="35"/>
      <c r="P3784" s="6"/>
    </row>
    <row r="3785" spans="1:16" ht="14.4" x14ac:dyDescent="0.25">
      <c r="A3785" s="6">
        <v>6570</v>
      </c>
      <c r="B3785" s="6">
        <v>46725</v>
      </c>
      <c r="C3785" s="19">
        <v>40441</v>
      </c>
      <c r="D3785" s="6" t="s">
        <v>28</v>
      </c>
      <c r="E3785" s="6">
        <f>IF((ISBLANK($B$1)),"",Sheet1!Q3794)</f>
        <v>4050</v>
      </c>
      <c r="F3785" s="20" t="s">
        <v>26</v>
      </c>
      <c r="G3785" s="53">
        <f t="shared" si="60"/>
        <v>-0.86830935413290289</v>
      </c>
      <c r="H3785" s="35"/>
      <c r="P3785" s="6"/>
    </row>
    <row r="3786" spans="1:16" ht="14.4" x14ac:dyDescent="0.25">
      <c r="A3786" s="6">
        <v>6571</v>
      </c>
      <c r="B3786" s="6">
        <v>46725</v>
      </c>
      <c r="C3786" s="19">
        <v>40441</v>
      </c>
      <c r="D3786" s="6" t="s">
        <v>28</v>
      </c>
      <c r="E3786" s="6">
        <f>IF((ISBLANK($B$1)),"",Sheet1!Q3795)</f>
        <v>3800</v>
      </c>
      <c r="F3786" s="20" t="s">
        <v>26</v>
      </c>
      <c r="G3786" s="53">
        <f t="shared" si="60"/>
        <v>-1.2135479223102887</v>
      </c>
      <c r="H3786" s="35"/>
      <c r="P3786" s="6"/>
    </row>
    <row r="3787" spans="1:16" ht="14.4" x14ac:dyDescent="0.25">
      <c r="A3787" s="6">
        <v>6575</v>
      </c>
      <c r="B3787" s="6">
        <v>46787</v>
      </c>
      <c r="C3787" s="19">
        <v>40997</v>
      </c>
      <c r="D3787" s="6" t="s">
        <v>16</v>
      </c>
      <c r="E3787" s="6">
        <f>IF((ISBLANK($B$1)),"",Sheet1!Q3796)</f>
        <v>4800</v>
      </c>
      <c r="F3787" s="20" t="s">
        <v>26</v>
      </c>
      <c r="G3787" s="53">
        <f t="shared" si="60"/>
        <v>0.16740635039925467</v>
      </c>
      <c r="H3787" s="35"/>
      <c r="P3787" s="6"/>
    </row>
    <row r="3788" spans="1:16" ht="14.4" x14ac:dyDescent="0.25">
      <c r="A3788" s="6">
        <v>6576</v>
      </c>
      <c r="B3788" s="6">
        <v>46787</v>
      </c>
      <c r="C3788" s="19">
        <v>40997</v>
      </c>
      <c r="D3788" s="6" t="s">
        <v>16</v>
      </c>
      <c r="E3788" s="6">
        <f>IF((ISBLANK($B$1)),"",Sheet1!Q3797)</f>
        <v>5000</v>
      </c>
      <c r="F3788" s="20" t="s">
        <v>26</v>
      </c>
      <c r="G3788" s="53">
        <f t="shared" si="60"/>
        <v>0.44359720494116334</v>
      </c>
      <c r="H3788" s="35"/>
      <c r="P3788" s="6"/>
    </row>
    <row r="3789" spans="1:16" ht="14.4" x14ac:dyDescent="0.25">
      <c r="A3789" s="6">
        <v>6592</v>
      </c>
      <c r="B3789" s="6">
        <v>46916</v>
      </c>
      <c r="C3789" s="19">
        <v>40819</v>
      </c>
      <c r="D3789" s="6" t="s">
        <v>17</v>
      </c>
      <c r="E3789" s="6">
        <f>IF((ISBLANK($B$1)),"",Sheet1!Q3798)</f>
        <v>5400</v>
      </c>
      <c r="F3789" s="20" t="s">
        <v>26</v>
      </c>
      <c r="G3789" s="53">
        <f t="shared" si="60"/>
        <v>0.99597891402498073</v>
      </c>
      <c r="H3789" s="35"/>
      <c r="P3789" s="6"/>
    </row>
    <row r="3790" spans="1:16" ht="14.4" x14ac:dyDescent="0.25">
      <c r="A3790" s="6">
        <v>6643</v>
      </c>
      <c r="B3790" s="6">
        <v>47265</v>
      </c>
      <c r="C3790" s="19">
        <v>40887</v>
      </c>
      <c r="D3790" s="6" t="s">
        <v>30</v>
      </c>
      <c r="E3790" s="6">
        <f>IF((ISBLANK($B$1)),"",Sheet1!Q3799)</f>
        <v>4950</v>
      </c>
      <c r="F3790" s="20" t="s">
        <v>26</v>
      </c>
      <c r="G3790" s="53">
        <f t="shared" si="60"/>
        <v>0.37454949130568621</v>
      </c>
      <c r="H3790" s="35"/>
      <c r="P3790" s="6"/>
    </row>
    <row r="3791" spans="1:16" ht="14.4" x14ac:dyDescent="0.25">
      <c r="A3791" s="6">
        <v>6813</v>
      </c>
      <c r="B3791" s="6">
        <v>48487</v>
      </c>
      <c r="C3791" s="19">
        <v>40189</v>
      </c>
      <c r="D3791" s="6" t="s">
        <v>25</v>
      </c>
      <c r="E3791" s="6">
        <f>IF((ISBLANK($B$1)),"",Sheet1!Q3800)</f>
        <v>4750</v>
      </c>
      <c r="F3791" s="20" t="s">
        <v>26</v>
      </c>
      <c r="G3791" s="53">
        <f t="shared" si="60"/>
        <v>9.8358636763777513E-2</v>
      </c>
      <c r="H3791" s="35"/>
      <c r="P3791" s="6"/>
    </row>
    <row r="3792" spans="1:16" ht="14.4" x14ac:dyDescent="0.25">
      <c r="A3792" s="6">
        <v>6850</v>
      </c>
      <c r="B3792" s="6">
        <v>48774</v>
      </c>
      <c r="C3792" s="19">
        <v>41130</v>
      </c>
      <c r="D3792" s="6" t="s">
        <v>17</v>
      </c>
      <c r="E3792" s="6">
        <f>IF((ISBLANK($B$1)),"",Sheet1!Q3801)</f>
        <v>4950</v>
      </c>
      <c r="F3792" s="20" t="s">
        <v>29</v>
      </c>
      <c r="G3792" s="53">
        <f t="shared" si="60"/>
        <v>0.37454949130568621</v>
      </c>
      <c r="H3792" s="35"/>
      <c r="P3792" s="6"/>
    </row>
    <row r="3793" spans="1:16" ht="14.4" x14ac:dyDescent="0.25">
      <c r="A3793" s="6">
        <v>6924</v>
      </c>
      <c r="B3793" s="6">
        <v>49381</v>
      </c>
      <c r="C3793" s="19">
        <v>41256</v>
      </c>
      <c r="D3793" s="6" t="s">
        <v>28</v>
      </c>
      <c r="E3793" s="6">
        <f>IF((ISBLANK($B$1)),"",Sheet1!Q3802)</f>
        <v>4450</v>
      </c>
      <c r="F3793" s="20" t="s">
        <v>26</v>
      </c>
      <c r="G3793" s="53">
        <f t="shared" si="60"/>
        <v>-0.31592764504908549</v>
      </c>
      <c r="H3793" s="35"/>
      <c r="P3793" s="6"/>
    </row>
    <row r="3794" spans="1:16" ht="14.4" x14ac:dyDescent="0.25">
      <c r="A3794" s="6">
        <v>6951</v>
      </c>
      <c r="B3794" s="6">
        <v>49666</v>
      </c>
      <c r="C3794" s="19">
        <v>40031</v>
      </c>
      <c r="D3794" s="6" t="s">
        <v>25</v>
      </c>
      <c r="E3794" s="6">
        <f>IF((ISBLANK($B$1)),"",Sheet1!Q3803)</f>
        <v>5700</v>
      </c>
      <c r="F3794" s="20" t="s">
        <v>26</v>
      </c>
      <c r="G3794" s="53">
        <f t="shared" si="60"/>
        <v>1.4102651958378438</v>
      </c>
      <c r="H3794" s="35"/>
      <c r="P3794" s="6"/>
    </row>
    <row r="3795" spans="1:16" ht="14.4" x14ac:dyDescent="0.25">
      <c r="A3795" s="6">
        <v>6959</v>
      </c>
      <c r="B3795" s="6">
        <v>49762</v>
      </c>
      <c r="C3795" s="19">
        <v>40709</v>
      </c>
      <c r="D3795" s="6" t="s">
        <v>17</v>
      </c>
      <c r="E3795" s="6">
        <f>IF((ISBLANK($B$1)),"",Sheet1!Q3804)</f>
        <v>5150</v>
      </c>
      <c r="F3795" s="20" t="s">
        <v>26</v>
      </c>
      <c r="G3795" s="53">
        <f t="shared" si="60"/>
        <v>0.65074034584759488</v>
      </c>
      <c r="H3795" s="35"/>
      <c r="P3795" s="6"/>
    </row>
    <row r="3796" spans="1:16" ht="14.4" x14ac:dyDescent="0.25">
      <c r="A3796" s="6">
        <v>6976</v>
      </c>
      <c r="B3796" s="6">
        <v>49831</v>
      </c>
      <c r="C3796" s="19">
        <v>40413</v>
      </c>
      <c r="D3796" s="6" t="s">
        <v>30</v>
      </c>
      <c r="E3796" s="6">
        <f>IF((ISBLANK($B$1)),"",Sheet1!Q3805)</f>
        <v>4300</v>
      </c>
      <c r="F3796" s="20" t="s">
        <v>26</v>
      </c>
      <c r="G3796" s="53">
        <f t="shared" si="60"/>
        <v>-0.52307078595551704</v>
      </c>
      <c r="H3796" s="35"/>
      <c r="P3796" s="6"/>
    </row>
    <row r="3797" spans="1:16" ht="14.4" x14ac:dyDescent="0.25">
      <c r="A3797" s="6">
        <v>6982</v>
      </c>
      <c r="B3797" s="6">
        <v>49892</v>
      </c>
      <c r="C3797" s="19">
        <v>40584</v>
      </c>
      <c r="D3797" s="6" t="s">
        <v>25</v>
      </c>
      <c r="E3797" s="6">
        <f>IF((ISBLANK($B$1)),"",Sheet1!Q3806)</f>
        <v>4700</v>
      </c>
      <c r="F3797" s="20" t="s">
        <v>26</v>
      </c>
      <c r="G3797" s="53">
        <f t="shared" si="60"/>
        <v>2.9310923128300338E-2</v>
      </c>
      <c r="H3797" s="35"/>
      <c r="P3797" s="6"/>
    </row>
    <row r="3798" spans="1:16" ht="14.4" x14ac:dyDescent="0.25">
      <c r="A3798" s="6">
        <v>7001</v>
      </c>
      <c r="B3798" s="6">
        <v>49988</v>
      </c>
      <c r="C3798" s="19">
        <v>40532</v>
      </c>
      <c r="D3798" s="6" t="s">
        <v>17</v>
      </c>
      <c r="E3798" s="6">
        <f>IF((ISBLANK($B$1)),"",Sheet1!Q3807)</f>
        <v>5550</v>
      </c>
      <c r="F3798" s="20" t="s">
        <v>26</v>
      </c>
      <c r="G3798" s="53">
        <f t="shared" si="60"/>
        <v>1.2031220549314123</v>
      </c>
      <c r="H3798" s="35"/>
      <c r="P3798" s="6"/>
    </row>
    <row r="3799" spans="1:16" ht="14.4" x14ac:dyDescent="0.25">
      <c r="A3799" s="6">
        <v>7002</v>
      </c>
      <c r="B3799" s="6">
        <v>49988</v>
      </c>
      <c r="C3799" s="19">
        <v>40532</v>
      </c>
      <c r="D3799" s="6" t="s">
        <v>17</v>
      </c>
      <c r="E3799" s="6">
        <f>IF((ISBLANK($B$1)),"",Sheet1!Q3808)</f>
        <v>5050</v>
      </c>
      <c r="F3799" s="20" t="s">
        <v>29</v>
      </c>
      <c r="G3799" s="53">
        <f t="shared" si="60"/>
        <v>0.51264491857664052</v>
      </c>
      <c r="H3799" s="35"/>
      <c r="P3799" s="6"/>
    </row>
    <row r="3800" spans="1:16" ht="14.4" x14ac:dyDescent="0.25">
      <c r="A3800" s="6">
        <v>7003</v>
      </c>
      <c r="B3800" s="6">
        <v>49988</v>
      </c>
      <c r="C3800" s="19">
        <v>40532</v>
      </c>
      <c r="D3800" s="6" t="s">
        <v>17</v>
      </c>
      <c r="E3800" s="6">
        <f>IF((ISBLANK($B$1)),"",Sheet1!Q3809)</f>
        <v>5050</v>
      </c>
      <c r="F3800" s="20" t="s">
        <v>27</v>
      </c>
      <c r="G3800" s="53">
        <f t="shared" si="60"/>
        <v>0.51264491857664052</v>
      </c>
      <c r="H3800" s="35"/>
      <c r="P3800" s="6"/>
    </row>
    <row r="3801" spans="1:16" ht="14.4" x14ac:dyDescent="0.25">
      <c r="A3801" s="6">
        <v>7049</v>
      </c>
      <c r="B3801" s="6">
        <v>50308</v>
      </c>
      <c r="C3801" s="19">
        <v>41200</v>
      </c>
      <c r="D3801" s="6" t="s">
        <v>25</v>
      </c>
      <c r="E3801" s="6">
        <f>IF((ISBLANK($B$1)),"",Sheet1!Q3810)</f>
        <v>4350</v>
      </c>
      <c r="F3801" s="20" t="s">
        <v>26</v>
      </c>
      <c r="G3801" s="53">
        <f t="shared" si="60"/>
        <v>-0.45402307232003986</v>
      </c>
      <c r="H3801" s="35"/>
      <c r="P3801" s="6"/>
    </row>
    <row r="3802" spans="1:16" ht="14.4" x14ac:dyDescent="0.25">
      <c r="A3802" s="6">
        <v>7104</v>
      </c>
      <c r="B3802" s="6">
        <v>50692</v>
      </c>
      <c r="C3802" s="19">
        <v>40438</v>
      </c>
      <c r="D3802" s="6" t="s">
        <v>17</v>
      </c>
      <c r="E3802" s="6">
        <f>IF((ISBLANK($B$1)),"",Sheet1!Q3811)</f>
        <v>4800</v>
      </c>
      <c r="F3802" s="20" t="s">
        <v>26</v>
      </c>
      <c r="G3802" s="53">
        <f t="shared" si="60"/>
        <v>0.16740635039925467</v>
      </c>
      <c r="H3802" s="35"/>
      <c r="P3802" s="6"/>
    </row>
    <row r="3803" spans="1:16" ht="14.4" x14ac:dyDescent="0.25">
      <c r="A3803" s="6">
        <v>7105</v>
      </c>
      <c r="B3803" s="6">
        <v>50692</v>
      </c>
      <c r="C3803" s="19">
        <v>40438</v>
      </c>
      <c r="D3803" s="6" t="s">
        <v>17</v>
      </c>
      <c r="E3803" s="6">
        <f>IF((ISBLANK($B$1)),"",Sheet1!Q3812)</f>
        <v>5750</v>
      </c>
      <c r="F3803" s="20" t="s">
        <v>29</v>
      </c>
      <c r="G3803" s="53">
        <f t="shared" si="60"/>
        <v>1.4793129094733208</v>
      </c>
      <c r="H3803" s="35"/>
      <c r="P3803" s="6"/>
    </row>
    <row r="3804" spans="1:16" ht="14.4" x14ac:dyDescent="0.25">
      <c r="A3804" s="6">
        <v>7107</v>
      </c>
      <c r="B3804" s="6">
        <v>50725</v>
      </c>
      <c r="C3804" s="19">
        <v>40505</v>
      </c>
      <c r="D3804" s="6" t="s">
        <v>16</v>
      </c>
      <c r="E3804" s="6">
        <f>IF((ISBLANK($B$1)),"",Sheet1!Q3813)</f>
        <v>3450</v>
      </c>
      <c r="F3804" s="20" t="s">
        <v>29</v>
      </c>
      <c r="G3804" s="53">
        <f t="shared" si="60"/>
        <v>-1.696881917758629</v>
      </c>
      <c r="H3804" s="35"/>
      <c r="P3804" s="6"/>
    </row>
    <row r="3805" spans="1:16" ht="14.4" x14ac:dyDescent="0.25">
      <c r="A3805" s="6">
        <v>7146</v>
      </c>
      <c r="B3805" s="6">
        <v>50982</v>
      </c>
      <c r="C3805" s="19">
        <v>41015</v>
      </c>
      <c r="D3805" s="6" t="s">
        <v>17</v>
      </c>
      <c r="E3805" s="6">
        <f>IF((ISBLANK($B$1)),"",Sheet1!Q3814)</f>
        <v>4550</v>
      </c>
      <c r="F3805" s="20" t="s">
        <v>26</v>
      </c>
      <c r="G3805" s="53">
        <f t="shared" si="60"/>
        <v>-0.17783221777813119</v>
      </c>
      <c r="H3805" s="35"/>
      <c r="P3805" s="6"/>
    </row>
    <row r="3806" spans="1:16" ht="14.4" x14ac:dyDescent="0.25">
      <c r="A3806" s="6">
        <v>7149</v>
      </c>
      <c r="B3806" s="6">
        <v>51008</v>
      </c>
      <c r="C3806" s="19">
        <v>40775</v>
      </c>
      <c r="D3806" s="6" t="s">
        <v>17</v>
      </c>
      <c r="E3806" s="6">
        <f>IF((ISBLANK($B$1)),"",Sheet1!Q3815)</f>
        <v>4400</v>
      </c>
      <c r="F3806" s="20" t="s">
        <v>26</v>
      </c>
      <c r="G3806" s="53">
        <f t="shared" si="60"/>
        <v>-0.38497535868456267</v>
      </c>
      <c r="H3806" s="35"/>
      <c r="P3806" s="6"/>
    </row>
    <row r="3807" spans="1:16" ht="14.4" x14ac:dyDescent="0.25">
      <c r="A3807" s="6">
        <v>7211</v>
      </c>
      <c r="B3807" s="6">
        <v>51463</v>
      </c>
      <c r="C3807" s="19">
        <v>40894</v>
      </c>
      <c r="D3807" s="6" t="s">
        <v>25</v>
      </c>
      <c r="E3807" s="6">
        <f>IF((ISBLANK($B$1)),"",Sheet1!Q3816)</f>
        <v>3600</v>
      </c>
      <c r="F3807" s="20" t="s">
        <v>26</v>
      </c>
      <c r="G3807" s="53">
        <f t="shared" si="60"/>
        <v>-1.4897387768521975</v>
      </c>
      <c r="H3807" s="35"/>
      <c r="P3807" s="6"/>
    </row>
    <row r="3808" spans="1:16" ht="14.4" x14ac:dyDescent="0.25">
      <c r="A3808" s="6">
        <v>7212</v>
      </c>
      <c r="B3808" s="6">
        <v>51463</v>
      </c>
      <c r="C3808" s="19">
        <v>40894</v>
      </c>
      <c r="D3808" s="6" t="s">
        <v>25</v>
      </c>
      <c r="E3808" s="6">
        <f>IF((ISBLANK($B$1)),"",Sheet1!Q3817)</f>
        <v>3750</v>
      </c>
      <c r="F3808" s="20" t="s">
        <v>27</v>
      </c>
      <c r="G3808" s="53">
        <f t="shared" si="60"/>
        <v>-1.282595635945766</v>
      </c>
      <c r="H3808" s="35"/>
      <c r="P3808" s="6"/>
    </row>
    <row r="3809" spans="1:16" ht="14.4" x14ac:dyDescent="0.25">
      <c r="A3809" s="6">
        <v>7279</v>
      </c>
      <c r="B3809" s="6">
        <v>51943</v>
      </c>
      <c r="C3809" s="19">
        <v>39927</v>
      </c>
      <c r="D3809" s="6" t="s">
        <v>17</v>
      </c>
      <c r="E3809" s="6">
        <f>IF((ISBLANK($B$1)),"",Sheet1!Q3818)</f>
        <v>3950</v>
      </c>
      <c r="F3809" s="20" t="s">
        <v>26</v>
      </c>
      <c r="G3809" s="53">
        <f t="shared" si="60"/>
        <v>-1.0064047814038573</v>
      </c>
      <c r="H3809" s="35"/>
      <c r="P3809" s="6"/>
    </row>
    <row r="3810" spans="1:16" ht="14.4" x14ac:dyDescent="0.25">
      <c r="A3810" s="6">
        <v>7280</v>
      </c>
      <c r="B3810" s="6">
        <v>51943</v>
      </c>
      <c r="C3810" s="19">
        <v>39927</v>
      </c>
      <c r="D3810" s="6" t="s">
        <v>17</v>
      </c>
      <c r="E3810" s="6">
        <f>IF((ISBLANK($B$1)),"",Sheet1!Q3819)</f>
        <v>4050</v>
      </c>
      <c r="F3810" s="20" t="s">
        <v>26</v>
      </c>
      <c r="G3810" s="53">
        <f t="shared" si="60"/>
        <v>-0.86830935413290289</v>
      </c>
      <c r="H3810" s="35"/>
      <c r="P3810" s="6"/>
    </row>
    <row r="3811" spans="1:16" ht="14.4" x14ac:dyDescent="0.25">
      <c r="A3811" s="6">
        <v>7281</v>
      </c>
      <c r="B3811" s="6">
        <v>51943</v>
      </c>
      <c r="C3811" s="19">
        <v>39927</v>
      </c>
      <c r="D3811" s="6" t="s">
        <v>17</v>
      </c>
      <c r="E3811" s="6">
        <f>IF((ISBLANK($B$1)),"",Sheet1!Q3820)</f>
        <v>4800</v>
      </c>
      <c r="F3811" s="20" t="s">
        <v>26</v>
      </c>
      <c r="G3811" s="53">
        <f t="shared" si="60"/>
        <v>0.16740635039925467</v>
      </c>
      <c r="H3811" s="35"/>
      <c r="P3811" s="6"/>
    </row>
    <row r="3812" spans="1:16" ht="14.4" x14ac:dyDescent="0.25">
      <c r="A3812" s="6">
        <v>7299</v>
      </c>
      <c r="B3812" s="6">
        <v>52039</v>
      </c>
      <c r="C3812" s="19">
        <v>41123</v>
      </c>
      <c r="D3812" s="6" t="s">
        <v>30</v>
      </c>
      <c r="E3812" s="6">
        <f>IF((ISBLANK($B$1)),"",Sheet1!Q3821)</f>
        <v>5800</v>
      </c>
      <c r="F3812" s="20" t="s">
        <v>27</v>
      </c>
      <c r="G3812" s="53">
        <f t="shared" si="60"/>
        <v>1.5483606231087981</v>
      </c>
      <c r="H3812" s="35"/>
      <c r="P3812" s="6"/>
    </row>
    <row r="3813" spans="1:16" ht="14.4" x14ac:dyDescent="0.25">
      <c r="A3813" s="6">
        <v>7336</v>
      </c>
      <c r="B3813" s="6">
        <v>52290</v>
      </c>
      <c r="C3813" s="19">
        <v>41050</v>
      </c>
      <c r="D3813" s="6" t="s">
        <v>25</v>
      </c>
      <c r="E3813" s="6">
        <f>IF((ISBLANK($B$1)),"",Sheet1!Q3822)</f>
        <v>3750</v>
      </c>
      <c r="F3813" s="20" t="s">
        <v>26</v>
      </c>
      <c r="G3813" s="53">
        <f t="shared" si="60"/>
        <v>-1.282595635945766</v>
      </c>
      <c r="H3813" s="35"/>
      <c r="P3813" s="6"/>
    </row>
    <row r="3814" spans="1:16" ht="14.4" x14ac:dyDescent="0.25">
      <c r="A3814" s="6">
        <v>7337</v>
      </c>
      <c r="B3814" s="6">
        <v>52290</v>
      </c>
      <c r="C3814" s="19">
        <v>41050</v>
      </c>
      <c r="D3814" s="6" t="s">
        <v>25</v>
      </c>
      <c r="E3814" s="6">
        <f>IF((ISBLANK($B$1)),"",Sheet1!Q3823)</f>
        <v>4800</v>
      </c>
      <c r="F3814" s="20" t="s">
        <v>27</v>
      </c>
      <c r="G3814" s="53">
        <f t="shared" si="60"/>
        <v>0.16740635039925467</v>
      </c>
      <c r="H3814" s="35"/>
      <c r="P3814" s="6"/>
    </row>
    <row r="3815" spans="1:16" ht="14.4" x14ac:dyDescent="0.25">
      <c r="A3815" s="6">
        <v>7362</v>
      </c>
      <c r="B3815" s="6">
        <v>52480</v>
      </c>
      <c r="C3815" s="19">
        <v>40386</v>
      </c>
      <c r="D3815" s="6" t="s">
        <v>28</v>
      </c>
      <c r="E3815" s="6">
        <f>IF((ISBLANK($B$1)),"",Sheet1!Q3824)</f>
        <v>5750</v>
      </c>
      <c r="F3815" s="20" t="s">
        <v>29</v>
      </c>
      <c r="G3815" s="53">
        <f t="shared" si="60"/>
        <v>1.4793129094733208</v>
      </c>
      <c r="H3815" s="35"/>
      <c r="P3815" s="6"/>
    </row>
    <row r="3816" spans="1:16" ht="14.4" x14ac:dyDescent="0.25">
      <c r="A3816" s="6">
        <v>7365</v>
      </c>
      <c r="B3816" s="6">
        <v>52486</v>
      </c>
      <c r="C3816" s="19">
        <v>40547</v>
      </c>
      <c r="D3816" s="6" t="s">
        <v>28</v>
      </c>
      <c r="E3816" s="6">
        <f>IF((ISBLANK($B$1)),"",Sheet1!Q3825)</f>
        <v>5450</v>
      </c>
      <c r="F3816" s="20" t="s">
        <v>27</v>
      </c>
      <c r="G3816" s="53">
        <f t="shared" si="60"/>
        <v>1.0650266276604579</v>
      </c>
      <c r="H3816" s="35"/>
      <c r="P3816" s="6"/>
    </row>
    <row r="3817" spans="1:16" ht="14.4" x14ac:dyDescent="0.25">
      <c r="A3817" s="6">
        <v>7372</v>
      </c>
      <c r="B3817" s="6">
        <v>52519</v>
      </c>
      <c r="C3817" s="19">
        <v>41028</v>
      </c>
      <c r="D3817" s="6" t="s">
        <v>17</v>
      </c>
      <c r="E3817" s="6">
        <f>IF((ISBLANK($B$1)),"",Sheet1!Q3826)</f>
        <v>3700</v>
      </c>
      <c r="F3817" s="20" t="s">
        <v>26</v>
      </c>
      <c r="G3817" s="53">
        <f t="shared" si="60"/>
        <v>-1.351643349581243</v>
      </c>
      <c r="H3817" s="35"/>
      <c r="P3817" s="6"/>
    </row>
    <row r="3818" spans="1:16" ht="14.4" x14ac:dyDescent="0.25">
      <c r="A3818" s="6">
        <v>7448</v>
      </c>
      <c r="B3818" s="6">
        <v>53152</v>
      </c>
      <c r="C3818" s="19">
        <v>39877</v>
      </c>
      <c r="D3818" s="6" t="s">
        <v>16</v>
      </c>
      <c r="E3818" s="6">
        <f>IF((ISBLANK($B$1)),"",Sheet1!Q3827)</f>
        <v>5200</v>
      </c>
      <c r="F3818" s="20" t="s">
        <v>27</v>
      </c>
      <c r="G3818" s="53">
        <f t="shared" si="60"/>
        <v>0.71978805948307201</v>
      </c>
      <c r="H3818" s="35"/>
      <c r="P3818" s="6"/>
    </row>
    <row r="3819" spans="1:16" ht="14.4" x14ac:dyDescent="0.25">
      <c r="A3819" s="6">
        <v>7454</v>
      </c>
      <c r="B3819" s="6">
        <v>53188</v>
      </c>
      <c r="C3819" s="19">
        <v>41218</v>
      </c>
      <c r="D3819" s="6" t="s">
        <v>17</v>
      </c>
      <c r="E3819" s="6">
        <f>IF((ISBLANK($B$1)),"",Sheet1!Q3828)</f>
        <v>4500</v>
      </c>
      <c r="F3819" s="20" t="s">
        <v>26</v>
      </c>
      <c r="G3819" s="53">
        <f t="shared" si="60"/>
        <v>-0.24687993141360834</v>
      </c>
      <c r="H3819" s="35"/>
      <c r="P3819" s="6"/>
    </row>
    <row r="3820" spans="1:16" ht="14.4" x14ac:dyDescent="0.25">
      <c r="A3820" s="6">
        <v>7461</v>
      </c>
      <c r="B3820" s="6">
        <v>53223</v>
      </c>
      <c r="C3820" s="19">
        <v>41104</v>
      </c>
      <c r="D3820" s="6" t="s">
        <v>25</v>
      </c>
      <c r="E3820" s="6">
        <f>IF((ISBLANK($B$1)),"",Sheet1!Q3829)</f>
        <v>3500</v>
      </c>
      <c r="F3820" s="20" t="s">
        <v>26</v>
      </c>
      <c r="G3820" s="53">
        <f t="shared" si="60"/>
        <v>-1.6278342041231517</v>
      </c>
      <c r="H3820" s="35"/>
      <c r="P3820" s="6"/>
    </row>
    <row r="3821" spans="1:16" ht="14.4" x14ac:dyDescent="0.25">
      <c r="A3821" s="6">
        <v>7462</v>
      </c>
      <c r="B3821" s="6">
        <v>53248</v>
      </c>
      <c r="C3821" s="19">
        <v>40480</v>
      </c>
      <c r="D3821" s="6" t="s">
        <v>30</v>
      </c>
      <c r="E3821" s="6">
        <f>IF((ISBLANK($B$1)),"",Sheet1!Q3830)</f>
        <v>3750</v>
      </c>
      <c r="F3821" s="20" t="s">
        <v>29</v>
      </c>
      <c r="G3821" s="53">
        <f t="shared" si="60"/>
        <v>-1.282595635945766</v>
      </c>
      <c r="H3821" s="35"/>
      <c r="P3821" s="6"/>
    </row>
    <row r="3822" spans="1:16" ht="14.4" x14ac:dyDescent="0.25">
      <c r="A3822" s="6">
        <v>7481</v>
      </c>
      <c r="B3822" s="6">
        <v>53411</v>
      </c>
      <c r="C3822" s="19">
        <v>40876</v>
      </c>
      <c r="D3822" s="6" t="s">
        <v>30</v>
      </c>
      <c r="E3822" s="6">
        <f>IF((ISBLANK($B$1)),"",Sheet1!Q3831)</f>
        <v>4650</v>
      </c>
      <c r="F3822" s="20" t="s">
        <v>27</v>
      </c>
      <c r="G3822" s="53">
        <f t="shared" si="60"/>
        <v>-3.9736790507176829E-2</v>
      </c>
      <c r="H3822" s="35"/>
      <c r="P3822" s="6"/>
    </row>
    <row r="3823" spans="1:16" ht="14.4" x14ac:dyDescent="0.25">
      <c r="A3823" s="6">
        <v>7517</v>
      </c>
      <c r="B3823" s="6">
        <v>53668</v>
      </c>
      <c r="C3823" s="19">
        <v>40268</v>
      </c>
      <c r="D3823" s="6" t="s">
        <v>28</v>
      </c>
      <c r="E3823" s="6">
        <f>IF((ISBLANK($B$1)),"",Sheet1!Q3832)</f>
        <v>3850</v>
      </c>
      <c r="F3823" s="20" t="s">
        <v>26</v>
      </c>
      <c r="G3823" s="53">
        <f t="shared" si="60"/>
        <v>-1.1445002086748115</v>
      </c>
      <c r="H3823" s="35"/>
      <c r="P3823" s="6"/>
    </row>
    <row r="3824" spans="1:16" ht="14.4" x14ac:dyDescent="0.25">
      <c r="A3824" s="6">
        <v>7524</v>
      </c>
      <c r="B3824" s="6">
        <v>53730</v>
      </c>
      <c r="C3824" s="19">
        <v>41272</v>
      </c>
      <c r="D3824" s="6" t="s">
        <v>17</v>
      </c>
      <c r="E3824" s="6">
        <f>IF((ISBLANK($B$1)),"",Sheet1!Q3833)</f>
        <v>5400</v>
      </c>
      <c r="F3824" s="20" t="s">
        <v>26</v>
      </c>
      <c r="G3824" s="53">
        <f t="shared" si="60"/>
        <v>0.99597891402498073</v>
      </c>
      <c r="H3824" s="35"/>
      <c r="P3824" s="6"/>
    </row>
    <row r="3825" spans="1:16" ht="14.4" x14ac:dyDescent="0.25">
      <c r="A3825" s="6">
        <v>7550</v>
      </c>
      <c r="B3825" s="6">
        <v>54020</v>
      </c>
      <c r="C3825" s="19">
        <v>40939</v>
      </c>
      <c r="D3825" s="6" t="s">
        <v>25</v>
      </c>
      <c r="E3825" s="6">
        <f>IF((ISBLANK($B$1)),"",Sheet1!Q3834)</f>
        <v>5150</v>
      </c>
      <c r="F3825" s="20" t="s">
        <v>26</v>
      </c>
      <c r="G3825" s="53">
        <f t="shared" si="60"/>
        <v>0.65074034584759488</v>
      </c>
      <c r="H3825" s="35"/>
      <c r="P3825" s="6"/>
    </row>
    <row r="3826" spans="1:16" ht="14.4" x14ac:dyDescent="0.25">
      <c r="A3826" s="6">
        <v>7551</v>
      </c>
      <c r="B3826" s="6">
        <v>54020</v>
      </c>
      <c r="C3826" s="19">
        <v>40939</v>
      </c>
      <c r="D3826" s="6" t="s">
        <v>25</v>
      </c>
      <c r="E3826" s="6">
        <f>IF((ISBLANK($B$1)),"",Sheet1!Q3835)</f>
        <v>5550</v>
      </c>
      <c r="F3826" s="20" t="s">
        <v>26</v>
      </c>
      <c r="G3826" s="53">
        <f t="shared" si="60"/>
        <v>1.2031220549314123</v>
      </c>
      <c r="H3826" s="35"/>
      <c r="P3826" s="6"/>
    </row>
    <row r="3827" spans="1:16" ht="14.4" x14ac:dyDescent="0.25">
      <c r="A3827" s="6">
        <v>7596</v>
      </c>
      <c r="B3827" s="6">
        <v>54368</v>
      </c>
      <c r="C3827" s="19">
        <v>40848</v>
      </c>
      <c r="D3827" s="6" t="s">
        <v>28</v>
      </c>
      <c r="E3827" s="6">
        <f>IF((ISBLANK($B$1)),"",Sheet1!Q3836)</f>
        <v>4950</v>
      </c>
      <c r="F3827" s="20" t="s">
        <v>26</v>
      </c>
      <c r="G3827" s="53">
        <f t="shared" si="60"/>
        <v>0.37454949130568621</v>
      </c>
      <c r="H3827" s="35"/>
      <c r="P3827" s="6"/>
    </row>
    <row r="3828" spans="1:16" ht="14.4" x14ac:dyDescent="0.25">
      <c r="A3828" s="6">
        <v>7597</v>
      </c>
      <c r="B3828" s="6">
        <v>54368</v>
      </c>
      <c r="C3828" s="19">
        <v>40848</v>
      </c>
      <c r="D3828" s="6" t="s">
        <v>28</v>
      </c>
      <c r="E3828" s="6">
        <f>IF((ISBLANK($B$1)),"",Sheet1!Q3837)</f>
        <v>4200</v>
      </c>
      <c r="F3828" s="20" t="s">
        <v>26</v>
      </c>
      <c r="G3828" s="53">
        <f t="shared" si="60"/>
        <v>-0.6611662132264714</v>
      </c>
      <c r="H3828" s="35"/>
      <c r="P3828" s="6"/>
    </row>
    <row r="3829" spans="1:16" ht="14.4" x14ac:dyDescent="0.25">
      <c r="A3829" s="6">
        <v>7598</v>
      </c>
      <c r="B3829" s="6">
        <v>54368</v>
      </c>
      <c r="C3829" s="19">
        <v>40848</v>
      </c>
      <c r="D3829" s="6" t="s">
        <v>28</v>
      </c>
      <c r="E3829" s="6">
        <f>IF((ISBLANK($B$1)),"",Sheet1!Q3838)</f>
        <v>5550</v>
      </c>
      <c r="F3829" s="20" t="s">
        <v>27</v>
      </c>
      <c r="G3829" s="53">
        <f t="shared" si="60"/>
        <v>1.2031220549314123</v>
      </c>
      <c r="H3829" s="35"/>
      <c r="P3829" s="6"/>
    </row>
    <row r="3830" spans="1:16" ht="14.4" x14ac:dyDescent="0.25">
      <c r="A3830" s="6">
        <v>7640</v>
      </c>
      <c r="B3830" s="6">
        <v>54721</v>
      </c>
      <c r="C3830" s="19">
        <v>41200</v>
      </c>
      <c r="D3830" s="6" t="s">
        <v>28</v>
      </c>
      <c r="E3830" s="6">
        <f>IF((ISBLANK($B$1)),"",Sheet1!Q3839)</f>
        <v>4350</v>
      </c>
      <c r="F3830" s="20" t="s">
        <v>29</v>
      </c>
      <c r="G3830" s="53">
        <f t="shared" si="60"/>
        <v>-0.45402307232003986</v>
      </c>
      <c r="H3830" s="35"/>
      <c r="P3830" s="6"/>
    </row>
    <row r="3831" spans="1:16" ht="14.4" x14ac:dyDescent="0.25">
      <c r="A3831" s="6">
        <v>7673</v>
      </c>
      <c r="B3831" s="6">
        <v>55013</v>
      </c>
      <c r="C3831" s="19">
        <v>40736</v>
      </c>
      <c r="D3831" s="6" t="s">
        <v>25</v>
      </c>
      <c r="E3831" s="6">
        <f>IF((ISBLANK($B$1)),"",Sheet1!Q3840)</f>
        <v>3650</v>
      </c>
      <c r="F3831" s="20" t="s">
        <v>26</v>
      </c>
      <c r="G3831" s="53">
        <f t="shared" si="60"/>
        <v>-1.4206910632167202</v>
      </c>
      <c r="H3831" s="35"/>
      <c r="P3831" s="6"/>
    </row>
    <row r="3832" spans="1:16" ht="14.4" x14ac:dyDescent="0.25">
      <c r="A3832" s="6">
        <v>7674</v>
      </c>
      <c r="B3832" s="6">
        <v>55013</v>
      </c>
      <c r="C3832" s="19">
        <v>40736</v>
      </c>
      <c r="D3832" s="6" t="s">
        <v>25</v>
      </c>
      <c r="E3832" s="6">
        <f>IF((ISBLANK($B$1)),"",Sheet1!Q3841)</f>
        <v>4100</v>
      </c>
      <c r="F3832" s="20" t="s">
        <v>26</v>
      </c>
      <c r="G3832" s="53">
        <f t="shared" si="60"/>
        <v>-0.79926164049742576</v>
      </c>
      <c r="H3832" s="35"/>
      <c r="P3832" s="6"/>
    </row>
    <row r="3833" spans="1:16" ht="14.4" x14ac:dyDescent="0.25">
      <c r="A3833" s="6">
        <v>7686</v>
      </c>
      <c r="B3833" s="6">
        <v>55077</v>
      </c>
      <c r="C3833" s="19">
        <v>40820</v>
      </c>
      <c r="D3833" s="6" t="s">
        <v>30</v>
      </c>
      <c r="E3833" s="6">
        <f>IF((ISBLANK($B$1)),"",Sheet1!Q3842)</f>
        <v>3500</v>
      </c>
      <c r="F3833" s="20" t="s">
        <v>27</v>
      </c>
      <c r="G3833" s="53">
        <f t="shared" si="60"/>
        <v>-1.6278342041231517</v>
      </c>
      <c r="H3833" s="35"/>
      <c r="P3833" s="6"/>
    </row>
    <row r="3834" spans="1:16" ht="14.4" x14ac:dyDescent="0.25">
      <c r="A3834" s="6">
        <v>7687</v>
      </c>
      <c r="B3834" s="6">
        <v>55077</v>
      </c>
      <c r="C3834" s="19">
        <v>40820</v>
      </c>
      <c r="D3834" s="6" t="s">
        <v>30</v>
      </c>
      <c r="E3834" s="6">
        <f>IF((ISBLANK($B$1)),"",Sheet1!Q3843)</f>
        <v>3550</v>
      </c>
      <c r="F3834" s="20" t="s">
        <v>27</v>
      </c>
      <c r="G3834" s="53">
        <f t="shared" si="60"/>
        <v>-1.5587864904876745</v>
      </c>
      <c r="H3834" s="35"/>
      <c r="P3834" s="6"/>
    </row>
    <row r="3835" spans="1:16" ht="14.4" x14ac:dyDescent="0.25">
      <c r="A3835" s="6">
        <v>7703</v>
      </c>
      <c r="B3835" s="6">
        <v>55206</v>
      </c>
      <c r="C3835" s="19">
        <v>40849</v>
      </c>
      <c r="D3835" s="6" t="s">
        <v>16</v>
      </c>
      <c r="E3835" s="6">
        <f>IF((ISBLANK($B$1)),"",Sheet1!Q3844)</f>
        <v>4400</v>
      </c>
      <c r="F3835" s="20" t="s">
        <v>26</v>
      </c>
      <c r="G3835" s="53">
        <f t="shared" si="60"/>
        <v>-0.38497535868456267</v>
      </c>
      <c r="H3835" s="35"/>
      <c r="P3835" s="6"/>
    </row>
    <row r="3836" spans="1:16" ht="14.4" x14ac:dyDescent="0.25">
      <c r="A3836" s="6">
        <v>7755</v>
      </c>
      <c r="B3836" s="6">
        <v>55492</v>
      </c>
      <c r="C3836" s="19">
        <v>40805</v>
      </c>
      <c r="D3836" s="6" t="s">
        <v>30</v>
      </c>
      <c r="E3836" s="6">
        <f>IF((ISBLANK($B$1)),"",Sheet1!Q3845)</f>
        <v>3900</v>
      </c>
      <c r="F3836" s="20" t="s">
        <v>27</v>
      </c>
      <c r="G3836" s="53">
        <f t="shared" si="60"/>
        <v>-1.0754524950393345</v>
      </c>
      <c r="H3836" s="35"/>
      <c r="P3836" s="6"/>
    </row>
    <row r="3837" spans="1:16" ht="14.4" x14ac:dyDescent="0.25">
      <c r="A3837" s="6">
        <v>7789</v>
      </c>
      <c r="B3837" s="6">
        <v>55744</v>
      </c>
      <c r="C3837" s="19">
        <v>40836</v>
      </c>
      <c r="D3837" s="6" t="s">
        <v>30</v>
      </c>
      <c r="E3837" s="6">
        <f>IF((ISBLANK($B$1)),"",Sheet1!Q3846)</f>
        <v>4550</v>
      </c>
      <c r="F3837" s="20" t="s">
        <v>27</v>
      </c>
      <c r="G3837" s="53">
        <f t="shared" si="60"/>
        <v>-0.17783221777813119</v>
      </c>
      <c r="H3837" s="35"/>
      <c r="P3837" s="6"/>
    </row>
    <row r="3838" spans="1:16" ht="14.4" x14ac:dyDescent="0.25">
      <c r="A3838" s="6">
        <v>7828</v>
      </c>
      <c r="B3838" s="6">
        <v>55968</v>
      </c>
      <c r="C3838" s="19">
        <v>41182</v>
      </c>
      <c r="D3838" s="6" t="s">
        <v>25</v>
      </c>
      <c r="E3838" s="6">
        <f>IF((ISBLANK($B$1)),"",Sheet1!Q3847)</f>
        <v>5400</v>
      </c>
      <c r="F3838" s="20" t="s">
        <v>26</v>
      </c>
      <c r="G3838" s="53">
        <f t="shared" si="60"/>
        <v>0.99597891402498073</v>
      </c>
      <c r="H3838" s="35"/>
      <c r="P3838" s="6"/>
    </row>
    <row r="3839" spans="1:16" ht="14.4" x14ac:dyDescent="0.25">
      <c r="A3839" s="6">
        <v>7868</v>
      </c>
      <c r="B3839" s="6">
        <v>56288</v>
      </c>
      <c r="C3839" s="19">
        <v>40359</v>
      </c>
      <c r="D3839" s="6" t="s">
        <v>28</v>
      </c>
      <c r="E3839" s="6">
        <f>IF((ISBLANK($B$1)),"",Sheet1!Q3848)</f>
        <v>5250</v>
      </c>
      <c r="F3839" s="20" t="s">
        <v>26</v>
      </c>
      <c r="G3839" s="53">
        <f t="shared" si="60"/>
        <v>0.78883577311854924</v>
      </c>
      <c r="H3839" s="35"/>
      <c r="P3839" s="6"/>
    </row>
    <row r="3840" spans="1:16" ht="14.4" x14ac:dyDescent="0.25">
      <c r="A3840" s="6">
        <v>7869</v>
      </c>
      <c r="B3840" s="6">
        <v>56288</v>
      </c>
      <c r="C3840" s="19">
        <v>40359</v>
      </c>
      <c r="D3840" s="6" t="s">
        <v>28</v>
      </c>
      <c r="E3840" s="6">
        <f>IF((ISBLANK($B$1)),"",Sheet1!Q3849)</f>
        <v>5350</v>
      </c>
      <c r="F3840" s="20" t="s">
        <v>26</v>
      </c>
      <c r="G3840" s="53">
        <f t="shared" si="60"/>
        <v>0.92693120038950361</v>
      </c>
      <c r="H3840" s="35"/>
      <c r="P3840" s="6"/>
    </row>
    <row r="3841" spans="1:16" ht="14.4" x14ac:dyDescent="0.25">
      <c r="A3841" s="6">
        <v>7870</v>
      </c>
      <c r="B3841" s="6">
        <v>56291</v>
      </c>
      <c r="C3841" s="19">
        <v>41169</v>
      </c>
      <c r="D3841" s="6" t="s">
        <v>28</v>
      </c>
      <c r="E3841" s="6">
        <f>IF((ISBLANK($B$1)),"",Sheet1!Q3850)</f>
        <v>4500</v>
      </c>
      <c r="F3841" s="20" t="s">
        <v>27</v>
      </c>
      <c r="G3841" s="53">
        <f t="shared" si="60"/>
        <v>-0.24687993141360834</v>
      </c>
      <c r="H3841" s="35"/>
      <c r="P3841" s="6"/>
    </row>
    <row r="3842" spans="1:16" ht="14.4" x14ac:dyDescent="0.25">
      <c r="A3842" s="6">
        <v>7871</v>
      </c>
      <c r="B3842" s="6">
        <v>56291</v>
      </c>
      <c r="C3842" s="19">
        <v>41169</v>
      </c>
      <c r="D3842" s="6" t="s">
        <v>28</v>
      </c>
      <c r="E3842" s="6">
        <f>IF((ISBLANK($B$1)),"",Sheet1!Q3851)</f>
        <v>4650</v>
      </c>
      <c r="F3842" s="20" t="s">
        <v>26</v>
      </c>
      <c r="G3842" s="53">
        <f t="shared" si="60"/>
        <v>-3.9736790507176829E-2</v>
      </c>
      <c r="H3842" s="35"/>
      <c r="P3842" s="6"/>
    </row>
    <row r="3843" spans="1:16" ht="14.4" x14ac:dyDescent="0.25">
      <c r="A3843" s="6">
        <v>7872</v>
      </c>
      <c r="B3843" s="6">
        <v>56291</v>
      </c>
      <c r="C3843" s="19">
        <v>41169</v>
      </c>
      <c r="D3843" s="6" t="s">
        <v>28</v>
      </c>
      <c r="E3843" s="6">
        <f>IF((ISBLANK($B$1)),"",Sheet1!Q3852)</f>
        <v>5750</v>
      </c>
      <c r="F3843" s="20" t="s">
        <v>26</v>
      </c>
      <c r="G3843" s="53">
        <f t="shared" si="60"/>
        <v>1.4793129094733208</v>
      </c>
      <c r="H3843" s="35"/>
      <c r="P3843" s="6"/>
    </row>
    <row r="3844" spans="1:16" ht="14.4" x14ac:dyDescent="0.25">
      <c r="A3844" s="6">
        <v>7898</v>
      </c>
      <c r="B3844" s="6">
        <v>56486</v>
      </c>
      <c r="C3844" s="19">
        <v>39961</v>
      </c>
      <c r="D3844" s="6" t="s">
        <v>30</v>
      </c>
      <c r="E3844" s="6">
        <f>IF((ISBLANK($B$1)),"",Sheet1!Q3853)</f>
        <v>3950</v>
      </c>
      <c r="F3844" s="20" t="s">
        <v>26</v>
      </c>
      <c r="G3844" s="53">
        <f t="shared" si="60"/>
        <v>-1.0064047814038573</v>
      </c>
      <c r="H3844" s="35"/>
      <c r="P3844" s="6"/>
    </row>
    <row r="3845" spans="1:16" ht="14.4" x14ac:dyDescent="0.25">
      <c r="A3845" s="6">
        <v>7899</v>
      </c>
      <c r="B3845" s="6">
        <v>56514</v>
      </c>
      <c r="C3845" s="19">
        <v>40950</v>
      </c>
      <c r="D3845" s="6" t="s">
        <v>25</v>
      </c>
      <c r="E3845" s="6">
        <f>IF((ISBLANK($B$1)),"",Sheet1!Q3854)</f>
        <v>3550</v>
      </c>
      <c r="F3845" s="20" t="s">
        <v>26</v>
      </c>
      <c r="G3845" s="53">
        <f t="shared" si="60"/>
        <v>-1.5587864904876745</v>
      </c>
      <c r="H3845" s="35"/>
      <c r="P3845" s="6"/>
    </row>
    <row r="3846" spans="1:16" ht="14.4" x14ac:dyDescent="0.25">
      <c r="A3846" s="6">
        <v>7900</v>
      </c>
      <c r="B3846" s="6">
        <v>56514</v>
      </c>
      <c r="C3846" s="19">
        <v>40950</v>
      </c>
      <c r="D3846" s="6" t="s">
        <v>25</v>
      </c>
      <c r="E3846" s="6">
        <f>IF((ISBLANK($B$1)),"",Sheet1!Q3855)</f>
        <v>5150</v>
      </c>
      <c r="F3846" s="20" t="s">
        <v>26</v>
      </c>
      <c r="G3846" s="53">
        <f t="shared" si="60"/>
        <v>0.65074034584759488</v>
      </c>
      <c r="H3846" s="35"/>
      <c r="P3846" s="6"/>
    </row>
    <row r="3847" spans="1:16" ht="14.4" x14ac:dyDescent="0.25">
      <c r="A3847" s="6">
        <v>7928</v>
      </c>
      <c r="B3847" s="6">
        <v>56672</v>
      </c>
      <c r="C3847" s="19">
        <v>41041</v>
      </c>
      <c r="D3847" s="6" t="s">
        <v>17</v>
      </c>
      <c r="E3847" s="6">
        <f>IF((ISBLANK($B$1)),"",Sheet1!Q3856)</f>
        <v>5100</v>
      </c>
      <c r="F3847" s="20" t="s">
        <v>26</v>
      </c>
      <c r="G3847" s="53">
        <f t="shared" si="60"/>
        <v>0.58169263221211776</v>
      </c>
      <c r="H3847" s="35"/>
      <c r="P3847" s="6"/>
    </row>
    <row r="3848" spans="1:16" ht="14.4" x14ac:dyDescent="0.25">
      <c r="A3848" s="6">
        <v>7929</v>
      </c>
      <c r="B3848" s="6">
        <v>56672</v>
      </c>
      <c r="C3848" s="19">
        <v>41041</v>
      </c>
      <c r="D3848" s="6" t="s">
        <v>17</v>
      </c>
      <c r="E3848" s="6">
        <f>IF((ISBLANK($B$1)),"",Sheet1!Q3857)</f>
        <v>3800</v>
      </c>
      <c r="F3848" s="20" t="s">
        <v>29</v>
      </c>
      <c r="G3848" s="53">
        <f t="shared" ref="G3848:G3911" si="61">STANDARDIZE(E3848,$L$26,$L$35)</f>
        <v>-1.2135479223102887</v>
      </c>
      <c r="H3848" s="35"/>
      <c r="P3848" s="6"/>
    </row>
    <row r="3849" spans="1:16" ht="14.4" x14ac:dyDescent="0.25">
      <c r="A3849" s="6">
        <v>7930</v>
      </c>
      <c r="B3849" s="6">
        <v>56672</v>
      </c>
      <c r="C3849" s="19">
        <v>41041</v>
      </c>
      <c r="D3849" s="6" t="s">
        <v>17</v>
      </c>
      <c r="E3849" s="6">
        <f>IF((ISBLANK($B$1)),"",Sheet1!Q3858)</f>
        <v>5650</v>
      </c>
      <c r="F3849" s="20" t="s">
        <v>27</v>
      </c>
      <c r="G3849" s="53">
        <f t="shared" si="61"/>
        <v>1.3412174822023666</v>
      </c>
      <c r="H3849" s="35"/>
      <c r="P3849" s="6"/>
    </row>
    <row r="3850" spans="1:16" ht="14.4" x14ac:dyDescent="0.25">
      <c r="A3850" s="6">
        <v>7966</v>
      </c>
      <c r="B3850" s="6">
        <v>56931</v>
      </c>
      <c r="C3850" s="19">
        <v>40212</v>
      </c>
      <c r="D3850" s="6" t="s">
        <v>17</v>
      </c>
      <c r="E3850" s="6">
        <f>IF((ISBLANK($B$1)),"",Sheet1!Q3859)</f>
        <v>5100</v>
      </c>
      <c r="F3850" s="20" t="s">
        <v>27</v>
      </c>
      <c r="G3850" s="53">
        <f t="shared" si="61"/>
        <v>0.58169263221211776</v>
      </c>
      <c r="H3850" s="35"/>
      <c r="P3850" s="6"/>
    </row>
    <row r="3851" spans="1:16" ht="14.4" x14ac:dyDescent="0.25">
      <c r="A3851" s="6">
        <v>7971</v>
      </c>
      <c r="B3851" s="6">
        <v>57025</v>
      </c>
      <c r="C3851" s="19">
        <v>41086</v>
      </c>
      <c r="D3851" s="6" t="s">
        <v>16</v>
      </c>
      <c r="E3851" s="6">
        <f>IF((ISBLANK($B$1)),"",Sheet1!Q3860)</f>
        <v>3800</v>
      </c>
      <c r="F3851" s="20" t="s">
        <v>26</v>
      </c>
      <c r="G3851" s="53">
        <f t="shared" si="61"/>
        <v>-1.2135479223102887</v>
      </c>
      <c r="H3851" s="35"/>
      <c r="P3851" s="6"/>
    </row>
    <row r="3852" spans="1:16" ht="14.4" x14ac:dyDescent="0.25">
      <c r="A3852" s="6">
        <v>7979</v>
      </c>
      <c r="B3852" s="6">
        <v>57061</v>
      </c>
      <c r="C3852" s="19">
        <v>40147</v>
      </c>
      <c r="D3852" s="6" t="s">
        <v>25</v>
      </c>
      <c r="E3852" s="6">
        <f>IF((ISBLANK($B$1)),"",Sheet1!Q3861)</f>
        <v>4450</v>
      </c>
      <c r="F3852" s="20" t="s">
        <v>26</v>
      </c>
      <c r="G3852" s="53">
        <f t="shared" si="61"/>
        <v>-0.31592764504908549</v>
      </c>
      <c r="H3852" s="35"/>
      <c r="P3852" s="6"/>
    </row>
    <row r="3853" spans="1:16" ht="14.4" x14ac:dyDescent="0.25">
      <c r="A3853" s="6">
        <v>7980</v>
      </c>
      <c r="B3853" s="6">
        <v>57061</v>
      </c>
      <c r="C3853" s="19">
        <v>40147</v>
      </c>
      <c r="D3853" s="6" t="s">
        <v>25</v>
      </c>
      <c r="E3853" s="6">
        <f>IF((ISBLANK($B$1)),"",Sheet1!Q3862)</f>
        <v>3700</v>
      </c>
      <c r="F3853" s="20" t="s">
        <v>26</v>
      </c>
      <c r="G3853" s="53">
        <f t="shared" si="61"/>
        <v>-1.351643349581243</v>
      </c>
      <c r="H3853" s="35"/>
      <c r="P3853" s="6"/>
    </row>
    <row r="3854" spans="1:16" ht="14.4" x14ac:dyDescent="0.25">
      <c r="A3854" s="6">
        <v>7981</v>
      </c>
      <c r="B3854" s="6">
        <v>57061</v>
      </c>
      <c r="C3854" s="19">
        <v>40147</v>
      </c>
      <c r="D3854" s="6" t="s">
        <v>25</v>
      </c>
      <c r="E3854" s="6">
        <f>IF((ISBLANK($B$1)),"",Sheet1!Q3863)</f>
        <v>3550</v>
      </c>
      <c r="F3854" s="20" t="s">
        <v>29</v>
      </c>
      <c r="G3854" s="53">
        <f t="shared" si="61"/>
        <v>-1.5587864904876745</v>
      </c>
      <c r="H3854" s="35"/>
      <c r="P3854" s="6"/>
    </row>
    <row r="3855" spans="1:16" ht="14.4" x14ac:dyDescent="0.25">
      <c r="A3855" s="6">
        <v>8008</v>
      </c>
      <c r="B3855" s="6">
        <v>57217</v>
      </c>
      <c r="C3855" s="19">
        <v>40564</v>
      </c>
      <c r="D3855" s="6" t="s">
        <v>16</v>
      </c>
      <c r="E3855" s="6">
        <f>IF((ISBLANK($B$1)),"",Sheet1!Q3864)</f>
        <v>5150</v>
      </c>
      <c r="F3855" s="20" t="s">
        <v>26</v>
      </c>
      <c r="G3855" s="53">
        <f t="shared" si="61"/>
        <v>0.65074034584759488</v>
      </c>
      <c r="H3855" s="35"/>
      <c r="P3855" s="6"/>
    </row>
    <row r="3856" spans="1:16" ht="14.4" x14ac:dyDescent="0.25">
      <c r="A3856" s="6">
        <v>8054</v>
      </c>
      <c r="B3856" s="6">
        <v>57504</v>
      </c>
      <c r="C3856" s="19">
        <v>40029</v>
      </c>
      <c r="D3856" s="6" t="s">
        <v>28</v>
      </c>
      <c r="E3856" s="6">
        <f>IF((ISBLANK($B$1)),"",Sheet1!Q3865)</f>
        <v>5600</v>
      </c>
      <c r="F3856" s="20" t="s">
        <v>26</v>
      </c>
      <c r="G3856" s="53">
        <f t="shared" si="61"/>
        <v>1.2721697685668893</v>
      </c>
      <c r="H3856" s="35"/>
      <c r="P3856" s="6"/>
    </row>
    <row r="3857" spans="1:16" ht="14.4" x14ac:dyDescent="0.25">
      <c r="A3857" s="6">
        <v>8083</v>
      </c>
      <c r="B3857" s="6">
        <v>57666</v>
      </c>
      <c r="C3857" s="19">
        <v>39955</v>
      </c>
      <c r="D3857" s="6" t="s">
        <v>28</v>
      </c>
      <c r="E3857" s="6">
        <f>IF((ISBLANK($B$1)),"",Sheet1!Q3866)</f>
        <v>5650</v>
      </c>
      <c r="F3857" s="20" t="s">
        <v>26</v>
      </c>
      <c r="G3857" s="53">
        <f t="shared" si="61"/>
        <v>1.3412174822023666</v>
      </c>
      <c r="H3857" s="35"/>
      <c r="P3857" s="6"/>
    </row>
    <row r="3858" spans="1:16" ht="14.4" x14ac:dyDescent="0.25">
      <c r="A3858" s="6">
        <v>8084</v>
      </c>
      <c r="B3858" s="6">
        <v>57666</v>
      </c>
      <c r="C3858" s="19">
        <v>39955</v>
      </c>
      <c r="D3858" s="6" t="s">
        <v>28</v>
      </c>
      <c r="E3858" s="6">
        <f>IF((ISBLANK($B$1)),"",Sheet1!Q3867)</f>
        <v>5600</v>
      </c>
      <c r="F3858" s="20" t="s">
        <v>26</v>
      </c>
      <c r="G3858" s="53">
        <f t="shared" si="61"/>
        <v>1.2721697685668893</v>
      </c>
      <c r="H3858" s="35"/>
      <c r="P3858" s="6"/>
    </row>
    <row r="3859" spans="1:16" ht="14.4" x14ac:dyDescent="0.25">
      <c r="A3859" s="6">
        <v>8183</v>
      </c>
      <c r="B3859" s="6">
        <v>58496</v>
      </c>
      <c r="C3859" s="19">
        <v>40705</v>
      </c>
      <c r="D3859" s="6" t="s">
        <v>28</v>
      </c>
      <c r="E3859" s="6">
        <f>IF((ISBLANK($B$1)),"",Sheet1!Q3868)</f>
        <v>4400</v>
      </c>
      <c r="F3859" s="20" t="s">
        <v>26</v>
      </c>
      <c r="G3859" s="53">
        <f t="shared" si="61"/>
        <v>-0.38497535868456267</v>
      </c>
      <c r="H3859" s="35"/>
      <c r="P3859" s="6"/>
    </row>
    <row r="3860" spans="1:16" ht="14.4" x14ac:dyDescent="0.25">
      <c r="A3860" s="6">
        <v>8200</v>
      </c>
      <c r="B3860" s="6">
        <v>58628</v>
      </c>
      <c r="C3860" s="19">
        <v>39896</v>
      </c>
      <c r="D3860" s="6" t="s">
        <v>16</v>
      </c>
      <c r="E3860" s="6">
        <f>IF((ISBLANK($B$1)),"",Sheet1!Q3869)</f>
        <v>4550</v>
      </c>
      <c r="F3860" s="20" t="s">
        <v>29</v>
      </c>
      <c r="G3860" s="53">
        <f t="shared" si="61"/>
        <v>-0.17783221777813119</v>
      </c>
      <c r="H3860" s="35"/>
      <c r="P3860" s="6"/>
    </row>
    <row r="3861" spans="1:16" ht="14.4" x14ac:dyDescent="0.25">
      <c r="A3861" s="6">
        <v>8234</v>
      </c>
      <c r="B3861" s="6">
        <v>58854</v>
      </c>
      <c r="C3861" s="19">
        <v>40292</v>
      </c>
      <c r="D3861" s="6" t="s">
        <v>30</v>
      </c>
      <c r="E3861" s="6">
        <f>IF((ISBLANK($B$1)),"",Sheet1!Q3870)</f>
        <v>5150</v>
      </c>
      <c r="F3861" s="20" t="s">
        <v>29</v>
      </c>
      <c r="G3861" s="53">
        <f t="shared" si="61"/>
        <v>0.65074034584759488</v>
      </c>
      <c r="H3861" s="35"/>
      <c r="P3861" s="6"/>
    </row>
    <row r="3862" spans="1:16" ht="14.4" x14ac:dyDescent="0.25">
      <c r="A3862" s="6">
        <v>8235</v>
      </c>
      <c r="B3862" s="6">
        <v>58854</v>
      </c>
      <c r="C3862" s="19">
        <v>40292</v>
      </c>
      <c r="D3862" s="6" t="s">
        <v>30</v>
      </c>
      <c r="E3862" s="6">
        <f>IF((ISBLANK($B$1)),"",Sheet1!Q3871)</f>
        <v>3900</v>
      </c>
      <c r="F3862" s="20" t="s">
        <v>27</v>
      </c>
      <c r="G3862" s="53">
        <f t="shared" si="61"/>
        <v>-1.0754524950393345</v>
      </c>
      <c r="H3862" s="35"/>
      <c r="P3862" s="6"/>
    </row>
    <row r="3863" spans="1:16" ht="14.4" x14ac:dyDescent="0.25">
      <c r="A3863" s="6">
        <v>8243</v>
      </c>
      <c r="B3863" s="6">
        <v>58917</v>
      </c>
      <c r="C3863" s="19">
        <v>40970</v>
      </c>
      <c r="D3863" s="6" t="s">
        <v>17</v>
      </c>
      <c r="E3863" s="6">
        <f>IF((ISBLANK($B$1)),"",Sheet1!Q3872)</f>
        <v>4750</v>
      </c>
      <c r="F3863" s="20" t="s">
        <v>27</v>
      </c>
      <c r="G3863" s="53">
        <f t="shared" si="61"/>
        <v>9.8358636763777513E-2</v>
      </c>
      <c r="H3863" s="35"/>
      <c r="P3863" s="6"/>
    </row>
    <row r="3864" spans="1:16" ht="14.4" x14ac:dyDescent="0.25">
      <c r="A3864" s="6">
        <v>8244</v>
      </c>
      <c r="B3864" s="6">
        <v>58917</v>
      </c>
      <c r="C3864" s="19">
        <v>40970</v>
      </c>
      <c r="D3864" s="6" t="s">
        <v>17</v>
      </c>
      <c r="E3864" s="6">
        <f>IF((ISBLANK($B$1)),"",Sheet1!Q3873)</f>
        <v>3550</v>
      </c>
      <c r="F3864" s="20" t="s">
        <v>26</v>
      </c>
      <c r="G3864" s="53">
        <f t="shared" si="61"/>
        <v>-1.5587864904876745</v>
      </c>
      <c r="H3864" s="35"/>
      <c r="P3864" s="6"/>
    </row>
    <row r="3865" spans="1:16" ht="14.4" x14ac:dyDescent="0.25">
      <c r="A3865" s="6">
        <v>8266</v>
      </c>
      <c r="B3865" s="6">
        <v>59104</v>
      </c>
      <c r="C3865" s="19">
        <v>39856</v>
      </c>
      <c r="D3865" s="6" t="s">
        <v>17</v>
      </c>
      <c r="E3865" s="6">
        <f>IF((ISBLANK($B$1)),"",Sheet1!Q3874)</f>
        <v>4050</v>
      </c>
      <c r="F3865" s="20" t="s">
        <v>26</v>
      </c>
      <c r="G3865" s="53">
        <f t="shared" si="61"/>
        <v>-0.86830935413290289</v>
      </c>
      <c r="H3865" s="35"/>
      <c r="P3865" s="6"/>
    </row>
    <row r="3866" spans="1:16" ht="14.4" x14ac:dyDescent="0.25">
      <c r="A3866" s="6">
        <v>8267</v>
      </c>
      <c r="B3866" s="6">
        <v>59104</v>
      </c>
      <c r="C3866" s="19">
        <v>39856</v>
      </c>
      <c r="D3866" s="6" t="s">
        <v>17</v>
      </c>
      <c r="E3866" s="6">
        <f>IF((ISBLANK($B$1)),"",Sheet1!Q3875)</f>
        <v>4500</v>
      </c>
      <c r="F3866" s="20" t="s">
        <v>26</v>
      </c>
      <c r="G3866" s="53">
        <f t="shared" si="61"/>
        <v>-0.24687993141360834</v>
      </c>
      <c r="H3866" s="35"/>
      <c r="P3866" s="6"/>
    </row>
    <row r="3867" spans="1:16" ht="14.4" x14ac:dyDescent="0.25">
      <c r="A3867" s="6">
        <v>8268</v>
      </c>
      <c r="B3867" s="6">
        <v>59104</v>
      </c>
      <c r="C3867" s="19">
        <v>39856</v>
      </c>
      <c r="D3867" s="6" t="s">
        <v>17</v>
      </c>
      <c r="E3867" s="6">
        <f>IF((ISBLANK($B$1)),"",Sheet1!Q3876)</f>
        <v>5300</v>
      </c>
      <c r="F3867" s="20" t="s">
        <v>27</v>
      </c>
      <c r="G3867" s="53">
        <f t="shared" si="61"/>
        <v>0.85788348675402637</v>
      </c>
      <c r="H3867" s="35"/>
      <c r="P3867" s="6"/>
    </row>
    <row r="3868" spans="1:16" ht="14.4" x14ac:dyDescent="0.25">
      <c r="A3868" s="6">
        <v>8389</v>
      </c>
      <c r="B3868" s="6">
        <v>59937</v>
      </c>
      <c r="C3868" s="19">
        <v>40175</v>
      </c>
      <c r="D3868" s="6" t="s">
        <v>17</v>
      </c>
      <c r="E3868" s="6">
        <f>IF((ISBLANK($B$1)),"",Sheet1!Q3877)</f>
        <v>3750</v>
      </c>
      <c r="F3868" s="20" t="s">
        <v>26</v>
      </c>
      <c r="G3868" s="53">
        <f t="shared" si="61"/>
        <v>-1.282595635945766</v>
      </c>
      <c r="H3868" s="35"/>
      <c r="P3868" s="6"/>
    </row>
    <row r="3869" spans="1:16" ht="14.4" x14ac:dyDescent="0.25">
      <c r="A3869" s="6">
        <v>66</v>
      </c>
      <c r="B3869" s="6">
        <v>386</v>
      </c>
      <c r="C3869" s="19">
        <v>40567</v>
      </c>
      <c r="D3869" s="6" t="s">
        <v>17</v>
      </c>
      <c r="E3869" s="6">
        <f>IF((ISBLANK($B$1)),"",Sheet1!Q3878)</f>
        <v>3600</v>
      </c>
      <c r="F3869" s="20" t="s">
        <v>26</v>
      </c>
      <c r="G3869" s="53">
        <f t="shared" si="61"/>
        <v>-1.4897387768521975</v>
      </c>
      <c r="H3869" s="35"/>
      <c r="P3869" s="6"/>
    </row>
    <row r="3870" spans="1:16" ht="14.4" x14ac:dyDescent="0.25">
      <c r="A3870" s="6">
        <v>67</v>
      </c>
      <c r="B3870" s="6">
        <v>386</v>
      </c>
      <c r="C3870" s="19">
        <v>40567</v>
      </c>
      <c r="D3870" s="6" t="s">
        <v>17</v>
      </c>
      <c r="E3870" s="6">
        <f>IF((ISBLANK($B$1)),"",Sheet1!Q3879)</f>
        <v>3600</v>
      </c>
      <c r="F3870" s="20" t="s">
        <v>26</v>
      </c>
      <c r="G3870" s="53">
        <f t="shared" si="61"/>
        <v>-1.4897387768521975</v>
      </c>
      <c r="H3870" s="35"/>
      <c r="P3870" s="6"/>
    </row>
    <row r="3871" spans="1:16" ht="14.4" x14ac:dyDescent="0.25">
      <c r="A3871" s="6">
        <v>69</v>
      </c>
      <c r="B3871" s="6">
        <v>416</v>
      </c>
      <c r="C3871" s="19">
        <v>40447</v>
      </c>
      <c r="D3871" s="6" t="s">
        <v>25</v>
      </c>
      <c r="E3871" s="6">
        <f>IF((ISBLANK($B$1)),"",Sheet1!Q3880)</f>
        <v>4400</v>
      </c>
      <c r="F3871" s="20" t="s">
        <v>27</v>
      </c>
      <c r="G3871" s="53">
        <f t="shared" si="61"/>
        <v>-0.38497535868456267</v>
      </c>
      <c r="H3871" s="35"/>
      <c r="P3871" s="6"/>
    </row>
    <row r="3872" spans="1:16" ht="14.4" x14ac:dyDescent="0.25">
      <c r="A3872" s="6">
        <v>84</v>
      </c>
      <c r="B3872" s="6">
        <v>513</v>
      </c>
      <c r="C3872" s="19">
        <v>40663</v>
      </c>
      <c r="D3872" s="6" t="s">
        <v>17</v>
      </c>
      <c r="E3872" s="6">
        <f>IF((ISBLANK($B$1)),"",Sheet1!Q3881)</f>
        <v>5050</v>
      </c>
      <c r="F3872" s="20" t="s">
        <v>29</v>
      </c>
      <c r="G3872" s="53">
        <f t="shared" si="61"/>
        <v>0.51264491857664052</v>
      </c>
      <c r="H3872" s="35"/>
      <c r="P3872" s="6"/>
    </row>
    <row r="3873" spans="1:16" ht="14.4" x14ac:dyDescent="0.25">
      <c r="A3873" s="6">
        <v>94</v>
      </c>
      <c r="B3873" s="6">
        <v>611</v>
      </c>
      <c r="C3873" s="19">
        <v>40204</v>
      </c>
      <c r="D3873" s="6" t="s">
        <v>30</v>
      </c>
      <c r="E3873" s="6">
        <f>IF((ISBLANK($B$1)),"",Sheet1!Q3882)</f>
        <v>5750</v>
      </c>
      <c r="F3873" s="20" t="s">
        <v>26</v>
      </c>
      <c r="G3873" s="53">
        <f t="shared" si="61"/>
        <v>1.4793129094733208</v>
      </c>
      <c r="H3873" s="35"/>
      <c r="P3873" s="6"/>
    </row>
    <row r="3874" spans="1:16" ht="14.4" x14ac:dyDescent="0.25">
      <c r="A3874" s="6">
        <v>124</v>
      </c>
      <c r="B3874" s="6">
        <v>802</v>
      </c>
      <c r="C3874" s="19">
        <v>40547</v>
      </c>
      <c r="D3874" s="6" t="s">
        <v>30</v>
      </c>
      <c r="E3874" s="6">
        <f>IF((ISBLANK($B$1)),"",Sheet1!Q3883)</f>
        <v>5050</v>
      </c>
      <c r="F3874" s="20" t="s">
        <v>26</v>
      </c>
      <c r="G3874" s="53">
        <f t="shared" si="61"/>
        <v>0.51264491857664052</v>
      </c>
      <c r="H3874" s="35"/>
      <c r="P3874" s="6"/>
    </row>
    <row r="3875" spans="1:16" ht="14.4" x14ac:dyDescent="0.25">
      <c r="A3875" s="6">
        <v>125</v>
      </c>
      <c r="B3875" s="6">
        <v>802</v>
      </c>
      <c r="C3875" s="19">
        <v>40547</v>
      </c>
      <c r="D3875" s="6" t="s">
        <v>30</v>
      </c>
      <c r="E3875" s="6">
        <f>IF((ISBLANK($B$1)),"",Sheet1!Q3884)</f>
        <v>3500</v>
      </c>
      <c r="F3875" s="20" t="s">
        <v>27</v>
      </c>
      <c r="G3875" s="53">
        <f t="shared" si="61"/>
        <v>-1.6278342041231517</v>
      </c>
      <c r="H3875" s="35"/>
      <c r="P3875" s="6"/>
    </row>
    <row r="3876" spans="1:16" ht="14.4" x14ac:dyDescent="0.25">
      <c r="A3876" s="6">
        <v>150</v>
      </c>
      <c r="B3876" s="6">
        <v>960</v>
      </c>
      <c r="C3876" s="19">
        <v>40076</v>
      </c>
      <c r="D3876" s="6" t="s">
        <v>16</v>
      </c>
      <c r="E3876" s="6">
        <f>IF((ISBLANK($B$1)),"",Sheet1!Q3885)</f>
        <v>5700</v>
      </c>
      <c r="F3876" s="20" t="s">
        <v>29</v>
      </c>
      <c r="G3876" s="53">
        <f t="shared" si="61"/>
        <v>1.4102651958378438</v>
      </c>
      <c r="H3876" s="35"/>
      <c r="P3876" s="6"/>
    </row>
    <row r="3877" spans="1:16" ht="14.4" x14ac:dyDescent="0.25">
      <c r="A3877" s="6">
        <v>155</v>
      </c>
      <c r="B3877" s="6">
        <v>965</v>
      </c>
      <c r="C3877" s="19">
        <v>40677</v>
      </c>
      <c r="D3877" s="6" t="s">
        <v>25</v>
      </c>
      <c r="E3877" s="6">
        <f>IF((ISBLANK($B$1)),"",Sheet1!Q3886)</f>
        <v>5500</v>
      </c>
      <c r="F3877" s="20" t="s">
        <v>29</v>
      </c>
      <c r="G3877" s="53">
        <f t="shared" si="61"/>
        <v>1.1340743412959351</v>
      </c>
      <c r="H3877" s="35"/>
      <c r="P3877" s="6"/>
    </row>
    <row r="3878" spans="1:16" ht="14.4" x14ac:dyDescent="0.25">
      <c r="A3878" s="6">
        <v>174</v>
      </c>
      <c r="B3878" s="6">
        <v>1127</v>
      </c>
      <c r="C3878" s="19">
        <v>40804</v>
      </c>
      <c r="D3878" s="6" t="s">
        <v>28</v>
      </c>
      <c r="E3878" s="6">
        <f>IF((ISBLANK($B$1)),"",Sheet1!Q3887)</f>
        <v>5800</v>
      </c>
      <c r="F3878" s="20" t="s">
        <v>29</v>
      </c>
      <c r="G3878" s="53">
        <f t="shared" si="61"/>
        <v>1.5483606231087981</v>
      </c>
      <c r="H3878" s="35"/>
      <c r="P3878" s="6"/>
    </row>
    <row r="3879" spans="1:16" ht="14.4" x14ac:dyDescent="0.25">
      <c r="A3879" s="6">
        <v>226</v>
      </c>
      <c r="B3879" s="6">
        <v>1507</v>
      </c>
      <c r="C3879" s="19">
        <v>40464</v>
      </c>
      <c r="D3879" s="6" t="s">
        <v>16</v>
      </c>
      <c r="E3879" s="6">
        <f>IF((ISBLANK($B$1)),"",Sheet1!Q3888)</f>
        <v>4850</v>
      </c>
      <c r="F3879" s="20" t="s">
        <v>27</v>
      </c>
      <c r="G3879" s="53">
        <f t="shared" si="61"/>
        <v>0.23645406403473185</v>
      </c>
      <c r="H3879" s="35"/>
      <c r="P3879" s="6"/>
    </row>
    <row r="3880" spans="1:16" ht="14.4" x14ac:dyDescent="0.25">
      <c r="A3880" s="6">
        <v>244</v>
      </c>
      <c r="B3880" s="6">
        <v>1665</v>
      </c>
      <c r="C3880" s="19">
        <v>39940</v>
      </c>
      <c r="D3880" s="6" t="s">
        <v>17</v>
      </c>
      <c r="E3880" s="6">
        <f>IF((ISBLANK($B$1)),"",Sheet1!Q3889)</f>
        <v>4700</v>
      </c>
      <c r="F3880" s="20" t="s">
        <v>27</v>
      </c>
      <c r="G3880" s="53">
        <f t="shared" si="61"/>
        <v>2.9310923128300338E-2</v>
      </c>
      <c r="H3880" s="35"/>
      <c r="P3880" s="6"/>
    </row>
    <row r="3881" spans="1:16" ht="14.4" x14ac:dyDescent="0.25">
      <c r="A3881" s="6">
        <v>281</v>
      </c>
      <c r="B3881" s="6">
        <v>1952</v>
      </c>
      <c r="C3881" s="19">
        <v>39887</v>
      </c>
      <c r="D3881" s="6" t="s">
        <v>17</v>
      </c>
      <c r="E3881" s="6">
        <f>IF((ISBLANK($B$1)),"",Sheet1!Q3890)</f>
        <v>4600</v>
      </c>
      <c r="F3881" s="20" t="s">
        <v>29</v>
      </c>
      <c r="G3881" s="53">
        <f t="shared" si="61"/>
        <v>-0.108784504142654</v>
      </c>
      <c r="H3881" s="35"/>
      <c r="P3881" s="6"/>
    </row>
    <row r="3882" spans="1:16" ht="14.4" x14ac:dyDescent="0.25">
      <c r="A3882" s="6">
        <v>282</v>
      </c>
      <c r="B3882" s="6">
        <v>1953</v>
      </c>
      <c r="C3882" s="19">
        <v>40511</v>
      </c>
      <c r="D3882" s="6" t="s">
        <v>16</v>
      </c>
      <c r="E3882" s="6">
        <f>IF((ISBLANK($B$1)),"",Sheet1!Q3891)</f>
        <v>4050</v>
      </c>
      <c r="F3882" s="20" t="s">
        <v>26</v>
      </c>
      <c r="G3882" s="53">
        <f t="shared" si="61"/>
        <v>-0.86830935413290289</v>
      </c>
      <c r="H3882" s="35"/>
      <c r="P3882" s="6"/>
    </row>
    <row r="3883" spans="1:16" ht="14.4" x14ac:dyDescent="0.25">
      <c r="A3883" s="6">
        <v>323</v>
      </c>
      <c r="B3883" s="6">
        <v>2213</v>
      </c>
      <c r="C3883" s="19">
        <v>40192</v>
      </c>
      <c r="D3883" s="6" t="s">
        <v>28</v>
      </c>
      <c r="E3883" s="6">
        <f>IF((ISBLANK($B$1)),"",Sheet1!Q3892)</f>
        <v>3700</v>
      </c>
      <c r="F3883" s="20" t="s">
        <v>26</v>
      </c>
      <c r="G3883" s="53">
        <f t="shared" si="61"/>
        <v>-1.351643349581243</v>
      </c>
      <c r="H3883" s="35"/>
      <c r="P3883" s="6"/>
    </row>
    <row r="3884" spans="1:16" ht="14.4" x14ac:dyDescent="0.25">
      <c r="A3884" s="6">
        <v>344</v>
      </c>
      <c r="B3884" s="6">
        <v>2368</v>
      </c>
      <c r="C3884" s="19">
        <v>40409</v>
      </c>
      <c r="D3884" s="6" t="s">
        <v>30</v>
      </c>
      <c r="E3884" s="6">
        <f>IF((ISBLANK($B$1)),"",Sheet1!Q3893)</f>
        <v>5200</v>
      </c>
      <c r="F3884" s="20" t="s">
        <v>26</v>
      </c>
      <c r="G3884" s="53">
        <f t="shared" si="61"/>
        <v>0.71978805948307201</v>
      </c>
      <c r="H3884" s="35"/>
      <c r="P3884" s="6"/>
    </row>
    <row r="3885" spans="1:16" ht="14.4" x14ac:dyDescent="0.25">
      <c r="A3885" s="6">
        <v>365</v>
      </c>
      <c r="B3885" s="6">
        <v>2560</v>
      </c>
      <c r="C3885" s="19">
        <v>41156</v>
      </c>
      <c r="D3885" s="6" t="s">
        <v>30</v>
      </c>
      <c r="E3885" s="6">
        <f>IF((ISBLANK($B$1)),"",Sheet1!Q3894)</f>
        <v>5000</v>
      </c>
      <c r="F3885" s="20" t="s">
        <v>27</v>
      </c>
      <c r="G3885" s="53">
        <f t="shared" si="61"/>
        <v>0.44359720494116334</v>
      </c>
      <c r="H3885" s="35"/>
      <c r="P3885" s="6"/>
    </row>
    <row r="3886" spans="1:16" ht="14.4" x14ac:dyDescent="0.25">
      <c r="A3886" s="6">
        <v>366</v>
      </c>
      <c r="B3886" s="6">
        <v>2560</v>
      </c>
      <c r="C3886" s="19">
        <v>41156</v>
      </c>
      <c r="D3886" s="6" t="s">
        <v>30</v>
      </c>
      <c r="E3886" s="6">
        <f>IF((ISBLANK($B$1)),"",Sheet1!Q3895)</f>
        <v>4550</v>
      </c>
      <c r="F3886" s="20" t="s">
        <v>26</v>
      </c>
      <c r="G3886" s="53">
        <f t="shared" si="61"/>
        <v>-0.17783221777813119</v>
      </c>
      <c r="H3886" s="35"/>
      <c r="P3886" s="6"/>
    </row>
    <row r="3887" spans="1:16" ht="14.4" x14ac:dyDescent="0.25">
      <c r="A3887" s="6">
        <v>400</v>
      </c>
      <c r="B3887" s="6">
        <v>2754</v>
      </c>
      <c r="C3887" s="19">
        <v>39905</v>
      </c>
      <c r="D3887" s="6" t="s">
        <v>17</v>
      </c>
      <c r="E3887" s="6">
        <f>IF((ISBLANK($B$1)),"",Sheet1!Q3896)</f>
        <v>4200</v>
      </c>
      <c r="F3887" s="20" t="s">
        <v>26</v>
      </c>
      <c r="G3887" s="53">
        <f t="shared" si="61"/>
        <v>-0.6611662132264714</v>
      </c>
      <c r="H3887" s="35"/>
      <c r="P3887" s="6"/>
    </row>
    <row r="3888" spans="1:16" ht="14.4" x14ac:dyDescent="0.25">
      <c r="A3888" s="6">
        <v>401</v>
      </c>
      <c r="B3888" s="6">
        <v>2754</v>
      </c>
      <c r="C3888" s="19">
        <v>39905</v>
      </c>
      <c r="D3888" s="6" t="s">
        <v>17</v>
      </c>
      <c r="E3888" s="6">
        <f>IF((ISBLANK($B$1)),"",Sheet1!Q3897)</f>
        <v>3950</v>
      </c>
      <c r="F3888" s="20" t="s">
        <v>26</v>
      </c>
      <c r="G3888" s="53">
        <f t="shared" si="61"/>
        <v>-1.0064047814038573</v>
      </c>
      <c r="H3888" s="35"/>
      <c r="P3888" s="6"/>
    </row>
    <row r="3889" spans="1:16" ht="14.4" x14ac:dyDescent="0.25">
      <c r="A3889" s="6">
        <v>402</v>
      </c>
      <c r="B3889" s="6">
        <v>2755</v>
      </c>
      <c r="C3889" s="19">
        <v>40945</v>
      </c>
      <c r="D3889" s="6" t="s">
        <v>28</v>
      </c>
      <c r="E3889" s="6">
        <f>IF((ISBLANK($B$1)),"",Sheet1!Q3898)</f>
        <v>4900</v>
      </c>
      <c r="F3889" s="20" t="s">
        <v>26</v>
      </c>
      <c r="G3889" s="53">
        <f t="shared" si="61"/>
        <v>0.30550177767020903</v>
      </c>
      <c r="H3889" s="35"/>
      <c r="P3889" s="6"/>
    </row>
    <row r="3890" spans="1:16" ht="14.4" x14ac:dyDescent="0.25">
      <c r="A3890" s="6">
        <v>403</v>
      </c>
      <c r="B3890" s="6">
        <v>2755</v>
      </c>
      <c r="C3890" s="19">
        <v>40945</v>
      </c>
      <c r="D3890" s="6" t="s">
        <v>28</v>
      </c>
      <c r="E3890" s="6">
        <f>IF((ISBLANK($B$1)),"",Sheet1!Q3899)</f>
        <v>5900</v>
      </c>
      <c r="F3890" s="20" t="s">
        <v>26</v>
      </c>
      <c r="G3890" s="53">
        <f t="shared" si="61"/>
        <v>1.6864560503797523</v>
      </c>
      <c r="H3890" s="35"/>
      <c r="P3890" s="6"/>
    </row>
    <row r="3891" spans="1:16" ht="14.4" x14ac:dyDescent="0.25">
      <c r="A3891" s="6">
        <v>481</v>
      </c>
      <c r="B3891" s="6">
        <v>3333</v>
      </c>
      <c r="C3891" s="19">
        <v>41167</v>
      </c>
      <c r="D3891" s="6" t="s">
        <v>28</v>
      </c>
      <c r="E3891" s="6">
        <f>IF((ISBLANK($B$1)),"",Sheet1!Q3900)</f>
        <v>5500</v>
      </c>
      <c r="F3891" s="20" t="s">
        <v>26</v>
      </c>
      <c r="G3891" s="53">
        <f t="shared" si="61"/>
        <v>1.1340743412959351</v>
      </c>
      <c r="H3891" s="35"/>
      <c r="P3891" s="6"/>
    </row>
    <row r="3892" spans="1:16" ht="14.4" x14ac:dyDescent="0.25">
      <c r="A3892" s="6">
        <v>482</v>
      </c>
      <c r="B3892" s="6">
        <v>3333</v>
      </c>
      <c r="C3892" s="19">
        <v>41167</v>
      </c>
      <c r="D3892" s="6" t="s">
        <v>28</v>
      </c>
      <c r="E3892" s="6">
        <f>IF((ISBLANK($B$1)),"",Sheet1!Q3901)</f>
        <v>3850</v>
      </c>
      <c r="F3892" s="20" t="s">
        <v>26</v>
      </c>
      <c r="G3892" s="53">
        <f t="shared" si="61"/>
        <v>-1.1445002086748115</v>
      </c>
      <c r="H3892" s="35"/>
      <c r="P3892" s="6"/>
    </row>
    <row r="3893" spans="1:16" ht="14.4" x14ac:dyDescent="0.25">
      <c r="A3893" s="6">
        <v>500</v>
      </c>
      <c r="B3893" s="6">
        <v>3460</v>
      </c>
      <c r="C3893" s="19">
        <v>40818</v>
      </c>
      <c r="D3893" s="6" t="s">
        <v>17</v>
      </c>
      <c r="E3893" s="6">
        <f>IF((ISBLANK($B$1)),"",Sheet1!Q3902)</f>
        <v>4750</v>
      </c>
      <c r="F3893" s="20" t="s">
        <v>26</v>
      </c>
      <c r="G3893" s="53">
        <f t="shared" si="61"/>
        <v>9.8358636763777513E-2</v>
      </c>
      <c r="H3893" s="35"/>
      <c r="P3893" s="6"/>
    </row>
    <row r="3894" spans="1:16" ht="14.4" x14ac:dyDescent="0.25">
      <c r="A3894" s="6">
        <v>530</v>
      </c>
      <c r="B3894" s="6">
        <v>3591</v>
      </c>
      <c r="C3894" s="19">
        <v>40519</v>
      </c>
      <c r="D3894" s="6" t="s">
        <v>16</v>
      </c>
      <c r="E3894" s="6">
        <f>IF((ISBLANK($B$1)),"",Sheet1!Q3903)</f>
        <v>3550</v>
      </c>
      <c r="F3894" s="20" t="s">
        <v>26</v>
      </c>
      <c r="G3894" s="53">
        <f t="shared" si="61"/>
        <v>-1.5587864904876745</v>
      </c>
      <c r="H3894" s="35"/>
      <c r="P3894" s="6"/>
    </row>
    <row r="3895" spans="1:16" ht="14.4" x14ac:dyDescent="0.25">
      <c r="A3895" s="6">
        <v>531</v>
      </c>
      <c r="B3895" s="6">
        <v>3591</v>
      </c>
      <c r="C3895" s="19">
        <v>40519</v>
      </c>
      <c r="D3895" s="6" t="s">
        <v>16</v>
      </c>
      <c r="E3895" s="6">
        <f>IF((ISBLANK($B$1)),"",Sheet1!Q3904)</f>
        <v>4000</v>
      </c>
      <c r="F3895" s="20" t="s">
        <v>29</v>
      </c>
      <c r="G3895" s="53">
        <f t="shared" si="61"/>
        <v>-0.93735706776838001</v>
      </c>
      <c r="H3895" s="35"/>
      <c r="P3895" s="6"/>
    </row>
    <row r="3896" spans="1:16" ht="14.4" x14ac:dyDescent="0.25">
      <c r="A3896" s="6">
        <v>586</v>
      </c>
      <c r="B3896" s="6">
        <v>4006</v>
      </c>
      <c r="C3896" s="19">
        <v>40546</v>
      </c>
      <c r="D3896" s="6" t="s">
        <v>16</v>
      </c>
      <c r="E3896" s="6">
        <f>IF((ISBLANK($B$1)),"",Sheet1!Q3905)</f>
        <v>5300</v>
      </c>
      <c r="F3896" s="20" t="s">
        <v>26</v>
      </c>
      <c r="G3896" s="53">
        <f t="shared" si="61"/>
        <v>0.85788348675402637</v>
      </c>
      <c r="H3896" s="35"/>
      <c r="P3896" s="6"/>
    </row>
    <row r="3897" spans="1:16" ht="14.4" x14ac:dyDescent="0.25">
      <c r="A3897" s="6">
        <v>611</v>
      </c>
      <c r="B3897" s="6">
        <v>4193</v>
      </c>
      <c r="C3897" s="19">
        <v>39821</v>
      </c>
      <c r="D3897" s="6" t="s">
        <v>17</v>
      </c>
      <c r="E3897" s="6">
        <f>IF((ISBLANK($B$1)),"",Sheet1!Q3906)</f>
        <v>4200</v>
      </c>
      <c r="F3897" s="20" t="s">
        <v>26</v>
      </c>
      <c r="G3897" s="53">
        <f t="shared" si="61"/>
        <v>-0.6611662132264714</v>
      </c>
      <c r="H3897" s="35"/>
      <c r="P3897" s="6"/>
    </row>
    <row r="3898" spans="1:16" ht="14.4" x14ac:dyDescent="0.25">
      <c r="A3898" s="6">
        <v>612</v>
      </c>
      <c r="B3898" s="6">
        <v>4193</v>
      </c>
      <c r="C3898" s="19">
        <v>39821</v>
      </c>
      <c r="D3898" s="6" t="s">
        <v>17</v>
      </c>
      <c r="E3898" s="6">
        <f>IF((ISBLANK($B$1)),"",Sheet1!Q3907)</f>
        <v>3550</v>
      </c>
      <c r="F3898" s="20" t="s">
        <v>29</v>
      </c>
      <c r="G3898" s="53">
        <f t="shared" si="61"/>
        <v>-1.5587864904876745</v>
      </c>
      <c r="H3898" s="35"/>
      <c r="P3898" s="6"/>
    </row>
    <row r="3899" spans="1:16" ht="14.4" x14ac:dyDescent="0.25">
      <c r="A3899" s="6">
        <v>627</v>
      </c>
      <c r="B3899" s="6">
        <v>4387</v>
      </c>
      <c r="C3899" s="19">
        <v>40838</v>
      </c>
      <c r="D3899" s="6" t="s">
        <v>30</v>
      </c>
      <c r="E3899" s="6">
        <f>IF((ISBLANK($B$1)),"",Sheet1!Q3908)</f>
        <v>3600</v>
      </c>
      <c r="F3899" s="20" t="s">
        <v>29</v>
      </c>
      <c r="G3899" s="53">
        <f t="shared" si="61"/>
        <v>-1.4897387768521975</v>
      </c>
      <c r="H3899" s="35"/>
      <c r="P3899" s="6"/>
    </row>
    <row r="3900" spans="1:16" ht="14.4" x14ac:dyDescent="0.25">
      <c r="A3900" s="6">
        <v>639</v>
      </c>
      <c r="B3900" s="6">
        <v>4512</v>
      </c>
      <c r="C3900" s="19">
        <v>40840</v>
      </c>
      <c r="D3900" s="6" t="s">
        <v>25</v>
      </c>
      <c r="E3900" s="6">
        <f>IF((ISBLANK($B$1)),"",Sheet1!Q3909)</f>
        <v>5550</v>
      </c>
      <c r="F3900" s="20" t="s">
        <v>29</v>
      </c>
      <c r="G3900" s="53">
        <f t="shared" si="61"/>
        <v>1.2031220549314123</v>
      </c>
      <c r="H3900" s="35"/>
      <c r="P3900" s="6"/>
    </row>
    <row r="3901" spans="1:16" ht="14.4" x14ac:dyDescent="0.25">
      <c r="A3901" s="6">
        <v>685</v>
      </c>
      <c r="B3901" s="6">
        <v>4773</v>
      </c>
      <c r="C3901" s="19">
        <v>40899</v>
      </c>
      <c r="D3901" s="6" t="s">
        <v>30</v>
      </c>
      <c r="E3901" s="6">
        <f>IF((ISBLANK($B$1)),"",Sheet1!Q3910)</f>
        <v>5800</v>
      </c>
      <c r="F3901" s="20" t="s">
        <v>29</v>
      </c>
      <c r="G3901" s="53">
        <f t="shared" si="61"/>
        <v>1.5483606231087981</v>
      </c>
      <c r="H3901" s="35"/>
      <c r="P3901" s="6"/>
    </row>
    <row r="3902" spans="1:16" ht="14.4" x14ac:dyDescent="0.25">
      <c r="A3902" s="6">
        <v>694</v>
      </c>
      <c r="B3902" s="6">
        <v>4839</v>
      </c>
      <c r="C3902" s="19">
        <v>39942</v>
      </c>
      <c r="D3902" s="6" t="s">
        <v>30</v>
      </c>
      <c r="E3902" s="6">
        <f>IF((ISBLANK($B$1)),"",Sheet1!Q3911)</f>
        <v>4600</v>
      </c>
      <c r="F3902" s="20" t="s">
        <v>26</v>
      </c>
      <c r="G3902" s="53">
        <f t="shared" si="61"/>
        <v>-0.108784504142654</v>
      </c>
      <c r="H3902" s="35"/>
      <c r="P3902" s="6"/>
    </row>
    <row r="3903" spans="1:16" ht="14.4" x14ac:dyDescent="0.25">
      <c r="A3903" s="6">
        <v>705</v>
      </c>
      <c r="B3903" s="6">
        <v>4935</v>
      </c>
      <c r="C3903" s="19">
        <v>40322</v>
      </c>
      <c r="D3903" s="6" t="s">
        <v>28</v>
      </c>
      <c r="E3903" s="6">
        <f>IF((ISBLANK($B$1)),"",Sheet1!Q3912)</f>
        <v>4900</v>
      </c>
      <c r="F3903" s="20" t="s">
        <v>26</v>
      </c>
      <c r="G3903" s="53">
        <f t="shared" si="61"/>
        <v>0.30550177767020903</v>
      </c>
      <c r="H3903" s="35"/>
      <c r="P3903" s="6"/>
    </row>
    <row r="3904" spans="1:16" ht="14.4" x14ac:dyDescent="0.25">
      <c r="A3904" s="6">
        <v>891</v>
      </c>
      <c r="B3904" s="6">
        <v>6403</v>
      </c>
      <c r="C3904" s="19">
        <v>40585</v>
      </c>
      <c r="D3904" s="6" t="s">
        <v>25</v>
      </c>
      <c r="E3904" s="6">
        <f>IF((ISBLANK($B$1)),"",Sheet1!Q3913)</f>
        <v>5450</v>
      </c>
      <c r="F3904" s="20" t="s">
        <v>26</v>
      </c>
      <c r="G3904" s="53">
        <f t="shared" si="61"/>
        <v>1.0650266276604579</v>
      </c>
      <c r="H3904" s="35"/>
      <c r="P3904" s="6"/>
    </row>
    <row r="3905" spans="1:16" ht="14.4" x14ac:dyDescent="0.25">
      <c r="A3905" s="6">
        <v>932</v>
      </c>
      <c r="B3905" s="6">
        <v>6754</v>
      </c>
      <c r="C3905" s="19">
        <v>40766</v>
      </c>
      <c r="D3905" s="6" t="s">
        <v>17</v>
      </c>
      <c r="E3905" s="6">
        <f>IF((ISBLANK($B$1)),"",Sheet1!Q3914)</f>
        <v>4050</v>
      </c>
      <c r="F3905" s="20" t="s">
        <v>27</v>
      </c>
      <c r="G3905" s="53">
        <f t="shared" si="61"/>
        <v>-0.86830935413290289</v>
      </c>
      <c r="H3905" s="35"/>
      <c r="P3905" s="6"/>
    </row>
    <row r="3906" spans="1:16" ht="14.4" x14ac:dyDescent="0.25">
      <c r="A3906" s="6">
        <v>1040</v>
      </c>
      <c r="B3906" s="6">
        <v>7619</v>
      </c>
      <c r="C3906" s="19">
        <v>40459</v>
      </c>
      <c r="D3906" s="6" t="s">
        <v>28</v>
      </c>
      <c r="E3906" s="6">
        <f>IF((ISBLANK($B$1)),"",Sheet1!Q3915)</f>
        <v>3800</v>
      </c>
      <c r="F3906" s="20" t="s">
        <v>27</v>
      </c>
      <c r="G3906" s="53">
        <f t="shared" si="61"/>
        <v>-1.2135479223102887</v>
      </c>
      <c r="H3906" s="35"/>
      <c r="P3906" s="6"/>
    </row>
    <row r="3907" spans="1:16" ht="14.4" x14ac:dyDescent="0.25">
      <c r="A3907" s="6">
        <v>1048</v>
      </c>
      <c r="B3907" s="6">
        <v>7744</v>
      </c>
      <c r="C3907" s="19">
        <v>40134</v>
      </c>
      <c r="D3907" s="6" t="s">
        <v>25</v>
      </c>
      <c r="E3907" s="6">
        <f>IF((ISBLANK($B$1)),"",Sheet1!Q3916)</f>
        <v>4700</v>
      </c>
      <c r="F3907" s="20" t="s">
        <v>26</v>
      </c>
      <c r="G3907" s="53">
        <f t="shared" si="61"/>
        <v>2.9310923128300338E-2</v>
      </c>
      <c r="H3907" s="35"/>
      <c r="P3907" s="6"/>
    </row>
    <row r="3908" spans="1:16" ht="14.4" x14ac:dyDescent="0.25">
      <c r="A3908" s="6">
        <v>1049</v>
      </c>
      <c r="B3908" s="6">
        <v>7744</v>
      </c>
      <c r="C3908" s="19">
        <v>40134</v>
      </c>
      <c r="D3908" s="6" t="s">
        <v>25</v>
      </c>
      <c r="E3908" s="6">
        <f>IF((ISBLANK($B$1)),"",Sheet1!Q3917)</f>
        <v>3450</v>
      </c>
      <c r="F3908" s="20" t="s">
        <v>26</v>
      </c>
      <c r="G3908" s="53">
        <f t="shared" si="61"/>
        <v>-1.696881917758629</v>
      </c>
      <c r="H3908" s="35"/>
      <c r="P3908" s="6"/>
    </row>
    <row r="3909" spans="1:16" ht="14.4" x14ac:dyDescent="0.25">
      <c r="A3909" s="6">
        <v>1089</v>
      </c>
      <c r="B3909" s="6">
        <v>8006</v>
      </c>
      <c r="C3909" s="19">
        <v>40697</v>
      </c>
      <c r="D3909" s="6" t="s">
        <v>16</v>
      </c>
      <c r="E3909" s="6">
        <f>IF((ISBLANK($B$1)),"",Sheet1!Q3918)</f>
        <v>4750</v>
      </c>
      <c r="F3909" s="20" t="s">
        <v>26</v>
      </c>
      <c r="G3909" s="53">
        <f t="shared" si="61"/>
        <v>9.8358636763777513E-2</v>
      </c>
      <c r="H3909" s="35"/>
      <c r="P3909" s="6"/>
    </row>
    <row r="3910" spans="1:16" ht="14.4" x14ac:dyDescent="0.25">
      <c r="A3910" s="6">
        <v>1121</v>
      </c>
      <c r="B3910" s="6">
        <v>8224</v>
      </c>
      <c r="C3910" s="19">
        <v>40946</v>
      </c>
      <c r="D3910" s="6" t="s">
        <v>28</v>
      </c>
      <c r="E3910" s="6">
        <f>IF((ISBLANK($B$1)),"",Sheet1!Q3919)</f>
        <v>5450</v>
      </c>
      <c r="F3910" s="20" t="s">
        <v>26</v>
      </c>
      <c r="G3910" s="53">
        <f t="shared" si="61"/>
        <v>1.0650266276604579</v>
      </c>
      <c r="H3910" s="35"/>
      <c r="P3910" s="6"/>
    </row>
    <row r="3911" spans="1:16" ht="14.4" x14ac:dyDescent="0.25">
      <c r="A3911" s="6">
        <v>1143</v>
      </c>
      <c r="B3911" s="6">
        <v>8323</v>
      </c>
      <c r="C3911" s="19">
        <v>40792</v>
      </c>
      <c r="D3911" s="6" t="s">
        <v>17</v>
      </c>
      <c r="E3911" s="6">
        <f>IF((ISBLANK($B$1)),"",Sheet1!Q3920)</f>
        <v>5650</v>
      </c>
      <c r="F3911" s="20" t="s">
        <v>27</v>
      </c>
      <c r="G3911" s="53">
        <f t="shared" si="61"/>
        <v>1.3412174822023666</v>
      </c>
      <c r="H3911" s="35"/>
      <c r="P3911" s="6"/>
    </row>
    <row r="3912" spans="1:16" ht="14.4" x14ac:dyDescent="0.25">
      <c r="A3912" s="6">
        <v>1163</v>
      </c>
      <c r="B3912" s="6">
        <v>8480</v>
      </c>
      <c r="C3912" s="19">
        <v>40572</v>
      </c>
      <c r="D3912" s="6" t="s">
        <v>17</v>
      </c>
      <c r="E3912" s="6">
        <f>IF((ISBLANK($B$1)),"",Sheet1!Q3921)</f>
        <v>3950</v>
      </c>
      <c r="F3912" s="20" t="s">
        <v>26</v>
      </c>
      <c r="G3912" s="53">
        <f t="shared" ref="G3912:G3975" si="62">STANDARDIZE(E3912,$L$26,$L$35)</f>
        <v>-1.0064047814038573</v>
      </c>
      <c r="H3912" s="35"/>
      <c r="P3912" s="6"/>
    </row>
    <row r="3913" spans="1:16" ht="14.4" x14ac:dyDescent="0.25">
      <c r="A3913" s="6">
        <v>1164</v>
      </c>
      <c r="B3913" s="6">
        <v>8480</v>
      </c>
      <c r="C3913" s="19">
        <v>40572</v>
      </c>
      <c r="D3913" s="6" t="s">
        <v>17</v>
      </c>
      <c r="E3913" s="6">
        <f>IF((ISBLANK($B$1)),"",Sheet1!Q3922)</f>
        <v>3550</v>
      </c>
      <c r="F3913" s="20" t="s">
        <v>27</v>
      </c>
      <c r="G3913" s="53">
        <f t="shared" si="62"/>
        <v>-1.5587864904876745</v>
      </c>
      <c r="H3913" s="35"/>
      <c r="P3913" s="6"/>
    </row>
    <row r="3914" spans="1:16" ht="14.4" x14ac:dyDescent="0.25">
      <c r="A3914" s="6">
        <v>1304</v>
      </c>
      <c r="B3914" s="6">
        <v>9568</v>
      </c>
      <c r="C3914" s="19">
        <v>40244</v>
      </c>
      <c r="D3914" s="6" t="s">
        <v>28</v>
      </c>
      <c r="E3914" s="6">
        <f>IF((ISBLANK($B$1)),"",Sheet1!Q3923)</f>
        <v>5700</v>
      </c>
      <c r="F3914" s="20" t="s">
        <v>26</v>
      </c>
      <c r="G3914" s="53">
        <f t="shared" si="62"/>
        <v>1.4102651958378438</v>
      </c>
      <c r="H3914" s="35"/>
      <c r="P3914" s="6"/>
    </row>
    <row r="3915" spans="1:16" ht="14.4" x14ac:dyDescent="0.25">
      <c r="A3915" s="6">
        <v>1331</v>
      </c>
      <c r="B3915" s="6">
        <v>9701</v>
      </c>
      <c r="C3915" s="19">
        <v>40236</v>
      </c>
      <c r="D3915" s="6" t="s">
        <v>25</v>
      </c>
      <c r="E3915" s="6">
        <f>IF((ISBLANK($B$1)),"",Sheet1!Q3924)</f>
        <v>3800</v>
      </c>
      <c r="F3915" s="20" t="s">
        <v>26</v>
      </c>
      <c r="G3915" s="53">
        <f t="shared" si="62"/>
        <v>-1.2135479223102887</v>
      </c>
      <c r="H3915" s="35"/>
      <c r="P3915" s="6"/>
    </row>
    <row r="3916" spans="1:16" ht="14.4" x14ac:dyDescent="0.25">
      <c r="A3916" s="6">
        <v>1332</v>
      </c>
      <c r="B3916" s="6">
        <v>9701</v>
      </c>
      <c r="C3916" s="19">
        <v>40236</v>
      </c>
      <c r="D3916" s="6" t="s">
        <v>25</v>
      </c>
      <c r="E3916" s="6">
        <f>IF((ISBLANK($B$1)),"",Sheet1!Q3925)</f>
        <v>3850</v>
      </c>
      <c r="F3916" s="20" t="s">
        <v>27</v>
      </c>
      <c r="G3916" s="53">
        <f t="shared" si="62"/>
        <v>-1.1445002086748115</v>
      </c>
      <c r="H3916" s="35"/>
      <c r="P3916" s="6"/>
    </row>
    <row r="3917" spans="1:16" ht="14.4" x14ac:dyDescent="0.25">
      <c r="A3917" s="6">
        <v>1369</v>
      </c>
      <c r="B3917" s="6">
        <v>9926</v>
      </c>
      <c r="C3917" s="19">
        <v>40097</v>
      </c>
      <c r="D3917" s="6" t="s">
        <v>17</v>
      </c>
      <c r="E3917" s="6">
        <f>IF((ISBLANK($B$1)),"",Sheet1!Q3926)</f>
        <v>4650</v>
      </c>
      <c r="F3917" s="20" t="s">
        <v>29</v>
      </c>
      <c r="G3917" s="53">
        <f t="shared" si="62"/>
        <v>-3.9736790507176829E-2</v>
      </c>
      <c r="H3917" s="35"/>
      <c r="P3917" s="6"/>
    </row>
    <row r="3918" spans="1:16" ht="14.4" x14ac:dyDescent="0.25">
      <c r="A3918" s="6">
        <v>1439</v>
      </c>
      <c r="B3918" s="6">
        <v>10373</v>
      </c>
      <c r="C3918" s="19">
        <v>40354</v>
      </c>
      <c r="D3918" s="6" t="s">
        <v>30</v>
      </c>
      <c r="E3918" s="6">
        <f>IF((ISBLANK($B$1)),"",Sheet1!Q3927)</f>
        <v>4800</v>
      </c>
      <c r="F3918" s="20" t="s">
        <v>26</v>
      </c>
      <c r="G3918" s="53">
        <f t="shared" si="62"/>
        <v>0.16740635039925467</v>
      </c>
      <c r="H3918" s="35"/>
      <c r="P3918" s="6"/>
    </row>
    <row r="3919" spans="1:16" ht="14.4" x14ac:dyDescent="0.25">
      <c r="A3919" s="6">
        <v>1452</v>
      </c>
      <c r="B3919" s="6">
        <v>10470</v>
      </c>
      <c r="C3919" s="19">
        <v>41033</v>
      </c>
      <c r="D3919" s="6" t="s">
        <v>25</v>
      </c>
      <c r="E3919" s="6">
        <f>IF((ISBLANK($B$1)),"",Sheet1!Q3928)</f>
        <v>5400</v>
      </c>
      <c r="F3919" s="20" t="s">
        <v>26</v>
      </c>
      <c r="G3919" s="53">
        <f t="shared" si="62"/>
        <v>0.99597891402498073</v>
      </c>
      <c r="H3919" s="35"/>
      <c r="P3919" s="6"/>
    </row>
    <row r="3920" spans="1:16" ht="14.4" x14ac:dyDescent="0.25">
      <c r="A3920" s="6">
        <v>1453</v>
      </c>
      <c r="B3920" s="6">
        <v>10470</v>
      </c>
      <c r="C3920" s="19">
        <v>41033</v>
      </c>
      <c r="D3920" s="6" t="s">
        <v>25</v>
      </c>
      <c r="E3920" s="6">
        <f>IF((ISBLANK($B$1)),"",Sheet1!Q3929)</f>
        <v>3800</v>
      </c>
      <c r="F3920" s="20" t="s">
        <v>26</v>
      </c>
      <c r="G3920" s="53">
        <f t="shared" si="62"/>
        <v>-1.2135479223102887</v>
      </c>
      <c r="H3920" s="35"/>
      <c r="P3920" s="6"/>
    </row>
    <row r="3921" spans="1:16" ht="14.4" x14ac:dyDescent="0.25">
      <c r="A3921" s="6">
        <v>1454</v>
      </c>
      <c r="B3921" s="6">
        <v>10470</v>
      </c>
      <c r="C3921" s="19">
        <v>41033</v>
      </c>
      <c r="D3921" s="6" t="s">
        <v>25</v>
      </c>
      <c r="E3921" s="6">
        <f>IF((ISBLANK($B$1)),"",Sheet1!Q3930)</f>
        <v>4400</v>
      </c>
      <c r="F3921" s="20" t="s">
        <v>27</v>
      </c>
      <c r="G3921" s="53">
        <f t="shared" si="62"/>
        <v>-0.38497535868456267</v>
      </c>
      <c r="H3921" s="35"/>
      <c r="P3921" s="6"/>
    </row>
    <row r="3922" spans="1:16" ht="14.4" x14ac:dyDescent="0.25">
      <c r="A3922" s="6">
        <v>1542</v>
      </c>
      <c r="B3922" s="6">
        <v>11111</v>
      </c>
      <c r="C3922" s="19">
        <v>40560</v>
      </c>
      <c r="D3922" s="6" t="s">
        <v>16</v>
      </c>
      <c r="E3922" s="6">
        <f>IF((ISBLANK($B$1)),"",Sheet1!Q3931)</f>
        <v>3750</v>
      </c>
      <c r="F3922" s="20" t="s">
        <v>29</v>
      </c>
      <c r="G3922" s="53">
        <f t="shared" si="62"/>
        <v>-1.282595635945766</v>
      </c>
      <c r="H3922" s="35"/>
      <c r="P3922" s="6"/>
    </row>
    <row r="3923" spans="1:16" ht="14.4" x14ac:dyDescent="0.25">
      <c r="A3923" s="6">
        <v>1543</v>
      </c>
      <c r="B3923" s="6">
        <v>11111</v>
      </c>
      <c r="C3923" s="19">
        <v>40560</v>
      </c>
      <c r="D3923" s="6" t="s">
        <v>16</v>
      </c>
      <c r="E3923" s="6">
        <f>IF((ISBLANK($B$1)),"",Sheet1!Q3932)</f>
        <v>4850</v>
      </c>
      <c r="F3923" s="20" t="s">
        <v>26</v>
      </c>
      <c r="G3923" s="53">
        <f t="shared" si="62"/>
        <v>0.23645406403473185</v>
      </c>
      <c r="H3923" s="35"/>
      <c r="P3923" s="6"/>
    </row>
    <row r="3924" spans="1:16" ht="14.4" x14ac:dyDescent="0.25">
      <c r="A3924" s="6">
        <v>1549</v>
      </c>
      <c r="B3924" s="6">
        <v>11173</v>
      </c>
      <c r="C3924" s="19">
        <v>40998</v>
      </c>
      <c r="D3924" s="6" t="s">
        <v>30</v>
      </c>
      <c r="E3924" s="6">
        <f>IF((ISBLANK($B$1)),"",Sheet1!Q3933)</f>
        <v>5250</v>
      </c>
      <c r="F3924" s="20" t="s">
        <v>27</v>
      </c>
      <c r="G3924" s="53">
        <f t="shared" si="62"/>
        <v>0.78883577311854924</v>
      </c>
      <c r="H3924" s="35"/>
      <c r="P3924" s="6"/>
    </row>
    <row r="3925" spans="1:16" ht="14.4" x14ac:dyDescent="0.25">
      <c r="A3925" s="6">
        <v>1559</v>
      </c>
      <c r="B3925" s="6">
        <v>11239</v>
      </c>
      <c r="C3925" s="19">
        <v>40948</v>
      </c>
      <c r="D3925" s="6" t="s">
        <v>30</v>
      </c>
      <c r="E3925" s="6">
        <f>IF((ISBLANK($B$1)),"",Sheet1!Q3934)</f>
        <v>5050</v>
      </c>
      <c r="F3925" s="20" t="s">
        <v>29</v>
      </c>
      <c r="G3925" s="53">
        <f t="shared" si="62"/>
        <v>0.51264491857664052</v>
      </c>
      <c r="H3925" s="35"/>
      <c r="P3925" s="6"/>
    </row>
    <row r="3926" spans="1:16" ht="14.4" x14ac:dyDescent="0.25">
      <c r="A3926" s="6">
        <v>1576</v>
      </c>
      <c r="B3926" s="6">
        <v>11396</v>
      </c>
      <c r="C3926" s="19">
        <v>41111</v>
      </c>
      <c r="D3926" s="6" t="s">
        <v>30</v>
      </c>
      <c r="E3926" s="6">
        <f>IF((ISBLANK($B$1)),"",Sheet1!Q3935)</f>
        <v>5500</v>
      </c>
      <c r="F3926" s="20" t="s">
        <v>26</v>
      </c>
      <c r="G3926" s="53">
        <f t="shared" si="62"/>
        <v>1.1340743412959351</v>
      </c>
      <c r="H3926" s="35"/>
      <c r="P3926" s="6"/>
    </row>
    <row r="3927" spans="1:16" ht="14.4" x14ac:dyDescent="0.25">
      <c r="A3927" s="6">
        <v>1633</v>
      </c>
      <c r="B3927" s="6">
        <v>11808</v>
      </c>
      <c r="C3927" s="19">
        <v>41121</v>
      </c>
      <c r="D3927" s="6" t="s">
        <v>28</v>
      </c>
      <c r="E3927" s="6">
        <f>IF((ISBLANK($B$1)),"",Sheet1!Q3936)</f>
        <v>3450</v>
      </c>
      <c r="F3927" s="20" t="s">
        <v>29</v>
      </c>
      <c r="G3927" s="53">
        <f t="shared" si="62"/>
        <v>-1.696881917758629</v>
      </c>
      <c r="H3927" s="35"/>
      <c r="P3927" s="6"/>
    </row>
    <row r="3928" spans="1:16" ht="14.4" x14ac:dyDescent="0.25">
      <c r="A3928" s="6">
        <v>1642</v>
      </c>
      <c r="B3928" s="6">
        <v>11874</v>
      </c>
      <c r="C3928" s="19">
        <v>41161</v>
      </c>
      <c r="D3928" s="6" t="s">
        <v>16</v>
      </c>
      <c r="E3928" s="6">
        <f>IF((ISBLANK($B$1)),"",Sheet1!Q3937)</f>
        <v>3450</v>
      </c>
      <c r="F3928" s="20" t="s">
        <v>27</v>
      </c>
      <c r="G3928" s="53">
        <f t="shared" si="62"/>
        <v>-1.696881917758629</v>
      </c>
      <c r="H3928" s="35"/>
      <c r="P3928" s="6"/>
    </row>
    <row r="3929" spans="1:16" ht="14.4" x14ac:dyDescent="0.25">
      <c r="A3929" s="6">
        <v>1643</v>
      </c>
      <c r="B3929" s="6">
        <v>11874</v>
      </c>
      <c r="C3929" s="19">
        <v>41161</v>
      </c>
      <c r="D3929" s="6" t="s">
        <v>16</v>
      </c>
      <c r="E3929" s="6">
        <f>IF((ISBLANK($B$1)),"",Sheet1!Q3938)</f>
        <v>4400</v>
      </c>
      <c r="F3929" s="20" t="s">
        <v>26</v>
      </c>
      <c r="G3929" s="53">
        <f t="shared" si="62"/>
        <v>-0.38497535868456267</v>
      </c>
      <c r="H3929" s="35"/>
      <c r="P3929" s="6"/>
    </row>
    <row r="3930" spans="1:16" ht="14.4" x14ac:dyDescent="0.25">
      <c r="A3930" s="6">
        <v>1714</v>
      </c>
      <c r="B3930" s="6">
        <v>12322</v>
      </c>
      <c r="C3930" s="19">
        <v>40674</v>
      </c>
      <c r="D3930" s="6" t="s">
        <v>30</v>
      </c>
      <c r="E3930" s="6">
        <f>IF((ISBLANK($B$1)),"",Sheet1!Q3939)</f>
        <v>5200</v>
      </c>
      <c r="F3930" s="20" t="s">
        <v>29</v>
      </c>
      <c r="G3930" s="53">
        <f t="shared" si="62"/>
        <v>0.71978805948307201</v>
      </c>
      <c r="H3930" s="35"/>
      <c r="P3930" s="6"/>
    </row>
    <row r="3931" spans="1:16" ht="14.4" x14ac:dyDescent="0.25">
      <c r="A3931" s="6">
        <v>1739</v>
      </c>
      <c r="B3931" s="6">
        <v>12480</v>
      </c>
      <c r="C3931" s="19">
        <v>40001</v>
      </c>
      <c r="D3931" s="6" t="s">
        <v>16</v>
      </c>
      <c r="E3931" s="6">
        <f>IF((ISBLANK($B$1)),"",Sheet1!Q3940)</f>
        <v>3800</v>
      </c>
      <c r="F3931" s="20" t="s">
        <v>29</v>
      </c>
      <c r="G3931" s="53">
        <f t="shared" si="62"/>
        <v>-1.2135479223102887</v>
      </c>
      <c r="H3931" s="35"/>
      <c r="P3931" s="6"/>
    </row>
    <row r="3932" spans="1:16" ht="14.4" x14ac:dyDescent="0.25">
      <c r="A3932" s="6">
        <v>1749</v>
      </c>
      <c r="B3932" s="6">
        <v>12516</v>
      </c>
      <c r="C3932" s="19">
        <v>39957</v>
      </c>
      <c r="D3932" s="6" t="s">
        <v>25</v>
      </c>
      <c r="E3932" s="6">
        <f>IF((ISBLANK($B$1)),"",Sheet1!Q3941)</f>
        <v>4950</v>
      </c>
      <c r="F3932" s="20" t="s">
        <v>27</v>
      </c>
      <c r="G3932" s="53">
        <f t="shared" si="62"/>
        <v>0.37454949130568621</v>
      </c>
      <c r="H3932" s="35"/>
      <c r="P3932" s="6"/>
    </row>
    <row r="3933" spans="1:16" ht="14.4" x14ac:dyDescent="0.25">
      <c r="A3933" s="6">
        <v>1750</v>
      </c>
      <c r="B3933" s="6">
        <v>12516</v>
      </c>
      <c r="C3933" s="19">
        <v>39957</v>
      </c>
      <c r="D3933" s="6" t="s">
        <v>25</v>
      </c>
      <c r="E3933" s="6">
        <f>IF((ISBLANK($B$1)),"",Sheet1!Q3942)</f>
        <v>4500</v>
      </c>
      <c r="F3933" s="20" t="s">
        <v>26</v>
      </c>
      <c r="G3933" s="53">
        <f t="shared" si="62"/>
        <v>-0.24687993141360834</v>
      </c>
      <c r="H3933" s="35"/>
      <c r="P3933" s="6"/>
    </row>
    <row r="3934" spans="1:16" ht="14.4" x14ac:dyDescent="0.25">
      <c r="A3934" s="6">
        <v>1820</v>
      </c>
      <c r="B3934" s="6">
        <v>13088</v>
      </c>
      <c r="C3934" s="19">
        <v>40290</v>
      </c>
      <c r="D3934" s="6" t="s">
        <v>28</v>
      </c>
      <c r="E3934" s="6">
        <f>IF((ISBLANK($B$1)),"",Sheet1!Q3943)</f>
        <v>5700</v>
      </c>
      <c r="F3934" s="20" t="s">
        <v>26</v>
      </c>
      <c r="G3934" s="53">
        <f t="shared" si="62"/>
        <v>1.4102651958378438</v>
      </c>
      <c r="H3934" s="35"/>
      <c r="P3934" s="6"/>
    </row>
    <row r="3935" spans="1:16" ht="14.4" x14ac:dyDescent="0.25">
      <c r="A3935" s="6">
        <v>1828</v>
      </c>
      <c r="B3935" s="6">
        <v>13121</v>
      </c>
      <c r="C3935" s="19">
        <v>40244</v>
      </c>
      <c r="D3935" s="6" t="s">
        <v>17</v>
      </c>
      <c r="E3935" s="6">
        <f>IF((ISBLANK($B$1)),"",Sheet1!Q3944)</f>
        <v>5200</v>
      </c>
      <c r="F3935" s="20" t="s">
        <v>27</v>
      </c>
      <c r="G3935" s="53">
        <f t="shared" si="62"/>
        <v>0.71978805948307201</v>
      </c>
      <c r="H3935" s="35"/>
      <c r="P3935" s="6"/>
    </row>
    <row r="3936" spans="1:16" ht="14.4" x14ac:dyDescent="0.25">
      <c r="A3936" s="6">
        <v>1829</v>
      </c>
      <c r="B3936" s="6">
        <v>13121</v>
      </c>
      <c r="C3936" s="19">
        <v>40244</v>
      </c>
      <c r="D3936" s="6" t="s">
        <v>17</v>
      </c>
      <c r="E3936" s="6">
        <f>IF((ISBLANK($B$1)),"",Sheet1!Q3945)</f>
        <v>4800</v>
      </c>
      <c r="F3936" s="20" t="s">
        <v>27</v>
      </c>
      <c r="G3936" s="53">
        <f t="shared" si="62"/>
        <v>0.16740635039925467</v>
      </c>
      <c r="H3936" s="35"/>
      <c r="P3936" s="6"/>
    </row>
    <row r="3937" spans="1:16" ht="14.4" x14ac:dyDescent="0.25">
      <c r="A3937" s="6">
        <v>1857</v>
      </c>
      <c r="B3937" s="6">
        <v>13348</v>
      </c>
      <c r="C3937" s="19">
        <v>40489</v>
      </c>
      <c r="D3937" s="6" t="s">
        <v>16</v>
      </c>
      <c r="E3937" s="6">
        <f>IF((ISBLANK($B$1)),"",Sheet1!Q3946)</f>
        <v>5150</v>
      </c>
      <c r="F3937" s="20" t="s">
        <v>26</v>
      </c>
      <c r="G3937" s="53">
        <f t="shared" si="62"/>
        <v>0.65074034584759488</v>
      </c>
      <c r="H3937" s="35"/>
      <c r="P3937" s="6"/>
    </row>
    <row r="3938" spans="1:16" ht="14.4" x14ac:dyDescent="0.25">
      <c r="A3938" s="6">
        <v>1866</v>
      </c>
      <c r="B3938" s="6">
        <v>13413</v>
      </c>
      <c r="C3938" s="19">
        <v>40207</v>
      </c>
      <c r="D3938" s="6" t="s">
        <v>30</v>
      </c>
      <c r="E3938" s="6">
        <f>IF((ISBLANK($B$1)),"",Sheet1!Q3947)</f>
        <v>4850</v>
      </c>
      <c r="F3938" s="20" t="s">
        <v>26</v>
      </c>
      <c r="G3938" s="53">
        <f t="shared" si="62"/>
        <v>0.23645406403473185</v>
      </c>
      <c r="H3938" s="35"/>
      <c r="P3938" s="6"/>
    </row>
    <row r="3939" spans="1:16" ht="14.4" x14ac:dyDescent="0.25">
      <c r="A3939" s="6">
        <v>1869</v>
      </c>
      <c r="B3939" s="6">
        <v>13447</v>
      </c>
      <c r="C3939" s="19">
        <v>40186</v>
      </c>
      <c r="D3939" s="6" t="s">
        <v>17</v>
      </c>
      <c r="E3939" s="6">
        <f>IF((ISBLANK($B$1)),"",Sheet1!Q3948)</f>
        <v>4600</v>
      </c>
      <c r="F3939" s="20" t="s">
        <v>27</v>
      </c>
      <c r="G3939" s="53">
        <f t="shared" si="62"/>
        <v>-0.108784504142654</v>
      </c>
      <c r="H3939" s="35"/>
      <c r="P3939" s="6"/>
    </row>
    <row r="3940" spans="1:16" ht="14.4" x14ac:dyDescent="0.25">
      <c r="A3940" s="6">
        <v>1910</v>
      </c>
      <c r="B3940" s="6">
        <v>13638</v>
      </c>
      <c r="C3940" s="19">
        <v>40816</v>
      </c>
      <c r="D3940" s="6" t="s">
        <v>17</v>
      </c>
      <c r="E3940" s="6">
        <f>IF((ISBLANK($B$1)),"",Sheet1!Q3949)</f>
        <v>5850</v>
      </c>
      <c r="F3940" s="20" t="s">
        <v>27</v>
      </c>
      <c r="G3940" s="53">
        <f t="shared" si="62"/>
        <v>1.6174083367442753</v>
      </c>
      <c r="H3940" s="35"/>
      <c r="P3940" s="6"/>
    </row>
    <row r="3941" spans="1:16" ht="14.4" x14ac:dyDescent="0.25">
      <c r="A3941" s="6">
        <v>1918</v>
      </c>
      <c r="B3941" s="6">
        <v>13761</v>
      </c>
      <c r="C3941" s="19">
        <v>40103</v>
      </c>
      <c r="D3941" s="6" t="s">
        <v>25</v>
      </c>
      <c r="E3941" s="6">
        <f>IF((ISBLANK($B$1)),"",Sheet1!Q3950)</f>
        <v>5000</v>
      </c>
      <c r="F3941" s="20" t="s">
        <v>26</v>
      </c>
      <c r="G3941" s="53">
        <f t="shared" si="62"/>
        <v>0.44359720494116334</v>
      </c>
      <c r="H3941" s="35"/>
      <c r="P3941" s="6"/>
    </row>
    <row r="3942" spans="1:16" ht="14.4" x14ac:dyDescent="0.25">
      <c r="A3942" s="6">
        <v>1999</v>
      </c>
      <c r="B3942" s="6">
        <v>14247</v>
      </c>
      <c r="C3942" s="19">
        <v>40771</v>
      </c>
      <c r="D3942" s="6" t="s">
        <v>30</v>
      </c>
      <c r="E3942" s="6">
        <f>IF((ISBLANK($B$1)),"",Sheet1!Q3951)</f>
        <v>3600</v>
      </c>
      <c r="F3942" s="20" t="s">
        <v>26</v>
      </c>
      <c r="G3942" s="53">
        <f t="shared" si="62"/>
        <v>-1.4897387768521975</v>
      </c>
      <c r="H3942" s="35"/>
      <c r="P3942" s="6"/>
    </row>
    <row r="3943" spans="1:16" ht="14.4" x14ac:dyDescent="0.25">
      <c r="A3943" s="6">
        <v>2061</v>
      </c>
      <c r="B3943" s="6">
        <v>14755</v>
      </c>
      <c r="C3943" s="19">
        <v>40183</v>
      </c>
      <c r="D3943" s="6" t="s">
        <v>17</v>
      </c>
      <c r="E3943" s="6">
        <f>IF((ISBLANK($B$1)),"",Sheet1!Q3952)</f>
        <v>4950</v>
      </c>
      <c r="F3943" s="20" t="s">
        <v>26</v>
      </c>
      <c r="G3943" s="53">
        <f t="shared" si="62"/>
        <v>0.37454949130568621</v>
      </c>
      <c r="H3943" s="35"/>
      <c r="P3943" s="6"/>
    </row>
    <row r="3944" spans="1:16" ht="14.4" x14ac:dyDescent="0.25">
      <c r="A3944" s="6">
        <v>2062</v>
      </c>
      <c r="B3944" s="6">
        <v>14755</v>
      </c>
      <c r="C3944" s="19">
        <v>40183</v>
      </c>
      <c r="D3944" s="6" t="s">
        <v>17</v>
      </c>
      <c r="E3944" s="6">
        <f>IF((ISBLANK($B$1)),"",Sheet1!Q3953)</f>
        <v>5600</v>
      </c>
      <c r="F3944" s="20" t="s">
        <v>27</v>
      </c>
      <c r="G3944" s="53">
        <f t="shared" si="62"/>
        <v>1.2721697685668893</v>
      </c>
      <c r="H3944" s="35"/>
      <c r="P3944" s="6"/>
    </row>
    <row r="3945" spans="1:16" ht="14.4" x14ac:dyDescent="0.25">
      <c r="A3945" s="6">
        <v>2078</v>
      </c>
      <c r="B3945" s="6">
        <v>14854</v>
      </c>
      <c r="C3945" s="19">
        <v>40296</v>
      </c>
      <c r="D3945" s="6" t="s">
        <v>25</v>
      </c>
      <c r="E3945" s="6">
        <f>IF((ISBLANK($B$1)),"",Sheet1!Q3954)</f>
        <v>4600</v>
      </c>
      <c r="F3945" s="20" t="s">
        <v>26</v>
      </c>
      <c r="G3945" s="53">
        <f t="shared" si="62"/>
        <v>-0.108784504142654</v>
      </c>
      <c r="H3945" s="35"/>
      <c r="P3945" s="6"/>
    </row>
    <row r="3946" spans="1:16" ht="14.4" x14ac:dyDescent="0.25">
      <c r="A3946" s="6">
        <v>2109</v>
      </c>
      <c r="B3946" s="6">
        <v>15078</v>
      </c>
      <c r="C3946" s="19">
        <v>40491</v>
      </c>
      <c r="D3946" s="6" t="s">
        <v>17</v>
      </c>
      <c r="E3946" s="6">
        <f>IF((ISBLANK($B$1)),"",Sheet1!Q3955)</f>
        <v>5050</v>
      </c>
      <c r="F3946" s="20" t="s">
        <v>26</v>
      </c>
      <c r="G3946" s="53">
        <f t="shared" si="62"/>
        <v>0.51264491857664052</v>
      </c>
      <c r="H3946" s="35"/>
      <c r="P3946" s="6"/>
    </row>
    <row r="3947" spans="1:16" ht="14.4" x14ac:dyDescent="0.25">
      <c r="A3947" s="6">
        <v>2183</v>
      </c>
      <c r="B3947" s="6">
        <v>15718</v>
      </c>
      <c r="C3947" s="19">
        <v>39840</v>
      </c>
      <c r="D3947" s="6" t="s">
        <v>30</v>
      </c>
      <c r="E3947" s="6">
        <f>IF((ISBLANK($B$1)),"",Sheet1!Q3956)</f>
        <v>5450</v>
      </c>
      <c r="F3947" s="20" t="s">
        <v>26</v>
      </c>
      <c r="G3947" s="53">
        <f t="shared" si="62"/>
        <v>1.0650266276604579</v>
      </c>
      <c r="H3947" s="35"/>
      <c r="P3947" s="6"/>
    </row>
    <row r="3948" spans="1:16" ht="14.4" x14ac:dyDescent="0.25">
      <c r="A3948" s="6">
        <v>2184</v>
      </c>
      <c r="B3948" s="6">
        <v>15718</v>
      </c>
      <c r="C3948" s="19">
        <v>39840</v>
      </c>
      <c r="D3948" s="6" t="s">
        <v>30</v>
      </c>
      <c r="E3948" s="6">
        <f>IF((ISBLANK($B$1)),"",Sheet1!Q3957)</f>
        <v>5900</v>
      </c>
      <c r="F3948" s="20" t="s">
        <v>26</v>
      </c>
      <c r="G3948" s="53">
        <f t="shared" si="62"/>
        <v>1.6864560503797523</v>
      </c>
      <c r="H3948" s="35"/>
      <c r="P3948" s="6"/>
    </row>
    <row r="3949" spans="1:16" ht="14.4" x14ac:dyDescent="0.25">
      <c r="A3949" s="6">
        <v>2186</v>
      </c>
      <c r="B3949" s="6">
        <v>15744</v>
      </c>
      <c r="C3949" s="19">
        <v>40258</v>
      </c>
      <c r="D3949" s="6" t="s">
        <v>30</v>
      </c>
      <c r="E3949" s="6">
        <f>IF((ISBLANK($B$1)),"",Sheet1!Q3958)</f>
        <v>4200</v>
      </c>
      <c r="F3949" s="20" t="s">
        <v>26</v>
      </c>
      <c r="G3949" s="53">
        <f t="shared" si="62"/>
        <v>-0.6611662132264714</v>
      </c>
      <c r="H3949" s="35"/>
      <c r="P3949" s="6"/>
    </row>
    <row r="3950" spans="1:16" ht="14.4" x14ac:dyDescent="0.25">
      <c r="A3950" s="6">
        <v>2285</v>
      </c>
      <c r="B3950" s="6">
        <v>16454</v>
      </c>
      <c r="C3950" s="19">
        <v>41040</v>
      </c>
      <c r="D3950" s="6" t="s">
        <v>16</v>
      </c>
      <c r="E3950" s="6">
        <f>IF((ISBLANK($B$1)),"",Sheet1!Q3959)</f>
        <v>4000</v>
      </c>
      <c r="F3950" s="20" t="s">
        <v>26</v>
      </c>
      <c r="G3950" s="53">
        <f t="shared" si="62"/>
        <v>-0.93735706776838001</v>
      </c>
      <c r="H3950" s="35"/>
      <c r="P3950" s="6"/>
    </row>
    <row r="3951" spans="1:16" ht="14.4" x14ac:dyDescent="0.25">
      <c r="A3951" s="6">
        <v>2314</v>
      </c>
      <c r="B3951" s="6">
        <v>16676</v>
      </c>
      <c r="C3951" s="19">
        <v>39891</v>
      </c>
      <c r="D3951" s="6" t="s">
        <v>17</v>
      </c>
      <c r="E3951" s="6">
        <f>IF((ISBLANK($B$1)),"",Sheet1!Q3960)</f>
        <v>5350</v>
      </c>
      <c r="F3951" s="20" t="s">
        <v>27</v>
      </c>
      <c r="G3951" s="53">
        <f t="shared" si="62"/>
        <v>0.92693120038950361</v>
      </c>
      <c r="H3951" s="35"/>
      <c r="P3951" s="6"/>
    </row>
    <row r="3952" spans="1:16" ht="14.4" x14ac:dyDescent="0.25">
      <c r="A3952" s="6">
        <v>2344</v>
      </c>
      <c r="B3952" s="6">
        <v>16897</v>
      </c>
      <c r="C3952" s="19">
        <v>41075</v>
      </c>
      <c r="D3952" s="6" t="s">
        <v>28</v>
      </c>
      <c r="E3952" s="6">
        <f>IF((ISBLANK($B$1)),"",Sheet1!Q3961)</f>
        <v>3450</v>
      </c>
      <c r="F3952" s="20" t="s">
        <v>29</v>
      </c>
      <c r="G3952" s="53">
        <f t="shared" si="62"/>
        <v>-1.696881917758629</v>
      </c>
      <c r="H3952" s="35"/>
      <c r="P3952" s="6"/>
    </row>
    <row r="3953" spans="1:16" ht="14.4" x14ac:dyDescent="0.25">
      <c r="A3953" s="6">
        <v>2345</v>
      </c>
      <c r="B3953" s="6">
        <v>16897</v>
      </c>
      <c r="C3953" s="19">
        <v>41075</v>
      </c>
      <c r="D3953" s="6" t="s">
        <v>28</v>
      </c>
      <c r="E3953" s="6">
        <f>IF((ISBLANK($B$1)),"",Sheet1!Q3962)</f>
        <v>5800</v>
      </c>
      <c r="F3953" s="20" t="s">
        <v>26</v>
      </c>
      <c r="G3953" s="53">
        <f t="shared" si="62"/>
        <v>1.5483606231087981</v>
      </c>
      <c r="H3953" s="35"/>
      <c r="P3953" s="6"/>
    </row>
    <row r="3954" spans="1:16" ht="14.4" x14ac:dyDescent="0.25">
      <c r="A3954" s="6">
        <v>2357</v>
      </c>
      <c r="B3954" s="6">
        <v>16999</v>
      </c>
      <c r="C3954" s="19">
        <v>39832</v>
      </c>
      <c r="D3954" s="6" t="s">
        <v>30</v>
      </c>
      <c r="E3954" s="6">
        <f>IF((ISBLANK($B$1)),"",Sheet1!Q3963)</f>
        <v>4300</v>
      </c>
      <c r="F3954" s="20" t="s">
        <v>26</v>
      </c>
      <c r="G3954" s="53">
        <f t="shared" si="62"/>
        <v>-0.52307078595551704</v>
      </c>
      <c r="H3954" s="35"/>
      <c r="P3954" s="6"/>
    </row>
    <row r="3955" spans="1:16" ht="14.4" x14ac:dyDescent="0.25">
      <c r="A3955" s="6">
        <v>2364</v>
      </c>
      <c r="B3955" s="6">
        <v>17091</v>
      </c>
      <c r="C3955" s="19">
        <v>41111</v>
      </c>
      <c r="D3955" s="6" t="s">
        <v>16</v>
      </c>
      <c r="E3955" s="6">
        <f>IF((ISBLANK($B$1)),"",Sheet1!Q3964)</f>
        <v>5650</v>
      </c>
      <c r="F3955" s="20" t="s">
        <v>27</v>
      </c>
      <c r="G3955" s="53">
        <f t="shared" si="62"/>
        <v>1.3412174822023666</v>
      </c>
      <c r="H3955" s="35"/>
      <c r="P3955" s="6"/>
    </row>
    <row r="3956" spans="1:16" ht="14.4" x14ac:dyDescent="0.25">
      <c r="A3956" s="6">
        <v>2376</v>
      </c>
      <c r="B3956" s="6">
        <v>17249</v>
      </c>
      <c r="C3956" s="19">
        <v>40446</v>
      </c>
      <c r="D3956" s="6" t="s">
        <v>25</v>
      </c>
      <c r="E3956" s="6">
        <f>IF((ISBLANK($B$1)),"",Sheet1!Q3965)</f>
        <v>5250</v>
      </c>
      <c r="F3956" s="20" t="s">
        <v>27</v>
      </c>
      <c r="G3956" s="53">
        <f t="shared" si="62"/>
        <v>0.78883577311854924</v>
      </c>
      <c r="H3956" s="35"/>
      <c r="P3956" s="6"/>
    </row>
    <row r="3957" spans="1:16" ht="14.4" x14ac:dyDescent="0.25">
      <c r="A3957" s="6">
        <v>2435</v>
      </c>
      <c r="B3957" s="6">
        <v>17670</v>
      </c>
      <c r="C3957" s="19">
        <v>40050</v>
      </c>
      <c r="D3957" s="6" t="s">
        <v>16</v>
      </c>
      <c r="E3957" s="6">
        <f>IF((ISBLANK($B$1)),"",Sheet1!Q3966)</f>
        <v>4100</v>
      </c>
      <c r="F3957" s="20" t="s">
        <v>26</v>
      </c>
      <c r="G3957" s="53">
        <f t="shared" si="62"/>
        <v>-0.79926164049742576</v>
      </c>
      <c r="H3957" s="35"/>
      <c r="P3957" s="6"/>
    </row>
    <row r="3958" spans="1:16" ht="14.4" x14ac:dyDescent="0.25">
      <c r="A3958" s="6">
        <v>2448</v>
      </c>
      <c r="B3958" s="6">
        <v>17797</v>
      </c>
      <c r="C3958" s="19">
        <v>41100</v>
      </c>
      <c r="D3958" s="6" t="s">
        <v>25</v>
      </c>
      <c r="E3958" s="6">
        <f>IF((ISBLANK($B$1)),"",Sheet1!Q3967)</f>
        <v>3900</v>
      </c>
      <c r="F3958" s="20" t="s">
        <v>29</v>
      </c>
      <c r="G3958" s="53">
        <f t="shared" si="62"/>
        <v>-1.0754524950393345</v>
      </c>
      <c r="H3958" s="35"/>
      <c r="P3958" s="6"/>
    </row>
    <row r="3959" spans="1:16" ht="14.4" x14ac:dyDescent="0.25">
      <c r="A3959" s="6">
        <v>2449</v>
      </c>
      <c r="B3959" s="6">
        <v>17797</v>
      </c>
      <c r="C3959" s="19">
        <v>41100</v>
      </c>
      <c r="D3959" s="6" t="s">
        <v>25</v>
      </c>
      <c r="E3959" s="6">
        <f>IF((ISBLANK($B$1)),"",Sheet1!Q3968)</f>
        <v>4200</v>
      </c>
      <c r="F3959" s="20" t="s">
        <v>26</v>
      </c>
      <c r="G3959" s="53">
        <f t="shared" si="62"/>
        <v>-0.6611662132264714</v>
      </c>
      <c r="H3959" s="35"/>
      <c r="P3959" s="6"/>
    </row>
    <row r="3960" spans="1:16" ht="14.4" x14ac:dyDescent="0.25">
      <c r="A3960" s="6">
        <v>2508</v>
      </c>
      <c r="B3960" s="6">
        <v>18213</v>
      </c>
      <c r="C3960" s="19">
        <v>40431</v>
      </c>
      <c r="D3960" s="6" t="s">
        <v>16</v>
      </c>
      <c r="E3960" s="6">
        <f>IF((ISBLANK($B$1)),"",Sheet1!Q3969)</f>
        <v>4850</v>
      </c>
      <c r="F3960" s="20" t="s">
        <v>26</v>
      </c>
      <c r="G3960" s="53">
        <f t="shared" si="62"/>
        <v>0.23645406403473185</v>
      </c>
      <c r="H3960" s="35"/>
      <c r="P3960" s="6"/>
    </row>
    <row r="3961" spans="1:16" ht="14.4" x14ac:dyDescent="0.25">
      <c r="A3961" s="6">
        <v>2510</v>
      </c>
      <c r="B3961" s="6">
        <v>18241</v>
      </c>
      <c r="C3961" s="19">
        <v>40386</v>
      </c>
      <c r="D3961" s="6" t="s">
        <v>25</v>
      </c>
      <c r="E3961" s="6">
        <f>IF((ISBLANK($B$1)),"",Sheet1!Q3970)</f>
        <v>3550</v>
      </c>
      <c r="F3961" s="20" t="s">
        <v>27</v>
      </c>
      <c r="G3961" s="53">
        <f t="shared" si="62"/>
        <v>-1.5587864904876745</v>
      </c>
      <c r="H3961" s="35"/>
      <c r="P3961" s="6"/>
    </row>
    <row r="3962" spans="1:16" ht="14.4" x14ac:dyDescent="0.25">
      <c r="A3962" s="6">
        <v>2511</v>
      </c>
      <c r="B3962" s="6">
        <v>18241</v>
      </c>
      <c r="C3962" s="19">
        <v>40386</v>
      </c>
      <c r="D3962" s="6" t="s">
        <v>25</v>
      </c>
      <c r="E3962" s="6">
        <f>IF((ISBLANK($B$1)),"",Sheet1!Q3971)</f>
        <v>4650</v>
      </c>
      <c r="F3962" s="20" t="s">
        <v>29</v>
      </c>
      <c r="G3962" s="53">
        <f t="shared" si="62"/>
        <v>-3.9736790507176829E-2</v>
      </c>
      <c r="H3962" s="35"/>
      <c r="P3962" s="6"/>
    </row>
    <row r="3963" spans="1:16" ht="14.4" x14ac:dyDescent="0.25">
      <c r="A3963" s="6">
        <v>2512</v>
      </c>
      <c r="B3963" s="6">
        <v>18244</v>
      </c>
      <c r="C3963" s="19">
        <v>40585</v>
      </c>
      <c r="D3963" s="6" t="s">
        <v>30</v>
      </c>
      <c r="E3963" s="6">
        <f>IF((ISBLANK($B$1)),"",Sheet1!Q3972)</f>
        <v>3450</v>
      </c>
      <c r="F3963" s="20" t="s">
        <v>29</v>
      </c>
      <c r="G3963" s="53">
        <f t="shared" si="62"/>
        <v>-1.696881917758629</v>
      </c>
      <c r="H3963" s="35"/>
      <c r="P3963" s="6"/>
    </row>
    <row r="3964" spans="1:16" ht="14.4" x14ac:dyDescent="0.25">
      <c r="A3964" s="6">
        <v>2548</v>
      </c>
      <c r="B3964" s="6">
        <v>18465</v>
      </c>
      <c r="C3964" s="19">
        <v>40283</v>
      </c>
      <c r="D3964" s="6" t="s">
        <v>17</v>
      </c>
      <c r="E3964" s="6">
        <f>IF((ISBLANK($B$1)),"",Sheet1!Q3973)</f>
        <v>4000</v>
      </c>
      <c r="F3964" s="20" t="s">
        <v>26</v>
      </c>
      <c r="G3964" s="53">
        <f t="shared" si="62"/>
        <v>-0.93735706776838001</v>
      </c>
      <c r="H3964" s="35"/>
      <c r="P3964" s="6"/>
    </row>
    <row r="3965" spans="1:16" ht="14.4" x14ac:dyDescent="0.25">
      <c r="A3965" s="6">
        <v>2561</v>
      </c>
      <c r="B3965" s="6">
        <v>18528</v>
      </c>
      <c r="C3965" s="19">
        <v>40663</v>
      </c>
      <c r="D3965" s="6" t="s">
        <v>30</v>
      </c>
      <c r="E3965" s="6">
        <f>IF((ISBLANK($B$1)),"",Sheet1!Q3974)</f>
        <v>5050</v>
      </c>
      <c r="F3965" s="20" t="s">
        <v>26</v>
      </c>
      <c r="G3965" s="53">
        <f t="shared" si="62"/>
        <v>0.51264491857664052</v>
      </c>
      <c r="H3965" s="35"/>
      <c r="P3965" s="6"/>
    </row>
    <row r="3966" spans="1:16" ht="14.4" x14ac:dyDescent="0.25">
      <c r="A3966" s="6">
        <v>2562</v>
      </c>
      <c r="B3966" s="6">
        <v>18528</v>
      </c>
      <c r="C3966" s="19">
        <v>40663</v>
      </c>
      <c r="D3966" s="6" t="s">
        <v>30</v>
      </c>
      <c r="E3966" s="6">
        <f>IF((ISBLANK($B$1)),"",Sheet1!Q3975)</f>
        <v>4500</v>
      </c>
      <c r="F3966" s="20" t="s">
        <v>26</v>
      </c>
      <c r="G3966" s="53">
        <f t="shared" si="62"/>
        <v>-0.24687993141360834</v>
      </c>
      <c r="H3966" s="35"/>
      <c r="P3966" s="6"/>
    </row>
    <row r="3967" spans="1:16" ht="14.4" x14ac:dyDescent="0.25">
      <c r="A3967" s="6">
        <v>2616</v>
      </c>
      <c r="B3967" s="6">
        <v>18917</v>
      </c>
      <c r="C3967" s="19">
        <v>41032</v>
      </c>
      <c r="D3967" s="6" t="s">
        <v>30</v>
      </c>
      <c r="E3967" s="6">
        <f>IF((ISBLANK($B$1)),"",Sheet1!Q3976)</f>
        <v>4100</v>
      </c>
      <c r="F3967" s="20" t="s">
        <v>26</v>
      </c>
      <c r="G3967" s="53">
        <f t="shared" si="62"/>
        <v>-0.79926164049742576</v>
      </c>
      <c r="H3967" s="35"/>
      <c r="P3967" s="6"/>
    </row>
    <row r="3968" spans="1:16" ht="14.4" x14ac:dyDescent="0.25">
      <c r="A3968" s="6">
        <v>2693</v>
      </c>
      <c r="B3968" s="6">
        <v>19493</v>
      </c>
      <c r="C3968" s="19">
        <v>39846</v>
      </c>
      <c r="D3968" s="6" t="s">
        <v>30</v>
      </c>
      <c r="E3968" s="6">
        <f>IF((ISBLANK($B$1)),"",Sheet1!Q3977)</f>
        <v>4950</v>
      </c>
      <c r="F3968" s="20" t="s">
        <v>29</v>
      </c>
      <c r="G3968" s="53">
        <f t="shared" si="62"/>
        <v>0.37454949130568621</v>
      </c>
      <c r="H3968" s="35"/>
      <c r="P3968" s="6"/>
    </row>
    <row r="3969" spans="1:16" ht="14.4" x14ac:dyDescent="0.25">
      <c r="A3969" s="6">
        <v>2714</v>
      </c>
      <c r="B3969" s="6">
        <v>19616</v>
      </c>
      <c r="C3969" s="19">
        <v>40899</v>
      </c>
      <c r="D3969" s="6" t="s">
        <v>17</v>
      </c>
      <c r="E3969" s="6">
        <f>IF((ISBLANK($B$1)),"",Sheet1!Q3978)</f>
        <v>3550</v>
      </c>
      <c r="F3969" s="20" t="s">
        <v>26</v>
      </c>
      <c r="G3969" s="53">
        <f t="shared" si="62"/>
        <v>-1.5587864904876745</v>
      </c>
      <c r="H3969" s="35"/>
      <c r="P3969" s="6"/>
    </row>
    <row r="3970" spans="1:16" ht="14.4" x14ac:dyDescent="0.25">
      <c r="A3970" s="6">
        <v>2715</v>
      </c>
      <c r="B3970" s="6">
        <v>19616</v>
      </c>
      <c r="C3970" s="19">
        <v>40899</v>
      </c>
      <c r="D3970" s="6" t="s">
        <v>17</v>
      </c>
      <c r="E3970" s="6">
        <f>IF((ISBLANK($B$1)),"",Sheet1!Q3979)</f>
        <v>5500</v>
      </c>
      <c r="F3970" s="20" t="s">
        <v>26</v>
      </c>
      <c r="G3970" s="53">
        <f t="shared" si="62"/>
        <v>1.1340743412959351</v>
      </c>
      <c r="H3970" s="35"/>
      <c r="P3970" s="6"/>
    </row>
    <row r="3971" spans="1:16" ht="14.4" x14ac:dyDescent="0.25">
      <c r="A3971" s="6">
        <v>2827</v>
      </c>
      <c r="B3971" s="6">
        <v>20390</v>
      </c>
      <c r="C3971" s="19">
        <v>40056</v>
      </c>
      <c r="D3971" s="6" t="s">
        <v>28</v>
      </c>
      <c r="E3971" s="6">
        <f>IF((ISBLANK($B$1)),"",Sheet1!Q3980)</f>
        <v>5150</v>
      </c>
      <c r="F3971" s="20" t="s">
        <v>27</v>
      </c>
      <c r="G3971" s="53">
        <f t="shared" si="62"/>
        <v>0.65074034584759488</v>
      </c>
      <c r="H3971" s="35"/>
      <c r="P3971" s="6"/>
    </row>
    <row r="3972" spans="1:16" ht="14.4" x14ac:dyDescent="0.25">
      <c r="A3972" s="6">
        <v>2828</v>
      </c>
      <c r="B3972" s="6">
        <v>20390</v>
      </c>
      <c r="C3972" s="19">
        <v>40056</v>
      </c>
      <c r="D3972" s="6" t="s">
        <v>28</v>
      </c>
      <c r="E3972" s="6">
        <f>IF((ISBLANK($B$1)),"",Sheet1!Q3981)</f>
        <v>4250</v>
      </c>
      <c r="F3972" s="20" t="s">
        <v>26</v>
      </c>
      <c r="G3972" s="53">
        <f t="shared" si="62"/>
        <v>-0.59211849959099416</v>
      </c>
      <c r="H3972" s="35"/>
      <c r="P3972" s="6"/>
    </row>
    <row r="3973" spans="1:16" ht="14.4" x14ac:dyDescent="0.25">
      <c r="A3973" s="6">
        <v>2834</v>
      </c>
      <c r="B3973" s="6">
        <v>20451</v>
      </c>
      <c r="C3973" s="19">
        <v>41054</v>
      </c>
      <c r="D3973" s="6" t="s">
        <v>30</v>
      </c>
      <c r="E3973" s="6">
        <f>IF((ISBLANK($B$1)),"",Sheet1!Q3982)</f>
        <v>3700</v>
      </c>
      <c r="F3973" s="20" t="s">
        <v>26</v>
      </c>
      <c r="G3973" s="53">
        <f t="shared" si="62"/>
        <v>-1.351643349581243</v>
      </c>
      <c r="H3973" s="35"/>
      <c r="P3973" s="6"/>
    </row>
    <row r="3974" spans="1:16" ht="14.4" x14ac:dyDescent="0.25">
      <c r="A3974" s="6">
        <v>2835</v>
      </c>
      <c r="B3974" s="6">
        <v>20451</v>
      </c>
      <c r="C3974" s="19">
        <v>41054</v>
      </c>
      <c r="D3974" s="6" t="s">
        <v>30</v>
      </c>
      <c r="E3974" s="6">
        <f>IF((ISBLANK($B$1)),"",Sheet1!Q3983)</f>
        <v>5050</v>
      </c>
      <c r="F3974" s="20" t="s">
        <v>26</v>
      </c>
      <c r="G3974" s="53">
        <f t="shared" si="62"/>
        <v>0.51264491857664052</v>
      </c>
      <c r="H3974" s="35"/>
      <c r="P3974" s="6"/>
    </row>
    <row r="3975" spans="1:16" ht="14.4" x14ac:dyDescent="0.25">
      <c r="A3975" s="6">
        <v>2836</v>
      </c>
      <c r="B3975" s="6">
        <v>20451</v>
      </c>
      <c r="C3975" s="19">
        <v>41054</v>
      </c>
      <c r="D3975" s="6" t="s">
        <v>30</v>
      </c>
      <c r="E3975" s="6">
        <f>IF((ISBLANK($B$1)),"",Sheet1!Q3984)</f>
        <v>4250</v>
      </c>
      <c r="F3975" s="20" t="s">
        <v>29</v>
      </c>
      <c r="G3975" s="53">
        <f t="shared" si="62"/>
        <v>-0.59211849959099416</v>
      </c>
      <c r="H3975" s="35"/>
      <c r="P3975" s="6"/>
    </row>
    <row r="3976" spans="1:16" ht="14.4" x14ac:dyDescent="0.25">
      <c r="A3976" s="6">
        <v>2845</v>
      </c>
      <c r="B3976" s="6">
        <v>20486</v>
      </c>
      <c r="C3976" s="19">
        <v>40607</v>
      </c>
      <c r="D3976" s="6" t="s">
        <v>17</v>
      </c>
      <c r="E3976" s="6">
        <f>IF((ISBLANK($B$1)),"",Sheet1!Q3985)</f>
        <v>5100</v>
      </c>
      <c r="F3976" s="20" t="s">
        <v>26</v>
      </c>
      <c r="G3976" s="53">
        <f t="shared" ref="G3976:G4039" si="63">STANDARDIZE(E3976,$L$26,$L$35)</f>
        <v>0.58169263221211776</v>
      </c>
      <c r="H3976" s="35"/>
      <c r="P3976" s="6"/>
    </row>
    <row r="3977" spans="1:16" ht="14.4" x14ac:dyDescent="0.25">
      <c r="A3977" s="6">
        <v>2846</v>
      </c>
      <c r="B3977" s="6">
        <v>20486</v>
      </c>
      <c r="C3977" s="19">
        <v>40607</v>
      </c>
      <c r="D3977" s="6" t="s">
        <v>17</v>
      </c>
      <c r="E3977" s="6">
        <f>IF((ISBLANK($B$1)),"",Sheet1!Q3986)</f>
        <v>5500</v>
      </c>
      <c r="F3977" s="20" t="s">
        <v>26</v>
      </c>
      <c r="G3977" s="53">
        <f t="shared" si="63"/>
        <v>1.1340743412959351</v>
      </c>
      <c r="H3977" s="35"/>
      <c r="P3977" s="6"/>
    </row>
    <row r="3978" spans="1:16" ht="14.4" x14ac:dyDescent="0.25">
      <c r="A3978" s="6">
        <v>2895</v>
      </c>
      <c r="B3978" s="6">
        <v>20899</v>
      </c>
      <c r="C3978" s="19">
        <v>40280</v>
      </c>
      <c r="D3978" s="6" t="s">
        <v>25</v>
      </c>
      <c r="E3978" s="6">
        <f>IF((ISBLANK($B$1)),"",Sheet1!Q3987)</f>
        <v>3850</v>
      </c>
      <c r="F3978" s="20" t="s">
        <v>26</v>
      </c>
      <c r="G3978" s="53">
        <f t="shared" si="63"/>
        <v>-1.1445002086748115</v>
      </c>
      <c r="H3978" s="35"/>
      <c r="P3978" s="6"/>
    </row>
    <row r="3979" spans="1:16" ht="14.4" x14ac:dyDescent="0.25">
      <c r="A3979" s="6">
        <v>2918</v>
      </c>
      <c r="B3979" s="6">
        <v>21089</v>
      </c>
      <c r="C3979" s="19">
        <v>40752</v>
      </c>
      <c r="D3979" s="6" t="s">
        <v>16</v>
      </c>
      <c r="E3979" s="6">
        <f>IF((ISBLANK($B$1)),"",Sheet1!Q3988)</f>
        <v>3600</v>
      </c>
      <c r="F3979" s="20" t="s">
        <v>29</v>
      </c>
      <c r="G3979" s="53">
        <f t="shared" si="63"/>
        <v>-1.4897387768521975</v>
      </c>
      <c r="H3979" s="35"/>
      <c r="P3979" s="6"/>
    </row>
    <row r="3980" spans="1:16" ht="14.4" x14ac:dyDescent="0.25">
      <c r="A3980" s="6">
        <v>3001</v>
      </c>
      <c r="B3980" s="6">
        <v>21634</v>
      </c>
      <c r="C3980" s="19">
        <v>41210</v>
      </c>
      <c r="D3980" s="6" t="s">
        <v>28</v>
      </c>
      <c r="E3980" s="6">
        <f>IF((ISBLANK($B$1)),"",Sheet1!Q3989)</f>
        <v>3800</v>
      </c>
      <c r="F3980" s="20" t="s">
        <v>26</v>
      </c>
      <c r="G3980" s="53">
        <f t="shared" si="63"/>
        <v>-1.2135479223102887</v>
      </c>
      <c r="H3980" s="35"/>
      <c r="P3980" s="6"/>
    </row>
    <row r="3981" spans="1:16" ht="14.4" x14ac:dyDescent="0.25">
      <c r="A3981" s="6">
        <v>3002</v>
      </c>
      <c r="B3981" s="6">
        <v>21634</v>
      </c>
      <c r="C3981" s="19">
        <v>41210</v>
      </c>
      <c r="D3981" s="6" t="s">
        <v>28</v>
      </c>
      <c r="E3981" s="6">
        <f>IF((ISBLANK($B$1)),"",Sheet1!Q3990)</f>
        <v>3450</v>
      </c>
      <c r="F3981" s="20" t="s">
        <v>27</v>
      </c>
      <c r="G3981" s="53">
        <f t="shared" si="63"/>
        <v>-1.696881917758629</v>
      </c>
      <c r="H3981" s="35"/>
      <c r="P3981" s="6"/>
    </row>
    <row r="3982" spans="1:16" ht="14.4" x14ac:dyDescent="0.25">
      <c r="A3982" s="6">
        <v>3012</v>
      </c>
      <c r="B3982" s="6">
        <v>21665</v>
      </c>
      <c r="C3982" s="19">
        <v>41197</v>
      </c>
      <c r="D3982" s="6" t="s">
        <v>17</v>
      </c>
      <c r="E3982" s="6">
        <f>IF((ISBLANK($B$1)),"",Sheet1!Q3991)</f>
        <v>3650</v>
      </c>
      <c r="F3982" s="20" t="s">
        <v>27</v>
      </c>
      <c r="G3982" s="53">
        <f t="shared" si="63"/>
        <v>-1.4206910632167202</v>
      </c>
      <c r="H3982" s="35"/>
      <c r="P3982" s="6"/>
    </row>
    <row r="3983" spans="1:16" ht="14.4" x14ac:dyDescent="0.25">
      <c r="A3983" s="6">
        <v>3020</v>
      </c>
      <c r="B3983" s="6">
        <v>21729</v>
      </c>
      <c r="C3983" s="19">
        <v>41249</v>
      </c>
      <c r="D3983" s="6" t="s">
        <v>25</v>
      </c>
      <c r="E3983" s="6">
        <f>IF((ISBLANK($B$1)),"",Sheet1!Q3992)</f>
        <v>4800</v>
      </c>
      <c r="F3983" s="20" t="s">
        <v>26</v>
      </c>
      <c r="G3983" s="53">
        <f t="shared" si="63"/>
        <v>0.16740635039925467</v>
      </c>
      <c r="H3983" s="35"/>
      <c r="P3983" s="6"/>
    </row>
    <row r="3984" spans="1:16" ht="14.4" x14ac:dyDescent="0.25">
      <c r="A3984" s="6">
        <v>3021</v>
      </c>
      <c r="B3984" s="6">
        <v>21729</v>
      </c>
      <c r="C3984" s="19">
        <v>41249</v>
      </c>
      <c r="D3984" s="6" t="s">
        <v>25</v>
      </c>
      <c r="E3984" s="6">
        <f>IF((ISBLANK($B$1)),"",Sheet1!Q3993)</f>
        <v>4100</v>
      </c>
      <c r="F3984" s="20" t="s">
        <v>29</v>
      </c>
      <c r="G3984" s="53">
        <f t="shared" si="63"/>
        <v>-0.79926164049742576</v>
      </c>
      <c r="H3984" s="35"/>
      <c r="P3984" s="6"/>
    </row>
    <row r="3985" spans="1:16" ht="14.4" x14ac:dyDescent="0.25">
      <c r="A3985" s="6">
        <v>3032</v>
      </c>
      <c r="B3985" s="6">
        <v>21796</v>
      </c>
      <c r="C3985" s="19">
        <v>41035</v>
      </c>
      <c r="D3985" s="6" t="s">
        <v>25</v>
      </c>
      <c r="E3985" s="6">
        <f>IF((ISBLANK($B$1)),"",Sheet1!Q3994)</f>
        <v>5700</v>
      </c>
      <c r="F3985" s="20" t="s">
        <v>27</v>
      </c>
      <c r="G3985" s="53">
        <f t="shared" si="63"/>
        <v>1.4102651958378438</v>
      </c>
      <c r="H3985" s="35"/>
      <c r="P3985" s="6"/>
    </row>
    <row r="3986" spans="1:16" ht="14.4" x14ac:dyDescent="0.25">
      <c r="A3986" s="6">
        <v>3033</v>
      </c>
      <c r="B3986" s="6">
        <v>21796</v>
      </c>
      <c r="C3986" s="19">
        <v>41035</v>
      </c>
      <c r="D3986" s="6" t="s">
        <v>25</v>
      </c>
      <c r="E3986" s="6">
        <f>IF((ISBLANK($B$1)),"",Sheet1!Q3995)</f>
        <v>3500</v>
      </c>
      <c r="F3986" s="20" t="s">
        <v>27</v>
      </c>
      <c r="G3986" s="53">
        <f t="shared" si="63"/>
        <v>-1.6278342041231517</v>
      </c>
      <c r="H3986" s="35"/>
      <c r="P3986" s="6"/>
    </row>
    <row r="3987" spans="1:16" ht="14.4" x14ac:dyDescent="0.25">
      <c r="A3987" s="6">
        <v>3034</v>
      </c>
      <c r="B3987" s="6">
        <v>21796</v>
      </c>
      <c r="C3987" s="19">
        <v>41035</v>
      </c>
      <c r="D3987" s="6" t="s">
        <v>25</v>
      </c>
      <c r="E3987" s="6">
        <f>IF((ISBLANK($B$1)),"",Sheet1!Q3996)</f>
        <v>5450</v>
      </c>
      <c r="F3987" s="20" t="s">
        <v>26</v>
      </c>
      <c r="G3987" s="53">
        <f t="shared" si="63"/>
        <v>1.0650266276604579</v>
      </c>
      <c r="H3987" s="35"/>
      <c r="P3987" s="6"/>
    </row>
    <row r="3988" spans="1:16" ht="14.4" x14ac:dyDescent="0.25">
      <c r="A3988" s="6">
        <v>3035</v>
      </c>
      <c r="B3988" s="6">
        <v>21796</v>
      </c>
      <c r="C3988" s="19">
        <v>41035</v>
      </c>
      <c r="D3988" s="6" t="s">
        <v>25</v>
      </c>
      <c r="E3988" s="6">
        <f>IF((ISBLANK($B$1)),"",Sheet1!Q3997)</f>
        <v>4950</v>
      </c>
      <c r="F3988" s="20" t="s">
        <v>26</v>
      </c>
      <c r="G3988" s="53">
        <f t="shared" si="63"/>
        <v>0.37454949130568621</v>
      </c>
      <c r="H3988" s="35"/>
      <c r="P3988" s="6"/>
    </row>
    <row r="3989" spans="1:16" ht="14.4" x14ac:dyDescent="0.25">
      <c r="A3989" s="6">
        <v>3065</v>
      </c>
      <c r="B3989" s="6">
        <v>21958</v>
      </c>
      <c r="C3989" s="19">
        <v>39969</v>
      </c>
      <c r="D3989" s="6" t="s">
        <v>17</v>
      </c>
      <c r="E3989" s="6">
        <f>IF((ISBLANK($B$1)),"",Sheet1!Q3998)</f>
        <v>4100</v>
      </c>
      <c r="F3989" s="20" t="s">
        <v>26</v>
      </c>
      <c r="G3989" s="53">
        <f t="shared" si="63"/>
        <v>-0.79926164049742576</v>
      </c>
      <c r="H3989" s="35"/>
      <c r="P3989" s="6"/>
    </row>
    <row r="3990" spans="1:16" ht="14.4" x14ac:dyDescent="0.25">
      <c r="A3990" s="6">
        <v>3130</v>
      </c>
      <c r="B3990" s="6">
        <v>22468</v>
      </c>
      <c r="C3990" s="19">
        <v>40339</v>
      </c>
      <c r="D3990" s="6" t="s">
        <v>28</v>
      </c>
      <c r="E3990" s="6">
        <f>IF((ISBLANK($B$1)),"",Sheet1!Q3999)</f>
        <v>4100</v>
      </c>
      <c r="F3990" s="20" t="s">
        <v>26</v>
      </c>
      <c r="G3990" s="53">
        <f t="shared" si="63"/>
        <v>-0.79926164049742576</v>
      </c>
      <c r="H3990" s="35"/>
      <c r="P3990" s="6"/>
    </row>
    <row r="3991" spans="1:16" ht="14.4" x14ac:dyDescent="0.25">
      <c r="A3991" s="6">
        <v>3131</v>
      </c>
      <c r="B3991" s="6">
        <v>22468</v>
      </c>
      <c r="C3991" s="19">
        <v>40339</v>
      </c>
      <c r="D3991" s="6" t="s">
        <v>28</v>
      </c>
      <c r="E3991" s="6">
        <f>IF((ISBLANK($B$1)),"",Sheet1!Q4000)</f>
        <v>3950</v>
      </c>
      <c r="F3991" s="20" t="s">
        <v>26</v>
      </c>
      <c r="G3991" s="53">
        <f t="shared" si="63"/>
        <v>-1.0064047814038573</v>
      </c>
      <c r="H3991" s="35"/>
      <c r="P3991" s="6"/>
    </row>
    <row r="3992" spans="1:16" ht="14.4" x14ac:dyDescent="0.25">
      <c r="A3992" s="6">
        <v>3132</v>
      </c>
      <c r="B3992" s="6">
        <v>22468</v>
      </c>
      <c r="C3992" s="19">
        <v>40339</v>
      </c>
      <c r="D3992" s="6" t="s">
        <v>28</v>
      </c>
      <c r="E3992" s="6">
        <f>IF((ISBLANK($B$1)),"",Sheet1!Q4001)</f>
        <v>4350</v>
      </c>
      <c r="F3992" s="20" t="s">
        <v>29</v>
      </c>
      <c r="G3992" s="53">
        <f t="shared" si="63"/>
        <v>-0.45402307232003986</v>
      </c>
      <c r="H3992" s="35"/>
      <c r="P3992" s="6"/>
    </row>
    <row r="3993" spans="1:16" ht="14.4" x14ac:dyDescent="0.25">
      <c r="A3993" s="6">
        <v>3149</v>
      </c>
      <c r="B3993" s="6">
        <v>22626</v>
      </c>
      <c r="C3993" s="19">
        <v>40358</v>
      </c>
      <c r="D3993" s="6" t="s">
        <v>30</v>
      </c>
      <c r="E3993" s="6">
        <f>IF((ISBLANK($B$1)),"",Sheet1!Q4002)</f>
        <v>4250</v>
      </c>
      <c r="F3993" s="20" t="s">
        <v>26</v>
      </c>
      <c r="G3993" s="53">
        <f t="shared" si="63"/>
        <v>-0.59211849959099416</v>
      </c>
      <c r="H3993" s="35"/>
      <c r="P3993" s="6"/>
    </row>
    <row r="3994" spans="1:16" ht="14.4" x14ac:dyDescent="0.25">
      <c r="A3994" s="6">
        <v>3150</v>
      </c>
      <c r="B3994" s="6">
        <v>22626</v>
      </c>
      <c r="C3994" s="19">
        <v>40358</v>
      </c>
      <c r="D3994" s="6" t="s">
        <v>30</v>
      </c>
      <c r="E3994" s="6">
        <f>IF((ISBLANK($B$1)),"",Sheet1!Q4003)</f>
        <v>5150</v>
      </c>
      <c r="F3994" s="20" t="s">
        <v>29</v>
      </c>
      <c r="G3994" s="53">
        <f t="shared" si="63"/>
        <v>0.65074034584759488</v>
      </c>
      <c r="H3994" s="35"/>
      <c r="P3994" s="6"/>
    </row>
    <row r="3995" spans="1:16" ht="14.4" x14ac:dyDescent="0.25">
      <c r="A3995" s="6">
        <v>3235</v>
      </c>
      <c r="B3995" s="6">
        <v>23205</v>
      </c>
      <c r="C3995" s="19">
        <v>39957</v>
      </c>
      <c r="D3995" s="6" t="s">
        <v>17</v>
      </c>
      <c r="E3995" s="6">
        <f>IF((ISBLANK($B$1)),"",Sheet1!Q4004)</f>
        <v>3800</v>
      </c>
      <c r="F3995" s="20" t="s">
        <v>26</v>
      </c>
      <c r="G3995" s="53">
        <f t="shared" si="63"/>
        <v>-1.2135479223102887</v>
      </c>
      <c r="H3995" s="35"/>
      <c r="P3995" s="6"/>
    </row>
    <row r="3996" spans="1:16" ht="14.4" x14ac:dyDescent="0.25">
      <c r="A3996" s="6">
        <v>3236</v>
      </c>
      <c r="B3996" s="6">
        <v>23205</v>
      </c>
      <c r="C3996" s="19">
        <v>39957</v>
      </c>
      <c r="D3996" s="6" t="s">
        <v>17</v>
      </c>
      <c r="E3996" s="6">
        <f>IF((ISBLANK($B$1)),"",Sheet1!Q4005)</f>
        <v>5000</v>
      </c>
      <c r="F3996" s="20" t="s">
        <v>27</v>
      </c>
      <c r="G3996" s="53">
        <f t="shared" si="63"/>
        <v>0.44359720494116334</v>
      </c>
      <c r="H3996" s="35"/>
      <c r="P3996" s="6"/>
    </row>
    <row r="3997" spans="1:16" ht="14.4" x14ac:dyDescent="0.25">
      <c r="A3997" s="6">
        <v>3237</v>
      </c>
      <c r="B3997" s="6">
        <v>23205</v>
      </c>
      <c r="C3997" s="19">
        <v>39957</v>
      </c>
      <c r="D3997" s="6" t="s">
        <v>17</v>
      </c>
      <c r="E3997" s="6">
        <f>IF((ISBLANK($B$1)),"",Sheet1!Q4006)</f>
        <v>4700</v>
      </c>
      <c r="F3997" s="20" t="s">
        <v>29</v>
      </c>
      <c r="G3997" s="53">
        <f t="shared" si="63"/>
        <v>2.9310923128300338E-2</v>
      </c>
      <c r="H3997" s="35"/>
      <c r="P3997" s="6"/>
    </row>
    <row r="3998" spans="1:16" ht="14.4" x14ac:dyDescent="0.25">
      <c r="A3998" s="6">
        <v>3271</v>
      </c>
      <c r="B3998" s="6">
        <v>23394</v>
      </c>
      <c r="C3998" s="19">
        <v>40297</v>
      </c>
      <c r="D3998" s="6" t="s">
        <v>17</v>
      </c>
      <c r="E3998" s="6">
        <f>IF((ISBLANK($B$1)),"",Sheet1!Q4007)</f>
        <v>5650</v>
      </c>
      <c r="F3998" s="20" t="s">
        <v>26</v>
      </c>
      <c r="G3998" s="53">
        <f t="shared" si="63"/>
        <v>1.3412174822023666</v>
      </c>
      <c r="H3998" s="35"/>
      <c r="P3998" s="6"/>
    </row>
    <row r="3999" spans="1:16" ht="14.4" x14ac:dyDescent="0.25">
      <c r="A3999" s="6">
        <v>3421</v>
      </c>
      <c r="B3999" s="6">
        <v>24390</v>
      </c>
      <c r="C3999" s="19">
        <v>41066</v>
      </c>
      <c r="D3999" s="6" t="s">
        <v>25</v>
      </c>
      <c r="E3999" s="6">
        <f>IF((ISBLANK($B$1)),"",Sheet1!Q4008)</f>
        <v>3500</v>
      </c>
      <c r="F3999" s="20" t="s">
        <v>27</v>
      </c>
      <c r="G3999" s="53">
        <f t="shared" si="63"/>
        <v>-1.6278342041231517</v>
      </c>
      <c r="H3999" s="35"/>
      <c r="P3999" s="6"/>
    </row>
    <row r="4000" spans="1:16" ht="14.4" x14ac:dyDescent="0.25">
      <c r="A4000" s="6">
        <v>3457</v>
      </c>
      <c r="B4000" s="6">
        <v>24643</v>
      </c>
      <c r="C4000" s="19">
        <v>41028</v>
      </c>
      <c r="D4000" s="6" t="s">
        <v>16</v>
      </c>
      <c r="E4000" s="6">
        <f>IF((ISBLANK($B$1)),"",Sheet1!Q4009)</f>
        <v>4900</v>
      </c>
      <c r="F4000" s="20" t="s">
        <v>27</v>
      </c>
      <c r="G4000" s="53">
        <f t="shared" si="63"/>
        <v>0.30550177767020903</v>
      </c>
      <c r="H4000" s="35"/>
      <c r="P4000" s="6"/>
    </row>
    <row r="4001" spans="1:16" ht="14.4" x14ac:dyDescent="0.25">
      <c r="A4001" s="6">
        <v>3468</v>
      </c>
      <c r="B4001" s="6">
        <v>24679</v>
      </c>
      <c r="C4001" s="19">
        <v>40670</v>
      </c>
      <c r="D4001" s="6" t="s">
        <v>28</v>
      </c>
      <c r="E4001" s="6">
        <f>IF((ISBLANK($B$1)),"",Sheet1!Q4010)</f>
        <v>3750</v>
      </c>
      <c r="F4001" s="20" t="s">
        <v>27</v>
      </c>
      <c r="G4001" s="53">
        <f t="shared" si="63"/>
        <v>-1.282595635945766</v>
      </c>
      <c r="H4001" s="35"/>
      <c r="P4001" s="6"/>
    </row>
    <row r="4002" spans="1:16" ht="14.4" x14ac:dyDescent="0.25">
      <c r="A4002" s="6">
        <v>3520</v>
      </c>
      <c r="B4002" s="6">
        <v>25062</v>
      </c>
      <c r="C4002" s="19">
        <v>40481</v>
      </c>
      <c r="D4002" s="6" t="s">
        <v>30</v>
      </c>
      <c r="E4002" s="6">
        <f>IF((ISBLANK($B$1)),"",Sheet1!Q4011)</f>
        <v>3650</v>
      </c>
      <c r="F4002" s="20" t="s">
        <v>26</v>
      </c>
      <c r="G4002" s="53">
        <f t="shared" si="63"/>
        <v>-1.4206910632167202</v>
      </c>
      <c r="H4002" s="35"/>
      <c r="P4002" s="6"/>
    </row>
    <row r="4003" spans="1:16" ht="14.4" x14ac:dyDescent="0.25">
      <c r="A4003" s="6">
        <v>3521</v>
      </c>
      <c r="B4003" s="6">
        <v>25062</v>
      </c>
      <c r="C4003" s="19">
        <v>40481</v>
      </c>
      <c r="D4003" s="6" t="s">
        <v>30</v>
      </c>
      <c r="E4003" s="6">
        <f>IF((ISBLANK($B$1)),"",Sheet1!Q4012)</f>
        <v>3850</v>
      </c>
      <c r="F4003" s="20" t="s">
        <v>26</v>
      </c>
      <c r="G4003" s="53">
        <f t="shared" si="63"/>
        <v>-1.1445002086748115</v>
      </c>
      <c r="H4003" s="35"/>
      <c r="P4003" s="6"/>
    </row>
    <row r="4004" spans="1:16" ht="14.4" x14ac:dyDescent="0.25">
      <c r="A4004" s="6">
        <v>3532</v>
      </c>
      <c r="B4004" s="6">
        <v>25152</v>
      </c>
      <c r="C4004" s="19">
        <v>41197</v>
      </c>
      <c r="D4004" s="6" t="s">
        <v>30</v>
      </c>
      <c r="E4004" s="6">
        <f>IF((ISBLANK($B$1)),"",Sheet1!Q4013)</f>
        <v>4850</v>
      </c>
      <c r="F4004" s="20" t="s">
        <v>26</v>
      </c>
      <c r="G4004" s="53">
        <f t="shared" si="63"/>
        <v>0.23645406403473185</v>
      </c>
      <c r="H4004" s="35"/>
      <c r="P4004" s="6"/>
    </row>
    <row r="4005" spans="1:16" ht="14.4" x14ac:dyDescent="0.25">
      <c r="A4005" s="6">
        <v>3576</v>
      </c>
      <c r="B4005" s="6">
        <v>25478</v>
      </c>
      <c r="C4005" s="19">
        <v>41023</v>
      </c>
      <c r="D4005" s="6" t="s">
        <v>30</v>
      </c>
      <c r="E4005" s="6">
        <f>IF((ISBLANK($B$1)),"",Sheet1!Q4014)</f>
        <v>5750</v>
      </c>
      <c r="F4005" s="20" t="s">
        <v>27</v>
      </c>
      <c r="G4005" s="53">
        <f t="shared" si="63"/>
        <v>1.4793129094733208</v>
      </c>
      <c r="H4005" s="35"/>
      <c r="P4005" s="6"/>
    </row>
    <row r="4006" spans="1:16" ht="14.4" x14ac:dyDescent="0.25">
      <c r="A4006" s="6">
        <v>3577</v>
      </c>
      <c r="B4006" s="6">
        <v>25478</v>
      </c>
      <c r="C4006" s="19">
        <v>41023</v>
      </c>
      <c r="D4006" s="6" t="s">
        <v>30</v>
      </c>
      <c r="E4006" s="6">
        <f>IF((ISBLANK($B$1)),"",Sheet1!Q4015)</f>
        <v>5900</v>
      </c>
      <c r="F4006" s="20" t="s">
        <v>26</v>
      </c>
      <c r="G4006" s="53">
        <f t="shared" si="63"/>
        <v>1.6864560503797523</v>
      </c>
      <c r="H4006" s="35"/>
      <c r="P4006" s="6"/>
    </row>
    <row r="4007" spans="1:16" ht="14.4" x14ac:dyDescent="0.25">
      <c r="A4007" s="6">
        <v>3708</v>
      </c>
      <c r="B4007" s="6">
        <v>26469</v>
      </c>
      <c r="C4007" s="19">
        <v>41120</v>
      </c>
      <c r="D4007" s="6" t="s">
        <v>16</v>
      </c>
      <c r="E4007" s="6">
        <f>IF((ISBLANK($B$1)),"",Sheet1!Q4016)</f>
        <v>3600</v>
      </c>
      <c r="F4007" s="20" t="s">
        <v>26</v>
      </c>
      <c r="G4007" s="53">
        <f t="shared" si="63"/>
        <v>-1.4897387768521975</v>
      </c>
      <c r="H4007" s="35"/>
      <c r="P4007" s="6"/>
    </row>
    <row r="4008" spans="1:16" ht="14.4" x14ac:dyDescent="0.25">
      <c r="A4008" s="6">
        <v>3709</v>
      </c>
      <c r="B4008" s="6">
        <v>26469</v>
      </c>
      <c r="C4008" s="19">
        <v>41120</v>
      </c>
      <c r="D4008" s="6" t="s">
        <v>16</v>
      </c>
      <c r="E4008" s="6">
        <f>IF((ISBLANK($B$1)),"",Sheet1!Q4017)</f>
        <v>5900</v>
      </c>
      <c r="F4008" s="20" t="s">
        <v>26</v>
      </c>
      <c r="G4008" s="53">
        <f t="shared" si="63"/>
        <v>1.6864560503797523</v>
      </c>
      <c r="H4008" s="35"/>
      <c r="P4008" s="6"/>
    </row>
    <row r="4009" spans="1:16" ht="14.4" x14ac:dyDescent="0.25">
      <c r="A4009" s="6">
        <v>3710</v>
      </c>
      <c r="B4009" s="6">
        <v>26470</v>
      </c>
      <c r="C4009" s="19">
        <v>39893</v>
      </c>
      <c r="D4009" s="6" t="s">
        <v>17</v>
      </c>
      <c r="E4009" s="6">
        <f>IF((ISBLANK($B$1)),"",Sheet1!Q4018)</f>
        <v>5450</v>
      </c>
      <c r="F4009" s="20" t="s">
        <v>26</v>
      </c>
      <c r="G4009" s="53">
        <f t="shared" si="63"/>
        <v>1.0650266276604579</v>
      </c>
      <c r="H4009" s="35"/>
      <c r="P4009" s="6"/>
    </row>
    <row r="4010" spans="1:16" ht="14.4" x14ac:dyDescent="0.25">
      <c r="A4010" s="6">
        <v>3718</v>
      </c>
      <c r="B4010" s="6">
        <v>26565</v>
      </c>
      <c r="C4010" s="19">
        <v>40107</v>
      </c>
      <c r="D4010" s="6" t="s">
        <v>16</v>
      </c>
      <c r="E4010" s="6">
        <f>IF((ISBLANK($B$1)),"",Sheet1!Q4019)</f>
        <v>5850</v>
      </c>
      <c r="F4010" s="20" t="s">
        <v>26</v>
      </c>
      <c r="G4010" s="53">
        <f t="shared" si="63"/>
        <v>1.6174083367442753</v>
      </c>
      <c r="H4010" s="35"/>
      <c r="P4010" s="6"/>
    </row>
    <row r="4011" spans="1:16" ht="14.4" x14ac:dyDescent="0.25">
      <c r="A4011" s="6">
        <v>3758</v>
      </c>
      <c r="B4011" s="6">
        <v>26852</v>
      </c>
      <c r="C4011" s="19">
        <v>40243</v>
      </c>
      <c r="D4011" s="6" t="s">
        <v>30</v>
      </c>
      <c r="E4011" s="6">
        <f>IF((ISBLANK($B$1)),"",Sheet1!Q4020)</f>
        <v>3500</v>
      </c>
      <c r="F4011" s="20" t="s">
        <v>26</v>
      </c>
      <c r="G4011" s="53">
        <f t="shared" si="63"/>
        <v>-1.6278342041231517</v>
      </c>
      <c r="H4011" s="35"/>
      <c r="P4011" s="6"/>
    </row>
    <row r="4012" spans="1:16" ht="14.4" x14ac:dyDescent="0.25">
      <c r="A4012" s="6">
        <v>3829</v>
      </c>
      <c r="B4012" s="6">
        <v>27299</v>
      </c>
      <c r="C4012" s="19">
        <v>41126</v>
      </c>
      <c r="D4012" s="6" t="s">
        <v>30</v>
      </c>
      <c r="E4012" s="6">
        <f>IF((ISBLANK($B$1)),"",Sheet1!Q4021)</f>
        <v>5450</v>
      </c>
      <c r="F4012" s="20" t="s">
        <v>29</v>
      </c>
      <c r="G4012" s="53">
        <f t="shared" si="63"/>
        <v>1.0650266276604579</v>
      </c>
      <c r="H4012" s="35"/>
      <c r="P4012" s="6"/>
    </row>
    <row r="4013" spans="1:16" ht="14.4" x14ac:dyDescent="0.25">
      <c r="A4013" s="6">
        <v>3830</v>
      </c>
      <c r="B4013" s="6">
        <v>27300</v>
      </c>
      <c r="C4013" s="19">
        <v>41182</v>
      </c>
      <c r="D4013" s="6" t="s">
        <v>28</v>
      </c>
      <c r="E4013" s="6">
        <f>IF((ISBLANK($B$1)),"",Sheet1!Q4022)</f>
        <v>5900</v>
      </c>
      <c r="F4013" s="20" t="s">
        <v>27</v>
      </c>
      <c r="G4013" s="53">
        <f t="shared" si="63"/>
        <v>1.6864560503797523</v>
      </c>
      <c r="H4013" s="35"/>
      <c r="P4013" s="6"/>
    </row>
    <row r="4014" spans="1:16" ht="14.4" x14ac:dyDescent="0.25">
      <c r="A4014" s="6">
        <v>3831</v>
      </c>
      <c r="B4014" s="6">
        <v>27300</v>
      </c>
      <c r="C4014" s="19">
        <v>41182</v>
      </c>
      <c r="D4014" s="6" t="s">
        <v>28</v>
      </c>
      <c r="E4014" s="6">
        <f>IF((ISBLANK($B$1)),"",Sheet1!Q4023)</f>
        <v>4750</v>
      </c>
      <c r="F4014" s="20" t="s">
        <v>26</v>
      </c>
      <c r="G4014" s="53">
        <f t="shared" si="63"/>
        <v>9.8358636763777513E-2</v>
      </c>
      <c r="H4014" s="35"/>
      <c r="P4014" s="6"/>
    </row>
    <row r="4015" spans="1:16" ht="14.4" x14ac:dyDescent="0.25">
      <c r="A4015" s="6">
        <v>3864</v>
      </c>
      <c r="B4015" s="6">
        <v>27557</v>
      </c>
      <c r="C4015" s="19">
        <v>40947</v>
      </c>
      <c r="D4015" s="6" t="s">
        <v>25</v>
      </c>
      <c r="E4015" s="6">
        <f>IF((ISBLANK($B$1)),"",Sheet1!Q4024)</f>
        <v>4300</v>
      </c>
      <c r="F4015" s="20" t="s">
        <v>26</v>
      </c>
      <c r="G4015" s="53">
        <f t="shared" si="63"/>
        <v>-0.52307078595551704</v>
      </c>
      <c r="H4015" s="35"/>
      <c r="P4015" s="6"/>
    </row>
    <row r="4016" spans="1:16" ht="14.4" x14ac:dyDescent="0.25">
      <c r="A4016" s="6">
        <v>3872</v>
      </c>
      <c r="B4016" s="6">
        <v>27654</v>
      </c>
      <c r="C4016" s="19">
        <v>40445</v>
      </c>
      <c r="D4016" s="6" t="s">
        <v>17</v>
      </c>
      <c r="E4016" s="6">
        <f>IF((ISBLANK($B$1)),"",Sheet1!Q4025)</f>
        <v>4000</v>
      </c>
      <c r="F4016" s="20" t="s">
        <v>26</v>
      </c>
      <c r="G4016" s="53">
        <f t="shared" si="63"/>
        <v>-0.93735706776838001</v>
      </c>
      <c r="H4016" s="35"/>
      <c r="P4016" s="6"/>
    </row>
    <row r="4017" spans="1:16" ht="14.4" x14ac:dyDescent="0.25">
      <c r="A4017" s="6">
        <v>3877</v>
      </c>
      <c r="B4017" s="6">
        <v>27684</v>
      </c>
      <c r="C4017" s="19">
        <v>40791</v>
      </c>
      <c r="D4017" s="6" t="s">
        <v>25</v>
      </c>
      <c r="E4017" s="6">
        <f>IF((ISBLANK($B$1)),"",Sheet1!Q4026)</f>
        <v>3450</v>
      </c>
      <c r="F4017" s="20" t="s">
        <v>26</v>
      </c>
      <c r="G4017" s="53">
        <f t="shared" si="63"/>
        <v>-1.696881917758629</v>
      </c>
      <c r="H4017" s="35"/>
      <c r="P4017" s="6"/>
    </row>
    <row r="4018" spans="1:16" ht="14.4" x14ac:dyDescent="0.25">
      <c r="A4018" s="6">
        <v>3899</v>
      </c>
      <c r="B4018" s="6">
        <v>27811</v>
      </c>
      <c r="C4018" s="19">
        <v>40606</v>
      </c>
      <c r="D4018" s="6" t="s">
        <v>28</v>
      </c>
      <c r="E4018" s="6">
        <f>IF((ISBLANK($B$1)),"",Sheet1!Q4027)</f>
        <v>4950</v>
      </c>
      <c r="F4018" s="20" t="s">
        <v>26</v>
      </c>
      <c r="G4018" s="53">
        <f t="shared" si="63"/>
        <v>0.37454949130568621</v>
      </c>
      <c r="H4018" s="35"/>
      <c r="P4018" s="6"/>
    </row>
    <row r="4019" spans="1:16" ht="14.4" x14ac:dyDescent="0.25">
      <c r="A4019" s="6">
        <v>3938</v>
      </c>
      <c r="B4019" s="6">
        <v>28064</v>
      </c>
      <c r="C4019" s="19">
        <v>40423</v>
      </c>
      <c r="D4019" s="6" t="s">
        <v>16</v>
      </c>
      <c r="E4019" s="6">
        <f>IF((ISBLANK($B$1)),"",Sheet1!Q4028)</f>
        <v>5550</v>
      </c>
      <c r="F4019" s="20" t="s">
        <v>26</v>
      </c>
      <c r="G4019" s="53">
        <f t="shared" si="63"/>
        <v>1.2031220549314123</v>
      </c>
      <c r="H4019" s="35"/>
      <c r="P4019" s="6"/>
    </row>
    <row r="4020" spans="1:16" ht="14.4" x14ac:dyDescent="0.25">
      <c r="A4020" s="6">
        <v>3939</v>
      </c>
      <c r="B4020" s="6">
        <v>28064</v>
      </c>
      <c r="C4020" s="19">
        <v>40423</v>
      </c>
      <c r="D4020" s="6" t="s">
        <v>16</v>
      </c>
      <c r="E4020" s="6">
        <f>IF((ISBLANK($B$1)),"",Sheet1!Q4029)</f>
        <v>3450</v>
      </c>
      <c r="F4020" s="20" t="s">
        <v>26</v>
      </c>
      <c r="G4020" s="53">
        <f t="shared" si="63"/>
        <v>-1.696881917758629</v>
      </c>
      <c r="H4020" s="35"/>
      <c r="P4020" s="6"/>
    </row>
    <row r="4021" spans="1:16" ht="14.4" x14ac:dyDescent="0.25">
      <c r="A4021" s="6">
        <v>3955</v>
      </c>
      <c r="B4021" s="6">
        <v>28225</v>
      </c>
      <c r="C4021" s="19">
        <v>39835</v>
      </c>
      <c r="D4021" s="6" t="s">
        <v>30</v>
      </c>
      <c r="E4021" s="6">
        <f>IF((ISBLANK($B$1)),"",Sheet1!Q4030)</f>
        <v>4050</v>
      </c>
      <c r="F4021" s="20" t="s">
        <v>26</v>
      </c>
      <c r="G4021" s="53">
        <f t="shared" si="63"/>
        <v>-0.86830935413290289</v>
      </c>
      <c r="H4021" s="35"/>
      <c r="P4021" s="6"/>
    </row>
    <row r="4022" spans="1:16" ht="14.4" x14ac:dyDescent="0.25">
      <c r="A4022" s="6">
        <v>3959</v>
      </c>
      <c r="B4022" s="6">
        <v>28258</v>
      </c>
      <c r="C4022" s="19">
        <v>39885</v>
      </c>
      <c r="D4022" s="6" t="s">
        <v>30</v>
      </c>
      <c r="E4022" s="6">
        <f>IF((ISBLANK($B$1)),"",Sheet1!Q4031)</f>
        <v>3500</v>
      </c>
      <c r="F4022" s="20" t="s">
        <v>27</v>
      </c>
      <c r="G4022" s="53">
        <f t="shared" si="63"/>
        <v>-1.6278342041231517</v>
      </c>
      <c r="H4022" s="35"/>
      <c r="P4022" s="6"/>
    </row>
    <row r="4023" spans="1:16" ht="14.4" x14ac:dyDescent="0.25">
      <c r="A4023" s="6">
        <v>3960</v>
      </c>
      <c r="B4023" s="6">
        <v>28258</v>
      </c>
      <c r="C4023" s="19">
        <v>39885</v>
      </c>
      <c r="D4023" s="6" t="s">
        <v>30</v>
      </c>
      <c r="E4023" s="6">
        <f>IF((ISBLANK($B$1)),"",Sheet1!Q4032)</f>
        <v>4650</v>
      </c>
      <c r="F4023" s="20" t="s">
        <v>27</v>
      </c>
      <c r="G4023" s="53">
        <f t="shared" si="63"/>
        <v>-3.9736790507176829E-2</v>
      </c>
      <c r="H4023" s="35"/>
      <c r="P4023" s="6"/>
    </row>
    <row r="4024" spans="1:16" ht="14.4" x14ac:dyDescent="0.25">
      <c r="A4024" s="6">
        <v>3968</v>
      </c>
      <c r="B4024" s="6">
        <v>28321</v>
      </c>
      <c r="C4024" s="19">
        <v>40391</v>
      </c>
      <c r="D4024" s="6" t="s">
        <v>16</v>
      </c>
      <c r="E4024" s="6">
        <f>IF((ISBLANK($B$1)),"",Sheet1!Q4033)</f>
        <v>4800</v>
      </c>
      <c r="F4024" s="20" t="s">
        <v>26</v>
      </c>
      <c r="G4024" s="53">
        <f t="shared" si="63"/>
        <v>0.16740635039925467</v>
      </c>
      <c r="H4024" s="35"/>
      <c r="P4024" s="6"/>
    </row>
    <row r="4025" spans="1:16" ht="14.4" x14ac:dyDescent="0.25">
      <c r="A4025" s="6">
        <v>3985</v>
      </c>
      <c r="B4025" s="6">
        <v>28454</v>
      </c>
      <c r="C4025" s="19">
        <v>41127</v>
      </c>
      <c r="D4025" s="6" t="s">
        <v>16</v>
      </c>
      <c r="E4025" s="6">
        <f>IF((ISBLANK($B$1)),"",Sheet1!Q4034)</f>
        <v>4650</v>
      </c>
      <c r="F4025" s="20" t="s">
        <v>26</v>
      </c>
      <c r="G4025" s="53">
        <f t="shared" si="63"/>
        <v>-3.9736790507176829E-2</v>
      </c>
      <c r="H4025" s="35"/>
      <c r="P4025" s="6"/>
    </row>
    <row r="4026" spans="1:16" ht="14.4" x14ac:dyDescent="0.25">
      <c r="A4026" s="6">
        <v>4112</v>
      </c>
      <c r="B4026" s="6">
        <v>29255</v>
      </c>
      <c r="C4026" s="19">
        <v>40880</v>
      </c>
      <c r="D4026" s="6" t="s">
        <v>25</v>
      </c>
      <c r="E4026" s="6">
        <f>IF((ISBLANK($B$1)),"",Sheet1!Q4035)</f>
        <v>3950</v>
      </c>
      <c r="F4026" s="20" t="s">
        <v>27</v>
      </c>
      <c r="G4026" s="53">
        <f t="shared" si="63"/>
        <v>-1.0064047814038573</v>
      </c>
      <c r="H4026" s="35"/>
      <c r="P4026" s="6"/>
    </row>
    <row r="4027" spans="1:16" ht="14.4" x14ac:dyDescent="0.25">
      <c r="A4027" s="6">
        <v>4139</v>
      </c>
      <c r="B4027" s="6">
        <v>29383</v>
      </c>
      <c r="C4027" s="19">
        <v>40865</v>
      </c>
      <c r="D4027" s="6" t="s">
        <v>16</v>
      </c>
      <c r="E4027" s="6">
        <f>IF((ISBLANK($B$1)),"",Sheet1!Q4036)</f>
        <v>4400</v>
      </c>
      <c r="F4027" s="20" t="s">
        <v>27</v>
      </c>
      <c r="G4027" s="53">
        <f t="shared" si="63"/>
        <v>-0.38497535868456267</v>
      </c>
      <c r="H4027" s="35"/>
      <c r="P4027" s="6"/>
    </row>
    <row r="4028" spans="1:16" ht="14.4" x14ac:dyDescent="0.25">
      <c r="A4028" s="6">
        <v>4140</v>
      </c>
      <c r="B4028" s="6">
        <v>29383</v>
      </c>
      <c r="C4028" s="19">
        <v>40865</v>
      </c>
      <c r="D4028" s="6" t="s">
        <v>16</v>
      </c>
      <c r="E4028" s="6">
        <f>IF((ISBLANK($B$1)),"",Sheet1!Q4037)</f>
        <v>4800</v>
      </c>
      <c r="F4028" s="20" t="s">
        <v>26</v>
      </c>
      <c r="G4028" s="53">
        <f t="shared" si="63"/>
        <v>0.16740635039925467</v>
      </c>
      <c r="H4028" s="35"/>
      <c r="P4028" s="6"/>
    </row>
    <row r="4029" spans="1:16" ht="14.4" x14ac:dyDescent="0.25">
      <c r="A4029" s="6">
        <v>4141</v>
      </c>
      <c r="B4029" s="6">
        <v>29383</v>
      </c>
      <c r="C4029" s="19">
        <v>40865</v>
      </c>
      <c r="D4029" s="6" t="s">
        <v>16</v>
      </c>
      <c r="E4029" s="6">
        <f>IF((ISBLANK($B$1)),"",Sheet1!Q4038)</f>
        <v>4850</v>
      </c>
      <c r="F4029" s="20" t="s">
        <v>27</v>
      </c>
      <c r="G4029" s="53">
        <f t="shared" si="63"/>
        <v>0.23645406403473185</v>
      </c>
      <c r="H4029" s="35"/>
      <c r="P4029" s="6"/>
    </row>
    <row r="4030" spans="1:16" ht="14.4" x14ac:dyDescent="0.25">
      <c r="A4030" s="6">
        <v>4142</v>
      </c>
      <c r="B4030" s="6">
        <v>29383</v>
      </c>
      <c r="C4030" s="19">
        <v>40865</v>
      </c>
      <c r="D4030" s="6" t="s">
        <v>16</v>
      </c>
      <c r="E4030" s="6">
        <f>IF((ISBLANK($B$1)),"",Sheet1!Q4039)</f>
        <v>4900</v>
      </c>
      <c r="F4030" s="20" t="s">
        <v>29</v>
      </c>
      <c r="G4030" s="53">
        <f t="shared" si="63"/>
        <v>0.30550177767020903</v>
      </c>
      <c r="H4030" s="35"/>
      <c r="P4030" s="6"/>
    </row>
    <row r="4031" spans="1:16" ht="14.4" x14ac:dyDescent="0.25">
      <c r="A4031" s="6">
        <v>4162</v>
      </c>
      <c r="B4031" s="6">
        <v>29507</v>
      </c>
      <c r="C4031" s="19">
        <v>40948</v>
      </c>
      <c r="D4031" s="6" t="s">
        <v>25</v>
      </c>
      <c r="E4031" s="6">
        <f>IF((ISBLANK($B$1)),"",Sheet1!Q4040)</f>
        <v>4100</v>
      </c>
      <c r="F4031" s="20" t="s">
        <v>29</v>
      </c>
      <c r="G4031" s="53">
        <f t="shared" si="63"/>
        <v>-0.79926164049742576</v>
      </c>
      <c r="H4031" s="35"/>
      <c r="P4031" s="6"/>
    </row>
    <row r="4032" spans="1:16" ht="14.4" x14ac:dyDescent="0.25">
      <c r="A4032" s="6">
        <v>4163</v>
      </c>
      <c r="B4032" s="6">
        <v>29507</v>
      </c>
      <c r="C4032" s="19">
        <v>40948</v>
      </c>
      <c r="D4032" s="6" t="s">
        <v>25</v>
      </c>
      <c r="E4032" s="6">
        <f>IF((ISBLANK($B$1)),"",Sheet1!Q4041)</f>
        <v>5450</v>
      </c>
      <c r="F4032" s="20" t="s">
        <v>27</v>
      </c>
      <c r="G4032" s="53">
        <f t="shared" si="63"/>
        <v>1.0650266276604579</v>
      </c>
      <c r="H4032" s="35"/>
      <c r="P4032" s="6"/>
    </row>
    <row r="4033" spans="1:16" ht="14.4" x14ac:dyDescent="0.25">
      <c r="A4033" s="6">
        <v>4172</v>
      </c>
      <c r="B4033" s="6">
        <v>29572</v>
      </c>
      <c r="C4033" s="19">
        <v>40332</v>
      </c>
      <c r="D4033" s="6" t="s">
        <v>28</v>
      </c>
      <c r="E4033" s="6">
        <f>IF((ISBLANK($B$1)),"",Sheet1!Q4042)</f>
        <v>4300</v>
      </c>
      <c r="F4033" s="20" t="s">
        <v>29</v>
      </c>
      <c r="G4033" s="53">
        <f t="shared" si="63"/>
        <v>-0.52307078595551704</v>
      </c>
      <c r="H4033" s="35"/>
      <c r="P4033" s="6"/>
    </row>
    <row r="4034" spans="1:16" ht="14.4" x14ac:dyDescent="0.25">
      <c r="A4034" s="6">
        <v>4204</v>
      </c>
      <c r="B4034" s="6">
        <v>29889</v>
      </c>
      <c r="C4034" s="19">
        <v>40151</v>
      </c>
      <c r="D4034" s="6" t="s">
        <v>28</v>
      </c>
      <c r="E4034" s="6">
        <f>IF((ISBLANK($B$1)),"",Sheet1!Q4043)</f>
        <v>5600</v>
      </c>
      <c r="F4034" s="20" t="s">
        <v>26</v>
      </c>
      <c r="G4034" s="53">
        <f t="shared" si="63"/>
        <v>1.2721697685668893</v>
      </c>
      <c r="H4034" s="35"/>
      <c r="P4034" s="6"/>
    </row>
    <row r="4035" spans="1:16" ht="14.4" x14ac:dyDescent="0.25">
      <c r="A4035" s="6">
        <v>4206</v>
      </c>
      <c r="B4035" s="6">
        <v>29894</v>
      </c>
      <c r="C4035" s="19">
        <v>40428</v>
      </c>
      <c r="D4035" s="6" t="s">
        <v>25</v>
      </c>
      <c r="E4035" s="6">
        <f>IF((ISBLANK($B$1)),"",Sheet1!Q4044)</f>
        <v>5550</v>
      </c>
      <c r="F4035" s="20" t="s">
        <v>29</v>
      </c>
      <c r="G4035" s="53">
        <f t="shared" si="63"/>
        <v>1.2031220549314123</v>
      </c>
      <c r="H4035" s="35"/>
      <c r="P4035" s="6"/>
    </row>
    <row r="4036" spans="1:16" ht="14.4" x14ac:dyDescent="0.25">
      <c r="A4036" s="6">
        <v>4207</v>
      </c>
      <c r="B4036" s="6">
        <v>29894</v>
      </c>
      <c r="C4036" s="19">
        <v>40428</v>
      </c>
      <c r="D4036" s="6" t="s">
        <v>25</v>
      </c>
      <c r="E4036" s="6">
        <f>IF((ISBLANK($B$1)),"",Sheet1!Q4045)</f>
        <v>5800</v>
      </c>
      <c r="F4036" s="20" t="s">
        <v>26</v>
      </c>
      <c r="G4036" s="53">
        <f t="shared" si="63"/>
        <v>1.5483606231087981</v>
      </c>
      <c r="H4036" s="35"/>
      <c r="P4036" s="6"/>
    </row>
    <row r="4037" spans="1:16" ht="14.4" x14ac:dyDescent="0.25">
      <c r="A4037" s="6">
        <v>4218</v>
      </c>
      <c r="B4037" s="6">
        <v>29985</v>
      </c>
      <c r="C4037" s="19">
        <v>41101</v>
      </c>
      <c r="D4037" s="6" t="s">
        <v>30</v>
      </c>
      <c r="E4037" s="6">
        <f>IF((ISBLANK($B$1)),"",Sheet1!Q4046)</f>
        <v>3500</v>
      </c>
      <c r="F4037" s="20" t="s">
        <v>26</v>
      </c>
      <c r="G4037" s="53">
        <f t="shared" si="63"/>
        <v>-1.6278342041231517</v>
      </c>
      <c r="H4037" s="35"/>
      <c r="P4037" s="6"/>
    </row>
    <row r="4038" spans="1:16" ht="14.4" x14ac:dyDescent="0.25">
      <c r="A4038" s="6">
        <v>4232</v>
      </c>
      <c r="B4038" s="6">
        <v>30054</v>
      </c>
      <c r="C4038" s="19">
        <v>41153</v>
      </c>
      <c r="D4038" s="6" t="s">
        <v>28</v>
      </c>
      <c r="E4038" s="6">
        <f>IF((ISBLANK($B$1)),"",Sheet1!Q4047)</f>
        <v>5050</v>
      </c>
      <c r="F4038" s="20" t="s">
        <v>29</v>
      </c>
      <c r="G4038" s="53">
        <f t="shared" si="63"/>
        <v>0.51264491857664052</v>
      </c>
      <c r="H4038" s="35"/>
      <c r="P4038" s="6"/>
    </row>
    <row r="4039" spans="1:16" ht="14.4" x14ac:dyDescent="0.25">
      <c r="A4039" s="6">
        <v>4244</v>
      </c>
      <c r="B4039" s="6">
        <v>30208</v>
      </c>
      <c r="C4039" s="19">
        <v>41106</v>
      </c>
      <c r="D4039" s="6" t="s">
        <v>25</v>
      </c>
      <c r="E4039" s="6">
        <f>IF((ISBLANK($B$1)),"",Sheet1!Q4048)</f>
        <v>5700</v>
      </c>
      <c r="F4039" s="20" t="s">
        <v>27</v>
      </c>
      <c r="G4039" s="53">
        <f t="shared" si="63"/>
        <v>1.4102651958378438</v>
      </c>
      <c r="H4039" s="35"/>
      <c r="P4039" s="6"/>
    </row>
    <row r="4040" spans="1:16" ht="14.4" x14ac:dyDescent="0.25">
      <c r="A4040" s="6">
        <v>4265</v>
      </c>
      <c r="B4040" s="6">
        <v>30369</v>
      </c>
      <c r="C4040" s="19">
        <v>40626</v>
      </c>
      <c r="D4040" s="6" t="s">
        <v>30</v>
      </c>
      <c r="E4040" s="6">
        <f>IF((ISBLANK($B$1)),"",Sheet1!Q4049)</f>
        <v>4050</v>
      </c>
      <c r="F4040" s="20" t="s">
        <v>26</v>
      </c>
      <c r="G4040" s="53">
        <f t="shared" ref="G4040:G4103" si="64">STANDARDIZE(E4040,$L$26,$L$35)</f>
        <v>-0.86830935413290289</v>
      </c>
      <c r="H4040" s="35"/>
      <c r="P4040" s="6"/>
    </row>
    <row r="4041" spans="1:16" ht="14.4" x14ac:dyDescent="0.25">
      <c r="A4041" s="6">
        <v>4266</v>
      </c>
      <c r="B4041" s="6">
        <v>30369</v>
      </c>
      <c r="C4041" s="19">
        <v>40626</v>
      </c>
      <c r="D4041" s="6" t="s">
        <v>30</v>
      </c>
      <c r="E4041" s="6">
        <f>IF((ISBLANK($B$1)),"",Sheet1!Q4050)</f>
        <v>4450</v>
      </c>
      <c r="F4041" s="20" t="s">
        <v>26</v>
      </c>
      <c r="G4041" s="53">
        <f t="shared" si="64"/>
        <v>-0.31592764504908549</v>
      </c>
      <c r="H4041" s="35"/>
      <c r="P4041" s="6"/>
    </row>
    <row r="4042" spans="1:16" ht="14.4" x14ac:dyDescent="0.25">
      <c r="A4042" s="6">
        <v>4313</v>
      </c>
      <c r="B4042" s="6">
        <v>30726</v>
      </c>
      <c r="C4042" s="19">
        <v>40142</v>
      </c>
      <c r="D4042" s="6" t="s">
        <v>16</v>
      </c>
      <c r="E4042" s="6">
        <f>IF((ISBLANK($B$1)),"",Sheet1!Q4051)</f>
        <v>5150</v>
      </c>
      <c r="F4042" s="20" t="s">
        <v>26</v>
      </c>
      <c r="G4042" s="53">
        <f t="shared" si="64"/>
        <v>0.65074034584759488</v>
      </c>
      <c r="H4042" s="35"/>
      <c r="P4042" s="6"/>
    </row>
    <row r="4043" spans="1:16" ht="14.4" x14ac:dyDescent="0.25">
      <c r="A4043" s="6">
        <v>4314</v>
      </c>
      <c r="B4043" s="6">
        <v>30727</v>
      </c>
      <c r="C4043" s="19">
        <v>41115</v>
      </c>
      <c r="D4043" s="6" t="s">
        <v>16</v>
      </c>
      <c r="E4043" s="6">
        <f>IF((ISBLANK($B$1)),"",Sheet1!Q4052)</f>
        <v>4800</v>
      </c>
      <c r="F4043" s="20" t="s">
        <v>26</v>
      </c>
      <c r="G4043" s="53">
        <f t="shared" si="64"/>
        <v>0.16740635039925467</v>
      </c>
      <c r="H4043" s="35"/>
      <c r="P4043" s="6"/>
    </row>
    <row r="4044" spans="1:16" ht="14.4" x14ac:dyDescent="0.25">
      <c r="A4044" s="6">
        <v>4341</v>
      </c>
      <c r="B4044" s="6">
        <v>30915</v>
      </c>
      <c r="C4044" s="19">
        <v>39829</v>
      </c>
      <c r="D4044" s="6" t="s">
        <v>25</v>
      </c>
      <c r="E4044" s="6">
        <f>IF((ISBLANK($B$1)),"",Sheet1!Q4053)</f>
        <v>4400</v>
      </c>
      <c r="F4044" s="20" t="s">
        <v>26</v>
      </c>
      <c r="G4044" s="53">
        <f t="shared" si="64"/>
        <v>-0.38497535868456267</v>
      </c>
      <c r="H4044" s="35"/>
      <c r="P4044" s="6"/>
    </row>
    <row r="4045" spans="1:16" ht="14.4" x14ac:dyDescent="0.25">
      <c r="A4045" s="6">
        <v>4342</v>
      </c>
      <c r="B4045" s="6">
        <v>30915</v>
      </c>
      <c r="C4045" s="19">
        <v>39829</v>
      </c>
      <c r="D4045" s="6" t="s">
        <v>25</v>
      </c>
      <c r="E4045" s="6">
        <f>IF((ISBLANK($B$1)),"",Sheet1!Q4054)</f>
        <v>4650</v>
      </c>
      <c r="F4045" s="20" t="s">
        <v>27</v>
      </c>
      <c r="G4045" s="53">
        <f t="shared" si="64"/>
        <v>-3.9736790507176829E-2</v>
      </c>
      <c r="H4045" s="35"/>
      <c r="P4045" s="6"/>
    </row>
    <row r="4046" spans="1:16" ht="14.4" x14ac:dyDescent="0.25">
      <c r="A4046" s="6">
        <v>4359</v>
      </c>
      <c r="B4046" s="6">
        <v>31072</v>
      </c>
      <c r="C4046" s="19">
        <v>40511</v>
      </c>
      <c r="D4046" s="6" t="s">
        <v>25</v>
      </c>
      <c r="E4046" s="6">
        <f>IF((ISBLANK($B$1)),"",Sheet1!Q4055)</f>
        <v>3600</v>
      </c>
      <c r="F4046" s="20" t="s">
        <v>26</v>
      </c>
      <c r="G4046" s="53">
        <f t="shared" si="64"/>
        <v>-1.4897387768521975</v>
      </c>
      <c r="H4046" s="35"/>
      <c r="P4046" s="6"/>
    </row>
    <row r="4047" spans="1:16" ht="14.4" x14ac:dyDescent="0.25">
      <c r="A4047" s="6">
        <v>4360</v>
      </c>
      <c r="B4047" s="6">
        <v>31073</v>
      </c>
      <c r="C4047" s="19">
        <v>40384</v>
      </c>
      <c r="D4047" s="6" t="s">
        <v>16</v>
      </c>
      <c r="E4047" s="6">
        <f>IF((ISBLANK($B$1)),"",Sheet1!Q4056)</f>
        <v>5350</v>
      </c>
      <c r="F4047" s="20" t="s">
        <v>29</v>
      </c>
      <c r="G4047" s="53">
        <f t="shared" si="64"/>
        <v>0.92693120038950361</v>
      </c>
      <c r="H4047" s="35"/>
      <c r="P4047" s="6"/>
    </row>
    <row r="4048" spans="1:16" ht="14.4" x14ac:dyDescent="0.25">
      <c r="A4048" s="6">
        <v>4361</v>
      </c>
      <c r="B4048" s="6">
        <v>31073</v>
      </c>
      <c r="C4048" s="19">
        <v>40384</v>
      </c>
      <c r="D4048" s="6" t="s">
        <v>16</v>
      </c>
      <c r="E4048" s="6">
        <f>IF((ISBLANK($B$1)),"",Sheet1!Q4057)</f>
        <v>4700</v>
      </c>
      <c r="F4048" s="20" t="s">
        <v>26</v>
      </c>
      <c r="G4048" s="53">
        <f t="shared" si="64"/>
        <v>2.9310923128300338E-2</v>
      </c>
      <c r="H4048" s="35"/>
      <c r="P4048" s="6"/>
    </row>
    <row r="4049" spans="1:16" ht="14.4" x14ac:dyDescent="0.25">
      <c r="A4049" s="6">
        <v>4370</v>
      </c>
      <c r="B4049" s="6">
        <v>31138</v>
      </c>
      <c r="C4049" s="19">
        <v>39834</v>
      </c>
      <c r="D4049" s="6" t="s">
        <v>17</v>
      </c>
      <c r="E4049" s="6">
        <f>IF((ISBLANK($B$1)),"",Sheet1!Q4058)</f>
        <v>5250</v>
      </c>
      <c r="F4049" s="20" t="s">
        <v>29</v>
      </c>
      <c r="G4049" s="53">
        <f t="shared" si="64"/>
        <v>0.78883577311854924</v>
      </c>
      <c r="H4049" s="35"/>
      <c r="P4049" s="6"/>
    </row>
    <row r="4050" spans="1:16" ht="14.4" x14ac:dyDescent="0.25">
      <c r="A4050" s="6">
        <v>4375</v>
      </c>
      <c r="B4050" s="6">
        <v>31173</v>
      </c>
      <c r="C4050" s="19">
        <v>41139</v>
      </c>
      <c r="D4050" s="6" t="s">
        <v>25</v>
      </c>
      <c r="E4050" s="6">
        <f>IF((ISBLANK($B$1)),"",Sheet1!Q4059)</f>
        <v>4600</v>
      </c>
      <c r="F4050" s="20" t="s">
        <v>27</v>
      </c>
      <c r="G4050" s="53">
        <f t="shared" si="64"/>
        <v>-0.108784504142654</v>
      </c>
      <c r="H4050" s="35"/>
      <c r="P4050" s="6"/>
    </row>
    <row r="4051" spans="1:16" ht="14.4" x14ac:dyDescent="0.25">
      <c r="A4051" s="6">
        <v>4463</v>
      </c>
      <c r="B4051" s="6">
        <v>31812</v>
      </c>
      <c r="C4051" s="19">
        <v>40755</v>
      </c>
      <c r="D4051" s="6" t="s">
        <v>17</v>
      </c>
      <c r="E4051" s="6">
        <f>IF((ISBLANK($B$1)),"",Sheet1!Q4060)</f>
        <v>4100</v>
      </c>
      <c r="F4051" s="20" t="s">
        <v>26</v>
      </c>
      <c r="G4051" s="53">
        <f t="shared" si="64"/>
        <v>-0.79926164049742576</v>
      </c>
      <c r="H4051" s="35"/>
      <c r="P4051" s="6"/>
    </row>
    <row r="4052" spans="1:16" ht="14.4" x14ac:dyDescent="0.25">
      <c r="A4052" s="6">
        <v>4464</v>
      </c>
      <c r="B4052" s="6">
        <v>31812</v>
      </c>
      <c r="C4052" s="19">
        <v>40755</v>
      </c>
      <c r="D4052" s="6" t="s">
        <v>17</v>
      </c>
      <c r="E4052" s="6">
        <f>IF((ISBLANK($B$1)),"",Sheet1!Q4061)</f>
        <v>4950</v>
      </c>
      <c r="F4052" s="20" t="s">
        <v>26</v>
      </c>
      <c r="G4052" s="53">
        <f t="shared" si="64"/>
        <v>0.37454949130568621</v>
      </c>
      <c r="H4052" s="35"/>
      <c r="P4052" s="6"/>
    </row>
    <row r="4053" spans="1:16" ht="14.4" x14ac:dyDescent="0.25">
      <c r="A4053" s="6">
        <v>4496</v>
      </c>
      <c r="B4053" s="6">
        <v>32002</v>
      </c>
      <c r="C4053" s="19">
        <v>40379</v>
      </c>
      <c r="D4053" s="6" t="s">
        <v>25</v>
      </c>
      <c r="E4053" s="6">
        <f>IF((ISBLANK($B$1)),"",Sheet1!Q4062)</f>
        <v>5250</v>
      </c>
      <c r="F4053" s="20" t="s">
        <v>27</v>
      </c>
      <c r="G4053" s="53">
        <f t="shared" si="64"/>
        <v>0.78883577311854924</v>
      </c>
      <c r="H4053" s="35"/>
      <c r="P4053" s="6"/>
    </row>
    <row r="4054" spans="1:16" ht="14.4" x14ac:dyDescent="0.25">
      <c r="A4054" s="6">
        <v>4497</v>
      </c>
      <c r="B4054" s="6">
        <v>32002</v>
      </c>
      <c r="C4054" s="19">
        <v>40379</v>
      </c>
      <c r="D4054" s="6" t="s">
        <v>25</v>
      </c>
      <c r="E4054" s="6">
        <f>IF((ISBLANK($B$1)),"",Sheet1!Q4063)</f>
        <v>3750</v>
      </c>
      <c r="F4054" s="20" t="s">
        <v>29</v>
      </c>
      <c r="G4054" s="53">
        <f t="shared" si="64"/>
        <v>-1.282595635945766</v>
      </c>
      <c r="H4054" s="35"/>
      <c r="P4054" s="6"/>
    </row>
    <row r="4055" spans="1:16" ht="14.4" x14ac:dyDescent="0.25">
      <c r="A4055" s="6">
        <v>4541</v>
      </c>
      <c r="B4055" s="6">
        <v>32323</v>
      </c>
      <c r="C4055" s="19">
        <v>40382</v>
      </c>
      <c r="D4055" s="6" t="s">
        <v>17</v>
      </c>
      <c r="E4055" s="6">
        <f>IF((ISBLANK($B$1)),"",Sheet1!Q4064)</f>
        <v>3550</v>
      </c>
      <c r="F4055" s="20" t="s">
        <v>27</v>
      </c>
      <c r="G4055" s="53">
        <f t="shared" si="64"/>
        <v>-1.5587864904876745</v>
      </c>
      <c r="H4055" s="35"/>
      <c r="P4055" s="6"/>
    </row>
    <row r="4056" spans="1:16" ht="14.4" x14ac:dyDescent="0.25">
      <c r="A4056" s="6">
        <v>4542</v>
      </c>
      <c r="B4056" s="6">
        <v>32323</v>
      </c>
      <c r="C4056" s="19">
        <v>40382</v>
      </c>
      <c r="D4056" s="6" t="s">
        <v>17</v>
      </c>
      <c r="E4056" s="6">
        <f>IF((ISBLANK($B$1)),"",Sheet1!Q4065)</f>
        <v>3550</v>
      </c>
      <c r="F4056" s="20" t="s">
        <v>26</v>
      </c>
      <c r="G4056" s="53">
        <f t="shared" si="64"/>
        <v>-1.5587864904876745</v>
      </c>
      <c r="H4056" s="35"/>
      <c r="P4056" s="6"/>
    </row>
    <row r="4057" spans="1:16" ht="14.4" x14ac:dyDescent="0.25">
      <c r="A4057" s="6">
        <v>4543</v>
      </c>
      <c r="B4057" s="6">
        <v>32323</v>
      </c>
      <c r="C4057" s="19">
        <v>40382</v>
      </c>
      <c r="D4057" s="6" t="s">
        <v>17</v>
      </c>
      <c r="E4057" s="6">
        <f>IF((ISBLANK($B$1)),"",Sheet1!Q4066)</f>
        <v>5300</v>
      </c>
      <c r="F4057" s="20" t="s">
        <v>27</v>
      </c>
      <c r="G4057" s="53">
        <f t="shared" si="64"/>
        <v>0.85788348675402637</v>
      </c>
      <c r="H4057" s="35"/>
      <c r="P4057" s="6"/>
    </row>
    <row r="4058" spans="1:16" ht="14.4" x14ac:dyDescent="0.25">
      <c r="A4058" s="6">
        <v>4564</v>
      </c>
      <c r="B4058" s="6">
        <v>32454</v>
      </c>
      <c r="C4058" s="19">
        <v>40633</v>
      </c>
      <c r="D4058" s="6" t="s">
        <v>30</v>
      </c>
      <c r="E4058" s="6">
        <f>IF((ISBLANK($B$1)),"",Sheet1!Q4067)</f>
        <v>4000</v>
      </c>
      <c r="F4058" s="20" t="s">
        <v>26</v>
      </c>
      <c r="G4058" s="53">
        <f t="shared" si="64"/>
        <v>-0.93735706776838001</v>
      </c>
      <c r="H4058" s="35"/>
      <c r="P4058" s="6"/>
    </row>
    <row r="4059" spans="1:16" ht="14.4" x14ac:dyDescent="0.25">
      <c r="A4059" s="6">
        <v>4569</v>
      </c>
      <c r="B4059" s="6">
        <v>32516</v>
      </c>
      <c r="C4059" s="19">
        <v>40475</v>
      </c>
      <c r="D4059" s="6" t="s">
        <v>30</v>
      </c>
      <c r="E4059" s="6">
        <f>IF((ISBLANK($B$1)),"",Sheet1!Q4068)</f>
        <v>4150</v>
      </c>
      <c r="F4059" s="20" t="s">
        <v>26</v>
      </c>
      <c r="G4059" s="53">
        <f t="shared" si="64"/>
        <v>-0.73021392686194853</v>
      </c>
      <c r="H4059" s="35"/>
      <c r="P4059" s="6"/>
    </row>
    <row r="4060" spans="1:16" ht="14.4" x14ac:dyDescent="0.25">
      <c r="A4060" s="6">
        <v>4570</v>
      </c>
      <c r="B4060" s="6">
        <v>32516</v>
      </c>
      <c r="C4060" s="19">
        <v>40475</v>
      </c>
      <c r="D4060" s="6" t="s">
        <v>30</v>
      </c>
      <c r="E4060" s="6">
        <f>IF((ISBLANK($B$1)),"",Sheet1!Q4069)</f>
        <v>3750</v>
      </c>
      <c r="F4060" s="20" t="s">
        <v>26</v>
      </c>
      <c r="G4060" s="53">
        <f t="shared" si="64"/>
        <v>-1.282595635945766</v>
      </c>
      <c r="H4060" s="35"/>
      <c r="P4060" s="6"/>
    </row>
    <row r="4061" spans="1:16" ht="14.4" x14ac:dyDescent="0.25">
      <c r="A4061" s="6">
        <v>4577</v>
      </c>
      <c r="B4061" s="6">
        <v>32608</v>
      </c>
      <c r="C4061" s="19">
        <v>41051</v>
      </c>
      <c r="D4061" s="6" t="s">
        <v>17</v>
      </c>
      <c r="E4061" s="6">
        <f>IF((ISBLANK($B$1)),"",Sheet1!Q4070)</f>
        <v>4400</v>
      </c>
      <c r="F4061" s="20" t="s">
        <v>26</v>
      </c>
      <c r="G4061" s="53">
        <f t="shared" si="64"/>
        <v>-0.38497535868456267</v>
      </c>
      <c r="H4061" s="35"/>
      <c r="P4061" s="6"/>
    </row>
    <row r="4062" spans="1:16" ht="14.4" x14ac:dyDescent="0.25">
      <c r="A4062" s="6">
        <v>4704</v>
      </c>
      <c r="B4062" s="6">
        <v>33510</v>
      </c>
      <c r="C4062" s="19">
        <v>40879</v>
      </c>
      <c r="D4062" s="6" t="s">
        <v>17</v>
      </c>
      <c r="E4062" s="6">
        <f>IF((ISBLANK($B$1)),"",Sheet1!Q4071)</f>
        <v>5500</v>
      </c>
      <c r="F4062" s="20" t="s">
        <v>29</v>
      </c>
      <c r="G4062" s="53">
        <f t="shared" si="64"/>
        <v>1.1340743412959351</v>
      </c>
      <c r="H4062" s="35"/>
      <c r="P4062" s="6"/>
    </row>
    <row r="4063" spans="1:16" ht="14.4" x14ac:dyDescent="0.25">
      <c r="A4063" s="6">
        <v>4705</v>
      </c>
      <c r="B4063" s="6">
        <v>33510</v>
      </c>
      <c r="C4063" s="19">
        <v>40879</v>
      </c>
      <c r="D4063" s="6" t="s">
        <v>17</v>
      </c>
      <c r="E4063" s="6">
        <f>IF((ISBLANK($B$1)),"",Sheet1!Q4072)</f>
        <v>3950</v>
      </c>
      <c r="F4063" s="20" t="s">
        <v>26</v>
      </c>
      <c r="G4063" s="53">
        <f t="shared" si="64"/>
        <v>-1.0064047814038573</v>
      </c>
      <c r="H4063" s="35"/>
      <c r="P4063" s="6"/>
    </row>
    <row r="4064" spans="1:16" ht="14.4" x14ac:dyDescent="0.25">
      <c r="A4064" s="6">
        <v>4709</v>
      </c>
      <c r="B4064" s="6">
        <v>33541</v>
      </c>
      <c r="C4064" s="19">
        <v>41079</v>
      </c>
      <c r="D4064" s="6" t="s">
        <v>30</v>
      </c>
      <c r="E4064" s="6">
        <f>IF((ISBLANK($B$1)),"",Sheet1!Q4073)</f>
        <v>5550</v>
      </c>
      <c r="F4064" s="20" t="s">
        <v>29</v>
      </c>
      <c r="G4064" s="53">
        <f t="shared" si="64"/>
        <v>1.2031220549314123</v>
      </c>
      <c r="H4064" s="35"/>
      <c r="P4064" s="6"/>
    </row>
    <row r="4065" spans="1:16" ht="14.4" x14ac:dyDescent="0.25">
      <c r="A4065" s="6">
        <v>4717</v>
      </c>
      <c r="B4065" s="6">
        <v>33573</v>
      </c>
      <c r="C4065" s="19">
        <v>40455</v>
      </c>
      <c r="D4065" s="6" t="s">
        <v>30</v>
      </c>
      <c r="E4065" s="6">
        <f>IF((ISBLANK($B$1)),"",Sheet1!Q4074)</f>
        <v>4150</v>
      </c>
      <c r="F4065" s="20" t="s">
        <v>29</v>
      </c>
      <c r="G4065" s="53">
        <f t="shared" si="64"/>
        <v>-0.73021392686194853</v>
      </c>
      <c r="H4065" s="35"/>
      <c r="P4065" s="6"/>
    </row>
    <row r="4066" spans="1:16" ht="14.4" x14ac:dyDescent="0.25">
      <c r="A4066" s="6">
        <v>4831</v>
      </c>
      <c r="B4066" s="6">
        <v>34371</v>
      </c>
      <c r="C4066" s="19">
        <v>40269</v>
      </c>
      <c r="D4066" s="6" t="s">
        <v>16</v>
      </c>
      <c r="E4066" s="6">
        <f>IF((ISBLANK($B$1)),"",Sheet1!Q4075)</f>
        <v>4300</v>
      </c>
      <c r="F4066" s="20" t="s">
        <v>27</v>
      </c>
      <c r="G4066" s="53">
        <f t="shared" si="64"/>
        <v>-0.52307078595551704</v>
      </c>
      <c r="H4066" s="35"/>
      <c r="P4066" s="6"/>
    </row>
    <row r="4067" spans="1:16" ht="14.4" x14ac:dyDescent="0.25">
      <c r="A4067" s="6">
        <v>4851</v>
      </c>
      <c r="B4067" s="6">
        <v>34530</v>
      </c>
      <c r="C4067" s="19">
        <v>40420</v>
      </c>
      <c r="D4067" s="6" t="s">
        <v>25</v>
      </c>
      <c r="E4067" s="6">
        <f>IF((ISBLANK($B$1)),"",Sheet1!Q4076)</f>
        <v>4500</v>
      </c>
      <c r="F4067" s="20" t="s">
        <v>26</v>
      </c>
      <c r="G4067" s="53">
        <f t="shared" si="64"/>
        <v>-0.24687993141360834</v>
      </c>
      <c r="H4067" s="35"/>
      <c r="P4067" s="6"/>
    </row>
    <row r="4068" spans="1:16" ht="14.4" x14ac:dyDescent="0.25">
      <c r="A4068" s="6">
        <v>4852</v>
      </c>
      <c r="B4068" s="6">
        <v>34530</v>
      </c>
      <c r="C4068" s="19">
        <v>40420</v>
      </c>
      <c r="D4068" s="6" t="s">
        <v>25</v>
      </c>
      <c r="E4068" s="6">
        <f>IF((ISBLANK($B$1)),"",Sheet1!Q4077)</f>
        <v>5300</v>
      </c>
      <c r="F4068" s="20" t="s">
        <v>27</v>
      </c>
      <c r="G4068" s="53">
        <f t="shared" si="64"/>
        <v>0.85788348675402637</v>
      </c>
      <c r="H4068" s="35"/>
      <c r="P4068" s="6"/>
    </row>
    <row r="4069" spans="1:16" ht="14.4" x14ac:dyDescent="0.25">
      <c r="A4069" s="6">
        <v>4853</v>
      </c>
      <c r="B4069" s="6">
        <v>34530</v>
      </c>
      <c r="C4069" s="19">
        <v>40420</v>
      </c>
      <c r="D4069" s="6" t="s">
        <v>25</v>
      </c>
      <c r="E4069" s="6">
        <f>IF((ISBLANK($B$1)),"",Sheet1!Q4078)</f>
        <v>3750</v>
      </c>
      <c r="F4069" s="20" t="s">
        <v>29</v>
      </c>
      <c r="G4069" s="53">
        <f t="shared" si="64"/>
        <v>-1.282595635945766</v>
      </c>
      <c r="H4069" s="35"/>
      <c r="P4069" s="6"/>
    </row>
    <row r="4070" spans="1:16" ht="14.4" x14ac:dyDescent="0.25">
      <c r="A4070" s="6">
        <v>4855</v>
      </c>
      <c r="B4070" s="6">
        <v>34562</v>
      </c>
      <c r="C4070" s="19">
        <v>40414</v>
      </c>
      <c r="D4070" s="6" t="s">
        <v>25</v>
      </c>
      <c r="E4070" s="6">
        <f>IF((ISBLANK($B$1)),"",Sheet1!Q4079)</f>
        <v>4500</v>
      </c>
      <c r="F4070" s="20" t="s">
        <v>27</v>
      </c>
      <c r="G4070" s="53">
        <f t="shared" si="64"/>
        <v>-0.24687993141360834</v>
      </c>
      <c r="H4070" s="35"/>
      <c r="P4070" s="6"/>
    </row>
    <row r="4071" spans="1:16" ht="14.4" x14ac:dyDescent="0.25">
      <c r="A4071" s="6">
        <v>4856</v>
      </c>
      <c r="B4071" s="6">
        <v>34562</v>
      </c>
      <c r="C4071" s="19">
        <v>40414</v>
      </c>
      <c r="D4071" s="6" t="s">
        <v>25</v>
      </c>
      <c r="E4071" s="6">
        <f>IF((ISBLANK($B$1)),"",Sheet1!Q4080)</f>
        <v>4350</v>
      </c>
      <c r="F4071" s="20" t="s">
        <v>26</v>
      </c>
      <c r="G4071" s="53">
        <f t="shared" si="64"/>
        <v>-0.45402307232003986</v>
      </c>
      <c r="H4071" s="35"/>
      <c r="P4071" s="6"/>
    </row>
    <row r="4072" spans="1:16" ht="14.4" x14ac:dyDescent="0.25">
      <c r="A4072" s="6">
        <v>4980</v>
      </c>
      <c r="B4072" s="6">
        <v>35430</v>
      </c>
      <c r="C4072" s="19">
        <v>40262</v>
      </c>
      <c r="D4072" s="6" t="s">
        <v>25</v>
      </c>
      <c r="E4072" s="6">
        <f>IF((ISBLANK($B$1)),"",Sheet1!Q4081)</f>
        <v>4200</v>
      </c>
      <c r="F4072" s="20" t="s">
        <v>29</v>
      </c>
      <c r="G4072" s="53">
        <f t="shared" si="64"/>
        <v>-0.6611662132264714</v>
      </c>
      <c r="H4072" s="35"/>
      <c r="P4072" s="6"/>
    </row>
    <row r="4073" spans="1:16" ht="14.4" x14ac:dyDescent="0.25">
      <c r="A4073" s="6">
        <v>4981</v>
      </c>
      <c r="B4073" s="6">
        <v>35430</v>
      </c>
      <c r="C4073" s="19">
        <v>40262</v>
      </c>
      <c r="D4073" s="6" t="s">
        <v>25</v>
      </c>
      <c r="E4073" s="6">
        <f>IF((ISBLANK($B$1)),"",Sheet1!Q4082)</f>
        <v>5800</v>
      </c>
      <c r="F4073" s="20" t="s">
        <v>26</v>
      </c>
      <c r="G4073" s="53">
        <f t="shared" si="64"/>
        <v>1.5483606231087981</v>
      </c>
      <c r="H4073" s="35"/>
      <c r="P4073" s="6"/>
    </row>
    <row r="4074" spans="1:16" ht="14.4" x14ac:dyDescent="0.25">
      <c r="A4074" s="6">
        <v>4982</v>
      </c>
      <c r="B4074" s="6">
        <v>35430</v>
      </c>
      <c r="C4074" s="19">
        <v>40262</v>
      </c>
      <c r="D4074" s="6" t="s">
        <v>25</v>
      </c>
      <c r="E4074" s="6">
        <f>IF((ISBLANK($B$1)),"",Sheet1!Q4083)</f>
        <v>4950</v>
      </c>
      <c r="F4074" s="20" t="s">
        <v>27</v>
      </c>
      <c r="G4074" s="53">
        <f t="shared" si="64"/>
        <v>0.37454949130568621</v>
      </c>
      <c r="H4074" s="35"/>
      <c r="P4074" s="6"/>
    </row>
    <row r="4075" spans="1:16" ht="14.4" x14ac:dyDescent="0.25">
      <c r="A4075" s="6">
        <v>4999</v>
      </c>
      <c r="B4075" s="6">
        <v>35588</v>
      </c>
      <c r="C4075" s="19">
        <v>40342</v>
      </c>
      <c r="D4075" s="6" t="s">
        <v>25</v>
      </c>
      <c r="E4075" s="6">
        <f>IF((ISBLANK($B$1)),"",Sheet1!Q4084)</f>
        <v>5000</v>
      </c>
      <c r="F4075" s="20" t="s">
        <v>29</v>
      </c>
      <c r="G4075" s="53">
        <f t="shared" si="64"/>
        <v>0.44359720494116334</v>
      </c>
      <c r="H4075" s="35"/>
      <c r="P4075" s="6"/>
    </row>
    <row r="4076" spans="1:16" ht="14.4" x14ac:dyDescent="0.25">
      <c r="A4076" s="6">
        <v>5007</v>
      </c>
      <c r="B4076" s="6">
        <v>35712</v>
      </c>
      <c r="C4076" s="19">
        <v>41205</v>
      </c>
      <c r="D4076" s="6" t="s">
        <v>17</v>
      </c>
      <c r="E4076" s="6">
        <f>IF((ISBLANK($B$1)),"",Sheet1!Q4085)</f>
        <v>5500</v>
      </c>
      <c r="F4076" s="20" t="s">
        <v>27</v>
      </c>
      <c r="G4076" s="53">
        <f t="shared" si="64"/>
        <v>1.1340743412959351</v>
      </c>
      <c r="H4076" s="35"/>
      <c r="P4076" s="6"/>
    </row>
    <row r="4077" spans="1:16" ht="14.4" x14ac:dyDescent="0.25">
      <c r="A4077" s="6">
        <v>5008</v>
      </c>
      <c r="B4077" s="6">
        <v>35712</v>
      </c>
      <c r="C4077" s="19">
        <v>41205</v>
      </c>
      <c r="D4077" s="6" t="s">
        <v>17</v>
      </c>
      <c r="E4077" s="6">
        <f>IF((ISBLANK($B$1)),"",Sheet1!Q4086)</f>
        <v>4600</v>
      </c>
      <c r="F4077" s="20" t="s">
        <v>26</v>
      </c>
      <c r="G4077" s="53">
        <f t="shared" si="64"/>
        <v>-0.108784504142654</v>
      </c>
      <c r="H4077" s="35"/>
      <c r="P4077" s="6"/>
    </row>
    <row r="4078" spans="1:16" ht="14.4" x14ac:dyDescent="0.25">
      <c r="A4078" s="6">
        <v>5068</v>
      </c>
      <c r="B4078" s="6">
        <v>36130</v>
      </c>
      <c r="C4078" s="19">
        <v>41165</v>
      </c>
      <c r="D4078" s="6" t="s">
        <v>30</v>
      </c>
      <c r="E4078" s="6">
        <f>IF((ISBLANK($B$1)),"",Sheet1!Q4087)</f>
        <v>4550</v>
      </c>
      <c r="F4078" s="20" t="s">
        <v>27</v>
      </c>
      <c r="G4078" s="53">
        <f t="shared" si="64"/>
        <v>-0.17783221777813119</v>
      </c>
      <c r="H4078" s="35"/>
      <c r="P4078" s="6"/>
    </row>
    <row r="4079" spans="1:16" ht="14.4" x14ac:dyDescent="0.25">
      <c r="A4079" s="6">
        <v>5109</v>
      </c>
      <c r="B4079" s="6">
        <v>36416</v>
      </c>
      <c r="C4079" s="19">
        <v>40147</v>
      </c>
      <c r="D4079" s="6" t="s">
        <v>25</v>
      </c>
      <c r="E4079" s="6">
        <f>IF((ISBLANK($B$1)),"",Sheet1!Q4088)</f>
        <v>5600</v>
      </c>
      <c r="F4079" s="20" t="s">
        <v>26</v>
      </c>
      <c r="G4079" s="53">
        <f t="shared" si="64"/>
        <v>1.2721697685668893</v>
      </c>
      <c r="H4079" s="35"/>
      <c r="P4079" s="6"/>
    </row>
    <row r="4080" spans="1:16" ht="14.4" x14ac:dyDescent="0.25">
      <c r="A4080" s="6">
        <v>5110</v>
      </c>
      <c r="B4080" s="6">
        <v>36416</v>
      </c>
      <c r="C4080" s="19">
        <v>40147</v>
      </c>
      <c r="D4080" s="6" t="s">
        <v>25</v>
      </c>
      <c r="E4080" s="6">
        <f>IF((ISBLANK($B$1)),"",Sheet1!Q4089)</f>
        <v>5700</v>
      </c>
      <c r="F4080" s="20" t="s">
        <v>26</v>
      </c>
      <c r="G4080" s="53">
        <f t="shared" si="64"/>
        <v>1.4102651958378438</v>
      </c>
      <c r="H4080" s="35"/>
      <c r="P4080" s="6"/>
    </row>
    <row r="4081" spans="1:16" ht="14.4" x14ac:dyDescent="0.25">
      <c r="A4081" s="6">
        <v>5111</v>
      </c>
      <c r="B4081" s="6">
        <v>36418</v>
      </c>
      <c r="C4081" s="19">
        <v>40935</v>
      </c>
      <c r="D4081" s="6" t="s">
        <v>28</v>
      </c>
      <c r="E4081" s="6">
        <f>IF((ISBLANK($B$1)),"",Sheet1!Q4090)</f>
        <v>5050</v>
      </c>
      <c r="F4081" s="20" t="s">
        <v>26</v>
      </c>
      <c r="G4081" s="53">
        <f t="shared" si="64"/>
        <v>0.51264491857664052</v>
      </c>
      <c r="H4081" s="35"/>
      <c r="P4081" s="6"/>
    </row>
    <row r="4082" spans="1:16" ht="14.4" x14ac:dyDescent="0.25">
      <c r="A4082" s="6">
        <v>5129</v>
      </c>
      <c r="B4082" s="6">
        <v>36517</v>
      </c>
      <c r="C4082" s="19">
        <v>40238</v>
      </c>
      <c r="D4082" s="6" t="s">
        <v>28</v>
      </c>
      <c r="E4082" s="6">
        <f>IF((ISBLANK($B$1)),"",Sheet1!Q4091)</f>
        <v>4300</v>
      </c>
      <c r="F4082" s="20" t="s">
        <v>26</v>
      </c>
      <c r="G4082" s="53">
        <f t="shared" si="64"/>
        <v>-0.52307078595551704</v>
      </c>
      <c r="H4082" s="35"/>
      <c r="P4082" s="6"/>
    </row>
    <row r="4083" spans="1:16" ht="14.4" x14ac:dyDescent="0.25">
      <c r="A4083" s="6">
        <v>5130</v>
      </c>
      <c r="B4083" s="6">
        <v>36517</v>
      </c>
      <c r="C4083" s="19">
        <v>40238</v>
      </c>
      <c r="D4083" s="6" t="s">
        <v>28</v>
      </c>
      <c r="E4083" s="6">
        <f>IF((ISBLANK($B$1)),"",Sheet1!Q4092)</f>
        <v>3850</v>
      </c>
      <c r="F4083" s="20" t="s">
        <v>27</v>
      </c>
      <c r="G4083" s="53">
        <f t="shared" si="64"/>
        <v>-1.1445002086748115</v>
      </c>
      <c r="H4083" s="35"/>
      <c r="P4083" s="6"/>
    </row>
    <row r="4084" spans="1:16" ht="14.4" x14ac:dyDescent="0.25">
      <c r="A4084" s="6">
        <v>5151</v>
      </c>
      <c r="B4084" s="6">
        <v>36705</v>
      </c>
      <c r="C4084" s="19">
        <v>39989</v>
      </c>
      <c r="D4084" s="6" t="s">
        <v>28</v>
      </c>
      <c r="E4084" s="6">
        <f>IF((ISBLANK($B$1)),"",Sheet1!Q4093)</f>
        <v>4250</v>
      </c>
      <c r="F4084" s="20" t="s">
        <v>29</v>
      </c>
      <c r="G4084" s="53">
        <f t="shared" si="64"/>
        <v>-0.59211849959099416</v>
      </c>
      <c r="H4084" s="35"/>
      <c r="P4084" s="6"/>
    </row>
    <row r="4085" spans="1:16" ht="14.4" x14ac:dyDescent="0.25">
      <c r="A4085" s="6">
        <v>5179</v>
      </c>
      <c r="B4085" s="6">
        <v>36833</v>
      </c>
      <c r="C4085" s="19">
        <v>41101</v>
      </c>
      <c r="D4085" s="6" t="s">
        <v>25</v>
      </c>
      <c r="E4085" s="6">
        <f>IF((ISBLANK($B$1)),"",Sheet1!Q4094)</f>
        <v>4650</v>
      </c>
      <c r="F4085" s="20" t="s">
        <v>26</v>
      </c>
      <c r="G4085" s="53">
        <f t="shared" si="64"/>
        <v>-3.9736790507176829E-2</v>
      </c>
      <c r="H4085" s="35"/>
      <c r="P4085" s="6"/>
    </row>
    <row r="4086" spans="1:16" ht="14.4" x14ac:dyDescent="0.25">
      <c r="A4086" s="6">
        <v>5190</v>
      </c>
      <c r="B4086" s="6">
        <v>36896</v>
      </c>
      <c r="C4086" s="19">
        <v>40120</v>
      </c>
      <c r="D4086" s="6" t="s">
        <v>30</v>
      </c>
      <c r="E4086" s="6">
        <f>IF((ISBLANK($B$1)),"",Sheet1!Q4095)</f>
        <v>4000</v>
      </c>
      <c r="F4086" s="20" t="s">
        <v>26</v>
      </c>
      <c r="G4086" s="53">
        <f t="shared" si="64"/>
        <v>-0.93735706776838001</v>
      </c>
      <c r="H4086" s="35"/>
      <c r="P4086" s="6"/>
    </row>
    <row r="4087" spans="1:16" ht="14.4" x14ac:dyDescent="0.25">
      <c r="A4087" s="6">
        <v>5191</v>
      </c>
      <c r="B4087" s="6">
        <v>36896</v>
      </c>
      <c r="C4087" s="19">
        <v>40120</v>
      </c>
      <c r="D4087" s="6" t="s">
        <v>30</v>
      </c>
      <c r="E4087" s="6">
        <f>IF((ISBLANK($B$1)),"",Sheet1!Q4096)</f>
        <v>5450</v>
      </c>
      <c r="F4087" s="20" t="s">
        <v>29</v>
      </c>
      <c r="G4087" s="53">
        <f t="shared" si="64"/>
        <v>1.0650266276604579</v>
      </c>
      <c r="H4087" s="35"/>
      <c r="P4087" s="6"/>
    </row>
    <row r="4088" spans="1:16" ht="14.4" x14ac:dyDescent="0.25">
      <c r="A4088" s="6">
        <v>5192</v>
      </c>
      <c r="B4088" s="6">
        <v>36896</v>
      </c>
      <c r="C4088" s="19">
        <v>40120</v>
      </c>
      <c r="D4088" s="6" t="s">
        <v>30</v>
      </c>
      <c r="E4088" s="6">
        <f>IF((ISBLANK($B$1)),"",Sheet1!Q4097)</f>
        <v>4450</v>
      </c>
      <c r="F4088" s="20" t="s">
        <v>26</v>
      </c>
      <c r="G4088" s="53">
        <f t="shared" si="64"/>
        <v>-0.31592764504908549</v>
      </c>
      <c r="H4088" s="35"/>
      <c r="P4088" s="6"/>
    </row>
    <row r="4089" spans="1:16" ht="14.4" x14ac:dyDescent="0.25">
      <c r="A4089" s="6">
        <v>5215</v>
      </c>
      <c r="B4089" s="6">
        <v>37123</v>
      </c>
      <c r="C4089" s="19">
        <v>40957</v>
      </c>
      <c r="D4089" s="6" t="s">
        <v>17</v>
      </c>
      <c r="E4089" s="6">
        <f>IF((ISBLANK($B$1)),"",Sheet1!Q4098)</f>
        <v>5900</v>
      </c>
      <c r="F4089" s="20" t="s">
        <v>29</v>
      </c>
      <c r="G4089" s="53">
        <f t="shared" si="64"/>
        <v>1.6864560503797523</v>
      </c>
      <c r="H4089" s="35"/>
      <c r="P4089" s="6"/>
    </row>
    <row r="4090" spans="1:16" ht="14.4" x14ac:dyDescent="0.25">
      <c r="A4090" s="6">
        <v>5280</v>
      </c>
      <c r="B4090" s="6">
        <v>37572</v>
      </c>
      <c r="C4090" s="19">
        <v>40393</v>
      </c>
      <c r="D4090" s="6" t="s">
        <v>17</v>
      </c>
      <c r="E4090" s="6">
        <f>IF((ISBLANK($B$1)),"",Sheet1!Q4099)</f>
        <v>4500</v>
      </c>
      <c r="F4090" s="20" t="s">
        <v>26</v>
      </c>
      <c r="G4090" s="53">
        <f t="shared" si="64"/>
        <v>-0.24687993141360834</v>
      </c>
      <c r="H4090" s="35"/>
      <c r="P4090" s="6"/>
    </row>
    <row r="4091" spans="1:16" ht="14.4" x14ac:dyDescent="0.25">
      <c r="A4091" s="6">
        <v>5290</v>
      </c>
      <c r="B4091" s="6">
        <v>37669</v>
      </c>
      <c r="C4091" s="19">
        <v>40480</v>
      </c>
      <c r="D4091" s="6" t="s">
        <v>28</v>
      </c>
      <c r="E4091" s="6">
        <f>IF((ISBLANK($B$1)),"",Sheet1!Q4100)</f>
        <v>5350</v>
      </c>
      <c r="F4091" s="20" t="s">
        <v>26</v>
      </c>
      <c r="G4091" s="53">
        <f t="shared" si="64"/>
        <v>0.92693120038950361</v>
      </c>
      <c r="H4091" s="35"/>
      <c r="P4091" s="6"/>
    </row>
    <row r="4092" spans="1:16" ht="14.4" x14ac:dyDescent="0.25">
      <c r="A4092" s="6">
        <v>5291</v>
      </c>
      <c r="B4092" s="6">
        <v>37669</v>
      </c>
      <c r="C4092" s="19">
        <v>40480</v>
      </c>
      <c r="D4092" s="6" t="s">
        <v>28</v>
      </c>
      <c r="E4092" s="6">
        <f>IF((ISBLANK($B$1)),"",Sheet1!Q4101)</f>
        <v>4950</v>
      </c>
      <c r="F4092" s="20" t="s">
        <v>26</v>
      </c>
      <c r="G4092" s="53">
        <f t="shared" si="64"/>
        <v>0.37454949130568621</v>
      </c>
      <c r="H4092" s="35"/>
      <c r="P4092" s="6"/>
    </row>
    <row r="4093" spans="1:16" ht="14.4" x14ac:dyDescent="0.25">
      <c r="A4093" s="6">
        <v>5292</v>
      </c>
      <c r="B4093" s="6">
        <v>37669</v>
      </c>
      <c r="C4093" s="19">
        <v>40480</v>
      </c>
      <c r="D4093" s="6" t="s">
        <v>28</v>
      </c>
      <c r="E4093" s="6">
        <f>IF((ISBLANK($B$1)),"",Sheet1!Q4102)</f>
        <v>3600</v>
      </c>
      <c r="F4093" s="20" t="s">
        <v>26</v>
      </c>
      <c r="G4093" s="53">
        <f t="shared" si="64"/>
        <v>-1.4897387768521975</v>
      </c>
      <c r="H4093" s="35"/>
      <c r="P4093" s="6"/>
    </row>
    <row r="4094" spans="1:16" ht="14.4" x14ac:dyDescent="0.25">
      <c r="A4094" s="6">
        <v>5362</v>
      </c>
      <c r="B4094" s="6">
        <v>38117</v>
      </c>
      <c r="C4094" s="19">
        <v>40288</v>
      </c>
      <c r="D4094" s="6" t="s">
        <v>25</v>
      </c>
      <c r="E4094" s="6">
        <f>IF((ISBLANK($B$1)),"",Sheet1!Q4103)</f>
        <v>4800</v>
      </c>
      <c r="F4094" s="20" t="s">
        <v>26</v>
      </c>
      <c r="G4094" s="53">
        <f t="shared" si="64"/>
        <v>0.16740635039925467</v>
      </c>
      <c r="H4094" s="35"/>
      <c r="P4094" s="6"/>
    </row>
    <row r="4095" spans="1:16" ht="14.4" x14ac:dyDescent="0.25">
      <c r="A4095" s="6">
        <v>5372</v>
      </c>
      <c r="B4095" s="6">
        <v>38210</v>
      </c>
      <c r="C4095" s="19">
        <v>40524</v>
      </c>
      <c r="D4095" s="6" t="s">
        <v>25</v>
      </c>
      <c r="E4095" s="6">
        <f>IF((ISBLANK($B$1)),"",Sheet1!Q4104)</f>
        <v>3900</v>
      </c>
      <c r="F4095" s="20" t="s">
        <v>26</v>
      </c>
      <c r="G4095" s="53">
        <f t="shared" si="64"/>
        <v>-1.0754524950393345</v>
      </c>
      <c r="H4095" s="35"/>
      <c r="P4095" s="6"/>
    </row>
    <row r="4096" spans="1:16" ht="14.4" x14ac:dyDescent="0.25">
      <c r="A4096" s="6">
        <v>5381</v>
      </c>
      <c r="B4096" s="6">
        <v>38274</v>
      </c>
      <c r="C4096" s="19">
        <v>40704</v>
      </c>
      <c r="D4096" s="6" t="s">
        <v>17</v>
      </c>
      <c r="E4096" s="6">
        <f>IF((ISBLANK($B$1)),"",Sheet1!Q4105)</f>
        <v>3850</v>
      </c>
      <c r="F4096" s="20" t="s">
        <v>29</v>
      </c>
      <c r="G4096" s="53">
        <f t="shared" si="64"/>
        <v>-1.1445002086748115</v>
      </c>
      <c r="H4096" s="35"/>
      <c r="P4096" s="6"/>
    </row>
    <row r="4097" spans="1:16" ht="14.4" x14ac:dyDescent="0.25">
      <c r="A4097" s="6">
        <v>5382</v>
      </c>
      <c r="B4097" s="6">
        <v>38274</v>
      </c>
      <c r="C4097" s="19">
        <v>40704</v>
      </c>
      <c r="D4097" s="6" t="s">
        <v>17</v>
      </c>
      <c r="E4097" s="6">
        <f>IF((ISBLANK($B$1)),"",Sheet1!Q4106)</f>
        <v>4750</v>
      </c>
      <c r="F4097" s="20" t="s">
        <v>26</v>
      </c>
      <c r="G4097" s="53">
        <f t="shared" si="64"/>
        <v>9.8358636763777513E-2</v>
      </c>
      <c r="H4097" s="35"/>
      <c r="P4097" s="6"/>
    </row>
    <row r="4098" spans="1:16" ht="14.4" x14ac:dyDescent="0.25">
      <c r="A4098" s="6">
        <v>5383</v>
      </c>
      <c r="B4098" s="6">
        <v>38274</v>
      </c>
      <c r="C4098" s="19">
        <v>40704</v>
      </c>
      <c r="D4098" s="6" t="s">
        <v>17</v>
      </c>
      <c r="E4098" s="6">
        <f>IF((ISBLANK($B$1)),"",Sheet1!Q4107)</f>
        <v>3900</v>
      </c>
      <c r="F4098" s="20" t="s">
        <v>27</v>
      </c>
      <c r="G4098" s="53">
        <f t="shared" si="64"/>
        <v>-1.0754524950393345</v>
      </c>
      <c r="H4098" s="35"/>
      <c r="P4098" s="6"/>
    </row>
    <row r="4099" spans="1:16" ht="14.4" x14ac:dyDescent="0.25">
      <c r="A4099" s="6">
        <v>5397</v>
      </c>
      <c r="B4099" s="6">
        <v>38370</v>
      </c>
      <c r="C4099" s="19">
        <v>40636</v>
      </c>
      <c r="D4099" s="6" t="s">
        <v>17</v>
      </c>
      <c r="E4099" s="6">
        <f>IF((ISBLANK($B$1)),"",Sheet1!Q4108)</f>
        <v>5900</v>
      </c>
      <c r="F4099" s="20" t="s">
        <v>26</v>
      </c>
      <c r="G4099" s="53">
        <f t="shared" si="64"/>
        <v>1.6864560503797523</v>
      </c>
      <c r="H4099" s="35"/>
      <c r="P4099" s="6"/>
    </row>
    <row r="4100" spans="1:16" ht="14.4" x14ac:dyDescent="0.25">
      <c r="A4100" s="6">
        <v>5403</v>
      </c>
      <c r="B4100" s="6">
        <v>38405</v>
      </c>
      <c r="C4100" s="19">
        <v>40374</v>
      </c>
      <c r="D4100" s="6" t="s">
        <v>16</v>
      </c>
      <c r="E4100" s="6">
        <f>IF((ISBLANK($B$1)),"",Sheet1!Q4109)</f>
        <v>4850</v>
      </c>
      <c r="F4100" s="20" t="s">
        <v>29</v>
      </c>
      <c r="G4100" s="53">
        <f t="shared" si="64"/>
        <v>0.23645406403473185</v>
      </c>
      <c r="H4100" s="35"/>
      <c r="P4100" s="6"/>
    </row>
    <row r="4101" spans="1:16" ht="14.4" x14ac:dyDescent="0.25">
      <c r="A4101" s="6">
        <v>5409</v>
      </c>
      <c r="B4101" s="6">
        <v>38466</v>
      </c>
      <c r="C4101" s="19">
        <v>40772</v>
      </c>
      <c r="D4101" s="6" t="s">
        <v>30</v>
      </c>
      <c r="E4101" s="6">
        <f>IF((ISBLANK($B$1)),"",Sheet1!Q4110)</f>
        <v>4500</v>
      </c>
      <c r="F4101" s="20" t="s">
        <v>26</v>
      </c>
      <c r="G4101" s="53">
        <f t="shared" si="64"/>
        <v>-0.24687993141360834</v>
      </c>
      <c r="H4101" s="35"/>
      <c r="P4101" s="6"/>
    </row>
    <row r="4102" spans="1:16" ht="14.4" x14ac:dyDescent="0.25">
      <c r="A4102" s="6">
        <v>5410</v>
      </c>
      <c r="B4102" s="6">
        <v>38466</v>
      </c>
      <c r="C4102" s="19">
        <v>40772</v>
      </c>
      <c r="D4102" s="6" t="s">
        <v>30</v>
      </c>
      <c r="E4102" s="6">
        <f>IF((ISBLANK($B$1)),"",Sheet1!Q4111)</f>
        <v>5250</v>
      </c>
      <c r="F4102" s="20" t="s">
        <v>26</v>
      </c>
      <c r="G4102" s="53">
        <f t="shared" si="64"/>
        <v>0.78883577311854924</v>
      </c>
      <c r="H4102" s="35"/>
      <c r="P4102" s="6"/>
    </row>
    <row r="4103" spans="1:16" ht="14.4" x14ac:dyDescent="0.25">
      <c r="A4103" s="6">
        <v>5411</v>
      </c>
      <c r="B4103" s="6">
        <v>38466</v>
      </c>
      <c r="C4103" s="19">
        <v>40772</v>
      </c>
      <c r="D4103" s="6" t="s">
        <v>30</v>
      </c>
      <c r="E4103" s="6">
        <f>IF((ISBLANK($B$1)),"",Sheet1!Q4112)</f>
        <v>4150</v>
      </c>
      <c r="F4103" s="20" t="s">
        <v>26</v>
      </c>
      <c r="G4103" s="53">
        <f t="shared" si="64"/>
        <v>-0.73021392686194853</v>
      </c>
      <c r="H4103" s="35"/>
      <c r="P4103" s="6"/>
    </row>
    <row r="4104" spans="1:16" ht="14.4" x14ac:dyDescent="0.25">
      <c r="A4104" s="6">
        <v>5415</v>
      </c>
      <c r="B4104" s="6">
        <v>38501</v>
      </c>
      <c r="C4104" s="19">
        <v>39931</v>
      </c>
      <c r="D4104" s="6" t="s">
        <v>30</v>
      </c>
      <c r="E4104" s="6">
        <f>IF((ISBLANK($B$1)),"",Sheet1!Q4113)</f>
        <v>3950</v>
      </c>
      <c r="F4104" s="20" t="s">
        <v>26</v>
      </c>
      <c r="G4104" s="53">
        <f t="shared" ref="G4104:G4167" si="65">STANDARDIZE(E4104,$L$26,$L$35)</f>
        <v>-1.0064047814038573</v>
      </c>
      <c r="H4104" s="35"/>
      <c r="P4104" s="6"/>
    </row>
    <row r="4105" spans="1:16" ht="14.4" x14ac:dyDescent="0.25">
      <c r="A4105" s="6">
        <v>5425</v>
      </c>
      <c r="B4105" s="6">
        <v>38532</v>
      </c>
      <c r="C4105" s="19">
        <v>41107</v>
      </c>
      <c r="D4105" s="6" t="s">
        <v>17</v>
      </c>
      <c r="E4105" s="6">
        <f>IF((ISBLANK($B$1)),"",Sheet1!Q4114)</f>
        <v>5600</v>
      </c>
      <c r="F4105" s="20" t="s">
        <v>26</v>
      </c>
      <c r="G4105" s="53">
        <f t="shared" si="65"/>
        <v>1.2721697685668893</v>
      </c>
      <c r="H4105" s="35"/>
      <c r="P4105" s="6"/>
    </row>
    <row r="4106" spans="1:16" ht="14.4" x14ac:dyDescent="0.25">
      <c r="A4106" s="6">
        <v>5428</v>
      </c>
      <c r="B4106" s="6">
        <v>38564</v>
      </c>
      <c r="C4106" s="19">
        <v>40119</v>
      </c>
      <c r="D4106" s="6" t="s">
        <v>30</v>
      </c>
      <c r="E4106" s="6">
        <f>IF((ISBLANK($B$1)),"",Sheet1!Q4115)</f>
        <v>4950</v>
      </c>
      <c r="F4106" s="20" t="s">
        <v>27</v>
      </c>
      <c r="G4106" s="53">
        <f t="shared" si="65"/>
        <v>0.37454949130568621</v>
      </c>
      <c r="H4106" s="35"/>
      <c r="P4106" s="6"/>
    </row>
    <row r="4107" spans="1:16" ht="14.4" x14ac:dyDescent="0.25">
      <c r="A4107" s="6">
        <v>5429</v>
      </c>
      <c r="B4107" s="6">
        <v>38564</v>
      </c>
      <c r="C4107" s="19">
        <v>40119</v>
      </c>
      <c r="D4107" s="6" t="s">
        <v>30</v>
      </c>
      <c r="E4107" s="6">
        <f>IF((ISBLANK($B$1)),"",Sheet1!Q4116)</f>
        <v>4450</v>
      </c>
      <c r="F4107" s="20" t="s">
        <v>26</v>
      </c>
      <c r="G4107" s="53">
        <f t="shared" si="65"/>
        <v>-0.31592764504908549</v>
      </c>
      <c r="H4107" s="35"/>
      <c r="P4107" s="6"/>
    </row>
    <row r="4108" spans="1:16" ht="14.4" x14ac:dyDescent="0.25">
      <c r="A4108" s="6">
        <v>5481</v>
      </c>
      <c r="B4108" s="6">
        <v>38915</v>
      </c>
      <c r="C4108" s="19">
        <v>40073</v>
      </c>
      <c r="D4108" s="6" t="s">
        <v>16</v>
      </c>
      <c r="E4108" s="6">
        <f>IF((ISBLANK($B$1)),"",Sheet1!Q4117)</f>
        <v>4000</v>
      </c>
      <c r="F4108" s="20" t="s">
        <v>26</v>
      </c>
      <c r="G4108" s="53">
        <f t="shared" si="65"/>
        <v>-0.93735706776838001</v>
      </c>
      <c r="H4108" s="35"/>
      <c r="P4108" s="6"/>
    </row>
    <row r="4109" spans="1:16" ht="14.4" x14ac:dyDescent="0.25">
      <c r="A4109" s="6">
        <v>5482</v>
      </c>
      <c r="B4109" s="6">
        <v>38915</v>
      </c>
      <c r="C4109" s="19">
        <v>40073</v>
      </c>
      <c r="D4109" s="6" t="s">
        <v>16</v>
      </c>
      <c r="E4109" s="6">
        <f>IF((ISBLANK($B$1)),"",Sheet1!Q4118)</f>
        <v>5100</v>
      </c>
      <c r="F4109" s="20" t="s">
        <v>29</v>
      </c>
      <c r="G4109" s="53">
        <f t="shared" si="65"/>
        <v>0.58169263221211776</v>
      </c>
      <c r="H4109" s="35"/>
      <c r="P4109" s="6"/>
    </row>
    <row r="4110" spans="1:16" ht="14.4" x14ac:dyDescent="0.25">
      <c r="A4110" s="6">
        <v>5487</v>
      </c>
      <c r="B4110" s="6">
        <v>38947</v>
      </c>
      <c r="C4110" s="19">
        <v>40146</v>
      </c>
      <c r="D4110" s="6" t="s">
        <v>30</v>
      </c>
      <c r="E4110" s="6">
        <f>IF((ISBLANK($B$1)),"",Sheet1!Q4119)</f>
        <v>4400</v>
      </c>
      <c r="F4110" s="20" t="s">
        <v>29</v>
      </c>
      <c r="G4110" s="53">
        <f t="shared" si="65"/>
        <v>-0.38497535868456267</v>
      </c>
      <c r="H4110" s="35"/>
      <c r="P4110" s="6"/>
    </row>
    <row r="4111" spans="1:16" ht="14.4" x14ac:dyDescent="0.25">
      <c r="A4111" s="6">
        <v>5512</v>
      </c>
      <c r="B4111" s="6">
        <v>39078</v>
      </c>
      <c r="C4111" s="19">
        <v>39987</v>
      </c>
      <c r="D4111" s="6" t="s">
        <v>25</v>
      </c>
      <c r="E4111" s="6">
        <f>IF((ISBLANK($B$1)),"",Sheet1!Q4120)</f>
        <v>3900</v>
      </c>
      <c r="F4111" s="20" t="s">
        <v>26</v>
      </c>
      <c r="G4111" s="53">
        <f t="shared" si="65"/>
        <v>-1.0754524950393345</v>
      </c>
      <c r="H4111" s="35"/>
      <c r="P4111" s="6"/>
    </row>
    <row r="4112" spans="1:16" ht="14.4" x14ac:dyDescent="0.25">
      <c r="A4112" s="6">
        <v>5513</v>
      </c>
      <c r="B4112" s="6">
        <v>39078</v>
      </c>
      <c r="C4112" s="19">
        <v>39987</v>
      </c>
      <c r="D4112" s="6" t="s">
        <v>25</v>
      </c>
      <c r="E4112" s="6">
        <f>IF((ISBLANK($B$1)),"",Sheet1!Q4121)</f>
        <v>3800</v>
      </c>
      <c r="F4112" s="20" t="s">
        <v>27</v>
      </c>
      <c r="G4112" s="53">
        <f t="shared" si="65"/>
        <v>-1.2135479223102887</v>
      </c>
      <c r="H4112" s="35"/>
      <c r="P4112" s="6"/>
    </row>
    <row r="4113" spans="1:16" ht="14.4" x14ac:dyDescent="0.25">
      <c r="A4113" s="6">
        <v>5514</v>
      </c>
      <c r="B4113" s="6">
        <v>39078</v>
      </c>
      <c r="C4113" s="19">
        <v>39987</v>
      </c>
      <c r="D4113" s="6" t="s">
        <v>25</v>
      </c>
      <c r="E4113" s="6">
        <f>IF((ISBLANK($B$1)),"",Sheet1!Q4122)</f>
        <v>4700</v>
      </c>
      <c r="F4113" s="20" t="s">
        <v>26</v>
      </c>
      <c r="G4113" s="53">
        <f t="shared" si="65"/>
        <v>2.9310923128300338E-2</v>
      </c>
      <c r="H4113" s="35"/>
      <c r="P4113" s="6"/>
    </row>
    <row r="4114" spans="1:16" ht="14.4" x14ac:dyDescent="0.25">
      <c r="A4114" s="6">
        <v>5524</v>
      </c>
      <c r="B4114" s="6">
        <v>39141</v>
      </c>
      <c r="C4114" s="19">
        <v>39936</v>
      </c>
      <c r="D4114" s="6" t="s">
        <v>25</v>
      </c>
      <c r="E4114" s="6">
        <f>IF((ISBLANK($B$1)),"",Sheet1!Q4123)</f>
        <v>5850</v>
      </c>
      <c r="F4114" s="20" t="s">
        <v>26</v>
      </c>
      <c r="G4114" s="53">
        <f t="shared" si="65"/>
        <v>1.6174083367442753</v>
      </c>
      <c r="H4114" s="35"/>
      <c r="P4114" s="6"/>
    </row>
    <row r="4115" spans="1:16" ht="14.4" x14ac:dyDescent="0.25">
      <c r="A4115" s="6">
        <v>5525</v>
      </c>
      <c r="B4115" s="6">
        <v>39141</v>
      </c>
      <c r="C4115" s="19">
        <v>39936</v>
      </c>
      <c r="D4115" s="6" t="s">
        <v>25</v>
      </c>
      <c r="E4115" s="6">
        <f>IF((ISBLANK($B$1)),"",Sheet1!Q4124)</f>
        <v>5750</v>
      </c>
      <c r="F4115" s="20" t="s">
        <v>29</v>
      </c>
      <c r="G4115" s="53">
        <f t="shared" si="65"/>
        <v>1.4793129094733208</v>
      </c>
      <c r="H4115" s="35"/>
      <c r="P4115" s="6"/>
    </row>
    <row r="4116" spans="1:16" ht="14.4" x14ac:dyDescent="0.25">
      <c r="A4116" s="6">
        <v>5570</v>
      </c>
      <c r="B4116" s="6">
        <v>39460</v>
      </c>
      <c r="C4116" s="19">
        <v>39935</v>
      </c>
      <c r="D4116" s="6" t="s">
        <v>28</v>
      </c>
      <c r="E4116" s="6">
        <f>IF((ISBLANK($B$1)),"",Sheet1!Q4125)</f>
        <v>4650</v>
      </c>
      <c r="F4116" s="20" t="s">
        <v>26</v>
      </c>
      <c r="G4116" s="53">
        <f t="shared" si="65"/>
        <v>-3.9736790507176829E-2</v>
      </c>
      <c r="H4116" s="35"/>
      <c r="P4116" s="6"/>
    </row>
    <row r="4117" spans="1:16" ht="14.4" x14ac:dyDescent="0.25">
      <c r="A4117" s="6">
        <v>5571</v>
      </c>
      <c r="B4117" s="6">
        <v>39460</v>
      </c>
      <c r="C4117" s="19">
        <v>39935</v>
      </c>
      <c r="D4117" s="6" t="s">
        <v>28</v>
      </c>
      <c r="E4117" s="6">
        <f>IF((ISBLANK($B$1)),"",Sheet1!Q4126)</f>
        <v>4350</v>
      </c>
      <c r="F4117" s="20" t="s">
        <v>27</v>
      </c>
      <c r="G4117" s="53">
        <f t="shared" si="65"/>
        <v>-0.45402307232003986</v>
      </c>
      <c r="H4117" s="35"/>
      <c r="P4117" s="6"/>
    </row>
    <row r="4118" spans="1:16" ht="14.4" x14ac:dyDescent="0.25">
      <c r="A4118" s="6">
        <v>5639</v>
      </c>
      <c r="B4118" s="6">
        <v>39904</v>
      </c>
      <c r="C4118" s="19">
        <v>39846</v>
      </c>
      <c r="D4118" s="6" t="s">
        <v>28</v>
      </c>
      <c r="E4118" s="6">
        <f>IF((ISBLANK($B$1)),"",Sheet1!Q4127)</f>
        <v>5600</v>
      </c>
      <c r="F4118" s="20" t="s">
        <v>29</v>
      </c>
      <c r="G4118" s="53">
        <f t="shared" si="65"/>
        <v>1.2721697685668893</v>
      </c>
      <c r="H4118" s="35"/>
      <c r="P4118" s="6"/>
    </row>
    <row r="4119" spans="1:16" ht="14.4" x14ac:dyDescent="0.25">
      <c r="A4119" s="6">
        <v>5643</v>
      </c>
      <c r="B4119" s="6">
        <v>39909</v>
      </c>
      <c r="C4119" s="19">
        <v>40598</v>
      </c>
      <c r="D4119" s="6" t="s">
        <v>25</v>
      </c>
      <c r="E4119" s="6">
        <f>IF((ISBLANK($B$1)),"",Sheet1!Q4128)</f>
        <v>5900</v>
      </c>
      <c r="F4119" s="20" t="s">
        <v>27</v>
      </c>
      <c r="G4119" s="53">
        <f t="shared" si="65"/>
        <v>1.6864560503797523</v>
      </c>
      <c r="H4119" s="35"/>
      <c r="P4119" s="6"/>
    </row>
    <row r="4120" spans="1:16" ht="14.4" x14ac:dyDescent="0.25">
      <c r="A4120" s="6">
        <v>5669</v>
      </c>
      <c r="B4120" s="6">
        <v>40100</v>
      </c>
      <c r="C4120" s="19">
        <v>40943</v>
      </c>
      <c r="D4120" s="6" t="s">
        <v>25</v>
      </c>
      <c r="E4120" s="6">
        <f>IF((ISBLANK($B$1)),"",Sheet1!Q4129)</f>
        <v>5750</v>
      </c>
      <c r="F4120" s="20" t="s">
        <v>26</v>
      </c>
      <c r="G4120" s="53">
        <f t="shared" si="65"/>
        <v>1.4793129094733208</v>
      </c>
      <c r="H4120" s="35"/>
      <c r="P4120" s="6"/>
    </row>
    <row r="4121" spans="1:16" ht="14.4" x14ac:dyDescent="0.25">
      <c r="A4121" s="6">
        <v>5689</v>
      </c>
      <c r="B4121" s="6">
        <v>40224</v>
      </c>
      <c r="C4121" s="19">
        <v>39994</v>
      </c>
      <c r="D4121" s="6" t="s">
        <v>25</v>
      </c>
      <c r="E4121" s="6">
        <f>IF((ISBLANK($B$1)),"",Sheet1!Q4130)</f>
        <v>4100</v>
      </c>
      <c r="F4121" s="20" t="s">
        <v>29</v>
      </c>
      <c r="G4121" s="53">
        <f t="shared" si="65"/>
        <v>-0.79926164049742576</v>
      </c>
      <c r="H4121" s="35"/>
      <c r="P4121" s="6"/>
    </row>
    <row r="4122" spans="1:16" ht="14.4" x14ac:dyDescent="0.25">
      <c r="A4122" s="6">
        <v>5712</v>
      </c>
      <c r="B4122" s="6">
        <v>40422</v>
      </c>
      <c r="C4122" s="19">
        <v>40742</v>
      </c>
      <c r="D4122" s="6" t="s">
        <v>30</v>
      </c>
      <c r="E4122" s="6">
        <f>IF((ISBLANK($B$1)),"",Sheet1!Q4131)</f>
        <v>5350</v>
      </c>
      <c r="F4122" s="20" t="s">
        <v>27</v>
      </c>
      <c r="G4122" s="53">
        <f t="shared" si="65"/>
        <v>0.92693120038950361</v>
      </c>
      <c r="H4122" s="35"/>
      <c r="P4122" s="6"/>
    </row>
    <row r="4123" spans="1:16" ht="14.4" x14ac:dyDescent="0.25">
      <c r="A4123" s="6">
        <v>5743</v>
      </c>
      <c r="B4123" s="6">
        <v>40802</v>
      </c>
      <c r="C4123" s="19">
        <v>41155</v>
      </c>
      <c r="D4123" s="6" t="s">
        <v>17</v>
      </c>
      <c r="E4123" s="6">
        <f>IF((ISBLANK($B$1)),"",Sheet1!Q4132)</f>
        <v>4800</v>
      </c>
      <c r="F4123" s="20" t="s">
        <v>27</v>
      </c>
      <c r="G4123" s="53">
        <f t="shared" si="65"/>
        <v>0.16740635039925467</v>
      </c>
      <c r="H4123" s="35"/>
      <c r="P4123" s="6"/>
    </row>
    <row r="4124" spans="1:16" ht="14.4" x14ac:dyDescent="0.25">
      <c r="A4124" s="6">
        <v>5755</v>
      </c>
      <c r="B4124" s="6">
        <v>40839</v>
      </c>
      <c r="C4124" s="19">
        <v>40999</v>
      </c>
      <c r="D4124" s="6" t="s">
        <v>16</v>
      </c>
      <c r="E4124" s="6">
        <f>IF((ISBLANK($B$1)),"",Sheet1!Q4133)</f>
        <v>4550</v>
      </c>
      <c r="F4124" s="20" t="s">
        <v>27</v>
      </c>
      <c r="G4124" s="53">
        <f t="shared" si="65"/>
        <v>-0.17783221777813119</v>
      </c>
      <c r="H4124" s="35"/>
      <c r="P4124" s="6"/>
    </row>
    <row r="4125" spans="1:16" ht="14.4" x14ac:dyDescent="0.25">
      <c r="A4125" s="6">
        <v>5777</v>
      </c>
      <c r="B4125" s="6">
        <v>40997</v>
      </c>
      <c r="C4125" s="19">
        <v>39924</v>
      </c>
      <c r="D4125" s="6" t="s">
        <v>25</v>
      </c>
      <c r="E4125" s="6">
        <f>IF((ISBLANK($B$1)),"",Sheet1!Q4134)</f>
        <v>4000</v>
      </c>
      <c r="F4125" s="20" t="s">
        <v>26</v>
      </c>
      <c r="G4125" s="53">
        <f t="shared" si="65"/>
        <v>-0.93735706776838001</v>
      </c>
      <c r="H4125" s="35"/>
      <c r="P4125" s="6"/>
    </row>
    <row r="4126" spans="1:16" ht="14.4" x14ac:dyDescent="0.25">
      <c r="A4126" s="6">
        <v>5778</v>
      </c>
      <c r="B4126" s="6">
        <v>40997</v>
      </c>
      <c r="C4126" s="19">
        <v>39924</v>
      </c>
      <c r="D4126" s="6" t="s">
        <v>25</v>
      </c>
      <c r="E4126" s="6">
        <f>IF((ISBLANK($B$1)),"",Sheet1!Q4135)</f>
        <v>5250</v>
      </c>
      <c r="F4126" s="20" t="s">
        <v>26</v>
      </c>
      <c r="G4126" s="53">
        <f t="shared" si="65"/>
        <v>0.78883577311854924</v>
      </c>
      <c r="H4126" s="35"/>
      <c r="P4126" s="6"/>
    </row>
    <row r="4127" spans="1:16" ht="14.4" x14ac:dyDescent="0.25">
      <c r="A4127" s="6">
        <v>5779</v>
      </c>
      <c r="B4127" s="6">
        <v>40997</v>
      </c>
      <c r="C4127" s="19">
        <v>39924</v>
      </c>
      <c r="D4127" s="6" t="s">
        <v>25</v>
      </c>
      <c r="E4127" s="6">
        <f>IF((ISBLANK($B$1)),"",Sheet1!Q4136)</f>
        <v>3450</v>
      </c>
      <c r="F4127" s="20" t="s">
        <v>26</v>
      </c>
      <c r="G4127" s="53">
        <f t="shared" si="65"/>
        <v>-1.696881917758629</v>
      </c>
      <c r="H4127" s="35"/>
      <c r="P4127" s="6"/>
    </row>
    <row r="4128" spans="1:16" ht="14.4" x14ac:dyDescent="0.25">
      <c r="A4128" s="6">
        <v>5780</v>
      </c>
      <c r="B4128" s="6">
        <v>40997</v>
      </c>
      <c r="C4128" s="19">
        <v>39924</v>
      </c>
      <c r="D4128" s="6" t="s">
        <v>25</v>
      </c>
      <c r="E4128" s="6">
        <f>IF((ISBLANK($B$1)),"",Sheet1!Q4137)</f>
        <v>5050</v>
      </c>
      <c r="F4128" s="20" t="s">
        <v>29</v>
      </c>
      <c r="G4128" s="53">
        <f t="shared" si="65"/>
        <v>0.51264491857664052</v>
      </c>
      <c r="H4128" s="35"/>
      <c r="P4128" s="6"/>
    </row>
    <row r="4129" spans="1:16" ht="14.4" x14ac:dyDescent="0.25">
      <c r="A4129" s="6">
        <v>5806</v>
      </c>
      <c r="B4129" s="6">
        <v>41185</v>
      </c>
      <c r="C4129" s="19">
        <v>40153</v>
      </c>
      <c r="D4129" s="6" t="s">
        <v>30</v>
      </c>
      <c r="E4129" s="6">
        <f>IF((ISBLANK($B$1)),"",Sheet1!Q4138)</f>
        <v>3500</v>
      </c>
      <c r="F4129" s="20" t="s">
        <v>26</v>
      </c>
      <c r="G4129" s="53">
        <f t="shared" si="65"/>
        <v>-1.6278342041231517</v>
      </c>
      <c r="H4129" s="35"/>
      <c r="P4129" s="6"/>
    </row>
    <row r="4130" spans="1:16" ht="14.4" x14ac:dyDescent="0.25">
      <c r="A4130" s="6">
        <v>5816</v>
      </c>
      <c r="B4130" s="6">
        <v>41253</v>
      </c>
      <c r="C4130" s="19">
        <v>39940</v>
      </c>
      <c r="D4130" s="6" t="s">
        <v>16</v>
      </c>
      <c r="E4130" s="6">
        <f>IF((ISBLANK($B$1)),"",Sheet1!Q4139)</f>
        <v>3650</v>
      </c>
      <c r="F4130" s="20" t="s">
        <v>27</v>
      </c>
      <c r="G4130" s="53">
        <f t="shared" si="65"/>
        <v>-1.4206910632167202</v>
      </c>
      <c r="H4130" s="35"/>
      <c r="P4130" s="6"/>
    </row>
    <row r="4131" spans="1:16" ht="14.4" x14ac:dyDescent="0.25">
      <c r="A4131" s="6">
        <v>5831</v>
      </c>
      <c r="B4131" s="6">
        <v>41378</v>
      </c>
      <c r="C4131" s="19">
        <v>41211</v>
      </c>
      <c r="D4131" s="6" t="s">
        <v>28</v>
      </c>
      <c r="E4131" s="6">
        <f>IF((ISBLANK($B$1)),"",Sheet1!Q4140)</f>
        <v>4900</v>
      </c>
      <c r="F4131" s="20" t="s">
        <v>29</v>
      </c>
      <c r="G4131" s="53">
        <f t="shared" si="65"/>
        <v>0.30550177767020903</v>
      </c>
      <c r="H4131" s="35"/>
      <c r="P4131" s="6"/>
    </row>
    <row r="4132" spans="1:16" ht="14.4" x14ac:dyDescent="0.25">
      <c r="A4132" s="6">
        <v>5832</v>
      </c>
      <c r="B4132" s="6">
        <v>41378</v>
      </c>
      <c r="C4132" s="19">
        <v>41211</v>
      </c>
      <c r="D4132" s="6" t="s">
        <v>28</v>
      </c>
      <c r="E4132" s="6">
        <f>IF((ISBLANK($B$1)),"",Sheet1!Q4141)</f>
        <v>5500</v>
      </c>
      <c r="F4132" s="20" t="s">
        <v>27</v>
      </c>
      <c r="G4132" s="53">
        <f t="shared" si="65"/>
        <v>1.1340743412959351</v>
      </c>
      <c r="H4132" s="35"/>
      <c r="P4132" s="6"/>
    </row>
    <row r="4133" spans="1:16" ht="14.4" x14ac:dyDescent="0.25">
      <c r="A4133" s="6">
        <v>5845</v>
      </c>
      <c r="B4133" s="6">
        <v>41474</v>
      </c>
      <c r="C4133" s="19">
        <v>39923</v>
      </c>
      <c r="D4133" s="6" t="s">
        <v>28</v>
      </c>
      <c r="E4133" s="6">
        <f>IF((ISBLANK($B$1)),"",Sheet1!Q4142)</f>
        <v>5150</v>
      </c>
      <c r="F4133" s="20" t="s">
        <v>29</v>
      </c>
      <c r="G4133" s="53">
        <f t="shared" si="65"/>
        <v>0.65074034584759488</v>
      </c>
      <c r="H4133" s="35"/>
      <c r="P4133" s="6"/>
    </row>
    <row r="4134" spans="1:16" ht="14.4" x14ac:dyDescent="0.25">
      <c r="A4134" s="6">
        <v>5846</v>
      </c>
      <c r="B4134" s="6">
        <v>41474</v>
      </c>
      <c r="C4134" s="19">
        <v>39923</v>
      </c>
      <c r="D4134" s="6" t="s">
        <v>28</v>
      </c>
      <c r="E4134" s="6">
        <f>IF((ISBLANK($B$1)),"",Sheet1!Q4143)</f>
        <v>5900</v>
      </c>
      <c r="F4134" s="20" t="s">
        <v>27</v>
      </c>
      <c r="G4134" s="53">
        <f t="shared" si="65"/>
        <v>1.6864560503797523</v>
      </c>
      <c r="H4134" s="35"/>
      <c r="P4134" s="6"/>
    </row>
    <row r="4135" spans="1:16" ht="14.4" x14ac:dyDescent="0.25">
      <c r="A4135" s="6">
        <v>5849</v>
      </c>
      <c r="B4135" s="6">
        <v>41508</v>
      </c>
      <c r="C4135" s="19">
        <v>40445</v>
      </c>
      <c r="D4135" s="6" t="s">
        <v>17</v>
      </c>
      <c r="E4135" s="6">
        <f>IF((ISBLANK($B$1)),"",Sheet1!Q4144)</f>
        <v>5350</v>
      </c>
      <c r="F4135" s="20" t="s">
        <v>29</v>
      </c>
      <c r="G4135" s="53">
        <f t="shared" si="65"/>
        <v>0.92693120038950361</v>
      </c>
      <c r="H4135" s="35"/>
      <c r="P4135" s="6"/>
    </row>
    <row r="4136" spans="1:16" ht="14.4" x14ac:dyDescent="0.25">
      <c r="A4136" s="6">
        <v>5855</v>
      </c>
      <c r="B4136" s="6">
        <v>41569</v>
      </c>
      <c r="C4136" s="19">
        <v>40380</v>
      </c>
      <c r="D4136" s="6" t="s">
        <v>30</v>
      </c>
      <c r="E4136" s="6">
        <f>IF((ISBLANK($B$1)),"",Sheet1!Q4145)</f>
        <v>5850</v>
      </c>
      <c r="F4136" s="20" t="s">
        <v>26</v>
      </c>
      <c r="G4136" s="53">
        <f t="shared" si="65"/>
        <v>1.6174083367442753</v>
      </c>
      <c r="H4136" s="35"/>
      <c r="P4136" s="6"/>
    </row>
    <row r="4137" spans="1:16" ht="14.4" x14ac:dyDescent="0.25">
      <c r="A4137" s="6">
        <v>5858</v>
      </c>
      <c r="B4137" s="6">
        <v>41571</v>
      </c>
      <c r="C4137" s="19">
        <v>40700</v>
      </c>
      <c r="D4137" s="6" t="s">
        <v>25</v>
      </c>
      <c r="E4137" s="6">
        <f>IF((ISBLANK($B$1)),"",Sheet1!Q4146)</f>
        <v>5500</v>
      </c>
      <c r="F4137" s="20" t="s">
        <v>26</v>
      </c>
      <c r="G4137" s="53">
        <f t="shared" si="65"/>
        <v>1.1340743412959351</v>
      </c>
      <c r="H4137" s="35"/>
      <c r="P4137" s="6"/>
    </row>
    <row r="4138" spans="1:16" ht="14.4" x14ac:dyDescent="0.25">
      <c r="A4138" s="6">
        <v>5880</v>
      </c>
      <c r="B4138" s="6">
        <v>41728</v>
      </c>
      <c r="C4138" s="19">
        <v>40086</v>
      </c>
      <c r="D4138" s="6" t="s">
        <v>17</v>
      </c>
      <c r="E4138" s="6">
        <f>IF((ISBLANK($B$1)),"",Sheet1!Q4147)</f>
        <v>4800</v>
      </c>
      <c r="F4138" s="20" t="s">
        <v>26</v>
      </c>
      <c r="G4138" s="53">
        <f t="shared" si="65"/>
        <v>0.16740635039925467</v>
      </c>
      <c r="H4138" s="35"/>
      <c r="P4138" s="6"/>
    </row>
    <row r="4139" spans="1:16" ht="14.4" x14ac:dyDescent="0.25">
      <c r="A4139" s="6">
        <v>5881</v>
      </c>
      <c r="B4139" s="6">
        <v>41728</v>
      </c>
      <c r="C4139" s="19">
        <v>40086</v>
      </c>
      <c r="D4139" s="6" t="s">
        <v>17</v>
      </c>
      <c r="E4139" s="6">
        <f>IF((ISBLANK($B$1)),"",Sheet1!Q4148)</f>
        <v>3900</v>
      </c>
      <c r="F4139" s="20" t="s">
        <v>29</v>
      </c>
      <c r="G4139" s="53">
        <f t="shared" si="65"/>
        <v>-1.0754524950393345</v>
      </c>
      <c r="H4139" s="35"/>
      <c r="P4139" s="6"/>
    </row>
    <row r="4140" spans="1:16" ht="14.4" x14ac:dyDescent="0.25">
      <c r="A4140" s="6">
        <v>5886</v>
      </c>
      <c r="B4140" s="6">
        <v>41764</v>
      </c>
      <c r="C4140" s="19">
        <v>40091</v>
      </c>
      <c r="D4140" s="6" t="s">
        <v>28</v>
      </c>
      <c r="E4140" s="6">
        <f>IF((ISBLANK($B$1)),"",Sheet1!Q4149)</f>
        <v>4200</v>
      </c>
      <c r="F4140" s="20" t="s">
        <v>29</v>
      </c>
      <c r="G4140" s="53">
        <f t="shared" si="65"/>
        <v>-0.6611662132264714</v>
      </c>
      <c r="H4140" s="35"/>
      <c r="P4140" s="6"/>
    </row>
    <row r="4141" spans="1:16" ht="14.4" x14ac:dyDescent="0.25">
      <c r="A4141" s="6">
        <v>5931</v>
      </c>
      <c r="B4141" s="6">
        <v>42082</v>
      </c>
      <c r="C4141" s="19">
        <v>40895</v>
      </c>
      <c r="D4141" s="6" t="s">
        <v>30</v>
      </c>
      <c r="E4141" s="6">
        <f>IF((ISBLANK($B$1)),"",Sheet1!Q4150)</f>
        <v>4150</v>
      </c>
      <c r="F4141" s="20" t="s">
        <v>26</v>
      </c>
      <c r="G4141" s="53">
        <f t="shared" si="65"/>
        <v>-0.73021392686194853</v>
      </c>
      <c r="H4141" s="35"/>
      <c r="P4141" s="6"/>
    </row>
    <row r="4142" spans="1:16" ht="14.4" x14ac:dyDescent="0.25">
      <c r="A4142" s="6">
        <v>5958</v>
      </c>
      <c r="B4142" s="6">
        <v>42279</v>
      </c>
      <c r="C4142" s="19">
        <v>39994</v>
      </c>
      <c r="D4142" s="6" t="s">
        <v>28</v>
      </c>
      <c r="E4142" s="6">
        <f>IF((ISBLANK($B$1)),"",Sheet1!Q4151)</f>
        <v>5600</v>
      </c>
      <c r="F4142" s="20" t="s">
        <v>27</v>
      </c>
      <c r="G4142" s="53">
        <f t="shared" si="65"/>
        <v>1.2721697685668893</v>
      </c>
      <c r="H4142" s="35"/>
      <c r="P4142" s="6"/>
    </row>
    <row r="4143" spans="1:16" ht="14.4" x14ac:dyDescent="0.25">
      <c r="A4143" s="6">
        <v>5962</v>
      </c>
      <c r="B4143" s="6">
        <v>42308</v>
      </c>
      <c r="C4143" s="19">
        <v>39976</v>
      </c>
      <c r="D4143" s="6" t="s">
        <v>16</v>
      </c>
      <c r="E4143" s="6">
        <f>IF((ISBLANK($B$1)),"",Sheet1!Q4152)</f>
        <v>4200</v>
      </c>
      <c r="F4143" s="20" t="s">
        <v>29</v>
      </c>
      <c r="G4143" s="53">
        <f t="shared" si="65"/>
        <v>-0.6611662132264714</v>
      </c>
      <c r="H4143" s="35"/>
      <c r="P4143" s="6"/>
    </row>
    <row r="4144" spans="1:16" ht="14.4" x14ac:dyDescent="0.25">
      <c r="A4144" s="6">
        <v>5980</v>
      </c>
      <c r="B4144" s="6">
        <v>42375</v>
      </c>
      <c r="C4144" s="19">
        <v>40452</v>
      </c>
      <c r="D4144" s="6" t="s">
        <v>17</v>
      </c>
      <c r="E4144" s="6">
        <f>IF((ISBLANK($B$1)),"",Sheet1!Q4153)</f>
        <v>5650</v>
      </c>
      <c r="F4144" s="20" t="s">
        <v>26</v>
      </c>
      <c r="G4144" s="53">
        <f t="shared" si="65"/>
        <v>1.3412174822023666</v>
      </c>
      <c r="H4144" s="35"/>
      <c r="P4144" s="6"/>
    </row>
    <row r="4145" spans="1:16" ht="14.4" x14ac:dyDescent="0.25">
      <c r="A4145" s="6">
        <v>6044</v>
      </c>
      <c r="B4145" s="6">
        <v>42851</v>
      </c>
      <c r="C4145" s="19">
        <v>39965</v>
      </c>
      <c r="D4145" s="6" t="s">
        <v>17</v>
      </c>
      <c r="E4145" s="6">
        <f>IF((ISBLANK($B$1)),"",Sheet1!Q4154)</f>
        <v>3600</v>
      </c>
      <c r="F4145" s="20" t="s">
        <v>26</v>
      </c>
      <c r="G4145" s="53">
        <f t="shared" si="65"/>
        <v>-1.4897387768521975</v>
      </c>
      <c r="H4145" s="35"/>
      <c r="P4145" s="6"/>
    </row>
    <row r="4146" spans="1:16" ht="14.4" x14ac:dyDescent="0.25">
      <c r="A4146" s="6">
        <v>6045</v>
      </c>
      <c r="B4146" s="6">
        <v>42851</v>
      </c>
      <c r="C4146" s="19">
        <v>39965</v>
      </c>
      <c r="D4146" s="6" t="s">
        <v>17</v>
      </c>
      <c r="E4146" s="6">
        <f>IF((ISBLANK($B$1)),"",Sheet1!Q4155)</f>
        <v>3750</v>
      </c>
      <c r="F4146" s="20" t="s">
        <v>27</v>
      </c>
      <c r="G4146" s="53">
        <f t="shared" si="65"/>
        <v>-1.282595635945766</v>
      </c>
      <c r="H4146" s="35"/>
      <c r="P4146" s="6"/>
    </row>
    <row r="4147" spans="1:16" ht="14.4" x14ac:dyDescent="0.25">
      <c r="A4147" s="6">
        <v>6154</v>
      </c>
      <c r="B4147" s="6">
        <v>43585</v>
      </c>
      <c r="C4147" s="19">
        <v>40492</v>
      </c>
      <c r="D4147" s="6" t="s">
        <v>30</v>
      </c>
      <c r="E4147" s="6">
        <f>IF((ISBLANK($B$1)),"",Sheet1!Q4156)</f>
        <v>4350</v>
      </c>
      <c r="F4147" s="20" t="s">
        <v>26</v>
      </c>
      <c r="G4147" s="53">
        <f t="shared" si="65"/>
        <v>-0.45402307232003986</v>
      </c>
      <c r="H4147" s="35"/>
      <c r="P4147" s="6"/>
    </row>
    <row r="4148" spans="1:16" ht="14.4" x14ac:dyDescent="0.25">
      <c r="A4148" s="6">
        <v>6157</v>
      </c>
      <c r="B4148" s="6">
        <v>43590</v>
      </c>
      <c r="C4148" s="19">
        <v>40066</v>
      </c>
      <c r="D4148" s="6" t="s">
        <v>30</v>
      </c>
      <c r="E4148" s="6">
        <f>IF((ISBLANK($B$1)),"",Sheet1!Q4157)</f>
        <v>4600</v>
      </c>
      <c r="F4148" s="20" t="s">
        <v>29</v>
      </c>
      <c r="G4148" s="53">
        <f t="shared" si="65"/>
        <v>-0.108784504142654</v>
      </c>
      <c r="H4148" s="35"/>
      <c r="P4148" s="6"/>
    </row>
    <row r="4149" spans="1:16" ht="14.4" x14ac:dyDescent="0.25">
      <c r="A4149" s="6">
        <v>6188</v>
      </c>
      <c r="B4149" s="6">
        <v>43874</v>
      </c>
      <c r="C4149" s="19">
        <v>41070</v>
      </c>
      <c r="D4149" s="6" t="s">
        <v>17</v>
      </c>
      <c r="E4149" s="6">
        <f>IF((ISBLANK($B$1)),"",Sheet1!Q4158)</f>
        <v>5700</v>
      </c>
      <c r="F4149" s="20" t="s">
        <v>26</v>
      </c>
      <c r="G4149" s="53">
        <f t="shared" si="65"/>
        <v>1.4102651958378438</v>
      </c>
      <c r="H4149" s="35"/>
      <c r="P4149" s="6"/>
    </row>
    <row r="4150" spans="1:16" ht="14.4" x14ac:dyDescent="0.25">
      <c r="A4150" s="6">
        <v>6356</v>
      </c>
      <c r="B4150" s="6">
        <v>45059</v>
      </c>
      <c r="C4150" s="19">
        <v>40577</v>
      </c>
      <c r="D4150" s="6" t="s">
        <v>28</v>
      </c>
      <c r="E4150" s="6">
        <f>IF((ISBLANK($B$1)),"",Sheet1!Q4159)</f>
        <v>3600</v>
      </c>
      <c r="F4150" s="20" t="s">
        <v>27</v>
      </c>
      <c r="G4150" s="53">
        <f t="shared" si="65"/>
        <v>-1.4897387768521975</v>
      </c>
      <c r="H4150" s="35"/>
      <c r="P4150" s="6"/>
    </row>
    <row r="4151" spans="1:16" ht="14.4" x14ac:dyDescent="0.25">
      <c r="A4151" s="6">
        <v>6408</v>
      </c>
      <c r="B4151" s="6">
        <v>45542</v>
      </c>
      <c r="C4151" s="19">
        <v>40216</v>
      </c>
      <c r="D4151" s="6" t="s">
        <v>17</v>
      </c>
      <c r="E4151" s="6">
        <f>IF((ISBLANK($B$1)),"",Sheet1!Q4160)</f>
        <v>5250</v>
      </c>
      <c r="F4151" s="20" t="s">
        <v>26</v>
      </c>
      <c r="G4151" s="53">
        <f t="shared" si="65"/>
        <v>0.78883577311854924</v>
      </c>
      <c r="H4151" s="35"/>
      <c r="P4151" s="6"/>
    </row>
    <row r="4152" spans="1:16" ht="14.4" x14ac:dyDescent="0.25">
      <c r="A4152" s="6">
        <v>6409</v>
      </c>
      <c r="B4152" s="6">
        <v>45542</v>
      </c>
      <c r="C4152" s="19">
        <v>40216</v>
      </c>
      <c r="D4152" s="6" t="s">
        <v>17</v>
      </c>
      <c r="E4152" s="6">
        <f>IF((ISBLANK($B$1)),"",Sheet1!Q4161)</f>
        <v>5400</v>
      </c>
      <c r="F4152" s="20" t="s">
        <v>29</v>
      </c>
      <c r="G4152" s="53">
        <f t="shared" si="65"/>
        <v>0.99597891402498073</v>
      </c>
      <c r="H4152" s="35"/>
      <c r="P4152" s="6"/>
    </row>
    <row r="4153" spans="1:16" ht="14.4" x14ac:dyDescent="0.25">
      <c r="A4153" s="6">
        <v>6427</v>
      </c>
      <c r="B4153" s="6">
        <v>45698</v>
      </c>
      <c r="C4153" s="19">
        <v>41022</v>
      </c>
      <c r="D4153" s="6" t="s">
        <v>17</v>
      </c>
      <c r="E4153" s="6">
        <f>IF((ISBLANK($B$1)),"",Sheet1!Q4162)</f>
        <v>5400</v>
      </c>
      <c r="F4153" s="20" t="s">
        <v>26</v>
      </c>
      <c r="G4153" s="53">
        <f t="shared" si="65"/>
        <v>0.99597891402498073</v>
      </c>
      <c r="H4153" s="35"/>
      <c r="P4153" s="6"/>
    </row>
    <row r="4154" spans="1:16" ht="14.4" x14ac:dyDescent="0.25">
      <c r="A4154" s="6">
        <v>6428</v>
      </c>
      <c r="B4154" s="6">
        <v>45698</v>
      </c>
      <c r="C4154" s="19">
        <v>41022</v>
      </c>
      <c r="D4154" s="6" t="s">
        <v>17</v>
      </c>
      <c r="E4154" s="6">
        <f>IF((ISBLANK($B$1)),"",Sheet1!Q4163)</f>
        <v>5200</v>
      </c>
      <c r="F4154" s="20" t="s">
        <v>26</v>
      </c>
      <c r="G4154" s="53">
        <f t="shared" si="65"/>
        <v>0.71978805948307201</v>
      </c>
      <c r="H4154" s="35"/>
      <c r="P4154" s="6"/>
    </row>
    <row r="4155" spans="1:16" ht="14.4" x14ac:dyDescent="0.25">
      <c r="A4155" s="6">
        <v>6458</v>
      </c>
      <c r="B4155" s="6">
        <v>45987</v>
      </c>
      <c r="C4155" s="19">
        <v>39884</v>
      </c>
      <c r="D4155" s="6" t="s">
        <v>28</v>
      </c>
      <c r="E4155" s="6">
        <f>IF((ISBLANK($B$1)),"",Sheet1!Q4164)</f>
        <v>4950</v>
      </c>
      <c r="F4155" s="20" t="s">
        <v>26</v>
      </c>
      <c r="G4155" s="53">
        <f t="shared" si="65"/>
        <v>0.37454949130568621</v>
      </c>
      <c r="H4155" s="35"/>
      <c r="P4155" s="6"/>
    </row>
    <row r="4156" spans="1:16" ht="14.4" x14ac:dyDescent="0.25">
      <c r="A4156" s="6">
        <v>6471</v>
      </c>
      <c r="B4156" s="6">
        <v>46052</v>
      </c>
      <c r="C4156" s="19">
        <v>40140</v>
      </c>
      <c r="D4156" s="6" t="s">
        <v>16</v>
      </c>
      <c r="E4156" s="6">
        <f>IF((ISBLANK($B$1)),"",Sheet1!Q4165)</f>
        <v>5250</v>
      </c>
      <c r="F4156" s="20" t="s">
        <v>29</v>
      </c>
      <c r="G4156" s="53">
        <f t="shared" si="65"/>
        <v>0.78883577311854924</v>
      </c>
      <c r="H4156" s="35"/>
      <c r="P4156" s="6"/>
    </row>
    <row r="4157" spans="1:16" ht="14.4" x14ac:dyDescent="0.25">
      <c r="A4157" s="6">
        <v>6472</v>
      </c>
      <c r="B4157" s="6">
        <v>46052</v>
      </c>
      <c r="C4157" s="19">
        <v>40140</v>
      </c>
      <c r="D4157" s="6" t="s">
        <v>16</v>
      </c>
      <c r="E4157" s="6">
        <f>IF((ISBLANK($B$1)),"",Sheet1!Q4166)</f>
        <v>5350</v>
      </c>
      <c r="F4157" s="20" t="s">
        <v>29</v>
      </c>
      <c r="G4157" s="53">
        <f t="shared" si="65"/>
        <v>0.92693120038950361</v>
      </c>
      <c r="H4157" s="35"/>
      <c r="P4157" s="6"/>
    </row>
    <row r="4158" spans="1:16" ht="14.4" x14ac:dyDescent="0.25">
      <c r="A4158" s="6">
        <v>6516</v>
      </c>
      <c r="B4158" s="6">
        <v>46374</v>
      </c>
      <c r="C4158" s="19">
        <v>40366</v>
      </c>
      <c r="D4158" s="6" t="s">
        <v>17</v>
      </c>
      <c r="E4158" s="6">
        <f>IF((ISBLANK($B$1)),"",Sheet1!Q4167)</f>
        <v>3750</v>
      </c>
      <c r="F4158" s="20" t="s">
        <v>29</v>
      </c>
      <c r="G4158" s="53">
        <f t="shared" si="65"/>
        <v>-1.282595635945766</v>
      </c>
      <c r="H4158" s="35"/>
      <c r="P4158" s="6"/>
    </row>
    <row r="4159" spans="1:16" ht="14.4" x14ac:dyDescent="0.25">
      <c r="A4159" s="6">
        <v>6519</v>
      </c>
      <c r="B4159" s="6">
        <v>46402</v>
      </c>
      <c r="C4159" s="19">
        <v>40551</v>
      </c>
      <c r="D4159" s="6" t="s">
        <v>16</v>
      </c>
      <c r="E4159" s="6">
        <f>IF((ISBLANK($B$1)),"",Sheet1!Q4168)</f>
        <v>4750</v>
      </c>
      <c r="F4159" s="20" t="s">
        <v>29</v>
      </c>
      <c r="G4159" s="53">
        <f t="shared" si="65"/>
        <v>9.8358636763777513E-2</v>
      </c>
      <c r="H4159" s="35"/>
      <c r="P4159" s="6"/>
    </row>
    <row r="4160" spans="1:16" ht="14.4" x14ac:dyDescent="0.25">
      <c r="A4160" s="6">
        <v>6520</v>
      </c>
      <c r="B4160" s="6">
        <v>46402</v>
      </c>
      <c r="C4160" s="19">
        <v>40551</v>
      </c>
      <c r="D4160" s="6" t="s">
        <v>16</v>
      </c>
      <c r="E4160" s="6">
        <f>IF((ISBLANK($B$1)),"",Sheet1!Q4169)</f>
        <v>4850</v>
      </c>
      <c r="F4160" s="20" t="s">
        <v>27</v>
      </c>
      <c r="G4160" s="53">
        <f t="shared" si="65"/>
        <v>0.23645406403473185</v>
      </c>
      <c r="H4160" s="35"/>
      <c r="P4160" s="6"/>
    </row>
    <row r="4161" spans="1:16" ht="14.4" x14ac:dyDescent="0.25">
      <c r="A4161" s="6">
        <v>6521</v>
      </c>
      <c r="B4161" s="6">
        <v>46402</v>
      </c>
      <c r="C4161" s="19">
        <v>40551</v>
      </c>
      <c r="D4161" s="6" t="s">
        <v>16</v>
      </c>
      <c r="E4161" s="6">
        <f>IF((ISBLANK($B$1)),"",Sheet1!Q4170)</f>
        <v>4000</v>
      </c>
      <c r="F4161" s="20" t="s">
        <v>27</v>
      </c>
      <c r="G4161" s="53">
        <f t="shared" si="65"/>
        <v>-0.93735706776838001</v>
      </c>
      <c r="H4161" s="35"/>
      <c r="P4161" s="6"/>
    </row>
    <row r="4162" spans="1:16" ht="14.4" x14ac:dyDescent="0.25">
      <c r="A4162" s="6">
        <v>6522</v>
      </c>
      <c r="B4162" s="6">
        <v>46404</v>
      </c>
      <c r="C4162" s="19">
        <v>40972</v>
      </c>
      <c r="D4162" s="6" t="s">
        <v>30</v>
      </c>
      <c r="E4162" s="6">
        <f>IF((ISBLANK($B$1)),"",Sheet1!Q4171)</f>
        <v>5900</v>
      </c>
      <c r="F4162" s="20" t="s">
        <v>27</v>
      </c>
      <c r="G4162" s="53">
        <f t="shared" si="65"/>
        <v>1.6864560503797523</v>
      </c>
      <c r="H4162" s="35"/>
      <c r="P4162" s="6"/>
    </row>
    <row r="4163" spans="1:16" ht="14.4" x14ac:dyDescent="0.25">
      <c r="A4163" s="6">
        <v>6528</v>
      </c>
      <c r="B4163" s="6">
        <v>46468</v>
      </c>
      <c r="C4163" s="19">
        <v>40554</v>
      </c>
      <c r="D4163" s="6" t="s">
        <v>30</v>
      </c>
      <c r="E4163" s="6">
        <f>IF((ISBLANK($B$1)),"",Sheet1!Q4172)</f>
        <v>5700</v>
      </c>
      <c r="F4163" s="20" t="s">
        <v>26</v>
      </c>
      <c r="G4163" s="53">
        <f t="shared" si="65"/>
        <v>1.4102651958378438</v>
      </c>
      <c r="H4163" s="35"/>
      <c r="P4163" s="6"/>
    </row>
    <row r="4164" spans="1:16" ht="14.4" x14ac:dyDescent="0.25">
      <c r="A4164" s="6">
        <v>6529</v>
      </c>
      <c r="B4164" s="6">
        <v>46468</v>
      </c>
      <c r="C4164" s="19">
        <v>40554</v>
      </c>
      <c r="D4164" s="6" t="s">
        <v>30</v>
      </c>
      <c r="E4164" s="6">
        <f>IF((ISBLANK($B$1)),"",Sheet1!Q4173)</f>
        <v>5450</v>
      </c>
      <c r="F4164" s="20" t="s">
        <v>27</v>
      </c>
      <c r="G4164" s="53">
        <f t="shared" si="65"/>
        <v>1.0650266276604579</v>
      </c>
      <c r="H4164" s="35"/>
      <c r="P4164" s="6"/>
    </row>
    <row r="4165" spans="1:16" ht="14.4" x14ac:dyDescent="0.25">
      <c r="A4165" s="6">
        <v>6530</v>
      </c>
      <c r="B4165" s="6">
        <v>46468</v>
      </c>
      <c r="C4165" s="19">
        <v>40554</v>
      </c>
      <c r="D4165" s="6" t="s">
        <v>30</v>
      </c>
      <c r="E4165" s="6">
        <f>IF((ISBLANK($B$1)),"",Sheet1!Q4174)</f>
        <v>3450</v>
      </c>
      <c r="F4165" s="20" t="s">
        <v>26</v>
      </c>
      <c r="G4165" s="53">
        <f t="shared" si="65"/>
        <v>-1.696881917758629</v>
      </c>
      <c r="H4165" s="35"/>
      <c r="P4165" s="6"/>
    </row>
    <row r="4166" spans="1:16" ht="14.4" x14ac:dyDescent="0.25">
      <c r="A4166" s="6">
        <v>6651</v>
      </c>
      <c r="B4166" s="6">
        <v>47303</v>
      </c>
      <c r="C4166" s="19">
        <v>40882</v>
      </c>
      <c r="D4166" s="6" t="s">
        <v>16</v>
      </c>
      <c r="E4166" s="6">
        <f>IF((ISBLANK($B$1)),"",Sheet1!Q4176)</f>
        <v>5750</v>
      </c>
      <c r="F4166" s="20" t="s">
        <v>26</v>
      </c>
      <c r="G4166" s="53">
        <f t="shared" si="65"/>
        <v>1.4793129094733208</v>
      </c>
      <c r="H4166" s="35"/>
      <c r="P4166" s="6"/>
    </row>
    <row r="4167" spans="1:16" ht="14.4" x14ac:dyDescent="0.25">
      <c r="A4167" s="6">
        <v>6652</v>
      </c>
      <c r="B4167" s="6">
        <v>47303</v>
      </c>
      <c r="C4167" s="19">
        <v>40882</v>
      </c>
      <c r="D4167" s="6" t="s">
        <v>16</v>
      </c>
      <c r="E4167" s="6">
        <f>IF((ISBLANK($B$1)),"",Sheet1!Q4177)</f>
        <v>3750</v>
      </c>
      <c r="F4167" s="20" t="s">
        <v>26</v>
      </c>
      <c r="G4167" s="53">
        <f t="shared" si="65"/>
        <v>-1.282595635945766</v>
      </c>
      <c r="H4167" s="35"/>
      <c r="P4167" s="6"/>
    </row>
    <row r="4168" spans="1:16" ht="14.4" x14ac:dyDescent="0.25">
      <c r="A4168" s="6">
        <v>6653</v>
      </c>
      <c r="B4168" s="6">
        <v>47303</v>
      </c>
      <c r="C4168" s="19">
        <v>40882</v>
      </c>
      <c r="D4168" s="6" t="s">
        <v>16</v>
      </c>
      <c r="E4168" s="6">
        <f>IF((ISBLANK($B$1)),"",Sheet1!Q4178)</f>
        <v>5650</v>
      </c>
      <c r="F4168" s="20" t="s">
        <v>26</v>
      </c>
      <c r="G4168" s="53">
        <f t="shared" ref="G4168:G4231" si="66">STANDARDIZE(E4168,$L$26,$L$35)</f>
        <v>1.3412174822023666</v>
      </c>
      <c r="H4168" s="35"/>
      <c r="P4168" s="6"/>
    </row>
    <row r="4169" spans="1:16" ht="14.4" x14ac:dyDescent="0.25">
      <c r="A4169" s="6">
        <v>6672</v>
      </c>
      <c r="B4169" s="6">
        <v>47492</v>
      </c>
      <c r="C4169" s="19">
        <v>40747</v>
      </c>
      <c r="D4169" s="6" t="s">
        <v>17</v>
      </c>
      <c r="E4169" s="6">
        <f>IF((ISBLANK($B$1)),"",Sheet1!Q4179)</f>
        <v>4500</v>
      </c>
      <c r="F4169" s="20" t="s">
        <v>27</v>
      </c>
      <c r="G4169" s="53">
        <f t="shared" si="66"/>
        <v>-0.24687993141360834</v>
      </c>
      <c r="H4169" s="35"/>
      <c r="P4169" s="6"/>
    </row>
    <row r="4170" spans="1:16" ht="14.4" x14ac:dyDescent="0.25">
      <c r="A4170" s="6">
        <v>6695</v>
      </c>
      <c r="B4170" s="6">
        <v>47682</v>
      </c>
      <c r="C4170" s="19">
        <v>41229</v>
      </c>
      <c r="D4170" s="6" t="s">
        <v>28</v>
      </c>
      <c r="E4170" s="6">
        <f>IF((ISBLANK($B$1)),"",Sheet1!Q4180)</f>
        <v>5300</v>
      </c>
      <c r="F4170" s="20" t="s">
        <v>26</v>
      </c>
      <c r="G4170" s="53">
        <f t="shared" si="66"/>
        <v>0.85788348675402637</v>
      </c>
      <c r="H4170" s="35"/>
      <c r="P4170" s="6"/>
    </row>
    <row r="4171" spans="1:16" ht="14.4" x14ac:dyDescent="0.25">
      <c r="A4171" s="6">
        <v>6807</v>
      </c>
      <c r="B4171" s="6">
        <v>48483</v>
      </c>
      <c r="C4171" s="19">
        <v>40157</v>
      </c>
      <c r="D4171" s="6" t="s">
        <v>30</v>
      </c>
      <c r="E4171" s="6">
        <f>IF((ISBLANK($B$1)),"",Sheet1!Q4181)</f>
        <v>4300</v>
      </c>
      <c r="F4171" s="20" t="s">
        <v>26</v>
      </c>
      <c r="G4171" s="53">
        <f t="shared" si="66"/>
        <v>-0.52307078595551704</v>
      </c>
      <c r="H4171" s="35"/>
      <c r="P4171" s="6"/>
    </row>
    <row r="4172" spans="1:16" ht="14.4" x14ac:dyDescent="0.25">
      <c r="A4172" s="6">
        <v>6871</v>
      </c>
      <c r="B4172" s="6">
        <v>48961</v>
      </c>
      <c r="C4172" s="19">
        <v>40015</v>
      </c>
      <c r="D4172" s="6" t="s">
        <v>28</v>
      </c>
      <c r="E4172" s="6">
        <f>IF((ISBLANK($B$1)),"",Sheet1!Q4182)</f>
        <v>4600</v>
      </c>
      <c r="F4172" s="20" t="s">
        <v>26</v>
      </c>
      <c r="G4172" s="53">
        <f t="shared" si="66"/>
        <v>-0.108784504142654</v>
      </c>
      <c r="H4172" s="35"/>
      <c r="P4172" s="6"/>
    </row>
    <row r="4173" spans="1:16" ht="14.4" x14ac:dyDescent="0.25">
      <c r="A4173" s="6">
        <v>6872</v>
      </c>
      <c r="B4173" s="6">
        <v>48961</v>
      </c>
      <c r="C4173" s="19">
        <v>40015</v>
      </c>
      <c r="D4173" s="6" t="s">
        <v>28</v>
      </c>
      <c r="E4173" s="6">
        <f>IF((ISBLANK($B$1)),"",Sheet1!Q4183)</f>
        <v>4650</v>
      </c>
      <c r="F4173" s="20" t="s">
        <v>26</v>
      </c>
      <c r="G4173" s="53">
        <f t="shared" si="66"/>
        <v>-3.9736790507176829E-2</v>
      </c>
      <c r="H4173" s="35"/>
      <c r="P4173" s="6"/>
    </row>
    <row r="4174" spans="1:16" ht="14.4" x14ac:dyDescent="0.25">
      <c r="A4174" s="6">
        <v>6921</v>
      </c>
      <c r="B4174" s="6">
        <v>49350</v>
      </c>
      <c r="C4174" s="19">
        <v>41143</v>
      </c>
      <c r="D4174" s="6" t="s">
        <v>17</v>
      </c>
      <c r="E4174" s="6">
        <f>IF((ISBLANK($B$1)),"",Sheet1!Q4184)</f>
        <v>5900</v>
      </c>
      <c r="F4174" s="20" t="s">
        <v>26</v>
      </c>
      <c r="G4174" s="53">
        <f t="shared" si="66"/>
        <v>1.6864560503797523</v>
      </c>
      <c r="H4174" s="35"/>
      <c r="P4174" s="6"/>
    </row>
    <row r="4175" spans="1:16" ht="14.4" x14ac:dyDescent="0.25">
      <c r="A4175" s="6">
        <v>6936</v>
      </c>
      <c r="B4175" s="6">
        <v>49505</v>
      </c>
      <c r="C4175" s="19">
        <v>39834</v>
      </c>
      <c r="D4175" s="6" t="s">
        <v>30</v>
      </c>
      <c r="E4175" s="6">
        <f>IF((ISBLANK($B$1)),"",Sheet1!Q4185)</f>
        <v>4000</v>
      </c>
      <c r="F4175" s="20" t="s">
        <v>26</v>
      </c>
      <c r="G4175" s="53">
        <f t="shared" si="66"/>
        <v>-0.93735706776838001</v>
      </c>
      <c r="H4175" s="35"/>
      <c r="P4175" s="6"/>
    </row>
    <row r="4176" spans="1:16" ht="14.4" x14ac:dyDescent="0.25">
      <c r="A4176" s="6">
        <v>6937</v>
      </c>
      <c r="B4176" s="6">
        <v>49505</v>
      </c>
      <c r="C4176" s="19">
        <v>39834</v>
      </c>
      <c r="D4176" s="6" t="s">
        <v>30</v>
      </c>
      <c r="E4176" s="6">
        <f>IF((ISBLANK($B$1)),"",Sheet1!Q4186)</f>
        <v>5100</v>
      </c>
      <c r="F4176" s="20" t="s">
        <v>27</v>
      </c>
      <c r="G4176" s="53">
        <f t="shared" si="66"/>
        <v>0.58169263221211776</v>
      </c>
      <c r="H4176" s="35"/>
      <c r="P4176" s="6"/>
    </row>
    <row r="4177" spans="1:16" ht="14.4" x14ac:dyDescent="0.25">
      <c r="A4177" s="6">
        <v>6966</v>
      </c>
      <c r="B4177" s="6">
        <v>49797</v>
      </c>
      <c r="C4177" s="19">
        <v>40610</v>
      </c>
      <c r="D4177" s="6" t="s">
        <v>28</v>
      </c>
      <c r="E4177" s="6">
        <f>IF((ISBLANK($B$1)),"",Sheet1!Q4187)</f>
        <v>4750</v>
      </c>
      <c r="F4177" s="20" t="s">
        <v>26</v>
      </c>
      <c r="G4177" s="53">
        <f t="shared" si="66"/>
        <v>9.8358636763777513E-2</v>
      </c>
      <c r="H4177" s="35"/>
      <c r="P4177" s="6"/>
    </row>
    <row r="4178" spans="1:16" ht="14.4" x14ac:dyDescent="0.25">
      <c r="A4178" s="6">
        <v>6967</v>
      </c>
      <c r="B4178" s="6">
        <v>49797</v>
      </c>
      <c r="C4178" s="19">
        <v>40610</v>
      </c>
      <c r="D4178" s="6" t="s">
        <v>28</v>
      </c>
      <c r="E4178" s="6">
        <f>IF((ISBLANK($B$1)),"",Sheet1!Q4188)</f>
        <v>4700</v>
      </c>
      <c r="F4178" s="20" t="s">
        <v>26</v>
      </c>
      <c r="G4178" s="53">
        <f t="shared" si="66"/>
        <v>2.9310923128300338E-2</v>
      </c>
      <c r="H4178" s="35"/>
      <c r="P4178" s="6"/>
    </row>
    <row r="4179" spans="1:16" ht="14.4" x14ac:dyDescent="0.25">
      <c r="A4179" s="6">
        <v>7007</v>
      </c>
      <c r="B4179" s="6">
        <v>50017</v>
      </c>
      <c r="C4179" s="19">
        <v>41233</v>
      </c>
      <c r="D4179" s="6" t="s">
        <v>25</v>
      </c>
      <c r="E4179" s="6">
        <f>IF((ISBLANK($B$1)),"",Sheet1!Q4189)</f>
        <v>5550</v>
      </c>
      <c r="F4179" s="20" t="s">
        <v>26</v>
      </c>
      <c r="G4179" s="53">
        <f t="shared" si="66"/>
        <v>1.2031220549314123</v>
      </c>
      <c r="H4179" s="35"/>
      <c r="P4179" s="6"/>
    </row>
    <row r="4180" spans="1:16" ht="14.4" x14ac:dyDescent="0.25">
      <c r="A4180" s="6">
        <v>7008</v>
      </c>
      <c r="B4180" s="6">
        <v>50017</v>
      </c>
      <c r="C4180" s="19">
        <v>41233</v>
      </c>
      <c r="D4180" s="6" t="s">
        <v>25</v>
      </c>
      <c r="E4180" s="6">
        <f>IF((ISBLANK($B$1)),"",Sheet1!Q4190)</f>
        <v>4600</v>
      </c>
      <c r="F4180" s="20" t="s">
        <v>26</v>
      </c>
      <c r="G4180" s="53">
        <f t="shared" si="66"/>
        <v>-0.108784504142654</v>
      </c>
      <c r="H4180" s="35"/>
      <c r="P4180" s="6"/>
    </row>
    <row r="4181" spans="1:16" ht="14.4" x14ac:dyDescent="0.25">
      <c r="A4181" s="6">
        <v>7013</v>
      </c>
      <c r="B4181" s="6">
        <v>50051</v>
      </c>
      <c r="C4181" s="19">
        <v>40090</v>
      </c>
      <c r="D4181" s="6" t="s">
        <v>16</v>
      </c>
      <c r="E4181" s="6">
        <f>IF((ISBLANK($B$1)),"",Sheet1!Q4191)</f>
        <v>4150</v>
      </c>
      <c r="F4181" s="20" t="s">
        <v>29</v>
      </c>
      <c r="G4181" s="53">
        <f t="shared" si="66"/>
        <v>-0.73021392686194853</v>
      </c>
      <c r="H4181" s="35"/>
      <c r="P4181" s="6"/>
    </row>
    <row r="4182" spans="1:16" ht="14.4" x14ac:dyDescent="0.25">
      <c r="A4182" s="6">
        <v>7019</v>
      </c>
      <c r="B4182" s="6">
        <v>50083</v>
      </c>
      <c r="C4182" s="19">
        <v>40641</v>
      </c>
      <c r="D4182" s="6" t="s">
        <v>28</v>
      </c>
      <c r="E4182" s="6">
        <f>IF((ISBLANK($B$1)),"",Sheet1!Q4192)</f>
        <v>5050</v>
      </c>
      <c r="F4182" s="20" t="s">
        <v>27</v>
      </c>
      <c r="G4182" s="53">
        <f t="shared" si="66"/>
        <v>0.51264491857664052</v>
      </c>
      <c r="H4182" s="35"/>
      <c r="P4182" s="6"/>
    </row>
    <row r="4183" spans="1:16" ht="14.4" x14ac:dyDescent="0.25">
      <c r="A4183" s="6">
        <v>7047</v>
      </c>
      <c r="B4183" s="6">
        <v>50307</v>
      </c>
      <c r="C4183" s="19">
        <v>40466</v>
      </c>
      <c r="D4183" s="6" t="s">
        <v>25</v>
      </c>
      <c r="E4183" s="6">
        <f>IF((ISBLANK($B$1)),"",Sheet1!Q4193)</f>
        <v>4950</v>
      </c>
      <c r="F4183" s="20" t="s">
        <v>27</v>
      </c>
      <c r="G4183" s="53">
        <f t="shared" si="66"/>
        <v>0.37454949130568621</v>
      </c>
      <c r="H4183" s="35"/>
      <c r="P4183" s="6"/>
    </row>
    <row r="4184" spans="1:16" ht="14.4" x14ac:dyDescent="0.25">
      <c r="A4184" s="6">
        <v>7048</v>
      </c>
      <c r="B4184" s="6">
        <v>50307</v>
      </c>
      <c r="C4184" s="19">
        <v>40466</v>
      </c>
      <c r="D4184" s="6" t="s">
        <v>25</v>
      </c>
      <c r="E4184" s="6">
        <f>IF((ISBLANK($B$1)),"",Sheet1!Q4194)</f>
        <v>5000</v>
      </c>
      <c r="F4184" s="20" t="s">
        <v>26</v>
      </c>
      <c r="G4184" s="53">
        <f t="shared" si="66"/>
        <v>0.44359720494116334</v>
      </c>
      <c r="H4184" s="35"/>
      <c r="P4184" s="6"/>
    </row>
    <row r="4185" spans="1:16" ht="14.4" x14ac:dyDescent="0.25">
      <c r="A4185" s="6">
        <v>7102</v>
      </c>
      <c r="B4185" s="6">
        <v>50663</v>
      </c>
      <c r="C4185" s="19">
        <v>40491</v>
      </c>
      <c r="D4185" s="6" t="s">
        <v>30</v>
      </c>
      <c r="E4185" s="6">
        <f>IF((ISBLANK($B$1)),"",Sheet1!Q4195)</f>
        <v>4700</v>
      </c>
      <c r="F4185" s="20" t="s">
        <v>26</v>
      </c>
      <c r="G4185" s="53">
        <f t="shared" si="66"/>
        <v>2.9310923128300338E-2</v>
      </c>
      <c r="H4185" s="35"/>
      <c r="P4185" s="6"/>
    </row>
    <row r="4186" spans="1:16" ht="14.4" x14ac:dyDescent="0.25">
      <c r="A4186" s="6">
        <v>7137</v>
      </c>
      <c r="B4186" s="6">
        <v>50917</v>
      </c>
      <c r="C4186" s="19">
        <v>40015</v>
      </c>
      <c r="D4186" s="6" t="s">
        <v>25</v>
      </c>
      <c r="E4186" s="6">
        <f>IF((ISBLANK($B$1)),"",Sheet1!Q4196)</f>
        <v>5050</v>
      </c>
      <c r="F4186" s="20" t="s">
        <v>27</v>
      </c>
      <c r="G4186" s="53">
        <f t="shared" si="66"/>
        <v>0.51264491857664052</v>
      </c>
      <c r="H4186" s="35"/>
      <c r="P4186" s="6"/>
    </row>
    <row r="4187" spans="1:16" ht="14.4" x14ac:dyDescent="0.25">
      <c r="A4187" s="6">
        <v>7145</v>
      </c>
      <c r="B4187" s="6">
        <v>50981</v>
      </c>
      <c r="C4187" s="19">
        <v>40029</v>
      </c>
      <c r="D4187" s="6" t="s">
        <v>30</v>
      </c>
      <c r="E4187" s="6">
        <f>IF((ISBLANK($B$1)),"",Sheet1!Q4197)</f>
        <v>5500</v>
      </c>
      <c r="F4187" s="20" t="s">
        <v>27</v>
      </c>
      <c r="G4187" s="53">
        <f t="shared" si="66"/>
        <v>1.1340743412959351</v>
      </c>
      <c r="H4187" s="35"/>
      <c r="P4187" s="6"/>
    </row>
    <row r="4188" spans="1:16" ht="14.4" x14ac:dyDescent="0.25">
      <c r="A4188" s="6">
        <v>7165</v>
      </c>
      <c r="B4188" s="6">
        <v>51140</v>
      </c>
      <c r="C4188" s="19">
        <v>41166</v>
      </c>
      <c r="D4188" s="6" t="s">
        <v>25</v>
      </c>
      <c r="E4188" s="6">
        <f>IF((ISBLANK($B$1)),"",Sheet1!Q4198)</f>
        <v>4800</v>
      </c>
      <c r="F4188" s="20" t="s">
        <v>26</v>
      </c>
      <c r="G4188" s="53">
        <f t="shared" si="66"/>
        <v>0.16740635039925467</v>
      </c>
      <c r="H4188" s="35"/>
      <c r="P4188" s="6"/>
    </row>
    <row r="4189" spans="1:16" ht="14.4" x14ac:dyDescent="0.25">
      <c r="A4189" s="6">
        <v>7166</v>
      </c>
      <c r="B4189" s="6">
        <v>51140</v>
      </c>
      <c r="C4189" s="19">
        <v>41166</v>
      </c>
      <c r="D4189" s="6" t="s">
        <v>25</v>
      </c>
      <c r="E4189" s="6">
        <f>IF((ISBLANK($B$1)),"",Sheet1!Q4199)</f>
        <v>4100</v>
      </c>
      <c r="F4189" s="20" t="s">
        <v>27</v>
      </c>
      <c r="G4189" s="53">
        <f t="shared" si="66"/>
        <v>-0.79926164049742576</v>
      </c>
      <c r="H4189" s="35"/>
      <c r="P4189" s="6"/>
    </row>
    <row r="4190" spans="1:16" ht="14.4" x14ac:dyDescent="0.25">
      <c r="A4190" s="6">
        <v>7167</v>
      </c>
      <c r="B4190" s="6">
        <v>51140</v>
      </c>
      <c r="C4190" s="19">
        <v>41166</v>
      </c>
      <c r="D4190" s="6" t="s">
        <v>25</v>
      </c>
      <c r="E4190" s="6">
        <f>IF((ISBLANK($B$1)),"",Sheet1!Q4200)</f>
        <v>3550</v>
      </c>
      <c r="F4190" s="20" t="s">
        <v>29</v>
      </c>
      <c r="G4190" s="53">
        <f t="shared" si="66"/>
        <v>-1.5587864904876745</v>
      </c>
      <c r="H4190" s="35"/>
      <c r="P4190" s="6"/>
    </row>
    <row r="4191" spans="1:16" ht="14.4" x14ac:dyDescent="0.25">
      <c r="A4191" s="6">
        <v>7177</v>
      </c>
      <c r="B4191" s="6">
        <v>51205</v>
      </c>
      <c r="C4191" s="19">
        <v>41253</v>
      </c>
      <c r="D4191" s="6" t="s">
        <v>17</v>
      </c>
      <c r="E4191" s="6">
        <f>IF((ISBLANK($B$1)),"",Sheet1!Q4201)</f>
        <v>4250</v>
      </c>
      <c r="F4191" s="20" t="s">
        <v>26</v>
      </c>
      <c r="G4191" s="53">
        <f t="shared" si="66"/>
        <v>-0.59211849959099416</v>
      </c>
      <c r="H4191" s="35"/>
      <c r="P4191" s="6"/>
    </row>
    <row r="4192" spans="1:16" ht="14.4" x14ac:dyDescent="0.25">
      <c r="A4192" s="6">
        <v>7178</v>
      </c>
      <c r="B4192" s="6">
        <v>51205</v>
      </c>
      <c r="C4192" s="19">
        <v>41253</v>
      </c>
      <c r="D4192" s="6" t="s">
        <v>17</v>
      </c>
      <c r="E4192" s="6">
        <f>IF((ISBLANK($B$1)),"",Sheet1!Q4202)</f>
        <v>3650</v>
      </c>
      <c r="F4192" s="20" t="s">
        <v>26</v>
      </c>
      <c r="G4192" s="53">
        <f t="shared" si="66"/>
        <v>-1.4206910632167202</v>
      </c>
      <c r="H4192" s="35"/>
      <c r="P4192" s="6"/>
    </row>
    <row r="4193" spans="1:16" ht="14.4" x14ac:dyDescent="0.25">
      <c r="A4193" s="6">
        <v>7180</v>
      </c>
      <c r="B4193" s="6">
        <v>51237</v>
      </c>
      <c r="C4193" s="19">
        <v>40978</v>
      </c>
      <c r="D4193" s="6" t="s">
        <v>16</v>
      </c>
      <c r="E4193" s="6">
        <f>IF((ISBLANK($B$1)),"",Sheet1!Q4203)</f>
        <v>4700</v>
      </c>
      <c r="F4193" s="20" t="s">
        <v>27</v>
      </c>
      <c r="G4193" s="53">
        <f t="shared" si="66"/>
        <v>2.9310923128300338E-2</v>
      </c>
      <c r="H4193" s="35"/>
      <c r="P4193" s="6"/>
    </row>
    <row r="4194" spans="1:16" ht="14.4" x14ac:dyDescent="0.25">
      <c r="A4194" s="6">
        <v>7236</v>
      </c>
      <c r="B4194" s="6">
        <v>51619</v>
      </c>
      <c r="C4194" s="19">
        <v>40058</v>
      </c>
      <c r="D4194" s="6" t="s">
        <v>28</v>
      </c>
      <c r="E4194" s="6">
        <f>IF((ISBLANK($B$1)),"",Sheet1!Q4204)</f>
        <v>5700</v>
      </c>
      <c r="F4194" s="20" t="s">
        <v>26</v>
      </c>
      <c r="G4194" s="53">
        <f t="shared" si="66"/>
        <v>1.4102651958378438</v>
      </c>
      <c r="H4194" s="35"/>
      <c r="P4194" s="6"/>
    </row>
    <row r="4195" spans="1:16" ht="14.4" x14ac:dyDescent="0.25">
      <c r="A4195" s="6">
        <v>7237</v>
      </c>
      <c r="B4195" s="6">
        <v>51619</v>
      </c>
      <c r="C4195" s="19">
        <v>40058</v>
      </c>
      <c r="D4195" s="6" t="s">
        <v>28</v>
      </c>
      <c r="E4195" s="6">
        <f>IF((ISBLANK($B$1)),"",Sheet1!Q4205)</f>
        <v>3700</v>
      </c>
      <c r="F4195" s="20" t="s">
        <v>26</v>
      </c>
      <c r="G4195" s="53">
        <f t="shared" si="66"/>
        <v>-1.351643349581243</v>
      </c>
      <c r="H4195" s="35"/>
      <c r="P4195" s="6"/>
    </row>
    <row r="4196" spans="1:16" ht="14.4" x14ac:dyDescent="0.25">
      <c r="A4196" s="6">
        <v>7238</v>
      </c>
      <c r="B4196" s="6">
        <v>51619</v>
      </c>
      <c r="C4196" s="19">
        <v>40058</v>
      </c>
      <c r="D4196" s="6" t="s">
        <v>28</v>
      </c>
      <c r="E4196" s="6">
        <f>IF((ISBLANK($B$1)),"",Sheet1!Q4206)</f>
        <v>3500</v>
      </c>
      <c r="F4196" s="20" t="s">
        <v>26</v>
      </c>
      <c r="G4196" s="53">
        <f t="shared" si="66"/>
        <v>-1.6278342041231517</v>
      </c>
      <c r="H4196" s="35"/>
      <c r="P4196" s="6"/>
    </row>
    <row r="4197" spans="1:16" ht="14.4" x14ac:dyDescent="0.25">
      <c r="A4197" s="6">
        <v>7239</v>
      </c>
      <c r="B4197" s="6">
        <v>51619</v>
      </c>
      <c r="C4197" s="19">
        <v>40058</v>
      </c>
      <c r="D4197" s="6" t="s">
        <v>28</v>
      </c>
      <c r="E4197" s="6">
        <f>IF((ISBLANK($B$1)),"",Sheet1!Q4207)</f>
        <v>4950</v>
      </c>
      <c r="F4197" s="20" t="s">
        <v>29</v>
      </c>
      <c r="G4197" s="53">
        <f t="shared" si="66"/>
        <v>0.37454949130568621</v>
      </c>
      <c r="H4197" s="35"/>
      <c r="P4197" s="6"/>
    </row>
    <row r="4198" spans="1:16" ht="14.4" x14ac:dyDescent="0.25">
      <c r="A4198" s="6">
        <v>7250</v>
      </c>
      <c r="B4198" s="6">
        <v>51713</v>
      </c>
      <c r="C4198" s="19">
        <v>40621</v>
      </c>
      <c r="D4198" s="6" t="s">
        <v>28</v>
      </c>
      <c r="E4198" s="6">
        <f>IF((ISBLANK($B$1)),"",Sheet1!Q4208)</f>
        <v>5150</v>
      </c>
      <c r="F4198" s="20" t="s">
        <v>26</v>
      </c>
      <c r="G4198" s="53">
        <f t="shared" si="66"/>
        <v>0.65074034584759488</v>
      </c>
      <c r="H4198" s="35"/>
      <c r="P4198" s="6"/>
    </row>
    <row r="4199" spans="1:16" ht="14.4" x14ac:dyDescent="0.25">
      <c r="A4199" s="6">
        <v>7296</v>
      </c>
      <c r="B4199" s="6">
        <v>52007</v>
      </c>
      <c r="C4199" s="19">
        <v>41013</v>
      </c>
      <c r="D4199" s="6" t="s">
        <v>16</v>
      </c>
      <c r="E4199" s="6">
        <f>IF((ISBLANK($B$1)),"",Sheet1!Q4209)</f>
        <v>4650</v>
      </c>
      <c r="F4199" s="20" t="s">
        <v>26</v>
      </c>
      <c r="G4199" s="53">
        <f t="shared" si="66"/>
        <v>-3.9736790507176829E-2</v>
      </c>
      <c r="H4199" s="35"/>
      <c r="P4199" s="6"/>
    </row>
    <row r="4200" spans="1:16" ht="14.4" x14ac:dyDescent="0.25">
      <c r="A4200" s="6">
        <v>7297</v>
      </c>
      <c r="B4200" s="6">
        <v>52007</v>
      </c>
      <c r="C4200" s="19">
        <v>41013</v>
      </c>
      <c r="D4200" s="6" t="s">
        <v>16</v>
      </c>
      <c r="E4200" s="6">
        <f>IF((ISBLANK($B$1)),"",Sheet1!Q4210)</f>
        <v>4350</v>
      </c>
      <c r="F4200" s="20" t="s">
        <v>29</v>
      </c>
      <c r="G4200" s="53">
        <f t="shared" si="66"/>
        <v>-0.45402307232003986</v>
      </c>
      <c r="H4200" s="35"/>
      <c r="P4200" s="6"/>
    </row>
    <row r="4201" spans="1:16" ht="14.4" x14ac:dyDescent="0.25">
      <c r="A4201" s="6">
        <v>7317</v>
      </c>
      <c r="B4201" s="6">
        <v>52164</v>
      </c>
      <c r="C4201" s="19">
        <v>41012</v>
      </c>
      <c r="D4201" s="6" t="s">
        <v>28</v>
      </c>
      <c r="E4201" s="6">
        <f>IF((ISBLANK($B$1)),"",Sheet1!Q4211)</f>
        <v>4900</v>
      </c>
      <c r="F4201" s="20" t="s">
        <v>27</v>
      </c>
      <c r="G4201" s="53">
        <f t="shared" si="66"/>
        <v>0.30550177767020903</v>
      </c>
      <c r="H4201" s="35"/>
      <c r="P4201" s="6"/>
    </row>
    <row r="4202" spans="1:16" ht="14.4" x14ac:dyDescent="0.25">
      <c r="A4202" s="6">
        <v>7367</v>
      </c>
      <c r="B4202" s="6">
        <v>52512</v>
      </c>
      <c r="C4202" s="19">
        <v>40731</v>
      </c>
      <c r="D4202" s="6" t="s">
        <v>17</v>
      </c>
      <c r="E4202" s="6">
        <f>IF((ISBLANK($B$1)),"",Sheet1!Q4212)</f>
        <v>3600</v>
      </c>
      <c r="F4202" s="20" t="s">
        <v>26</v>
      </c>
      <c r="G4202" s="53">
        <f t="shared" si="66"/>
        <v>-1.4897387768521975</v>
      </c>
      <c r="H4202" s="35"/>
      <c r="P4202" s="6"/>
    </row>
    <row r="4203" spans="1:16" ht="14.4" x14ac:dyDescent="0.25">
      <c r="A4203" s="6">
        <v>7368</v>
      </c>
      <c r="B4203" s="6">
        <v>52512</v>
      </c>
      <c r="C4203" s="19">
        <v>40731</v>
      </c>
      <c r="D4203" s="6" t="s">
        <v>17</v>
      </c>
      <c r="E4203" s="6">
        <f>IF((ISBLANK($B$1)),"",Sheet1!Q4213)</f>
        <v>5000</v>
      </c>
      <c r="F4203" s="20" t="s">
        <v>26</v>
      </c>
      <c r="G4203" s="53">
        <f t="shared" si="66"/>
        <v>0.44359720494116334</v>
      </c>
      <c r="H4203" s="35"/>
      <c r="P4203" s="6"/>
    </row>
    <row r="4204" spans="1:16" ht="14.4" x14ac:dyDescent="0.25">
      <c r="A4204" s="6">
        <v>7379</v>
      </c>
      <c r="B4204" s="6">
        <v>52611</v>
      </c>
      <c r="C4204" s="19">
        <v>40658</v>
      </c>
      <c r="D4204" s="6" t="s">
        <v>16</v>
      </c>
      <c r="E4204" s="6">
        <f>IF((ISBLANK($B$1)),"",Sheet1!Q4214)</f>
        <v>3950</v>
      </c>
      <c r="F4204" s="20" t="s">
        <v>26</v>
      </c>
      <c r="G4204" s="53">
        <f t="shared" si="66"/>
        <v>-1.0064047814038573</v>
      </c>
      <c r="H4204" s="35"/>
      <c r="P4204" s="6"/>
    </row>
    <row r="4205" spans="1:16" ht="14.4" x14ac:dyDescent="0.25">
      <c r="A4205" s="6">
        <v>7403</v>
      </c>
      <c r="B4205" s="6">
        <v>52805</v>
      </c>
      <c r="C4205" s="19">
        <v>40814</v>
      </c>
      <c r="D4205" s="6" t="s">
        <v>17</v>
      </c>
      <c r="E4205" s="6">
        <f>IF((ISBLANK($B$1)),"",Sheet1!Q4215)</f>
        <v>4400</v>
      </c>
      <c r="F4205" s="20" t="s">
        <v>27</v>
      </c>
      <c r="G4205" s="53">
        <f t="shared" si="66"/>
        <v>-0.38497535868456267</v>
      </c>
      <c r="H4205" s="35"/>
      <c r="P4205" s="6"/>
    </row>
    <row r="4206" spans="1:16" ht="14.4" x14ac:dyDescent="0.25">
      <c r="A4206" s="6">
        <v>7405</v>
      </c>
      <c r="B4206" s="6">
        <v>52833</v>
      </c>
      <c r="C4206" s="19">
        <v>40901</v>
      </c>
      <c r="D4206" s="6" t="s">
        <v>16</v>
      </c>
      <c r="E4206" s="6">
        <f>IF((ISBLANK($B$1)),"",Sheet1!Q4216)</f>
        <v>3800</v>
      </c>
      <c r="F4206" s="20" t="s">
        <v>26</v>
      </c>
      <c r="G4206" s="53">
        <f t="shared" si="66"/>
        <v>-1.2135479223102887</v>
      </c>
      <c r="H4206" s="35"/>
      <c r="P4206" s="6"/>
    </row>
    <row r="4207" spans="1:16" ht="14.4" x14ac:dyDescent="0.25">
      <c r="A4207" s="6">
        <v>7423</v>
      </c>
      <c r="B4207" s="6">
        <v>52930</v>
      </c>
      <c r="C4207" s="19">
        <v>40855</v>
      </c>
      <c r="D4207" s="6" t="s">
        <v>25</v>
      </c>
      <c r="E4207" s="6">
        <f>IF((ISBLANK($B$1)),"",Sheet1!Q4217)</f>
        <v>4200</v>
      </c>
      <c r="F4207" s="20" t="s">
        <v>26</v>
      </c>
      <c r="G4207" s="53">
        <f t="shared" si="66"/>
        <v>-0.6611662132264714</v>
      </c>
      <c r="H4207" s="35"/>
      <c r="P4207" s="6"/>
    </row>
    <row r="4208" spans="1:16" ht="14.4" x14ac:dyDescent="0.25">
      <c r="A4208" s="6">
        <v>7424</v>
      </c>
      <c r="B4208" s="6">
        <v>52930</v>
      </c>
      <c r="C4208" s="19">
        <v>40855</v>
      </c>
      <c r="D4208" s="6" t="s">
        <v>25</v>
      </c>
      <c r="E4208" s="6">
        <f>IF((ISBLANK($B$1)),"",Sheet1!Q4218)</f>
        <v>5350</v>
      </c>
      <c r="F4208" s="20" t="s">
        <v>26</v>
      </c>
      <c r="G4208" s="53">
        <f t="shared" si="66"/>
        <v>0.92693120038950361</v>
      </c>
      <c r="H4208" s="35"/>
      <c r="P4208" s="6"/>
    </row>
    <row r="4209" spans="1:16" ht="14.4" x14ac:dyDescent="0.25">
      <c r="A4209" s="6">
        <v>7425</v>
      </c>
      <c r="B4209" s="6">
        <v>52930</v>
      </c>
      <c r="C4209" s="19">
        <v>40855</v>
      </c>
      <c r="D4209" s="6" t="s">
        <v>25</v>
      </c>
      <c r="E4209" s="6">
        <f>IF((ISBLANK($B$1)),"",Sheet1!Q4219)</f>
        <v>4600</v>
      </c>
      <c r="F4209" s="20" t="s">
        <v>27</v>
      </c>
      <c r="G4209" s="53">
        <f t="shared" si="66"/>
        <v>-0.108784504142654</v>
      </c>
      <c r="H4209" s="35"/>
      <c r="P4209" s="6"/>
    </row>
    <row r="4210" spans="1:16" ht="14.4" x14ac:dyDescent="0.25">
      <c r="A4210" s="6">
        <v>7426</v>
      </c>
      <c r="B4210" s="6">
        <v>52930</v>
      </c>
      <c r="C4210" s="19">
        <v>40855</v>
      </c>
      <c r="D4210" s="6" t="s">
        <v>25</v>
      </c>
      <c r="E4210" s="6">
        <f>IF((ISBLANK($B$1)),"",Sheet1!Q4220)</f>
        <v>5400</v>
      </c>
      <c r="F4210" s="20" t="s">
        <v>27</v>
      </c>
      <c r="G4210" s="53">
        <f t="shared" si="66"/>
        <v>0.99597891402498073</v>
      </c>
      <c r="H4210" s="35"/>
      <c r="P4210" s="6"/>
    </row>
    <row r="4211" spans="1:16" ht="14.4" x14ac:dyDescent="0.25">
      <c r="A4211" s="6">
        <v>7446</v>
      </c>
      <c r="B4211" s="6">
        <v>53127</v>
      </c>
      <c r="C4211" s="19">
        <v>40674</v>
      </c>
      <c r="D4211" s="6" t="s">
        <v>17</v>
      </c>
      <c r="E4211" s="6">
        <f>IF((ISBLANK($B$1)),"",Sheet1!Q4221)</f>
        <v>5900</v>
      </c>
      <c r="F4211" s="20" t="s">
        <v>26</v>
      </c>
      <c r="G4211" s="53">
        <f t="shared" si="66"/>
        <v>1.6864560503797523</v>
      </c>
      <c r="H4211" s="35"/>
      <c r="P4211" s="6"/>
    </row>
    <row r="4212" spans="1:16" ht="14.4" x14ac:dyDescent="0.25">
      <c r="A4212" s="6">
        <v>7447</v>
      </c>
      <c r="B4212" s="6">
        <v>53127</v>
      </c>
      <c r="C4212" s="19">
        <v>40674</v>
      </c>
      <c r="D4212" s="6" t="s">
        <v>17</v>
      </c>
      <c r="E4212" s="6">
        <f>IF((ISBLANK($B$1)),"",Sheet1!Q4222)</f>
        <v>5850</v>
      </c>
      <c r="F4212" s="20" t="s">
        <v>27</v>
      </c>
      <c r="G4212" s="53">
        <f t="shared" si="66"/>
        <v>1.6174083367442753</v>
      </c>
      <c r="H4212" s="35"/>
      <c r="P4212" s="6"/>
    </row>
    <row r="4213" spans="1:16" ht="14.4" x14ac:dyDescent="0.25">
      <c r="A4213" s="6">
        <v>7472</v>
      </c>
      <c r="B4213" s="6">
        <v>53349</v>
      </c>
      <c r="C4213" s="19">
        <v>40278</v>
      </c>
      <c r="D4213" s="6" t="s">
        <v>25</v>
      </c>
      <c r="E4213" s="6">
        <f>IF((ISBLANK($B$1)),"",Sheet1!Q4223)</f>
        <v>5700</v>
      </c>
      <c r="F4213" s="20" t="s">
        <v>29</v>
      </c>
      <c r="G4213" s="53">
        <f t="shared" si="66"/>
        <v>1.4102651958378438</v>
      </c>
      <c r="H4213" s="35"/>
      <c r="P4213" s="6"/>
    </row>
    <row r="4214" spans="1:16" ht="14.4" x14ac:dyDescent="0.25">
      <c r="A4214" s="6">
        <v>7489</v>
      </c>
      <c r="B4214" s="6">
        <v>53476</v>
      </c>
      <c r="C4214" s="19">
        <v>39975</v>
      </c>
      <c r="D4214" s="6" t="s">
        <v>28</v>
      </c>
      <c r="E4214" s="6">
        <f>IF((ISBLANK($B$1)),"",Sheet1!Q4224)</f>
        <v>4100</v>
      </c>
      <c r="F4214" s="20" t="s">
        <v>26</v>
      </c>
      <c r="G4214" s="53">
        <f t="shared" si="66"/>
        <v>-0.79926164049742576</v>
      </c>
      <c r="H4214" s="35"/>
      <c r="P4214" s="6"/>
    </row>
    <row r="4215" spans="1:16" ht="14.4" x14ac:dyDescent="0.25">
      <c r="A4215" s="6">
        <v>7490</v>
      </c>
      <c r="B4215" s="6">
        <v>53476</v>
      </c>
      <c r="C4215" s="19">
        <v>39975</v>
      </c>
      <c r="D4215" s="6" t="s">
        <v>28</v>
      </c>
      <c r="E4215" s="6">
        <f>IF((ISBLANK($B$1)),"",Sheet1!Q4225)</f>
        <v>4600</v>
      </c>
      <c r="F4215" s="20" t="s">
        <v>26</v>
      </c>
      <c r="G4215" s="53">
        <f t="shared" si="66"/>
        <v>-0.108784504142654</v>
      </c>
      <c r="H4215" s="35"/>
      <c r="P4215" s="6"/>
    </row>
    <row r="4216" spans="1:16" ht="14.4" x14ac:dyDescent="0.25">
      <c r="A4216" s="6">
        <v>7491</v>
      </c>
      <c r="B4216" s="6">
        <v>53476</v>
      </c>
      <c r="C4216" s="19">
        <v>39975</v>
      </c>
      <c r="D4216" s="6" t="s">
        <v>28</v>
      </c>
      <c r="E4216" s="6">
        <f>IF((ISBLANK($B$1)),"",Sheet1!Q4226)</f>
        <v>5750</v>
      </c>
      <c r="F4216" s="20" t="s">
        <v>26</v>
      </c>
      <c r="G4216" s="53">
        <f t="shared" si="66"/>
        <v>1.4793129094733208</v>
      </c>
      <c r="H4216" s="35"/>
      <c r="P4216" s="6"/>
    </row>
    <row r="4217" spans="1:16" ht="14.4" x14ac:dyDescent="0.25">
      <c r="A4217" s="6">
        <v>7492</v>
      </c>
      <c r="B4217" s="6">
        <v>53476</v>
      </c>
      <c r="C4217" s="19">
        <v>39975</v>
      </c>
      <c r="D4217" s="6" t="s">
        <v>28</v>
      </c>
      <c r="E4217" s="6">
        <f>IF((ISBLANK($B$1)),"",Sheet1!Q4227)</f>
        <v>5500</v>
      </c>
      <c r="F4217" s="20" t="s">
        <v>26</v>
      </c>
      <c r="G4217" s="53">
        <f t="shared" si="66"/>
        <v>1.1340743412959351</v>
      </c>
      <c r="H4217" s="35"/>
      <c r="P4217" s="6"/>
    </row>
    <row r="4218" spans="1:16" ht="14.4" x14ac:dyDescent="0.25">
      <c r="A4218" s="6">
        <v>7518</v>
      </c>
      <c r="B4218" s="6">
        <v>53671</v>
      </c>
      <c r="C4218" s="19">
        <v>40704</v>
      </c>
      <c r="D4218" s="6" t="s">
        <v>16</v>
      </c>
      <c r="E4218" s="6">
        <f>IF((ISBLANK($B$1)),"",Sheet1!Q4228)</f>
        <v>5450</v>
      </c>
      <c r="F4218" s="20" t="s">
        <v>26</v>
      </c>
      <c r="G4218" s="53">
        <f t="shared" si="66"/>
        <v>1.0650266276604579</v>
      </c>
      <c r="H4218" s="35"/>
      <c r="P4218" s="6"/>
    </row>
    <row r="4219" spans="1:16" ht="14.4" x14ac:dyDescent="0.25">
      <c r="A4219" s="6">
        <v>7519</v>
      </c>
      <c r="B4219" s="6">
        <v>53671</v>
      </c>
      <c r="C4219" s="19">
        <v>40704</v>
      </c>
      <c r="D4219" s="6" t="s">
        <v>16</v>
      </c>
      <c r="E4219" s="6">
        <f>IF((ISBLANK($B$1)),"",Sheet1!Q4229)</f>
        <v>5550</v>
      </c>
      <c r="F4219" s="20" t="s">
        <v>26</v>
      </c>
      <c r="G4219" s="53">
        <f t="shared" si="66"/>
        <v>1.2031220549314123</v>
      </c>
      <c r="H4219" s="35"/>
      <c r="P4219" s="6"/>
    </row>
    <row r="4220" spans="1:16" ht="14.4" x14ac:dyDescent="0.25">
      <c r="A4220" s="6">
        <v>7520</v>
      </c>
      <c r="B4220" s="6">
        <v>53671</v>
      </c>
      <c r="C4220" s="19">
        <v>40704</v>
      </c>
      <c r="D4220" s="6" t="s">
        <v>16</v>
      </c>
      <c r="E4220" s="6">
        <f>IF((ISBLANK($B$1)),"",Sheet1!Q4230)</f>
        <v>5350</v>
      </c>
      <c r="F4220" s="20" t="s">
        <v>26</v>
      </c>
      <c r="G4220" s="53">
        <f t="shared" si="66"/>
        <v>0.92693120038950361</v>
      </c>
      <c r="H4220" s="35"/>
      <c r="P4220" s="6"/>
    </row>
    <row r="4221" spans="1:16" ht="14.4" x14ac:dyDescent="0.25">
      <c r="A4221" s="6">
        <v>7526</v>
      </c>
      <c r="B4221" s="6">
        <v>53766</v>
      </c>
      <c r="C4221" s="19">
        <v>40099</v>
      </c>
      <c r="D4221" s="6" t="s">
        <v>28</v>
      </c>
      <c r="E4221" s="6">
        <f>IF((ISBLANK($B$1)),"",Sheet1!Q4231)</f>
        <v>4500</v>
      </c>
      <c r="F4221" s="20" t="s">
        <v>29</v>
      </c>
      <c r="G4221" s="53">
        <f t="shared" si="66"/>
        <v>-0.24687993141360834</v>
      </c>
      <c r="H4221" s="35"/>
      <c r="P4221" s="6"/>
    </row>
    <row r="4222" spans="1:16" ht="14.4" x14ac:dyDescent="0.25">
      <c r="A4222" s="6">
        <v>7528</v>
      </c>
      <c r="B4222" s="6">
        <v>53795</v>
      </c>
      <c r="C4222" s="19">
        <v>40938</v>
      </c>
      <c r="D4222" s="6" t="s">
        <v>17</v>
      </c>
      <c r="E4222" s="6">
        <f>IF((ISBLANK($B$1)),"",Sheet1!Q4232)</f>
        <v>5400</v>
      </c>
      <c r="F4222" s="20" t="s">
        <v>26</v>
      </c>
      <c r="G4222" s="53">
        <f t="shared" si="66"/>
        <v>0.99597891402498073</v>
      </c>
      <c r="H4222" s="35"/>
      <c r="P4222" s="6"/>
    </row>
    <row r="4223" spans="1:16" ht="14.4" x14ac:dyDescent="0.25">
      <c r="A4223" s="6">
        <v>7529</v>
      </c>
      <c r="B4223" s="6">
        <v>53795</v>
      </c>
      <c r="C4223" s="19">
        <v>40938</v>
      </c>
      <c r="D4223" s="6" t="s">
        <v>17</v>
      </c>
      <c r="E4223" s="6">
        <f>IF((ISBLANK($B$1)),"",Sheet1!Q4233)</f>
        <v>4450</v>
      </c>
      <c r="F4223" s="20" t="s">
        <v>27</v>
      </c>
      <c r="G4223" s="53">
        <f t="shared" si="66"/>
        <v>-0.31592764504908549</v>
      </c>
      <c r="H4223" s="35"/>
      <c r="P4223" s="6"/>
    </row>
    <row r="4224" spans="1:16" ht="14.4" x14ac:dyDescent="0.25">
      <c r="A4224" s="6">
        <v>7579</v>
      </c>
      <c r="B4224" s="6">
        <v>54209</v>
      </c>
      <c r="C4224" s="19">
        <v>41136</v>
      </c>
      <c r="D4224" s="6" t="s">
        <v>16</v>
      </c>
      <c r="E4224" s="6">
        <f>IF((ISBLANK($B$1)),"",Sheet1!Q4234)</f>
        <v>4450</v>
      </c>
      <c r="F4224" s="20" t="s">
        <v>27</v>
      </c>
      <c r="G4224" s="53">
        <f t="shared" si="66"/>
        <v>-0.31592764504908549</v>
      </c>
      <c r="H4224" s="35"/>
      <c r="P4224" s="6"/>
    </row>
    <row r="4225" spans="1:16" ht="14.4" x14ac:dyDescent="0.25">
      <c r="A4225" s="6">
        <v>7599</v>
      </c>
      <c r="B4225" s="6">
        <v>54369</v>
      </c>
      <c r="C4225" s="19">
        <v>39874</v>
      </c>
      <c r="D4225" s="6" t="s">
        <v>28</v>
      </c>
      <c r="E4225" s="6">
        <f>IF((ISBLANK($B$1)),"",Sheet1!Q4235)</f>
        <v>5750</v>
      </c>
      <c r="F4225" s="20" t="s">
        <v>27</v>
      </c>
      <c r="G4225" s="53">
        <f t="shared" si="66"/>
        <v>1.4793129094733208</v>
      </c>
      <c r="H4225" s="35"/>
      <c r="P4225" s="6"/>
    </row>
    <row r="4226" spans="1:16" ht="14.4" x14ac:dyDescent="0.25">
      <c r="A4226" s="6">
        <v>7652</v>
      </c>
      <c r="B4226" s="6">
        <v>54850</v>
      </c>
      <c r="C4226" s="19">
        <v>40536</v>
      </c>
      <c r="D4226" s="6" t="s">
        <v>28</v>
      </c>
      <c r="E4226" s="6">
        <f>IF((ISBLANK($B$1)),"",Sheet1!Q4236)</f>
        <v>4200</v>
      </c>
      <c r="F4226" s="20" t="s">
        <v>26</v>
      </c>
      <c r="G4226" s="53">
        <f t="shared" si="66"/>
        <v>-0.6611662132264714</v>
      </c>
      <c r="H4226" s="35"/>
      <c r="P4226" s="6"/>
    </row>
    <row r="4227" spans="1:16" ht="14.4" x14ac:dyDescent="0.25">
      <c r="A4227" s="6">
        <v>7653</v>
      </c>
      <c r="B4227" s="6">
        <v>54850</v>
      </c>
      <c r="C4227" s="19">
        <v>40536</v>
      </c>
      <c r="D4227" s="6" t="s">
        <v>28</v>
      </c>
      <c r="E4227" s="6">
        <f>IF((ISBLANK($B$1)),"",Sheet1!Q4237)</f>
        <v>3850</v>
      </c>
      <c r="F4227" s="20" t="s">
        <v>27</v>
      </c>
      <c r="G4227" s="53">
        <f t="shared" si="66"/>
        <v>-1.1445002086748115</v>
      </c>
      <c r="H4227" s="35"/>
      <c r="P4227" s="6"/>
    </row>
    <row r="4228" spans="1:16" ht="14.4" x14ac:dyDescent="0.25">
      <c r="A4228" s="6">
        <v>7666</v>
      </c>
      <c r="B4228" s="6">
        <v>54950</v>
      </c>
      <c r="C4228" s="19">
        <v>40517</v>
      </c>
      <c r="D4228" s="6" t="s">
        <v>17</v>
      </c>
      <c r="E4228" s="6">
        <f>IF((ISBLANK($B$1)),"",Sheet1!Q4238)</f>
        <v>4700</v>
      </c>
      <c r="F4228" s="20" t="s">
        <v>26</v>
      </c>
      <c r="G4228" s="53">
        <f t="shared" si="66"/>
        <v>2.9310923128300338E-2</v>
      </c>
      <c r="H4228" s="35"/>
      <c r="P4228" s="6"/>
    </row>
    <row r="4229" spans="1:16" ht="14.4" x14ac:dyDescent="0.25">
      <c r="A4229" s="6">
        <v>7667</v>
      </c>
      <c r="B4229" s="6">
        <v>54950</v>
      </c>
      <c r="C4229" s="19">
        <v>40517</v>
      </c>
      <c r="D4229" s="6" t="s">
        <v>17</v>
      </c>
      <c r="E4229" s="6">
        <f>IF((ISBLANK($B$1)),"",Sheet1!Q4239)</f>
        <v>4500</v>
      </c>
      <c r="F4229" s="20" t="s">
        <v>29</v>
      </c>
      <c r="G4229" s="53">
        <f t="shared" si="66"/>
        <v>-0.24687993141360834</v>
      </c>
      <c r="H4229" s="35"/>
      <c r="P4229" s="6"/>
    </row>
    <row r="4230" spans="1:16" ht="14.4" x14ac:dyDescent="0.25">
      <c r="A4230" s="6">
        <v>7697</v>
      </c>
      <c r="B4230" s="6">
        <v>55172</v>
      </c>
      <c r="C4230" s="19">
        <v>40515</v>
      </c>
      <c r="D4230" s="6" t="s">
        <v>28</v>
      </c>
      <c r="E4230" s="6">
        <f>IF((ISBLANK($B$1)),"",Sheet1!Q4240)</f>
        <v>3450</v>
      </c>
      <c r="F4230" s="20" t="s">
        <v>27</v>
      </c>
      <c r="G4230" s="53">
        <f t="shared" si="66"/>
        <v>-1.696881917758629</v>
      </c>
      <c r="H4230" s="35"/>
      <c r="P4230" s="6"/>
    </row>
    <row r="4231" spans="1:16" ht="14.4" x14ac:dyDescent="0.25">
      <c r="A4231" s="6">
        <v>7706</v>
      </c>
      <c r="B4231" s="6">
        <v>55235</v>
      </c>
      <c r="C4231" s="19">
        <v>40457</v>
      </c>
      <c r="D4231" s="6" t="s">
        <v>25</v>
      </c>
      <c r="E4231" s="6">
        <f>IF((ISBLANK($B$1)),"",Sheet1!Q4241)</f>
        <v>5050</v>
      </c>
      <c r="F4231" s="20" t="s">
        <v>27</v>
      </c>
      <c r="G4231" s="53">
        <f t="shared" si="66"/>
        <v>0.51264491857664052</v>
      </c>
      <c r="H4231" s="35"/>
      <c r="P4231" s="6"/>
    </row>
    <row r="4232" spans="1:16" ht="14.4" x14ac:dyDescent="0.25">
      <c r="A4232" s="6">
        <v>7718</v>
      </c>
      <c r="B4232" s="6">
        <v>55300</v>
      </c>
      <c r="C4232" s="19">
        <v>39864</v>
      </c>
      <c r="D4232" s="6" t="s">
        <v>17</v>
      </c>
      <c r="E4232" s="6">
        <f>IF((ISBLANK($B$1)),"",Sheet1!Q4242)</f>
        <v>5250</v>
      </c>
      <c r="F4232" s="20" t="s">
        <v>26</v>
      </c>
      <c r="G4232" s="53">
        <f t="shared" ref="G4232:G4295" si="67">STANDARDIZE(E4232,$L$26,$L$35)</f>
        <v>0.78883577311854924</v>
      </c>
      <c r="H4232" s="35"/>
      <c r="P4232" s="6"/>
    </row>
    <row r="4233" spans="1:16" ht="14.4" x14ac:dyDescent="0.25">
      <c r="A4233" s="6">
        <v>7719</v>
      </c>
      <c r="B4233" s="6">
        <v>55300</v>
      </c>
      <c r="C4233" s="19">
        <v>39864</v>
      </c>
      <c r="D4233" s="6" t="s">
        <v>17</v>
      </c>
      <c r="E4233" s="6">
        <f>IF((ISBLANK($B$1)),"",Sheet1!Q4243)</f>
        <v>5800</v>
      </c>
      <c r="F4233" s="20" t="s">
        <v>26</v>
      </c>
      <c r="G4233" s="53">
        <f t="shared" si="67"/>
        <v>1.5483606231087981</v>
      </c>
      <c r="H4233" s="35"/>
      <c r="P4233" s="6"/>
    </row>
    <row r="4234" spans="1:16" ht="14.4" x14ac:dyDescent="0.25">
      <c r="A4234" s="6">
        <v>7720</v>
      </c>
      <c r="B4234" s="6">
        <v>55300</v>
      </c>
      <c r="C4234" s="19">
        <v>39864</v>
      </c>
      <c r="D4234" s="6" t="s">
        <v>17</v>
      </c>
      <c r="E4234" s="6">
        <f>IF((ISBLANK($B$1)),"",Sheet1!Q4244)</f>
        <v>4950</v>
      </c>
      <c r="F4234" s="20" t="s">
        <v>29</v>
      </c>
      <c r="G4234" s="53">
        <f t="shared" si="67"/>
        <v>0.37454949130568621</v>
      </c>
      <c r="H4234" s="35"/>
      <c r="P4234" s="6"/>
    </row>
    <row r="4235" spans="1:16" ht="14.4" x14ac:dyDescent="0.25">
      <c r="A4235" s="6">
        <v>7736</v>
      </c>
      <c r="B4235" s="6">
        <v>55398</v>
      </c>
      <c r="C4235" s="19">
        <v>40198</v>
      </c>
      <c r="D4235" s="6" t="s">
        <v>16</v>
      </c>
      <c r="E4235" s="6">
        <f>IF((ISBLANK($B$1)),"",Sheet1!Q4245)</f>
        <v>4450</v>
      </c>
      <c r="F4235" s="20" t="s">
        <v>26</v>
      </c>
      <c r="G4235" s="53">
        <f t="shared" si="67"/>
        <v>-0.31592764504908549</v>
      </c>
      <c r="H4235" s="35"/>
      <c r="P4235" s="6"/>
    </row>
    <row r="4236" spans="1:16" ht="14.4" x14ac:dyDescent="0.25">
      <c r="A4236" s="6">
        <v>7761</v>
      </c>
      <c r="B4236" s="6">
        <v>55553</v>
      </c>
      <c r="C4236" s="19">
        <v>40011</v>
      </c>
      <c r="D4236" s="6" t="s">
        <v>16</v>
      </c>
      <c r="E4236" s="6">
        <f>IF((ISBLANK($B$1)),"",Sheet1!Q4246)</f>
        <v>5000</v>
      </c>
      <c r="F4236" s="20" t="s">
        <v>26</v>
      </c>
      <c r="G4236" s="53">
        <f t="shared" si="67"/>
        <v>0.44359720494116334</v>
      </c>
      <c r="H4236" s="35"/>
      <c r="P4236" s="6"/>
    </row>
    <row r="4237" spans="1:16" ht="14.4" x14ac:dyDescent="0.25">
      <c r="A4237" s="6">
        <v>7791</v>
      </c>
      <c r="B4237" s="6">
        <v>55747</v>
      </c>
      <c r="C4237" s="19">
        <v>41245</v>
      </c>
      <c r="D4237" s="6" t="s">
        <v>17</v>
      </c>
      <c r="E4237" s="6">
        <f>IF((ISBLANK($B$1)),"",Sheet1!Q4247)</f>
        <v>5200</v>
      </c>
      <c r="F4237" s="20" t="s">
        <v>29</v>
      </c>
      <c r="G4237" s="53">
        <f t="shared" si="67"/>
        <v>0.71978805948307201</v>
      </c>
      <c r="H4237" s="35"/>
      <c r="P4237" s="6"/>
    </row>
    <row r="4238" spans="1:16" ht="14.4" x14ac:dyDescent="0.25">
      <c r="A4238" s="6">
        <v>7792</v>
      </c>
      <c r="B4238" s="6">
        <v>55747</v>
      </c>
      <c r="C4238" s="19">
        <v>41245</v>
      </c>
      <c r="D4238" s="6" t="s">
        <v>17</v>
      </c>
      <c r="E4238" s="6">
        <f>IF((ISBLANK($B$1)),"",Sheet1!Q4248)</f>
        <v>5500</v>
      </c>
      <c r="F4238" s="20" t="s">
        <v>29</v>
      </c>
      <c r="G4238" s="53">
        <f t="shared" si="67"/>
        <v>1.1340743412959351</v>
      </c>
      <c r="H4238" s="35"/>
      <c r="P4238" s="6"/>
    </row>
    <row r="4239" spans="1:16" ht="14.4" x14ac:dyDescent="0.25">
      <c r="A4239" s="6">
        <v>7798</v>
      </c>
      <c r="B4239" s="6">
        <v>55779</v>
      </c>
      <c r="C4239" s="19">
        <v>40978</v>
      </c>
      <c r="D4239" s="6" t="s">
        <v>30</v>
      </c>
      <c r="E4239" s="6">
        <f>IF((ISBLANK($B$1)),"",Sheet1!Q4249)</f>
        <v>4700</v>
      </c>
      <c r="F4239" s="20" t="s">
        <v>29</v>
      </c>
      <c r="G4239" s="53">
        <f t="shared" si="67"/>
        <v>2.9310923128300338E-2</v>
      </c>
      <c r="H4239" s="35"/>
      <c r="P4239" s="6"/>
    </row>
    <row r="4240" spans="1:16" ht="14.4" x14ac:dyDescent="0.25">
      <c r="A4240" s="6">
        <v>7886</v>
      </c>
      <c r="B4240" s="6">
        <v>56418</v>
      </c>
      <c r="C4240" s="19">
        <v>41011</v>
      </c>
      <c r="D4240" s="6" t="s">
        <v>30</v>
      </c>
      <c r="E4240" s="6">
        <f>IF((ISBLANK($B$1)),"",Sheet1!Q4250)</f>
        <v>5750</v>
      </c>
      <c r="F4240" s="20" t="s">
        <v>26</v>
      </c>
      <c r="G4240" s="53">
        <f t="shared" si="67"/>
        <v>1.4793129094733208</v>
      </c>
      <c r="H4240" s="35"/>
      <c r="P4240" s="6"/>
    </row>
    <row r="4241" spans="1:16" ht="14.4" x14ac:dyDescent="0.25">
      <c r="A4241" s="6">
        <v>7911</v>
      </c>
      <c r="B4241" s="6">
        <v>56580</v>
      </c>
      <c r="C4241" s="19">
        <v>40769</v>
      </c>
      <c r="D4241" s="6" t="s">
        <v>28</v>
      </c>
      <c r="E4241" s="6">
        <f>IF((ISBLANK($B$1)),"",Sheet1!Q4251)</f>
        <v>3850</v>
      </c>
      <c r="F4241" s="20" t="s">
        <v>26</v>
      </c>
      <c r="G4241" s="53">
        <f t="shared" si="67"/>
        <v>-1.1445002086748115</v>
      </c>
      <c r="H4241" s="35"/>
      <c r="P4241" s="6"/>
    </row>
    <row r="4242" spans="1:16" ht="14.4" x14ac:dyDescent="0.25">
      <c r="A4242" s="6">
        <v>7912</v>
      </c>
      <c r="B4242" s="6">
        <v>56580</v>
      </c>
      <c r="C4242" s="19">
        <v>40769</v>
      </c>
      <c r="D4242" s="6" t="s">
        <v>28</v>
      </c>
      <c r="E4242" s="6">
        <f>IF((ISBLANK($B$1)),"",Sheet1!Q4252)</f>
        <v>5600</v>
      </c>
      <c r="F4242" s="20" t="s">
        <v>26</v>
      </c>
      <c r="G4242" s="53">
        <f t="shared" si="67"/>
        <v>1.2721697685668893</v>
      </c>
      <c r="H4242" s="35"/>
      <c r="P4242" s="6"/>
    </row>
    <row r="4243" spans="1:16" ht="14.4" x14ac:dyDescent="0.25">
      <c r="A4243" s="6">
        <v>7913</v>
      </c>
      <c r="B4243" s="6">
        <v>56580</v>
      </c>
      <c r="C4243" s="19">
        <v>40769</v>
      </c>
      <c r="D4243" s="6" t="s">
        <v>28</v>
      </c>
      <c r="E4243" s="6">
        <f>IF((ISBLANK($B$1)),"",Sheet1!Q4253)</f>
        <v>4850</v>
      </c>
      <c r="F4243" s="20" t="s">
        <v>29</v>
      </c>
      <c r="G4243" s="53">
        <f t="shared" si="67"/>
        <v>0.23645406403473185</v>
      </c>
      <c r="H4243" s="35"/>
      <c r="P4243" s="6"/>
    </row>
    <row r="4244" spans="1:16" ht="14.4" x14ac:dyDescent="0.25">
      <c r="A4244" s="6">
        <v>7953</v>
      </c>
      <c r="B4244" s="6">
        <v>56807</v>
      </c>
      <c r="C4244" s="19">
        <v>39924</v>
      </c>
      <c r="D4244" s="6" t="s">
        <v>17</v>
      </c>
      <c r="E4244" s="6">
        <f>IF((ISBLANK($B$1)),"",Sheet1!Q4254)</f>
        <v>3450</v>
      </c>
      <c r="F4244" s="20" t="s">
        <v>26</v>
      </c>
      <c r="G4244" s="53">
        <f t="shared" si="67"/>
        <v>-1.696881917758629</v>
      </c>
      <c r="H4244" s="35"/>
      <c r="P4244" s="6"/>
    </row>
    <row r="4245" spans="1:16" ht="14.4" x14ac:dyDescent="0.25">
      <c r="A4245" s="6">
        <v>7957</v>
      </c>
      <c r="B4245" s="6">
        <v>56837</v>
      </c>
      <c r="C4245" s="19">
        <v>40526</v>
      </c>
      <c r="D4245" s="6" t="s">
        <v>25</v>
      </c>
      <c r="E4245" s="6">
        <f>IF((ISBLANK($B$1)),"",Sheet1!Q4255)</f>
        <v>3900</v>
      </c>
      <c r="F4245" s="20" t="s">
        <v>29</v>
      </c>
      <c r="G4245" s="53">
        <f t="shared" si="67"/>
        <v>-1.0754524950393345</v>
      </c>
      <c r="H4245" s="35"/>
      <c r="P4245" s="6"/>
    </row>
    <row r="4246" spans="1:16" ht="14.4" x14ac:dyDescent="0.25">
      <c r="A4246" s="6">
        <v>7970</v>
      </c>
      <c r="B4246" s="6">
        <v>56995</v>
      </c>
      <c r="C4246" s="19">
        <v>40101</v>
      </c>
      <c r="D4246" s="6" t="s">
        <v>16</v>
      </c>
      <c r="E4246" s="6">
        <f>IF((ISBLANK($B$1)),"",Sheet1!Q4256)</f>
        <v>4750</v>
      </c>
      <c r="F4246" s="20" t="s">
        <v>26</v>
      </c>
      <c r="G4246" s="53">
        <f t="shared" si="67"/>
        <v>9.8358636763777513E-2</v>
      </c>
      <c r="H4246" s="35"/>
      <c r="P4246" s="6"/>
    </row>
    <row r="4247" spans="1:16" ht="14.4" x14ac:dyDescent="0.25">
      <c r="A4247" s="6">
        <v>7984</v>
      </c>
      <c r="B4247" s="6">
        <v>57091</v>
      </c>
      <c r="C4247" s="19">
        <v>40847</v>
      </c>
      <c r="D4247" s="6" t="s">
        <v>16</v>
      </c>
      <c r="E4247" s="6">
        <f>IF((ISBLANK($B$1)),"",Sheet1!Q4257)</f>
        <v>3700</v>
      </c>
      <c r="F4247" s="20" t="s">
        <v>26</v>
      </c>
      <c r="G4247" s="53">
        <f t="shared" si="67"/>
        <v>-1.351643349581243</v>
      </c>
      <c r="H4247" s="35"/>
      <c r="P4247" s="6"/>
    </row>
    <row r="4248" spans="1:16" ht="14.4" x14ac:dyDescent="0.25">
      <c r="A4248" s="6">
        <v>7998</v>
      </c>
      <c r="B4248" s="6">
        <v>57155</v>
      </c>
      <c r="C4248" s="19">
        <v>39981</v>
      </c>
      <c r="D4248" s="6" t="s">
        <v>30</v>
      </c>
      <c r="E4248" s="6">
        <f>IF((ISBLANK($B$1)),"",Sheet1!Q4258)</f>
        <v>4550</v>
      </c>
      <c r="F4248" s="20" t="s">
        <v>26</v>
      </c>
      <c r="G4248" s="53">
        <f t="shared" si="67"/>
        <v>-0.17783221777813119</v>
      </c>
      <c r="H4248" s="35"/>
      <c r="P4248" s="6"/>
    </row>
    <row r="4249" spans="1:16" ht="14.4" x14ac:dyDescent="0.25">
      <c r="A4249" s="6">
        <v>7999</v>
      </c>
      <c r="B4249" s="6">
        <v>57155</v>
      </c>
      <c r="C4249" s="19">
        <v>39981</v>
      </c>
      <c r="D4249" s="6" t="s">
        <v>30</v>
      </c>
      <c r="E4249" s="6">
        <f>IF((ISBLANK($B$1)),"",Sheet1!Q4259)</f>
        <v>4200</v>
      </c>
      <c r="F4249" s="20" t="s">
        <v>26</v>
      </c>
      <c r="G4249" s="53">
        <f t="shared" si="67"/>
        <v>-0.6611662132264714</v>
      </c>
      <c r="H4249" s="35"/>
      <c r="P4249" s="6"/>
    </row>
    <row r="4250" spans="1:16" ht="14.4" x14ac:dyDescent="0.25">
      <c r="A4250" s="6">
        <v>8003</v>
      </c>
      <c r="B4250" s="6">
        <v>57185</v>
      </c>
      <c r="C4250" s="19">
        <v>40686</v>
      </c>
      <c r="D4250" s="6" t="s">
        <v>16</v>
      </c>
      <c r="E4250" s="6">
        <f>IF((ISBLANK($B$1)),"",Sheet1!Q4260)</f>
        <v>4800</v>
      </c>
      <c r="F4250" s="20" t="s">
        <v>29</v>
      </c>
      <c r="G4250" s="53">
        <f t="shared" si="67"/>
        <v>0.16740635039925467</v>
      </c>
      <c r="H4250" s="35"/>
      <c r="P4250" s="6"/>
    </row>
    <row r="4251" spans="1:16" ht="14.4" x14ac:dyDescent="0.25">
      <c r="A4251" s="6">
        <v>8036</v>
      </c>
      <c r="B4251" s="6">
        <v>57409</v>
      </c>
      <c r="C4251" s="19">
        <v>40137</v>
      </c>
      <c r="D4251" s="6" t="s">
        <v>28</v>
      </c>
      <c r="E4251" s="6">
        <f>IF((ISBLANK($B$1)),"",Sheet1!Q4261)</f>
        <v>3450</v>
      </c>
      <c r="F4251" s="20" t="s">
        <v>27</v>
      </c>
      <c r="G4251" s="53">
        <f t="shared" si="67"/>
        <v>-1.696881917758629</v>
      </c>
      <c r="H4251" s="35"/>
      <c r="P4251" s="6"/>
    </row>
    <row r="4252" spans="1:16" ht="14.4" x14ac:dyDescent="0.25">
      <c r="A4252" s="6">
        <v>8037</v>
      </c>
      <c r="B4252" s="6">
        <v>57409</v>
      </c>
      <c r="C4252" s="19">
        <v>40137</v>
      </c>
      <c r="D4252" s="6" t="s">
        <v>28</v>
      </c>
      <c r="E4252" s="6">
        <f>IF((ISBLANK($B$1)),"",Sheet1!Q4262)</f>
        <v>5100</v>
      </c>
      <c r="F4252" s="20" t="s">
        <v>27</v>
      </c>
      <c r="G4252" s="53">
        <f t="shared" si="67"/>
        <v>0.58169263221211776</v>
      </c>
      <c r="H4252" s="35"/>
      <c r="P4252" s="6"/>
    </row>
    <row r="4253" spans="1:16" ht="14.4" x14ac:dyDescent="0.25">
      <c r="A4253" s="6">
        <v>8066</v>
      </c>
      <c r="B4253" s="6">
        <v>57542</v>
      </c>
      <c r="C4253" s="19">
        <v>40047</v>
      </c>
      <c r="D4253" s="6" t="s">
        <v>17</v>
      </c>
      <c r="E4253" s="6">
        <f>IF((ISBLANK($B$1)),"",Sheet1!Q4263)</f>
        <v>4550</v>
      </c>
      <c r="F4253" s="20" t="s">
        <v>26</v>
      </c>
      <c r="G4253" s="53">
        <f t="shared" si="67"/>
        <v>-0.17783221777813119</v>
      </c>
      <c r="H4253" s="35"/>
      <c r="P4253" s="6"/>
    </row>
    <row r="4254" spans="1:16" ht="14.4" x14ac:dyDescent="0.25">
      <c r="A4254" s="6">
        <v>8082</v>
      </c>
      <c r="B4254" s="6">
        <v>57639</v>
      </c>
      <c r="C4254" s="19">
        <v>40380</v>
      </c>
      <c r="D4254" s="6" t="s">
        <v>30</v>
      </c>
      <c r="E4254" s="6">
        <f>IF((ISBLANK($B$1)),"",Sheet1!Q4264)</f>
        <v>4600</v>
      </c>
      <c r="F4254" s="20" t="s">
        <v>29</v>
      </c>
      <c r="G4254" s="53">
        <f t="shared" si="67"/>
        <v>-0.108784504142654</v>
      </c>
      <c r="H4254" s="35"/>
      <c r="P4254" s="6"/>
    </row>
    <row r="4255" spans="1:16" ht="14.4" x14ac:dyDescent="0.25">
      <c r="A4255" s="6">
        <v>8104</v>
      </c>
      <c r="B4255" s="6">
        <v>57856</v>
      </c>
      <c r="C4255" s="19">
        <v>39856</v>
      </c>
      <c r="D4255" s="6" t="s">
        <v>16</v>
      </c>
      <c r="E4255" s="6">
        <f>IF((ISBLANK($B$1)),"",Sheet1!Q4265)</f>
        <v>4250</v>
      </c>
      <c r="F4255" s="20" t="s">
        <v>26</v>
      </c>
      <c r="G4255" s="53">
        <f t="shared" si="67"/>
        <v>-0.59211849959099416</v>
      </c>
      <c r="H4255" s="35"/>
      <c r="P4255" s="6"/>
    </row>
    <row r="4256" spans="1:16" ht="14.4" x14ac:dyDescent="0.25">
      <c r="A4256" s="6">
        <v>8105</v>
      </c>
      <c r="B4256" s="6">
        <v>57856</v>
      </c>
      <c r="C4256" s="19">
        <v>39856</v>
      </c>
      <c r="D4256" s="6" t="s">
        <v>16</v>
      </c>
      <c r="E4256" s="6">
        <f>IF((ISBLANK($B$1)),"",Sheet1!Q4266)</f>
        <v>4950</v>
      </c>
      <c r="F4256" s="20" t="s">
        <v>26</v>
      </c>
      <c r="G4256" s="53">
        <f t="shared" si="67"/>
        <v>0.37454949130568621</v>
      </c>
      <c r="H4256" s="35"/>
      <c r="P4256" s="6"/>
    </row>
    <row r="4257" spans="1:16" ht="14.4" x14ac:dyDescent="0.25">
      <c r="A4257" s="6">
        <v>8177</v>
      </c>
      <c r="B4257" s="6">
        <v>58435</v>
      </c>
      <c r="C4257" s="19">
        <v>41036</v>
      </c>
      <c r="D4257" s="6" t="s">
        <v>25</v>
      </c>
      <c r="E4257" s="6">
        <f>IF((ISBLANK($B$1)),"",Sheet1!Q4267)</f>
        <v>3950</v>
      </c>
      <c r="F4257" s="20" t="s">
        <v>26</v>
      </c>
      <c r="G4257" s="53">
        <f t="shared" si="67"/>
        <v>-1.0064047814038573</v>
      </c>
      <c r="H4257" s="35"/>
      <c r="P4257" s="6"/>
    </row>
    <row r="4258" spans="1:16" ht="14.4" x14ac:dyDescent="0.25">
      <c r="A4258" s="6">
        <v>8251</v>
      </c>
      <c r="B4258" s="6">
        <v>59009</v>
      </c>
      <c r="C4258" s="19">
        <v>40865</v>
      </c>
      <c r="D4258" s="6" t="s">
        <v>30</v>
      </c>
      <c r="E4258" s="6">
        <f>IF((ISBLANK($B$1)),"",Sheet1!Q4268)</f>
        <v>4350</v>
      </c>
      <c r="F4258" s="20" t="s">
        <v>26</v>
      </c>
      <c r="G4258" s="53">
        <f t="shared" si="67"/>
        <v>-0.45402307232003986</v>
      </c>
      <c r="H4258" s="35"/>
      <c r="P4258" s="6"/>
    </row>
    <row r="4259" spans="1:16" ht="14.4" x14ac:dyDescent="0.25">
      <c r="A4259" s="6">
        <v>8325</v>
      </c>
      <c r="B4259" s="6">
        <v>59491</v>
      </c>
      <c r="C4259" s="19">
        <v>40992</v>
      </c>
      <c r="D4259" s="6" t="s">
        <v>17</v>
      </c>
      <c r="E4259" s="6">
        <f>IF((ISBLANK($B$1)),"",Sheet1!Q4269)</f>
        <v>4950</v>
      </c>
      <c r="F4259" s="20" t="s">
        <v>26</v>
      </c>
      <c r="G4259" s="53">
        <f t="shared" si="67"/>
        <v>0.37454949130568621</v>
      </c>
      <c r="H4259" s="35"/>
      <c r="P4259" s="6"/>
    </row>
    <row r="4260" spans="1:16" ht="14.4" x14ac:dyDescent="0.25">
      <c r="A4260" s="6">
        <v>8330</v>
      </c>
      <c r="B4260" s="6">
        <v>59554</v>
      </c>
      <c r="C4260" s="19">
        <v>40862</v>
      </c>
      <c r="D4260" s="6" t="s">
        <v>30</v>
      </c>
      <c r="E4260" s="6">
        <f>IF((ISBLANK($B$1)),"",Sheet1!Q4270)</f>
        <v>5400</v>
      </c>
      <c r="F4260" s="20" t="s">
        <v>27</v>
      </c>
      <c r="G4260" s="53">
        <f t="shared" si="67"/>
        <v>0.99597891402498073</v>
      </c>
      <c r="H4260" s="35"/>
      <c r="P4260" s="6"/>
    </row>
    <row r="4261" spans="1:16" ht="14.4" x14ac:dyDescent="0.25">
      <c r="A4261" s="6">
        <v>8334</v>
      </c>
      <c r="B4261" s="6">
        <v>59559</v>
      </c>
      <c r="C4261" s="19">
        <v>40438</v>
      </c>
      <c r="D4261" s="6" t="s">
        <v>30</v>
      </c>
      <c r="E4261" s="6">
        <f>IF((ISBLANK($B$1)),"",Sheet1!Q4271)</f>
        <v>4900</v>
      </c>
      <c r="F4261" s="20" t="s">
        <v>29</v>
      </c>
      <c r="G4261" s="53">
        <f t="shared" si="67"/>
        <v>0.30550177767020903</v>
      </c>
      <c r="H4261" s="35"/>
      <c r="P4261" s="6"/>
    </row>
    <row r="4262" spans="1:16" ht="14.4" x14ac:dyDescent="0.25">
      <c r="A4262" s="6">
        <v>8359</v>
      </c>
      <c r="B4262" s="6">
        <v>59745</v>
      </c>
      <c r="C4262" s="19">
        <v>39922</v>
      </c>
      <c r="D4262" s="6" t="s">
        <v>28</v>
      </c>
      <c r="E4262" s="6">
        <f>IF((ISBLANK($B$1)),"",Sheet1!Q4272)</f>
        <v>5200</v>
      </c>
      <c r="F4262" s="20" t="s">
        <v>26</v>
      </c>
      <c r="G4262" s="53">
        <f t="shared" si="67"/>
        <v>0.71978805948307201</v>
      </c>
      <c r="H4262" s="35"/>
      <c r="P4262" s="6"/>
    </row>
    <row r="4263" spans="1:16" ht="14.4" x14ac:dyDescent="0.25">
      <c r="A4263" s="6">
        <v>8385</v>
      </c>
      <c r="B4263" s="6">
        <v>59906</v>
      </c>
      <c r="C4263" s="19">
        <v>40318</v>
      </c>
      <c r="D4263" s="6" t="s">
        <v>17</v>
      </c>
      <c r="E4263" s="6">
        <f>IF((ISBLANK($B$1)),"",Sheet1!Q4273)</f>
        <v>5000</v>
      </c>
      <c r="F4263" s="20" t="s">
        <v>26</v>
      </c>
      <c r="G4263" s="53">
        <f t="shared" si="67"/>
        <v>0.44359720494116334</v>
      </c>
      <c r="H4263" s="35"/>
      <c r="P4263" s="6"/>
    </row>
    <row r="4264" spans="1:16" ht="14.4" x14ac:dyDescent="0.25">
      <c r="A4264" s="6">
        <v>78</v>
      </c>
      <c r="B4264" s="6">
        <v>454</v>
      </c>
      <c r="C4264" s="19">
        <v>40903</v>
      </c>
      <c r="D4264" s="6" t="s">
        <v>25</v>
      </c>
      <c r="E4264" s="6">
        <f>IF((ISBLANK($B$1)),"",Sheet1!Q4274)</f>
        <v>5500</v>
      </c>
      <c r="F4264" s="20" t="s">
        <v>26</v>
      </c>
      <c r="G4264" s="53">
        <f t="shared" si="67"/>
        <v>1.1340743412959351</v>
      </c>
      <c r="H4264" s="35"/>
      <c r="P4264" s="6"/>
    </row>
    <row r="4265" spans="1:16" ht="14.4" x14ac:dyDescent="0.25">
      <c r="A4265" s="6">
        <v>90</v>
      </c>
      <c r="B4265" s="6">
        <v>549</v>
      </c>
      <c r="C4265" s="19">
        <v>41102</v>
      </c>
      <c r="D4265" s="6" t="s">
        <v>30</v>
      </c>
      <c r="E4265" s="6">
        <f>IF((ISBLANK($B$1)),"",Sheet1!Q4275)</f>
        <v>4050</v>
      </c>
      <c r="F4265" s="20" t="s">
        <v>26</v>
      </c>
      <c r="G4265" s="53">
        <f t="shared" si="67"/>
        <v>-0.86830935413290289</v>
      </c>
      <c r="H4265" s="35"/>
      <c r="P4265" s="6"/>
    </row>
    <row r="4266" spans="1:16" ht="14.4" x14ac:dyDescent="0.25">
      <c r="A4266" s="6">
        <v>91</v>
      </c>
      <c r="B4266" s="6">
        <v>549</v>
      </c>
      <c r="C4266" s="19">
        <v>41102</v>
      </c>
      <c r="D4266" s="6" t="s">
        <v>30</v>
      </c>
      <c r="E4266" s="6">
        <f>IF((ISBLANK($B$1)),"",Sheet1!Q4276)</f>
        <v>3650</v>
      </c>
      <c r="F4266" s="20" t="s">
        <v>26</v>
      </c>
      <c r="G4266" s="53">
        <f t="shared" si="67"/>
        <v>-1.4206910632167202</v>
      </c>
      <c r="H4266" s="35"/>
      <c r="P4266" s="6"/>
    </row>
    <row r="4267" spans="1:16" ht="14.4" x14ac:dyDescent="0.25">
      <c r="A4267" s="6">
        <v>92</v>
      </c>
      <c r="B4267" s="6">
        <v>549</v>
      </c>
      <c r="C4267" s="19">
        <v>41102</v>
      </c>
      <c r="D4267" s="6" t="s">
        <v>30</v>
      </c>
      <c r="E4267" s="6">
        <f>IF((ISBLANK($B$1)),"",Sheet1!Q4277)</f>
        <v>4900</v>
      </c>
      <c r="F4267" s="20" t="s">
        <v>26</v>
      </c>
      <c r="G4267" s="53">
        <f t="shared" si="67"/>
        <v>0.30550177767020903</v>
      </c>
      <c r="H4267" s="35"/>
      <c r="P4267" s="6"/>
    </row>
    <row r="4268" spans="1:16" ht="14.4" x14ac:dyDescent="0.25">
      <c r="A4268" s="6">
        <v>162</v>
      </c>
      <c r="B4268" s="6">
        <v>999</v>
      </c>
      <c r="C4268" s="19">
        <v>40425</v>
      </c>
      <c r="D4268" s="6" t="s">
        <v>25</v>
      </c>
      <c r="E4268" s="6">
        <f>IF((ISBLANK($B$1)),"",Sheet1!Q4278)</f>
        <v>3700</v>
      </c>
      <c r="F4268" s="20" t="s">
        <v>26</v>
      </c>
      <c r="G4268" s="53">
        <f t="shared" si="67"/>
        <v>-1.351643349581243</v>
      </c>
      <c r="H4268" s="35"/>
      <c r="P4268" s="6"/>
    </row>
    <row r="4269" spans="1:16" ht="14.4" x14ac:dyDescent="0.25">
      <c r="A4269" s="6">
        <v>195</v>
      </c>
      <c r="B4269" s="6">
        <v>1286</v>
      </c>
      <c r="C4269" s="19">
        <v>40311</v>
      </c>
      <c r="D4269" s="6" t="s">
        <v>28</v>
      </c>
      <c r="E4269" s="6">
        <f>IF((ISBLANK($B$1)),"",Sheet1!Q4279)</f>
        <v>5700</v>
      </c>
      <c r="F4269" s="20" t="s">
        <v>26</v>
      </c>
      <c r="G4269" s="53">
        <f t="shared" si="67"/>
        <v>1.4102651958378438</v>
      </c>
      <c r="H4269" s="35"/>
      <c r="P4269" s="6"/>
    </row>
    <row r="4270" spans="1:16" ht="14.4" x14ac:dyDescent="0.25">
      <c r="A4270" s="6">
        <v>196</v>
      </c>
      <c r="B4270" s="6">
        <v>1286</v>
      </c>
      <c r="C4270" s="19">
        <v>40311</v>
      </c>
      <c r="D4270" s="6" t="s">
        <v>28</v>
      </c>
      <c r="E4270" s="6">
        <f>IF((ISBLANK($B$1)),"",Sheet1!Q4280)</f>
        <v>4100</v>
      </c>
      <c r="F4270" s="20" t="s">
        <v>27</v>
      </c>
      <c r="G4270" s="53">
        <f t="shared" si="67"/>
        <v>-0.79926164049742576</v>
      </c>
      <c r="H4270" s="35"/>
      <c r="P4270" s="6"/>
    </row>
    <row r="4271" spans="1:16" ht="14.4" x14ac:dyDescent="0.25">
      <c r="A4271" s="6">
        <v>266</v>
      </c>
      <c r="B4271" s="6">
        <v>1831</v>
      </c>
      <c r="C4271" s="19">
        <v>40513</v>
      </c>
      <c r="D4271" s="6" t="s">
        <v>30</v>
      </c>
      <c r="E4271" s="6">
        <f>IF((ISBLANK($B$1)),"",Sheet1!Q4281)</f>
        <v>5050</v>
      </c>
      <c r="F4271" s="20" t="s">
        <v>26</v>
      </c>
      <c r="G4271" s="53">
        <f t="shared" si="67"/>
        <v>0.51264491857664052</v>
      </c>
      <c r="H4271" s="35"/>
      <c r="P4271" s="6"/>
    </row>
    <row r="4272" spans="1:16" ht="14.4" x14ac:dyDescent="0.25">
      <c r="A4272" s="6">
        <v>275</v>
      </c>
      <c r="B4272" s="6">
        <v>1892</v>
      </c>
      <c r="C4272" s="19">
        <v>39897</v>
      </c>
      <c r="D4272" s="6" t="s">
        <v>25</v>
      </c>
      <c r="E4272" s="6">
        <f>IF((ISBLANK($B$1)),"",Sheet1!Q4282)</f>
        <v>5750</v>
      </c>
      <c r="F4272" s="20" t="s">
        <v>26</v>
      </c>
      <c r="G4272" s="53">
        <f t="shared" si="67"/>
        <v>1.4793129094733208</v>
      </c>
      <c r="H4272" s="35"/>
      <c r="P4272" s="6"/>
    </row>
    <row r="4273" spans="1:16" ht="14.4" x14ac:dyDescent="0.25">
      <c r="A4273" s="6">
        <v>276</v>
      </c>
      <c r="B4273" s="6">
        <v>1892</v>
      </c>
      <c r="C4273" s="19">
        <v>39897</v>
      </c>
      <c r="D4273" s="6" t="s">
        <v>25</v>
      </c>
      <c r="E4273" s="6">
        <f>IF((ISBLANK($B$1)),"",Sheet1!Q4283)</f>
        <v>3850</v>
      </c>
      <c r="F4273" s="20" t="s">
        <v>26</v>
      </c>
      <c r="G4273" s="53">
        <f t="shared" si="67"/>
        <v>-1.1445002086748115</v>
      </c>
      <c r="H4273" s="35"/>
      <c r="P4273" s="6"/>
    </row>
    <row r="4274" spans="1:16" ht="14.4" x14ac:dyDescent="0.25">
      <c r="A4274" s="6">
        <v>286</v>
      </c>
      <c r="B4274" s="6">
        <v>1991</v>
      </c>
      <c r="C4274" s="19">
        <v>41158</v>
      </c>
      <c r="D4274" s="6" t="s">
        <v>28</v>
      </c>
      <c r="E4274" s="6">
        <f>IF((ISBLANK($B$1)),"",Sheet1!Q4284)</f>
        <v>4750</v>
      </c>
      <c r="F4274" s="20" t="s">
        <v>29</v>
      </c>
      <c r="G4274" s="53">
        <f t="shared" si="67"/>
        <v>9.8358636763777513E-2</v>
      </c>
      <c r="H4274" s="35"/>
      <c r="P4274" s="6"/>
    </row>
    <row r="4275" spans="1:16" ht="14.4" x14ac:dyDescent="0.25">
      <c r="A4275" s="6">
        <v>287</v>
      </c>
      <c r="B4275" s="6">
        <v>1991</v>
      </c>
      <c r="C4275" s="19">
        <v>41158</v>
      </c>
      <c r="D4275" s="6" t="s">
        <v>28</v>
      </c>
      <c r="E4275" s="6">
        <f>IF((ISBLANK($B$1)),"",Sheet1!Q4285)</f>
        <v>5250</v>
      </c>
      <c r="F4275" s="20" t="s">
        <v>27</v>
      </c>
      <c r="G4275" s="53">
        <f t="shared" si="67"/>
        <v>0.78883577311854924</v>
      </c>
      <c r="H4275" s="35"/>
      <c r="P4275" s="6"/>
    </row>
    <row r="4276" spans="1:16" ht="14.4" x14ac:dyDescent="0.25">
      <c r="A4276" s="6">
        <v>653</v>
      </c>
      <c r="B4276" s="6">
        <v>4610</v>
      </c>
      <c r="C4276" s="19">
        <v>40346</v>
      </c>
      <c r="D4276" s="6" t="s">
        <v>25</v>
      </c>
      <c r="E4276" s="6">
        <f>IF((ISBLANK($B$1)),"",Sheet1!Q4286)</f>
        <v>3800</v>
      </c>
      <c r="F4276" s="20" t="s">
        <v>27</v>
      </c>
      <c r="G4276" s="53">
        <f t="shared" si="67"/>
        <v>-1.2135479223102887</v>
      </c>
      <c r="H4276" s="35"/>
      <c r="P4276" s="6"/>
    </row>
    <row r="4277" spans="1:16" ht="14.4" x14ac:dyDescent="0.25">
      <c r="A4277" s="6">
        <v>654</v>
      </c>
      <c r="B4277" s="6">
        <v>4610</v>
      </c>
      <c r="C4277" s="19">
        <v>40346</v>
      </c>
      <c r="D4277" s="6" t="s">
        <v>25</v>
      </c>
      <c r="E4277" s="6">
        <f>IF((ISBLANK($B$1)),"",Sheet1!Q4287)</f>
        <v>4850</v>
      </c>
      <c r="F4277" s="20" t="s">
        <v>26</v>
      </c>
      <c r="G4277" s="53">
        <f t="shared" si="67"/>
        <v>0.23645406403473185</v>
      </c>
      <c r="H4277" s="35"/>
      <c r="P4277" s="6"/>
    </row>
    <row r="4278" spans="1:16" ht="14.4" x14ac:dyDescent="0.25">
      <c r="A4278" s="6">
        <v>794</v>
      </c>
      <c r="B4278" s="6">
        <v>5697</v>
      </c>
      <c r="C4278" s="19">
        <v>41186</v>
      </c>
      <c r="D4278" s="6" t="s">
        <v>30</v>
      </c>
      <c r="E4278" s="6">
        <f>IF((ISBLANK($B$1)),"",Sheet1!Q4288)</f>
        <v>4950</v>
      </c>
      <c r="F4278" s="20" t="s">
        <v>26</v>
      </c>
      <c r="G4278" s="53">
        <f t="shared" si="67"/>
        <v>0.37454949130568621</v>
      </c>
      <c r="H4278" s="35"/>
      <c r="P4278" s="6"/>
    </row>
    <row r="4279" spans="1:16" ht="14.4" x14ac:dyDescent="0.25">
      <c r="A4279" s="6">
        <v>832</v>
      </c>
      <c r="B4279" s="6">
        <v>5986</v>
      </c>
      <c r="C4279" s="19">
        <v>41020</v>
      </c>
      <c r="D4279" s="6" t="s">
        <v>17</v>
      </c>
      <c r="E4279" s="6">
        <f>IF((ISBLANK($B$1)),"",Sheet1!Q4289)</f>
        <v>5800</v>
      </c>
      <c r="F4279" s="20" t="s">
        <v>26</v>
      </c>
      <c r="G4279" s="53">
        <f t="shared" si="67"/>
        <v>1.5483606231087981</v>
      </c>
      <c r="H4279" s="35"/>
      <c r="P4279" s="6"/>
    </row>
    <row r="4280" spans="1:16" ht="14.4" x14ac:dyDescent="0.25">
      <c r="A4280" s="6">
        <v>833</v>
      </c>
      <c r="B4280" s="6">
        <v>5986</v>
      </c>
      <c r="C4280" s="19">
        <v>41020</v>
      </c>
      <c r="D4280" s="6" t="s">
        <v>17</v>
      </c>
      <c r="E4280" s="6">
        <f>IF((ISBLANK($B$1)),"",Sheet1!Q4290)</f>
        <v>4400</v>
      </c>
      <c r="F4280" s="20" t="s">
        <v>29</v>
      </c>
      <c r="G4280" s="53">
        <f t="shared" si="67"/>
        <v>-0.38497535868456267</v>
      </c>
      <c r="H4280" s="35"/>
      <c r="P4280" s="6"/>
    </row>
    <row r="4281" spans="1:16" ht="14.4" x14ac:dyDescent="0.25">
      <c r="A4281" s="6">
        <v>834</v>
      </c>
      <c r="B4281" s="6">
        <v>5986</v>
      </c>
      <c r="C4281" s="19">
        <v>41020</v>
      </c>
      <c r="D4281" s="6" t="s">
        <v>17</v>
      </c>
      <c r="E4281" s="6">
        <f>IF((ISBLANK($B$1)),"",Sheet1!Q4291)</f>
        <v>5450</v>
      </c>
      <c r="F4281" s="20" t="s">
        <v>27</v>
      </c>
      <c r="G4281" s="53">
        <f t="shared" si="67"/>
        <v>1.0650266276604579</v>
      </c>
      <c r="H4281" s="35"/>
      <c r="P4281" s="6"/>
    </row>
    <row r="4282" spans="1:16" ht="14.4" x14ac:dyDescent="0.25">
      <c r="A4282" s="6">
        <v>845</v>
      </c>
      <c r="B4282" s="6">
        <v>6053</v>
      </c>
      <c r="C4282" s="19">
        <v>40523</v>
      </c>
      <c r="D4282" s="6" t="s">
        <v>16</v>
      </c>
      <c r="E4282" s="6">
        <f>IF((ISBLANK($B$1)),"",Sheet1!Q4292)</f>
        <v>3600</v>
      </c>
      <c r="F4282" s="20" t="s">
        <v>26</v>
      </c>
      <c r="G4282" s="53">
        <f t="shared" si="67"/>
        <v>-1.4897387768521975</v>
      </c>
      <c r="H4282" s="35"/>
      <c r="P4282" s="6"/>
    </row>
    <row r="4283" spans="1:16" ht="14.4" x14ac:dyDescent="0.25">
      <c r="A4283" s="6">
        <v>893</v>
      </c>
      <c r="B4283" s="6">
        <v>6432</v>
      </c>
      <c r="C4283" s="19">
        <v>40857</v>
      </c>
      <c r="D4283" s="6" t="s">
        <v>30</v>
      </c>
      <c r="E4283" s="6">
        <f>IF((ISBLANK($B$1)),"",Sheet1!Q4293)</f>
        <v>4900</v>
      </c>
      <c r="F4283" s="20" t="s">
        <v>26</v>
      </c>
      <c r="G4283" s="53">
        <f t="shared" si="67"/>
        <v>0.30550177767020903</v>
      </c>
      <c r="H4283" s="35"/>
      <c r="P4283" s="6"/>
    </row>
    <row r="4284" spans="1:16" ht="14.4" x14ac:dyDescent="0.25">
      <c r="A4284" s="6">
        <v>906</v>
      </c>
      <c r="B4284" s="6">
        <v>6502</v>
      </c>
      <c r="C4284" s="19">
        <v>40775</v>
      </c>
      <c r="D4284" s="6" t="s">
        <v>16</v>
      </c>
      <c r="E4284" s="6">
        <f>IF((ISBLANK($B$1)),"",Sheet1!Q4294)</f>
        <v>4200</v>
      </c>
      <c r="F4284" s="20" t="s">
        <v>26</v>
      </c>
      <c r="G4284" s="53">
        <f t="shared" si="67"/>
        <v>-0.6611662132264714</v>
      </c>
      <c r="H4284" s="35"/>
      <c r="P4284" s="6"/>
    </row>
    <row r="4285" spans="1:16" ht="14.4" x14ac:dyDescent="0.25">
      <c r="A4285" s="6">
        <v>907</v>
      </c>
      <c r="B4285" s="6">
        <v>6502</v>
      </c>
      <c r="C4285" s="19">
        <v>40775</v>
      </c>
      <c r="D4285" s="6" t="s">
        <v>16</v>
      </c>
      <c r="E4285" s="6">
        <f>IF((ISBLANK($B$1)),"",Sheet1!Q4295)</f>
        <v>4900</v>
      </c>
      <c r="F4285" s="20" t="s">
        <v>26</v>
      </c>
      <c r="G4285" s="53">
        <f t="shared" si="67"/>
        <v>0.30550177767020903</v>
      </c>
      <c r="H4285" s="35"/>
      <c r="P4285" s="6"/>
    </row>
    <row r="4286" spans="1:16" ht="14.4" x14ac:dyDescent="0.25">
      <c r="A4286" s="6">
        <v>921</v>
      </c>
      <c r="B4286" s="6">
        <v>6656</v>
      </c>
      <c r="C4286" s="19">
        <v>39948</v>
      </c>
      <c r="D4286" s="6" t="s">
        <v>30</v>
      </c>
      <c r="E4286" s="6">
        <f>IF((ISBLANK($B$1)),"",Sheet1!Q4296)</f>
        <v>5650</v>
      </c>
      <c r="F4286" s="20" t="s">
        <v>26</v>
      </c>
      <c r="G4286" s="53">
        <f t="shared" si="67"/>
        <v>1.3412174822023666</v>
      </c>
      <c r="H4286" s="35"/>
      <c r="P4286" s="6"/>
    </row>
    <row r="4287" spans="1:16" ht="14.4" x14ac:dyDescent="0.25">
      <c r="A4287" s="6">
        <v>922</v>
      </c>
      <c r="B4287" s="6">
        <v>6656</v>
      </c>
      <c r="C4287" s="19">
        <v>39948</v>
      </c>
      <c r="D4287" s="6" t="s">
        <v>30</v>
      </c>
      <c r="E4287" s="6">
        <f>IF((ISBLANK($B$1)),"",Sheet1!Q4297)</f>
        <v>5900</v>
      </c>
      <c r="F4287" s="20" t="s">
        <v>26</v>
      </c>
      <c r="G4287" s="53">
        <f t="shared" si="67"/>
        <v>1.6864560503797523</v>
      </c>
      <c r="H4287" s="35"/>
      <c r="P4287" s="6"/>
    </row>
    <row r="4288" spans="1:16" ht="14.4" x14ac:dyDescent="0.25">
      <c r="A4288" s="6">
        <v>971</v>
      </c>
      <c r="B4288" s="6">
        <v>7072</v>
      </c>
      <c r="C4288" s="19">
        <v>40943</v>
      </c>
      <c r="D4288" s="6" t="s">
        <v>30</v>
      </c>
      <c r="E4288" s="6">
        <f>IF((ISBLANK($B$1)),"",Sheet1!Q4298)</f>
        <v>4850</v>
      </c>
      <c r="F4288" s="20" t="s">
        <v>26</v>
      </c>
      <c r="G4288" s="53">
        <f t="shared" si="67"/>
        <v>0.23645406403473185</v>
      </c>
      <c r="H4288" s="35"/>
      <c r="P4288" s="6"/>
    </row>
    <row r="4289" spans="1:16" ht="14.4" x14ac:dyDescent="0.25">
      <c r="A4289" s="6">
        <v>1015</v>
      </c>
      <c r="B4289" s="6">
        <v>7429</v>
      </c>
      <c r="C4289" s="19">
        <v>40324</v>
      </c>
      <c r="D4289" s="6" t="s">
        <v>28</v>
      </c>
      <c r="E4289" s="6">
        <f>IF((ISBLANK($B$1)),"",Sheet1!Q4299)</f>
        <v>5050</v>
      </c>
      <c r="F4289" s="20" t="s">
        <v>27</v>
      </c>
      <c r="G4289" s="53">
        <f t="shared" si="67"/>
        <v>0.51264491857664052</v>
      </c>
      <c r="H4289" s="35"/>
      <c r="P4289" s="6"/>
    </row>
    <row r="4290" spans="1:16" ht="14.4" x14ac:dyDescent="0.25">
      <c r="A4290" s="6">
        <v>1016</v>
      </c>
      <c r="B4290" s="6">
        <v>7429</v>
      </c>
      <c r="C4290" s="19">
        <v>40324</v>
      </c>
      <c r="D4290" s="6" t="s">
        <v>28</v>
      </c>
      <c r="E4290" s="6">
        <f>IF((ISBLANK($B$1)),"",Sheet1!Q4300)</f>
        <v>3700</v>
      </c>
      <c r="F4290" s="20" t="s">
        <v>29</v>
      </c>
      <c r="G4290" s="53">
        <f t="shared" si="67"/>
        <v>-1.351643349581243</v>
      </c>
      <c r="H4290" s="35"/>
      <c r="P4290" s="6"/>
    </row>
    <row r="4291" spans="1:16" ht="14.4" x14ac:dyDescent="0.25">
      <c r="A4291" s="6">
        <v>1075</v>
      </c>
      <c r="B4291" s="6">
        <v>7910</v>
      </c>
      <c r="C4291" s="19">
        <v>40288</v>
      </c>
      <c r="D4291" s="6" t="s">
        <v>30</v>
      </c>
      <c r="E4291" s="6">
        <f>IF((ISBLANK($B$1)),"",Sheet1!Q4301)</f>
        <v>5450</v>
      </c>
      <c r="F4291" s="20" t="s">
        <v>29</v>
      </c>
      <c r="G4291" s="53">
        <f t="shared" si="67"/>
        <v>1.0650266276604579</v>
      </c>
      <c r="H4291" s="35"/>
      <c r="P4291" s="6"/>
    </row>
    <row r="4292" spans="1:16" ht="14.4" x14ac:dyDescent="0.25">
      <c r="A4292" s="6">
        <v>1076</v>
      </c>
      <c r="B4292" s="6">
        <v>7910</v>
      </c>
      <c r="C4292" s="19">
        <v>40288</v>
      </c>
      <c r="D4292" s="6" t="s">
        <v>30</v>
      </c>
      <c r="E4292" s="6">
        <f>IF((ISBLANK($B$1)),"",Sheet1!Q4302)</f>
        <v>4500</v>
      </c>
      <c r="F4292" s="20" t="s">
        <v>26</v>
      </c>
      <c r="G4292" s="53">
        <f t="shared" si="67"/>
        <v>-0.24687993141360834</v>
      </c>
      <c r="H4292" s="35"/>
      <c r="P4292" s="6"/>
    </row>
    <row r="4293" spans="1:16" ht="14.4" x14ac:dyDescent="0.25">
      <c r="A4293" s="6">
        <v>1096</v>
      </c>
      <c r="B4293" s="6">
        <v>8035</v>
      </c>
      <c r="C4293" s="19">
        <v>40969</v>
      </c>
      <c r="D4293" s="6" t="s">
        <v>16</v>
      </c>
      <c r="E4293" s="6">
        <f>IF((ISBLANK($B$1)),"",Sheet1!Q4303)</f>
        <v>3750</v>
      </c>
      <c r="F4293" s="20" t="s">
        <v>26</v>
      </c>
      <c r="G4293" s="53">
        <f t="shared" si="67"/>
        <v>-1.282595635945766</v>
      </c>
      <c r="H4293" s="35"/>
      <c r="P4293" s="6"/>
    </row>
    <row r="4294" spans="1:16" ht="14.4" x14ac:dyDescent="0.25">
      <c r="A4294" s="6">
        <v>1220</v>
      </c>
      <c r="B4294" s="6">
        <v>8961</v>
      </c>
      <c r="C4294" s="19">
        <v>40722</v>
      </c>
      <c r="D4294" s="6" t="s">
        <v>25</v>
      </c>
      <c r="E4294" s="6">
        <f>IF((ISBLANK($B$1)),"",Sheet1!Q4304)</f>
        <v>4150</v>
      </c>
      <c r="F4294" s="20" t="s">
        <v>27</v>
      </c>
      <c r="G4294" s="53">
        <f t="shared" si="67"/>
        <v>-0.73021392686194853</v>
      </c>
      <c r="H4294" s="35"/>
      <c r="P4294" s="6"/>
    </row>
    <row r="4295" spans="1:16" ht="14.4" x14ac:dyDescent="0.25">
      <c r="A4295" s="6">
        <v>1311</v>
      </c>
      <c r="B4295" s="6">
        <v>9606</v>
      </c>
      <c r="C4295" s="19">
        <v>40021</v>
      </c>
      <c r="D4295" s="6" t="s">
        <v>28</v>
      </c>
      <c r="E4295" s="6">
        <f>IF((ISBLANK($B$1)),"",Sheet1!Q4305)</f>
        <v>5350</v>
      </c>
      <c r="F4295" s="20" t="s">
        <v>26</v>
      </c>
      <c r="G4295" s="53">
        <f t="shared" si="67"/>
        <v>0.92693120038950361</v>
      </c>
      <c r="H4295" s="35"/>
      <c r="P4295" s="6"/>
    </row>
    <row r="4296" spans="1:16" ht="14.4" x14ac:dyDescent="0.25">
      <c r="A4296" s="6">
        <v>1312</v>
      </c>
      <c r="B4296" s="6">
        <v>9606</v>
      </c>
      <c r="C4296" s="19">
        <v>40021</v>
      </c>
      <c r="D4296" s="6" t="s">
        <v>28</v>
      </c>
      <c r="E4296" s="6">
        <f>IF((ISBLANK($B$1)),"",Sheet1!Q4306)</f>
        <v>5250</v>
      </c>
      <c r="F4296" s="20" t="s">
        <v>26</v>
      </c>
      <c r="G4296" s="53">
        <f t="shared" ref="G4296:G4359" si="68">STANDARDIZE(E4296,$L$26,$L$35)</f>
        <v>0.78883577311854924</v>
      </c>
      <c r="H4296" s="35"/>
      <c r="P4296" s="6"/>
    </row>
    <row r="4297" spans="1:16" ht="14.4" x14ac:dyDescent="0.25">
      <c r="A4297" s="6">
        <v>1348</v>
      </c>
      <c r="B4297" s="6">
        <v>9857</v>
      </c>
      <c r="C4297" s="19">
        <v>40309</v>
      </c>
      <c r="D4297" s="6" t="s">
        <v>17</v>
      </c>
      <c r="E4297" s="6">
        <f>IF((ISBLANK($B$1)),"",Sheet1!Q4307)</f>
        <v>4200</v>
      </c>
      <c r="F4297" s="20" t="s">
        <v>26</v>
      </c>
      <c r="G4297" s="53">
        <f t="shared" si="68"/>
        <v>-0.6611662132264714</v>
      </c>
      <c r="H4297" s="35"/>
      <c r="P4297" s="6"/>
    </row>
    <row r="4298" spans="1:16" ht="14.4" x14ac:dyDescent="0.25">
      <c r="A4298" s="6">
        <v>1349</v>
      </c>
      <c r="B4298" s="6">
        <v>9857</v>
      </c>
      <c r="C4298" s="19">
        <v>40309</v>
      </c>
      <c r="D4298" s="6" t="s">
        <v>17</v>
      </c>
      <c r="E4298" s="6">
        <f>IF((ISBLANK($B$1)),"",Sheet1!Q4308)</f>
        <v>5850</v>
      </c>
      <c r="F4298" s="20" t="s">
        <v>29</v>
      </c>
      <c r="G4298" s="53">
        <f t="shared" si="68"/>
        <v>1.6174083367442753</v>
      </c>
      <c r="H4298" s="35"/>
      <c r="P4298" s="6"/>
    </row>
    <row r="4299" spans="1:16" ht="14.4" x14ac:dyDescent="0.25">
      <c r="A4299" s="6">
        <v>1350</v>
      </c>
      <c r="B4299" s="6">
        <v>9857</v>
      </c>
      <c r="C4299" s="19">
        <v>40309</v>
      </c>
      <c r="D4299" s="6" t="s">
        <v>17</v>
      </c>
      <c r="E4299" s="6">
        <f>IF((ISBLANK($B$1)),"",Sheet1!Q4309)</f>
        <v>4200</v>
      </c>
      <c r="F4299" s="20" t="s">
        <v>27</v>
      </c>
      <c r="G4299" s="53">
        <f t="shared" si="68"/>
        <v>-0.6611662132264714</v>
      </c>
      <c r="H4299" s="35"/>
      <c r="P4299" s="6"/>
    </row>
    <row r="4300" spans="1:16" ht="14.4" x14ac:dyDescent="0.25">
      <c r="A4300" s="6">
        <v>1502</v>
      </c>
      <c r="B4300" s="6">
        <v>10851</v>
      </c>
      <c r="C4300" s="19">
        <v>39909</v>
      </c>
      <c r="D4300" s="6" t="s">
        <v>17</v>
      </c>
      <c r="E4300" s="6">
        <f>IF((ISBLANK($B$1)),"",Sheet1!Q4310)</f>
        <v>4100</v>
      </c>
      <c r="F4300" s="20" t="s">
        <v>27</v>
      </c>
      <c r="G4300" s="53">
        <f t="shared" si="68"/>
        <v>-0.79926164049742576</v>
      </c>
      <c r="H4300" s="35"/>
      <c r="P4300" s="6"/>
    </row>
    <row r="4301" spans="1:16" ht="14.4" x14ac:dyDescent="0.25">
      <c r="A4301" s="6">
        <v>1554</v>
      </c>
      <c r="B4301" s="6">
        <v>11233</v>
      </c>
      <c r="C4301" s="19">
        <v>40785</v>
      </c>
      <c r="D4301" s="6" t="s">
        <v>28</v>
      </c>
      <c r="E4301" s="6">
        <f>IF((ISBLANK($B$1)),"",Sheet1!Q4311)</f>
        <v>4650</v>
      </c>
      <c r="F4301" s="20" t="s">
        <v>26</v>
      </c>
      <c r="G4301" s="53">
        <f t="shared" si="68"/>
        <v>-3.9736790507176829E-2</v>
      </c>
      <c r="H4301" s="35"/>
      <c r="P4301" s="6"/>
    </row>
    <row r="4302" spans="1:16" ht="14.4" x14ac:dyDescent="0.25">
      <c r="A4302" s="6">
        <v>1593</v>
      </c>
      <c r="B4302" s="6">
        <v>11493</v>
      </c>
      <c r="C4302" s="19">
        <v>40836</v>
      </c>
      <c r="D4302" s="6" t="s">
        <v>30</v>
      </c>
      <c r="E4302" s="6">
        <f>IF((ISBLANK($B$1)),"",Sheet1!Q4312)</f>
        <v>4200</v>
      </c>
      <c r="F4302" s="20" t="s">
        <v>26</v>
      </c>
      <c r="G4302" s="53">
        <f t="shared" si="68"/>
        <v>-0.6611662132264714</v>
      </c>
      <c r="H4302" s="35"/>
      <c r="P4302" s="6"/>
    </row>
    <row r="4303" spans="1:16" ht="14.4" x14ac:dyDescent="0.25">
      <c r="A4303" s="6">
        <v>1614</v>
      </c>
      <c r="B4303" s="6">
        <v>11684</v>
      </c>
      <c r="C4303" s="19">
        <v>41117</v>
      </c>
      <c r="D4303" s="6" t="s">
        <v>17</v>
      </c>
      <c r="E4303" s="6">
        <f>IF((ISBLANK($B$1)),"",Sheet1!Q4313)</f>
        <v>3800</v>
      </c>
      <c r="F4303" s="20" t="s">
        <v>29</v>
      </c>
      <c r="G4303" s="53">
        <f t="shared" si="68"/>
        <v>-1.2135479223102887</v>
      </c>
      <c r="H4303" s="35"/>
      <c r="P4303" s="6"/>
    </row>
    <row r="4304" spans="1:16" ht="14.4" x14ac:dyDescent="0.25">
      <c r="A4304" s="6">
        <v>1664</v>
      </c>
      <c r="B4304" s="6">
        <v>11975</v>
      </c>
      <c r="C4304" s="19">
        <v>40646</v>
      </c>
      <c r="D4304" s="6" t="s">
        <v>30</v>
      </c>
      <c r="E4304" s="6">
        <f>IF((ISBLANK($B$1)),"",Sheet1!Q4314)</f>
        <v>5550</v>
      </c>
      <c r="F4304" s="20" t="s">
        <v>26</v>
      </c>
      <c r="G4304" s="53">
        <f t="shared" si="68"/>
        <v>1.2031220549314123</v>
      </c>
      <c r="H4304" s="35"/>
      <c r="P4304" s="6"/>
    </row>
    <row r="4305" spans="1:16" ht="14.4" x14ac:dyDescent="0.25">
      <c r="A4305" s="6">
        <v>1878</v>
      </c>
      <c r="B4305" s="6">
        <v>13537</v>
      </c>
      <c r="C4305" s="19">
        <v>40328</v>
      </c>
      <c r="D4305" s="6" t="s">
        <v>25</v>
      </c>
      <c r="E4305" s="6">
        <f>IF((ISBLANK($B$1)),"",Sheet1!Q4315)</f>
        <v>5450</v>
      </c>
      <c r="F4305" s="20" t="s">
        <v>26</v>
      </c>
      <c r="G4305" s="53">
        <f t="shared" si="68"/>
        <v>1.0650266276604579</v>
      </c>
      <c r="H4305" s="35"/>
      <c r="P4305" s="6"/>
    </row>
    <row r="4306" spans="1:16" ht="14.4" x14ac:dyDescent="0.25">
      <c r="A4306" s="6">
        <v>1912</v>
      </c>
      <c r="B4306" s="6">
        <v>13670</v>
      </c>
      <c r="C4306" s="19">
        <v>41052</v>
      </c>
      <c r="D4306" s="6" t="s">
        <v>30</v>
      </c>
      <c r="E4306" s="6">
        <f>IF((ISBLANK($B$1)),"",Sheet1!Q4316)</f>
        <v>4750</v>
      </c>
      <c r="F4306" s="20" t="s">
        <v>26</v>
      </c>
      <c r="G4306" s="53">
        <f t="shared" si="68"/>
        <v>9.8358636763777513E-2</v>
      </c>
      <c r="H4306" s="35"/>
      <c r="P4306" s="6"/>
    </row>
    <row r="4307" spans="1:16" ht="14.4" x14ac:dyDescent="0.25">
      <c r="A4307" s="6">
        <v>1922</v>
      </c>
      <c r="B4307" s="6">
        <v>13764</v>
      </c>
      <c r="C4307" s="19">
        <v>40737</v>
      </c>
      <c r="D4307" s="6" t="s">
        <v>16</v>
      </c>
      <c r="E4307" s="6">
        <f>IF((ISBLANK($B$1)),"",Sheet1!Q4317)</f>
        <v>4950</v>
      </c>
      <c r="F4307" s="20" t="s">
        <v>26</v>
      </c>
      <c r="G4307" s="53">
        <f t="shared" si="68"/>
        <v>0.37454949130568621</v>
      </c>
      <c r="H4307" s="35"/>
      <c r="P4307" s="6"/>
    </row>
    <row r="4308" spans="1:16" ht="14.4" x14ac:dyDescent="0.25">
      <c r="A4308" s="6">
        <v>1948</v>
      </c>
      <c r="B4308" s="6">
        <v>13953</v>
      </c>
      <c r="C4308" s="19">
        <v>40694</v>
      </c>
      <c r="D4308" s="6" t="s">
        <v>30</v>
      </c>
      <c r="E4308" s="6">
        <f>IF((ISBLANK($B$1)),"",Sheet1!Q4318)</f>
        <v>5000</v>
      </c>
      <c r="F4308" s="20" t="s">
        <v>26</v>
      </c>
      <c r="G4308" s="53">
        <f t="shared" si="68"/>
        <v>0.44359720494116334</v>
      </c>
      <c r="H4308" s="35"/>
      <c r="P4308" s="6"/>
    </row>
    <row r="4309" spans="1:16" ht="14.4" x14ac:dyDescent="0.25">
      <c r="A4309" s="6">
        <v>1981</v>
      </c>
      <c r="B4309" s="6">
        <v>14119</v>
      </c>
      <c r="C4309" s="19">
        <v>40329</v>
      </c>
      <c r="D4309" s="6" t="s">
        <v>25</v>
      </c>
      <c r="E4309" s="6">
        <f>IF((ISBLANK($B$1)),"",Sheet1!Q4319)</f>
        <v>4600</v>
      </c>
      <c r="F4309" s="20" t="s">
        <v>29</v>
      </c>
      <c r="G4309" s="53">
        <f t="shared" si="68"/>
        <v>-0.108784504142654</v>
      </c>
      <c r="H4309" s="35"/>
      <c r="P4309" s="6"/>
    </row>
    <row r="4310" spans="1:16" ht="14.4" x14ac:dyDescent="0.25">
      <c r="A4310" s="6">
        <v>1982</v>
      </c>
      <c r="B4310" s="6">
        <v>14119</v>
      </c>
      <c r="C4310" s="19">
        <v>40329</v>
      </c>
      <c r="D4310" s="6" t="s">
        <v>25</v>
      </c>
      <c r="E4310" s="6">
        <f>IF((ISBLANK($B$1)),"",Sheet1!Q4320)</f>
        <v>5150</v>
      </c>
      <c r="F4310" s="20" t="s">
        <v>27</v>
      </c>
      <c r="G4310" s="53">
        <f t="shared" si="68"/>
        <v>0.65074034584759488</v>
      </c>
      <c r="H4310" s="35"/>
      <c r="P4310" s="6"/>
    </row>
    <row r="4311" spans="1:16" ht="14.4" x14ac:dyDescent="0.25">
      <c r="A4311" s="6">
        <v>1983</v>
      </c>
      <c r="B4311" s="6">
        <v>14119</v>
      </c>
      <c r="C4311" s="19">
        <v>40329</v>
      </c>
      <c r="D4311" s="6" t="s">
        <v>25</v>
      </c>
      <c r="E4311" s="6">
        <f>IF((ISBLANK($B$1)),"",Sheet1!Q4321)</f>
        <v>4950</v>
      </c>
      <c r="F4311" s="20" t="s">
        <v>27</v>
      </c>
      <c r="G4311" s="53">
        <f t="shared" si="68"/>
        <v>0.37454949130568621</v>
      </c>
      <c r="H4311" s="35"/>
      <c r="P4311" s="6"/>
    </row>
    <row r="4312" spans="1:16" ht="14.4" x14ac:dyDescent="0.25">
      <c r="A4312" s="6">
        <v>2020</v>
      </c>
      <c r="B4312" s="6">
        <v>14402</v>
      </c>
      <c r="C4312" s="19">
        <v>40465</v>
      </c>
      <c r="D4312" s="6" t="s">
        <v>16</v>
      </c>
      <c r="E4312" s="6">
        <f>IF((ISBLANK($B$1)),"",Sheet1!Q4322)</f>
        <v>3450</v>
      </c>
      <c r="F4312" s="20" t="s">
        <v>29</v>
      </c>
      <c r="G4312" s="53">
        <f t="shared" si="68"/>
        <v>-1.696881917758629</v>
      </c>
      <c r="H4312" s="35"/>
      <c r="P4312" s="6"/>
    </row>
    <row r="4313" spans="1:16" ht="14.4" x14ac:dyDescent="0.25">
      <c r="A4313" s="6">
        <v>2032</v>
      </c>
      <c r="B4313" s="6">
        <v>14499</v>
      </c>
      <c r="C4313" s="19">
        <v>40496</v>
      </c>
      <c r="D4313" s="6" t="s">
        <v>25</v>
      </c>
      <c r="E4313" s="6">
        <f>IF((ISBLANK($B$1)),"",Sheet1!Q4323)</f>
        <v>4800</v>
      </c>
      <c r="F4313" s="20" t="s">
        <v>27</v>
      </c>
      <c r="G4313" s="53">
        <f t="shared" si="68"/>
        <v>0.16740635039925467</v>
      </c>
      <c r="H4313" s="35"/>
      <c r="P4313" s="6"/>
    </row>
    <row r="4314" spans="1:16" ht="14.4" x14ac:dyDescent="0.25">
      <c r="A4314" s="6">
        <v>2110</v>
      </c>
      <c r="B4314" s="6">
        <v>15079</v>
      </c>
      <c r="C4314" s="19">
        <v>40193</v>
      </c>
      <c r="D4314" s="6" t="s">
        <v>16</v>
      </c>
      <c r="E4314" s="6">
        <f>IF((ISBLANK($B$1)),"",Sheet1!Q4324)</f>
        <v>5650</v>
      </c>
      <c r="F4314" s="20" t="s">
        <v>27</v>
      </c>
      <c r="G4314" s="53">
        <f t="shared" si="68"/>
        <v>1.3412174822023666</v>
      </c>
      <c r="H4314" s="35"/>
      <c r="P4314" s="6"/>
    </row>
    <row r="4315" spans="1:16" ht="14.4" x14ac:dyDescent="0.25">
      <c r="A4315" s="6">
        <v>2111</v>
      </c>
      <c r="B4315" s="6">
        <v>15079</v>
      </c>
      <c r="C4315" s="19">
        <v>40193</v>
      </c>
      <c r="D4315" s="6" t="s">
        <v>16</v>
      </c>
      <c r="E4315" s="6">
        <f>IF((ISBLANK($B$1)),"",Sheet1!Q4325)</f>
        <v>4550</v>
      </c>
      <c r="F4315" s="20" t="s">
        <v>26</v>
      </c>
      <c r="G4315" s="53">
        <f t="shared" si="68"/>
        <v>-0.17783221777813119</v>
      </c>
      <c r="H4315" s="35"/>
      <c r="P4315" s="6"/>
    </row>
    <row r="4316" spans="1:16" ht="14.4" x14ac:dyDescent="0.25">
      <c r="A4316" s="6">
        <v>2134</v>
      </c>
      <c r="B4316" s="6">
        <v>15236</v>
      </c>
      <c r="C4316" s="19">
        <v>41008</v>
      </c>
      <c r="D4316" s="6" t="s">
        <v>28</v>
      </c>
      <c r="E4316" s="6">
        <f>IF((ISBLANK($B$1)),"",Sheet1!Q4326)</f>
        <v>5050</v>
      </c>
      <c r="F4316" s="20" t="s">
        <v>26</v>
      </c>
      <c r="G4316" s="53">
        <f t="shared" si="68"/>
        <v>0.51264491857664052</v>
      </c>
      <c r="H4316" s="35"/>
      <c r="P4316" s="6"/>
    </row>
    <row r="4317" spans="1:16" ht="14.4" x14ac:dyDescent="0.25">
      <c r="A4317" s="6">
        <v>2135</v>
      </c>
      <c r="B4317" s="6">
        <v>15236</v>
      </c>
      <c r="C4317" s="19">
        <v>41008</v>
      </c>
      <c r="D4317" s="6" t="s">
        <v>28</v>
      </c>
      <c r="E4317" s="6">
        <f>IF((ISBLANK($B$1)),"",Sheet1!Q4327)</f>
        <v>4900</v>
      </c>
      <c r="F4317" s="20" t="s">
        <v>29</v>
      </c>
      <c r="G4317" s="53">
        <f t="shared" si="68"/>
        <v>0.30550177767020903</v>
      </c>
      <c r="H4317" s="35"/>
      <c r="P4317" s="6"/>
    </row>
    <row r="4318" spans="1:16" ht="14.4" x14ac:dyDescent="0.25">
      <c r="A4318" s="6">
        <v>2148</v>
      </c>
      <c r="B4318" s="6">
        <v>15397</v>
      </c>
      <c r="C4318" s="19">
        <v>40215</v>
      </c>
      <c r="D4318" s="6" t="s">
        <v>30</v>
      </c>
      <c r="E4318" s="6">
        <f>IF((ISBLANK($B$1)),"",Sheet1!Q4328)</f>
        <v>5500</v>
      </c>
      <c r="F4318" s="20" t="s">
        <v>27</v>
      </c>
      <c r="G4318" s="53">
        <f t="shared" si="68"/>
        <v>1.1340743412959351</v>
      </c>
      <c r="H4318" s="35"/>
      <c r="P4318" s="6"/>
    </row>
    <row r="4319" spans="1:16" ht="14.4" x14ac:dyDescent="0.25">
      <c r="A4319" s="6">
        <v>2149</v>
      </c>
      <c r="B4319" s="6">
        <v>15397</v>
      </c>
      <c r="C4319" s="19">
        <v>40215</v>
      </c>
      <c r="D4319" s="6" t="s">
        <v>30</v>
      </c>
      <c r="E4319" s="6">
        <f>IF((ISBLANK($B$1)),"",Sheet1!Q4329)</f>
        <v>4850</v>
      </c>
      <c r="F4319" s="20" t="s">
        <v>27</v>
      </c>
      <c r="G4319" s="53">
        <f t="shared" si="68"/>
        <v>0.23645406403473185</v>
      </c>
      <c r="H4319" s="35"/>
      <c r="P4319" s="6"/>
    </row>
    <row r="4320" spans="1:16" ht="14.4" x14ac:dyDescent="0.25">
      <c r="A4320" s="6">
        <v>2150</v>
      </c>
      <c r="B4320" s="6">
        <v>15397</v>
      </c>
      <c r="C4320" s="19">
        <v>40215</v>
      </c>
      <c r="D4320" s="6" t="s">
        <v>30</v>
      </c>
      <c r="E4320" s="6">
        <f>IF((ISBLANK($B$1)),"",Sheet1!Q4330)</f>
        <v>5550</v>
      </c>
      <c r="F4320" s="20" t="s">
        <v>26</v>
      </c>
      <c r="G4320" s="53">
        <f t="shared" si="68"/>
        <v>1.2031220549314123</v>
      </c>
      <c r="H4320" s="35"/>
      <c r="P4320" s="6"/>
    </row>
    <row r="4321" spans="1:16" ht="14.4" x14ac:dyDescent="0.25">
      <c r="A4321" s="6">
        <v>2185</v>
      </c>
      <c r="B4321" s="6">
        <v>15719</v>
      </c>
      <c r="C4321" s="19">
        <v>40561</v>
      </c>
      <c r="D4321" s="6" t="s">
        <v>30</v>
      </c>
      <c r="E4321" s="6">
        <f>IF((ISBLANK($B$1)),"",Sheet1!Q4331)</f>
        <v>4300</v>
      </c>
      <c r="F4321" s="20" t="s">
        <v>29</v>
      </c>
      <c r="G4321" s="53">
        <f t="shared" si="68"/>
        <v>-0.52307078595551704</v>
      </c>
      <c r="H4321" s="35"/>
      <c r="P4321" s="6"/>
    </row>
    <row r="4322" spans="1:16" ht="14.4" x14ac:dyDescent="0.25">
      <c r="A4322" s="6">
        <v>2226</v>
      </c>
      <c r="B4322" s="6">
        <v>16098</v>
      </c>
      <c r="C4322" s="19">
        <v>41111</v>
      </c>
      <c r="D4322" s="6" t="s">
        <v>25</v>
      </c>
      <c r="E4322" s="6">
        <f>IF((ISBLANK($B$1)),"",Sheet1!Q4332)</f>
        <v>5600</v>
      </c>
      <c r="F4322" s="20" t="s">
        <v>26</v>
      </c>
      <c r="G4322" s="53">
        <f t="shared" si="68"/>
        <v>1.2721697685668893</v>
      </c>
      <c r="H4322" s="35"/>
      <c r="P4322" s="6"/>
    </row>
    <row r="4323" spans="1:16" ht="14.4" x14ac:dyDescent="0.25">
      <c r="A4323" s="6">
        <v>2282</v>
      </c>
      <c r="B4323" s="6">
        <v>16450</v>
      </c>
      <c r="C4323" s="19">
        <v>40678</v>
      </c>
      <c r="D4323" s="6" t="s">
        <v>16</v>
      </c>
      <c r="E4323" s="6">
        <f>IF((ISBLANK($B$1)),"",Sheet1!Q4333)</f>
        <v>4000</v>
      </c>
      <c r="F4323" s="20" t="s">
        <v>26</v>
      </c>
      <c r="G4323" s="53">
        <f t="shared" si="68"/>
        <v>-0.93735706776838001</v>
      </c>
      <c r="H4323" s="35"/>
      <c r="P4323" s="6"/>
    </row>
    <row r="4324" spans="1:16" ht="14.4" x14ac:dyDescent="0.25">
      <c r="A4324" s="6">
        <v>2371</v>
      </c>
      <c r="B4324" s="6">
        <v>17186</v>
      </c>
      <c r="C4324" s="19">
        <v>39839</v>
      </c>
      <c r="D4324" s="6" t="s">
        <v>16</v>
      </c>
      <c r="E4324" s="6">
        <f>IF((ISBLANK($B$1)),"",Sheet1!Q4334)</f>
        <v>5850</v>
      </c>
      <c r="F4324" s="20" t="s">
        <v>29</v>
      </c>
      <c r="G4324" s="53">
        <f t="shared" si="68"/>
        <v>1.6174083367442753</v>
      </c>
      <c r="H4324" s="35"/>
      <c r="P4324" s="6"/>
    </row>
    <row r="4325" spans="1:16" ht="14.4" x14ac:dyDescent="0.25">
      <c r="A4325" s="6">
        <v>2372</v>
      </c>
      <c r="B4325" s="6">
        <v>17186</v>
      </c>
      <c r="C4325" s="19">
        <v>39839</v>
      </c>
      <c r="D4325" s="6" t="s">
        <v>16</v>
      </c>
      <c r="E4325" s="6">
        <f>IF((ISBLANK($B$1)),"",Sheet1!Q4335)</f>
        <v>3950</v>
      </c>
      <c r="F4325" s="20" t="s">
        <v>26</v>
      </c>
      <c r="G4325" s="53">
        <f t="shared" si="68"/>
        <v>-1.0064047814038573</v>
      </c>
      <c r="H4325" s="35"/>
      <c r="P4325" s="6"/>
    </row>
    <row r="4326" spans="1:16" ht="14.4" x14ac:dyDescent="0.25">
      <c r="A4326" s="6">
        <v>2397</v>
      </c>
      <c r="B4326" s="6">
        <v>17379</v>
      </c>
      <c r="C4326" s="19">
        <v>40769</v>
      </c>
      <c r="D4326" s="6" t="s">
        <v>30</v>
      </c>
      <c r="E4326" s="6">
        <f>IF((ISBLANK($B$1)),"",Sheet1!Q4336)</f>
        <v>4850</v>
      </c>
      <c r="F4326" s="20" t="s">
        <v>29</v>
      </c>
      <c r="G4326" s="53">
        <f t="shared" si="68"/>
        <v>0.23645406403473185</v>
      </c>
      <c r="H4326" s="35"/>
      <c r="P4326" s="6"/>
    </row>
    <row r="4327" spans="1:16" ht="14.4" x14ac:dyDescent="0.25">
      <c r="A4327" s="6">
        <v>2424</v>
      </c>
      <c r="B4327" s="6">
        <v>17573</v>
      </c>
      <c r="C4327" s="19">
        <v>40790</v>
      </c>
      <c r="D4327" s="6" t="s">
        <v>25</v>
      </c>
      <c r="E4327" s="6">
        <f>IF((ISBLANK($B$1)),"",Sheet1!Q4337)</f>
        <v>4550</v>
      </c>
      <c r="F4327" s="20" t="s">
        <v>29</v>
      </c>
      <c r="G4327" s="53">
        <f t="shared" si="68"/>
        <v>-0.17783221777813119</v>
      </c>
      <c r="H4327" s="35"/>
      <c r="P4327" s="6"/>
    </row>
    <row r="4328" spans="1:16" ht="14.4" x14ac:dyDescent="0.25">
      <c r="A4328" s="6">
        <v>2441</v>
      </c>
      <c r="B4328" s="6">
        <v>17702</v>
      </c>
      <c r="C4328" s="19">
        <v>41012</v>
      </c>
      <c r="D4328" s="6" t="s">
        <v>17</v>
      </c>
      <c r="E4328" s="6">
        <f>IF((ISBLANK($B$1)),"",Sheet1!Q4338)</f>
        <v>5800</v>
      </c>
      <c r="F4328" s="20" t="s">
        <v>26</v>
      </c>
      <c r="G4328" s="53">
        <f t="shared" si="68"/>
        <v>1.5483606231087981</v>
      </c>
      <c r="H4328" s="35"/>
      <c r="P4328" s="6"/>
    </row>
    <row r="4329" spans="1:16" ht="14.4" x14ac:dyDescent="0.25">
      <c r="A4329" s="6">
        <v>2576</v>
      </c>
      <c r="B4329" s="6">
        <v>18595</v>
      </c>
      <c r="C4329" s="19">
        <v>39844</v>
      </c>
      <c r="D4329" s="6" t="s">
        <v>30</v>
      </c>
      <c r="E4329" s="6">
        <f>IF((ISBLANK($B$1)),"",Sheet1!Q4339)</f>
        <v>3700</v>
      </c>
      <c r="F4329" s="20" t="s">
        <v>26</v>
      </c>
      <c r="G4329" s="53">
        <f t="shared" si="68"/>
        <v>-1.351643349581243</v>
      </c>
      <c r="H4329" s="35"/>
      <c r="P4329" s="6"/>
    </row>
    <row r="4330" spans="1:16" ht="14.4" x14ac:dyDescent="0.25">
      <c r="A4330" s="6">
        <v>2577</v>
      </c>
      <c r="B4330" s="6">
        <v>18595</v>
      </c>
      <c r="C4330" s="19">
        <v>39844</v>
      </c>
      <c r="D4330" s="6" t="s">
        <v>30</v>
      </c>
      <c r="E4330" s="6">
        <f>IF((ISBLANK($B$1)),"",Sheet1!Q4340)</f>
        <v>4200</v>
      </c>
      <c r="F4330" s="20" t="s">
        <v>26</v>
      </c>
      <c r="G4330" s="53">
        <f t="shared" si="68"/>
        <v>-0.6611662132264714</v>
      </c>
      <c r="H4330" s="35"/>
      <c r="P4330" s="6"/>
    </row>
    <row r="4331" spans="1:16" ht="14.4" x14ac:dyDescent="0.25">
      <c r="A4331" s="6">
        <v>2655</v>
      </c>
      <c r="B4331" s="6">
        <v>19205</v>
      </c>
      <c r="C4331" s="19">
        <v>40385</v>
      </c>
      <c r="D4331" s="6" t="s">
        <v>16</v>
      </c>
      <c r="E4331" s="6">
        <f>IF((ISBLANK($B$1)),"",Sheet1!Q4341)</f>
        <v>5750</v>
      </c>
      <c r="F4331" s="20" t="s">
        <v>26</v>
      </c>
      <c r="G4331" s="53">
        <f t="shared" si="68"/>
        <v>1.4793129094733208</v>
      </c>
      <c r="H4331" s="35"/>
      <c r="P4331" s="6"/>
    </row>
    <row r="4332" spans="1:16" ht="14.4" x14ac:dyDescent="0.25">
      <c r="A4332" s="6">
        <v>2656</v>
      </c>
      <c r="B4332" s="6">
        <v>19205</v>
      </c>
      <c r="C4332" s="19">
        <v>40385</v>
      </c>
      <c r="D4332" s="6" t="s">
        <v>16</v>
      </c>
      <c r="E4332" s="6">
        <f>IF((ISBLANK($B$1)),"",Sheet1!Q4342)</f>
        <v>4950</v>
      </c>
      <c r="F4332" s="20" t="s">
        <v>26</v>
      </c>
      <c r="G4332" s="53">
        <f t="shared" si="68"/>
        <v>0.37454949130568621</v>
      </c>
      <c r="H4332" s="35"/>
      <c r="P4332" s="6"/>
    </row>
    <row r="4333" spans="1:16" ht="14.4" x14ac:dyDescent="0.25">
      <c r="A4333" s="6">
        <v>2694</v>
      </c>
      <c r="B4333" s="6">
        <v>19494</v>
      </c>
      <c r="C4333" s="19">
        <v>40190</v>
      </c>
      <c r="D4333" s="6" t="s">
        <v>17</v>
      </c>
      <c r="E4333" s="6">
        <f>IF((ISBLANK($B$1)),"",Sheet1!Q4343)</f>
        <v>5350</v>
      </c>
      <c r="F4333" s="20" t="s">
        <v>29</v>
      </c>
      <c r="G4333" s="53">
        <f t="shared" si="68"/>
        <v>0.92693120038950361</v>
      </c>
      <c r="H4333" s="35"/>
      <c r="P4333" s="6"/>
    </row>
    <row r="4334" spans="1:16" ht="14.4" x14ac:dyDescent="0.25">
      <c r="A4334" s="6">
        <v>2695</v>
      </c>
      <c r="B4334" s="6">
        <v>19494</v>
      </c>
      <c r="C4334" s="19">
        <v>40190</v>
      </c>
      <c r="D4334" s="6" t="s">
        <v>17</v>
      </c>
      <c r="E4334" s="6">
        <f>IF((ISBLANK($B$1)),"",Sheet1!Q4344)</f>
        <v>3500</v>
      </c>
      <c r="F4334" s="20" t="s">
        <v>26</v>
      </c>
      <c r="G4334" s="53">
        <f t="shared" si="68"/>
        <v>-1.6278342041231517</v>
      </c>
      <c r="H4334" s="35"/>
      <c r="P4334" s="6"/>
    </row>
    <row r="4335" spans="1:16" ht="14.4" x14ac:dyDescent="0.25">
      <c r="A4335" s="6">
        <v>2699</v>
      </c>
      <c r="B4335" s="6">
        <v>19523</v>
      </c>
      <c r="C4335" s="19">
        <v>40877</v>
      </c>
      <c r="D4335" s="6" t="s">
        <v>17</v>
      </c>
      <c r="E4335" s="6">
        <f>IF((ISBLANK($B$1)),"",Sheet1!Q4345)</f>
        <v>5600</v>
      </c>
      <c r="F4335" s="20" t="s">
        <v>26</v>
      </c>
      <c r="G4335" s="53">
        <f t="shared" si="68"/>
        <v>1.2721697685668893</v>
      </c>
      <c r="H4335" s="35"/>
      <c r="P4335" s="6"/>
    </row>
    <row r="4336" spans="1:16" ht="14.4" x14ac:dyDescent="0.25">
      <c r="A4336" s="6">
        <v>2842</v>
      </c>
      <c r="B4336" s="6">
        <v>20482</v>
      </c>
      <c r="C4336" s="19">
        <v>40742</v>
      </c>
      <c r="D4336" s="6" t="s">
        <v>16</v>
      </c>
      <c r="E4336" s="6">
        <f>IF((ISBLANK($B$1)),"",Sheet1!Q4346)</f>
        <v>5300</v>
      </c>
      <c r="F4336" s="20" t="s">
        <v>29</v>
      </c>
      <c r="G4336" s="53">
        <f t="shared" si="68"/>
        <v>0.85788348675402637</v>
      </c>
      <c r="H4336" s="35"/>
      <c r="P4336" s="6"/>
    </row>
    <row r="4337" spans="1:16" ht="14.4" x14ac:dyDescent="0.25">
      <c r="A4337" s="6">
        <v>2843</v>
      </c>
      <c r="B4337" s="6">
        <v>20482</v>
      </c>
      <c r="C4337" s="19">
        <v>40742</v>
      </c>
      <c r="D4337" s="6" t="s">
        <v>16</v>
      </c>
      <c r="E4337" s="6">
        <f>IF((ISBLANK($B$1)),"",Sheet1!Q4347)</f>
        <v>5350</v>
      </c>
      <c r="F4337" s="20" t="s">
        <v>26</v>
      </c>
      <c r="G4337" s="53">
        <f t="shared" si="68"/>
        <v>0.92693120038950361</v>
      </c>
      <c r="H4337" s="35"/>
      <c r="P4337" s="6"/>
    </row>
    <row r="4338" spans="1:16" ht="14.4" x14ac:dyDescent="0.25">
      <c r="A4338" s="6">
        <v>2963</v>
      </c>
      <c r="B4338" s="6">
        <v>21414</v>
      </c>
      <c r="C4338" s="19">
        <v>40667</v>
      </c>
      <c r="D4338" s="6" t="s">
        <v>30</v>
      </c>
      <c r="E4338" s="6">
        <f>IF((ISBLANK($B$1)),"",Sheet1!Q4348)</f>
        <v>5550</v>
      </c>
      <c r="F4338" s="20" t="s">
        <v>26</v>
      </c>
      <c r="G4338" s="53">
        <f t="shared" si="68"/>
        <v>1.2031220549314123</v>
      </c>
      <c r="H4338" s="35"/>
      <c r="P4338" s="6"/>
    </row>
    <row r="4339" spans="1:16" ht="14.4" x14ac:dyDescent="0.25">
      <c r="A4339" s="6">
        <v>2967</v>
      </c>
      <c r="B4339" s="6">
        <v>21445</v>
      </c>
      <c r="C4339" s="19">
        <v>40134</v>
      </c>
      <c r="D4339" s="6" t="s">
        <v>25</v>
      </c>
      <c r="E4339" s="6">
        <f>IF((ISBLANK($B$1)),"",Sheet1!Q4349)</f>
        <v>4100</v>
      </c>
      <c r="F4339" s="20" t="s">
        <v>26</v>
      </c>
      <c r="G4339" s="53">
        <f t="shared" si="68"/>
        <v>-0.79926164049742576</v>
      </c>
      <c r="H4339" s="35"/>
      <c r="P4339" s="6"/>
    </row>
    <row r="4340" spans="1:16" ht="14.4" x14ac:dyDescent="0.25">
      <c r="A4340" s="6">
        <v>2968</v>
      </c>
      <c r="B4340" s="6">
        <v>21445</v>
      </c>
      <c r="C4340" s="19">
        <v>40134</v>
      </c>
      <c r="D4340" s="6" t="s">
        <v>25</v>
      </c>
      <c r="E4340" s="6">
        <f>IF((ISBLANK($B$1)),"",Sheet1!Q4350)</f>
        <v>5550</v>
      </c>
      <c r="F4340" s="20" t="s">
        <v>27</v>
      </c>
      <c r="G4340" s="53">
        <f t="shared" si="68"/>
        <v>1.2031220549314123</v>
      </c>
      <c r="H4340" s="35"/>
      <c r="P4340" s="6"/>
    </row>
    <row r="4341" spans="1:16" ht="14.4" x14ac:dyDescent="0.25">
      <c r="A4341" s="6">
        <v>2987</v>
      </c>
      <c r="B4341" s="6">
        <v>21573</v>
      </c>
      <c r="C4341" s="19">
        <v>41024</v>
      </c>
      <c r="D4341" s="6" t="s">
        <v>30</v>
      </c>
      <c r="E4341" s="6">
        <f>IF((ISBLANK($B$1)),"",Sheet1!Q4351)</f>
        <v>4950</v>
      </c>
      <c r="F4341" s="20" t="s">
        <v>26</v>
      </c>
      <c r="G4341" s="53">
        <f t="shared" si="68"/>
        <v>0.37454949130568621</v>
      </c>
      <c r="H4341" s="35"/>
      <c r="P4341" s="6"/>
    </row>
    <row r="4342" spans="1:16" ht="14.4" x14ac:dyDescent="0.25">
      <c r="A4342" s="6">
        <v>2988</v>
      </c>
      <c r="B4342" s="6">
        <v>21573</v>
      </c>
      <c r="C4342" s="19">
        <v>41024</v>
      </c>
      <c r="D4342" s="6" t="s">
        <v>30</v>
      </c>
      <c r="E4342" s="6">
        <f>IF((ISBLANK($B$1)),"",Sheet1!Q4352)</f>
        <v>3750</v>
      </c>
      <c r="F4342" s="20" t="s">
        <v>29</v>
      </c>
      <c r="G4342" s="53">
        <f t="shared" si="68"/>
        <v>-1.282595635945766</v>
      </c>
      <c r="H4342" s="35"/>
      <c r="P4342" s="6"/>
    </row>
    <row r="4343" spans="1:16" ht="14.4" x14ac:dyDescent="0.25">
      <c r="A4343" s="6">
        <v>2989</v>
      </c>
      <c r="B4343" s="6">
        <v>21573</v>
      </c>
      <c r="C4343" s="19">
        <v>41024</v>
      </c>
      <c r="D4343" s="6" t="s">
        <v>30</v>
      </c>
      <c r="E4343" s="6">
        <f>IF((ISBLANK($B$1)),"",Sheet1!Q4353)</f>
        <v>3550</v>
      </c>
      <c r="F4343" s="20" t="s">
        <v>29</v>
      </c>
      <c r="G4343" s="53">
        <f t="shared" si="68"/>
        <v>-1.5587864904876745</v>
      </c>
      <c r="H4343" s="35"/>
      <c r="P4343" s="6"/>
    </row>
    <row r="4344" spans="1:16" ht="14.4" x14ac:dyDescent="0.25">
      <c r="A4344" s="6">
        <v>3004</v>
      </c>
      <c r="B4344" s="6">
        <v>21636</v>
      </c>
      <c r="C4344" s="19">
        <v>40035</v>
      </c>
      <c r="D4344" s="6" t="s">
        <v>25</v>
      </c>
      <c r="E4344" s="6">
        <f>IF((ISBLANK($B$1)),"",Sheet1!Q4354)</f>
        <v>4200</v>
      </c>
      <c r="F4344" s="20" t="s">
        <v>26</v>
      </c>
      <c r="G4344" s="53">
        <f t="shared" si="68"/>
        <v>-0.6611662132264714</v>
      </c>
      <c r="H4344" s="35"/>
      <c r="P4344" s="6"/>
    </row>
    <row r="4345" spans="1:16" ht="14.4" x14ac:dyDescent="0.25">
      <c r="A4345" s="6">
        <v>3005</v>
      </c>
      <c r="B4345" s="6">
        <v>21636</v>
      </c>
      <c r="C4345" s="19">
        <v>40035</v>
      </c>
      <c r="D4345" s="6" t="s">
        <v>25</v>
      </c>
      <c r="E4345" s="6">
        <f>IF((ISBLANK($B$1)),"",Sheet1!Q4355)</f>
        <v>3700</v>
      </c>
      <c r="F4345" s="20" t="s">
        <v>26</v>
      </c>
      <c r="G4345" s="53">
        <f t="shared" si="68"/>
        <v>-1.351643349581243</v>
      </c>
      <c r="H4345" s="35"/>
      <c r="P4345" s="6"/>
    </row>
    <row r="4346" spans="1:16" ht="14.4" x14ac:dyDescent="0.25">
      <c r="A4346" s="6">
        <v>3030</v>
      </c>
      <c r="B4346" s="6">
        <v>21795</v>
      </c>
      <c r="C4346" s="19">
        <v>40342</v>
      </c>
      <c r="D4346" s="6" t="s">
        <v>28</v>
      </c>
      <c r="E4346" s="6">
        <f>IF((ISBLANK($B$1)),"",Sheet1!Q4356)</f>
        <v>3900</v>
      </c>
      <c r="F4346" s="20" t="s">
        <v>27</v>
      </c>
      <c r="G4346" s="53">
        <f t="shared" si="68"/>
        <v>-1.0754524950393345</v>
      </c>
      <c r="H4346" s="35"/>
      <c r="P4346" s="6"/>
    </row>
    <row r="4347" spans="1:16" ht="14.4" x14ac:dyDescent="0.25">
      <c r="A4347" s="6">
        <v>3031</v>
      </c>
      <c r="B4347" s="6">
        <v>21795</v>
      </c>
      <c r="C4347" s="19">
        <v>40342</v>
      </c>
      <c r="D4347" s="6" t="s">
        <v>28</v>
      </c>
      <c r="E4347" s="6">
        <f>IF((ISBLANK($B$1)),"",Sheet1!Q4357)</f>
        <v>4800</v>
      </c>
      <c r="F4347" s="20" t="s">
        <v>26</v>
      </c>
      <c r="G4347" s="53">
        <f t="shared" si="68"/>
        <v>0.16740635039925467</v>
      </c>
      <c r="H4347" s="35"/>
      <c r="P4347" s="6"/>
    </row>
    <row r="4348" spans="1:16" ht="14.4" x14ac:dyDescent="0.25">
      <c r="A4348" s="6">
        <v>3044</v>
      </c>
      <c r="B4348" s="6">
        <v>21859</v>
      </c>
      <c r="C4348" s="19">
        <v>40865</v>
      </c>
      <c r="D4348" s="6" t="s">
        <v>17</v>
      </c>
      <c r="E4348" s="6">
        <f>IF((ISBLANK($B$1)),"",Sheet1!Q4358)</f>
        <v>5500</v>
      </c>
      <c r="F4348" s="20" t="s">
        <v>29</v>
      </c>
      <c r="G4348" s="53">
        <f t="shared" si="68"/>
        <v>1.1340743412959351</v>
      </c>
      <c r="H4348" s="35"/>
      <c r="P4348" s="6"/>
    </row>
    <row r="4349" spans="1:16" ht="14.4" x14ac:dyDescent="0.25">
      <c r="A4349" s="6">
        <v>3069</v>
      </c>
      <c r="B4349" s="6">
        <v>21989</v>
      </c>
      <c r="C4349" s="19">
        <v>40584</v>
      </c>
      <c r="D4349" s="6" t="s">
        <v>25</v>
      </c>
      <c r="E4349" s="6">
        <f>IF((ISBLANK($B$1)),"",Sheet1!Q4359)</f>
        <v>3850</v>
      </c>
      <c r="F4349" s="20" t="s">
        <v>29</v>
      </c>
      <c r="G4349" s="53">
        <f t="shared" si="68"/>
        <v>-1.1445002086748115</v>
      </c>
      <c r="H4349" s="35"/>
      <c r="P4349" s="6"/>
    </row>
    <row r="4350" spans="1:16" ht="14.4" x14ac:dyDescent="0.25">
      <c r="A4350" s="6">
        <v>3070</v>
      </c>
      <c r="B4350" s="6">
        <v>21989</v>
      </c>
      <c r="C4350" s="19">
        <v>40584</v>
      </c>
      <c r="D4350" s="6" t="s">
        <v>25</v>
      </c>
      <c r="E4350" s="6">
        <f>IF((ISBLANK($B$1)),"",Sheet1!Q4360)</f>
        <v>5150</v>
      </c>
      <c r="F4350" s="20" t="s">
        <v>27</v>
      </c>
      <c r="G4350" s="53">
        <f t="shared" si="68"/>
        <v>0.65074034584759488</v>
      </c>
      <c r="H4350" s="35"/>
      <c r="P4350" s="6"/>
    </row>
    <row r="4351" spans="1:16" ht="14.4" x14ac:dyDescent="0.25">
      <c r="A4351" s="6">
        <v>3090</v>
      </c>
      <c r="B4351" s="6">
        <v>22151</v>
      </c>
      <c r="C4351" s="19">
        <v>40390</v>
      </c>
      <c r="D4351" s="6" t="s">
        <v>17</v>
      </c>
      <c r="E4351" s="6">
        <f>IF((ISBLANK($B$1)),"",Sheet1!Q4361)</f>
        <v>4400</v>
      </c>
      <c r="F4351" s="20" t="s">
        <v>26</v>
      </c>
      <c r="G4351" s="53">
        <f t="shared" si="68"/>
        <v>-0.38497535868456267</v>
      </c>
      <c r="H4351" s="35"/>
      <c r="P4351" s="6"/>
    </row>
    <row r="4352" spans="1:16" ht="14.4" x14ac:dyDescent="0.25">
      <c r="A4352" s="6">
        <v>3161</v>
      </c>
      <c r="B4352" s="6">
        <v>22688</v>
      </c>
      <c r="C4352" s="19">
        <v>41016</v>
      </c>
      <c r="D4352" s="6" t="s">
        <v>16</v>
      </c>
      <c r="E4352" s="6">
        <f>IF((ISBLANK($B$1)),"",Sheet1!Q4362)</f>
        <v>5400</v>
      </c>
      <c r="F4352" s="20" t="s">
        <v>27</v>
      </c>
      <c r="G4352" s="53">
        <f t="shared" si="68"/>
        <v>0.99597891402498073</v>
      </c>
      <c r="H4352" s="35"/>
      <c r="P4352" s="6"/>
    </row>
    <row r="4353" spans="1:16" ht="14.4" x14ac:dyDescent="0.25">
      <c r="A4353" s="6">
        <v>3197</v>
      </c>
      <c r="B4353" s="6">
        <v>22916</v>
      </c>
      <c r="C4353" s="19">
        <v>40941</v>
      </c>
      <c r="D4353" s="6" t="s">
        <v>16</v>
      </c>
      <c r="E4353" s="6">
        <f>IF((ISBLANK($B$1)),"",Sheet1!Q4363)</f>
        <v>4300</v>
      </c>
      <c r="F4353" s="20" t="s">
        <v>26</v>
      </c>
      <c r="G4353" s="53">
        <f t="shared" si="68"/>
        <v>-0.52307078595551704</v>
      </c>
      <c r="H4353" s="35"/>
      <c r="P4353" s="6"/>
    </row>
    <row r="4354" spans="1:16" ht="14.4" x14ac:dyDescent="0.25">
      <c r="A4354" s="6">
        <v>3202</v>
      </c>
      <c r="B4354" s="6">
        <v>22951</v>
      </c>
      <c r="C4354" s="19">
        <v>41032</v>
      </c>
      <c r="D4354" s="6" t="s">
        <v>16</v>
      </c>
      <c r="E4354" s="6">
        <f>IF((ISBLANK($B$1)),"",Sheet1!Q4364)</f>
        <v>4600</v>
      </c>
      <c r="F4354" s="20" t="s">
        <v>27</v>
      </c>
      <c r="G4354" s="53">
        <f t="shared" si="68"/>
        <v>-0.108784504142654</v>
      </c>
      <c r="H4354" s="35"/>
      <c r="P4354" s="6"/>
    </row>
    <row r="4355" spans="1:16" ht="14.4" x14ac:dyDescent="0.25">
      <c r="A4355" s="6">
        <v>3205</v>
      </c>
      <c r="B4355" s="6">
        <v>22980</v>
      </c>
      <c r="C4355" s="19">
        <v>41183</v>
      </c>
      <c r="D4355" s="6" t="s">
        <v>28</v>
      </c>
      <c r="E4355" s="6">
        <f>IF((ISBLANK($B$1)),"",Sheet1!Q4365)</f>
        <v>3900</v>
      </c>
      <c r="F4355" s="20" t="s">
        <v>26</v>
      </c>
      <c r="G4355" s="53">
        <f t="shared" si="68"/>
        <v>-1.0754524950393345</v>
      </c>
      <c r="H4355" s="35"/>
      <c r="P4355" s="6"/>
    </row>
    <row r="4356" spans="1:16" ht="14.4" x14ac:dyDescent="0.25">
      <c r="A4356" s="6">
        <v>3281</v>
      </c>
      <c r="B4356" s="6">
        <v>23429</v>
      </c>
      <c r="C4356" s="19">
        <v>39891</v>
      </c>
      <c r="D4356" s="6" t="s">
        <v>30</v>
      </c>
      <c r="E4356" s="6">
        <f>IF((ISBLANK($B$1)),"",Sheet1!Q4366)</f>
        <v>4800</v>
      </c>
      <c r="F4356" s="20" t="s">
        <v>26</v>
      </c>
      <c r="G4356" s="53">
        <f t="shared" si="68"/>
        <v>0.16740635039925467</v>
      </c>
      <c r="H4356" s="35"/>
      <c r="P4356" s="6"/>
    </row>
    <row r="4357" spans="1:16" ht="14.4" x14ac:dyDescent="0.25">
      <c r="A4357" s="6">
        <v>3282</v>
      </c>
      <c r="B4357" s="6">
        <v>23429</v>
      </c>
      <c r="C4357" s="19">
        <v>39891</v>
      </c>
      <c r="D4357" s="6" t="s">
        <v>30</v>
      </c>
      <c r="E4357" s="6">
        <f>IF((ISBLANK($B$1)),"",Sheet1!Q4367)</f>
        <v>4350</v>
      </c>
      <c r="F4357" s="20" t="s">
        <v>27</v>
      </c>
      <c r="G4357" s="53">
        <f t="shared" si="68"/>
        <v>-0.45402307232003986</v>
      </c>
      <c r="H4357" s="35"/>
      <c r="P4357" s="6"/>
    </row>
    <row r="4358" spans="1:16" ht="14.4" x14ac:dyDescent="0.25">
      <c r="A4358" s="6">
        <v>3315</v>
      </c>
      <c r="B4358" s="6">
        <v>23681</v>
      </c>
      <c r="C4358" s="19">
        <v>41048</v>
      </c>
      <c r="D4358" s="6" t="s">
        <v>17</v>
      </c>
      <c r="E4358" s="6">
        <f>IF((ISBLANK($B$1)),"",Sheet1!Q4368)</f>
        <v>5500</v>
      </c>
      <c r="F4358" s="20" t="s">
        <v>26</v>
      </c>
      <c r="G4358" s="53">
        <f t="shared" si="68"/>
        <v>1.1340743412959351</v>
      </c>
      <c r="H4358" s="35"/>
      <c r="P4358" s="6"/>
    </row>
    <row r="4359" spans="1:16" ht="14.4" x14ac:dyDescent="0.25">
      <c r="A4359" s="6">
        <v>3405</v>
      </c>
      <c r="B4359" s="6">
        <v>24263</v>
      </c>
      <c r="C4359" s="19">
        <v>41167</v>
      </c>
      <c r="D4359" s="6" t="s">
        <v>25</v>
      </c>
      <c r="E4359" s="6">
        <f>IF((ISBLANK($B$1)),"",Sheet1!Q4369)</f>
        <v>4200</v>
      </c>
      <c r="F4359" s="20" t="s">
        <v>29</v>
      </c>
      <c r="G4359" s="53">
        <f t="shared" si="68"/>
        <v>-0.6611662132264714</v>
      </c>
      <c r="H4359" s="35"/>
      <c r="P4359" s="6"/>
    </row>
    <row r="4360" spans="1:16" ht="14.4" x14ac:dyDescent="0.25">
      <c r="A4360" s="6">
        <v>3430</v>
      </c>
      <c r="B4360" s="6">
        <v>24455</v>
      </c>
      <c r="C4360" s="19">
        <v>40153</v>
      </c>
      <c r="D4360" s="6" t="s">
        <v>28</v>
      </c>
      <c r="E4360" s="6">
        <f>IF((ISBLANK($B$1)),"",Sheet1!Q4370)</f>
        <v>3800</v>
      </c>
      <c r="F4360" s="20" t="s">
        <v>27</v>
      </c>
      <c r="G4360" s="53">
        <f t="shared" ref="G4360:G4423" si="69">STANDARDIZE(E4360,$L$26,$L$35)</f>
        <v>-1.2135479223102887</v>
      </c>
      <c r="H4360" s="35"/>
      <c r="P4360" s="6"/>
    </row>
    <row r="4361" spans="1:16" ht="14.4" x14ac:dyDescent="0.25">
      <c r="A4361" s="6">
        <v>3431</v>
      </c>
      <c r="B4361" s="6">
        <v>24455</v>
      </c>
      <c r="C4361" s="19">
        <v>40153</v>
      </c>
      <c r="D4361" s="6" t="s">
        <v>28</v>
      </c>
      <c r="E4361" s="6">
        <f>IF((ISBLANK($B$1)),"",Sheet1!Q4371)</f>
        <v>5450</v>
      </c>
      <c r="F4361" s="20" t="s">
        <v>26</v>
      </c>
      <c r="G4361" s="53">
        <f t="shared" si="69"/>
        <v>1.0650266276604579</v>
      </c>
      <c r="H4361" s="35"/>
      <c r="P4361" s="6"/>
    </row>
    <row r="4362" spans="1:16" ht="14.4" x14ac:dyDescent="0.25">
      <c r="A4362" s="6">
        <v>3471</v>
      </c>
      <c r="B4362" s="6">
        <v>24707</v>
      </c>
      <c r="C4362" s="19">
        <v>40978</v>
      </c>
      <c r="D4362" s="6" t="s">
        <v>16</v>
      </c>
      <c r="E4362" s="6">
        <f>IF((ISBLANK($B$1)),"",Sheet1!Q4372)</f>
        <v>4100</v>
      </c>
      <c r="F4362" s="20" t="s">
        <v>29</v>
      </c>
      <c r="G4362" s="53">
        <f t="shared" si="69"/>
        <v>-0.79926164049742576</v>
      </c>
      <c r="H4362" s="35"/>
      <c r="P4362" s="6"/>
    </row>
    <row r="4363" spans="1:16" ht="14.4" x14ac:dyDescent="0.25">
      <c r="A4363" s="6">
        <v>3472</v>
      </c>
      <c r="B4363" s="6">
        <v>24707</v>
      </c>
      <c r="C4363" s="19">
        <v>40978</v>
      </c>
      <c r="D4363" s="6" t="s">
        <v>16</v>
      </c>
      <c r="E4363" s="6">
        <f>IF((ISBLANK($B$1)),"",Sheet1!Q4373)</f>
        <v>3550</v>
      </c>
      <c r="F4363" s="20" t="s">
        <v>26</v>
      </c>
      <c r="G4363" s="53">
        <f t="shared" si="69"/>
        <v>-1.5587864904876745</v>
      </c>
      <c r="H4363" s="35"/>
      <c r="P4363" s="6"/>
    </row>
    <row r="4364" spans="1:16" ht="14.4" x14ac:dyDescent="0.25">
      <c r="A4364" s="6">
        <v>3523</v>
      </c>
      <c r="B4364" s="6">
        <v>25091</v>
      </c>
      <c r="C4364" s="19">
        <v>40228</v>
      </c>
      <c r="D4364" s="6" t="s">
        <v>16</v>
      </c>
      <c r="E4364" s="6">
        <f>IF((ISBLANK($B$1)),"",Sheet1!Q4374)</f>
        <v>3600</v>
      </c>
      <c r="F4364" s="20" t="s">
        <v>26</v>
      </c>
      <c r="G4364" s="53">
        <f t="shared" si="69"/>
        <v>-1.4897387768521975</v>
      </c>
      <c r="H4364" s="35"/>
      <c r="P4364" s="6"/>
    </row>
    <row r="4365" spans="1:16" ht="14.4" x14ac:dyDescent="0.25">
      <c r="A4365" s="6">
        <v>3673</v>
      </c>
      <c r="B4365" s="6">
        <v>26305</v>
      </c>
      <c r="C4365" s="19">
        <v>40514</v>
      </c>
      <c r="D4365" s="6" t="s">
        <v>16</v>
      </c>
      <c r="E4365" s="6">
        <f>IF((ISBLANK($B$1)),"",Sheet1!Q4375)</f>
        <v>5900</v>
      </c>
      <c r="F4365" s="20" t="s">
        <v>26</v>
      </c>
      <c r="G4365" s="53">
        <f t="shared" si="69"/>
        <v>1.6864560503797523</v>
      </c>
      <c r="H4365" s="35"/>
      <c r="P4365" s="6"/>
    </row>
    <row r="4366" spans="1:16" ht="14.4" x14ac:dyDescent="0.25">
      <c r="A4366" s="6">
        <v>3674</v>
      </c>
      <c r="B4366" s="6">
        <v>26305</v>
      </c>
      <c r="C4366" s="19">
        <v>40514</v>
      </c>
      <c r="D4366" s="6" t="s">
        <v>16</v>
      </c>
      <c r="E4366" s="6">
        <f>IF((ISBLANK($B$1)),"",Sheet1!Q4376)</f>
        <v>4050</v>
      </c>
      <c r="F4366" s="20" t="s">
        <v>29</v>
      </c>
      <c r="G4366" s="53">
        <f t="shared" si="69"/>
        <v>-0.86830935413290289</v>
      </c>
      <c r="H4366" s="35"/>
      <c r="P4366" s="6"/>
    </row>
    <row r="4367" spans="1:16" ht="14.4" x14ac:dyDescent="0.25">
      <c r="A4367" s="6">
        <v>3789</v>
      </c>
      <c r="B4367" s="6">
        <v>26982</v>
      </c>
      <c r="C4367" s="19">
        <v>41027</v>
      </c>
      <c r="D4367" s="6" t="s">
        <v>28</v>
      </c>
      <c r="E4367" s="6">
        <f>IF((ISBLANK($B$1)),"",Sheet1!Q4377)</f>
        <v>5250</v>
      </c>
      <c r="F4367" s="20" t="s">
        <v>26</v>
      </c>
      <c r="G4367" s="53">
        <f t="shared" si="69"/>
        <v>0.78883577311854924</v>
      </c>
      <c r="H4367" s="35"/>
      <c r="P4367" s="6"/>
    </row>
    <row r="4368" spans="1:16" ht="14.4" x14ac:dyDescent="0.25">
      <c r="A4368" s="6">
        <v>3800</v>
      </c>
      <c r="B4368" s="6">
        <v>27106</v>
      </c>
      <c r="C4368" s="19">
        <v>40878</v>
      </c>
      <c r="D4368" s="6" t="s">
        <v>17</v>
      </c>
      <c r="E4368" s="6">
        <f>IF((ISBLANK($B$1)),"",Sheet1!Q4378)</f>
        <v>3450</v>
      </c>
      <c r="F4368" s="20" t="s">
        <v>26</v>
      </c>
      <c r="G4368" s="53">
        <f t="shared" si="69"/>
        <v>-1.696881917758629</v>
      </c>
      <c r="H4368" s="35"/>
      <c r="P4368" s="6"/>
    </row>
    <row r="4369" spans="1:16" ht="14.4" x14ac:dyDescent="0.25">
      <c r="A4369" s="6">
        <v>3801</v>
      </c>
      <c r="B4369" s="6">
        <v>27106</v>
      </c>
      <c r="C4369" s="19">
        <v>40878</v>
      </c>
      <c r="D4369" s="6" t="s">
        <v>17</v>
      </c>
      <c r="E4369" s="6">
        <f>IF((ISBLANK($B$1)),"",Sheet1!Q4379)</f>
        <v>5900</v>
      </c>
      <c r="F4369" s="20" t="s">
        <v>26</v>
      </c>
      <c r="G4369" s="53">
        <f t="shared" si="69"/>
        <v>1.6864560503797523</v>
      </c>
      <c r="H4369" s="35"/>
      <c r="P4369" s="6"/>
    </row>
    <row r="4370" spans="1:16" ht="14.4" x14ac:dyDescent="0.25">
      <c r="A4370" s="6">
        <v>3802</v>
      </c>
      <c r="B4370" s="6">
        <v>27106</v>
      </c>
      <c r="C4370" s="19">
        <v>40878</v>
      </c>
      <c r="D4370" s="6" t="s">
        <v>17</v>
      </c>
      <c r="E4370" s="6">
        <f>IF((ISBLANK($B$1)),"",Sheet1!Q4380)</f>
        <v>4850</v>
      </c>
      <c r="F4370" s="20" t="s">
        <v>29</v>
      </c>
      <c r="G4370" s="53">
        <f t="shared" si="69"/>
        <v>0.23645406403473185</v>
      </c>
      <c r="H4370" s="35"/>
      <c r="P4370" s="6"/>
    </row>
    <row r="4371" spans="1:16" ht="14.4" x14ac:dyDescent="0.25">
      <c r="A4371" s="6">
        <v>3803</v>
      </c>
      <c r="B4371" s="6">
        <v>27106</v>
      </c>
      <c r="C4371" s="19">
        <v>40878</v>
      </c>
      <c r="D4371" s="6" t="s">
        <v>17</v>
      </c>
      <c r="E4371" s="6">
        <f>IF((ISBLANK($B$1)),"",Sheet1!Q4381)</f>
        <v>5500</v>
      </c>
      <c r="F4371" s="20" t="s">
        <v>29</v>
      </c>
      <c r="G4371" s="53">
        <f t="shared" si="69"/>
        <v>1.1340743412959351</v>
      </c>
      <c r="H4371" s="35"/>
      <c r="P4371" s="6"/>
    </row>
    <row r="4372" spans="1:16" ht="14.4" x14ac:dyDescent="0.25">
      <c r="A4372" s="6">
        <v>3804</v>
      </c>
      <c r="B4372" s="6">
        <v>27106</v>
      </c>
      <c r="C4372" s="19">
        <v>40878</v>
      </c>
      <c r="D4372" s="6" t="s">
        <v>17</v>
      </c>
      <c r="E4372" s="6">
        <f>IF((ISBLANK($B$1)),"",Sheet1!Q4382)</f>
        <v>3900</v>
      </c>
      <c r="F4372" s="20" t="s">
        <v>26</v>
      </c>
      <c r="G4372" s="53">
        <f t="shared" si="69"/>
        <v>-1.0754524950393345</v>
      </c>
      <c r="H4372" s="35"/>
      <c r="P4372" s="6"/>
    </row>
    <row r="4373" spans="1:16" ht="14.4" x14ac:dyDescent="0.25">
      <c r="A4373" s="6">
        <v>3859</v>
      </c>
      <c r="B4373" s="6">
        <v>27527</v>
      </c>
      <c r="C4373" s="19">
        <v>40512</v>
      </c>
      <c r="D4373" s="6" t="s">
        <v>16</v>
      </c>
      <c r="E4373" s="6">
        <f>IF((ISBLANK($B$1)),"",Sheet1!Q4383)</f>
        <v>5250</v>
      </c>
      <c r="F4373" s="20" t="s">
        <v>29</v>
      </c>
      <c r="G4373" s="53">
        <f t="shared" si="69"/>
        <v>0.78883577311854924</v>
      </c>
      <c r="H4373" s="35"/>
      <c r="P4373" s="6"/>
    </row>
    <row r="4374" spans="1:16" ht="14.4" x14ac:dyDescent="0.25">
      <c r="A4374" s="6">
        <v>3886</v>
      </c>
      <c r="B4374" s="6">
        <v>27746</v>
      </c>
      <c r="C4374" s="19">
        <v>40516</v>
      </c>
      <c r="D4374" s="6" t="s">
        <v>30</v>
      </c>
      <c r="E4374" s="6">
        <f>IF((ISBLANK($B$1)),"",Sheet1!Q4384)</f>
        <v>3550</v>
      </c>
      <c r="F4374" s="20" t="s">
        <v>27</v>
      </c>
      <c r="G4374" s="53">
        <f t="shared" si="69"/>
        <v>-1.5587864904876745</v>
      </c>
      <c r="H4374" s="35"/>
      <c r="P4374" s="6"/>
    </row>
    <row r="4375" spans="1:16" ht="14.4" x14ac:dyDescent="0.25">
      <c r="A4375" s="6">
        <v>3900</v>
      </c>
      <c r="B4375" s="6">
        <v>27811</v>
      </c>
      <c r="C4375" s="19">
        <v>40606</v>
      </c>
      <c r="D4375" s="6" t="s">
        <v>28</v>
      </c>
      <c r="E4375" s="6">
        <f>IF((ISBLANK($B$1)),"",Sheet1!Q4385)</f>
        <v>3600</v>
      </c>
      <c r="F4375" s="20" t="s">
        <v>26</v>
      </c>
      <c r="G4375" s="53">
        <f t="shared" si="69"/>
        <v>-1.4897387768521975</v>
      </c>
      <c r="H4375" s="35"/>
      <c r="P4375" s="6"/>
    </row>
    <row r="4376" spans="1:16" ht="14.4" x14ac:dyDescent="0.25">
      <c r="A4376" s="6">
        <v>3923</v>
      </c>
      <c r="B4376" s="6">
        <v>27974</v>
      </c>
      <c r="C4376" s="19">
        <v>40458</v>
      </c>
      <c r="D4376" s="6" t="s">
        <v>17</v>
      </c>
      <c r="E4376" s="6">
        <f>IF((ISBLANK($B$1)),"",Sheet1!Q4386)</f>
        <v>5150</v>
      </c>
      <c r="F4376" s="20" t="s">
        <v>29</v>
      </c>
      <c r="G4376" s="53">
        <f t="shared" si="69"/>
        <v>0.65074034584759488</v>
      </c>
      <c r="H4376" s="35"/>
      <c r="P4376" s="6"/>
    </row>
    <row r="4377" spans="1:16" ht="14.4" x14ac:dyDescent="0.25">
      <c r="A4377" s="6">
        <v>3924</v>
      </c>
      <c r="B4377" s="6">
        <v>27974</v>
      </c>
      <c r="C4377" s="19">
        <v>40458</v>
      </c>
      <c r="D4377" s="6" t="s">
        <v>17</v>
      </c>
      <c r="E4377" s="6">
        <f>IF((ISBLANK($B$1)),"",Sheet1!Q4387)</f>
        <v>4750</v>
      </c>
      <c r="F4377" s="20" t="s">
        <v>29</v>
      </c>
      <c r="G4377" s="53">
        <f t="shared" si="69"/>
        <v>9.8358636763777513E-2</v>
      </c>
      <c r="H4377" s="35"/>
      <c r="P4377" s="6"/>
    </row>
    <row r="4378" spans="1:16" ht="14.4" x14ac:dyDescent="0.25">
      <c r="A4378" s="6">
        <v>4031</v>
      </c>
      <c r="B4378" s="6">
        <v>28774</v>
      </c>
      <c r="C4378" s="19">
        <v>39814</v>
      </c>
      <c r="D4378" s="6" t="s">
        <v>17</v>
      </c>
      <c r="E4378" s="6">
        <f>IF((ISBLANK($B$1)),"",Sheet1!Q4388)</f>
        <v>5000</v>
      </c>
      <c r="F4378" s="20" t="s">
        <v>26</v>
      </c>
      <c r="G4378" s="53">
        <f t="shared" si="69"/>
        <v>0.44359720494116334</v>
      </c>
      <c r="H4378" s="35"/>
      <c r="P4378" s="6"/>
    </row>
    <row r="4379" spans="1:16" ht="14.4" x14ac:dyDescent="0.25">
      <c r="A4379" s="6">
        <v>4174</v>
      </c>
      <c r="B4379" s="6">
        <v>29607</v>
      </c>
      <c r="C4379" s="19">
        <v>40981</v>
      </c>
      <c r="D4379" s="6" t="s">
        <v>16</v>
      </c>
      <c r="E4379" s="6">
        <f>IF((ISBLANK($B$1)),"",Sheet1!Q4389)</f>
        <v>4400</v>
      </c>
      <c r="F4379" s="20" t="s">
        <v>26</v>
      </c>
      <c r="G4379" s="53">
        <f t="shared" si="69"/>
        <v>-0.38497535868456267</v>
      </c>
      <c r="H4379" s="35"/>
      <c r="P4379" s="6"/>
    </row>
    <row r="4380" spans="1:16" ht="14.4" x14ac:dyDescent="0.25">
      <c r="A4380" s="6">
        <v>4183</v>
      </c>
      <c r="B4380" s="6">
        <v>29730</v>
      </c>
      <c r="C4380" s="19">
        <v>40345</v>
      </c>
      <c r="D4380" s="6" t="s">
        <v>30</v>
      </c>
      <c r="E4380" s="6">
        <f>IF((ISBLANK($B$1)),"",Sheet1!Q4390)</f>
        <v>4450</v>
      </c>
      <c r="F4380" s="20" t="s">
        <v>29</v>
      </c>
      <c r="G4380" s="53">
        <f t="shared" si="69"/>
        <v>-0.31592764504908549</v>
      </c>
      <c r="H4380" s="35"/>
      <c r="P4380" s="6"/>
    </row>
    <row r="4381" spans="1:16" ht="14.4" x14ac:dyDescent="0.25">
      <c r="A4381" s="6">
        <v>4236</v>
      </c>
      <c r="B4381" s="6">
        <v>30144</v>
      </c>
      <c r="C4381" s="19">
        <v>40761</v>
      </c>
      <c r="D4381" s="6" t="s">
        <v>25</v>
      </c>
      <c r="E4381" s="6">
        <f>IF((ISBLANK($B$1)),"",Sheet1!Q4391)</f>
        <v>4650</v>
      </c>
      <c r="F4381" s="20" t="s">
        <v>29</v>
      </c>
      <c r="G4381" s="53">
        <f t="shared" si="69"/>
        <v>-3.9736790507176829E-2</v>
      </c>
      <c r="H4381" s="35"/>
      <c r="P4381" s="6"/>
    </row>
    <row r="4382" spans="1:16" ht="14.4" x14ac:dyDescent="0.25">
      <c r="A4382" s="6">
        <v>4389</v>
      </c>
      <c r="B4382" s="6">
        <v>31266</v>
      </c>
      <c r="C4382" s="19">
        <v>41185</v>
      </c>
      <c r="D4382" s="6" t="s">
        <v>17</v>
      </c>
      <c r="E4382" s="6">
        <f>IF((ISBLANK($B$1)),"",Sheet1!Q4392)</f>
        <v>4200</v>
      </c>
      <c r="F4382" s="20" t="s">
        <v>27</v>
      </c>
      <c r="G4382" s="53">
        <f t="shared" si="69"/>
        <v>-0.6611662132264714</v>
      </c>
      <c r="H4382" s="35"/>
      <c r="P4382" s="6"/>
    </row>
    <row r="4383" spans="1:16" ht="14.4" x14ac:dyDescent="0.25">
      <c r="A4383" s="6">
        <v>4408</v>
      </c>
      <c r="B4383" s="6">
        <v>31456</v>
      </c>
      <c r="C4383" s="19">
        <v>41228</v>
      </c>
      <c r="D4383" s="6" t="s">
        <v>17</v>
      </c>
      <c r="E4383" s="6">
        <f>IF((ISBLANK($B$1)),"",Sheet1!Q4393)</f>
        <v>3900</v>
      </c>
      <c r="F4383" s="20" t="s">
        <v>26</v>
      </c>
      <c r="G4383" s="53">
        <f t="shared" si="69"/>
        <v>-1.0754524950393345</v>
      </c>
      <c r="H4383" s="35"/>
      <c r="P4383" s="6"/>
    </row>
    <row r="4384" spans="1:16" ht="14.4" x14ac:dyDescent="0.25">
      <c r="A4384" s="6">
        <v>4418</v>
      </c>
      <c r="B4384" s="6">
        <v>31522</v>
      </c>
      <c r="C4384" s="19">
        <v>40323</v>
      </c>
      <c r="D4384" s="6" t="s">
        <v>16</v>
      </c>
      <c r="E4384" s="6">
        <f>IF((ISBLANK($B$1)),"",Sheet1!Q4394)</f>
        <v>4100</v>
      </c>
      <c r="F4384" s="20" t="s">
        <v>29</v>
      </c>
      <c r="G4384" s="53">
        <f t="shared" si="69"/>
        <v>-0.79926164049742576</v>
      </c>
      <c r="H4384" s="35"/>
      <c r="P4384" s="6"/>
    </row>
    <row r="4385" spans="1:16" ht="14.4" x14ac:dyDescent="0.25">
      <c r="A4385" s="6">
        <v>4419</v>
      </c>
      <c r="B4385" s="6">
        <v>31522</v>
      </c>
      <c r="C4385" s="19">
        <v>40323</v>
      </c>
      <c r="D4385" s="6" t="s">
        <v>16</v>
      </c>
      <c r="E4385" s="6">
        <f>IF((ISBLANK($B$1)),"",Sheet1!Q4395)</f>
        <v>5500</v>
      </c>
      <c r="F4385" s="20" t="s">
        <v>29</v>
      </c>
      <c r="G4385" s="53">
        <f t="shared" si="69"/>
        <v>1.1340743412959351</v>
      </c>
      <c r="H4385" s="35"/>
      <c r="P4385" s="6"/>
    </row>
    <row r="4386" spans="1:16" ht="14.4" x14ac:dyDescent="0.25">
      <c r="A4386" s="6">
        <v>4685</v>
      </c>
      <c r="B4386" s="6">
        <v>33319</v>
      </c>
      <c r="C4386" s="19">
        <v>39899</v>
      </c>
      <c r="D4386" s="6" t="s">
        <v>28</v>
      </c>
      <c r="E4386" s="6">
        <f>IF((ISBLANK($B$1)),"",Sheet1!Q4396)</f>
        <v>3950</v>
      </c>
      <c r="F4386" s="20" t="s">
        <v>29</v>
      </c>
      <c r="G4386" s="53">
        <f t="shared" si="69"/>
        <v>-1.0064047814038573</v>
      </c>
      <c r="H4386" s="35"/>
      <c r="P4386" s="6"/>
    </row>
    <row r="4387" spans="1:16" ht="14.4" x14ac:dyDescent="0.25">
      <c r="A4387" s="6">
        <v>4724</v>
      </c>
      <c r="B4387" s="6">
        <v>33635</v>
      </c>
      <c r="C4387" s="19">
        <v>40006</v>
      </c>
      <c r="D4387" s="6" t="s">
        <v>17</v>
      </c>
      <c r="E4387" s="6">
        <f>IF((ISBLANK($B$1)),"",Sheet1!Q4397)</f>
        <v>3650</v>
      </c>
      <c r="F4387" s="20" t="s">
        <v>27</v>
      </c>
      <c r="G4387" s="53">
        <f t="shared" si="69"/>
        <v>-1.4206910632167202</v>
      </c>
      <c r="H4387" s="35"/>
      <c r="P4387" s="6"/>
    </row>
    <row r="4388" spans="1:16" ht="14.4" x14ac:dyDescent="0.25">
      <c r="A4388" s="6">
        <v>4725</v>
      </c>
      <c r="B4388" s="6">
        <v>33635</v>
      </c>
      <c r="C4388" s="19">
        <v>40006</v>
      </c>
      <c r="D4388" s="6" t="s">
        <v>17</v>
      </c>
      <c r="E4388" s="6">
        <f>IF((ISBLANK($B$1)),"",Sheet1!Q4398)</f>
        <v>3600</v>
      </c>
      <c r="F4388" s="20" t="s">
        <v>26</v>
      </c>
      <c r="G4388" s="53">
        <f t="shared" si="69"/>
        <v>-1.4897387768521975</v>
      </c>
      <c r="H4388" s="35"/>
      <c r="P4388" s="6"/>
    </row>
    <row r="4389" spans="1:16" ht="14.4" x14ac:dyDescent="0.25">
      <c r="A4389" s="6">
        <v>4787</v>
      </c>
      <c r="B4389" s="6">
        <v>33988</v>
      </c>
      <c r="C4389" s="19">
        <v>39823</v>
      </c>
      <c r="D4389" s="6" t="s">
        <v>16</v>
      </c>
      <c r="E4389" s="6">
        <f>IF((ISBLANK($B$1)),"",Sheet1!Q4399)</f>
        <v>4900</v>
      </c>
      <c r="F4389" s="20" t="s">
        <v>27</v>
      </c>
      <c r="G4389" s="53">
        <f t="shared" si="69"/>
        <v>0.30550177767020903</v>
      </c>
      <c r="H4389" s="35"/>
      <c r="P4389" s="6"/>
    </row>
    <row r="4390" spans="1:16" ht="14.4" x14ac:dyDescent="0.25">
      <c r="A4390" s="6">
        <v>4798</v>
      </c>
      <c r="B4390" s="6">
        <v>34087</v>
      </c>
      <c r="C4390" s="19">
        <v>40018</v>
      </c>
      <c r="D4390" s="6" t="s">
        <v>25</v>
      </c>
      <c r="E4390" s="6">
        <f>IF((ISBLANK($B$1)),"",Sheet1!Q4400)</f>
        <v>4950</v>
      </c>
      <c r="F4390" s="20" t="s">
        <v>27</v>
      </c>
      <c r="G4390" s="53">
        <f t="shared" si="69"/>
        <v>0.37454949130568621</v>
      </c>
      <c r="H4390" s="35"/>
      <c r="P4390" s="6"/>
    </row>
    <row r="4391" spans="1:16" ht="14.4" x14ac:dyDescent="0.25">
      <c r="A4391" s="6">
        <v>4875</v>
      </c>
      <c r="B4391" s="6">
        <v>34691</v>
      </c>
      <c r="C4391" s="19">
        <v>39827</v>
      </c>
      <c r="D4391" s="6" t="s">
        <v>30</v>
      </c>
      <c r="E4391" s="6">
        <f>IF((ISBLANK($B$1)),"",Sheet1!Q4401)</f>
        <v>4750</v>
      </c>
      <c r="F4391" s="20" t="s">
        <v>26</v>
      </c>
      <c r="G4391" s="53">
        <f t="shared" si="69"/>
        <v>9.8358636763777513E-2</v>
      </c>
      <c r="H4391" s="35"/>
      <c r="P4391" s="6"/>
    </row>
    <row r="4392" spans="1:16" ht="14.4" x14ac:dyDescent="0.25">
      <c r="A4392" s="6">
        <v>4876</v>
      </c>
      <c r="B4392" s="6">
        <v>34691</v>
      </c>
      <c r="C4392" s="19">
        <v>39827</v>
      </c>
      <c r="D4392" s="6" t="s">
        <v>30</v>
      </c>
      <c r="E4392" s="6">
        <f>IF((ISBLANK($B$1)),"",Sheet1!Q4402)</f>
        <v>4550</v>
      </c>
      <c r="F4392" s="20" t="s">
        <v>27</v>
      </c>
      <c r="G4392" s="53">
        <f t="shared" si="69"/>
        <v>-0.17783221777813119</v>
      </c>
      <c r="H4392" s="35"/>
      <c r="P4392" s="6"/>
    </row>
    <row r="4393" spans="1:16" ht="14.4" x14ac:dyDescent="0.25">
      <c r="A4393" s="6">
        <v>4877</v>
      </c>
      <c r="B4393" s="6">
        <v>34691</v>
      </c>
      <c r="C4393" s="19">
        <v>39827</v>
      </c>
      <c r="D4393" s="6" t="s">
        <v>30</v>
      </c>
      <c r="E4393" s="6">
        <f>IF((ISBLANK($B$1)),"",Sheet1!Q4403)</f>
        <v>4050</v>
      </c>
      <c r="F4393" s="20" t="s">
        <v>26</v>
      </c>
      <c r="G4393" s="53">
        <f t="shared" si="69"/>
        <v>-0.86830935413290289</v>
      </c>
      <c r="H4393" s="35"/>
      <c r="P4393" s="6"/>
    </row>
    <row r="4394" spans="1:16" ht="14.4" x14ac:dyDescent="0.25">
      <c r="A4394" s="6">
        <v>4888</v>
      </c>
      <c r="B4394" s="6">
        <v>34785</v>
      </c>
      <c r="C4394" s="19">
        <v>40203</v>
      </c>
      <c r="D4394" s="6" t="s">
        <v>30</v>
      </c>
      <c r="E4394" s="6">
        <f>IF((ISBLANK($B$1)),"",Sheet1!Q4404)</f>
        <v>5650</v>
      </c>
      <c r="F4394" s="20" t="s">
        <v>29</v>
      </c>
      <c r="G4394" s="53">
        <f t="shared" si="69"/>
        <v>1.3412174822023666</v>
      </c>
      <c r="H4394" s="35"/>
      <c r="P4394" s="6"/>
    </row>
    <row r="4395" spans="1:16" ht="14.4" x14ac:dyDescent="0.25">
      <c r="A4395" s="6">
        <v>4904</v>
      </c>
      <c r="B4395" s="6">
        <v>34883</v>
      </c>
      <c r="C4395" s="19">
        <v>40121</v>
      </c>
      <c r="D4395" s="6" t="s">
        <v>30</v>
      </c>
      <c r="E4395" s="6">
        <f>IF((ISBLANK($B$1)),"",Sheet1!Q4405)</f>
        <v>4950</v>
      </c>
      <c r="F4395" s="20" t="s">
        <v>27</v>
      </c>
      <c r="G4395" s="53">
        <f t="shared" si="69"/>
        <v>0.37454949130568621</v>
      </c>
      <c r="H4395" s="35"/>
      <c r="P4395" s="6"/>
    </row>
    <row r="4396" spans="1:16" ht="14.4" x14ac:dyDescent="0.25">
      <c r="A4396" s="6">
        <v>4930</v>
      </c>
      <c r="B4396" s="6">
        <v>35077</v>
      </c>
      <c r="C4396" s="19">
        <v>40823</v>
      </c>
      <c r="D4396" s="6" t="s">
        <v>17</v>
      </c>
      <c r="E4396" s="6">
        <f>IF((ISBLANK($B$1)),"",Sheet1!Q4406)</f>
        <v>4850</v>
      </c>
      <c r="F4396" s="20" t="s">
        <v>26</v>
      </c>
      <c r="G4396" s="53">
        <f t="shared" si="69"/>
        <v>0.23645406403473185</v>
      </c>
      <c r="H4396" s="35"/>
      <c r="P4396" s="6"/>
    </row>
    <row r="4397" spans="1:16" ht="14.4" x14ac:dyDescent="0.25">
      <c r="A4397" s="6">
        <v>5072</v>
      </c>
      <c r="B4397" s="6">
        <v>36132</v>
      </c>
      <c r="C4397" s="19">
        <v>41008</v>
      </c>
      <c r="D4397" s="6" t="s">
        <v>25</v>
      </c>
      <c r="E4397" s="6">
        <f>IF((ISBLANK($B$1)),"",Sheet1!Q4407)</f>
        <v>3550</v>
      </c>
      <c r="F4397" s="20" t="s">
        <v>29</v>
      </c>
      <c r="G4397" s="53">
        <f t="shared" si="69"/>
        <v>-1.5587864904876745</v>
      </c>
      <c r="H4397" s="35"/>
      <c r="P4397" s="6"/>
    </row>
    <row r="4398" spans="1:16" ht="14.4" x14ac:dyDescent="0.25">
      <c r="A4398" s="6">
        <v>5073</v>
      </c>
      <c r="B4398" s="6">
        <v>36133</v>
      </c>
      <c r="C4398" s="19">
        <v>40775</v>
      </c>
      <c r="D4398" s="6" t="s">
        <v>16</v>
      </c>
      <c r="E4398" s="6">
        <f>IF((ISBLANK($B$1)),"",Sheet1!Q4408)</f>
        <v>3700</v>
      </c>
      <c r="F4398" s="20" t="s">
        <v>26</v>
      </c>
      <c r="G4398" s="53">
        <f t="shared" si="69"/>
        <v>-1.351643349581243</v>
      </c>
      <c r="H4398" s="35"/>
      <c r="P4398" s="6"/>
    </row>
    <row r="4399" spans="1:16" ht="14.4" x14ac:dyDescent="0.25">
      <c r="A4399" s="6">
        <v>5330</v>
      </c>
      <c r="B4399" s="6">
        <v>37891</v>
      </c>
      <c r="C4399" s="19">
        <v>40836</v>
      </c>
      <c r="D4399" s="6" t="s">
        <v>17</v>
      </c>
      <c r="E4399" s="6">
        <f>IF((ISBLANK($B$1)),"",Sheet1!Q4409)</f>
        <v>4600</v>
      </c>
      <c r="F4399" s="20" t="s">
        <v>26</v>
      </c>
      <c r="G4399" s="53">
        <f t="shared" si="69"/>
        <v>-0.108784504142654</v>
      </c>
      <c r="H4399" s="35"/>
      <c r="P4399" s="6"/>
    </row>
    <row r="4400" spans="1:16" ht="14.4" x14ac:dyDescent="0.25">
      <c r="A4400" s="6">
        <v>5331</v>
      </c>
      <c r="B4400" s="6">
        <v>37891</v>
      </c>
      <c r="C4400" s="19">
        <v>40836</v>
      </c>
      <c r="D4400" s="6" t="s">
        <v>17</v>
      </c>
      <c r="E4400" s="6">
        <f>IF((ISBLANK($B$1)),"",Sheet1!Q4410)</f>
        <v>4450</v>
      </c>
      <c r="F4400" s="20" t="s">
        <v>26</v>
      </c>
      <c r="G4400" s="53">
        <f t="shared" si="69"/>
        <v>-0.31592764504908549</v>
      </c>
      <c r="H4400" s="35"/>
      <c r="P4400" s="6"/>
    </row>
    <row r="4401" spans="1:16" ht="14.4" x14ac:dyDescent="0.25">
      <c r="A4401" s="6">
        <v>5332</v>
      </c>
      <c r="B4401" s="6">
        <v>37891</v>
      </c>
      <c r="C4401" s="19">
        <v>40836</v>
      </c>
      <c r="D4401" s="6" t="s">
        <v>17</v>
      </c>
      <c r="E4401" s="6">
        <f>IF((ISBLANK($B$1)),"",Sheet1!Q4411)</f>
        <v>3600</v>
      </c>
      <c r="F4401" s="20" t="s">
        <v>29</v>
      </c>
      <c r="G4401" s="53">
        <f t="shared" si="69"/>
        <v>-1.4897387768521975</v>
      </c>
      <c r="H4401" s="35"/>
      <c r="P4401" s="6"/>
    </row>
    <row r="4402" spans="1:16" ht="14.4" x14ac:dyDescent="0.25">
      <c r="A4402" s="6">
        <v>5333</v>
      </c>
      <c r="B4402" s="6">
        <v>37891</v>
      </c>
      <c r="C4402" s="19">
        <v>40836</v>
      </c>
      <c r="D4402" s="6" t="s">
        <v>17</v>
      </c>
      <c r="E4402" s="6">
        <f>IF((ISBLANK($B$1)),"",Sheet1!Q4412)</f>
        <v>5050</v>
      </c>
      <c r="F4402" s="20" t="s">
        <v>27</v>
      </c>
      <c r="G4402" s="53">
        <f t="shared" si="69"/>
        <v>0.51264491857664052</v>
      </c>
      <c r="H4402" s="35"/>
      <c r="P4402" s="6"/>
    </row>
    <row r="4403" spans="1:16" ht="14.4" x14ac:dyDescent="0.25">
      <c r="A4403" s="6">
        <v>5349</v>
      </c>
      <c r="B4403" s="6">
        <v>38021</v>
      </c>
      <c r="C4403" s="19">
        <v>39834</v>
      </c>
      <c r="D4403" s="6" t="s">
        <v>16</v>
      </c>
      <c r="E4403" s="6">
        <f>IF((ISBLANK($B$1)),"",Sheet1!Q4413)</f>
        <v>4200</v>
      </c>
      <c r="F4403" s="20" t="s">
        <v>26</v>
      </c>
      <c r="G4403" s="53">
        <f t="shared" si="69"/>
        <v>-0.6611662132264714</v>
      </c>
      <c r="H4403" s="35"/>
      <c r="P4403" s="6"/>
    </row>
    <row r="4404" spans="1:16" ht="14.4" x14ac:dyDescent="0.25">
      <c r="A4404" s="6">
        <v>5350</v>
      </c>
      <c r="B4404" s="6">
        <v>38021</v>
      </c>
      <c r="C4404" s="19">
        <v>39834</v>
      </c>
      <c r="D4404" s="6" t="s">
        <v>16</v>
      </c>
      <c r="E4404" s="6">
        <f>IF((ISBLANK($B$1)),"",Sheet1!Q4414)</f>
        <v>5200</v>
      </c>
      <c r="F4404" s="20" t="s">
        <v>26</v>
      </c>
      <c r="G4404" s="53">
        <f t="shared" si="69"/>
        <v>0.71978805948307201</v>
      </c>
      <c r="H4404" s="35"/>
      <c r="P4404" s="6"/>
    </row>
    <row r="4405" spans="1:16" ht="14.4" x14ac:dyDescent="0.25">
      <c r="A4405" s="6">
        <v>5366</v>
      </c>
      <c r="B4405" s="6">
        <v>38146</v>
      </c>
      <c r="C4405" s="19">
        <v>40884</v>
      </c>
      <c r="D4405" s="6" t="s">
        <v>25</v>
      </c>
      <c r="E4405" s="6">
        <f>IF((ISBLANK($B$1)),"",Sheet1!Q4415)</f>
        <v>5450</v>
      </c>
      <c r="F4405" s="20" t="s">
        <v>29</v>
      </c>
      <c r="G4405" s="53">
        <f t="shared" si="69"/>
        <v>1.0650266276604579</v>
      </c>
      <c r="H4405" s="35"/>
      <c r="P4405" s="6"/>
    </row>
    <row r="4406" spans="1:16" ht="14.4" x14ac:dyDescent="0.25">
      <c r="A4406" s="6">
        <v>5441</v>
      </c>
      <c r="B4406" s="6">
        <v>38656</v>
      </c>
      <c r="C4406" s="19">
        <v>41131</v>
      </c>
      <c r="D4406" s="6" t="s">
        <v>25</v>
      </c>
      <c r="E4406" s="6">
        <f>IF((ISBLANK($B$1)),"",Sheet1!Q4416)</f>
        <v>5450</v>
      </c>
      <c r="F4406" s="20" t="s">
        <v>26</v>
      </c>
      <c r="G4406" s="53">
        <f t="shared" si="69"/>
        <v>1.0650266276604579</v>
      </c>
      <c r="H4406" s="35"/>
      <c r="P4406" s="6"/>
    </row>
    <row r="4407" spans="1:16" ht="14.4" x14ac:dyDescent="0.25">
      <c r="A4407" s="6">
        <v>5442</v>
      </c>
      <c r="B4407" s="6">
        <v>38656</v>
      </c>
      <c r="C4407" s="19">
        <v>41131</v>
      </c>
      <c r="D4407" s="6" t="s">
        <v>25</v>
      </c>
      <c r="E4407" s="6">
        <f>IF((ISBLANK($B$1)),"",Sheet1!Q4417)</f>
        <v>3550</v>
      </c>
      <c r="F4407" s="20" t="s">
        <v>29</v>
      </c>
      <c r="G4407" s="53">
        <f t="shared" si="69"/>
        <v>-1.5587864904876745</v>
      </c>
      <c r="H4407" s="35"/>
      <c r="P4407" s="6"/>
    </row>
    <row r="4408" spans="1:16" ht="14.4" x14ac:dyDescent="0.25">
      <c r="A4408" s="6">
        <v>5456</v>
      </c>
      <c r="B4408" s="6">
        <v>38756</v>
      </c>
      <c r="C4408" s="19">
        <v>39940</v>
      </c>
      <c r="D4408" s="6" t="s">
        <v>30</v>
      </c>
      <c r="E4408" s="6">
        <f>IF((ISBLANK($B$1)),"",Sheet1!Q4418)</f>
        <v>5550</v>
      </c>
      <c r="F4408" s="20" t="s">
        <v>27</v>
      </c>
      <c r="G4408" s="53">
        <f t="shared" si="69"/>
        <v>1.2031220549314123</v>
      </c>
      <c r="H4408" s="35"/>
      <c r="P4408" s="6"/>
    </row>
    <row r="4409" spans="1:16" ht="14.4" x14ac:dyDescent="0.25">
      <c r="A4409" s="6">
        <v>5545</v>
      </c>
      <c r="B4409" s="6">
        <v>39268</v>
      </c>
      <c r="C4409" s="19">
        <v>40655</v>
      </c>
      <c r="D4409" s="6" t="s">
        <v>28</v>
      </c>
      <c r="E4409" s="6">
        <f>IF((ISBLANK($B$1)),"",Sheet1!Q4419)</f>
        <v>5600</v>
      </c>
      <c r="F4409" s="20" t="s">
        <v>26</v>
      </c>
      <c r="G4409" s="53">
        <f t="shared" si="69"/>
        <v>1.2721697685668893</v>
      </c>
      <c r="H4409" s="35"/>
      <c r="P4409" s="6"/>
    </row>
    <row r="4410" spans="1:16" ht="14.4" x14ac:dyDescent="0.25">
      <c r="A4410" s="6">
        <v>5546</v>
      </c>
      <c r="B4410" s="6">
        <v>39268</v>
      </c>
      <c r="C4410" s="19">
        <v>40655</v>
      </c>
      <c r="D4410" s="6" t="s">
        <v>28</v>
      </c>
      <c r="E4410" s="6">
        <f>IF((ISBLANK($B$1)),"",Sheet1!Q4420)</f>
        <v>5650</v>
      </c>
      <c r="F4410" s="20" t="s">
        <v>26</v>
      </c>
      <c r="G4410" s="53">
        <f t="shared" si="69"/>
        <v>1.3412174822023666</v>
      </c>
      <c r="H4410" s="35"/>
      <c r="P4410" s="6"/>
    </row>
    <row r="4411" spans="1:16" ht="14.4" x14ac:dyDescent="0.25">
      <c r="A4411" s="6">
        <v>5572</v>
      </c>
      <c r="B4411" s="6">
        <v>39488</v>
      </c>
      <c r="C4411" s="19">
        <v>39986</v>
      </c>
      <c r="D4411" s="6" t="s">
        <v>25</v>
      </c>
      <c r="E4411" s="6">
        <f>IF((ISBLANK($B$1)),"",Sheet1!Q4421)</f>
        <v>4300</v>
      </c>
      <c r="F4411" s="20" t="s">
        <v>26</v>
      </c>
      <c r="G4411" s="53">
        <f t="shared" si="69"/>
        <v>-0.52307078595551704</v>
      </c>
      <c r="H4411" s="35"/>
      <c r="P4411" s="6"/>
    </row>
    <row r="4412" spans="1:16" ht="14.4" x14ac:dyDescent="0.25">
      <c r="A4412" s="6">
        <v>5591</v>
      </c>
      <c r="B4412" s="6">
        <v>39650</v>
      </c>
      <c r="C4412" s="19">
        <v>40389</v>
      </c>
      <c r="D4412" s="6" t="s">
        <v>28</v>
      </c>
      <c r="E4412" s="6">
        <f>IF((ISBLANK($B$1)),"",Sheet1!Q4422)</f>
        <v>3900</v>
      </c>
      <c r="F4412" s="20" t="s">
        <v>29</v>
      </c>
      <c r="G4412" s="53">
        <f t="shared" si="69"/>
        <v>-1.0754524950393345</v>
      </c>
      <c r="H4412" s="35"/>
      <c r="P4412" s="6"/>
    </row>
    <row r="4413" spans="1:16" ht="14.4" x14ac:dyDescent="0.25">
      <c r="A4413" s="6">
        <v>5592</v>
      </c>
      <c r="B4413" s="6">
        <v>39650</v>
      </c>
      <c r="C4413" s="19">
        <v>40389</v>
      </c>
      <c r="D4413" s="6" t="s">
        <v>28</v>
      </c>
      <c r="E4413" s="6">
        <f>IF((ISBLANK($B$1)),"",Sheet1!Q4423)</f>
        <v>5750</v>
      </c>
      <c r="F4413" s="20" t="s">
        <v>29</v>
      </c>
      <c r="G4413" s="53">
        <f t="shared" si="69"/>
        <v>1.4793129094733208</v>
      </c>
      <c r="H4413" s="35"/>
      <c r="P4413" s="6"/>
    </row>
    <row r="4414" spans="1:16" ht="14.4" x14ac:dyDescent="0.25">
      <c r="A4414" s="6">
        <v>5626</v>
      </c>
      <c r="B4414" s="6">
        <v>39844</v>
      </c>
      <c r="C4414" s="19">
        <v>40148</v>
      </c>
      <c r="D4414" s="6" t="s">
        <v>28</v>
      </c>
      <c r="E4414" s="6">
        <f>IF((ISBLANK($B$1)),"",Sheet1!Q4424)</f>
        <v>5750</v>
      </c>
      <c r="F4414" s="20" t="s">
        <v>26</v>
      </c>
      <c r="G4414" s="53">
        <f t="shared" si="69"/>
        <v>1.4793129094733208</v>
      </c>
      <c r="H4414" s="35"/>
      <c r="P4414" s="6"/>
    </row>
    <row r="4415" spans="1:16" ht="14.4" x14ac:dyDescent="0.25">
      <c r="A4415" s="6">
        <v>5740</v>
      </c>
      <c r="B4415" s="6">
        <v>40800</v>
      </c>
      <c r="C4415" s="19">
        <v>40516</v>
      </c>
      <c r="D4415" s="6" t="s">
        <v>28</v>
      </c>
      <c r="E4415" s="6">
        <f>IF((ISBLANK($B$1)),"",Sheet1!Q4425)</f>
        <v>5450</v>
      </c>
      <c r="F4415" s="20" t="s">
        <v>26</v>
      </c>
      <c r="G4415" s="53">
        <f t="shared" si="69"/>
        <v>1.0650266276604579</v>
      </c>
      <c r="H4415" s="35"/>
      <c r="P4415" s="6"/>
    </row>
    <row r="4416" spans="1:16" ht="14.4" x14ac:dyDescent="0.25">
      <c r="A4416" s="6">
        <v>5773</v>
      </c>
      <c r="B4416" s="6">
        <v>40965</v>
      </c>
      <c r="C4416" s="19">
        <v>40137</v>
      </c>
      <c r="D4416" s="6" t="s">
        <v>16</v>
      </c>
      <c r="E4416" s="6">
        <f>IF((ISBLANK($B$1)),"",Sheet1!Q4426)</f>
        <v>5800</v>
      </c>
      <c r="F4416" s="20" t="s">
        <v>29</v>
      </c>
      <c r="G4416" s="53">
        <f t="shared" si="69"/>
        <v>1.5483606231087981</v>
      </c>
      <c r="H4416" s="35"/>
      <c r="P4416" s="6"/>
    </row>
    <row r="4417" spans="1:16" ht="14.4" x14ac:dyDescent="0.25">
      <c r="A4417" s="6">
        <v>5774</v>
      </c>
      <c r="B4417" s="6">
        <v>40965</v>
      </c>
      <c r="C4417" s="19">
        <v>40137</v>
      </c>
      <c r="D4417" s="6" t="s">
        <v>16</v>
      </c>
      <c r="E4417" s="6">
        <f>IF((ISBLANK($B$1)),"",Sheet1!Q4427)</f>
        <v>5350</v>
      </c>
      <c r="F4417" s="20" t="s">
        <v>27</v>
      </c>
      <c r="G4417" s="53">
        <f t="shared" si="69"/>
        <v>0.92693120038950361</v>
      </c>
      <c r="H4417" s="35"/>
      <c r="P4417" s="6"/>
    </row>
    <row r="4418" spans="1:16" ht="14.4" x14ac:dyDescent="0.25">
      <c r="A4418" s="6">
        <v>5822</v>
      </c>
      <c r="B4418" s="6">
        <v>41316</v>
      </c>
      <c r="C4418" s="19">
        <v>40015</v>
      </c>
      <c r="D4418" s="6" t="s">
        <v>28</v>
      </c>
      <c r="E4418" s="6">
        <f>IF((ISBLANK($B$1)),"",Sheet1!Q4428)</f>
        <v>3800</v>
      </c>
      <c r="F4418" s="20" t="s">
        <v>26</v>
      </c>
      <c r="G4418" s="53">
        <f t="shared" si="69"/>
        <v>-1.2135479223102887</v>
      </c>
      <c r="H4418" s="35"/>
      <c r="P4418" s="6"/>
    </row>
    <row r="4419" spans="1:16" ht="14.4" x14ac:dyDescent="0.25">
      <c r="A4419" s="6">
        <v>5823</v>
      </c>
      <c r="B4419" s="6">
        <v>41316</v>
      </c>
      <c r="C4419" s="19">
        <v>40015</v>
      </c>
      <c r="D4419" s="6" t="s">
        <v>28</v>
      </c>
      <c r="E4419" s="6">
        <f>IF((ISBLANK($B$1)),"",Sheet1!Q4429)</f>
        <v>3600</v>
      </c>
      <c r="F4419" s="20" t="s">
        <v>27</v>
      </c>
      <c r="G4419" s="53">
        <f t="shared" si="69"/>
        <v>-1.4897387768521975</v>
      </c>
      <c r="H4419" s="35"/>
      <c r="P4419" s="6"/>
    </row>
    <row r="4420" spans="1:16" ht="14.4" x14ac:dyDescent="0.25">
      <c r="A4420" s="6">
        <v>5847</v>
      </c>
      <c r="B4420" s="6">
        <v>41476</v>
      </c>
      <c r="C4420" s="19">
        <v>40329</v>
      </c>
      <c r="D4420" s="6" t="s">
        <v>17</v>
      </c>
      <c r="E4420" s="6">
        <f>IF((ISBLANK($B$1)),"",Sheet1!Q4430)</f>
        <v>5800</v>
      </c>
      <c r="F4420" s="20" t="s">
        <v>26</v>
      </c>
      <c r="G4420" s="53">
        <f t="shared" si="69"/>
        <v>1.5483606231087981</v>
      </c>
      <c r="H4420" s="35"/>
      <c r="P4420" s="6"/>
    </row>
    <row r="4421" spans="1:16" ht="14.4" x14ac:dyDescent="0.25">
      <c r="A4421" s="6">
        <v>5905</v>
      </c>
      <c r="B4421" s="6">
        <v>41861</v>
      </c>
      <c r="C4421" s="19">
        <v>40508</v>
      </c>
      <c r="D4421" s="6" t="s">
        <v>25</v>
      </c>
      <c r="E4421" s="6">
        <f>IF((ISBLANK($B$1)),"",Sheet1!Q4431)</f>
        <v>4600</v>
      </c>
      <c r="F4421" s="20" t="s">
        <v>26</v>
      </c>
      <c r="G4421" s="53">
        <f t="shared" si="69"/>
        <v>-0.108784504142654</v>
      </c>
      <c r="H4421" s="35"/>
      <c r="P4421" s="6"/>
    </row>
    <row r="4422" spans="1:16" ht="14.4" x14ac:dyDescent="0.25">
      <c r="A4422" s="6">
        <v>5956</v>
      </c>
      <c r="B4422" s="6">
        <v>42274</v>
      </c>
      <c r="C4422" s="19">
        <v>40789</v>
      </c>
      <c r="D4422" s="6" t="s">
        <v>17</v>
      </c>
      <c r="E4422" s="6">
        <f>IF((ISBLANK($B$1)),"",Sheet1!Q4432)</f>
        <v>4550</v>
      </c>
      <c r="F4422" s="20" t="s">
        <v>27</v>
      </c>
      <c r="G4422" s="53">
        <f t="shared" si="69"/>
        <v>-0.17783221777813119</v>
      </c>
      <c r="H4422" s="35"/>
      <c r="P4422" s="6"/>
    </row>
    <row r="4423" spans="1:16" ht="14.4" x14ac:dyDescent="0.25">
      <c r="A4423" s="6">
        <v>5957</v>
      </c>
      <c r="B4423" s="6">
        <v>42274</v>
      </c>
      <c r="C4423" s="19">
        <v>40789</v>
      </c>
      <c r="D4423" s="6" t="s">
        <v>17</v>
      </c>
      <c r="E4423" s="6">
        <f>IF((ISBLANK($B$1)),"",Sheet1!Q4433)</f>
        <v>5650</v>
      </c>
      <c r="F4423" s="20" t="s">
        <v>29</v>
      </c>
      <c r="G4423" s="53">
        <f t="shared" si="69"/>
        <v>1.3412174822023666</v>
      </c>
      <c r="H4423" s="35"/>
      <c r="P4423" s="6"/>
    </row>
    <row r="4424" spans="1:16" ht="14.4" x14ac:dyDescent="0.25">
      <c r="A4424" s="6">
        <v>6048</v>
      </c>
      <c r="B4424" s="6">
        <v>42882</v>
      </c>
      <c r="C4424" s="19">
        <v>40478</v>
      </c>
      <c r="D4424" s="6" t="s">
        <v>25</v>
      </c>
      <c r="E4424" s="6">
        <f>IF((ISBLANK($B$1)),"",Sheet1!Q4434)</f>
        <v>4250</v>
      </c>
      <c r="F4424" s="20" t="s">
        <v>26</v>
      </c>
      <c r="G4424" s="53">
        <f t="shared" ref="G4424:G4487" si="70">STANDARDIZE(E4424,$L$26,$L$35)</f>
        <v>-0.59211849959099416</v>
      </c>
      <c r="H4424" s="35"/>
      <c r="P4424" s="6"/>
    </row>
    <row r="4425" spans="1:16" ht="14.4" x14ac:dyDescent="0.25">
      <c r="A4425" s="6">
        <v>6121</v>
      </c>
      <c r="B4425" s="6">
        <v>43360</v>
      </c>
      <c r="C4425" s="19">
        <v>40099</v>
      </c>
      <c r="D4425" s="6" t="s">
        <v>25</v>
      </c>
      <c r="E4425" s="6">
        <f>IF((ISBLANK($B$1)),"",Sheet1!Q4435)</f>
        <v>5800</v>
      </c>
      <c r="F4425" s="20" t="s">
        <v>29</v>
      </c>
      <c r="G4425" s="53">
        <f t="shared" si="70"/>
        <v>1.5483606231087981</v>
      </c>
      <c r="H4425" s="35"/>
      <c r="P4425" s="6"/>
    </row>
    <row r="4426" spans="1:16" ht="14.4" x14ac:dyDescent="0.25">
      <c r="A4426" s="6">
        <v>6167</v>
      </c>
      <c r="B4426" s="6">
        <v>43713</v>
      </c>
      <c r="C4426" s="19">
        <v>41159</v>
      </c>
      <c r="D4426" s="6" t="s">
        <v>16</v>
      </c>
      <c r="E4426" s="6">
        <f>IF((ISBLANK($B$1)),"",Sheet1!Q4436)</f>
        <v>4000</v>
      </c>
      <c r="F4426" s="20" t="s">
        <v>26</v>
      </c>
      <c r="G4426" s="53">
        <f t="shared" si="70"/>
        <v>-0.93735706776838001</v>
      </c>
      <c r="H4426" s="35"/>
      <c r="P4426" s="6"/>
    </row>
    <row r="4427" spans="1:16" ht="14.4" x14ac:dyDescent="0.25">
      <c r="A4427" s="6">
        <v>6262</v>
      </c>
      <c r="B4427" s="6">
        <v>44322</v>
      </c>
      <c r="C4427" s="19">
        <v>40828</v>
      </c>
      <c r="D4427" s="6" t="s">
        <v>28</v>
      </c>
      <c r="E4427" s="6">
        <f>IF((ISBLANK($B$1)),"",Sheet1!Q4437)</f>
        <v>4150</v>
      </c>
      <c r="F4427" s="20" t="s">
        <v>26</v>
      </c>
      <c r="G4427" s="53">
        <f t="shared" si="70"/>
        <v>-0.73021392686194853</v>
      </c>
      <c r="H4427" s="35"/>
      <c r="P4427" s="6"/>
    </row>
    <row r="4428" spans="1:16" ht="14.4" x14ac:dyDescent="0.25">
      <c r="A4428" s="6">
        <v>6297</v>
      </c>
      <c r="B4428" s="6">
        <v>44579</v>
      </c>
      <c r="C4428" s="19">
        <v>40697</v>
      </c>
      <c r="D4428" s="6" t="s">
        <v>28</v>
      </c>
      <c r="E4428" s="6">
        <f>IF((ISBLANK($B$1)),"",Sheet1!Q4438)</f>
        <v>4350</v>
      </c>
      <c r="F4428" s="20" t="s">
        <v>29</v>
      </c>
      <c r="G4428" s="53">
        <f t="shared" si="70"/>
        <v>-0.45402307232003986</v>
      </c>
      <c r="H4428" s="35"/>
      <c r="P4428" s="6"/>
    </row>
    <row r="4429" spans="1:16" ht="14.4" x14ac:dyDescent="0.25">
      <c r="A4429" s="6">
        <v>6320</v>
      </c>
      <c r="B4429" s="6">
        <v>44737</v>
      </c>
      <c r="C4429" s="19">
        <v>41232</v>
      </c>
      <c r="D4429" s="6" t="s">
        <v>16</v>
      </c>
      <c r="E4429" s="6">
        <f>IF((ISBLANK($B$1)),"",Sheet1!Q4439)</f>
        <v>3950</v>
      </c>
      <c r="F4429" s="20" t="s">
        <v>26</v>
      </c>
      <c r="G4429" s="53">
        <f t="shared" si="70"/>
        <v>-1.0064047814038573</v>
      </c>
      <c r="H4429" s="35"/>
      <c r="P4429" s="6"/>
    </row>
    <row r="4430" spans="1:16" ht="14.4" x14ac:dyDescent="0.25">
      <c r="A4430" s="6">
        <v>6321</v>
      </c>
      <c r="B4430" s="6">
        <v>44737</v>
      </c>
      <c r="C4430" s="19">
        <v>41232</v>
      </c>
      <c r="D4430" s="6" t="s">
        <v>16</v>
      </c>
      <c r="E4430" s="6">
        <f>IF((ISBLANK($B$1)),"",Sheet1!Q4440)</f>
        <v>4200</v>
      </c>
      <c r="F4430" s="20" t="s">
        <v>27</v>
      </c>
      <c r="G4430" s="53">
        <f t="shared" si="70"/>
        <v>-0.6611662132264714</v>
      </c>
      <c r="H4430" s="35"/>
      <c r="P4430" s="6"/>
    </row>
    <row r="4431" spans="1:16" ht="14.4" x14ac:dyDescent="0.25">
      <c r="A4431" s="6">
        <v>6322</v>
      </c>
      <c r="B4431" s="6">
        <v>44738</v>
      </c>
      <c r="C4431" s="19">
        <v>40517</v>
      </c>
      <c r="D4431" s="6" t="s">
        <v>28</v>
      </c>
      <c r="E4431" s="6">
        <f>IF((ISBLANK($B$1)),"",Sheet1!Q4441)</f>
        <v>5100</v>
      </c>
      <c r="F4431" s="20" t="s">
        <v>26</v>
      </c>
      <c r="G4431" s="53">
        <f t="shared" si="70"/>
        <v>0.58169263221211776</v>
      </c>
      <c r="H4431" s="35"/>
      <c r="P4431" s="6"/>
    </row>
    <row r="4432" spans="1:16" ht="14.4" x14ac:dyDescent="0.25">
      <c r="A4432" s="6">
        <v>6323</v>
      </c>
      <c r="B4432" s="6">
        <v>44768</v>
      </c>
      <c r="C4432" s="19">
        <v>41055</v>
      </c>
      <c r="D4432" s="6" t="s">
        <v>28</v>
      </c>
      <c r="E4432" s="6">
        <f>IF((ISBLANK($B$1)),"",Sheet1!Q4442)</f>
        <v>5650</v>
      </c>
      <c r="F4432" s="20" t="s">
        <v>29</v>
      </c>
      <c r="G4432" s="53">
        <f t="shared" si="70"/>
        <v>1.3412174822023666</v>
      </c>
      <c r="H4432" s="35"/>
      <c r="P4432" s="6"/>
    </row>
    <row r="4433" spans="1:16" ht="14.4" x14ac:dyDescent="0.25">
      <c r="A4433" s="6">
        <v>6332</v>
      </c>
      <c r="B4433" s="6">
        <v>44867</v>
      </c>
      <c r="C4433" s="19">
        <v>40020</v>
      </c>
      <c r="D4433" s="6" t="s">
        <v>17</v>
      </c>
      <c r="E4433" s="6">
        <f>IF((ISBLANK($B$1)),"",Sheet1!Q4443)</f>
        <v>5400</v>
      </c>
      <c r="F4433" s="20" t="s">
        <v>29</v>
      </c>
      <c r="G4433" s="53">
        <f t="shared" si="70"/>
        <v>0.99597891402498073</v>
      </c>
      <c r="H4433" s="35"/>
      <c r="P4433" s="6"/>
    </row>
    <row r="4434" spans="1:16" ht="14.4" x14ac:dyDescent="0.25">
      <c r="A4434" s="6">
        <v>6352</v>
      </c>
      <c r="B4434" s="6">
        <v>45029</v>
      </c>
      <c r="C4434" s="19">
        <v>40362</v>
      </c>
      <c r="D4434" s="6" t="s">
        <v>17</v>
      </c>
      <c r="E4434" s="6">
        <f>IF((ISBLANK($B$1)),"",Sheet1!Q4444)</f>
        <v>4400</v>
      </c>
      <c r="F4434" s="20" t="s">
        <v>29</v>
      </c>
      <c r="G4434" s="53">
        <f t="shared" si="70"/>
        <v>-0.38497535868456267</v>
      </c>
      <c r="H4434" s="35"/>
      <c r="P4434" s="6"/>
    </row>
    <row r="4435" spans="1:16" ht="14.4" x14ac:dyDescent="0.25">
      <c r="A4435" s="6">
        <v>6410</v>
      </c>
      <c r="B4435" s="6">
        <v>45543</v>
      </c>
      <c r="C4435" s="19">
        <v>40576</v>
      </c>
      <c r="D4435" s="6" t="s">
        <v>25</v>
      </c>
      <c r="E4435" s="6">
        <f>IF((ISBLANK($B$1)),"",Sheet1!Q4445)</f>
        <v>4200</v>
      </c>
      <c r="F4435" s="20" t="s">
        <v>29</v>
      </c>
      <c r="G4435" s="53">
        <f t="shared" si="70"/>
        <v>-0.6611662132264714</v>
      </c>
      <c r="H4435" s="35"/>
      <c r="P4435" s="6"/>
    </row>
    <row r="4436" spans="1:16" ht="14.4" x14ac:dyDescent="0.25">
      <c r="A4436" s="6">
        <v>6422</v>
      </c>
      <c r="B4436" s="6">
        <v>45635</v>
      </c>
      <c r="C4436" s="19">
        <v>41006</v>
      </c>
      <c r="D4436" s="6" t="s">
        <v>25</v>
      </c>
      <c r="E4436" s="6">
        <f>IF((ISBLANK($B$1)),"",Sheet1!Q4446)</f>
        <v>5900</v>
      </c>
      <c r="F4436" s="20" t="s">
        <v>27</v>
      </c>
      <c r="G4436" s="53">
        <f t="shared" si="70"/>
        <v>1.6864560503797523</v>
      </c>
      <c r="H4436" s="35"/>
      <c r="P4436" s="6"/>
    </row>
    <row r="4437" spans="1:16" ht="14.4" x14ac:dyDescent="0.25">
      <c r="A4437" s="6">
        <v>6525</v>
      </c>
      <c r="B4437" s="6">
        <v>46436</v>
      </c>
      <c r="C4437" s="19">
        <v>39907</v>
      </c>
      <c r="D4437" s="6" t="s">
        <v>25</v>
      </c>
      <c r="E4437" s="6">
        <f>IF((ISBLANK($B$1)),"",Sheet1!Q4447)</f>
        <v>5700</v>
      </c>
      <c r="F4437" s="20" t="s">
        <v>27</v>
      </c>
      <c r="G4437" s="53">
        <f t="shared" si="70"/>
        <v>1.4102651958378438</v>
      </c>
      <c r="H4437" s="35"/>
      <c r="P4437" s="6"/>
    </row>
    <row r="4438" spans="1:16" ht="14.4" x14ac:dyDescent="0.25">
      <c r="A4438" s="6">
        <v>6577</v>
      </c>
      <c r="B4438" s="6">
        <v>46848</v>
      </c>
      <c r="C4438" s="19">
        <v>40127</v>
      </c>
      <c r="D4438" s="6" t="s">
        <v>16</v>
      </c>
      <c r="E4438" s="6">
        <f>IF((ISBLANK($B$1)),"",Sheet1!Q4448)</f>
        <v>5350</v>
      </c>
      <c r="F4438" s="20" t="s">
        <v>26</v>
      </c>
      <c r="G4438" s="53">
        <f t="shared" si="70"/>
        <v>0.92693120038950361</v>
      </c>
      <c r="H4438" s="35"/>
      <c r="P4438" s="6"/>
    </row>
    <row r="4439" spans="1:16" ht="14.4" x14ac:dyDescent="0.25">
      <c r="A4439" s="6">
        <v>6605</v>
      </c>
      <c r="B4439" s="6">
        <v>47009</v>
      </c>
      <c r="C4439" s="19">
        <v>39968</v>
      </c>
      <c r="D4439" s="6" t="s">
        <v>30</v>
      </c>
      <c r="E4439" s="6">
        <f>IF((ISBLANK($B$1)),"",Sheet1!Q4449)</f>
        <v>5000</v>
      </c>
      <c r="F4439" s="20" t="s">
        <v>27</v>
      </c>
      <c r="G4439" s="53">
        <f t="shared" si="70"/>
        <v>0.44359720494116334</v>
      </c>
      <c r="H4439" s="35"/>
      <c r="P4439" s="6"/>
    </row>
    <row r="4440" spans="1:16" ht="14.4" x14ac:dyDescent="0.25">
      <c r="A4440" s="6">
        <v>6627</v>
      </c>
      <c r="B4440" s="6">
        <v>47138</v>
      </c>
      <c r="C4440" s="19">
        <v>39822</v>
      </c>
      <c r="D4440" s="6" t="s">
        <v>25</v>
      </c>
      <c r="E4440" s="6">
        <f>IF((ISBLANK($B$1)),"",Sheet1!Q4450)</f>
        <v>3450</v>
      </c>
      <c r="F4440" s="20" t="s">
        <v>27</v>
      </c>
      <c r="G4440" s="53">
        <f t="shared" si="70"/>
        <v>-1.696881917758629</v>
      </c>
      <c r="H4440" s="35"/>
      <c r="P4440" s="6"/>
    </row>
    <row r="4441" spans="1:16" ht="14.4" x14ac:dyDescent="0.25">
      <c r="A4441" s="6">
        <v>6642</v>
      </c>
      <c r="B4441" s="6">
        <v>47236</v>
      </c>
      <c r="C4441" s="19">
        <v>40818</v>
      </c>
      <c r="D4441" s="6" t="s">
        <v>17</v>
      </c>
      <c r="E4441" s="6">
        <f>IF((ISBLANK($B$1)),"",Sheet1!Q4451)</f>
        <v>3450</v>
      </c>
      <c r="F4441" s="20" t="s">
        <v>26</v>
      </c>
      <c r="G4441" s="53">
        <f t="shared" si="70"/>
        <v>-1.696881917758629</v>
      </c>
      <c r="H4441" s="35"/>
      <c r="P4441" s="6"/>
    </row>
    <row r="4442" spans="1:16" ht="14.4" x14ac:dyDescent="0.25">
      <c r="A4442" s="6">
        <v>6697</v>
      </c>
      <c r="B4442" s="6">
        <v>47686</v>
      </c>
      <c r="C4442" s="19">
        <v>41193</v>
      </c>
      <c r="D4442" s="6" t="s">
        <v>28</v>
      </c>
      <c r="E4442" s="6">
        <f>IF((ISBLANK($B$1)),"",Sheet1!Q4452)</f>
        <v>5800</v>
      </c>
      <c r="F4442" s="20" t="s">
        <v>26</v>
      </c>
      <c r="G4442" s="53">
        <f t="shared" si="70"/>
        <v>1.5483606231087981</v>
      </c>
      <c r="H4442" s="35"/>
      <c r="P4442" s="6"/>
    </row>
    <row r="4443" spans="1:16" ht="14.4" x14ac:dyDescent="0.25">
      <c r="A4443" s="6">
        <v>6738</v>
      </c>
      <c r="B4443" s="6">
        <v>47971</v>
      </c>
      <c r="C4443" s="19">
        <v>41211</v>
      </c>
      <c r="D4443" s="6" t="s">
        <v>17</v>
      </c>
      <c r="E4443" s="6">
        <f>IF((ISBLANK($B$1)),"",Sheet1!Q4453)</f>
        <v>4600</v>
      </c>
      <c r="F4443" s="20" t="s">
        <v>29</v>
      </c>
      <c r="G4443" s="53">
        <f t="shared" si="70"/>
        <v>-0.108784504142654</v>
      </c>
      <c r="H4443" s="35"/>
      <c r="P4443" s="6"/>
    </row>
    <row r="4444" spans="1:16" ht="14.4" x14ac:dyDescent="0.25">
      <c r="A4444" s="6">
        <v>6777</v>
      </c>
      <c r="B4444" s="6">
        <v>48261</v>
      </c>
      <c r="C4444" s="19">
        <v>40620</v>
      </c>
      <c r="D4444" s="6" t="s">
        <v>16</v>
      </c>
      <c r="E4444" s="6">
        <f>IF((ISBLANK($B$1)),"",Sheet1!Q4454)</f>
        <v>4150</v>
      </c>
      <c r="F4444" s="20" t="s">
        <v>29</v>
      </c>
      <c r="G4444" s="53">
        <f t="shared" si="70"/>
        <v>-0.73021392686194853</v>
      </c>
      <c r="H4444" s="35"/>
      <c r="P4444" s="6"/>
    </row>
    <row r="4445" spans="1:16" ht="14.4" x14ac:dyDescent="0.25">
      <c r="A4445" s="6">
        <v>6849</v>
      </c>
      <c r="B4445" s="6">
        <v>48773</v>
      </c>
      <c r="C4445" s="19">
        <v>39828</v>
      </c>
      <c r="D4445" s="6" t="s">
        <v>16</v>
      </c>
      <c r="E4445" s="6">
        <f>IF((ISBLANK($B$1)),"",Sheet1!Q4455)</f>
        <v>3750</v>
      </c>
      <c r="F4445" s="20" t="s">
        <v>26</v>
      </c>
      <c r="G4445" s="53">
        <f t="shared" si="70"/>
        <v>-1.282595635945766</v>
      </c>
      <c r="H4445" s="35"/>
      <c r="P4445" s="6"/>
    </row>
    <row r="4446" spans="1:16" ht="14.4" x14ac:dyDescent="0.25">
      <c r="A4446" s="6">
        <v>6864</v>
      </c>
      <c r="B4446" s="6">
        <v>48902</v>
      </c>
      <c r="C4446" s="19">
        <v>41205</v>
      </c>
      <c r="D4446" s="6" t="s">
        <v>16</v>
      </c>
      <c r="E4446" s="6">
        <f>IF((ISBLANK($B$1)),"",Sheet1!Q4456)</f>
        <v>3750</v>
      </c>
      <c r="F4446" s="20" t="s">
        <v>26</v>
      </c>
      <c r="G4446" s="53">
        <f t="shared" si="70"/>
        <v>-1.282595635945766</v>
      </c>
      <c r="H4446" s="35"/>
      <c r="P4446" s="6"/>
    </row>
    <row r="4447" spans="1:16" ht="14.4" x14ac:dyDescent="0.25">
      <c r="A4447" s="6">
        <v>6904</v>
      </c>
      <c r="B4447" s="6">
        <v>49221</v>
      </c>
      <c r="C4447" s="19">
        <v>40362</v>
      </c>
      <c r="D4447" s="6" t="s">
        <v>28</v>
      </c>
      <c r="E4447" s="6">
        <f>IF((ISBLANK($B$1)),"",Sheet1!Q4457)</f>
        <v>4500</v>
      </c>
      <c r="F4447" s="20" t="s">
        <v>27</v>
      </c>
      <c r="G4447" s="53">
        <f t="shared" si="70"/>
        <v>-0.24687993141360834</v>
      </c>
      <c r="H4447" s="35"/>
      <c r="P4447" s="6"/>
    </row>
    <row r="4448" spans="1:16" ht="14.4" x14ac:dyDescent="0.25">
      <c r="A4448" s="6">
        <v>6905</v>
      </c>
      <c r="B4448" s="6">
        <v>49221</v>
      </c>
      <c r="C4448" s="19">
        <v>40362</v>
      </c>
      <c r="D4448" s="6" t="s">
        <v>28</v>
      </c>
      <c r="E4448" s="6">
        <f>IF((ISBLANK($B$1)),"",Sheet1!Q4458)</f>
        <v>5450</v>
      </c>
      <c r="F4448" s="20" t="s">
        <v>26</v>
      </c>
      <c r="G4448" s="53">
        <f t="shared" si="70"/>
        <v>1.0650266276604579</v>
      </c>
      <c r="H4448" s="35"/>
      <c r="P4448" s="6"/>
    </row>
    <row r="4449" spans="1:16" ht="14.4" x14ac:dyDescent="0.25">
      <c r="A4449" s="6">
        <v>6907</v>
      </c>
      <c r="B4449" s="6">
        <v>49255</v>
      </c>
      <c r="C4449" s="19">
        <v>41082</v>
      </c>
      <c r="D4449" s="6" t="s">
        <v>17</v>
      </c>
      <c r="E4449" s="6">
        <f>IF((ISBLANK($B$1)),"",Sheet1!Q4459)</f>
        <v>4400</v>
      </c>
      <c r="F4449" s="20" t="s">
        <v>29</v>
      </c>
      <c r="G4449" s="53">
        <f t="shared" si="70"/>
        <v>-0.38497535868456267</v>
      </c>
      <c r="H4449" s="35"/>
      <c r="P4449" s="6"/>
    </row>
    <row r="4450" spans="1:16" ht="14.4" x14ac:dyDescent="0.25">
      <c r="A4450" s="6">
        <v>6942</v>
      </c>
      <c r="B4450" s="6">
        <v>49575</v>
      </c>
      <c r="C4450" s="19">
        <v>40528</v>
      </c>
      <c r="D4450" s="6" t="s">
        <v>17</v>
      </c>
      <c r="E4450" s="6">
        <f>IF((ISBLANK($B$1)),"",Sheet1!Q4460)</f>
        <v>4000</v>
      </c>
      <c r="F4450" s="20" t="s">
        <v>26</v>
      </c>
      <c r="G4450" s="53">
        <f t="shared" si="70"/>
        <v>-0.93735706776838001</v>
      </c>
      <c r="H4450" s="35"/>
      <c r="P4450" s="6"/>
    </row>
    <row r="4451" spans="1:16" ht="14.4" x14ac:dyDescent="0.25">
      <c r="A4451" s="6">
        <v>7023</v>
      </c>
      <c r="B4451" s="6">
        <v>50144</v>
      </c>
      <c r="C4451" s="19">
        <v>41067</v>
      </c>
      <c r="D4451" s="6" t="s">
        <v>30</v>
      </c>
      <c r="E4451" s="6">
        <f>IF((ISBLANK($B$1)),"",Sheet1!Q4461)</f>
        <v>5200</v>
      </c>
      <c r="F4451" s="20" t="s">
        <v>26</v>
      </c>
      <c r="G4451" s="53">
        <f t="shared" si="70"/>
        <v>0.71978805948307201</v>
      </c>
      <c r="H4451" s="35"/>
      <c r="P4451" s="6"/>
    </row>
    <row r="4452" spans="1:16" ht="14.4" x14ac:dyDescent="0.25">
      <c r="A4452" s="6">
        <v>7030</v>
      </c>
      <c r="B4452" s="6">
        <v>50181</v>
      </c>
      <c r="C4452" s="19">
        <v>41059</v>
      </c>
      <c r="D4452" s="6" t="s">
        <v>17</v>
      </c>
      <c r="E4452" s="6">
        <f>IF((ISBLANK($B$1)),"",Sheet1!Q4462)</f>
        <v>3500</v>
      </c>
      <c r="F4452" s="20" t="s">
        <v>29</v>
      </c>
      <c r="G4452" s="53">
        <f t="shared" si="70"/>
        <v>-1.6278342041231517</v>
      </c>
      <c r="H4452" s="35"/>
      <c r="P4452" s="6"/>
    </row>
    <row r="4453" spans="1:16" ht="14.4" x14ac:dyDescent="0.25">
      <c r="A4453" s="6">
        <v>7346</v>
      </c>
      <c r="B4453" s="6">
        <v>52324</v>
      </c>
      <c r="C4453" s="19">
        <v>41089</v>
      </c>
      <c r="D4453" s="6" t="s">
        <v>28</v>
      </c>
      <c r="E4453" s="6">
        <f>IF((ISBLANK($B$1)),"",Sheet1!Q4463)</f>
        <v>3600</v>
      </c>
      <c r="F4453" s="20" t="s">
        <v>29</v>
      </c>
      <c r="G4453" s="53">
        <f t="shared" si="70"/>
        <v>-1.4897387768521975</v>
      </c>
      <c r="H4453" s="35"/>
      <c r="P4453" s="6"/>
    </row>
    <row r="4454" spans="1:16" ht="14.4" x14ac:dyDescent="0.25">
      <c r="A4454" s="6">
        <v>7414</v>
      </c>
      <c r="B4454" s="6">
        <v>52896</v>
      </c>
      <c r="C4454" s="19">
        <v>40473</v>
      </c>
      <c r="D4454" s="6" t="s">
        <v>17</v>
      </c>
      <c r="E4454" s="6">
        <f>IF((ISBLANK($B$1)),"",Sheet1!Q4464)</f>
        <v>4600</v>
      </c>
      <c r="F4454" s="20" t="s">
        <v>26</v>
      </c>
      <c r="G4454" s="53">
        <f t="shared" si="70"/>
        <v>-0.108784504142654</v>
      </c>
      <c r="H4454" s="35"/>
      <c r="P4454" s="6"/>
    </row>
    <row r="4455" spans="1:16" ht="14.4" x14ac:dyDescent="0.25">
      <c r="A4455" s="6">
        <v>7415</v>
      </c>
      <c r="B4455" s="6">
        <v>52896</v>
      </c>
      <c r="C4455" s="19">
        <v>40473</v>
      </c>
      <c r="D4455" s="6" t="s">
        <v>17</v>
      </c>
      <c r="E4455" s="6">
        <f>IF((ISBLANK($B$1)),"",Sheet1!Q4465)</f>
        <v>5850</v>
      </c>
      <c r="F4455" s="20" t="s">
        <v>26</v>
      </c>
      <c r="G4455" s="53">
        <f t="shared" si="70"/>
        <v>1.6174083367442753</v>
      </c>
      <c r="H4455" s="35"/>
      <c r="P4455" s="6"/>
    </row>
    <row r="4456" spans="1:16" ht="14.4" x14ac:dyDescent="0.25">
      <c r="A4456" s="6">
        <v>7416</v>
      </c>
      <c r="B4456" s="6">
        <v>52896</v>
      </c>
      <c r="C4456" s="19">
        <v>40473</v>
      </c>
      <c r="D4456" s="6" t="s">
        <v>17</v>
      </c>
      <c r="E4456" s="6">
        <f>IF((ISBLANK($B$1)),"",Sheet1!Q4466)</f>
        <v>5200</v>
      </c>
      <c r="F4456" s="20" t="s">
        <v>29</v>
      </c>
      <c r="G4456" s="53">
        <f t="shared" si="70"/>
        <v>0.71978805948307201</v>
      </c>
      <c r="H4456" s="35"/>
      <c r="P4456" s="6"/>
    </row>
    <row r="4457" spans="1:16" ht="14.4" x14ac:dyDescent="0.25">
      <c r="A4457" s="6">
        <v>7483</v>
      </c>
      <c r="B4457" s="6">
        <v>53441</v>
      </c>
      <c r="C4457" s="19">
        <v>40049</v>
      </c>
      <c r="D4457" s="6" t="s">
        <v>16</v>
      </c>
      <c r="E4457" s="6">
        <f>IF((ISBLANK($B$1)),"",Sheet1!Q4467)</f>
        <v>3750</v>
      </c>
      <c r="F4457" s="20" t="s">
        <v>26</v>
      </c>
      <c r="G4457" s="53">
        <f t="shared" si="70"/>
        <v>-1.282595635945766</v>
      </c>
      <c r="H4457" s="35"/>
      <c r="P4457" s="6"/>
    </row>
    <row r="4458" spans="1:16" ht="14.4" x14ac:dyDescent="0.25">
      <c r="A4458" s="6">
        <v>7487</v>
      </c>
      <c r="B4458" s="6">
        <v>53445</v>
      </c>
      <c r="C4458" s="19">
        <v>41206</v>
      </c>
      <c r="D4458" s="6" t="s">
        <v>17</v>
      </c>
      <c r="E4458" s="6">
        <f>IF((ISBLANK($B$1)),"",Sheet1!Q4468)</f>
        <v>3800</v>
      </c>
      <c r="F4458" s="20" t="s">
        <v>26</v>
      </c>
      <c r="G4458" s="53">
        <f t="shared" si="70"/>
        <v>-1.2135479223102887</v>
      </c>
      <c r="H4458" s="35"/>
      <c r="P4458" s="6"/>
    </row>
    <row r="4459" spans="1:16" ht="14.4" x14ac:dyDescent="0.25">
      <c r="A4459" s="6">
        <v>7488</v>
      </c>
      <c r="B4459" s="6">
        <v>53445</v>
      </c>
      <c r="C4459" s="19">
        <v>41206</v>
      </c>
      <c r="D4459" s="6" t="s">
        <v>17</v>
      </c>
      <c r="E4459" s="6">
        <f>IF((ISBLANK($B$1)),"",Sheet1!Q4469)</f>
        <v>4450</v>
      </c>
      <c r="F4459" s="20" t="s">
        <v>26</v>
      </c>
      <c r="G4459" s="53">
        <f t="shared" si="70"/>
        <v>-0.31592764504908549</v>
      </c>
      <c r="H4459" s="35"/>
      <c r="P4459" s="6"/>
    </row>
    <row r="4460" spans="1:16" ht="14.4" x14ac:dyDescent="0.25">
      <c r="A4460" s="6">
        <v>7557</v>
      </c>
      <c r="B4460" s="6">
        <v>54055</v>
      </c>
      <c r="C4460" s="19">
        <v>39857</v>
      </c>
      <c r="D4460" s="6" t="s">
        <v>30</v>
      </c>
      <c r="E4460" s="6">
        <f>IF((ISBLANK($B$1)),"",Sheet1!Q4470)</f>
        <v>5600</v>
      </c>
      <c r="F4460" s="20" t="s">
        <v>29</v>
      </c>
      <c r="G4460" s="53">
        <f t="shared" si="70"/>
        <v>1.2721697685668893</v>
      </c>
      <c r="H4460" s="35"/>
      <c r="P4460" s="6"/>
    </row>
    <row r="4461" spans="1:16" ht="14.4" x14ac:dyDescent="0.25">
      <c r="A4461" s="6">
        <v>7570</v>
      </c>
      <c r="B4461" s="6">
        <v>54151</v>
      </c>
      <c r="C4461" s="19">
        <v>40058</v>
      </c>
      <c r="D4461" s="6" t="s">
        <v>30</v>
      </c>
      <c r="E4461" s="6">
        <f>IF((ISBLANK($B$1)),"",Sheet1!Q4471)</f>
        <v>5150</v>
      </c>
      <c r="F4461" s="20" t="s">
        <v>26</v>
      </c>
      <c r="G4461" s="53">
        <f t="shared" si="70"/>
        <v>0.65074034584759488</v>
      </c>
      <c r="H4461" s="35"/>
      <c r="P4461" s="6"/>
    </row>
    <row r="4462" spans="1:16" ht="14.4" x14ac:dyDescent="0.25">
      <c r="A4462" s="6">
        <v>7571</v>
      </c>
      <c r="B4462" s="6">
        <v>54151</v>
      </c>
      <c r="C4462" s="19">
        <v>40058</v>
      </c>
      <c r="D4462" s="6" t="s">
        <v>30</v>
      </c>
      <c r="E4462" s="6">
        <f>IF((ISBLANK($B$1)),"",Sheet1!Q4472)</f>
        <v>5300</v>
      </c>
      <c r="F4462" s="20" t="s">
        <v>26</v>
      </c>
      <c r="G4462" s="53">
        <f t="shared" si="70"/>
        <v>0.85788348675402637</v>
      </c>
      <c r="H4462" s="35"/>
      <c r="P4462" s="6"/>
    </row>
    <row r="4463" spans="1:16" ht="14.4" x14ac:dyDescent="0.25">
      <c r="A4463" s="6">
        <v>7576</v>
      </c>
      <c r="B4463" s="6">
        <v>54181</v>
      </c>
      <c r="C4463" s="19">
        <v>41047</v>
      </c>
      <c r="D4463" s="6" t="s">
        <v>17</v>
      </c>
      <c r="E4463" s="6">
        <f>IF((ISBLANK($B$1)),"",Sheet1!Q4473)</f>
        <v>4000</v>
      </c>
      <c r="F4463" s="20" t="s">
        <v>27</v>
      </c>
      <c r="G4463" s="53">
        <f t="shared" si="70"/>
        <v>-0.93735706776838001</v>
      </c>
      <c r="H4463" s="35"/>
      <c r="P4463" s="6"/>
    </row>
    <row r="4464" spans="1:16" ht="14.4" x14ac:dyDescent="0.25">
      <c r="A4464" s="6">
        <v>7582</v>
      </c>
      <c r="B4464" s="6">
        <v>54243</v>
      </c>
      <c r="C4464" s="19">
        <v>40072</v>
      </c>
      <c r="D4464" s="6" t="s">
        <v>25</v>
      </c>
      <c r="E4464" s="6">
        <f>IF((ISBLANK($B$1)),"",Sheet1!Q4474)</f>
        <v>3700</v>
      </c>
      <c r="F4464" s="20" t="s">
        <v>29</v>
      </c>
      <c r="G4464" s="53">
        <f t="shared" si="70"/>
        <v>-1.351643349581243</v>
      </c>
      <c r="H4464" s="35"/>
      <c r="P4464" s="6"/>
    </row>
    <row r="4465" spans="1:16" ht="14.4" x14ac:dyDescent="0.25">
      <c r="A4465" s="6">
        <v>7604</v>
      </c>
      <c r="B4465" s="6">
        <v>54407</v>
      </c>
      <c r="C4465" s="19">
        <v>40345</v>
      </c>
      <c r="D4465" s="6" t="s">
        <v>16</v>
      </c>
      <c r="E4465" s="6">
        <f>IF((ISBLANK($B$1)),"",Sheet1!Q4475)</f>
        <v>4600</v>
      </c>
      <c r="F4465" s="20" t="s">
        <v>26</v>
      </c>
      <c r="G4465" s="53">
        <f t="shared" si="70"/>
        <v>-0.108784504142654</v>
      </c>
      <c r="H4465" s="35"/>
      <c r="P4465" s="6"/>
    </row>
    <row r="4466" spans="1:16" ht="14.4" x14ac:dyDescent="0.25">
      <c r="A4466" s="6">
        <v>7735</v>
      </c>
      <c r="B4466" s="6">
        <v>55394</v>
      </c>
      <c r="C4466" s="19">
        <v>40235</v>
      </c>
      <c r="D4466" s="6" t="s">
        <v>30</v>
      </c>
      <c r="E4466" s="6">
        <f>IF((ISBLANK($B$1)),"",Sheet1!Q4476)</f>
        <v>4450</v>
      </c>
      <c r="F4466" s="20" t="s">
        <v>29</v>
      </c>
      <c r="G4466" s="53">
        <f t="shared" si="70"/>
        <v>-0.31592764504908549</v>
      </c>
      <c r="H4466" s="35"/>
      <c r="P4466" s="6"/>
    </row>
    <row r="4467" spans="1:16" ht="14.4" x14ac:dyDescent="0.25">
      <c r="A4467" s="6">
        <v>7835</v>
      </c>
      <c r="B4467" s="6">
        <v>56003</v>
      </c>
      <c r="C4467" s="19">
        <v>40274</v>
      </c>
      <c r="D4467" s="6" t="s">
        <v>30</v>
      </c>
      <c r="E4467" s="6">
        <f>IF((ISBLANK($B$1)),"",Sheet1!Q4477)</f>
        <v>4050</v>
      </c>
      <c r="F4467" s="20" t="s">
        <v>29</v>
      </c>
      <c r="G4467" s="53">
        <f t="shared" si="70"/>
        <v>-0.86830935413290289</v>
      </c>
      <c r="H4467" s="35"/>
      <c r="P4467" s="6"/>
    </row>
    <row r="4468" spans="1:16" ht="14.4" x14ac:dyDescent="0.25">
      <c r="A4468" s="6">
        <v>7848</v>
      </c>
      <c r="B4468" s="6">
        <v>56128</v>
      </c>
      <c r="C4468" s="19">
        <v>40389</v>
      </c>
      <c r="D4468" s="6" t="s">
        <v>16</v>
      </c>
      <c r="E4468" s="6">
        <f>IF((ISBLANK($B$1)),"",Sheet1!Q4478)</f>
        <v>5450</v>
      </c>
      <c r="F4468" s="20" t="s">
        <v>26</v>
      </c>
      <c r="G4468" s="53">
        <f t="shared" si="70"/>
        <v>1.0650266276604579</v>
      </c>
      <c r="H4468" s="35"/>
      <c r="P4468" s="6"/>
    </row>
    <row r="4469" spans="1:16" ht="14.4" x14ac:dyDescent="0.25">
      <c r="A4469" s="6">
        <v>7849</v>
      </c>
      <c r="B4469" s="6">
        <v>56128</v>
      </c>
      <c r="C4469" s="19">
        <v>40389</v>
      </c>
      <c r="D4469" s="6" t="s">
        <v>16</v>
      </c>
      <c r="E4469" s="6">
        <f>IF((ISBLANK($B$1)),"",Sheet1!Q4479)</f>
        <v>4350</v>
      </c>
      <c r="F4469" s="20" t="s">
        <v>29</v>
      </c>
      <c r="G4469" s="53">
        <f t="shared" si="70"/>
        <v>-0.45402307232003986</v>
      </c>
      <c r="H4469" s="35"/>
      <c r="P4469" s="6"/>
    </row>
    <row r="4470" spans="1:16" ht="14.4" x14ac:dyDescent="0.25">
      <c r="A4470" s="6">
        <v>7882</v>
      </c>
      <c r="B4470" s="6">
        <v>56384</v>
      </c>
      <c r="C4470" s="19">
        <v>41121</v>
      </c>
      <c r="D4470" s="6" t="s">
        <v>30</v>
      </c>
      <c r="E4470" s="6">
        <f>IF((ISBLANK($B$1)),"",Sheet1!Q4480)</f>
        <v>5750</v>
      </c>
      <c r="F4470" s="20" t="s">
        <v>26</v>
      </c>
      <c r="G4470" s="53">
        <f t="shared" si="70"/>
        <v>1.4793129094733208</v>
      </c>
      <c r="H4470" s="35"/>
      <c r="P4470" s="6"/>
    </row>
    <row r="4471" spans="1:16" ht="14.4" x14ac:dyDescent="0.25">
      <c r="A4471" s="6">
        <v>7883</v>
      </c>
      <c r="B4471" s="6">
        <v>56384</v>
      </c>
      <c r="C4471" s="19">
        <v>41121</v>
      </c>
      <c r="D4471" s="6" t="s">
        <v>30</v>
      </c>
      <c r="E4471" s="6">
        <f>IF((ISBLANK($B$1)),"",Sheet1!Q4481)</f>
        <v>4850</v>
      </c>
      <c r="F4471" s="20" t="s">
        <v>29</v>
      </c>
      <c r="G4471" s="53">
        <f t="shared" si="70"/>
        <v>0.23645406403473185</v>
      </c>
      <c r="H4471" s="35"/>
      <c r="P4471" s="6"/>
    </row>
    <row r="4472" spans="1:16" ht="14.4" x14ac:dyDescent="0.25">
      <c r="A4472" s="6">
        <v>7926</v>
      </c>
      <c r="B4472" s="6">
        <v>56646</v>
      </c>
      <c r="C4472" s="19">
        <v>40317</v>
      </c>
      <c r="D4472" s="6" t="s">
        <v>30</v>
      </c>
      <c r="E4472" s="6">
        <f>IF((ISBLANK($B$1)),"",Sheet1!Q4482)</f>
        <v>5450</v>
      </c>
      <c r="F4472" s="20" t="s">
        <v>27</v>
      </c>
      <c r="G4472" s="53">
        <f t="shared" si="70"/>
        <v>1.0650266276604579</v>
      </c>
      <c r="H4472" s="35"/>
      <c r="P4472" s="6"/>
    </row>
    <row r="4473" spans="1:16" ht="14.4" x14ac:dyDescent="0.25">
      <c r="A4473" s="6">
        <v>7968</v>
      </c>
      <c r="B4473" s="6">
        <v>56967</v>
      </c>
      <c r="C4473" s="19">
        <v>40970</v>
      </c>
      <c r="D4473" s="6" t="s">
        <v>25</v>
      </c>
      <c r="E4473" s="6">
        <f>IF((ISBLANK($B$1)),"",Sheet1!Q4483)</f>
        <v>4250</v>
      </c>
      <c r="F4473" s="20" t="s">
        <v>27</v>
      </c>
      <c r="G4473" s="53">
        <f t="shared" si="70"/>
        <v>-0.59211849959099416</v>
      </c>
      <c r="H4473" s="35"/>
      <c r="P4473" s="6"/>
    </row>
    <row r="4474" spans="1:16" ht="14.4" x14ac:dyDescent="0.25">
      <c r="A4474" s="6">
        <v>8053</v>
      </c>
      <c r="B4474" s="6">
        <v>57479</v>
      </c>
      <c r="C4474" s="19">
        <v>40617</v>
      </c>
      <c r="D4474" s="6" t="s">
        <v>17</v>
      </c>
      <c r="E4474" s="6">
        <f>IF((ISBLANK($B$1)),"",Sheet1!Q4484)</f>
        <v>5250</v>
      </c>
      <c r="F4474" s="20" t="s">
        <v>26</v>
      </c>
      <c r="G4474" s="53">
        <f t="shared" si="70"/>
        <v>0.78883577311854924</v>
      </c>
      <c r="H4474" s="35"/>
      <c r="P4474" s="6"/>
    </row>
    <row r="4475" spans="1:16" ht="14.4" x14ac:dyDescent="0.25">
      <c r="A4475" s="6">
        <v>8089</v>
      </c>
      <c r="B4475" s="6">
        <v>57699</v>
      </c>
      <c r="C4475" s="19">
        <v>41223</v>
      </c>
      <c r="D4475" s="6" t="s">
        <v>25</v>
      </c>
      <c r="E4475" s="6">
        <f>IF((ISBLANK($B$1)),"",Sheet1!Q4485)</f>
        <v>5750</v>
      </c>
      <c r="F4475" s="20" t="s">
        <v>27</v>
      </c>
      <c r="G4475" s="53">
        <f t="shared" si="70"/>
        <v>1.4793129094733208</v>
      </c>
      <c r="H4475" s="35"/>
      <c r="P4475" s="6"/>
    </row>
    <row r="4476" spans="1:16" ht="14.4" x14ac:dyDescent="0.25">
      <c r="A4476" s="6">
        <v>8090</v>
      </c>
      <c r="B4476" s="6">
        <v>57699</v>
      </c>
      <c r="C4476" s="19">
        <v>41223</v>
      </c>
      <c r="D4476" s="6" t="s">
        <v>25</v>
      </c>
      <c r="E4476" s="6">
        <f>IF((ISBLANK($B$1)),"",Sheet1!Q4486)</f>
        <v>5200</v>
      </c>
      <c r="F4476" s="20" t="s">
        <v>26</v>
      </c>
      <c r="G4476" s="53">
        <f t="shared" si="70"/>
        <v>0.71978805948307201</v>
      </c>
      <c r="H4476" s="35"/>
      <c r="P4476" s="6"/>
    </row>
    <row r="4477" spans="1:16" ht="14.4" x14ac:dyDescent="0.25">
      <c r="A4477" s="6">
        <v>8091</v>
      </c>
      <c r="B4477" s="6">
        <v>57699</v>
      </c>
      <c r="C4477" s="19">
        <v>41223</v>
      </c>
      <c r="D4477" s="6" t="s">
        <v>25</v>
      </c>
      <c r="E4477" s="6">
        <f>IF((ISBLANK($B$1)),"",Sheet1!Q4487)</f>
        <v>4400</v>
      </c>
      <c r="F4477" s="20" t="s">
        <v>29</v>
      </c>
      <c r="G4477" s="53">
        <f t="shared" si="70"/>
        <v>-0.38497535868456267</v>
      </c>
      <c r="H4477" s="35"/>
      <c r="P4477" s="6"/>
    </row>
    <row r="4478" spans="1:16" ht="14.4" x14ac:dyDescent="0.25">
      <c r="A4478" s="6">
        <v>8209</v>
      </c>
      <c r="B4478" s="6">
        <v>58690</v>
      </c>
      <c r="C4478" s="19">
        <v>40852</v>
      </c>
      <c r="D4478" s="6" t="s">
        <v>17</v>
      </c>
      <c r="E4478" s="6">
        <f>IF((ISBLANK($B$1)),"",Sheet1!Q4488)</f>
        <v>4100</v>
      </c>
      <c r="F4478" s="20" t="s">
        <v>29</v>
      </c>
      <c r="G4478" s="53">
        <f t="shared" si="70"/>
        <v>-0.79926164049742576</v>
      </c>
      <c r="H4478" s="35"/>
      <c r="P4478" s="6"/>
    </row>
    <row r="4479" spans="1:16" ht="14.4" x14ac:dyDescent="0.25">
      <c r="A4479" s="6">
        <v>8223</v>
      </c>
      <c r="B4479" s="6">
        <v>58784</v>
      </c>
      <c r="C4479" s="19">
        <v>39831</v>
      </c>
      <c r="D4479" s="6" t="s">
        <v>16</v>
      </c>
      <c r="E4479" s="6">
        <f>IF((ISBLANK($B$1)),"",Sheet1!Q4489)</f>
        <v>4650</v>
      </c>
      <c r="F4479" s="20" t="s">
        <v>29</v>
      </c>
      <c r="G4479" s="53">
        <f t="shared" si="70"/>
        <v>-3.9736790507176829E-2</v>
      </c>
      <c r="H4479" s="35"/>
      <c r="P4479" s="6"/>
    </row>
    <row r="4480" spans="1:16" ht="14.4" x14ac:dyDescent="0.25">
      <c r="A4480" s="6">
        <v>8224</v>
      </c>
      <c r="B4480" s="6">
        <v>58784</v>
      </c>
      <c r="C4480" s="19">
        <v>39831</v>
      </c>
      <c r="D4480" s="6" t="s">
        <v>16</v>
      </c>
      <c r="E4480" s="6">
        <f>IF((ISBLANK($B$1)),"",Sheet1!Q4490)</f>
        <v>4400</v>
      </c>
      <c r="F4480" s="20" t="s">
        <v>27</v>
      </c>
      <c r="G4480" s="53">
        <f t="shared" si="70"/>
        <v>-0.38497535868456267</v>
      </c>
      <c r="H4480" s="35"/>
      <c r="P4480" s="6"/>
    </row>
    <row r="4481" spans="1:16" ht="14.4" x14ac:dyDescent="0.25">
      <c r="A4481" s="6">
        <v>8318</v>
      </c>
      <c r="B4481" s="6">
        <v>59428</v>
      </c>
      <c r="C4481" s="19">
        <v>40430</v>
      </c>
      <c r="D4481" s="6" t="s">
        <v>17</v>
      </c>
      <c r="E4481" s="6">
        <f>IF((ISBLANK($B$1)),"",Sheet1!Q4491)</f>
        <v>5200</v>
      </c>
      <c r="F4481" s="20" t="s">
        <v>29</v>
      </c>
      <c r="G4481" s="53">
        <f t="shared" si="70"/>
        <v>0.71978805948307201</v>
      </c>
      <c r="H4481" s="35"/>
      <c r="P4481" s="6"/>
    </row>
    <row r="4482" spans="1:16" ht="14.4" x14ac:dyDescent="0.25">
      <c r="A4482" s="6">
        <v>8319</v>
      </c>
      <c r="B4482" s="6">
        <v>59428</v>
      </c>
      <c r="C4482" s="19">
        <v>40430</v>
      </c>
      <c r="D4482" s="6" t="s">
        <v>17</v>
      </c>
      <c r="E4482" s="6">
        <f>IF((ISBLANK($B$1)),"",Sheet1!Q4492)</f>
        <v>5550</v>
      </c>
      <c r="F4482" s="20" t="s">
        <v>29</v>
      </c>
      <c r="G4482" s="53">
        <f t="shared" si="70"/>
        <v>1.2031220549314123</v>
      </c>
      <c r="H4482" s="35"/>
      <c r="P4482" s="6"/>
    </row>
    <row r="4483" spans="1:16" ht="14.4" x14ac:dyDescent="0.25">
      <c r="A4483" s="6">
        <v>221</v>
      </c>
      <c r="B4483" s="6">
        <v>1444</v>
      </c>
      <c r="C4483" s="19">
        <v>40152</v>
      </c>
      <c r="D4483" s="6" t="s">
        <v>16</v>
      </c>
      <c r="E4483" s="6">
        <f>IF((ISBLANK($B$1)),"",Sheet1!Q4493)</f>
        <v>4650</v>
      </c>
      <c r="F4483" s="20" t="s">
        <v>26</v>
      </c>
      <c r="G4483" s="53">
        <f t="shared" si="70"/>
        <v>-3.9736790507176829E-2</v>
      </c>
      <c r="H4483" s="35"/>
      <c r="P4483" s="6"/>
    </row>
    <row r="4484" spans="1:16" ht="14.4" x14ac:dyDescent="0.25">
      <c r="A4484" s="6">
        <v>278</v>
      </c>
      <c r="B4484" s="6">
        <v>1921</v>
      </c>
      <c r="C4484" s="19">
        <v>39830</v>
      </c>
      <c r="D4484" s="6" t="s">
        <v>16</v>
      </c>
      <c r="E4484" s="6">
        <f>IF((ISBLANK($B$1)),"",Sheet1!Q4494)</f>
        <v>4600</v>
      </c>
      <c r="F4484" s="20" t="s">
        <v>26</v>
      </c>
      <c r="G4484" s="53">
        <f t="shared" si="70"/>
        <v>-0.108784504142654</v>
      </c>
      <c r="H4484" s="35"/>
      <c r="P4484" s="6"/>
    </row>
    <row r="4485" spans="1:16" ht="14.4" x14ac:dyDescent="0.25">
      <c r="A4485" s="6">
        <v>283</v>
      </c>
      <c r="B4485" s="6">
        <v>1985</v>
      </c>
      <c r="C4485" s="19">
        <v>40057</v>
      </c>
      <c r="D4485" s="6" t="s">
        <v>28</v>
      </c>
      <c r="E4485" s="6">
        <f>IF((ISBLANK($B$1)),"",Sheet1!Q4495)</f>
        <v>5050</v>
      </c>
      <c r="F4485" s="20" t="s">
        <v>27</v>
      </c>
      <c r="G4485" s="53">
        <f t="shared" si="70"/>
        <v>0.51264491857664052</v>
      </c>
      <c r="H4485" s="35"/>
      <c r="P4485" s="6"/>
    </row>
    <row r="4486" spans="1:16" ht="14.4" x14ac:dyDescent="0.25">
      <c r="A4486" s="6">
        <v>443</v>
      </c>
      <c r="B4486" s="6">
        <v>2978</v>
      </c>
      <c r="C4486" s="19">
        <v>40665</v>
      </c>
      <c r="D4486" s="6" t="s">
        <v>30</v>
      </c>
      <c r="E4486" s="6">
        <f>IF((ISBLANK($B$1)),"",Sheet1!Q4496)</f>
        <v>4800</v>
      </c>
      <c r="F4486" s="20" t="s">
        <v>27</v>
      </c>
      <c r="G4486" s="53">
        <f t="shared" si="70"/>
        <v>0.16740635039925467</v>
      </c>
      <c r="H4486" s="35"/>
      <c r="P4486" s="6"/>
    </row>
    <row r="4487" spans="1:16" ht="14.4" x14ac:dyDescent="0.25">
      <c r="A4487" s="6">
        <v>1030</v>
      </c>
      <c r="B4487" s="6">
        <v>7521</v>
      </c>
      <c r="C4487" s="19">
        <v>40601</v>
      </c>
      <c r="D4487" s="6" t="s">
        <v>25</v>
      </c>
      <c r="E4487" s="6">
        <f>IF((ISBLANK($B$1)),"",Sheet1!Q4497)</f>
        <v>4350</v>
      </c>
      <c r="F4487" s="20" t="s">
        <v>27</v>
      </c>
      <c r="G4487" s="53">
        <f t="shared" si="70"/>
        <v>-0.45402307232003986</v>
      </c>
      <c r="H4487" s="35"/>
      <c r="P4487" s="6"/>
    </row>
    <row r="4488" spans="1:16" ht="14.4" x14ac:dyDescent="0.25">
      <c r="A4488" s="6">
        <v>1552</v>
      </c>
      <c r="B4488" s="6">
        <v>11206</v>
      </c>
      <c r="C4488" s="19">
        <v>40175</v>
      </c>
      <c r="D4488" s="6" t="s">
        <v>25</v>
      </c>
      <c r="E4488" s="6">
        <f>IF((ISBLANK($B$1)),"",Sheet1!Q4498)</f>
        <v>4700</v>
      </c>
      <c r="F4488" s="20" t="s">
        <v>27</v>
      </c>
      <c r="G4488" s="53">
        <f t="shared" ref="G4488:G4551" si="71">STANDARDIZE(E4488,$L$26,$L$35)</f>
        <v>2.9310923128300338E-2</v>
      </c>
      <c r="H4488" s="35"/>
      <c r="P4488" s="6"/>
    </row>
    <row r="4489" spans="1:16" ht="14.4" x14ac:dyDescent="0.25">
      <c r="A4489" s="6">
        <v>1858</v>
      </c>
      <c r="B4489" s="6">
        <v>13351</v>
      </c>
      <c r="C4489" s="19">
        <v>40304</v>
      </c>
      <c r="D4489" s="6" t="s">
        <v>16</v>
      </c>
      <c r="E4489" s="6">
        <f>IF((ISBLANK($B$1)),"",Sheet1!Q4499)</f>
        <v>4400</v>
      </c>
      <c r="F4489" s="20" t="s">
        <v>27</v>
      </c>
      <c r="G4489" s="53">
        <f t="shared" si="71"/>
        <v>-0.38497535868456267</v>
      </c>
      <c r="H4489" s="35"/>
      <c r="P4489" s="6"/>
    </row>
    <row r="4490" spans="1:16" ht="14.4" x14ac:dyDescent="0.25">
      <c r="A4490" s="6">
        <v>1872</v>
      </c>
      <c r="B4490" s="6">
        <v>13476</v>
      </c>
      <c r="C4490" s="19">
        <v>40467</v>
      </c>
      <c r="D4490" s="6" t="s">
        <v>28</v>
      </c>
      <c r="E4490" s="6">
        <f>IF((ISBLANK($B$1)),"",Sheet1!Q4500)</f>
        <v>4950</v>
      </c>
      <c r="F4490" s="20" t="s">
        <v>27</v>
      </c>
      <c r="G4490" s="53">
        <f t="shared" si="71"/>
        <v>0.37454949130568621</v>
      </c>
      <c r="H4490" s="35"/>
      <c r="P4490" s="6"/>
    </row>
    <row r="4491" spans="1:16" ht="14.4" x14ac:dyDescent="0.25">
      <c r="A4491" s="6">
        <v>2151</v>
      </c>
      <c r="B4491" s="6">
        <v>15399</v>
      </c>
      <c r="C4491" s="19">
        <v>41042</v>
      </c>
      <c r="D4491" s="6" t="s">
        <v>30</v>
      </c>
      <c r="E4491" s="6">
        <f>IF((ISBLANK($B$1)),"",Sheet1!Q4501)</f>
        <v>5300</v>
      </c>
      <c r="F4491" s="20" t="s">
        <v>27</v>
      </c>
      <c r="G4491" s="53">
        <f t="shared" si="71"/>
        <v>0.85788348675402637</v>
      </c>
      <c r="H4491" s="35"/>
      <c r="P4491" s="6"/>
    </row>
    <row r="4492" spans="1:16" ht="14.4" x14ac:dyDescent="0.25">
      <c r="A4492" s="6">
        <v>2178</v>
      </c>
      <c r="B4492" s="6">
        <v>15687</v>
      </c>
      <c r="C4492" s="19">
        <v>41008</v>
      </c>
      <c r="D4492" s="6" t="s">
        <v>30</v>
      </c>
      <c r="E4492" s="6">
        <f>IF((ISBLANK($B$1)),"",Sheet1!Q4502)</f>
        <v>5800</v>
      </c>
      <c r="F4492" s="20" t="s">
        <v>29</v>
      </c>
      <c r="G4492" s="53">
        <f t="shared" si="71"/>
        <v>1.5483606231087981</v>
      </c>
      <c r="H4492" s="35"/>
      <c r="P4492" s="6"/>
    </row>
    <row r="4493" spans="1:16" ht="14.4" x14ac:dyDescent="0.25">
      <c r="A4493" s="6">
        <v>3228</v>
      </c>
      <c r="B4493" s="6">
        <v>23169</v>
      </c>
      <c r="C4493" s="19">
        <v>40717</v>
      </c>
      <c r="D4493" s="6" t="s">
        <v>30</v>
      </c>
      <c r="E4493" s="6">
        <f>IF((ISBLANK($B$1)),"",Sheet1!Q4503)</f>
        <v>4500</v>
      </c>
      <c r="F4493" s="20" t="s">
        <v>27</v>
      </c>
      <c r="G4493" s="53">
        <f t="shared" si="71"/>
        <v>-0.24687993141360834</v>
      </c>
      <c r="H4493" s="35"/>
      <c r="P4493" s="6"/>
    </row>
    <row r="4494" spans="1:16" ht="14.4" x14ac:dyDescent="0.25">
      <c r="A4494" s="6">
        <v>4539</v>
      </c>
      <c r="B4494" s="6">
        <v>32292</v>
      </c>
      <c r="C4494" s="19">
        <v>40954</v>
      </c>
      <c r="D4494" s="6" t="s">
        <v>25</v>
      </c>
      <c r="E4494" s="6">
        <f>IF((ISBLANK($B$1)),"",Sheet1!Q4504)</f>
        <v>3450</v>
      </c>
      <c r="F4494" s="20" t="s">
        <v>26</v>
      </c>
      <c r="G4494" s="53">
        <f t="shared" si="71"/>
        <v>-1.696881917758629</v>
      </c>
      <c r="H4494" s="35"/>
      <c r="P4494" s="6"/>
    </row>
    <row r="4495" spans="1:16" ht="14.4" x14ac:dyDescent="0.25">
      <c r="A4495" s="6">
        <v>4554</v>
      </c>
      <c r="B4495" s="6">
        <v>32389</v>
      </c>
      <c r="C4495" s="19">
        <v>40482</v>
      </c>
      <c r="D4495" s="6" t="s">
        <v>16</v>
      </c>
      <c r="E4495" s="6">
        <f>IF((ISBLANK($B$1)),"",Sheet1!Q4505)</f>
        <v>3450</v>
      </c>
      <c r="F4495" s="20" t="s">
        <v>27</v>
      </c>
      <c r="G4495" s="53">
        <f t="shared" si="71"/>
        <v>-1.696881917758629</v>
      </c>
      <c r="H4495" s="35"/>
      <c r="P4495" s="6"/>
    </row>
    <row r="4496" spans="1:16" ht="14.4" x14ac:dyDescent="0.25">
      <c r="A4496" s="6">
        <v>5328</v>
      </c>
      <c r="B4496" s="6">
        <v>37863</v>
      </c>
      <c r="C4496" s="19">
        <v>40598</v>
      </c>
      <c r="D4496" s="6" t="s">
        <v>17</v>
      </c>
      <c r="E4496" s="6">
        <f>IF((ISBLANK($B$1)),"",Sheet1!Q4506)</f>
        <v>4750</v>
      </c>
      <c r="F4496" s="20" t="s">
        <v>26</v>
      </c>
      <c r="G4496" s="53">
        <f t="shared" si="71"/>
        <v>9.8358636763777513E-2</v>
      </c>
      <c r="H4496" s="35"/>
      <c r="P4496" s="6"/>
    </row>
    <row r="4497" spans="1:16" ht="14.4" x14ac:dyDescent="0.25">
      <c r="A4497" s="6">
        <v>5756</v>
      </c>
      <c r="B4497" s="6">
        <v>40866</v>
      </c>
      <c r="C4497" s="19">
        <v>40321</v>
      </c>
      <c r="D4497" s="6" t="s">
        <v>17</v>
      </c>
      <c r="E4497" s="6">
        <f>IF((ISBLANK($B$1)),"",Sheet1!Q4507)</f>
        <v>3550</v>
      </c>
      <c r="F4497" s="20" t="s">
        <v>26</v>
      </c>
      <c r="G4497" s="53">
        <f t="shared" si="71"/>
        <v>-1.5587864904876745</v>
      </c>
      <c r="H4497" s="35"/>
      <c r="P4497" s="6"/>
    </row>
    <row r="4498" spans="1:16" ht="14.4" x14ac:dyDescent="0.25">
      <c r="A4498" s="6">
        <v>6779</v>
      </c>
      <c r="B4498" s="6">
        <v>48263</v>
      </c>
      <c r="C4498" s="19">
        <v>40246</v>
      </c>
      <c r="D4498" s="6" t="s">
        <v>16</v>
      </c>
      <c r="E4498" s="6">
        <f>IF((ISBLANK($B$1)),"",Sheet1!Q4508)</f>
        <v>4650</v>
      </c>
      <c r="F4498" s="20" t="s">
        <v>26</v>
      </c>
      <c r="G4498" s="53">
        <f t="shared" si="71"/>
        <v>-3.9736790507176829E-2</v>
      </c>
      <c r="H4498" s="35"/>
      <c r="P4498" s="6"/>
    </row>
    <row r="4499" spans="1:16" ht="14.4" x14ac:dyDescent="0.25">
      <c r="A4499" s="6">
        <v>7004</v>
      </c>
      <c r="B4499" s="6">
        <v>49989</v>
      </c>
      <c r="C4499" s="19">
        <v>40294</v>
      </c>
      <c r="D4499" s="6" t="s">
        <v>28</v>
      </c>
      <c r="E4499" s="6">
        <f>IF((ISBLANK($B$1)),"",Sheet1!Q4509)</f>
        <v>3700</v>
      </c>
      <c r="F4499" s="20" t="s">
        <v>27</v>
      </c>
      <c r="G4499" s="53">
        <f t="shared" si="71"/>
        <v>-1.351643349581243</v>
      </c>
      <c r="H4499" s="35"/>
      <c r="P4499" s="6"/>
    </row>
    <row r="4500" spans="1:16" ht="14.4" x14ac:dyDescent="0.25">
      <c r="A4500" s="6">
        <v>7631</v>
      </c>
      <c r="B4500" s="6">
        <v>54595</v>
      </c>
      <c r="C4500" s="19">
        <v>39931</v>
      </c>
      <c r="D4500" s="6" t="s">
        <v>16</v>
      </c>
      <c r="E4500" s="6">
        <f>IF((ISBLANK($B$1)),"",Sheet1!Q4510)</f>
        <v>4900</v>
      </c>
      <c r="F4500" s="20" t="s">
        <v>26</v>
      </c>
      <c r="G4500" s="53">
        <f t="shared" si="71"/>
        <v>0.30550177767020903</v>
      </c>
      <c r="H4500" s="35"/>
      <c r="P4500" s="6"/>
    </row>
    <row r="4501" spans="1:16" ht="14.4" x14ac:dyDescent="0.25">
      <c r="A4501" s="6">
        <v>7733</v>
      </c>
      <c r="B4501" s="6">
        <v>55392</v>
      </c>
      <c r="C4501" s="19">
        <v>39970</v>
      </c>
      <c r="D4501" s="6" t="s">
        <v>30</v>
      </c>
      <c r="E4501" s="6">
        <f>IF((ISBLANK($B$1)),"",Sheet1!Q4511)</f>
        <v>4400</v>
      </c>
      <c r="F4501" s="20" t="s">
        <v>26</v>
      </c>
      <c r="G4501" s="53">
        <f t="shared" si="71"/>
        <v>-0.38497535868456267</v>
      </c>
      <c r="H4501" s="35"/>
      <c r="P4501" s="6"/>
    </row>
    <row r="4502" spans="1:16" ht="14.4" x14ac:dyDescent="0.25">
      <c r="A4502" s="6">
        <v>8010</v>
      </c>
      <c r="B4502" s="6">
        <v>57249</v>
      </c>
      <c r="C4502" s="19">
        <v>40379</v>
      </c>
      <c r="D4502" s="6" t="s">
        <v>17</v>
      </c>
      <c r="E4502" s="6">
        <f>IF((ISBLANK($B$1)),"",Sheet1!Q4512)</f>
        <v>4900</v>
      </c>
      <c r="F4502" s="20" t="s">
        <v>29</v>
      </c>
      <c r="G4502" s="53">
        <f t="shared" si="71"/>
        <v>0.30550177767020903</v>
      </c>
      <c r="H4502" s="35"/>
      <c r="P4502" s="6"/>
    </row>
    <row r="4503" spans="1:16" ht="14.4" x14ac:dyDescent="0.25">
      <c r="A4503" s="6">
        <v>218</v>
      </c>
      <c r="B4503" s="6">
        <v>1444</v>
      </c>
      <c r="C4503" s="19">
        <v>40152</v>
      </c>
      <c r="D4503" s="6" t="s">
        <v>16</v>
      </c>
      <c r="E4503" s="6">
        <f>IF((ISBLANK($B$1)),"",Sheet1!Q4513)</f>
        <v>4050</v>
      </c>
      <c r="F4503" s="20" t="s">
        <v>27</v>
      </c>
      <c r="G4503" s="53">
        <f t="shared" si="71"/>
        <v>-0.86830935413290289</v>
      </c>
      <c r="H4503" s="35"/>
      <c r="P4503" s="6"/>
    </row>
    <row r="4504" spans="1:16" ht="14.4" x14ac:dyDescent="0.25">
      <c r="A4504" s="6">
        <v>709</v>
      </c>
      <c r="B4504" s="6">
        <v>4965</v>
      </c>
      <c r="C4504" s="19">
        <v>40471</v>
      </c>
      <c r="D4504" s="6" t="s">
        <v>25</v>
      </c>
      <c r="E4504" s="6">
        <f>IF((ISBLANK($B$1)),"",Sheet1!Q4514)</f>
        <v>5700</v>
      </c>
      <c r="F4504" s="20" t="s">
        <v>26</v>
      </c>
      <c r="G4504" s="53">
        <f t="shared" si="71"/>
        <v>1.4102651958378438</v>
      </c>
      <c r="H4504" s="35"/>
      <c r="P4504" s="6"/>
    </row>
    <row r="4505" spans="1:16" ht="14.4" x14ac:dyDescent="0.25">
      <c r="A4505" s="6">
        <v>790</v>
      </c>
      <c r="B4505" s="6">
        <v>5639</v>
      </c>
      <c r="C4505" s="19">
        <v>39965</v>
      </c>
      <c r="D4505" s="6" t="s">
        <v>16</v>
      </c>
      <c r="E4505" s="6">
        <f>IF((ISBLANK($B$1)),"",Sheet1!Q4515)</f>
        <v>4950</v>
      </c>
      <c r="F4505" s="20" t="s">
        <v>26</v>
      </c>
      <c r="G4505" s="53">
        <f t="shared" si="71"/>
        <v>0.37454949130568621</v>
      </c>
      <c r="H4505" s="35"/>
      <c r="P4505" s="6"/>
    </row>
    <row r="4506" spans="1:16" ht="14.4" x14ac:dyDescent="0.25">
      <c r="A4506" s="6">
        <v>1002</v>
      </c>
      <c r="B4506" s="6">
        <v>7297</v>
      </c>
      <c r="C4506" s="19">
        <v>40070</v>
      </c>
      <c r="D4506" s="6" t="s">
        <v>17</v>
      </c>
      <c r="E4506" s="6">
        <f>IF((ISBLANK($B$1)),"",Sheet1!Q4516)</f>
        <v>4700</v>
      </c>
      <c r="F4506" s="20" t="s">
        <v>29</v>
      </c>
      <c r="G4506" s="53">
        <f t="shared" si="71"/>
        <v>2.9310923128300338E-2</v>
      </c>
      <c r="H4506" s="35"/>
      <c r="P4506" s="6"/>
    </row>
    <row r="4507" spans="1:16" ht="14.4" x14ac:dyDescent="0.25">
      <c r="A4507" s="6">
        <v>1165</v>
      </c>
      <c r="B4507" s="6">
        <v>8513</v>
      </c>
      <c r="C4507" s="19">
        <v>40739</v>
      </c>
      <c r="D4507" s="6" t="s">
        <v>25</v>
      </c>
      <c r="E4507" s="6">
        <f>IF((ISBLANK($B$1)),"",Sheet1!Q4517)</f>
        <v>3850</v>
      </c>
      <c r="F4507" s="20" t="s">
        <v>27</v>
      </c>
      <c r="G4507" s="53">
        <f t="shared" si="71"/>
        <v>-1.1445002086748115</v>
      </c>
      <c r="H4507" s="35"/>
      <c r="P4507" s="6"/>
    </row>
    <row r="4508" spans="1:16" ht="14.4" x14ac:dyDescent="0.25">
      <c r="A4508" s="6">
        <v>1411</v>
      </c>
      <c r="B4508" s="6">
        <v>10245</v>
      </c>
      <c r="C4508" s="19">
        <v>40587</v>
      </c>
      <c r="D4508" s="6" t="s">
        <v>16</v>
      </c>
      <c r="E4508" s="6">
        <f>IF((ISBLANK($B$1)),"",Sheet1!Q4518)</f>
        <v>4400</v>
      </c>
      <c r="F4508" s="20" t="s">
        <v>29</v>
      </c>
      <c r="G4508" s="53">
        <f t="shared" si="71"/>
        <v>-0.38497535868456267</v>
      </c>
      <c r="H4508" s="35"/>
      <c r="P4508" s="6"/>
    </row>
    <row r="4509" spans="1:16" ht="14.4" x14ac:dyDescent="0.25">
      <c r="A4509" s="6">
        <v>1526</v>
      </c>
      <c r="B4509" s="6">
        <v>11011</v>
      </c>
      <c r="C4509" s="19">
        <v>41042</v>
      </c>
      <c r="D4509" s="6" t="s">
        <v>17</v>
      </c>
      <c r="E4509" s="6">
        <f>IF((ISBLANK($B$1)),"",Sheet1!Q4519)</f>
        <v>5050</v>
      </c>
      <c r="F4509" s="20" t="s">
        <v>29</v>
      </c>
      <c r="G4509" s="53">
        <f t="shared" si="71"/>
        <v>0.51264491857664052</v>
      </c>
      <c r="H4509" s="35"/>
      <c r="P4509" s="6"/>
    </row>
    <row r="4510" spans="1:16" ht="14.4" x14ac:dyDescent="0.25">
      <c r="A4510" s="6">
        <v>1713</v>
      </c>
      <c r="B4510" s="6">
        <v>12320</v>
      </c>
      <c r="C4510" s="19">
        <v>40897</v>
      </c>
      <c r="D4510" s="6" t="s">
        <v>30</v>
      </c>
      <c r="E4510" s="6">
        <f>IF((ISBLANK($B$1)),"",Sheet1!Q4520)</f>
        <v>5150</v>
      </c>
      <c r="F4510" s="20" t="s">
        <v>29</v>
      </c>
      <c r="G4510" s="53">
        <f t="shared" si="71"/>
        <v>0.65074034584759488</v>
      </c>
      <c r="H4510" s="35"/>
      <c r="P4510" s="6"/>
    </row>
    <row r="4511" spans="1:16" ht="14.4" x14ac:dyDescent="0.25">
      <c r="A4511" s="6">
        <v>1717</v>
      </c>
      <c r="B4511" s="6">
        <v>12326</v>
      </c>
      <c r="C4511" s="19">
        <v>40576</v>
      </c>
      <c r="D4511" s="6" t="s">
        <v>30</v>
      </c>
      <c r="E4511" s="6">
        <f>IF((ISBLANK($B$1)),"",Sheet1!Q4521)</f>
        <v>3600</v>
      </c>
      <c r="F4511" s="20" t="s">
        <v>29</v>
      </c>
      <c r="G4511" s="53">
        <f t="shared" si="71"/>
        <v>-1.4897387768521975</v>
      </c>
      <c r="H4511" s="35"/>
      <c r="P4511" s="6"/>
    </row>
    <row r="4512" spans="1:16" ht="14.4" x14ac:dyDescent="0.25">
      <c r="A4512" s="6">
        <v>1819</v>
      </c>
      <c r="B4512" s="6">
        <v>13056</v>
      </c>
      <c r="C4512" s="19">
        <v>39925</v>
      </c>
      <c r="D4512" s="6" t="s">
        <v>28</v>
      </c>
      <c r="E4512" s="6">
        <f>IF((ISBLANK($B$1)),"",Sheet1!Q4522)</f>
        <v>5050</v>
      </c>
      <c r="F4512" s="20" t="s">
        <v>27</v>
      </c>
      <c r="G4512" s="53">
        <f t="shared" si="71"/>
        <v>0.51264491857664052</v>
      </c>
      <c r="H4512" s="35"/>
      <c r="P4512" s="6"/>
    </row>
    <row r="4513" spans="1:16" ht="14.4" x14ac:dyDescent="0.25">
      <c r="A4513" s="6">
        <v>1830</v>
      </c>
      <c r="B4513" s="6">
        <v>13125</v>
      </c>
      <c r="C4513" s="19">
        <v>40525</v>
      </c>
      <c r="D4513" s="6" t="s">
        <v>28</v>
      </c>
      <c r="E4513" s="6">
        <f>IF((ISBLANK($B$1)),"",Sheet1!Q4523)</f>
        <v>4900</v>
      </c>
      <c r="F4513" s="20" t="s">
        <v>27</v>
      </c>
      <c r="G4513" s="53">
        <f t="shared" si="71"/>
        <v>0.30550177767020903</v>
      </c>
      <c r="H4513" s="35"/>
      <c r="P4513" s="6"/>
    </row>
    <row r="4514" spans="1:16" ht="14.4" x14ac:dyDescent="0.25">
      <c r="A4514" s="6">
        <v>2404</v>
      </c>
      <c r="B4514" s="6">
        <v>17410</v>
      </c>
      <c r="C4514" s="19">
        <v>40422</v>
      </c>
      <c r="D4514" s="6" t="s">
        <v>25</v>
      </c>
      <c r="E4514" s="6">
        <f>IF((ISBLANK($B$1)),"",Sheet1!Q4524)</f>
        <v>5650</v>
      </c>
      <c r="F4514" s="20" t="s">
        <v>26</v>
      </c>
      <c r="G4514" s="53">
        <f t="shared" si="71"/>
        <v>1.3412174822023666</v>
      </c>
      <c r="H4514" s="35"/>
      <c r="P4514" s="6"/>
    </row>
    <row r="4515" spans="1:16" ht="14.4" x14ac:dyDescent="0.25">
      <c r="A4515" s="6">
        <v>2466</v>
      </c>
      <c r="B4515" s="6">
        <v>17953</v>
      </c>
      <c r="C4515" s="19">
        <v>41141</v>
      </c>
      <c r="D4515" s="6" t="s">
        <v>17</v>
      </c>
      <c r="E4515" s="6">
        <f>IF((ISBLANK($B$1)),"",Sheet1!Q4525)</f>
        <v>4900</v>
      </c>
      <c r="F4515" s="20" t="s">
        <v>26</v>
      </c>
      <c r="G4515" s="53">
        <f t="shared" si="71"/>
        <v>0.30550177767020903</v>
      </c>
      <c r="H4515" s="35"/>
      <c r="P4515" s="6"/>
    </row>
    <row r="4516" spans="1:16" ht="14.4" x14ac:dyDescent="0.25">
      <c r="A4516" s="6">
        <v>2875</v>
      </c>
      <c r="B4516" s="6">
        <v>20711</v>
      </c>
      <c r="C4516" s="19">
        <v>39832</v>
      </c>
      <c r="D4516" s="6" t="s">
        <v>30</v>
      </c>
      <c r="E4516" s="6">
        <f>IF((ISBLANK($B$1)),"",Sheet1!Q4526)</f>
        <v>4300</v>
      </c>
      <c r="F4516" s="20" t="s">
        <v>27</v>
      </c>
      <c r="G4516" s="53">
        <f t="shared" si="71"/>
        <v>-0.52307078595551704</v>
      </c>
      <c r="H4516" s="35"/>
      <c r="P4516" s="6"/>
    </row>
    <row r="4517" spans="1:16" ht="14.4" x14ac:dyDescent="0.25">
      <c r="A4517" s="6">
        <v>2997</v>
      </c>
      <c r="B4517" s="6">
        <v>21606</v>
      </c>
      <c r="C4517" s="19">
        <v>40565</v>
      </c>
      <c r="D4517" s="6" t="s">
        <v>28</v>
      </c>
      <c r="E4517" s="6">
        <f>IF((ISBLANK($B$1)),"",Sheet1!Q4527)</f>
        <v>5550</v>
      </c>
      <c r="F4517" s="20" t="s">
        <v>27</v>
      </c>
      <c r="G4517" s="53">
        <f t="shared" si="71"/>
        <v>1.2031220549314123</v>
      </c>
      <c r="H4517" s="35"/>
      <c r="P4517" s="6"/>
    </row>
    <row r="4518" spans="1:16" ht="14.4" x14ac:dyDescent="0.25">
      <c r="A4518" s="6">
        <v>3174</v>
      </c>
      <c r="B4518" s="6">
        <v>22820</v>
      </c>
      <c r="C4518" s="19">
        <v>40407</v>
      </c>
      <c r="D4518" s="6" t="s">
        <v>17</v>
      </c>
      <c r="E4518" s="6">
        <f>IF((ISBLANK($B$1)),"",Sheet1!Q4528)</f>
        <v>5100</v>
      </c>
      <c r="F4518" s="20" t="s">
        <v>27</v>
      </c>
      <c r="G4518" s="53">
        <f t="shared" si="71"/>
        <v>0.58169263221211776</v>
      </c>
      <c r="H4518" s="35"/>
      <c r="P4518" s="6"/>
    </row>
    <row r="4519" spans="1:16" ht="14.4" x14ac:dyDescent="0.25">
      <c r="A4519" s="6">
        <v>3227</v>
      </c>
      <c r="B4519" s="6">
        <v>23169</v>
      </c>
      <c r="C4519" s="19">
        <v>40717</v>
      </c>
      <c r="D4519" s="6" t="s">
        <v>30</v>
      </c>
      <c r="E4519" s="6">
        <f>IF((ISBLANK($B$1)),"",Sheet1!Q4529)</f>
        <v>4750</v>
      </c>
      <c r="F4519" s="20" t="s">
        <v>26</v>
      </c>
      <c r="G4519" s="53">
        <f t="shared" si="71"/>
        <v>9.8358636763777513E-2</v>
      </c>
      <c r="H4519" s="35"/>
      <c r="P4519" s="6"/>
    </row>
    <row r="4520" spans="1:16" ht="14.4" x14ac:dyDescent="0.25">
      <c r="A4520" s="6">
        <v>3286</v>
      </c>
      <c r="B4520" s="6">
        <v>23522</v>
      </c>
      <c r="C4520" s="19">
        <v>40644</v>
      </c>
      <c r="D4520" s="6" t="s">
        <v>30</v>
      </c>
      <c r="E4520" s="6">
        <f>IF((ISBLANK($B$1)),"",Sheet1!Q4530)</f>
        <v>3800</v>
      </c>
      <c r="F4520" s="20" t="s">
        <v>29</v>
      </c>
      <c r="G4520" s="53">
        <f t="shared" si="71"/>
        <v>-1.2135479223102887</v>
      </c>
      <c r="H4520" s="35"/>
      <c r="P4520" s="6"/>
    </row>
    <row r="4521" spans="1:16" ht="14.4" x14ac:dyDescent="0.25">
      <c r="A4521" s="6">
        <v>3303</v>
      </c>
      <c r="B4521" s="6">
        <v>23616</v>
      </c>
      <c r="C4521" s="19">
        <v>41149</v>
      </c>
      <c r="D4521" s="6" t="s">
        <v>28</v>
      </c>
      <c r="E4521" s="6">
        <f>IF((ISBLANK($B$1)),"",Sheet1!Q4531)</f>
        <v>5750</v>
      </c>
      <c r="F4521" s="20" t="s">
        <v>27</v>
      </c>
      <c r="G4521" s="53">
        <f t="shared" si="71"/>
        <v>1.4793129094733208</v>
      </c>
      <c r="H4521" s="35"/>
      <c r="P4521" s="6"/>
    </row>
    <row r="4522" spans="1:16" ht="14.4" x14ac:dyDescent="0.25">
      <c r="A4522" s="6">
        <v>3526</v>
      </c>
      <c r="B4522" s="6">
        <v>25092</v>
      </c>
      <c r="C4522" s="19">
        <v>40513</v>
      </c>
      <c r="D4522" s="6" t="s">
        <v>17</v>
      </c>
      <c r="E4522" s="6">
        <f>IF((ISBLANK($B$1)),"",Sheet1!Q4532)</f>
        <v>5500</v>
      </c>
      <c r="F4522" s="20" t="s">
        <v>26</v>
      </c>
      <c r="G4522" s="53">
        <f t="shared" si="71"/>
        <v>1.1340743412959351</v>
      </c>
      <c r="H4522" s="35"/>
      <c r="P4522" s="6"/>
    </row>
    <row r="4523" spans="1:16" ht="14.4" x14ac:dyDescent="0.25">
      <c r="A4523" s="6">
        <v>3538</v>
      </c>
      <c r="B4523" s="6">
        <v>25157</v>
      </c>
      <c r="C4523" s="19">
        <v>40323</v>
      </c>
      <c r="D4523" s="6" t="s">
        <v>28</v>
      </c>
      <c r="E4523" s="6">
        <f>IF((ISBLANK($B$1)),"",Sheet1!Q4533)</f>
        <v>5750</v>
      </c>
      <c r="F4523" s="20" t="s">
        <v>26</v>
      </c>
      <c r="G4523" s="53">
        <f t="shared" si="71"/>
        <v>1.4793129094733208</v>
      </c>
      <c r="H4523" s="35"/>
      <c r="P4523" s="6"/>
    </row>
    <row r="4524" spans="1:16" ht="14.4" x14ac:dyDescent="0.25">
      <c r="A4524" s="6">
        <v>3545</v>
      </c>
      <c r="B4524" s="6">
        <v>25280</v>
      </c>
      <c r="C4524" s="19">
        <v>40684</v>
      </c>
      <c r="D4524" s="6" t="s">
        <v>28</v>
      </c>
      <c r="E4524" s="6">
        <f>IF((ISBLANK($B$1)),"",Sheet1!Q4534)</f>
        <v>4200</v>
      </c>
      <c r="F4524" s="20" t="s">
        <v>26</v>
      </c>
      <c r="G4524" s="53">
        <f t="shared" si="71"/>
        <v>-0.6611662132264714</v>
      </c>
      <c r="H4524" s="35"/>
      <c r="P4524" s="6"/>
    </row>
    <row r="4525" spans="1:16" ht="14.4" x14ac:dyDescent="0.25">
      <c r="A4525" s="6">
        <v>3547</v>
      </c>
      <c r="B4525" s="6">
        <v>25313</v>
      </c>
      <c r="C4525" s="19">
        <v>41142</v>
      </c>
      <c r="D4525" s="6" t="s">
        <v>30</v>
      </c>
      <c r="E4525" s="6">
        <f>IF((ISBLANK($B$1)),"",Sheet1!Q4535)</f>
        <v>4350</v>
      </c>
      <c r="F4525" s="20" t="s">
        <v>26</v>
      </c>
      <c r="G4525" s="53">
        <f t="shared" si="71"/>
        <v>-0.45402307232003986</v>
      </c>
      <c r="H4525" s="35"/>
      <c r="P4525" s="6"/>
    </row>
    <row r="4526" spans="1:16" ht="14.4" x14ac:dyDescent="0.25">
      <c r="A4526" s="6">
        <v>3581</v>
      </c>
      <c r="B4526" s="6">
        <v>25536</v>
      </c>
      <c r="C4526" s="19">
        <v>40746</v>
      </c>
      <c r="D4526" s="6" t="s">
        <v>25</v>
      </c>
      <c r="E4526" s="6">
        <f>IF((ISBLANK($B$1)),"",Sheet1!Q4536)</f>
        <v>4350</v>
      </c>
      <c r="F4526" s="20" t="s">
        <v>26</v>
      </c>
      <c r="G4526" s="53">
        <f t="shared" si="71"/>
        <v>-0.45402307232003986</v>
      </c>
      <c r="H4526" s="35"/>
      <c r="P4526" s="6"/>
    </row>
    <row r="4527" spans="1:16" ht="14.4" x14ac:dyDescent="0.25">
      <c r="A4527" s="6">
        <v>3598</v>
      </c>
      <c r="B4527" s="6">
        <v>25666</v>
      </c>
      <c r="C4527" s="19">
        <v>41154</v>
      </c>
      <c r="D4527" s="6" t="s">
        <v>30</v>
      </c>
      <c r="E4527" s="6">
        <f>IF((ISBLANK($B$1)),"",Sheet1!Q4537)</f>
        <v>4550</v>
      </c>
      <c r="F4527" s="20" t="s">
        <v>26</v>
      </c>
      <c r="G4527" s="53">
        <f t="shared" si="71"/>
        <v>-0.17783221777813119</v>
      </c>
      <c r="H4527" s="35"/>
      <c r="P4527" s="6"/>
    </row>
    <row r="4528" spans="1:16" ht="14.4" x14ac:dyDescent="0.25">
      <c r="A4528" s="6">
        <v>3926</v>
      </c>
      <c r="B4528" s="6">
        <v>28001</v>
      </c>
      <c r="C4528" s="19">
        <v>39978</v>
      </c>
      <c r="D4528" s="6" t="s">
        <v>30</v>
      </c>
      <c r="E4528" s="6">
        <f>IF((ISBLANK($B$1)),"",Sheet1!Q4538)</f>
        <v>5450</v>
      </c>
      <c r="F4528" s="20" t="s">
        <v>29</v>
      </c>
      <c r="G4528" s="53">
        <f t="shared" si="71"/>
        <v>1.0650266276604579</v>
      </c>
      <c r="H4528" s="35"/>
      <c r="P4528" s="6"/>
    </row>
    <row r="4529" spans="1:16" ht="14.4" x14ac:dyDescent="0.25">
      <c r="A4529" s="6">
        <v>4073</v>
      </c>
      <c r="B4529" s="6">
        <v>28999</v>
      </c>
      <c r="C4529" s="19">
        <v>39823</v>
      </c>
      <c r="D4529" s="6" t="s">
        <v>17</v>
      </c>
      <c r="E4529" s="6">
        <f>IF((ISBLANK($B$1)),"",Sheet1!Q4539)</f>
        <v>5100</v>
      </c>
      <c r="F4529" s="20" t="s">
        <v>27</v>
      </c>
      <c r="G4529" s="53">
        <f t="shared" si="71"/>
        <v>0.58169263221211776</v>
      </c>
      <c r="H4529" s="35"/>
      <c r="P4529" s="6"/>
    </row>
    <row r="4530" spans="1:16" ht="14.4" x14ac:dyDescent="0.25">
      <c r="A4530" s="6">
        <v>4178</v>
      </c>
      <c r="B4530" s="6">
        <v>29666</v>
      </c>
      <c r="C4530" s="19">
        <v>40907</v>
      </c>
      <c r="D4530" s="6" t="s">
        <v>28</v>
      </c>
      <c r="E4530" s="6">
        <f>IF((ISBLANK($B$1)),"",Sheet1!Q4540)</f>
        <v>5600</v>
      </c>
      <c r="F4530" s="20" t="s">
        <v>27</v>
      </c>
      <c r="G4530" s="53">
        <f t="shared" si="71"/>
        <v>1.2721697685668893</v>
      </c>
      <c r="H4530" s="35"/>
      <c r="P4530" s="6"/>
    </row>
    <row r="4531" spans="1:16" ht="14.4" x14ac:dyDescent="0.25">
      <c r="A4531" s="6">
        <v>4299</v>
      </c>
      <c r="B4531" s="6">
        <v>30599</v>
      </c>
      <c r="C4531" s="19">
        <v>40949</v>
      </c>
      <c r="D4531" s="6" t="s">
        <v>28</v>
      </c>
      <c r="E4531" s="6">
        <f>IF((ISBLANK($B$1)),"",Sheet1!Q4541)</f>
        <v>4550</v>
      </c>
      <c r="F4531" s="20" t="s">
        <v>26</v>
      </c>
      <c r="G4531" s="53">
        <f t="shared" si="71"/>
        <v>-0.17783221777813119</v>
      </c>
      <c r="H4531" s="35"/>
      <c r="P4531" s="6"/>
    </row>
    <row r="4532" spans="1:16" ht="14.4" x14ac:dyDescent="0.25">
      <c r="A4532" s="6">
        <v>4381</v>
      </c>
      <c r="B4532" s="6">
        <v>31232</v>
      </c>
      <c r="C4532" s="19">
        <v>41150</v>
      </c>
      <c r="D4532" s="6" t="s">
        <v>17</v>
      </c>
      <c r="E4532" s="6">
        <f>IF((ISBLANK($B$1)),"",Sheet1!Q4542)</f>
        <v>3850</v>
      </c>
      <c r="F4532" s="20" t="s">
        <v>29</v>
      </c>
      <c r="G4532" s="53">
        <f t="shared" si="71"/>
        <v>-1.1445002086748115</v>
      </c>
      <c r="H4532" s="35"/>
      <c r="P4532" s="6"/>
    </row>
    <row r="4533" spans="1:16" ht="14.4" x14ac:dyDescent="0.25">
      <c r="A4533" s="6">
        <v>4388</v>
      </c>
      <c r="B4533" s="6">
        <v>31239</v>
      </c>
      <c r="C4533" s="19">
        <v>40418</v>
      </c>
      <c r="D4533" s="6" t="s">
        <v>25</v>
      </c>
      <c r="E4533" s="6">
        <f>IF((ISBLANK($B$1)),"",Sheet1!Q4543)</f>
        <v>4400</v>
      </c>
      <c r="F4533" s="20" t="s">
        <v>27</v>
      </c>
      <c r="G4533" s="53">
        <f t="shared" si="71"/>
        <v>-0.38497535868456267</v>
      </c>
      <c r="H4533" s="35"/>
      <c r="P4533" s="6"/>
    </row>
    <row r="4534" spans="1:16" ht="14.4" x14ac:dyDescent="0.25">
      <c r="A4534" s="6">
        <v>4403</v>
      </c>
      <c r="B4534" s="6">
        <v>31392</v>
      </c>
      <c r="C4534" s="19">
        <v>40304</v>
      </c>
      <c r="D4534" s="6" t="s">
        <v>25</v>
      </c>
      <c r="E4534" s="6">
        <f>IF((ISBLANK($B$1)),"",Sheet1!Q4544)</f>
        <v>5600</v>
      </c>
      <c r="F4534" s="20" t="s">
        <v>26</v>
      </c>
      <c r="G4534" s="53">
        <f t="shared" si="71"/>
        <v>1.2721697685668893</v>
      </c>
      <c r="H4534" s="35"/>
      <c r="P4534" s="6"/>
    </row>
    <row r="4535" spans="1:16" ht="14.4" x14ac:dyDescent="0.25">
      <c r="A4535" s="6">
        <v>4552</v>
      </c>
      <c r="B4535" s="6">
        <v>32389</v>
      </c>
      <c r="C4535" s="19">
        <v>40482</v>
      </c>
      <c r="D4535" s="6" t="s">
        <v>16</v>
      </c>
      <c r="E4535" s="6">
        <f>IF((ISBLANK($B$1)),"",Sheet1!Q4545)</f>
        <v>3800</v>
      </c>
      <c r="F4535" s="20" t="s">
        <v>29</v>
      </c>
      <c r="G4535" s="53">
        <f t="shared" si="71"/>
        <v>-1.2135479223102887</v>
      </c>
      <c r="H4535" s="35"/>
      <c r="P4535" s="6"/>
    </row>
    <row r="4536" spans="1:16" ht="14.4" x14ac:dyDescent="0.25">
      <c r="A4536" s="6">
        <v>4646</v>
      </c>
      <c r="B4536" s="6">
        <v>33090</v>
      </c>
      <c r="C4536" s="19">
        <v>40030</v>
      </c>
      <c r="D4536" s="6" t="s">
        <v>16</v>
      </c>
      <c r="E4536" s="6">
        <f>IF((ISBLANK($B$1)),"",Sheet1!Q4546)</f>
        <v>4700</v>
      </c>
      <c r="F4536" s="20" t="s">
        <v>26</v>
      </c>
      <c r="G4536" s="53">
        <f t="shared" si="71"/>
        <v>2.9310923128300338E-2</v>
      </c>
      <c r="H4536" s="35"/>
      <c r="P4536" s="6"/>
    </row>
    <row r="4537" spans="1:16" ht="14.4" x14ac:dyDescent="0.25">
      <c r="A4537" s="6">
        <v>4785</v>
      </c>
      <c r="B4537" s="6">
        <v>33987</v>
      </c>
      <c r="C4537" s="19">
        <v>40841</v>
      </c>
      <c r="D4537" s="6" t="s">
        <v>17</v>
      </c>
      <c r="E4537" s="6">
        <f>IF((ISBLANK($B$1)),"",Sheet1!Q4547)</f>
        <v>4350</v>
      </c>
      <c r="F4537" s="20" t="s">
        <v>29</v>
      </c>
      <c r="G4537" s="53">
        <f t="shared" si="71"/>
        <v>-0.45402307232003986</v>
      </c>
      <c r="H4537" s="35"/>
      <c r="P4537" s="6"/>
    </row>
    <row r="4538" spans="1:16" ht="14.4" x14ac:dyDescent="0.25">
      <c r="A4538" s="6">
        <v>5298</v>
      </c>
      <c r="B4538" s="6">
        <v>37731</v>
      </c>
      <c r="C4538" s="19">
        <v>40121</v>
      </c>
      <c r="D4538" s="6" t="s">
        <v>30</v>
      </c>
      <c r="E4538" s="6">
        <f>IF((ISBLANK($B$1)),"",Sheet1!Q4548)</f>
        <v>4600</v>
      </c>
      <c r="F4538" s="20" t="s">
        <v>26</v>
      </c>
      <c r="G4538" s="53">
        <f t="shared" si="71"/>
        <v>-0.108784504142654</v>
      </c>
      <c r="H4538" s="35"/>
      <c r="P4538" s="6"/>
    </row>
    <row r="4539" spans="1:16" ht="14.4" x14ac:dyDescent="0.25">
      <c r="A4539" s="6">
        <v>5391</v>
      </c>
      <c r="B4539" s="6">
        <v>38337</v>
      </c>
      <c r="C4539" s="19">
        <v>40482</v>
      </c>
      <c r="D4539" s="6" t="s">
        <v>16</v>
      </c>
      <c r="E4539" s="6">
        <f>IF((ISBLANK($B$1)),"",Sheet1!Q4549)</f>
        <v>5700</v>
      </c>
      <c r="F4539" s="20" t="s">
        <v>26</v>
      </c>
      <c r="G4539" s="53">
        <f t="shared" si="71"/>
        <v>1.4102651958378438</v>
      </c>
      <c r="H4539" s="35"/>
      <c r="P4539" s="6"/>
    </row>
    <row r="4540" spans="1:16" ht="14.4" x14ac:dyDescent="0.25">
      <c r="A4540" s="6">
        <v>5396</v>
      </c>
      <c r="B4540" s="6">
        <v>38369</v>
      </c>
      <c r="C4540" s="19">
        <v>40190</v>
      </c>
      <c r="D4540" s="6" t="s">
        <v>28</v>
      </c>
      <c r="E4540" s="6">
        <f>IF((ISBLANK($B$1)),"",Sheet1!Q4550)</f>
        <v>3550</v>
      </c>
      <c r="F4540" s="20" t="s">
        <v>29</v>
      </c>
      <c r="G4540" s="53">
        <f t="shared" si="71"/>
        <v>-1.5587864904876745</v>
      </c>
      <c r="H4540" s="35"/>
      <c r="P4540" s="6"/>
    </row>
    <row r="4541" spans="1:16" ht="14.4" x14ac:dyDescent="0.25">
      <c r="A4541" s="6">
        <v>5454</v>
      </c>
      <c r="B4541" s="6">
        <v>38723</v>
      </c>
      <c r="C4541" s="19">
        <v>41172</v>
      </c>
      <c r="D4541" s="6" t="s">
        <v>30</v>
      </c>
      <c r="E4541" s="6">
        <f>IF((ISBLANK($B$1)),"",Sheet1!Q4551)</f>
        <v>3850</v>
      </c>
      <c r="F4541" s="20" t="s">
        <v>27</v>
      </c>
      <c r="G4541" s="53">
        <f t="shared" si="71"/>
        <v>-1.1445002086748115</v>
      </c>
      <c r="H4541" s="35"/>
      <c r="P4541" s="6"/>
    </row>
    <row r="4542" spans="1:16" ht="14.4" x14ac:dyDescent="0.25">
      <c r="A4542" s="6">
        <v>5542</v>
      </c>
      <c r="B4542" s="6">
        <v>39266</v>
      </c>
      <c r="C4542" s="19">
        <v>41148</v>
      </c>
      <c r="D4542" s="6" t="s">
        <v>17</v>
      </c>
      <c r="E4542" s="6">
        <f>IF((ISBLANK($B$1)),"",Sheet1!Q4552)</f>
        <v>4200</v>
      </c>
      <c r="F4542" s="20" t="s">
        <v>26</v>
      </c>
      <c r="G4542" s="53">
        <f t="shared" si="71"/>
        <v>-0.6611662132264714</v>
      </c>
      <c r="H4542" s="35"/>
      <c r="P4542" s="6"/>
    </row>
    <row r="4543" spans="1:16" ht="14.4" x14ac:dyDescent="0.25">
      <c r="A4543" s="6">
        <v>5672</v>
      </c>
      <c r="B4543" s="6">
        <v>40103</v>
      </c>
      <c r="C4543" s="19">
        <v>40445</v>
      </c>
      <c r="D4543" s="6" t="s">
        <v>28</v>
      </c>
      <c r="E4543" s="6">
        <f>IF((ISBLANK($B$1)),"",Sheet1!Q4553)</f>
        <v>3750</v>
      </c>
      <c r="F4543" s="20" t="s">
        <v>26</v>
      </c>
      <c r="G4543" s="53">
        <f t="shared" si="71"/>
        <v>-1.282595635945766</v>
      </c>
      <c r="H4543" s="35"/>
      <c r="P4543" s="6"/>
    </row>
    <row r="4544" spans="1:16" ht="14.4" x14ac:dyDescent="0.25">
      <c r="A4544" s="6">
        <v>5674</v>
      </c>
      <c r="B4544" s="6">
        <v>40131</v>
      </c>
      <c r="C4544" s="19">
        <v>41031</v>
      </c>
      <c r="D4544" s="6" t="s">
        <v>25</v>
      </c>
      <c r="E4544" s="6">
        <f>IF((ISBLANK($B$1)),"",Sheet1!Q4554)</f>
        <v>4600</v>
      </c>
      <c r="F4544" s="20" t="s">
        <v>26</v>
      </c>
      <c r="G4544" s="53">
        <f t="shared" si="71"/>
        <v>-0.108784504142654</v>
      </c>
      <c r="H4544" s="35"/>
      <c r="P4544" s="6"/>
    </row>
    <row r="4545" spans="1:16" ht="14.4" x14ac:dyDescent="0.25">
      <c r="A4545" s="6">
        <v>5848</v>
      </c>
      <c r="B4545" s="6">
        <v>41504</v>
      </c>
      <c r="C4545" s="19">
        <v>41210</v>
      </c>
      <c r="D4545" s="6" t="s">
        <v>30</v>
      </c>
      <c r="E4545" s="6">
        <f>IF((ISBLANK($B$1)),"",Sheet1!Q4555)</f>
        <v>4400</v>
      </c>
      <c r="F4545" s="20" t="s">
        <v>26</v>
      </c>
      <c r="G4545" s="53">
        <f t="shared" si="71"/>
        <v>-0.38497535868456267</v>
      </c>
      <c r="H4545" s="35"/>
      <c r="P4545" s="6"/>
    </row>
    <row r="4546" spans="1:16" ht="14.4" x14ac:dyDescent="0.25">
      <c r="A4546" s="6">
        <v>6155</v>
      </c>
      <c r="B4546" s="6">
        <v>43588</v>
      </c>
      <c r="C4546" s="19">
        <v>41153</v>
      </c>
      <c r="D4546" s="6" t="s">
        <v>16</v>
      </c>
      <c r="E4546" s="6">
        <f>IF((ISBLANK($B$1)),"",Sheet1!Q4556)</f>
        <v>3700</v>
      </c>
      <c r="F4546" s="20" t="s">
        <v>26</v>
      </c>
      <c r="G4546" s="53">
        <f t="shared" si="71"/>
        <v>-1.351643349581243</v>
      </c>
      <c r="H4546" s="35"/>
      <c r="P4546" s="6"/>
    </row>
    <row r="4547" spans="1:16" ht="14.4" x14ac:dyDescent="0.25">
      <c r="A4547" s="6">
        <v>6174</v>
      </c>
      <c r="B4547" s="6">
        <v>43751</v>
      </c>
      <c r="C4547" s="19">
        <v>41087</v>
      </c>
      <c r="D4547" s="6" t="s">
        <v>17</v>
      </c>
      <c r="E4547" s="6">
        <f>IF((ISBLANK($B$1)),"",Sheet1!Q4557)</f>
        <v>5550</v>
      </c>
      <c r="F4547" s="20" t="s">
        <v>26</v>
      </c>
      <c r="G4547" s="53">
        <f t="shared" si="71"/>
        <v>1.2031220549314123</v>
      </c>
      <c r="H4547" s="35"/>
      <c r="P4547" s="6"/>
    </row>
    <row r="4548" spans="1:16" ht="14.4" x14ac:dyDescent="0.25">
      <c r="A4548" s="6">
        <v>6278</v>
      </c>
      <c r="B4548" s="6">
        <v>44448</v>
      </c>
      <c r="C4548" s="19">
        <v>39916</v>
      </c>
      <c r="D4548" s="6" t="s">
        <v>30</v>
      </c>
      <c r="E4548" s="6">
        <f>IF((ISBLANK($B$1)),"",Sheet1!Q4558)</f>
        <v>4800</v>
      </c>
      <c r="F4548" s="20" t="s">
        <v>27</v>
      </c>
      <c r="G4548" s="53">
        <f t="shared" si="71"/>
        <v>0.16740635039925467</v>
      </c>
      <c r="H4548" s="35"/>
      <c r="P4548" s="6"/>
    </row>
    <row r="4549" spans="1:16" ht="14.4" x14ac:dyDescent="0.25">
      <c r="A4549" s="6">
        <v>6540</v>
      </c>
      <c r="B4549" s="6">
        <v>46531</v>
      </c>
      <c r="C4549" s="19">
        <v>40776</v>
      </c>
      <c r="D4549" s="6" t="s">
        <v>25</v>
      </c>
      <c r="E4549" s="6">
        <f>IF((ISBLANK($B$1)),"",Sheet1!Q4559)</f>
        <v>3500</v>
      </c>
      <c r="F4549" s="20" t="s">
        <v>26</v>
      </c>
      <c r="G4549" s="53">
        <f t="shared" si="71"/>
        <v>-1.6278342041231517</v>
      </c>
      <c r="H4549" s="35"/>
      <c r="P4549" s="6"/>
    </row>
    <row r="4550" spans="1:16" ht="14.4" x14ac:dyDescent="0.25">
      <c r="A4550" s="6">
        <v>6546</v>
      </c>
      <c r="B4550" s="6">
        <v>46534</v>
      </c>
      <c r="C4550" s="19">
        <v>41185</v>
      </c>
      <c r="D4550" s="6" t="s">
        <v>17</v>
      </c>
      <c r="E4550" s="6">
        <f>IF((ISBLANK($B$1)),"",Sheet1!Q4560)</f>
        <v>4050</v>
      </c>
      <c r="F4550" s="20" t="s">
        <v>27</v>
      </c>
      <c r="G4550" s="53">
        <f t="shared" si="71"/>
        <v>-0.86830935413290289</v>
      </c>
      <c r="H4550" s="35"/>
      <c r="P4550" s="6"/>
    </row>
    <row r="4551" spans="1:16" ht="14.4" x14ac:dyDescent="0.25">
      <c r="A4551" s="6">
        <v>6664</v>
      </c>
      <c r="B4551" s="6">
        <v>47459</v>
      </c>
      <c r="C4551" s="19">
        <v>40772</v>
      </c>
      <c r="D4551" s="6" t="s">
        <v>28</v>
      </c>
      <c r="E4551" s="6">
        <f>IF((ISBLANK($B$1)),"",Sheet1!Q4561)</f>
        <v>3900</v>
      </c>
      <c r="F4551" s="20" t="s">
        <v>26</v>
      </c>
      <c r="G4551" s="53">
        <f t="shared" si="71"/>
        <v>-1.0754524950393345</v>
      </c>
      <c r="H4551" s="35"/>
      <c r="P4551" s="6"/>
    </row>
    <row r="4552" spans="1:16" ht="14.4" x14ac:dyDescent="0.25">
      <c r="A4552" s="6">
        <v>6804</v>
      </c>
      <c r="B4552" s="6">
        <v>48455</v>
      </c>
      <c r="C4552" s="19">
        <v>39966</v>
      </c>
      <c r="D4552" s="6" t="s">
        <v>30</v>
      </c>
      <c r="E4552" s="6">
        <f>IF((ISBLANK($B$1)),"",Sheet1!Q4562)</f>
        <v>3500</v>
      </c>
      <c r="F4552" s="20" t="s">
        <v>27</v>
      </c>
      <c r="G4552" s="53">
        <f t="shared" ref="G4552:G4615" si="72">STANDARDIZE(E4552,$L$26,$L$35)</f>
        <v>-1.6278342041231517</v>
      </c>
      <c r="H4552" s="35"/>
      <c r="P4552" s="6"/>
    </row>
    <row r="4553" spans="1:16" ht="14.4" x14ac:dyDescent="0.25">
      <c r="A4553" s="6">
        <v>6881</v>
      </c>
      <c r="B4553" s="6">
        <v>49056</v>
      </c>
      <c r="C4553" s="19">
        <v>40087</v>
      </c>
      <c r="D4553" s="6" t="s">
        <v>17</v>
      </c>
      <c r="E4553" s="6">
        <f>IF((ISBLANK($B$1)),"",Sheet1!Q4563)</f>
        <v>3650</v>
      </c>
      <c r="F4553" s="20" t="s">
        <v>27</v>
      </c>
      <c r="G4553" s="53">
        <f t="shared" si="72"/>
        <v>-1.4206910632167202</v>
      </c>
      <c r="H4553" s="35"/>
      <c r="P4553" s="6"/>
    </row>
    <row r="4554" spans="1:16" ht="14.4" x14ac:dyDescent="0.25">
      <c r="A4554" s="6">
        <v>6897</v>
      </c>
      <c r="B4554" s="6">
        <v>49190</v>
      </c>
      <c r="C4554" s="19">
        <v>41254</v>
      </c>
      <c r="D4554" s="6" t="s">
        <v>17</v>
      </c>
      <c r="E4554" s="6">
        <f>IF((ISBLANK($B$1)),"",Sheet1!Q4564)</f>
        <v>3600</v>
      </c>
      <c r="F4554" s="20" t="s">
        <v>26</v>
      </c>
      <c r="G4554" s="53">
        <f t="shared" si="72"/>
        <v>-1.4897387768521975</v>
      </c>
      <c r="H4554" s="35"/>
      <c r="P4554" s="6"/>
    </row>
    <row r="4555" spans="1:16" ht="14.4" x14ac:dyDescent="0.25">
      <c r="A4555" s="6">
        <v>7259</v>
      </c>
      <c r="B4555" s="6">
        <v>51783</v>
      </c>
      <c r="C4555" s="19">
        <v>40858</v>
      </c>
      <c r="D4555" s="6" t="s">
        <v>16</v>
      </c>
      <c r="E4555" s="6">
        <f>IF((ISBLANK($B$1)),"",Sheet1!Q4565)</f>
        <v>4050</v>
      </c>
      <c r="F4555" s="20" t="s">
        <v>26</v>
      </c>
      <c r="G4555" s="53">
        <f t="shared" si="72"/>
        <v>-0.86830935413290289</v>
      </c>
      <c r="H4555" s="35"/>
      <c r="P4555" s="6"/>
    </row>
    <row r="4556" spans="1:16" ht="14.4" x14ac:dyDescent="0.25">
      <c r="A4556" s="6">
        <v>7294</v>
      </c>
      <c r="B4556" s="6">
        <v>52006</v>
      </c>
      <c r="C4556" s="19">
        <v>39988</v>
      </c>
      <c r="D4556" s="6" t="s">
        <v>16</v>
      </c>
      <c r="E4556" s="6">
        <f>IF((ISBLANK($B$1)),"",Sheet1!Q4566)</f>
        <v>5350</v>
      </c>
      <c r="F4556" s="20" t="s">
        <v>26</v>
      </c>
      <c r="G4556" s="53">
        <f t="shared" si="72"/>
        <v>0.92693120038950361</v>
      </c>
      <c r="H4556" s="35"/>
      <c r="P4556" s="6"/>
    </row>
    <row r="4557" spans="1:16" ht="14.4" x14ac:dyDescent="0.25">
      <c r="A4557" s="6">
        <v>7632</v>
      </c>
      <c r="B4557" s="6">
        <v>54595</v>
      </c>
      <c r="C4557" s="19">
        <v>39931</v>
      </c>
      <c r="D4557" s="6" t="s">
        <v>16</v>
      </c>
      <c r="E4557" s="6">
        <f>IF((ISBLANK($B$1)),"",Sheet1!Q4567)</f>
        <v>5450</v>
      </c>
      <c r="F4557" s="20" t="s">
        <v>29</v>
      </c>
      <c r="G4557" s="53">
        <f t="shared" si="72"/>
        <v>1.0650266276604579</v>
      </c>
      <c r="H4557" s="35"/>
      <c r="P4557" s="6"/>
    </row>
    <row r="4558" spans="1:16" ht="14.4" x14ac:dyDescent="0.25">
      <c r="A4558" s="6">
        <v>7701</v>
      </c>
      <c r="B4558" s="6">
        <v>55202</v>
      </c>
      <c r="C4558" s="19">
        <v>40779</v>
      </c>
      <c r="D4558" s="6" t="s">
        <v>25</v>
      </c>
      <c r="E4558" s="6">
        <f>IF((ISBLANK($B$1)),"",Sheet1!Q4568)</f>
        <v>5850</v>
      </c>
      <c r="F4558" s="20" t="s">
        <v>27</v>
      </c>
      <c r="G4558" s="53">
        <f t="shared" si="72"/>
        <v>1.6174083367442753</v>
      </c>
      <c r="H4558" s="35"/>
      <c r="P4558" s="6"/>
    </row>
    <row r="4559" spans="1:16" ht="14.4" x14ac:dyDescent="0.25">
      <c r="A4559" s="6">
        <v>7743</v>
      </c>
      <c r="B4559" s="6">
        <v>55431</v>
      </c>
      <c r="C4559" s="19">
        <v>41068</v>
      </c>
      <c r="D4559" s="6" t="s">
        <v>28</v>
      </c>
      <c r="E4559" s="6">
        <f>IF((ISBLANK($B$1)),"",Sheet1!Q4569)</f>
        <v>4050</v>
      </c>
      <c r="F4559" s="20" t="s">
        <v>26</v>
      </c>
      <c r="G4559" s="53">
        <f t="shared" si="72"/>
        <v>-0.86830935413290289</v>
      </c>
      <c r="H4559" s="35"/>
      <c r="P4559" s="6"/>
    </row>
    <row r="4560" spans="1:16" ht="14.4" x14ac:dyDescent="0.25">
      <c r="A4560" s="6">
        <v>7786</v>
      </c>
      <c r="B4560" s="6">
        <v>55713</v>
      </c>
      <c r="C4560" s="19">
        <v>39846</v>
      </c>
      <c r="D4560" s="6" t="s">
        <v>17</v>
      </c>
      <c r="E4560" s="6">
        <f>IF((ISBLANK($B$1)),"",Sheet1!Q4570)</f>
        <v>5850</v>
      </c>
      <c r="F4560" s="20" t="s">
        <v>29</v>
      </c>
      <c r="G4560" s="53">
        <f t="shared" si="72"/>
        <v>1.6174083367442753</v>
      </c>
      <c r="H4560" s="35"/>
      <c r="P4560" s="6"/>
    </row>
    <row r="4561" spans="1:16" ht="14.4" x14ac:dyDescent="0.25">
      <c r="A4561" s="6">
        <v>8069</v>
      </c>
      <c r="B4561" s="6">
        <v>57570</v>
      </c>
      <c r="C4561" s="19">
        <v>41180</v>
      </c>
      <c r="D4561" s="6" t="s">
        <v>17</v>
      </c>
      <c r="E4561" s="6">
        <f>IF((ISBLANK($B$1)),"",Sheet1!Q4571)</f>
        <v>4150</v>
      </c>
      <c r="F4561" s="20" t="s">
        <v>26</v>
      </c>
      <c r="G4561" s="53">
        <f t="shared" si="72"/>
        <v>-0.73021392686194853</v>
      </c>
      <c r="H4561" s="35"/>
      <c r="P4561" s="6"/>
    </row>
    <row r="4562" spans="1:16" ht="14.4" x14ac:dyDescent="0.25">
      <c r="A4562" s="6">
        <v>8171</v>
      </c>
      <c r="B4562" s="6">
        <v>58372</v>
      </c>
      <c r="C4562" s="19">
        <v>40635</v>
      </c>
      <c r="D4562" s="6" t="s">
        <v>25</v>
      </c>
      <c r="E4562" s="6">
        <f>IF((ISBLANK($B$1)),"",Sheet1!Q4572)</f>
        <v>4200</v>
      </c>
      <c r="F4562" s="20" t="s">
        <v>26</v>
      </c>
      <c r="G4562" s="53">
        <f t="shared" si="72"/>
        <v>-0.6611662132264714</v>
      </c>
      <c r="H4562" s="35"/>
      <c r="P4562" s="6"/>
    </row>
    <row r="4563" spans="1:16" ht="14.4" x14ac:dyDescent="0.25">
      <c r="A4563" s="6">
        <v>8327</v>
      </c>
      <c r="B4563" s="6">
        <v>59552</v>
      </c>
      <c r="C4563" s="19">
        <v>40191</v>
      </c>
      <c r="D4563" s="6" t="s">
        <v>28</v>
      </c>
      <c r="E4563" s="6">
        <f>IF((ISBLANK($B$1)),"",Sheet1!Q4573)</f>
        <v>5350</v>
      </c>
      <c r="F4563" s="20" t="s">
        <v>26</v>
      </c>
      <c r="G4563" s="53">
        <f t="shared" si="72"/>
        <v>0.92693120038950361</v>
      </c>
      <c r="H4563" s="35"/>
      <c r="P4563" s="6"/>
    </row>
    <row r="4564" spans="1:16" ht="14.4" x14ac:dyDescent="0.25">
      <c r="A4564" s="6">
        <v>329</v>
      </c>
      <c r="B4564" s="6">
        <v>2272</v>
      </c>
      <c r="C4564" s="19">
        <v>40280</v>
      </c>
      <c r="D4564" s="6" t="s">
        <v>17</v>
      </c>
      <c r="E4564" s="6">
        <f>IF((ISBLANK($B$1)),"",Sheet1!Q4574)</f>
        <v>5350</v>
      </c>
      <c r="F4564" s="20" t="s">
        <v>29</v>
      </c>
      <c r="G4564" s="53">
        <f t="shared" si="72"/>
        <v>0.92693120038950361</v>
      </c>
      <c r="H4564" s="35"/>
      <c r="P4564" s="6"/>
    </row>
    <row r="4565" spans="1:16" ht="14.4" x14ac:dyDescent="0.25">
      <c r="A4565" s="6">
        <v>901</v>
      </c>
      <c r="B4565" s="6">
        <v>6498</v>
      </c>
      <c r="C4565" s="19">
        <v>39889</v>
      </c>
      <c r="D4565" s="6" t="s">
        <v>16</v>
      </c>
      <c r="E4565" s="6">
        <f>IF((ISBLANK($B$1)),"",Sheet1!Q4575)</f>
        <v>5300</v>
      </c>
      <c r="F4565" s="20" t="s">
        <v>27</v>
      </c>
      <c r="G4565" s="53">
        <f t="shared" si="72"/>
        <v>0.85788348675402637</v>
      </c>
      <c r="H4565" s="35"/>
      <c r="P4565" s="6"/>
    </row>
    <row r="4566" spans="1:16" ht="14.4" x14ac:dyDescent="0.25">
      <c r="A4566" s="6">
        <v>2264</v>
      </c>
      <c r="B4566" s="6">
        <v>16260</v>
      </c>
      <c r="C4566" s="19">
        <v>40860</v>
      </c>
      <c r="D4566" s="6" t="s">
        <v>17</v>
      </c>
      <c r="E4566" s="6">
        <f>IF((ISBLANK($B$1)),"",Sheet1!Q4576)</f>
        <v>5750</v>
      </c>
      <c r="F4566" s="20" t="s">
        <v>29</v>
      </c>
      <c r="G4566" s="53">
        <f t="shared" si="72"/>
        <v>1.4793129094733208</v>
      </c>
      <c r="H4566" s="35"/>
      <c r="P4566" s="6"/>
    </row>
    <row r="4567" spans="1:16" ht="14.4" x14ac:dyDescent="0.25">
      <c r="A4567" s="6">
        <v>2275</v>
      </c>
      <c r="B4567" s="6">
        <v>16359</v>
      </c>
      <c r="C4567" s="19">
        <v>41043</v>
      </c>
      <c r="D4567" s="6" t="s">
        <v>30</v>
      </c>
      <c r="E4567" s="6">
        <f>IF((ISBLANK($B$1)),"",Sheet1!Q4577)</f>
        <v>5350</v>
      </c>
      <c r="F4567" s="20" t="s">
        <v>26</v>
      </c>
      <c r="G4567" s="53">
        <f t="shared" si="72"/>
        <v>0.92693120038950361</v>
      </c>
      <c r="H4567" s="35"/>
      <c r="P4567" s="6"/>
    </row>
    <row r="4568" spans="1:16" ht="14.4" x14ac:dyDescent="0.25">
      <c r="A4568" s="6">
        <v>2276</v>
      </c>
      <c r="B4568" s="6">
        <v>16359</v>
      </c>
      <c r="C4568" s="19">
        <v>41043</v>
      </c>
      <c r="D4568" s="6" t="s">
        <v>30</v>
      </c>
      <c r="E4568" s="6">
        <f>IF((ISBLANK($B$1)),"",Sheet1!Q4578)</f>
        <v>3800</v>
      </c>
      <c r="F4568" s="20" t="s">
        <v>26</v>
      </c>
      <c r="G4568" s="53">
        <f t="shared" si="72"/>
        <v>-1.2135479223102887</v>
      </c>
      <c r="H4568" s="35"/>
      <c r="P4568" s="6"/>
    </row>
    <row r="4569" spans="1:16" ht="14.4" x14ac:dyDescent="0.25">
      <c r="A4569" s="6">
        <v>3059</v>
      </c>
      <c r="B4569" s="6">
        <v>21922</v>
      </c>
      <c r="C4569" s="19">
        <v>40128</v>
      </c>
      <c r="D4569" s="6" t="s">
        <v>17</v>
      </c>
      <c r="E4569" s="6">
        <f>IF((ISBLANK($B$1)),"",Sheet1!Q4579)</f>
        <v>4250</v>
      </c>
      <c r="F4569" s="20" t="s">
        <v>29</v>
      </c>
      <c r="G4569" s="53">
        <f t="shared" si="72"/>
        <v>-0.59211849959099416</v>
      </c>
      <c r="H4569" s="35"/>
      <c r="P4569" s="6"/>
    </row>
    <row r="4570" spans="1:16" ht="14.4" x14ac:dyDescent="0.25">
      <c r="A4570" s="6">
        <v>3060</v>
      </c>
      <c r="B4570" s="6">
        <v>21922</v>
      </c>
      <c r="C4570" s="19">
        <v>40128</v>
      </c>
      <c r="D4570" s="6" t="s">
        <v>17</v>
      </c>
      <c r="E4570" s="6">
        <f>IF((ISBLANK($B$1)),"",Sheet1!Q4580)</f>
        <v>3950</v>
      </c>
      <c r="F4570" s="20" t="s">
        <v>29</v>
      </c>
      <c r="G4570" s="53">
        <f t="shared" si="72"/>
        <v>-1.0064047814038573</v>
      </c>
      <c r="H4570" s="35"/>
      <c r="P4570" s="6"/>
    </row>
    <row r="4571" spans="1:16" ht="14.4" x14ac:dyDescent="0.25">
      <c r="A4571" s="6">
        <v>3061</v>
      </c>
      <c r="B4571" s="6">
        <v>21922</v>
      </c>
      <c r="C4571" s="19">
        <v>40128</v>
      </c>
      <c r="D4571" s="6" t="s">
        <v>17</v>
      </c>
      <c r="E4571" s="6">
        <f>IF((ISBLANK($B$1)),"",Sheet1!Q4581)</f>
        <v>5850</v>
      </c>
      <c r="F4571" s="20" t="s">
        <v>26</v>
      </c>
      <c r="G4571" s="53">
        <f t="shared" si="72"/>
        <v>1.6174083367442753</v>
      </c>
      <c r="H4571" s="35"/>
      <c r="P4571" s="6"/>
    </row>
    <row r="4572" spans="1:16" ht="14.4" x14ac:dyDescent="0.25">
      <c r="A4572" s="6">
        <v>3296</v>
      </c>
      <c r="B4572" s="6">
        <v>23558</v>
      </c>
      <c r="C4572" s="19">
        <v>40764</v>
      </c>
      <c r="D4572" s="6" t="s">
        <v>25</v>
      </c>
      <c r="E4572" s="6">
        <f>IF((ISBLANK($B$1)),"",Sheet1!Q4582)</f>
        <v>3600</v>
      </c>
      <c r="F4572" s="20" t="s">
        <v>26</v>
      </c>
      <c r="G4572" s="53">
        <f t="shared" si="72"/>
        <v>-1.4897387768521975</v>
      </c>
      <c r="H4572" s="35"/>
      <c r="P4572" s="6"/>
    </row>
    <row r="4573" spans="1:16" ht="14.4" x14ac:dyDescent="0.25">
      <c r="A4573" s="6">
        <v>3297</v>
      </c>
      <c r="B4573" s="6">
        <v>23558</v>
      </c>
      <c r="C4573" s="19">
        <v>40764</v>
      </c>
      <c r="D4573" s="6" t="s">
        <v>25</v>
      </c>
      <c r="E4573" s="6">
        <f>IF((ISBLANK($B$1)),"",Sheet1!Q4583)</f>
        <v>4250</v>
      </c>
      <c r="F4573" s="20" t="s">
        <v>29</v>
      </c>
      <c r="G4573" s="53">
        <f t="shared" si="72"/>
        <v>-0.59211849959099416</v>
      </c>
      <c r="H4573" s="35"/>
      <c r="P4573" s="6"/>
    </row>
    <row r="4574" spans="1:16" ht="14.4" x14ac:dyDescent="0.25">
      <c r="A4574" s="6">
        <v>3818</v>
      </c>
      <c r="B4574" s="6">
        <v>27205</v>
      </c>
      <c r="C4574" s="19">
        <v>40319</v>
      </c>
      <c r="D4574" s="6" t="s">
        <v>28</v>
      </c>
      <c r="E4574" s="6">
        <f>IF((ISBLANK($B$1)),"",Sheet1!Q4584)</f>
        <v>4000</v>
      </c>
      <c r="F4574" s="20" t="s">
        <v>27</v>
      </c>
      <c r="G4574" s="53">
        <f t="shared" si="72"/>
        <v>-0.93735706776838001</v>
      </c>
      <c r="H4574" s="35"/>
      <c r="P4574" s="6"/>
    </row>
    <row r="4575" spans="1:16" ht="14.4" x14ac:dyDescent="0.25">
      <c r="A4575" s="6">
        <v>3850</v>
      </c>
      <c r="B4575" s="6">
        <v>27461</v>
      </c>
      <c r="C4575" s="19">
        <v>40235</v>
      </c>
      <c r="D4575" s="6" t="s">
        <v>30</v>
      </c>
      <c r="E4575" s="6">
        <f>IF((ISBLANK($B$1)),"",Sheet1!Q4585)</f>
        <v>5400</v>
      </c>
      <c r="F4575" s="20" t="s">
        <v>26</v>
      </c>
      <c r="G4575" s="53">
        <f t="shared" si="72"/>
        <v>0.99597891402498073</v>
      </c>
      <c r="H4575" s="35"/>
      <c r="P4575" s="6"/>
    </row>
    <row r="4576" spans="1:16" ht="14.4" x14ac:dyDescent="0.25">
      <c r="A4576" s="6">
        <v>3851</v>
      </c>
      <c r="B4576" s="6">
        <v>27461</v>
      </c>
      <c r="C4576" s="19">
        <v>40235</v>
      </c>
      <c r="D4576" s="6" t="s">
        <v>30</v>
      </c>
      <c r="E4576" s="6">
        <f>IF((ISBLANK($B$1)),"",Sheet1!Q4586)</f>
        <v>4700</v>
      </c>
      <c r="F4576" s="20" t="s">
        <v>26</v>
      </c>
      <c r="G4576" s="53">
        <f t="shared" si="72"/>
        <v>2.9310923128300338E-2</v>
      </c>
      <c r="H4576" s="35"/>
      <c r="P4576" s="6"/>
    </row>
    <row r="4577" spans="1:16" ht="14.4" x14ac:dyDescent="0.25">
      <c r="A4577" s="6">
        <v>4215</v>
      </c>
      <c r="B4577" s="6">
        <v>29957</v>
      </c>
      <c r="C4577" s="19">
        <v>40250</v>
      </c>
      <c r="D4577" s="6" t="s">
        <v>30</v>
      </c>
      <c r="E4577" s="6">
        <f>IF((ISBLANK($B$1)),"",Sheet1!Q4587)</f>
        <v>4950</v>
      </c>
      <c r="F4577" s="20" t="s">
        <v>26</v>
      </c>
      <c r="G4577" s="53">
        <f t="shared" si="72"/>
        <v>0.37454949130568621</v>
      </c>
      <c r="H4577" s="35"/>
      <c r="P4577" s="6"/>
    </row>
    <row r="4578" spans="1:16" ht="14.4" x14ac:dyDescent="0.25">
      <c r="A4578" s="6">
        <v>4295</v>
      </c>
      <c r="B4578" s="6">
        <v>30593</v>
      </c>
      <c r="C4578" s="19">
        <v>40749</v>
      </c>
      <c r="D4578" s="6" t="s">
        <v>30</v>
      </c>
      <c r="E4578" s="6">
        <f>IF((ISBLANK($B$1)),"",Sheet1!Q4588)</f>
        <v>4400</v>
      </c>
      <c r="F4578" s="20" t="s">
        <v>29</v>
      </c>
      <c r="G4578" s="53">
        <f t="shared" si="72"/>
        <v>-0.38497535868456267</v>
      </c>
      <c r="H4578" s="35"/>
      <c r="P4578" s="6"/>
    </row>
    <row r="4579" spans="1:16" ht="14.4" x14ac:dyDescent="0.25">
      <c r="A4579" s="6">
        <v>4296</v>
      </c>
      <c r="B4579" s="6">
        <v>30593</v>
      </c>
      <c r="C4579" s="19">
        <v>40749</v>
      </c>
      <c r="D4579" s="6" t="s">
        <v>30</v>
      </c>
      <c r="E4579" s="6">
        <f>IF((ISBLANK($B$1)),"",Sheet1!Q4589)</f>
        <v>5450</v>
      </c>
      <c r="F4579" s="20" t="s">
        <v>26</v>
      </c>
      <c r="G4579" s="53">
        <f t="shared" si="72"/>
        <v>1.0650266276604579</v>
      </c>
      <c r="H4579" s="35"/>
      <c r="P4579" s="6"/>
    </row>
    <row r="4580" spans="1:16" ht="14.4" x14ac:dyDescent="0.25">
      <c r="A4580" s="6">
        <v>4617</v>
      </c>
      <c r="B4580" s="6">
        <v>32871</v>
      </c>
      <c r="C4580" s="19">
        <v>41208</v>
      </c>
      <c r="D4580" s="6" t="s">
        <v>17</v>
      </c>
      <c r="E4580" s="6">
        <f>IF((ISBLANK($B$1)),"",Sheet1!Q4590)</f>
        <v>3850</v>
      </c>
      <c r="F4580" s="20" t="s">
        <v>27</v>
      </c>
      <c r="G4580" s="53">
        <f t="shared" si="72"/>
        <v>-1.1445002086748115</v>
      </c>
      <c r="H4580" s="35"/>
      <c r="P4580" s="6"/>
    </row>
    <row r="4581" spans="1:16" ht="14.4" x14ac:dyDescent="0.25">
      <c r="A4581" s="6">
        <v>4618</v>
      </c>
      <c r="B4581" s="6">
        <v>32871</v>
      </c>
      <c r="C4581" s="19">
        <v>41208</v>
      </c>
      <c r="D4581" s="6" t="s">
        <v>17</v>
      </c>
      <c r="E4581" s="6">
        <f>IF((ISBLANK($B$1)),"",Sheet1!Q4591)</f>
        <v>4100</v>
      </c>
      <c r="F4581" s="20" t="s">
        <v>27</v>
      </c>
      <c r="G4581" s="53">
        <f t="shared" si="72"/>
        <v>-0.79926164049742576</v>
      </c>
      <c r="H4581" s="35"/>
      <c r="P4581" s="6"/>
    </row>
    <row r="4582" spans="1:16" ht="14.4" x14ac:dyDescent="0.25">
      <c r="A4582" s="6">
        <v>5034</v>
      </c>
      <c r="B4582" s="6">
        <v>35878</v>
      </c>
      <c r="C4582" s="19">
        <v>40403</v>
      </c>
      <c r="D4582" s="6" t="s">
        <v>16</v>
      </c>
      <c r="E4582" s="6">
        <f>IF((ISBLANK($B$1)),"",Sheet1!Q4592)</f>
        <v>3950</v>
      </c>
      <c r="F4582" s="20" t="s">
        <v>26</v>
      </c>
      <c r="G4582" s="53">
        <f t="shared" si="72"/>
        <v>-1.0064047814038573</v>
      </c>
      <c r="H4582" s="35"/>
      <c r="P4582" s="6"/>
    </row>
    <row r="4583" spans="1:16" ht="14.4" x14ac:dyDescent="0.25">
      <c r="A4583" s="6">
        <v>5339</v>
      </c>
      <c r="B4583" s="6">
        <v>37924</v>
      </c>
      <c r="C4583" s="19">
        <v>40146</v>
      </c>
      <c r="D4583" s="6" t="s">
        <v>17</v>
      </c>
      <c r="E4583" s="6">
        <f>IF((ISBLANK($B$1)),"",Sheet1!Q4593)</f>
        <v>4450</v>
      </c>
      <c r="F4583" s="20" t="s">
        <v>26</v>
      </c>
      <c r="G4583" s="53">
        <f t="shared" si="72"/>
        <v>-0.31592764504908549</v>
      </c>
      <c r="H4583" s="35"/>
      <c r="P4583" s="6"/>
    </row>
    <row r="4584" spans="1:16" ht="14.4" x14ac:dyDescent="0.25">
      <c r="A4584" s="6">
        <v>5401</v>
      </c>
      <c r="B4584" s="6">
        <v>38400</v>
      </c>
      <c r="C4584" s="19">
        <v>40161</v>
      </c>
      <c r="D4584" s="6" t="s">
        <v>28</v>
      </c>
      <c r="E4584" s="6">
        <f>IF((ISBLANK($B$1)),"",Sheet1!Q4594)</f>
        <v>3800</v>
      </c>
      <c r="F4584" s="20" t="s">
        <v>29</v>
      </c>
      <c r="G4584" s="53">
        <f t="shared" si="72"/>
        <v>-1.2135479223102887</v>
      </c>
      <c r="H4584" s="35"/>
      <c r="P4584" s="6"/>
    </row>
    <row r="4585" spans="1:16" ht="14.4" x14ac:dyDescent="0.25">
      <c r="A4585" s="6">
        <v>5413</v>
      </c>
      <c r="B4585" s="6">
        <v>38498</v>
      </c>
      <c r="C4585" s="19">
        <v>41026</v>
      </c>
      <c r="D4585" s="6" t="s">
        <v>30</v>
      </c>
      <c r="E4585" s="6">
        <f>IF((ISBLANK($B$1)),"",Sheet1!Q4595)</f>
        <v>4900</v>
      </c>
      <c r="F4585" s="20" t="s">
        <v>27</v>
      </c>
      <c r="G4585" s="53">
        <f t="shared" si="72"/>
        <v>0.30550177767020903</v>
      </c>
      <c r="H4585" s="35"/>
      <c r="P4585" s="6"/>
    </row>
    <row r="4586" spans="1:16" ht="14.4" x14ac:dyDescent="0.25">
      <c r="A4586" s="6">
        <v>5414</v>
      </c>
      <c r="B4586" s="6">
        <v>38498</v>
      </c>
      <c r="C4586" s="19">
        <v>41026</v>
      </c>
      <c r="D4586" s="6" t="s">
        <v>30</v>
      </c>
      <c r="E4586" s="6">
        <f>IF((ISBLANK($B$1)),"",Sheet1!Q4596)</f>
        <v>3450</v>
      </c>
      <c r="F4586" s="20" t="s">
        <v>26</v>
      </c>
      <c r="G4586" s="53">
        <f t="shared" si="72"/>
        <v>-1.696881917758629</v>
      </c>
      <c r="H4586" s="35"/>
      <c r="P4586" s="6"/>
    </row>
    <row r="4587" spans="1:16" ht="14.4" x14ac:dyDescent="0.25">
      <c r="A4587" s="6">
        <v>5575</v>
      </c>
      <c r="B4587" s="6">
        <v>39492</v>
      </c>
      <c r="C4587" s="19">
        <v>40650</v>
      </c>
      <c r="D4587" s="6" t="s">
        <v>28</v>
      </c>
      <c r="E4587" s="6">
        <f>IF((ISBLANK($B$1)),"",Sheet1!Q4597)</f>
        <v>5300</v>
      </c>
      <c r="F4587" s="20" t="s">
        <v>27</v>
      </c>
      <c r="G4587" s="53">
        <f t="shared" si="72"/>
        <v>0.85788348675402637</v>
      </c>
      <c r="H4587" s="35"/>
      <c r="P4587" s="6"/>
    </row>
    <row r="4588" spans="1:16" ht="14.4" x14ac:dyDescent="0.25">
      <c r="A4588" s="6">
        <v>5576</v>
      </c>
      <c r="B4588" s="6">
        <v>39492</v>
      </c>
      <c r="C4588" s="19">
        <v>40650</v>
      </c>
      <c r="D4588" s="6" t="s">
        <v>28</v>
      </c>
      <c r="E4588" s="6">
        <f>IF((ISBLANK($B$1)),"",Sheet1!Q4598)</f>
        <v>5400</v>
      </c>
      <c r="F4588" s="20" t="s">
        <v>26</v>
      </c>
      <c r="G4588" s="53">
        <f t="shared" si="72"/>
        <v>0.99597891402498073</v>
      </c>
      <c r="H4588" s="35"/>
      <c r="P4588" s="6"/>
    </row>
    <row r="4589" spans="1:16" ht="14.4" x14ac:dyDescent="0.25">
      <c r="A4589" s="6">
        <v>5602</v>
      </c>
      <c r="B4589" s="6">
        <v>39686</v>
      </c>
      <c r="C4589" s="19">
        <v>41068</v>
      </c>
      <c r="D4589" s="6" t="s">
        <v>28</v>
      </c>
      <c r="E4589" s="6">
        <f>IF((ISBLANK($B$1)),"",Sheet1!Q4599)</f>
        <v>3500</v>
      </c>
      <c r="F4589" s="20" t="s">
        <v>26</v>
      </c>
      <c r="G4589" s="53">
        <f t="shared" si="72"/>
        <v>-1.6278342041231517</v>
      </c>
      <c r="H4589" s="35"/>
      <c r="P4589" s="6"/>
    </row>
    <row r="4590" spans="1:16" ht="14.4" x14ac:dyDescent="0.25">
      <c r="A4590" s="6">
        <v>5603</v>
      </c>
      <c r="B4590" s="6">
        <v>39686</v>
      </c>
      <c r="C4590" s="19">
        <v>41068</v>
      </c>
      <c r="D4590" s="6" t="s">
        <v>28</v>
      </c>
      <c r="E4590" s="6">
        <f>IF((ISBLANK($B$1)),"",Sheet1!Q4600)</f>
        <v>5800</v>
      </c>
      <c r="F4590" s="20" t="s">
        <v>27</v>
      </c>
      <c r="G4590" s="53">
        <f t="shared" si="72"/>
        <v>1.5483606231087981</v>
      </c>
      <c r="H4590" s="35"/>
      <c r="P4590" s="6"/>
    </row>
    <row r="4591" spans="1:16" ht="14.4" x14ac:dyDescent="0.25">
      <c r="A4591" s="6">
        <v>6028</v>
      </c>
      <c r="B4591" s="6">
        <v>42693</v>
      </c>
      <c r="C4591" s="19">
        <v>39907</v>
      </c>
      <c r="D4591" s="6" t="s">
        <v>17</v>
      </c>
      <c r="E4591" s="6">
        <f>IF((ISBLANK($B$1)),"",Sheet1!Q4601)</f>
        <v>5050</v>
      </c>
      <c r="F4591" s="20" t="s">
        <v>26</v>
      </c>
      <c r="G4591" s="53">
        <f t="shared" si="72"/>
        <v>0.51264491857664052</v>
      </c>
      <c r="H4591" s="35"/>
      <c r="P4591" s="6"/>
    </row>
    <row r="4592" spans="1:16" ht="14.4" x14ac:dyDescent="0.25">
      <c r="A4592" s="6">
        <v>6043</v>
      </c>
      <c r="B4592" s="6">
        <v>42850</v>
      </c>
      <c r="C4592" s="19">
        <v>40715</v>
      </c>
      <c r="D4592" s="6" t="s">
        <v>16</v>
      </c>
      <c r="E4592" s="6">
        <f>IF((ISBLANK($B$1)),"",Sheet1!Q4602)</f>
        <v>4750</v>
      </c>
      <c r="F4592" s="20" t="s">
        <v>27</v>
      </c>
      <c r="G4592" s="53">
        <f t="shared" si="72"/>
        <v>9.8358636763777513E-2</v>
      </c>
      <c r="H4592" s="35"/>
      <c r="P4592" s="6"/>
    </row>
    <row r="4593" spans="1:16" ht="14.4" x14ac:dyDescent="0.25">
      <c r="A4593" s="6">
        <v>6468</v>
      </c>
      <c r="B4593" s="6">
        <v>46050</v>
      </c>
      <c r="C4593" s="19">
        <v>40182</v>
      </c>
      <c r="D4593" s="6" t="s">
        <v>17</v>
      </c>
      <c r="E4593" s="6">
        <f>IF((ISBLANK($B$1)),"",Sheet1!Q4603)</f>
        <v>3650</v>
      </c>
      <c r="F4593" s="20" t="s">
        <v>27</v>
      </c>
      <c r="G4593" s="53">
        <f t="shared" si="72"/>
        <v>-1.4206910632167202</v>
      </c>
      <c r="H4593" s="35"/>
      <c r="P4593" s="6"/>
    </row>
    <row r="4594" spans="1:16" ht="14.4" x14ac:dyDescent="0.25">
      <c r="A4594" s="6">
        <v>6469</v>
      </c>
      <c r="B4594" s="6">
        <v>46050</v>
      </c>
      <c r="C4594" s="19">
        <v>40182</v>
      </c>
      <c r="D4594" s="6" t="s">
        <v>17</v>
      </c>
      <c r="E4594" s="6">
        <f>IF((ISBLANK($B$1)),"",Sheet1!Q4604)</f>
        <v>5800</v>
      </c>
      <c r="F4594" s="20" t="s">
        <v>26</v>
      </c>
      <c r="G4594" s="53">
        <f t="shared" si="72"/>
        <v>1.5483606231087981</v>
      </c>
      <c r="H4594" s="35"/>
      <c r="P4594" s="6"/>
    </row>
    <row r="4595" spans="1:16" ht="14.4" x14ac:dyDescent="0.25">
      <c r="A4595" s="6">
        <v>6491</v>
      </c>
      <c r="B4595" s="6">
        <v>46212</v>
      </c>
      <c r="C4595" s="19">
        <v>41164</v>
      </c>
      <c r="D4595" s="6" t="s">
        <v>28</v>
      </c>
      <c r="E4595" s="6">
        <f>IF((ISBLANK($B$1)),"",Sheet1!Q4605)</f>
        <v>3750</v>
      </c>
      <c r="F4595" s="20" t="s">
        <v>29</v>
      </c>
      <c r="G4595" s="53">
        <f t="shared" si="72"/>
        <v>-1.282595635945766</v>
      </c>
      <c r="H4595" s="35"/>
      <c r="P4595" s="6"/>
    </row>
    <row r="4596" spans="1:16" ht="14.4" x14ac:dyDescent="0.25">
      <c r="A4596" s="6">
        <v>6911</v>
      </c>
      <c r="B4596" s="6">
        <v>49313</v>
      </c>
      <c r="C4596" s="19">
        <v>40090</v>
      </c>
      <c r="D4596" s="6" t="s">
        <v>16</v>
      </c>
      <c r="E4596" s="6">
        <f>IF((ISBLANK($B$1)),"",Sheet1!Q4606)</f>
        <v>5100</v>
      </c>
      <c r="F4596" s="20" t="s">
        <v>29</v>
      </c>
      <c r="G4596" s="53">
        <f t="shared" si="72"/>
        <v>0.58169263221211776</v>
      </c>
      <c r="H4596" s="35"/>
      <c r="P4596" s="6"/>
    </row>
    <row r="4597" spans="1:16" ht="14.4" x14ac:dyDescent="0.25">
      <c r="A4597" s="6">
        <v>6912</v>
      </c>
      <c r="B4597" s="6">
        <v>49313</v>
      </c>
      <c r="C4597" s="19">
        <v>40090</v>
      </c>
      <c r="D4597" s="6" t="s">
        <v>16</v>
      </c>
      <c r="E4597" s="6">
        <f>IF((ISBLANK($B$1)),"",Sheet1!Q4607)</f>
        <v>5200</v>
      </c>
      <c r="F4597" s="20" t="s">
        <v>27</v>
      </c>
      <c r="G4597" s="53">
        <f t="shared" si="72"/>
        <v>0.71978805948307201</v>
      </c>
      <c r="H4597" s="35"/>
      <c r="P4597" s="6"/>
    </row>
    <row r="4598" spans="1:16" ht="14.4" x14ac:dyDescent="0.25">
      <c r="A4598" s="6">
        <v>6933</v>
      </c>
      <c r="B4598" s="6">
        <v>49477</v>
      </c>
      <c r="C4598" s="19">
        <v>40876</v>
      </c>
      <c r="D4598" s="6" t="s">
        <v>16</v>
      </c>
      <c r="E4598" s="6">
        <f>IF((ISBLANK($B$1)),"",Sheet1!Q4608)</f>
        <v>3850</v>
      </c>
      <c r="F4598" s="20" t="s">
        <v>26</v>
      </c>
      <c r="G4598" s="53">
        <f t="shared" si="72"/>
        <v>-1.1445002086748115</v>
      </c>
      <c r="H4598" s="35"/>
      <c r="P4598" s="6"/>
    </row>
    <row r="4599" spans="1:16" ht="14.4" x14ac:dyDescent="0.25">
      <c r="A4599" s="6">
        <v>6978</v>
      </c>
      <c r="B4599" s="6">
        <v>49889</v>
      </c>
      <c r="C4599" s="19">
        <v>41255</v>
      </c>
      <c r="D4599" s="6" t="s">
        <v>30</v>
      </c>
      <c r="E4599" s="6">
        <f>IF((ISBLANK($B$1)),"",Sheet1!Q4609)</f>
        <v>5750</v>
      </c>
      <c r="F4599" s="20" t="s">
        <v>26</v>
      </c>
      <c r="G4599" s="53">
        <f t="shared" si="72"/>
        <v>1.4793129094733208</v>
      </c>
      <c r="H4599" s="35"/>
      <c r="P4599" s="6"/>
    </row>
    <row r="4600" spans="1:16" ht="14.4" x14ac:dyDescent="0.25">
      <c r="A4600" s="6">
        <v>6979</v>
      </c>
      <c r="B4600" s="6">
        <v>49889</v>
      </c>
      <c r="C4600" s="19">
        <v>41255</v>
      </c>
      <c r="D4600" s="6" t="s">
        <v>30</v>
      </c>
      <c r="E4600" s="6">
        <f>IF((ISBLANK($B$1)),"",Sheet1!Q4610)</f>
        <v>4450</v>
      </c>
      <c r="F4600" s="20" t="s">
        <v>26</v>
      </c>
      <c r="G4600" s="53">
        <f t="shared" si="72"/>
        <v>-0.31592764504908549</v>
      </c>
      <c r="H4600" s="35"/>
      <c r="P4600" s="6"/>
    </row>
    <row r="4601" spans="1:16" ht="14.4" x14ac:dyDescent="0.25">
      <c r="A4601" s="6">
        <v>7356</v>
      </c>
      <c r="B4601" s="6">
        <v>52416</v>
      </c>
      <c r="C4601" s="19">
        <v>39844</v>
      </c>
      <c r="D4601" s="6" t="s">
        <v>28</v>
      </c>
      <c r="E4601" s="6">
        <f>IF((ISBLANK($B$1)),"",Sheet1!Q4611)</f>
        <v>3700</v>
      </c>
      <c r="F4601" s="20" t="s">
        <v>26</v>
      </c>
      <c r="G4601" s="53">
        <f t="shared" si="72"/>
        <v>-1.351643349581243</v>
      </c>
      <c r="H4601" s="35"/>
      <c r="P4601" s="6"/>
    </row>
    <row r="4602" spans="1:16" ht="14.4" x14ac:dyDescent="0.25">
      <c r="A4602" s="6">
        <v>7357</v>
      </c>
      <c r="B4602" s="6">
        <v>52416</v>
      </c>
      <c r="C4602" s="19">
        <v>39844</v>
      </c>
      <c r="D4602" s="6" t="s">
        <v>28</v>
      </c>
      <c r="E4602" s="6">
        <f>IF((ISBLANK($B$1)),"",Sheet1!Q4612)</f>
        <v>5400</v>
      </c>
      <c r="F4602" s="20" t="s">
        <v>29</v>
      </c>
      <c r="G4602" s="53">
        <f t="shared" si="72"/>
        <v>0.99597891402498073</v>
      </c>
      <c r="H4602" s="35"/>
      <c r="P4602" s="6"/>
    </row>
    <row r="4603" spans="1:16" ht="14.4" x14ac:dyDescent="0.25">
      <c r="A4603" s="6">
        <v>7693</v>
      </c>
      <c r="B4603" s="6">
        <v>55140</v>
      </c>
      <c r="C4603" s="19">
        <v>40363</v>
      </c>
      <c r="D4603" s="6" t="s">
        <v>30</v>
      </c>
      <c r="E4603" s="6">
        <f>IF((ISBLANK($B$1)),"",Sheet1!Q4613)</f>
        <v>5350</v>
      </c>
      <c r="F4603" s="20" t="s">
        <v>26</v>
      </c>
      <c r="G4603" s="53">
        <f t="shared" si="72"/>
        <v>0.92693120038950361</v>
      </c>
      <c r="H4603" s="35"/>
      <c r="P4603" s="6"/>
    </row>
    <row r="4604" spans="1:16" ht="14.4" x14ac:dyDescent="0.25">
      <c r="A4604" s="6">
        <v>7908</v>
      </c>
      <c r="B4604" s="6">
        <v>56550</v>
      </c>
      <c r="C4604" s="19">
        <v>40641</v>
      </c>
      <c r="D4604" s="6" t="s">
        <v>28</v>
      </c>
      <c r="E4604" s="6">
        <f>IF((ISBLANK($B$1)),"",Sheet1!Q4614)</f>
        <v>5050</v>
      </c>
      <c r="F4604" s="20" t="s">
        <v>26</v>
      </c>
      <c r="G4604" s="53">
        <f t="shared" si="72"/>
        <v>0.51264491857664052</v>
      </c>
      <c r="H4604" s="35"/>
      <c r="P4604" s="6"/>
    </row>
    <row r="4605" spans="1:16" ht="14.4" x14ac:dyDescent="0.25">
      <c r="A4605" s="6">
        <v>8042</v>
      </c>
      <c r="B4605" s="6">
        <v>57447</v>
      </c>
      <c r="C4605" s="19">
        <v>40728</v>
      </c>
      <c r="D4605" s="6" t="s">
        <v>28</v>
      </c>
      <c r="E4605" s="6">
        <f>IF((ISBLANK($B$1)),"",Sheet1!Q4615)</f>
        <v>5350</v>
      </c>
      <c r="F4605" s="20" t="s">
        <v>27</v>
      </c>
      <c r="G4605" s="53">
        <f t="shared" si="72"/>
        <v>0.92693120038950361</v>
      </c>
      <c r="H4605" s="35"/>
      <c r="P4605" s="6"/>
    </row>
    <row r="4606" spans="1:16" ht="14.4" x14ac:dyDescent="0.25">
      <c r="A4606" s="6">
        <v>8043</v>
      </c>
      <c r="B4606" s="6">
        <v>57447</v>
      </c>
      <c r="C4606" s="19">
        <v>40728</v>
      </c>
      <c r="D4606" s="6" t="s">
        <v>28</v>
      </c>
      <c r="E4606" s="6">
        <f>IF((ISBLANK($B$1)),"",Sheet1!Q4616)</f>
        <v>3800</v>
      </c>
      <c r="F4606" s="20" t="s">
        <v>27</v>
      </c>
      <c r="G4606" s="53">
        <f t="shared" si="72"/>
        <v>-1.2135479223102887</v>
      </c>
      <c r="H4606" s="35"/>
      <c r="P4606" s="6"/>
    </row>
    <row r="4607" spans="1:16" ht="14.4" x14ac:dyDescent="0.25">
      <c r="A4607" s="6">
        <v>179</v>
      </c>
      <c r="B4607" s="6">
        <v>1185</v>
      </c>
      <c r="C4607" s="19">
        <v>41144</v>
      </c>
      <c r="D4607" s="6" t="s">
        <v>25</v>
      </c>
      <c r="E4607" s="6">
        <f>IF((ISBLANK($B$1)),"",Sheet1!Q4617)</f>
        <v>3750</v>
      </c>
      <c r="F4607" s="20" t="s">
        <v>26</v>
      </c>
      <c r="G4607" s="53">
        <f t="shared" si="72"/>
        <v>-1.282595635945766</v>
      </c>
      <c r="H4607" s="35"/>
      <c r="P4607" s="6"/>
    </row>
    <row r="4608" spans="1:16" ht="14.4" x14ac:dyDescent="0.25">
      <c r="A4608" s="6">
        <v>310</v>
      </c>
      <c r="B4608" s="6">
        <v>2149</v>
      </c>
      <c r="C4608" s="19">
        <v>40249</v>
      </c>
      <c r="D4608" s="6" t="s">
        <v>25</v>
      </c>
      <c r="E4608" s="6">
        <f>IF((ISBLANK($B$1)),"",Sheet1!Q4618)</f>
        <v>3600</v>
      </c>
      <c r="F4608" s="20" t="s">
        <v>29</v>
      </c>
      <c r="G4608" s="53">
        <f t="shared" si="72"/>
        <v>-1.4897387768521975</v>
      </c>
      <c r="H4608" s="35"/>
      <c r="P4608" s="6"/>
    </row>
    <row r="4609" spans="1:16" ht="14.4" x14ac:dyDescent="0.25">
      <c r="A4609" s="6">
        <v>354</v>
      </c>
      <c r="B4609" s="6">
        <v>2466</v>
      </c>
      <c r="C4609" s="19">
        <v>39877</v>
      </c>
      <c r="D4609" s="6" t="s">
        <v>30</v>
      </c>
      <c r="E4609" s="6">
        <f>IF((ISBLANK($B$1)),"",Sheet1!Q4619)</f>
        <v>4650</v>
      </c>
      <c r="F4609" s="20" t="s">
        <v>29</v>
      </c>
      <c r="G4609" s="53">
        <f t="shared" si="72"/>
        <v>-3.9736790507176829E-2</v>
      </c>
      <c r="H4609" s="35"/>
      <c r="P4609" s="6"/>
    </row>
    <row r="4610" spans="1:16" ht="14.4" x14ac:dyDescent="0.25">
      <c r="A4610" s="6">
        <v>509</v>
      </c>
      <c r="B4610" s="6">
        <v>3493</v>
      </c>
      <c r="C4610" s="19">
        <v>40413</v>
      </c>
      <c r="D4610" s="6" t="s">
        <v>17</v>
      </c>
      <c r="E4610" s="6">
        <f>IF((ISBLANK($B$1)),"",Sheet1!Q4620)</f>
        <v>5800</v>
      </c>
      <c r="F4610" s="20" t="s">
        <v>27</v>
      </c>
      <c r="G4610" s="53">
        <f t="shared" si="72"/>
        <v>1.5483606231087981</v>
      </c>
      <c r="H4610" s="35"/>
      <c r="P4610" s="6"/>
    </row>
    <row r="4611" spans="1:16" ht="14.4" x14ac:dyDescent="0.25">
      <c r="A4611" s="6">
        <v>525</v>
      </c>
      <c r="B4611" s="6">
        <v>3588</v>
      </c>
      <c r="C4611" s="19">
        <v>40620</v>
      </c>
      <c r="D4611" s="6" t="s">
        <v>28</v>
      </c>
      <c r="E4611" s="6">
        <f>IF((ISBLANK($B$1)),"",Sheet1!Q4621)</f>
        <v>5500</v>
      </c>
      <c r="F4611" s="20" t="s">
        <v>26</v>
      </c>
      <c r="G4611" s="53">
        <f t="shared" si="72"/>
        <v>1.1340743412959351</v>
      </c>
      <c r="H4611" s="35"/>
      <c r="P4611" s="6"/>
    </row>
    <row r="4612" spans="1:16" ht="14.4" x14ac:dyDescent="0.25">
      <c r="A4612" s="6">
        <v>526</v>
      </c>
      <c r="B4612" s="6">
        <v>3588</v>
      </c>
      <c r="C4612" s="19">
        <v>40620</v>
      </c>
      <c r="D4612" s="6" t="s">
        <v>28</v>
      </c>
      <c r="E4612" s="6">
        <f>IF((ISBLANK($B$1)),"",Sheet1!Q4622)</f>
        <v>4450</v>
      </c>
      <c r="F4612" s="20" t="s">
        <v>27</v>
      </c>
      <c r="G4612" s="53">
        <f t="shared" si="72"/>
        <v>-0.31592764504908549</v>
      </c>
      <c r="H4612" s="35"/>
      <c r="P4612" s="6"/>
    </row>
    <row r="4613" spans="1:16" ht="14.4" x14ac:dyDescent="0.25">
      <c r="A4613" s="6">
        <v>527</v>
      </c>
      <c r="B4613" s="6">
        <v>3588</v>
      </c>
      <c r="C4613" s="19">
        <v>40620</v>
      </c>
      <c r="D4613" s="6" t="s">
        <v>28</v>
      </c>
      <c r="E4613" s="6">
        <f>IF((ISBLANK($B$1)),"",Sheet1!Q4623)</f>
        <v>4100</v>
      </c>
      <c r="F4613" s="20" t="s">
        <v>29</v>
      </c>
      <c r="G4613" s="53">
        <f t="shared" si="72"/>
        <v>-0.79926164049742576</v>
      </c>
      <c r="H4613" s="35"/>
      <c r="P4613" s="6"/>
    </row>
    <row r="4614" spans="1:16" ht="14.4" x14ac:dyDescent="0.25">
      <c r="A4614" s="6">
        <v>528</v>
      </c>
      <c r="B4614" s="6">
        <v>3588</v>
      </c>
      <c r="C4614" s="19">
        <v>40620</v>
      </c>
      <c r="D4614" s="6" t="s">
        <v>28</v>
      </c>
      <c r="E4614" s="6">
        <f>IF((ISBLANK($B$1)),"",Sheet1!Q4624)</f>
        <v>4300</v>
      </c>
      <c r="F4614" s="20" t="s">
        <v>27</v>
      </c>
      <c r="G4614" s="53">
        <f t="shared" si="72"/>
        <v>-0.52307078595551704</v>
      </c>
      <c r="H4614" s="35"/>
      <c r="P4614" s="6"/>
    </row>
    <row r="4615" spans="1:16" ht="14.4" x14ac:dyDescent="0.25">
      <c r="A4615" s="6">
        <v>824</v>
      </c>
      <c r="B4615" s="6">
        <v>5957</v>
      </c>
      <c r="C4615" s="19">
        <v>40538</v>
      </c>
      <c r="D4615" s="6" t="s">
        <v>17</v>
      </c>
      <c r="E4615" s="6">
        <f>IF((ISBLANK($B$1)),"",Sheet1!Q4625)</f>
        <v>4150</v>
      </c>
      <c r="F4615" s="20" t="s">
        <v>26</v>
      </c>
      <c r="G4615" s="53">
        <f t="shared" si="72"/>
        <v>-0.73021392686194853</v>
      </c>
      <c r="H4615" s="35"/>
      <c r="P4615" s="6"/>
    </row>
    <row r="4616" spans="1:16" ht="14.4" x14ac:dyDescent="0.25">
      <c r="A4616" s="6">
        <v>825</v>
      </c>
      <c r="B4616" s="6">
        <v>5957</v>
      </c>
      <c r="C4616" s="19">
        <v>40538</v>
      </c>
      <c r="D4616" s="6" t="s">
        <v>17</v>
      </c>
      <c r="E4616" s="6">
        <f>IF((ISBLANK($B$1)),"",Sheet1!Q4626)</f>
        <v>3550</v>
      </c>
      <c r="F4616" s="20" t="s">
        <v>29</v>
      </c>
      <c r="G4616" s="53">
        <f t="shared" ref="G4616:G4679" si="73">STANDARDIZE(E4616,$L$26,$L$35)</f>
        <v>-1.5587864904876745</v>
      </c>
      <c r="H4616" s="35"/>
      <c r="P4616" s="6"/>
    </row>
    <row r="4617" spans="1:16" ht="14.4" x14ac:dyDescent="0.25">
      <c r="A4617" s="6">
        <v>826</v>
      </c>
      <c r="B4617" s="6">
        <v>5957</v>
      </c>
      <c r="C4617" s="19">
        <v>40538</v>
      </c>
      <c r="D4617" s="6" t="s">
        <v>17</v>
      </c>
      <c r="E4617" s="6">
        <f>IF((ISBLANK($B$1)),"",Sheet1!Q4627)</f>
        <v>4550</v>
      </c>
      <c r="F4617" s="20" t="s">
        <v>27</v>
      </c>
      <c r="G4617" s="53">
        <f t="shared" si="73"/>
        <v>-0.17783221777813119</v>
      </c>
      <c r="H4617" s="35"/>
      <c r="P4617" s="6"/>
    </row>
    <row r="4618" spans="1:16" ht="14.4" x14ac:dyDescent="0.25">
      <c r="A4618" s="6">
        <v>865</v>
      </c>
      <c r="B4618" s="6">
        <v>6183</v>
      </c>
      <c r="C4618" s="19">
        <v>41075</v>
      </c>
      <c r="D4618" s="6" t="s">
        <v>16</v>
      </c>
      <c r="E4618" s="6">
        <f>IF((ISBLANK($B$1)),"",Sheet1!Q4628)</f>
        <v>5450</v>
      </c>
      <c r="F4618" s="20" t="s">
        <v>26</v>
      </c>
      <c r="G4618" s="53">
        <f t="shared" si="73"/>
        <v>1.0650266276604579</v>
      </c>
      <c r="H4618" s="35"/>
      <c r="P4618" s="6"/>
    </row>
    <row r="4619" spans="1:16" ht="14.4" x14ac:dyDescent="0.25">
      <c r="A4619" s="6">
        <v>890</v>
      </c>
      <c r="B4619" s="6">
        <v>6402</v>
      </c>
      <c r="C4619" s="19">
        <v>40656</v>
      </c>
      <c r="D4619" s="6" t="s">
        <v>25</v>
      </c>
      <c r="E4619" s="6">
        <f>IF((ISBLANK($B$1)),"",Sheet1!Q4629)</f>
        <v>5150</v>
      </c>
      <c r="F4619" s="20" t="s">
        <v>26</v>
      </c>
      <c r="G4619" s="53">
        <f t="shared" si="73"/>
        <v>0.65074034584759488</v>
      </c>
      <c r="H4619" s="35"/>
      <c r="P4619" s="6"/>
    </row>
    <row r="4620" spans="1:16" ht="14.4" x14ac:dyDescent="0.25">
      <c r="A4620" s="6">
        <v>927</v>
      </c>
      <c r="B4620" s="6">
        <v>6720</v>
      </c>
      <c r="C4620" s="19">
        <v>40430</v>
      </c>
      <c r="D4620" s="6" t="s">
        <v>28</v>
      </c>
      <c r="E4620" s="6">
        <f>IF((ISBLANK($B$1)),"",Sheet1!Q4630)</f>
        <v>4950</v>
      </c>
      <c r="F4620" s="20" t="s">
        <v>26</v>
      </c>
      <c r="G4620" s="53">
        <f t="shared" si="73"/>
        <v>0.37454949130568621</v>
      </c>
      <c r="H4620" s="35"/>
      <c r="P4620" s="6"/>
    </row>
    <row r="4621" spans="1:16" ht="14.4" x14ac:dyDescent="0.25">
      <c r="A4621" s="6">
        <v>928</v>
      </c>
      <c r="B4621" s="6">
        <v>6720</v>
      </c>
      <c r="C4621" s="19">
        <v>40430</v>
      </c>
      <c r="D4621" s="6" t="s">
        <v>28</v>
      </c>
      <c r="E4621" s="6">
        <f>IF((ISBLANK($B$1)),"",Sheet1!Q4631)</f>
        <v>5200</v>
      </c>
      <c r="F4621" s="20" t="s">
        <v>29</v>
      </c>
      <c r="G4621" s="53">
        <f t="shared" si="73"/>
        <v>0.71978805948307201</v>
      </c>
      <c r="H4621" s="35"/>
      <c r="P4621" s="6"/>
    </row>
    <row r="4622" spans="1:16" ht="14.4" x14ac:dyDescent="0.25">
      <c r="A4622" s="6">
        <v>929</v>
      </c>
      <c r="B4622" s="6">
        <v>6720</v>
      </c>
      <c r="C4622" s="19">
        <v>40430</v>
      </c>
      <c r="D4622" s="6" t="s">
        <v>28</v>
      </c>
      <c r="E4622" s="6">
        <f>IF((ISBLANK($B$1)),"",Sheet1!Q4632)</f>
        <v>3800</v>
      </c>
      <c r="F4622" s="20" t="s">
        <v>26</v>
      </c>
      <c r="G4622" s="53">
        <f t="shared" si="73"/>
        <v>-1.2135479223102887</v>
      </c>
      <c r="H4622" s="35"/>
      <c r="P4622" s="6"/>
    </row>
    <row r="4623" spans="1:16" ht="14.4" x14ac:dyDescent="0.25">
      <c r="A4623" s="6">
        <v>936</v>
      </c>
      <c r="B4623" s="6">
        <v>6785</v>
      </c>
      <c r="C4623" s="19">
        <v>41035</v>
      </c>
      <c r="D4623" s="6" t="s">
        <v>16</v>
      </c>
      <c r="E4623" s="6">
        <f>IF((ISBLANK($B$1)),"",Sheet1!Q4633)</f>
        <v>3750</v>
      </c>
      <c r="F4623" s="20" t="s">
        <v>29</v>
      </c>
      <c r="G4623" s="53">
        <f t="shared" si="73"/>
        <v>-1.282595635945766</v>
      </c>
      <c r="H4623" s="35"/>
      <c r="P4623" s="6"/>
    </row>
    <row r="4624" spans="1:16" ht="14.4" x14ac:dyDescent="0.25">
      <c r="A4624" s="6">
        <v>1139</v>
      </c>
      <c r="B4624" s="6">
        <v>8295</v>
      </c>
      <c r="C4624" s="19">
        <v>39904</v>
      </c>
      <c r="D4624" s="6" t="s">
        <v>17</v>
      </c>
      <c r="E4624" s="6">
        <f>IF((ISBLANK($B$1)),"",Sheet1!Q4634)</f>
        <v>4900</v>
      </c>
      <c r="F4624" s="20" t="s">
        <v>27</v>
      </c>
      <c r="G4624" s="53">
        <f t="shared" si="73"/>
        <v>0.30550177767020903</v>
      </c>
      <c r="H4624" s="35"/>
      <c r="P4624" s="6"/>
    </row>
    <row r="4625" spans="1:16" ht="14.4" x14ac:dyDescent="0.25">
      <c r="A4625" s="6">
        <v>1140</v>
      </c>
      <c r="B4625" s="6">
        <v>8295</v>
      </c>
      <c r="C4625" s="19">
        <v>39904</v>
      </c>
      <c r="D4625" s="6" t="s">
        <v>17</v>
      </c>
      <c r="E4625" s="6">
        <f>IF((ISBLANK($B$1)),"",Sheet1!Q4635)</f>
        <v>3750</v>
      </c>
      <c r="F4625" s="20" t="s">
        <v>27</v>
      </c>
      <c r="G4625" s="53">
        <f t="shared" si="73"/>
        <v>-1.282595635945766</v>
      </c>
      <c r="H4625" s="35"/>
      <c r="P4625" s="6"/>
    </row>
    <row r="4626" spans="1:16" ht="14.4" x14ac:dyDescent="0.25">
      <c r="A4626" s="6">
        <v>1189</v>
      </c>
      <c r="B4626" s="6">
        <v>8704</v>
      </c>
      <c r="C4626" s="19">
        <v>40724</v>
      </c>
      <c r="D4626" s="6" t="s">
        <v>16</v>
      </c>
      <c r="E4626" s="6">
        <f>IF((ISBLANK($B$1)),"",Sheet1!Q4636)</f>
        <v>5550</v>
      </c>
      <c r="F4626" s="20" t="s">
        <v>26</v>
      </c>
      <c r="G4626" s="53">
        <f t="shared" si="73"/>
        <v>1.2031220549314123</v>
      </c>
      <c r="H4626" s="35"/>
      <c r="P4626" s="6"/>
    </row>
    <row r="4627" spans="1:16" ht="14.4" x14ac:dyDescent="0.25">
      <c r="A4627" s="6">
        <v>1190</v>
      </c>
      <c r="B4627" s="6">
        <v>8704</v>
      </c>
      <c r="C4627" s="19">
        <v>40724</v>
      </c>
      <c r="D4627" s="6" t="s">
        <v>16</v>
      </c>
      <c r="E4627" s="6">
        <f>IF((ISBLANK($B$1)),"",Sheet1!Q4637)</f>
        <v>5300</v>
      </c>
      <c r="F4627" s="20" t="s">
        <v>26</v>
      </c>
      <c r="G4627" s="53">
        <f t="shared" si="73"/>
        <v>0.85788348675402637</v>
      </c>
      <c r="H4627" s="35"/>
      <c r="P4627" s="6"/>
    </row>
    <row r="4628" spans="1:16" ht="14.4" x14ac:dyDescent="0.25">
      <c r="A4628" s="6">
        <v>1206</v>
      </c>
      <c r="B4628" s="6">
        <v>8834</v>
      </c>
      <c r="C4628" s="19">
        <v>40490</v>
      </c>
      <c r="D4628" s="6" t="s">
        <v>17</v>
      </c>
      <c r="E4628" s="6">
        <f>IF((ISBLANK($B$1)),"",Sheet1!Q4638)</f>
        <v>5650</v>
      </c>
      <c r="F4628" s="20" t="s">
        <v>27</v>
      </c>
      <c r="G4628" s="53">
        <f t="shared" si="73"/>
        <v>1.3412174822023666</v>
      </c>
      <c r="H4628" s="35"/>
      <c r="P4628" s="6"/>
    </row>
    <row r="4629" spans="1:16" ht="14.4" x14ac:dyDescent="0.25">
      <c r="A4629" s="6">
        <v>1215</v>
      </c>
      <c r="B4629" s="6">
        <v>8933</v>
      </c>
      <c r="C4629" s="19">
        <v>40458</v>
      </c>
      <c r="D4629" s="6" t="s">
        <v>17</v>
      </c>
      <c r="E4629" s="6">
        <f>IF((ISBLANK($B$1)),"",Sheet1!Q4639)</f>
        <v>5250</v>
      </c>
      <c r="F4629" s="20" t="s">
        <v>26</v>
      </c>
      <c r="G4629" s="53">
        <f t="shared" si="73"/>
        <v>0.78883577311854924</v>
      </c>
      <c r="H4629" s="35"/>
      <c r="P4629" s="6"/>
    </row>
    <row r="4630" spans="1:16" ht="14.4" x14ac:dyDescent="0.25">
      <c r="A4630" s="6">
        <v>1216</v>
      </c>
      <c r="B4630" s="6">
        <v>8933</v>
      </c>
      <c r="C4630" s="19">
        <v>40458</v>
      </c>
      <c r="D4630" s="6" t="s">
        <v>17</v>
      </c>
      <c r="E4630" s="6">
        <f>IF((ISBLANK($B$1)),"",Sheet1!Q4640)</f>
        <v>4900</v>
      </c>
      <c r="F4630" s="20" t="s">
        <v>29</v>
      </c>
      <c r="G4630" s="53">
        <f t="shared" si="73"/>
        <v>0.30550177767020903</v>
      </c>
      <c r="H4630" s="35"/>
      <c r="P4630" s="6"/>
    </row>
    <row r="4631" spans="1:16" ht="14.4" x14ac:dyDescent="0.25">
      <c r="A4631" s="6">
        <v>1269</v>
      </c>
      <c r="B4631" s="6">
        <v>9222</v>
      </c>
      <c r="C4631" s="19">
        <v>39854</v>
      </c>
      <c r="D4631" s="6" t="s">
        <v>17</v>
      </c>
      <c r="E4631" s="6">
        <f>IF((ISBLANK($B$1)),"",Sheet1!Q4641)</f>
        <v>5450</v>
      </c>
      <c r="F4631" s="20" t="s">
        <v>26</v>
      </c>
      <c r="G4631" s="53">
        <f t="shared" si="73"/>
        <v>1.0650266276604579</v>
      </c>
      <c r="H4631" s="35"/>
      <c r="P4631" s="6"/>
    </row>
    <row r="4632" spans="1:16" ht="14.4" x14ac:dyDescent="0.25">
      <c r="A4632" s="6">
        <v>1409</v>
      </c>
      <c r="B4632" s="6">
        <v>10243</v>
      </c>
      <c r="C4632" s="19">
        <v>40901</v>
      </c>
      <c r="D4632" s="6" t="s">
        <v>17</v>
      </c>
      <c r="E4632" s="6">
        <f>IF((ISBLANK($B$1)),"",Sheet1!Q4642)</f>
        <v>4000</v>
      </c>
      <c r="F4632" s="20" t="s">
        <v>26</v>
      </c>
      <c r="G4632" s="53">
        <f t="shared" si="73"/>
        <v>-0.93735706776838001</v>
      </c>
      <c r="H4632" s="35"/>
      <c r="P4632" s="6"/>
    </row>
    <row r="4633" spans="1:16" ht="14.4" x14ac:dyDescent="0.25">
      <c r="A4633" s="6">
        <v>1458</v>
      </c>
      <c r="B4633" s="6">
        <v>10502</v>
      </c>
      <c r="C4633" s="19">
        <v>40312</v>
      </c>
      <c r="D4633" s="6" t="s">
        <v>28</v>
      </c>
      <c r="E4633" s="6">
        <f>IF((ISBLANK($B$1)),"",Sheet1!Q4643)</f>
        <v>5050</v>
      </c>
      <c r="F4633" s="20" t="s">
        <v>29</v>
      </c>
      <c r="G4633" s="53">
        <f t="shared" si="73"/>
        <v>0.51264491857664052</v>
      </c>
      <c r="H4633" s="35"/>
      <c r="P4633" s="6"/>
    </row>
    <row r="4634" spans="1:16" ht="14.4" x14ac:dyDescent="0.25">
      <c r="A4634" s="6">
        <v>1459</v>
      </c>
      <c r="B4634" s="6">
        <v>10502</v>
      </c>
      <c r="C4634" s="19">
        <v>40312</v>
      </c>
      <c r="D4634" s="6" t="s">
        <v>28</v>
      </c>
      <c r="E4634" s="6">
        <f>IF((ISBLANK($B$1)),"",Sheet1!Q4644)</f>
        <v>5200</v>
      </c>
      <c r="F4634" s="20" t="s">
        <v>29</v>
      </c>
      <c r="G4634" s="53">
        <f t="shared" si="73"/>
        <v>0.71978805948307201</v>
      </c>
      <c r="H4634" s="35"/>
      <c r="P4634" s="6"/>
    </row>
    <row r="4635" spans="1:16" ht="14.4" x14ac:dyDescent="0.25">
      <c r="A4635" s="6">
        <v>1506</v>
      </c>
      <c r="B4635" s="6">
        <v>10886</v>
      </c>
      <c r="C4635" s="19">
        <v>40048</v>
      </c>
      <c r="D4635" s="6" t="s">
        <v>30</v>
      </c>
      <c r="E4635" s="6">
        <f>IF((ISBLANK($B$1)),"",Sheet1!Q4645)</f>
        <v>5200</v>
      </c>
      <c r="F4635" s="20" t="s">
        <v>29</v>
      </c>
      <c r="G4635" s="53">
        <f t="shared" si="73"/>
        <v>0.71978805948307201</v>
      </c>
      <c r="H4635" s="35"/>
      <c r="P4635" s="6"/>
    </row>
    <row r="4636" spans="1:16" ht="14.4" x14ac:dyDescent="0.25">
      <c r="A4636" s="6">
        <v>1507</v>
      </c>
      <c r="B4636" s="6">
        <v>10886</v>
      </c>
      <c r="C4636" s="19">
        <v>40048</v>
      </c>
      <c r="D4636" s="6" t="s">
        <v>30</v>
      </c>
      <c r="E4636" s="6">
        <f>IF((ISBLANK($B$1)),"",Sheet1!Q4646)</f>
        <v>5750</v>
      </c>
      <c r="F4636" s="20" t="s">
        <v>27</v>
      </c>
      <c r="G4636" s="53">
        <f t="shared" si="73"/>
        <v>1.4793129094733208</v>
      </c>
      <c r="H4636" s="35"/>
      <c r="P4636" s="6"/>
    </row>
    <row r="4637" spans="1:16" ht="14.4" x14ac:dyDescent="0.25">
      <c r="A4637" s="6">
        <v>1535</v>
      </c>
      <c r="B4637" s="6">
        <v>11047</v>
      </c>
      <c r="C4637" s="19">
        <v>40522</v>
      </c>
      <c r="D4637" s="6" t="s">
        <v>25</v>
      </c>
      <c r="E4637" s="6">
        <f>IF((ISBLANK($B$1)),"",Sheet1!Q4647)</f>
        <v>4750</v>
      </c>
      <c r="F4637" s="20" t="s">
        <v>26</v>
      </c>
      <c r="G4637" s="53">
        <f t="shared" si="73"/>
        <v>9.8358636763777513E-2</v>
      </c>
      <c r="H4637" s="35"/>
      <c r="P4637" s="6"/>
    </row>
    <row r="4638" spans="1:16" ht="14.4" x14ac:dyDescent="0.25">
      <c r="A4638" s="6">
        <v>1536</v>
      </c>
      <c r="B4638" s="6">
        <v>11047</v>
      </c>
      <c r="C4638" s="19">
        <v>40522</v>
      </c>
      <c r="D4638" s="6" t="s">
        <v>25</v>
      </c>
      <c r="E4638" s="6">
        <f>IF((ISBLANK($B$1)),"",Sheet1!Q4648)</f>
        <v>4600</v>
      </c>
      <c r="F4638" s="20" t="s">
        <v>29</v>
      </c>
      <c r="G4638" s="53">
        <f t="shared" si="73"/>
        <v>-0.108784504142654</v>
      </c>
      <c r="H4638" s="35"/>
      <c r="P4638" s="6"/>
    </row>
    <row r="4639" spans="1:16" ht="14.4" x14ac:dyDescent="0.25">
      <c r="A4639" s="6">
        <v>1787</v>
      </c>
      <c r="B4639" s="6">
        <v>12803</v>
      </c>
      <c r="C4639" s="19">
        <v>40234</v>
      </c>
      <c r="D4639" s="6" t="s">
        <v>28</v>
      </c>
      <c r="E4639" s="6">
        <f>IF((ISBLANK($B$1)),"",Sheet1!Q4649)</f>
        <v>5000</v>
      </c>
      <c r="F4639" s="20" t="s">
        <v>26</v>
      </c>
      <c r="G4639" s="53">
        <f t="shared" si="73"/>
        <v>0.44359720494116334</v>
      </c>
      <c r="H4639" s="35"/>
      <c r="P4639" s="6"/>
    </row>
    <row r="4640" spans="1:16" ht="14.4" x14ac:dyDescent="0.25">
      <c r="A4640" s="6">
        <v>1927</v>
      </c>
      <c r="B4640" s="6">
        <v>13767</v>
      </c>
      <c r="C4640" s="19">
        <v>40416</v>
      </c>
      <c r="D4640" s="6" t="s">
        <v>17</v>
      </c>
      <c r="E4640" s="6">
        <f>IF((ISBLANK($B$1)),"",Sheet1!Q4650)</f>
        <v>4000</v>
      </c>
      <c r="F4640" s="20" t="s">
        <v>29</v>
      </c>
      <c r="G4640" s="53">
        <f t="shared" si="73"/>
        <v>-0.93735706776838001</v>
      </c>
      <c r="H4640" s="35"/>
      <c r="P4640" s="6"/>
    </row>
    <row r="4641" spans="1:16" ht="14.4" x14ac:dyDescent="0.25">
      <c r="A4641" s="6">
        <v>1980</v>
      </c>
      <c r="B4641" s="6">
        <v>14117</v>
      </c>
      <c r="C4641" s="19">
        <v>40415</v>
      </c>
      <c r="D4641" s="6" t="s">
        <v>28</v>
      </c>
      <c r="E4641" s="6">
        <f>IF((ISBLANK($B$1)),"",Sheet1!Q4651)</f>
        <v>3600</v>
      </c>
      <c r="F4641" s="20" t="s">
        <v>26</v>
      </c>
      <c r="G4641" s="53">
        <f t="shared" si="73"/>
        <v>-1.4897387768521975</v>
      </c>
      <c r="H4641" s="35"/>
      <c r="P4641" s="6"/>
    </row>
    <row r="4642" spans="1:16" ht="14.4" x14ac:dyDescent="0.25">
      <c r="A4642" s="6">
        <v>2091</v>
      </c>
      <c r="B4642" s="6">
        <v>14976</v>
      </c>
      <c r="C4642" s="19">
        <v>40746</v>
      </c>
      <c r="D4642" s="6" t="s">
        <v>17</v>
      </c>
      <c r="E4642" s="6">
        <f>IF((ISBLANK($B$1)),"",Sheet1!Q4652)</f>
        <v>5700</v>
      </c>
      <c r="F4642" s="20" t="s">
        <v>26</v>
      </c>
      <c r="G4642" s="53">
        <f t="shared" si="73"/>
        <v>1.4102651958378438</v>
      </c>
      <c r="H4642" s="35"/>
      <c r="P4642" s="6"/>
    </row>
    <row r="4643" spans="1:16" ht="14.4" x14ac:dyDescent="0.25">
      <c r="A4643" s="6">
        <v>2094</v>
      </c>
      <c r="B4643" s="6">
        <v>14980</v>
      </c>
      <c r="C4643" s="19">
        <v>41104</v>
      </c>
      <c r="D4643" s="6" t="s">
        <v>30</v>
      </c>
      <c r="E4643" s="6">
        <f>IF((ISBLANK($B$1)),"",Sheet1!Q4653)</f>
        <v>4750</v>
      </c>
      <c r="F4643" s="20" t="s">
        <v>27</v>
      </c>
      <c r="G4643" s="53">
        <f t="shared" si="73"/>
        <v>9.8358636763777513E-2</v>
      </c>
      <c r="H4643" s="35"/>
      <c r="P4643" s="6"/>
    </row>
    <row r="4644" spans="1:16" ht="14.4" x14ac:dyDescent="0.25">
      <c r="A4644" s="6">
        <v>2233</v>
      </c>
      <c r="B4644" s="6">
        <v>16133</v>
      </c>
      <c r="C4644" s="19">
        <v>40081</v>
      </c>
      <c r="D4644" s="6" t="s">
        <v>30</v>
      </c>
      <c r="E4644" s="6">
        <f>IF((ISBLANK($B$1)),"",Sheet1!Q4654)</f>
        <v>4200</v>
      </c>
      <c r="F4644" s="20" t="s">
        <v>27</v>
      </c>
      <c r="G4644" s="53">
        <f t="shared" si="73"/>
        <v>-0.6611662132264714</v>
      </c>
      <c r="H4644" s="35"/>
      <c r="P4644" s="6"/>
    </row>
    <row r="4645" spans="1:16" ht="14.4" x14ac:dyDescent="0.25">
      <c r="A4645" s="6">
        <v>2235</v>
      </c>
      <c r="B4645" s="6">
        <v>16134</v>
      </c>
      <c r="C4645" s="19">
        <v>41232</v>
      </c>
      <c r="D4645" s="6" t="s">
        <v>17</v>
      </c>
      <c r="E4645" s="6">
        <f>IF((ISBLANK($B$1)),"",Sheet1!Q4655)</f>
        <v>5550</v>
      </c>
      <c r="F4645" s="20" t="s">
        <v>27</v>
      </c>
      <c r="G4645" s="53">
        <f t="shared" si="73"/>
        <v>1.2031220549314123</v>
      </c>
      <c r="H4645" s="35"/>
      <c r="P4645" s="6"/>
    </row>
    <row r="4646" spans="1:16" ht="14.4" x14ac:dyDescent="0.25">
      <c r="A4646" s="6">
        <v>2262</v>
      </c>
      <c r="B4646" s="6">
        <v>16258</v>
      </c>
      <c r="C4646" s="19">
        <v>40730</v>
      </c>
      <c r="D4646" s="6" t="s">
        <v>16</v>
      </c>
      <c r="E4646" s="6">
        <f>IF((ISBLANK($B$1)),"",Sheet1!Q4656)</f>
        <v>3450</v>
      </c>
      <c r="F4646" s="20" t="s">
        <v>26</v>
      </c>
      <c r="G4646" s="53">
        <f t="shared" si="73"/>
        <v>-1.696881917758629</v>
      </c>
      <c r="H4646" s="35"/>
      <c r="P4646" s="6"/>
    </row>
    <row r="4647" spans="1:16" ht="14.4" x14ac:dyDescent="0.25">
      <c r="A4647" s="6">
        <v>2263</v>
      </c>
      <c r="B4647" s="6">
        <v>16258</v>
      </c>
      <c r="C4647" s="19">
        <v>40730</v>
      </c>
      <c r="D4647" s="6" t="s">
        <v>16</v>
      </c>
      <c r="E4647" s="6">
        <f>IF((ISBLANK($B$1)),"",Sheet1!Q4657)</f>
        <v>5800</v>
      </c>
      <c r="F4647" s="20" t="s">
        <v>26</v>
      </c>
      <c r="G4647" s="53">
        <f t="shared" si="73"/>
        <v>1.5483606231087981</v>
      </c>
      <c r="H4647" s="35"/>
      <c r="P4647" s="6"/>
    </row>
    <row r="4648" spans="1:16" ht="14.4" x14ac:dyDescent="0.25">
      <c r="A4648" s="6">
        <v>2267</v>
      </c>
      <c r="B4648" s="6">
        <v>16289</v>
      </c>
      <c r="C4648" s="19">
        <v>40376</v>
      </c>
      <c r="D4648" s="6" t="s">
        <v>17</v>
      </c>
      <c r="E4648" s="6">
        <f>IF((ISBLANK($B$1)),"",Sheet1!Q4658)</f>
        <v>5250</v>
      </c>
      <c r="F4648" s="20" t="s">
        <v>29</v>
      </c>
      <c r="G4648" s="53">
        <f t="shared" si="73"/>
        <v>0.78883577311854924</v>
      </c>
      <c r="H4648" s="35"/>
      <c r="P4648" s="6"/>
    </row>
    <row r="4649" spans="1:16" ht="14.4" x14ac:dyDescent="0.25">
      <c r="A4649" s="6">
        <v>2355</v>
      </c>
      <c r="B4649" s="6">
        <v>16993</v>
      </c>
      <c r="C4649" s="19">
        <v>40863</v>
      </c>
      <c r="D4649" s="6" t="s">
        <v>16</v>
      </c>
      <c r="E4649" s="6">
        <f>IF((ISBLANK($B$1)),"",Sheet1!Q4659)</f>
        <v>3800</v>
      </c>
      <c r="F4649" s="20" t="s">
        <v>27</v>
      </c>
      <c r="G4649" s="53">
        <f t="shared" si="73"/>
        <v>-1.2135479223102887</v>
      </c>
      <c r="H4649" s="35"/>
      <c r="P4649" s="6"/>
    </row>
    <row r="4650" spans="1:16" ht="14.4" x14ac:dyDescent="0.25">
      <c r="A4650" s="6">
        <v>2619</v>
      </c>
      <c r="B4650" s="6">
        <v>18945</v>
      </c>
      <c r="C4650" s="19">
        <v>39830</v>
      </c>
      <c r="D4650" s="6" t="s">
        <v>16</v>
      </c>
      <c r="E4650" s="6">
        <f>IF((ISBLANK($B$1)),"",Sheet1!Q4660)</f>
        <v>5050</v>
      </c>
      <c r="F4650" s="20" t="s">
        <v>27</v>
      </c>
      <c r="G4650" s="53">
        <f t="shared" si="73"/>
        <v>0.51264491857664052</v>
      </c>
      <c r="H4650" s="35"/>
      <c r="P4650" s="6"/>
    </row>
    <row r="4651" spans="1:16" ht="14.4" x14ac:dyDescent="0.25">
      <c r="A4651" s="6">
        <v>2764</v>
      </c>
      <c r="B4651" s="6">
        <v>19975</v>
      </c>
      <c r="C4651" s="19">
        <v>39913</v>
      </c>
      <c r="D4651" s="6" t="s">
        <v>28</v>
      </c>
      <c r="E4651" s="6">
        <f>IF((ISBLANK($B$1)),"",Sheet1!Q4661)</f>
        <v>5050</v>
      </c>
      <c r="F4651" s="20" t="s">
        <v>26</v>
      </c>
      <c r="G4651" s="53">
        <f t="shared" si="73"/>
        <v>0.51264491857664052</v>
      </c>
      <c r="H4651" s="35"/>
      <c r="P4651" s="6"/>
    </row>
    <row r="4652" spans="1:16" ht="14.4" x14ac:dyDescent="0.25">
      <c r="A4652" s="6">
        <v>2773</v>
      </c>
      <c r="B4652" s="6">
        <v>20036</v>
      </c>
      <c r="C4652" s="19">
        <v>40517</v>
      </c>
      <c r="D4652" s="6" t="s">
        <v>28</v>
      </c>
      <c r="E4652" s="6">
        <f>IF((ISBLANK($B$1)),"",Sheet1!Q4662)</f>
        <v>4650</v>
      </c>
      <c r="F4652" s="20" t="s">
        <v>26</v>
      </c>
      <c r="G4652" s="53">
        <f t="shared" si="73"/>
        <v>-3.9736790507176829E-2</v>
      </c>
      <c r="H4652" s="35"/>
      <c r="P4652" s="6"/>
    </row>
    <row r="4653" spans="1:16" ht="14.4" x14ac:dyDescent="0.25">
      <c r="A4653" s="6">
        <v>2774</v>
      </c>
      <c r="B4653" s="6">
        <v>20036</v>
      </c>
      <c r="C4653" s="19">
        <v>40517</v>
      </c>
      <c r="D4653" s="6" t="s">
        <v>28</v>
      </c>
      <c r="E4653" s="6">
        <f>IF((ISBLANK($B$1)),"",Sheet1!Q4663)</f>
        <v>5600</v>
      </c>
      <c r="F4653" s="20" t="s">
        <v>27</v>
      </c>
      <c r="G4653" s="53">
        <f t="shared" si="73"/>
        <v>1.2721697685668893</v>
      </c>
      <c r="H4653" s="35"/>
      <c r="P4653" s="6"/>
    </row>
    <row r="4654" spans="1:16" ht="14.4" x14ac:dyDescent="0.25">
      <c r="A4654" s="6">
        <v>2903</v>
      </c>
      <c r="B4654" s="6">
        <v>20964</v>
      </c>
      <c r="C4654" s="19">
        <v>40998</v>
      </c>
      <c r="D4654" s="6" t="s">
        <v>30</v>
      </c>
      <c r="E4654" s="6">
        <f>IF((ISBLANK($B$1)),"",Sheet1!Q4664)</f>
        <v>3950</v>
      </c>
      <c r="F4654" s="20" t="s">
        <v>27</v>
      </c>
      <c r="G4654" s="53">
        <f t="shared" si="73"/>
        <v>-1.0064047814038573</v>
      </c>
      <c r="H4654" s="35"/>
      <c r="P4654" s="6"/>
    </row>
    <row r="4655" spans="1:16" ht="14.4" x14ac:dyDescent="0.25">
      <c r="A4655" s="6">
        <v>2920</v>
      </c>
      <c r="B4655" s="6">
        <v>21121</v>
      </c>
      <c r="C4655" s="19">
        <v>40072</v>
      </c>
      <c r="D4655" s="6" t="s">
        <v>28</v>
      </c>
      <c r="E4655" s="6">
        <f>IF((ISBLANK($B$1)),"",Sheet1!Q4665)</f>
        <v>5900</v>
      </c>
      <c r="F4655" s="20" t="s">
        <v>26</v>
      </c>
      <c r="G4655" s="53">
        <f t="shared" si="73"/>
        <v>1.6864560503797523</v>
      </c>
      <c r="H4655" s="35"/>
      <c r="P4655" s="6"/>
    </row>
    <row r="4656" spans="1:16" ht="14.4" x14ac:dyDescent="0.25">
      <c r="A4656" s="6">
        <v>2938</v>
      </c>
      <c r="B4656" s="6">
        <v>21314</v>
      </c>
      <c r="C4656" s="19">
        <v>40119</v>
      </c>
      <c r="D4656" s="6" t="s">
        <v>25</v>
      </c>
      <c r="E4656" s="6">
        <f>IF((ISBLANK($B$1)),"",Sheet1!Q4666)</f>
        <v>3700</v>
      </c>
      <c r="F4656" s="20" t="s">
        <v>26</v>
      </c>
      <c r="G4656" s="53">
        <f t="shared" si="73"/>
        <v>-1.351643349581243</v>
      </c>
      <c r="H4656" s="35"/>
      <c r="P4656" s="6"/>
    </row>
    <row r="4657" spans="1:16" ht="14.4" x14ac:dyDescent="0.25">
      <c r="A4657" s="6">
        <v>2939</v>
      </c>
      <c r="B4657" s="6">
        <v>21314</v>
      </c>
      <c r="C4657" s="19">
        <v>40119</v>
      </c>
      <c r="D4657" s="6" t="s">
        <v>25</v>
      </c>
      <c r="E4657" s="6">
        <f>IF((ISBLANK($B$1)),"",Sheet1!Q4667)</f>
        <v>4900</v>
      </c>
      <c r="F4657" s="20" t="s">
        <v>26</v>
      </c>
      <c r="G4657" s="53">
        <f t="shared" si="73"/>
        <v>0.30550177767020903</v>
      </c>
      <c r="H4657" s="35"/>
      <c r="P4657" s="6"/>
    </row>
    <row r="4658" spans="1:16" ht="14.4" x14ac:dyDescent="0.25">
      <c r="A4658" s="6">
        <v>2940</v>
      </c>
      <c r="B4658" s="6">
        <v>21314</v>
      </c>
      <c r="C4658" s="19">
        <v>40119</v>
      </c>
      <c r="D4658" s="6" t="s">
        <v>25</v>
      </c>
      <c r="E4658" s="6">
        <f>IF((ISBLANK($B$1)),"",Sheet1!Q4668)</f>
        <v>5400</v>
      </c>
      <c r="F4658" s="20" t="s">
        <v>29</v>
      </c>
      <c r="G4658" s="53">
        <f t="shared" si="73"/>
        <v>0.99597891402498073</v>
      </c>
      <c r="H4658" s="35"/>
      <c r="P4658" s="6"/>
    </row>
    <row r="4659" spans="1:16" ht="14.4" x14ac:dyDescent="0.25">
      <c r="A4659" s="6">
        <v>3016</v>
      </c>
      <c r="B4659" s="6">
        <v>21702</v>
      </c>
      <c r="C4659" s="19">
        <v>40529</v>
      </c>
      <c r="D4659" s="6" t="s">
        <v>28</v>
      </c>
      <c r="E4659" s="6">
        <f>IF((ISBLANK($B$1)),"",Sheet1!Q4669)</f>
        <v>5400</v>
      </c>
      <c r="F4659" s="20" t="s">
        <v>29</v>
      </c>
      <c r="G4659" s="53">
        <f t="shared" si="73"/>
        <v>0.99597891402498073</v>
      </c>
      <c r="H4659" s="35"/>
      <c r="P4659" s="6"/>
    </row>
    <row r="4660" spans="1:16" ht="14.4" x14ac:dyDescent="0.25">
      <c r="A4660" s="6">
        <v>3062</v>
      </c>
      <c r="B4660" s="6">
        <v>21925</v>
      </c>
      <c r="C4660" s="19">
        <v>41102</v>
      </c>
      <c r="D4660" s="6" t="s">
        <v>28</v>
      </c>
      <c r="E4660" s="6">
        <f>IF((ISBLANK($B$1)),"",Sheet1!Q4670)</f>
        <v>3550</v>
      </c>
      <c r="F4660" s="20" t="s">
        <v>27</v>
      </c>
      <c r="G4660" s="53">
        <f t="shared" si="73"/>
        <v>-1.5587864904876745</v>
      </c>
      <c r="H4660" s="35"/>
      <c r="P4660" s="6"/>
    </row>
    <row r="4661" spans="1:16" ht="14.4" x14ac:dyDescent="0.25">
      <c r="A4661" s="6">
        <v>3123</v>
      </c>
      <c r="B4661" s="6">
        <v>22432</v>
      </c>
      <c r="C4661" s="19">
        <v>41241</v>
      </c>
      <c r="D4661" s="6" t="s">
        <v>28</v>
      </c>
      <c r="E4661" s="6">
        <f>IF((ISBLANK($B$1)),"",Sheet1!Q4671)</f>
        <v>5650</v>
      </c>
      <c r="F4661" s="20" t="s">
        <v>26</v>
      </c>
      <c r="G4661" s="53">
        <f t="shared" si="73"/>
        <v>1.3412174822023666</v>
      </c>
      <c r="H4661" s="35"/>
      <c r="P4661" s="6"/>
    </row>
    <row r="4662" spans="1:16" ht="14.4" x14ac:dyDescent="0.25">
      <c r="A4662" s="6">
        <v>3173</v>
      </c>
      <c r="B4662" s="6">
        <v>22819</v>
      </c>
      <c r="C4662" s="19">
        <v>41223</v>
      </c>
      <c r="D4662" s="6" t="s">
        <v>17</v>
      </c>
      <c r="E4662" s="6">
        <f>IF((ISBLANK($B$1)),"",Sheet1!Q4672)</f>
        <v>3450</v>
      </c>
      <c r="F4662" s="20" t="s">
        <v>26</v>
      </c>
      <c r="G4662" s="53">
        <f t="shared" si="73"/>
        <v>-1.696881917758629</v>
      </c>
      <c r="H4662" s="35"/>
      <c r="P4662" s="6"/>
    </row>
    <row r="4663" spans="1:16" ht="14.4" x14ac:dyDescent="0.25">
      <c r="A4663" s="6">
        <v>3198</v>
      </c>
      <c r="B4663" s="6">
        <v>22917</v>
      </c>
      <c r="C4663" s="19">
        <v>39873</v>
      </c>
      <c r="D4663" s="6" t="s">
        <v>16</v>
      </c>
      <c r="E4663" s="6">
        <f>IF((ISBLANK($B$1)),"",Sheet1!Q4673)</f>
        <v>3450</v>
      </c>
      <c r="F4663" s="20" t="s">
        <v>27</v>
      </c>
      <c r="G4663" s="53">
        <f t="shared" si="73"/>
        <v>-1.696881917758629</v>
      </c>
      <c r="H4663" s="35"/>
      <c r="P4663" s="6"/>
    </row>
    <row r="4664" spans="1:16" ht="14.4" x14ac:dyDescent="0.25">
      <c r="A4664" s="6">
        <v>3221</v>
      </c>
      <c r="B4664" s="6">
        <v>23107</v>
      </c>
      <c r="C4664" s="19">
        <v>40705</v>
      </c>
      <c r="D4664" s="6" t="s">
        <v>16</v>
      </c>
      <c r="E4664" s="6">
        <f>IF((ISBLANK($B$1)),"",Sheet1!Q4674)</f>
        <v>3750</v>
      </c>
      <c r="F4664" s="20" t="s">
        <v>26</v>
      </c>
      <c r="G4664" s="53">
        <f t="shared" si="73"/>
        <v>-1.282595635945766</v>
      </c>
      <c r="H4664" s="35"/>
      <c r="P4664" s="6"/>
    </row>
    <row r="4665" spans="1:16" ht="14.4" x14ac:dyDescent="0.25">
      <c r="A4665" s="6">
        <v>3294</v>
      </c>
      <c r="B4665" s="6">
        <v>23556</v>
      </c>
      <c r="C4665" s="19">
        <v>40552</v>
      </c>
      <c r="D4665" s="6" t="s">
        <v>16</v>
      </c>
      <c r="E4665" s="6">
        <f>IF((ISBLANK($B$1)),"",Sheet1!Q4675)</f>
        <v>5100</v>
      </c>
      <c r="F4665" s="20" t="s">
        <v>26</v>
      </c>
      <c r="G4665" s="53">
        <f t="shared" si="73"/>
        <v>0.58169263221211776</v>
      </c>
      <c r="H4665" s="35"/>
      <c r="P4665" s="6"/>
    </row>
    <row r="4666" spans="1:16" ht="14.4" x14ac:dyDescent="0.25">
      <c r="A4666" s="6">
        <v>3324</v>
      </c>
      <c r="B4666" s="6">
        <v>23777</v>
      </c>
      <c r="C4666" s="19">
        <v>41239</v>
      </c>
      <c r="D4666" s="6" t="s">
        <v>28</v>
      </c>
      <c r="E4666" s="6">
        <f>IF((ISBLANK($B$1)),"",Sheet1!Q4676)</f>
        <v>4200</v>
      </c>
      <c r="F4666" s="20" t="s">
        <v>26</v>
      </c>
      <c r="G4666" s="53">
        <f t="shared" si="73"/>
        <v>-0.6611662132264714</v>
      </c>
      <c r="H4666" s="35"/>
      <c r="P4666" s="6"/>
    </row>
    <row r="4667" spans="1:16" ht="14.4" x14ac:dyDescent="0.25">
      <c r="A4667" s="6">
        <v>3374</v>
      </c>
      <c r="B4667" s="6">
        <v>24098</v>
      </c>
      <c r="C4667" s="19">
        <v>41016</v>
      </c>
      <c r="D4667" s="6" t="s">
        <v>30</v>
      </c>
      <c r="E4667" s="6">
        <f>IF((ISBLANK($B$1)),"",Sheet1!Q4677)</f>
        <v>5500</v>
      </c>
      <c r="F4667" s="20" t="s">
        <v>26</v>
      </c>
      <c r="G4667" s="53">
        <f t="shared" si="73"/>
        <v>1.1340743412959351</v>
      </c>
      <c r="H4667" s="35"/>
      <c r="P4667" s="6"/>
    </row>
    <row r="4668" spans="1:16" ht="14.4" x14ac:dyDescent="0.25">
      <c r="A4668" s="6">
        <v>3375</v>
      </c>
      <c r="B4668" s="6">
        <v>24098</v>
      </c>
      <c r="C4668" s="19">
        <v>41016</v>
      </c>
      <c r="D4668" s="6" t="s">
        <v>30</v>
      </c>
      <c r="E4668" s="6">
        <f>IF((ISBLANK($B$1)),"",Sheet1!Q4678)</f>
        <v>3900</v>
      </c>
      <c r="F4668" s="20" t="s">
        <v>26</v>
      </c>
      <c r="G4668" s="53">
        <f t="shared" si="73"/>
        <v>-1.0754524950393345</v>
      </c>
      <c r="H4668" s="35"/>
      <c r="P4668" s="6"/>
    </row>
    <row r="4669" spans="1:16" ht="14.4" x14ac:dyDescent="0.25">
      <c r="A4669" s="6">
        <v>3376</v>
      </c>
      <c r="B4669" s="6">
        <v>24098</v>
      </c>
      <c r="C4669" s="19">
        <v>41016</v>
      </c>
      <c r="D4669" s="6" t="s">
        <v>30</v>
      </c>
      <c r="E4669" s="6">
        <f>IF((ISBLANK($B$1)),"",Sheet1!Q4679)</f>
        <v>5000</v>
      </c>
      <c r="F4669" s="20" t="s">
        <v>27</v>
      </c>
      <c r="G4669" s="53">
        <f t="shared" si="73"/>
        <v>0.44359720494116334</v>
      </c>
      <c r="H4669" s="35"/>
      <c r="P4669" s="6"/>
    </row>
    <row r="4670" spans="1:16" ht="14.4" x14ac:dyDescent="0.25">
      <c r="A4670" s="6">
        <v>3400</v>
      </c>
      <c r="B4670" s="6">
        <v>24227</v>
      </c>
      <c r="C4670" s="19">
        <v>40406</v>
      </c>
      <c r="D4670" s="6" t="s">
        <v>16</v>
      </c>
      <c r="E4670" s="6">
        <f>IF((ISBLANK($B$1)),"",Sheet1!Q4680)</f>
        <v>4600</v>
      </c>
      <c r="F4670" s="20" t="s">
        <v>27</v>
      </c>
      <c r="G4670" s="53">
        <f t="shared" si="73"/>
        <v>-0.108784504142654</v>
      </c>
      <c r="H4670" s="35"/>
      <c r="P4670" s="6"/>
    </row>
    <row r="4671" spans="1:16" ht="14.4" x14ac:dyDescent="0.25">
      <c r="A4671" s="6">
        <v>3455</v>
      </c>
      <c r="B4671" s="6">
        <v>24614</v>
      </c>
      <c r="C4671" s="19">
        <v>40138</v>
      </c>
      <c r="D4671" s="6" t="s">
        <v>25</v>
      </c>
      <c r="E4671" s="6">
        <f>IF((ISBLANK($B$1)),"",Sheet1!Q4681)</f>
        <v>5050</v>
      </c>
      <c r="F4671" s="20" t="s">
        <v>27</v>
      </c>
      <c r="G4671" s="53">
        <f t="shared" si="73"/>
        <v>0.51264491857664052</v>
      </c>
      <c r="H4671" s="35"/>
      <c r="P4671" s="6"/>
    </row>
    <row r="4672" spans="1:16" ht="14.4" x14ac:dyDescent="0.25">
      <c r="A4672" s="6">
        <v>3595</v>
      </c>
      <c r="B4672" s="6">
        <v>25637</v>
      </c>
      <c r="C4672" s="19">
        <v>40964</v>
      </c>
      <c r="D4672" s="6" t="s">
        <v>28</v>
      </c>
      <c r="E4672" s="6">
        <f>IF((ISBLANK($B$1)),"",Sheet1!Q4682)</f>
        <v>4000</v>
      </c>
      <c r="F4672" s="20" t="s">
        <v>29</v>
      </c>
      <c r="G4672" s="53">
        <f t="shared" si="73"/>
        <v>-0.93735706776838001</v>
      </c>
      <c r="H4672" s="35"/>
      <c r="P4672" s="6"/>
    </row>
    <row r="4673" spans="1:16" ht="14.4" x14ac:dyDescent="0.25">
      <c r="A4673" s="6">
        <v>3737</v>
      </c>
      <c r="B4673" s="6">
        <v>26695</v>
      </c>
      <c r="C4673" s="19">
        <v>40335</v>
      </c>
      <c r="D4673" s="6" t="s">
        <v>28</v>
      </c>
      <c r="E4673" s="6">
        <f>IF((ISBLANK($B$1)),"",Sheet1!Q4683)</f>
        <v>5550</v>
      </c>
      <c r="F4673" s="20" t="s">
        <v>26</v>
      </c>
      <c r="G4673" s="53">
        <f t="shared" si="73"/>
        <v>1.2031220549314123</v>
      </c>
      <c r="H4673" s="35"/>
      <c r="P4673" s="6"/>
    </row>
    <row r="4674" spans="1:16" ht="14.4" x14ac:dyDescent="0.25">
      <c r="A4674" s="6">
        <v>3797</v>
      </c>
      <c r="B4674" s="6">
        <v>27078</v>
      </c>
      <c r="C4674" s="19">
        <v>41133</v>
      </c>
      <c r="D4674" s="6" t="s">
        <v>28</v>
      </c>
      <c r="E4674" s="6">
        <f>IF((ISBLANK($B$1)),"",Sheet1!Q4684)</f>
        <v>4500</v>
      </c>
      <c r="F4674" s="20" t="s">
        <v>26</v>
      </c>
      <c r="G4674" s="53">
        <f t="shared" si="73"/>
        <v>-0.24687993141360834</v>
      </c>
      <c r="H4674" s="35"/>
      <c r="P4674" s="6"/>
    </row>
    <row r="4675" spans="1:16" ht="14.4" x14ac:dyDescent="0.25">
      <c r="A4675" s="6">
        <v>4135</v>
      </c>
      <c r="B4675" s="6">
        <v>29376</v>
      </c>
      <c r="C4675" s="19">
        <v>41132</v>
      </c>
      <c r="D4675" s="6" t="s">
        <v>30</v>
      </c>
      <c r="E4675" s="6">
        <f>IF((ISBLANK($B$1)),"",Sheet1!Q4685)</f>
        <v>4400</v>
      </c>
      <c r="F4675" s="20" t="s">
        <v>26</v>
      </c>
      <c r="G4675" s="53">
        <f t="shared" si="73"/>
        <v>-0.38497535868456267</v>
      </c>
      <c r="H4675" s="35"/>
      <c r="P4675" s="6"/>
    </row>
    <row r="4676" spans="1:16" ht="14.4" x14ac:dyDescent="0.25">
      <c r="A4676" s="6">
        <v>4190</v>
      </c>
      <c r="B4676" s="6">
        <v>29766</v>
      </c>
      <c r="C4676" s="19">
        <v>39893</v>
      </c>
      <c r="D4676" s="6" t="s">
        <v>16</v>
      </c>
      <c r="E4676" s="6">
        <f>IF((ISBLANK($B$1)),"",Sheet1!Q4686)</f>
        <v>4050</v>
      </c>
      <c r="F4676" s="20" t="s">
        <v>27</v>
      </c>
      <c r="G4676" s="53">
        <f t="shared" si="73"/>
        <v>-0.86830935413290289</v>
      </c>
      <c r="H4676" s="35"/>
      <c r="P4676" s="6"/>
    </row>
    <row r="4677" spans="1:16" ht="14.4" x14ac:dyDescent="0.25">
      <c r="A4677" s="6">
        <v>4191</v>
      </c>
      <c r="B4677" s="6">
        <v>29766</v>
      </c>
      <c r="C4677" s="19">
        <v>39893</v>
      </c>
      <c r="D4677" s="6" t="s">
        <v>16</v>
      </c>
      <c r="E4677" s="6">
        <f>IF((ISBLANK($B$1)),"",Sheet1!Q4687)</f>
        <v>5400</v>
      </c>
      <c r="F4677" s="20" t="s">
        <v>27</v>
      </c>
      <c r="G4677" s="53">
        <f t="shared" si="73"/>
        <v>0.99597891402498073</v>
      </c>
      <c r="H4677" s="35"/>
      <c r="P4677" s="6"/>
    </row>
    <row r="4678" spans="1:16" ht="14.4" x14ac:dyDescent="0.25">
      <c r="A4678" s="6">
        <v>4253</v>
      </c>
      <c r="B4678" s="6">
        <v>30278</v>
      </c>
      <c r="C4678" s="19">
        <v>40086</v>
      </c>
      <c r="D4678" s="6" t="s">
        <v>25</v>
      </c>
      <c r="E4678" s="6">
        <f>IF((ISBLANK($B$1)),"",Sheet1!Q4688)</f>
        <v>5900</v>
      </c>
      <c r="F4678" s="20" t="s">
        <v>27</v>
      </c>
      <c r="G4678" s="53">
        <f t="shared" si="73"/>
        <v>1.6864560503797523</v>
      </c>
      <c r="H4678" s="35"/>
      <c r="P4678" s="6"/>
    </row>
    <row r="4679" spans="1:16" ht="14.4" x14ac:dyDescent="0.25">
      <c r="A4679" s="6">
        <v>4302</v>
      </c>
      <c r="B4679" s="6">
        <v>30626</v>
      </c>
      <c r="C4679" s="19">
        <v>40658</v>
      </c>
      <c r="D4679" s="6" t="s">
        <v>30</v>
      </c>
      <c r="E4679" s="6">
        <f>IF((ISBLANK($B$1)),"",Sheet1!Q4689)</f>
        <v>4550</v>
      </c>
      <c r="F4679" s="20" t="s">
        <v>26</v>
      </c>
      <c r="G4679" s="53">
        <f t="shared" si="73"/>
        <v>-0.17783221777813119</v>
      </c>
      <c r="H4679" s="35"/>
      <c r="P4679" s="6"/>
    </row>
    <row r="4680" spans="1:16" ht="14.4" x14ac:dyDescent="0.25">
      <c r="A4680" s="6">
        <v>4328</v>
      </c>
      <c r="B4680" s="6">
        <v>30851</v>
      </c>
      <c r="C4680" s="19">
        <v>40442</v>
      </c>
      <c r="D4680" s="6" t="s">
        <v>25</v>
      </c>
      <c r="E4680" s="6">
        <f>IF((ISBLANK($B$1)),"",Sheet1!Q4690)</f>
        <v>4200</v>
      </c>
      <c r="F4680" s="20" t="s">
        <v>26</v>
      </c>
      <c r="G4680" s="53">
        <f t="shared" ref="G4680:G4743" si="74">STANDARDIZE(E4680,$L$26,$L$35)</f>
        <v>-0.6611662132264714</v>
      </c>
      <c r="H4680" s="35"/>
      <c r="P4680" s="6"/>
    </row>
    <row r="4681" spans="1:16" ht="14.4" x14ac:dyDescent="0.25">
      <c r="A4681" s="6">
        <v>4452</v>
      </c>
      <c r="B4681" s="6">
        <v>31718</v>
      </c>
      <c r="C4681" s="19">
        <v>40509</v>
      </c>
      <c r="D4681" s="6" t="s">
        <v>25</v>
      </c>
      <c r="E4681" s="6">
        <f>IF((ISBLANK($B$1)),"",Sheet1!Q4691)</f>
        <v>4600</v>
      </c>
      <c r="F4681" s="20" t="s">
        <v>27</v>
      </c>
      <c r="G4681" s="53">
        <f t="shared" si="74"/>
        <v>-0.108784504142654</v>
      </c>
      <c r="H4681" s="35"/>
      <c r="P4681" s="6"/>
    </row>
    <row r="4682" spans="1:16" ht="14.4" x14ac:dyDescent="0.25">
      <c r="A4682" s="6">
        <v>4453</v>
      </c>
      <c r="B4682" s="6">
        <v>31718</v>
      </c>
      <c r="C4682" s="19">
        <v>40509</v>
      </c>
      <c r="D4682" s="6" t="s">
        <v>25</v>
      </c>
      <c r="E4682" s="6">
        <f>IF((ISBLANK($B$1)),"",Sheet1!Q4692)</f>
        <v>4400</v>
      </c>
      <c r="F4682" s="20" t="s">
        <v>27</v>
      </c>
      <c r="G4682" s="53">
        <f t="shared" si="74"/>
        <v>-0.38497535868456267</v>
      </c>
      <c r="H4682" s="35"/>
      <c r="P4682" s="6"/>
    </row>
    <row r="4683" spans="1:16" ht="14.4" x14ac:dyDescent="0.25">
      <c r="A4683" s="6">
        <v>4508</v>
      </c>
      <c r="B4683" s="6">
        <v>32070</v>
      </c>
      <c r="C4683" s="19">
        <v>40011</v>
      </c>
      <c r="D4683" s="6" t="s">
        <v>16</v>
      </c>
      <c r="E4683" s="6">
        <f>IF((ISBLANK($B$1)),"",Sheet1!Q4693)</f>
        <v>5900</v>
      </c>
      <c r="F4683" s="20" t="s">
        <v>29</v>
      </c>
      <c r="G4683" s="53">
        <f t="shared" si="74"/>
        <v>1.6864560503797523</v>
      </c>
      <c r="H4683" s="35"/>
      <c r="P4683" s="6"/>
    </row>
    <row r="4684" spans="1:16" ht="14.4" x14ac:dyDescent="0.25">
      <c r="A4684" s="6">
        <v>4871</v>
      </c>
      <c r="B4684" s="6">
        <v>34661</v>
      </c>
      <c r="C4684" s="19">
        <v>40198</v>
      </c>
      <c r="D4684" s="6" t="s">
        <v>30</v>
      </c>
      <c r="E4684" s="6">
        <f>IF((ISBLANK($B$1)),"",Sheet1!Q4694)</f>
        <v>4700</v>
      </c>
      <c r="F4684" s="20" t="s">
        <v>29</v>
      </c>
      <c r="G4684" s="53">
        <f t="shared" si="74"/>
        <v>2.9310923128300338E-2</v>
      </c>
      <c r="H4684" s="35"/>
      <c r="P4684" s="6"/>
    </row>
    <row r="4685" spans="1:16" ht="14.4" x14ac:dyDescent="0.25">
      <c r="A4685" s="6">
        <v>4886</v>
      </c>
      <c r="B4685" s="6">
        <v>34754</v>
      </c>
      <c r="C4685" s="19">
        <v>41064</v>
      </c>
      <c r="D4685" s="6" t="s">
        <v>30</v>
      </c>
      <c r="E4685" s="6">
        <f>IF((ISBLANK($B$1)),"",Sheet1!Q4695)</f>
        <v>4200</v>
      </c>
      <c r="F4685" s="20" t="s">
        <v>26</v>
      </c>
      <c r="G4685" s="53">
        <f t="shared" si="74"/>
        <v>-0.6611662132264714</v>
      </c>
      <c r="H4685" s="35"/>
      <c r="P4685" s="6"/>
    </row>
    <row r="4686" spans="1:16" ht="14.4" x14ac:dyDescent="0.25">
      <c r="A4686" s="6">
        <v>4975</v>
      </c>
      <c r="B4686" s="6">
        <v>35392</v>
      </c>
      <c r="C4686" s="19">
        <v>40962</v>
      </c>
      <c r="D4686" s="6" t="s">
        <v>17</v>
      </c>
      <c r="E4686" s="6">
        <f>IF((ISBLANK($B$1)),"",Sheet1!Q4696)</f>
        <v>3850</v>
      </c>
      <c r="F4686" s="20" t="s">
        <v>26</v>
      </c>
      <c r="G4686" s="53">
        <f t="shared" si="74"/>
        <v>-1.1445002086748115</v>
      </c>
      <c r="H4686" s="35"/>
      <c r="P4686" s="6"/>
    </row>
    <row r="4687" spans="1:16" ht="14.4" x14ac:dyDescent="0.25">
      <c r="A4687" s="6">
        <v>5066</v>
      </c>
      <c r="B4687" s="6">
        <v>36103</v>
      </c>
      <c r="C4687" s="19">
        <v>41028</v>
      </c>
      <c r="D4687" s="6" t="s">
        <v>30</v>
      </c>
      <c r="E4687" s="6">
        <f>IF((ISBLANK($B$1)),"",Sheet1!Q4697)</f>
        <v>3900</v>
      </c>
      <c r="F4687" s="20" t="s">
        <v>29</v>
      </c>
      <c r="G4687" s="53">
        <f t="shared" si="74"/>
        <v>-1.0754524950393345</v>
      </c>
      <c r="H4687" s="35"/>
      <c r="P4687" s="6"/>
    </row>
    <row r="4688" spans="1:16" ht="14.4" x14ac:dyDescent="0.25">
      <c r="A4688" s="6">
        <v>5067</v>
      </c>
      <c r="B4688" s="6">
        <v>36103</v>
      </c>
      <c r="C4688" s="19">
        <v>41028</v>
      </c>
      <c r="D4688" s="6" t="s">
        <v>30</v>
      </c>
      <c r="E4688" s="6">
        <f>IF((ISBLANK($B$1)),"",Sheet1!Q4698)</f>
        <v>5650</v>
      </c>
      <c r="F4688" s="20" t="s">
        <v>27</v>
      </c>
      <c r="G4688" s="53">
        <f t="shared" si="74"/>
        <v>1.3412174822023666</v>
      </c>
      <c r="H4688" s="35"/>
      <c r="P4688" s="6"/>
    </row>
    <row r="4689" spans="1:16" ht="14.4" x14ac:dyDescent="0.25">
      <c r="A4689" s="6">
        <v>5221</v>
      </c>
      <c r="B4689" s="6">
        <v>37157</v>
      </c>
      <c r="C4689" s="19">
        <v>40229</v>
      </c>
      <c r="D4689" s="6" t="s">
        <v>17</v>
      </c>
      <c r="E4689" s="6">
        <f>IF((ISBLANK($B$1)),"",Sheet1!Q4699)</f>
        <v>5350</v>
      </c>
      <c r="F4689" s="20" t="s">
        <v>26</v>
      </c>
      <c r="G4689" s="53">
        <f t="shared" si="74"/>
        <v>0.92693120038950361</v>
      </c>
      <c r="H4689" s="35"/>
      <c r="P4689" s="6"/>
    </row>
    <row r="4690" spans="1:16" ht="14.4" x14ac:dyDescent="0.25">
      <c r="A4690" s="6">
        <v>5368</v>
      </c>
      <c r="B4690" s="6">
        <v>38176</v>
      </c>
      <c r="C4690" s="19">
        <v>40405</v>
      </c>
      <c r="D4690" s="6" t="s">
        <v>17</v>
      </c>
      <c r="E4690" s="6">
        <f>IF((ISBLANK($B$1)),"",Sheet1!Q4700)</f>
        <v>5350</v>
      </c>
      <c r="F4690" s="20" t="s">
        <v>26</v>
      </c>
      <c r="G4690" s="53">
        <f t="shared" si="74"/>
        <v>0.92693120038950361</v>
      </c>
      <c r="H4690" s="35"/>
      <c r="P4690" s="6"/>
    </row>
    <row r="4691" spans="1:16" ht="14.4" x14ac:dyDescent="0.25">
      <c r="A4691" s="6">
        <v>5369</v>
      </c>
      <c r="B4691" s="6">
        <v>38176</v>
      </c>
      <c r="C4691" s="19">
        <v>40405</v>
      </c>
      <c r="D4691" s="6" t="s">
        <v>17</v>
      </c>
      <c r="E4691" s="6">
        <f>IF((ISBLANK($B$1)),"",Sheet1!Q4701)</f>
        <v>5800</v>
      </c>
      <c r="F4691" s="20" t="s">
        <v>26</v>
      </c>
      <c r="G4691" s="53">
        <f t="shared" si="74"/>
        <v>1.5483606231087981</v>
      </c>
      <c r="H4691" s="35"/>
      <c r="P4691" s="6"/>
    </row>
    <row r="4692" spans="1:16" ht="14.4" x14ac:dyDescent="0.25">
      <c r="A4692" s="6">
        <v>5424</v>
      </c>
      <c r="B4692" s="6">
        <v>38531</v>
      </c>
      <c r="C4692" s="19">
        <v>40882</v>
      </c>
      <c r="D4692" s="6" t="s">
        <v>25</v>
      </c>
      <c r="E4692" s="6">
        <f>IF((ISBLANK($B$1)),"",Sheet1!Q4702)</f>
        <v>4700</v>
      </c>
      <c r="F4692" s="20" t="s">
        <v>26</v>
      </c>
      <c r="G4692" s="53">
        <f t="shared" si="74"/>
        <v>2.9310923128300338E-2</v>
      </c>
      <c r="H4692" s="35"/>
      <c r="P4692" s="6"/>
    </row>
    <row r="4693" spans="1:16" ht="14.4" x14ac:dyDescent="0.25">
      <c r="A4693" s="6">
        <v>5704</v>
      </c>
      <c r="B4693" s="6">
        <v>40354</v>
      </c>
      <c r="C4693" s="19">
        <v>39816</v>
      </c>
      <c r="D4693" s="6" t="s">
        <v>17</v>
      </c>
      <c r="E4693" s="6">
        <f>IF((ISBLANK($B$1)),"",Sheet1!Q4703)</f>
        <v>4850</v>
      </c>
      <c r="F4693" s="20" t="s">
        <v>26</v>
      </c>
      <c r="G4693" s="53">
        <f t="shared" si="74"/>
        <v>0.23645406403473185</v>
      </c>
      <c r="H4693" s="35"/>
      <c r="P4693" s="6"/>
    </row>
    <row r="4694" spans="1:16" ht="14.4" x14ac:dyDescent="0.25">
      <c r="A4694" s="6">
        <v>5705</v>
      </c>
      <c r="B4694" s="6">
        <v>40354</v>
      </c>
      <c r="C4694" s="19">
        <v>39816</v>
      </c>
      <c r="D4694" s="6" t="s">
        <v>17</v>
      </c>
      <c r="E4694" s="6">
        <f>IF((ISBLANK($B$1)),"",Sheet1!Q4704)</f>
        <v>3600</v>
      </c>
      <c r="F4694" s="20" t="s">
        <v>29</v>
      </c>
      <c r="G4694" s="53">
        <f t="shared" si="74"/>
        <v>-1.4897387768521975</v>
      </c>
      <c r="H4694" s="35"/>
      <c r="P4694" s="6"/>
    </row>
    <row r="4695" spans="1:16" ht="14.4" x14ac:dyDescent="0.25">
      <c r="A4695" s="6">
        <v>5748</v>
      </c>
      <c r="B4695" s="6">
        <v>40832</v>
      </c>
      <c r="C4695" s="19">
        <v>40266</v>
      </c>
      <c r="D4695" s="6" t="s">
        <v>17</v>
      </c>
      <c r="E4695" s="6">
        <f>IF((ISBLANK($B$1)),"",Sheet1!Q4705)</f>
        <v>4500</v>
      </c>
      <c r="F4695" s="20" t="s">
        <v>29</v>
      </c>
      <c r="G4695" s="53">
        <f t="shared" si="74"/>
        <v>-0.24687993141360834</v>
      </c>
      <c r="H4695" s="35"/>
      <c r="P4695" s="6"/>
    </row>
    <row r="4696" spans="1:16" ht="14.4" x14ac:dyDescent="0.25">
      <c r="A4696" s="6">
        <v>5865</v>
      </c>
      <c r="B4696" s="6">
        <v>41632</v>
      </c>
      <c r="C4696" s="19">
        <v>40513</v>
      </c>
      <c r="D4696" s="6" t="s">
        <v>25</v>
      </c>
      <c r="E4696" s="6">
        <f>IF((ISBLANK($B$1)),"",Sheet1!Q4706)</f>
        <v>5100</v>
      </c>
      <c r="F4696" s="20" t="s">
        <v>27</v>
      </c>
      <c r="G4696" s="53">
        <f t="shared" si="74"/>
        <v>0.58169263221211776</v>
      </c>
      <c r="H4696" s="35"/>
      <c r="P4696" s="6"/>
    </row>
    <row r="4697" spans="1:16" ht="14.4" x14ac:dyDescent="0.25">
      <c r="A4697" s="6">
        <v>5897</v>
      </c>
      <c r="B4697" s="6">
        <v>41825</v>
      </c>
      <c r="C4697" s="19">
        <v>40047</v>
      </c>
      <c r="D4697" s="6" t="s">
        <v>30</v>
      </c>
      <c r="E4697" s="6">
        <f>IF((ISBLANK($B$1)),"",Sheet1!Q4707)</f>
        <v>5550</v>
      </c>
      <c r="F4697" s="20" t="s">
        <v>27</v>
      </c>
      <c r="G4697" s="53">
        <f t="shared" si="74"/>
        <v>1.2031220549314123</v>
      </c>
      <c r="H4697" s="35"/>
      <c r="P4697" s="6"/>
    </row>
    <row r="4698" spans="1:16" ht="14.4" x14ac:dyDescent="0.25">
      <c r="A4698" s="6">
        <v>5976</v>
      </c>
      <c r="B4698" s="6">
        <v>42373</v>
      </c>
      <c r="C4698" s="19">
        <v>40772</v>
      </c>
      <c r="D4698" s="6" t="s">
        <v>28</v>
      </c>
      <c r="E4698" s="6">
        <f>IF((ISBLANK($B$1)),"",Sheet1!Q4708)</f>
        <v>3950</v>
      </c>
      <c r="F4698" s="20" t="s">
        <v>26</v>
      </c>
      <c r="G4698" s="53">
        <f t="shared" si="74"/>
        <v>-1.0064047814038573</v>
      </c>
      <c r="H4698" s="35"/>
      <c r="P4698" s="6"/>
    </row>
    <row r="4699" spans="1:16" ht="14.4" x14ac:dyDescent="0.25">
      <c r="A4699" s="6">
        <v>6277</v>
      </c>
      <c r="B4699" s="6">
        <v>44423</v>
      </c>
      <c r="C4699" s="19">
        <v>41119</v>
      </c>
      <c r="D4699" s="6" t="s">
        <v>30</v>
      </c>
      <c r="E4699" s="6">
        <f>IF((ISBLANK($B$1)),"",Sheet1!Q4709)</f>
        <v>5350</v>
      </c>
      <c r="F4699" s="20" t="s">
        <v>29</v>
      </c>
      <c r="G4699" s="53">
        <f t="shared" si="74"/>
        <v>0.92693120038950361</v>
      </c>
      <c r="H4699" s="35"/>
      <c r="P4699" s="6"/>
    </row>
    <row r="4700" spans="1:16" ht="14.4" x14ac:dyDescent="0.25">
      <c r="A4700" s="6">
        <v>6447</v>
      </c>
      <c r="B4700" s="6">
        <v>45863</v>
      </c>
      <c r="C4700" s="19">
        <v>40440</v>
      </c>
      <c r="D4700" s="6" t="s">
        <v>25</v>
      </c>
      <c r="E4700" s="6">
        <f>IF((ISBLANK($B$1)),"",Sheet1!Q4710)</f>
        <v>3650</v>
      </c>
      <c r="F4700" s="20" t="s">
        <v>27</v>
      </c>
      <c r="G4700" s="53">
        <f t="shared" si="74"/>
        <v>-1.4206910632167202</v>
      </c>
      <c r="H4700" s="35"/>
      <c r="P4700" s="6"/>
    </row>
    <row r="4701" spans="1:16" ht="14.4" x14ac:dyDescent="0.25">
      <c r="A4701" s="6">
        <v>6615</v>
      </c>
      <c r="B4701" s="6">
        <v>47078</v>
      </c>
      <c r="C4701" s="19">
        <v>40287</v>
      </c>
      <c r="D4701" s="6" t="s">
        <v>16</v>
      </c>
      <c r="E4701" s="6">
        <f>IF((ISBLANK($B$1)),"",Sheet1!Q4711)</f>
        <v>4300</v>
      </c>
      <c r="F4701" s="20" t="s">
        <v>26</v>
      </c>
      <c r="G4701" s="53">
        <f t="shared" si="74"/>
        <v>-0.52307078595551704</v>
      </c>
      <c r="H4701" s="35"/>
      <c r="P4701" s="6"/>
    </row>
    <row r="4702" spans="1:16" ht="14.4" x14ac:dyDescent="0.25">
      <c r="A4702" s="6">
        <v>6616</v>
      </c>
      <c r="B4702" s="6">
        <v>47078</v>
      </c>
      <c r="C4702" s="19">
        <v>40287</v>
      </c>
      <c r="D4702" s="6" t="s">
        <v>16</v>
      </c>
      <c r="E4702" s="6">
        <f>IF((ISBLANK($B$1)),"",Sheet1!Q4712)</f>
        <v>5550</v>
      </c>
      <c r="F4702" s="20" t="s">
        <v>26</v>
      </c>
      <c r="G4702" s="53">
        <f t="shared" si="74"/>
        <v>1.2031220549314123</v>
      </c>
      <c r="H4702" s="35"/>
      <c r="P4702" s="6"/>
    </row>
    <row r="4703" spans="1:16" ht="14.4" x14ac:dyDescent="0.25">
      <c r="A4703" s="6">
        <v>6617</v>
      </c>
      <c r="B4703" s="6">
        <v>47078</v>
      </c>
      <c r="C4703" s="19">
        <v>40287</v>
      </c>
      <c r="D4703" s="6" t="s">
        <v>16</v>
      </c>
      <c r="E4703" s="6">
        <f>IF((ISBLANK($B$1)),"",Sheet1!Q4713)</f>
        <v>4400</v>
      </c>
      <c r="F4703" s="20" t="s">
        <v>26</v>
      </c>
      <c r="G4703" s="53">
        <f t="shared" si="74"/>
        <v>-0.38497535868456267</v>
      </c>
      <c r="H4703" s="35"/>
      <c r="P4703" s="6"/>
    </row>
    <row r="4704" spans="1:16" ht="14.4" x14ac:dyDescent="0.25">
      <c r="A4704" s="6">
        <v>6703</v>
      </c>
      <c r="B4704" s="6">
        <v>47747</v>
      </c>
      <c r="C4704" s="19">
        <v>40868</v>
      </c>
      <c r="D4704" s="6" t="s">
        <v>17</v>
      </c>
      <c r="E4704" s="6">
        <f>IF((ISBLANK($B$1)),"",Sheet1!Q4714)</f>
        <v>5400</v>
      </c>
      <c r="F4704" s="20" t="s">
        <v>29</v>
      </c>
      <c r="G4704" s="53">
        <f t="shared" si="74"/>
        <v>0.99597891402498073</v>
      </c>
      <c r="H4704" s="35"/>
      <c r="P4704" s="6"/>
    </row>
    <row r="4705" spans="1:16" ht="14.4" x14ac:dyDescent="0.25">
      <c r="A4705" s="6">
        <v>6710</v>
      </c>
      <c r="B4705" s="6">
        <v>47810</v>
      </c>
      <c r="C4705" s="19">
        <v>40769</v>
      </c>
      <c r="D4705" s="6" t="s">
        <v>30</v>
      </c>
      <c r="E4705" s="6">
        <f>IF((ISBLANK($B$1)),"",Sheet1!Q4715)</f>
        <v>3550</v>
      </c>
      <c r="F4705" s="20" t="s">
        <v>26</v>
      </c>
      <c r="G4705" s="53">
        <f t="shared" si="74"/>
        <v>-1.5587864904876745</v>
      </c>
      <c r="H4705" s="35"/>
      <c r="P4705" s="6"/>
    </row>
    <row r="4706" spans="1:16" ht="14.4" x14ac:dyDescent="0.25">
      <c r="A4706" s="6">
        <v>6861</v>
      </c>
      <c r="B4706" s="6">
        <v>48896</v>
      </c>
      <c r="C4706" s="19">
        <v>40114</v>
      </c>
      <c r="D4706" s="6" t="s">
        <v>30</v>
      </c>
      <c r="E4706" s="6">
        <f>IF((ISBLANK($B$1)),"",Sheet1!Q4716)</f>
        <v>5550</v>
      </c>
      <c r="F4706" s="20" t="s">
        <v>26</v>
      </c>
      <c r="G4706" s="53">
        <f t="shared" si="74"/>
        <v>1.2031220549314123</v>
      </c>
      <c r="H4706" s="35"/>
      <c r="P4706" s="6"/>
    </row>
    <row r="4707" spans="1:16" ht="14.4" x14ac:dyDescent="0.25">
      <c r="A4707" s="6">
        <v>6974</v>
      </c>
      <c r="B4707" s="6">
        <v>49830</v>
      </c>
      <c r="C4707" s="19">
        <v>40003</v>
      </c>
      <c r="D4707" s="6" t="s">
        <v>30</v>
      </c>
      <c r="E4707" s="6">
        <f>IF((ISBLANK($B$1)),"",Sheet1!Q4717)</f>
        <v>4200</v>
      </c>
      <c r="F4707" s="20" t="s">
        <v>26</v>
      </c>
      <c r="G4707" s="53">
        <f t="shared" si="74"/>
        <v>-0.6611662132264714</v>
      </c>
      <c r="H4707" s="35"/>
      <c r="P4707" s="6"/>
    </row>
    <row r="4708" spans="1:16" ht="14.4" x14ac:dyDescent="0.25">
      <c r="A4708" s="6">
        <v>7353</v>
      </c>
      <c r="B4708" s="6">
        <v>52389</v>
      </c>
      <c r="C4708" s="19">
        <v>40837</v>
      </c>
      <c r="D4708" s="6" t="s">
        <v>30</v>
      </c>
      <c r="E4708" s="6">
        <f>IF((ISBLANK($B$1)),"",Sheet1!Q4718)</f>
        <v>4950</v>
      </c>
      <c r="F4708" s="20" t="s">
        <v>26</v>
      </c>
      <c r="G4708" s="53">
        <f t="shared" si="74"/>
        <v>0.37454949130568621</v>
      </c>
      <c r="H4708" s="35"/>
      <c r="P4708" s="6"/>
    </row>
    <row r="4709" spans="1:16" ht="14.4" x14ac:dyDescent="0.25">
      <c r="A4709" s="6">
        <v>7373</v>
      </c>
      <c r="B4709" s="6">
        <v>52576</v>
      </c>
      <c r="C4709" s="19">
        <v>39900</v>
      </c>
      <c r="D4709" s="6" t="s">
        <v>25</v>
      </c>
      <c r="E4709" s="6">
        <f>IF((ISBLANK($B$1)),"",Sheet1!Q4719)</f>
        <v>3900</v>
      </c>
      <c r="F4709" s="20" t="s">
        <v>27</v>
      </c>
      <c r="G4709" s="53">
        <f t="shared" si="74"/>
        <v>-1.0754524950393345</v>
      </c>
      <c r="H4709" s="35"/>
      <c r="P4709" s="6"/>
    </row>
    <row r="4710" spans="1:16" ht="14.4" x14ac:dyDescent="0.25">
      <c r="A4710" s="6">
        <v>7510</v>
      </c>
      <c r="B4710" s="6">
        <v>53605</v>
      </c>
      <c r="C4710" s="19">
        <v>40393</v>
      </c>
      <c r="D4710" s="6" t="s">
        <v>16</v>
      </c>
      <c r="E4710" s="6">
        <f>IF((ISBLANK($B$1)),"",Sheet1!Q4720)</f>
        <v>4350</v>
      </c>
      <c r="F4710" s="20" t="s">
        <v>26</v>
      </c>
      <c r="G4710" s="53">
        <f t="shared" si="74"/>
        <v>-0.45402307232003986</v>
      </c>
      <c r="H4710" s="35"/>
      <c r="P4710" s="6"/>
    </row>
    <row r="4711" spans="1:16" ht="14.4" x14ac:dyDescent="0.25">
      <c r="A4711" s="6">
        <v>7511</v>
      </c>
      <c r="B4711" s="6">
        <v>53605</v>
      </c>
      <c r="C4711" s="19">
        <v>40393</v>
      </c>
      <c r="D4711" s="6" t="s">
        <v>16</v>
      </c>
      <c r="E4711" s="6">
        <f>IF((ISBLANK($B$1)),"",Sheet1!Q4721)</f>
        <v>5800</v>
      </c>
      <c r="F4711" s="20" t="s">
        <v>29</v>
      </c>
      <c r="G4711" s="53">
        <f t="shared" si="74"/>
        <v>1.5483606231087981</v>
      </c>
      <c r="H4711" s="35"/>
      <c r="P4711" s="6"/>
    </row>
    <row r="4712" spans="1:16" ht="14.4" x14ac:dyDescent="0.25">
      <c r="A4712" s="6">
        <v>7512</v>
      </c>
      <c r="B4712" s="6">
        <v>53605</v>
      </c>
      <c r="C4712" s="19">
        <v>40393</v>
      </c>
      <c r="D4712" s="6" t="s">
        <v>16</v>
      </c>
      <c r="E4712" s="6">
        <f>IF((ISBLANK($B$1)),"",Sheet1!Q4722)</f>
        <v>3450</v>
      </c>
      <c r="F4712" s="20" t="s">
        <v>29</v>
      </c>
      <c r="G4712" s="53">
        <f t="shared" si="74"/>
        <v>-1.696881917758629</v>
      </c>
      <c r="H4712" s="35"/>
      <c r="P4712" s="6"/>
    </row>
    <row r="4713" spans="1:16" ht="14.4" x14ac:dyDescent="0.25">
      <c r="A4713" s="6">
        <v>7536</v>
      </c>
      <c r="B4713" s="6">
        <v>53891</v>
      </c>
      <c r="C4713" s="19">
        <v>39835</v>
      </c>
      <c r="D4713" s="6" t="s">
        <v>17</v>
      </c>
      <c r="E4713" s="6">
        <f>IF((ISBLANK($B$1)),"",Sheet1!Q4723)</f>
        <v>4750</v>
      </c>
      <c r="F4713" s="20" t="s">
        <v>27</v>
      </c>
      <c r="G4713" s="53">
        <f t="shared" si="74"/>
        <v>9.8358636763777513E-2</v>
      </c>
      <c r="H4713" s="35"/>
      <c r="P4713" s="6"/>
    </row>
    <row r="4714" spans="1:16" ht="14.4" x14ac:dyDescent="0.25">
      <c r="A4714" s="6">
        <v>7537</v>
      </c>
      <c r="B4714" s="6">
        <v>53891</v>
      </c>
      <c r="C4714" s="19">
        <v>39835</v>
      </c>
      <c r="D4714" s="6" t="s">
        <v>17</v>
      </c>
      <c r="E4714" s="6">
        <f>IF((ISBLANK($B$1)),"",Sheet1!Q4724)</f>
        <v>5600</v>
      </c>
      <c r="F4714" s="20" t="s">
        <v>29</v>
      </c>
      <c r="G4714" s="53">
        <f t="shared" si="74"/>
        <v>1.2721697685668893</v>
      </c>
      <c r="H4714" s="35"/>
      <c r="P4714" s="6"/>
    </row>
    <row r="4715" spans="1:16" ht="14.4" x14ac:dyDescent="0.25">
      <c r="A4715" s="6">
        <v>7538</v>
      </c>
      <c r="B4715" s="6">
        <v>53891</v>
      </c>
      <c r="C4715" s="19">
        <v>39835</v>
      </c>
      <c r="D4715" s="6" t="s">
        <v>17</v>
      </c>
      <c r="E4715" s="6">
        <f>IF((ISBLANK($B$1)),"",Sheet1!Q4725)</f>
        <v>4650</v>
      </c>
      <c r="F4715" s="20" t="s">
        <v>27</v>
      </c>
      <c r="G4715" s="53">
        <f t="shared" si="74"/>
        <v>-3.9736790507176829E-2</v>
      </c>
      <c r="H4715" s="35"/>
      <c r="P4715" s="6"/>
    </row>
    <row r="4716" spans="1:16" ht="14.4" x14ac:dyDescent="0.25">
      <c r="A4716" s="6">
        <v>7748</v>
      </c>
      <c r="B4716" s="6">
        <v>55460</v>
      </c>
      <c r="C4716" s="19">
        <v>41055</v>
      </c>
      <c r="D4716" s="6" t="s">
        <v>17</v>
      </c>
      <c r="E4716" s="6">
        <f>IF((ISBLANK($B$1)),"",Sheet1!Q4726)</f>
        <v>5850</v>
      </c>
      <c r="F4716" s="20" t="s">
        <v>26</v>
      </c>
      <c r="G4716" s="53">
        <f t="shared" si="74"/>
        <v>1.6174083367442753</v>
      </c>
      <c r="H4716" s="35"/>
      <c r="P4716" s="6"/>
    </row>
    <row r="4717" spans="1:16" ht="14.4" x14ac:dyDescent="0.25">
      <c r="A4717" s="6">
        <v>7749</v>
      </c>
      <c r="B4717" s="6">
        <v>55460</v>
      </c>
      <c r="C4717" s="19">
        <v>41055</v>
      </c>
      <c r="D4717" s="6" t="s">
        <v>17</v>
      </c>
      <c r="E4717" s="6">
        <f>IF((ISBLANK($B$1)),"",Sheet1!Q4727)</f>
        <v>4000</v>
      </c>
      <c r="F4717" s="20" t="s">
        <v>26</v>
      </c>
      <c r="G4717" s="53">
        <f t="shared" si="74"/>
        <v>-0.93735706776838001</v>
      </c>
      <c r="H4717" s="35"/>
      <c r="P4717" s="6"/>
    </row>
    <row r="4718" spans="1:16" ht="14.4" x14ac:dyDescent="0.25">
      <c r="A4718" s="6">
        <v>7815</v>
      </c>
      <c r="B4718" s="6">
        <v>55877</v>
      </c>
      <c r="C4718" s="19">
        <v>40211</v>
      </c>
      <c r="D4718" s="6" t="s">
        <v>28</v>
      </c>
      <c r="E4718" s="6">
        <f>IF((ISBLANK($B$1)),"",Sheet1!Q4728)</f>
        <v>5400</v>
      </c>
      <c r="F4718" s="20" t="s">
        <v>26</v>
      </c>
      <c r="G4718" s="53">
        <f t="shared" si="74"/>
        <v>0.99597891402498073</v>
      </c>
      <c r="H4718" s="35"/>
      <c r="P4718" s="6"/>
    </row>
    <row r="4719" spans="1:16" ht="14.4" x14ac:dyDescent="0.25">
      <c r="A4719" s="6">
        <v>7816</v>
      </c>
      <c r="B4719" s="6">
        <v>55877</v>
      </c>
      <c r="C4719" s="19">
        <v>40211</v>
      </c>
      <c r="D4719" s="6" t="s">
        <v>28</v>
      </c>
      <c r="E4719" s="6">
        <f>IF((ISBLANK($B$1)),"",Sheet1!Q4729)</f>
        <v>4350</v>
      </c>
      <c r="F4719" s="20" t="s">
        <v>26</v>
      </c>
      <c r="G4719" s="53">
        <f t="shared" si="74"/>
        <v>-0.45402307232003986</v>
      </c>
      <c r="H4719" s="35"/>
      <c r="P4719" s="6"/>
    </row>
    <row r="4720" spans="1:16" ht="14.4" x14ac:dyDescent="0.25">
      <c r="A4720" s="6">
        <v>7927</v>
      </c>
      <c r="B4720" s="6">
        <v>56647</v>
      </c>
      <c r="C4720" s="19">
        <v>40758</v>
      </c>
      <c r="D4720" s="6" t="s">
        <v>16</v>
      </c>
      <c r="E4720" s="6">
        <f>IF((ISBLANK($B$1)),"",Sheet1!Q4730)</f>
        <v>5450</v>
      </c>
      <c r="F4720" s="20" t="s">
        <v>29</v>
      </c>
      <c r="G4720" s="53">
        <f t="shared" si="74"/>
        <v>1.0650266276604579</v>
      </c>
      <c r="H4720" s="35"/>
      <c r="P4720" s="6"/>
    </row>
    <row r="4721" spans="1:16" ht="14.4" x14ac:dyDescent="0.25">
      <c r="A4721" s="6">
        <v>8044</v>
      </c>
      <c r="B4721" s="6">
        <v>57475</v>
      </c>
      <c r="C4721" s="19">
        <v>40455</v>
      </c>
      <c r="D4721" s="6" t="s">
        <v>25</v>
      </c>
      <c r="E4721" s="6">
        <f>IF((ISBLANK($B$1)),"",Sheet1!Q4731)</f>
        <v>5000</v>
      </c>
      <c r="F4721" s="20" t="s">
        <v>26</v>
      </c>
      <c r="G4721" s="53">
        <f t="shared" si="74"/>
        <v>0.44359720494116334</v>
      </c>
      <c r="H4721" s="35"/>
      <c r="P4721" s="6"/>
    </row>
    <row r="4722" spans="1:16" ht="14.4" x14ac:dyDescent="0.25">
      <c r="A4722" s="6">
        <v>8045</v>
      </c>
      <c r="B4722" s="6">
        <v>57475</v>
      </c>
      <c r="C4722" s="19">
        <v>40455</v>
      </c>
      <c r="D4722" s="6" t="s">
        <v>25</v>
      </c>
      <c r="E4722" s="6">
        <f>IF((ISBLANK($B$1)),"",Sheet1!Q4732)</f>
        <v>5100</v>
      </c>
      <c r="F4722" s="20" t="s">
        <v>26</v>
      </c>
      <c r="G4722" s="53">
        <f t="shared" si="74"/>
        <v>0.58169263221211776</v>
      </c>
      <c r="H4722" s="35"/>
      <c r="P4722" s="6"/>
    </row>
    <row r="4723" spans="1:16" ht="14.4" x14ac:dyDescent="0.25">
      <c r="A4723" s="6">
        <v>8046</v>
      </c>
      <c r="B4723" s="6">
        <v>57475</v>
      </c>
      <c r="C4723" s="19">
        <v>40455</v>
      </c>
      <c r="D4723" s="6" t="s">
        <v>25</v>
      </c>
      <c r="E4723" s="6">
        <f>IF((ISBLANK($B$1)),"",Sheet1!Q4733)</f>
        <v>5800</v>
      </c>
      <c r="F4723" s="20" t="s">
        <v>26</v>
      </c>
      <c r="G4723" s="53">
        <f t="shared" si="74"/>
        <v>1.5483606231087981</v>
      </c>
      <c r="H4723" s="35"/>
      <c r="P4723" s="6"/>
    </row>
    <row r="4724" spans="1:16" ht="14.4" x14ac:dyDescent="0.25">
      <c r="A4724" s="6">
        <v>8047</v>
      </c>
      <c r="B4724" s="6">
        <v>57475</v>
      </c>
      <c r="C4724" s="19">
        <v>40455</v>
      </c>
      <c r="D4724" s="6" t="s">
        <v>25</v>
      </c>
      <c r="E4724" s="6">
        <f>IF((ISBLANK($B$1)),"",Sheet1!Q4734)</f>
        <v>4600</v>
      </c>
      <c r="F4724" s="20" t="s">
        <v>26</v>
      </c>
      <c r="G4724" s="53">
        <f t="shared" si="74"/>
        <v>-0.108784504142654</v>
      </c>
      <c r="H4724" s="35"/>
      <c r="P4724" s="6"/>
    </row>
    <row r="4725" spans="1:16" ht="14.4" x14ac:dyDescent="0.25">
      <c r="A4725" s="6">
        <v>8062</v>
      </c>
      <c r="B4725" s="6">
        <v>57537</v>
      </c>
      <c r="C4725" s="19">
        <v>41170</v>
      </c>
      <c r="D4725" s="6" t="s">
        <v>16</v>
      </c>
      <c r="E4725" s="6">
        <f>IF((ISBLANK($B$1)),"",Sheet1!Q4735)</f>
        <v>4050</v>
      </c>
      <c r="F4725" s="20" t="s">
        <v>26</v>
      </c>
      <c r="G4725" s="53">
        <f t="shared" si="74"/>
        <v>-0.86830935413290289</v>
      </c>
      <c r="H4725" s="35"/>
      <c r="P4725" s="6"/>
    </row>
    <row r="4726" spans="1:16" ht="14.4" x14ac:dyDescent="0.25">
      <c r="A4726" s="6">
        <v>8063</v>
      </c>
      <c r="B4726" s="6">
        <v>57537</v>
      </c>
      <c r="C4726" s="19">
        <v>41170</v>
      </c>
      <c r="D4726" s="6" t="s">
        <v>16</v>
      </c>
      <c r="E4726" s="6">
        <f>IF((ISBLANK($B$1)),"",Sheet1!Q4736)</f>
        <v>4850</v>
      </c>
      <c r="F4726" s="20" t="s">
        <v>27</v>
      </c>
      <c r="G4726" s="53">
        <f t="shared" si="74"/>
        <v>0.23645406403473185</v>
      </c>
      <c r="H4726" s="35"/>
      <c r="P4726" s="6"/>
    </row>
    <row r="4727" spans="1:16" ht="14.4" x14ac:dyDescent="0.25">
      <c r="A4727" s="6">
        <v>8064</v>
      </c>
      <c r="B4727" s="6">
        <v>57537</v>
      </c>
      <c r="C4727" s="19">
        <v>41170</v>
      </c>
      <c r="D4727" s="6" t="s">
        <v>16</v>
      </c>
      <c r="E4727" s="6">
        <f>IF((ISBLANK($B$1)),"",Sheet1!Q4737)</f>
        <v>3600</v>
      </c>
      <c r="F4727" s="20" t="s">
        <v>26</v>
      </c>
      <c r="G4727" s="53">
        <f t="shared" si="74"/>
        <v>-1.4897387768521975</v>
      </c>
      <c r="H4727" s="35"/>
      <c r="P4727" s="6"/>
    </row>
    <row r="4728" spans="1:16" ht="14.4" x14ac:dyDescent="0.25">
      <c r="A4728" s="6">
        <v>8087</v>
      </c>
      <c r="B4728" s="6">
        <v>57698</v>
      </c>
      <c r="C4728" s="19">
        <v>40914</v>
      </c>
      <c r="D4728" s="6" t="s">
        <v>30</v>
      </c>
      <c r="E4728" s="6">
        <f>IF((ISBLANK($B$1)),"",Sheet1!Q4738)</f>
        <v>3900</v>
      </c>
      <c r="F4728" s="20" t="s">
        <v>26</v>
      </c>
      <c r="G4728" s="53">
        <f t="shared" si="74"/>
        <v>-1.0754524950393345</v>
      </c>
      <c r="H4728" s="35"/>
      <c r="P4728" s="6"/>
    </row>
    <row r="4729" spans="1:16" ht="14.4" x14ac:dyDescent="0.25">
      <c r="A4729" s="6">
        <v>8088</v>
      </c>
      <c r="B4729" s="6">
        <v>57698</v>
      </c>
      <c r="C4729" s="19">
        <v>40914</v>
      </c>
      <c r="D4729" s="6" t="s">
        <v>30</v>
      </c>
      <c r="E4729" s="6">
        <f>IF((ISBLANK($B$1)),"",Sheet1!Q4739)</f>
        <v>4050</v>
      </c>
      <c r="F4729" s="20" t="s">
        <v>26</v>
      </c>
      <c r="G4729" s="53">
        <f t="shared" si="74"/>
        <v>-0.86830935413290289</v>
      </c>
      <c r="H4729" s="35"/>
      <c r="P4729" s="6"/>
    </row>
    <row r="4730" spans="1:16" ht="14.4" x14ac:dyDescent="0.25">
      <c r="A4730" s="6">
        <v>8143</v>
      </c>
      <c r="B4730" s="6">
        <v>58241</v>
      </c>
      <c r="C4730" s="19">
        <v>40428</v>
      </c>
      <c r="D4730" s="6" t="s">
        <v>30</v>
      </c>
      <c r="E4730" s="6">
        <f>IF((ISBLANK($B$1)),"",Sheet1!Q4740)</f>
        <v>5200</v>
      </c>
      <c r="F4730" s="20" t="s">
        <v>26</v>
      </c>
      <c r="G4730" s="53">
        <f t="shared" si="74"/>
        <v>0.71978805948307201</v>
      </c>
      <c r="H4730" s="35"/>
      <c r="P4730" s="6"/>
    </row>
    <row r="4731" spans="1:16" ht="14.4" x14ac:dyDescent="0.25">
      <c r="A4731" s="6">
        <v>8144</v>
      </c>
      <c r="B4731" s="6">
        <v>58241</v>
      </c>
      <c r="C4731" s="19">
        <v>40428</v>
      </c>
      <c r="D4731" s="6" t="s">
        <v>30</v>
      </c>
      <c r="E4731" s="6">
        <f>IF((ISBLANK($B$1)),"",Sheet1!Q4741)</f>
        <v>5200</v>
      </c>
      <c r="F4731" s="20" t="s">
        <v>26</v>
      </c>
      <c r="G4731" s="53">
        <f t="shared" si="74"/>
        <v>0.71978805948307201</v>
      </c>
      <c r="H4731" s="35"/>
      <c r="P4731" s="6"/>
    </row>
    <row r="4732" spans="1:16" ht="14.4" x14ac:dyDescent="0.25">
      <c r="A4732" s="6">
        <v>16</v>
      </c>
      <c r="B4732" s="6">
        <v>96</v>
      </c>
      <c r="C4732" s="19">
        <v>39919</v>
      </c>
      <c r="D4732" s="6" t="s">
        <v>17</v>
      </c>
      <c r="E4732" s="6">
        <f>IF((ISBLANK($B$1)),"",Sheet1!Q4742)</f>
        <v>5250</v>
      </c>
      <c r="F4732" s="20" t="s">
        <v>27</v>
      </c>
      <c r="G4732" s="53">
        <f t="shared" si="74"/>
        <v>0.78883577311854924</v>
      </c>
      <c r="H4732" s="35"/>
      <c r="P4732" s="6"/>
    </row>
    <row r="4733" spans="1:16" ht="14.4" x14ac:dyDescent="0.25">
      <c r="A4733" s="6">
        <v>93</v>
      </c>
      <c r="B4733" s="6">
        <v>610</v>
      </c>
      <c r="C4733" s="19">
        <v>40756</v>
      </c>
      <c r="D4733" s="6" t="s">
        <v>30</v>
      </c>
      <c r="E4733" s="6">
        <f>IF((ISBLANK($B$1)),"",Sheet1!Q4743)</f>
        <v>5300</v>
      </c>
      <c r="F4733" s="20" t="s">
        <v>26</v>
      </c>
      <c r="G4733" s="53">
        <f t="shared" si="74"/>
        <v>0.85788348675402637</v>
      </c>
      <c r="H4733" s="35"/>
      <c r="P4733" s="6"/>
    </row>
    <row r="4734" spans="1:16" ht="14.4" x14ac:dyDescent="0.25">
      <c r="A4734" s="6">
        <v>95</v>
      </c>
      <c r="B4734" s="6">
        <v>612</v>
      </c>
      <c r="C4734" s="19">
        <v>41202</v>
      </c>
      <c r="D4734" s="6" t="s">
        <v>16</v>
      </c>
      <c r="E4734" s="6">
        <f>IF((ISBLANK($B$1)),"",Sheet1!Q4744)</f>
        <v>5900</v>
      </c>
      <c r="F4734" s="20" t="s">
        <v>26</v>
      </c>
      <c r="G4734" s="53">
        <f t="shared" si="74"/>
        <v>1.6864560503797523</v>
      </c>
      <c r="H4734" s="35"/>
      <c r="P4734" s="6"/>
    </row>
    <row r="4735" spans="1:16" ht="14.4" x14ac:dyDescent="0.25">
      <c r="A4735" s="6">
        <v>96</v>
      </c>
      <c r="B4735" s="6">
        <v>612</v>
      </c>
      <c r="C4735" s="19">
        <v>41202</v>
      </c>
      <c r="D4735" s="6" t="s">
        <v>16</v>
      </c>
      <c r="E4735" s="6">
        <f>IF((ISBLANK($B$1)),"",Sheet1!Q4745)</f>
        <v>5550</v>
      </c>
      <c r="F4735" s="20" t="s">
        <v>27</v>
      </c>
      <c r="G4735" s="53">
        <f t="shared" si="74"/>
        <v>1.2031220549314123</v>
      </c>
      <c r="H4735" s="35"/>
      <c r="P4735" s="6"/>
    </row>
    <row r="4736" spans="1:16" ht="14.4" x14ac:dyDescent="0.25">
      <c r="A4736" s="6">
        <v>216</v>
      </c>
      <c r="B4736" s="6">
        <v>1440</v>
      </c>
      <c r="C4736" s="19">
        <v>40764</v>
      </c>
      <c r="D4736" s="6" t="s">
        <v>25</v>
      </c>
      <c r="E4736" s="6">
        <f>IF((ISBLANK($B$1)),"",Sheet1!Q4746)</f>
        <v>5450</v>
      </c>
      <c r="F4736" s="20" t="s">
        <v>29</v>
      </c>
      <c r="G4736" s="53">
        <f t="shared" si="74"/>
        <v>1.0650266276604579</v>
      </c>
      <c r="H4736" s="35"/>
      <c r="P4736" s="6"/>
    </row>
    <row r="4737" spans="1:16" ht="14.4" x14ac:dyDescent="0.25">
      <c r="A4737" s="6">
        <v>553</v>
      </c>
      <c r="B4737" s="6">
        <v>3749</v>
      </c>
      <c r="C4737" s="19">
        <v>40597</v>
      </c>
      <c r="D4737" s="6" t="s">
        <v>16</v>
      </c>
      <c r="E4737" s="6">
        <f>IF((ISBLANK($B$1)),"",Sheet1!Q4747)</f>
        <v>4750</v>
      </c>
      <c r="F4737" s="20" t="s">
        <v>26</v>
      </c>
      <c r="G4737" s="53">
        <f t="shared" si="74"/>
        <v>9.8358636763777513E-2</v>
      </c>
      <c r="H4737" s="35"/>
      <c r="P4737" s="6"/>
    </row>
    <row r="4738" spans="1:16" ht="14.4" x14ac:dyDescent="0.25">
      <c r="A4738" s="6">
        <v>598</v>
      </c>
      <c r="B4738" s="6">
        <v>4070</v>
      </c>
      <c r="C4738" s="19">
        <v>40705</v>
      </c>
      <c r="D4738" s="6" t="s">
        <v>17</v>
      </c>
      <c r="E4738" s="6">
        <f>IF((ISBLANK($B$1)),"",Sheet1!Q4748)</f>
        <v>4500</v>
      </c>
      <c r="F4738" s="20" t="s">
        <v>27</v>
      </c>
      <c r="G4738" s="53">
        <f t="shared" si="74"/>
        <v>-0.24687993141360834</v>
      </c>
      <c r="H4738" s="35"/>
      <c r="P4738" s="6"/>
    </row>
    <row r="4739" spans="1:16" ht="14.4" x14ac:dyDescent="0.25">
      <c r="A4739" s="6">
        <v>687</v>
      </c>
      <c r="B4739" s="6">
        <v>4774</v>
      </c>
      <c r="C4739" s="19">
        <v>40287</v>
      </c>
      <c r="D4739" s="6" t="s">
        <v>16</v>
      </c>
      <c r="E4739" s="6">
        <f>IF((ISBLANK($B$1)),"",Sheet1!Q4749)</f>
        <v>3600</v>
      </c>
      <c r="F4739" s="20" t="s">
        <v>27</v>
      </c>
      <c r="G4739" s="53">
        <f t="shared" si="74"/>
        <v>-1.4897387768521975</v>
      </c>
      <c r="H4739" s="35"/>
      <c r="P4739" s="6"/>
    </row>
    <row r="4740" spans="1:16" ht="14.4" x14ac:dyDescent="0.25">
      <c r="A4740" s="6">
        <v>958</v>
      </c>
      <c r="B4740" s="6">
        <v>6947</v>
      </c>
      <c r="C4740" s="19">
        <v>40743</v>
      </c>
      <c r="D4740" s="6" t="s">
        <v>30</v>
      </c>
      <c r="E4740" s="6">
        <f>IF((ISBLANK($B$1)),"",Sheet1!Q4750)</f>
        <v>3850</v>
      </c>
      <c r="F4740" s="20" t="s">
        <v>29</v>
      </c>
      <c r="G4740" s="53">
        <f t="shared" si="74"/>
        <v>-1.1445002086748115</v>
      </c>
      <c r="H4740" s="35"/>
      <c r="P4740" s="6"/>
    </row>
    <row r="4741" spans="1:16" ht="14.4" x14ac:dyDescent="0.25">
      <c r="A4741" s="6">
        <v>962</v>
      </c>
      <c r="B4741" s="6">
        <v>6979</v>
      </c>
      <c r="C4741" s="19">
        <v>39871</v>
      </c>
      <c r="D4741" s="6" t="s">
        <v>30</v>
      </c>
      <c r="E4741" s="6">
        <f>IF((ISBLANK($B$1)),"",Sheet1!Q4751)</f>
        <v>4800</v>
      </c>
      <c r="F4741" s="20" t="s">
        <v>27</v>
      </c>
      <c r="G4741" s="53">
        <f t="shared" si="74"/>
        <v>0.16740635039925467</v>
      </c>
      <c r="H4741" s="35"/>
      <c r="P4741" s="6"/>
    </row>
    <row r="4742" spans="1:16" ht="14.4" x14ac:dyDescent="0.25">
      <c r="A4742" s="6">
        <v>985</v>
      </c>
      <c r="B4742" s="6">
        <v>7107</v>
      </c>
      <c r="C4742" s="19">
        <v>40912</v>
      </c>
      <c r="D4742" s="6" t="s">
        <v>28</v>
      </c>
      <c r="E4742" s="6">
        <f>IF((ISBLANK($B$1)),"",Sheet1!Q4752)</f>
        <v>3550</v>
      </c>
      <c r="F4742" s="20" t="s">
        <v>29</v>
      </c>
      <c r="G4742" s="53">
        <f t="shared" si="74"/>
        <v>-1.5587864904876745</v>
      </c>
      <c r="H4742" s="35"/>
      <c r="P4742" s="6"/>
    </row>
    <row r="4743" spans="1:16" ht="14.4" x14ac:dyDescent="0.25">
      <c r="A4743" s="6">
        <v>986</v>
      </c>
      <c r="B4743" s="6">
        <v>7107</v>
      </c>
      <c r="C4743" s="19">
        <v>40912</v>
      </c>
      <c r="D4743" s="6" t="s">
        <v>28</v>
      </c>
      <c r="E4743" s="6">
        <f>IF((ISBLANK($B$1)),"",Sheet1!Q4753)</f>
        <v>3550</v>
      </c>
      <c r="F4743" s="20" t="s">
        <v>26</v>
      </c>
      <c r="G4743" s="53">
        <f t="shared" si="74"/>
        <v>-1.5587864904876745</v>
      </c>
      <c r="H4743" s="35"/>
      <c r="P4743" s="6"/>
    </row>
    <row r="4744" spans="1:16" ht="14.4" x14ac:dyDescent="0.25">
      <c r="A4744" s="6">
        <v>987</v>
      </c>
      <c r="B4744" s="6">
        <v>7107</v>
      </c>
      <c r="C4744" s="19">
        <v>40912</v>
      </c>
      <c r="D4744" s="6" t="s">
        <v>28</v>
      </c>
      <c r="E4744" s="6">
        <f>IF((ISBLANK($B$1)),"",Sheet1!Q4754)</f>
        <v>5000</v>
      </c>
      <c r="F4744" s="20" t="s">
        <v>26</v>
      </c>
      <c r="G4744" s="53">
        <f t="shared" ref="G4744:G4807" si="75">STANDARDIZE(E4744,$L$26,$L$35)</f>
        <v>0.44359720494116334</v>
      </c>
      <c r="H4744" s="35"/>
      <c r="P4744" s="6"/>
    </row>
    <row r="4745" spans="1:16" ht="14.4" x14ac:dyDescent="0.25">
      <c r="A4745" s="6">
        <v>1132</v>
      </c>
      <c r="B4745" s="6">
        <v>8288</v>
      </c>
      <c r="C4745" s="19">
        <v>40672</v>
      </c>
      <c r="D4745" s="6" t="s">
        <v>30</v>
      </c>
      <c r="E4745" s="6">
        <f>IF((ISBLANK($B$1)),"",Sheet1!Q4755)</f>
        <v>4500</v>
      </c>
      <c r="F4745" s="20" t="s">
        <v>26</v>
      </c>
      <c r="G4745" s="53">
        <f t="shared" si="75"/>
        <v>-0.24687993141360834</v>
      </c>
      <c r="H4745" s="35"/>
      <c r="P4745" s="6"/>
    </row>
    <row r="4746" spans="1:16" ht="14.4" x14ac:dyDescent="0.25">
      <c r="A4746" s="6">
        <v>1187</v>
      </c>
      <c r="B4746" s="6">
        <v>8678</v>
      </c>
      <c r="C4746" s="19">
        <v>41182</v>
      </c>
      <c r="D4746" s="6" t="s">
        <v>25</v>
      </c>
      <c r="E4746" s="6">
        <f>IF((ISBLANK($B$1)),"",Sheet1!Q4756)</f>
        <v>4950</v>
      </c>
      <c r="F4746" s="20" t="s">
        <v>26</v>
      </c>
      <c r="G4746" s="53">
        <f t="shared" si="75"/>
        <v>0.37454949130568621</v>
      </c>
      <c r="H4746" s="35"/>
      <c r="P4746" s="6"/>
    </row>
    <row r="4747" spans="1:16" ht="14.4" x14ac:dyDescent="0.25">
      <c r="A4747" s="6">
        <v>1480</v>
      </c>
      <c r="B4747" s="6">
        <v>10659</v>
      </c>
      <c r="C4747" s="19">
        <v>39947</v>
      </c>
      <c r="D4747" s="6" t="s">
        <v>30</v>
      </c>
      <c r="E4747" s="6">
        <f>IF((ISBLANK($B$1)),"",Sheet1!Q4757)</f>
        <v>5400</v>
      </c>
      <c r="F4747" s="20" t="s">
        <v>26</v>
      </c>
      <c r="G4747" s="53">
        <f t="shared" si="75"/>
        <v>0.99597891402498073</v>
      </c>
      <c r="H4747" s="35"/>
      <c r="P4747" s="6"/>
    </row>
    <row r="4748" spans="1:16" ht="14.4" x14ac:dyDescent="0.25">
      <c r="A4748" s="6">
        <v>1489</v>
      </c>
      <c r="B4748" s="6">
        <v>10695</v>
      </c>
      <c r="C4748" s="19">
        <v>40665</v>
      </c>
      <c r="D4748" s="6" t="s">
        <v>17</v>
      </c>
      <c r="E4748" s="6">
        <f>IF((ISBLANK($B$1)),"",Sheet1!Q4758)</f>
        <v>5350</v>
      </c>
      <c r="F4748" s="20" t="s">
        <v>27</v>
      </c>
      <c r="G4748" s="53">
        <f t="shared" si="75"/>
        <v>0.92693120038950361</v>
      </c>
      <c r="H4748" s="35"/>
      <c r="P4748" s="6"/>
    </row>
    <row r="4749" spans="1:16" ht="14.4" x14ac:dyDescent="0.25">
      <c r="A4749" s="6">
        <v>1620</v>
      </c>
      <c r="B4749" s="6">
        <v>11719</v>
      </c>
      <c r="C4749" s="19">
        <v>40579</v>
      </c>
      <c r="D4749" s="6" t="s">
        <v>28</v>
      </c>
      <c r="E4749" s="6">
        <f>IF((ISBLANK($B$1)),"",Sheet1!Q4759)</f>
        <v>3550</v>
      </c>
      <c r="F4749" s="20" t="s">
        <v>27</v>
      </c>
      <c r="G4749" s="53">
        <f t="shared" si="75"/>
        <v>-1.5587864904876745</v>
      </c>
      <c r="H4749" s="35"/>
      <c r="P4749" s="6"/>
    </row>
    <row r="4750" spans="1:16" ht="14.4" x14ac:dyDescent="0.25">
      <c r="A4750" s="6">
        <v>1621</v>
      </c>
      <c r="B4750" s="6">
        <v>11719</v>
      </c>
      <c r="C4750" s="19">
        <v>40579</v>
      </c>
      <c r="D4750" s="6" t="s">
        <v>28</v>
      </c>
      <c r="E4750" s="6">
        <f>IF((ISBLANK($B$1)),"",Sheet1!Q4760)</f>
        <v>4900</v>
      </c>
      <c r="F4750" s="20" t="s">
        <v>26</v>
      </c>
      <c r="G4750" s="53">
        <f t="shared" si="75"/>
        <v>0.30550177767020903</v>
      </c>
      <c r="H4750" s="35"/>
      <c r="P4750" s="6"/>
    </row>
    <row r="4751" spans="1:16" ht="14.4" x14ac:dyDescent="0.25">
      <c r="A4751" s="6">
        <v>1622</v>
      </c>
      <c r="B4751" s="6">
        <v>11719</v>
      </c>
      <c r="C4751" s="19">
        <v>40579</v>
      </c>
      <c r="D4751" s="6" t="s">
        <v>28</v>
      </c>
      <c r="E4751" s="6">
        <f>IF((ISBLANK($B$1)),"",Sheet1!Q4761)</f>
        <v>4250</v>
      </c>
      <c r="F4751" s="20" t="s">
        <v>27</v>
      </c>
      <c r="G4751" s="53">
        <f t="shared" si="75"/>
        <v>-0.59211849959099416</v>
      </c>
      <c r="H4751" s="35"/>
      <c r="P4751" s="6"/>
    </row>
    <row r="4752" spans="1:16" ht="14.4" x14ac:dyDescent="0.25">
      <c r="A4752" s="6">
        <v>1651</v>
      </c>
      <c r="B4752" s="6">
        <v>11908</v>
      </c>
      <c r="C4752" s="19">
        <v>40323</v>
      </c>
      <c r="D4752" s="6" t="s">
        <v>28</v>
      </c>
      <c r="E4752" s="6">
        <f>IF((ISBLANK($B$1)),"",Sheet1!Q4762)</f>
        <v>3650</v>
      </c>
      <c r="F4752" s="20" t="s">
        <v>29</v>
      </c>
      <c r="G4752" s="53">
        <f t="shared" si="75"/>
        <v>-1.4206910632167202</v>
      </c>
      <c r="H4752" s="35"/>
      <c r="P4752" s="6"/>
    </row>
    <row r="4753" spans="1:16" ht="14.4" x14ac:dyDescent="0.25">
      <c r="A4753" s="6">
        <v>1923</v>
      </c>
      <c r="B4753" s="6">
        <v>13765</v>
      </c>
      <c r="C4753" s="19">
        <v>39908</v>
      </c>
      <c r="D4753" s="6" t="s">
        <v>28</v>
      </c>
      <c r="E4753" s="6">
        <f>IF((ISBLANK($B$1)),"",Sheet1!Q4763)</f>
        <v>5650</v>
      </c>
      <c r="F4753" s="20" t="s">
        <v>26</v>
      </c>
      <c r="G4753" s="53">
        <f t="shared" si="75"/>
        <v>1.3412174822023666</v>
      </c>
      <c r="H4753" s="35"/>
      <c r="P4753" s="6"/>
    </row>
    <row r="4754" spans="1:16" ht="14.4" x14ac:dyDescent="0.25">
      <c r="A4754" s="6">
        <v>1967</v>
      </c>
      <c r="B4754" s="6">
        <v>14055</v>
      </c>
      <c r="C4754" s="19">
        <v>40057</v>
      </c>
      <c r="D4754" s="6" t="s">
        <v>17</v>
      </c>
      <c r="E4754" s="6">
        <f>IF((ISBLANK($B$1)),"",Sheet1!Q4764)</f>
        <v>4450</v>
      </c>
      <c r="F4754" s="20" t="s">
        <v>29</v>
      </c>
      <c r="G4754" s="53">
        <f t="shared" si="75"/>
        <v>-0.31592764504908549</v>
      </c>
      <c r="H4754" s="35"/>
      <c r="P4754" s="6"/>
    </row>
    <row r="4755" spans="1:16" ht="14.4" x14ac:dyDescent="0.25">
      <c r="A4755" s="6">
        <v>2010</v>
      </c>
      <c r="B4755" s="6">
        <v>14342</v>
      </c>
      <c r="C4755" s="19">
        <v>39930</v>
      </c>
      <c r="D4755" s="6" t="s">
        <v>25</v>
      </c>
      <c r="E4755" s="6">
        <f>IF((ISBLANK($B$1)),"",Sheet1!Q4765)</f>
        <v>5300</v>
      </c>
      <c r="F4755" s="20" t="s">
        <v>27</v>
      </c>
      <c r="G4755" s="53">
        <f t="shared" si="75"/>
        <v>0.85788348675402637</v>
      </c>
      <c r="H4755" s="35"/>
      <c r="P4755" s="6"/>
    </row>
    <row r="4756" spans="1:16" ht="14.4" x14ac:dyDescent="0.25">
      <c r="A4756" s="6">
        <v>2063</v>
      </c>
      <c r="B4756" s="6">
        <v>14756</v>
      </c>
      <c r="C4756" s="19">
        <v>40056</v>
      </c>
      <c r="D4756" s="6" t="s">
        <v>25</v>
      </c>
      <c r="E4756" s="6">
        <f>IF((ISBLANK($B$1)),"",Sheet1!Q4766)</f>
        <v>3500</v>
      </c>
      <c r="F4756" s="20" t="s">
        <v>29</v>
      </c>
      <c r="G4756" s="53">
        <f t="shared" si="75"/>
        <v>-1.6278342041231517</v>
      </c>
      <c r="H4756" s="35"/>
      <c r="P4756" s="6"/>
    </row>
    <row r="4757" spans="1:16" ht="14.4" x14ac:dyDescent="0.25">
      <c r="A4757" s="6">
        <v>2065</v>
      </c>
      <c r="B4757" s="6">
        <v>14785</v>
      </c>
      <c r="C4757" s="19">
        <v>40095</v>
      </c>
      <c r="D4757" s="6" t="s">
        <v>17</v>
      </c>
      <c r="E4757" s="6">
        <f>IF((ISBLANK($B$1)),"",Sheet1!Q4767)</f>
        <v>4400</v>
      </c>
      <c r="F4757" s="20" t="s">
        <v>26</v>
      </c>
      <c r="G4757" s="53">
        <f t="shared" si="75"/>
        <v>-0.38497535868456267</v>
      </c>
      <c r="H4757" s="35"/>
      <c r="P4757" s="6"/>
    </row>
    <row r="4758" spans="1:16" ht="14.4" x14ac:dyDescent="0.25">
      <c r="A4758" s="6">
        <v>2066</v>
      </c>
      <c r="B4758" s="6">
        <v>14785</v>
      </c>
      <c r="C4758" s="19">
        <v>40095</v>
      </c>
      <c r="D4758" s="6" t="s">
        <v>17</v>
      </c>
      <c r="E4758" s="6">
        <f>IF((ISBLANK($B$1)),"",Sheet1!Q4768)</f>
        <v>4650</v>
      </c>
      <c r="F4758" s="20" t="s">
        <v>26</v>
      </c>
      <c r="G4758" s="53">
        <f t="shared" si="75"/>
        <v>-3.9736790507176829E-2</v>
      </c>
      <c r="H4758" s="35"/>
      <c r="P4758" s="6"/>
    </row>
    <row r="4759" spans="1:16" ht="14.4" x14ac:dyDescent="0.25">
      <c r="A4759" s="6">
        <v>2079</v>
      </c>
      <c r="B4759" s="6">
        <v>14855</v>
      </c>
      <c r="C4759" s="19">
        <v>40298</v>
      </c>
      <c r="D4759" s="6" t="s">
        <v>28</v>
      </c>
      <c r="E4759" s="6">
        <f>IF((ISBLANK($B$1)),"",Sheet1!Q4769)</f>
        <v>5600</v>
      </c>
      <c r="F4759" s="20" t="s">
        <v>26</v>
      </c>
      <c r="G4759" s="53">
        <f t="shared" si="75"/>
        <v>1.2721697685668893</v>
      </c>
      <c r="H4759" s="35"/>
      <c r="P4759" s="6"/>
    </row>
    <row r="4760" spans="1:16" ht="14.4" x14ac:dyDescent="0.25">
      <c r="A4760" s="6">
        <v>2080</v>
      </c>
      <c r="B4760" s="6">
        <v>14855</v>
      </c>
      <c r="C4760" s="19">
        <v>40298</v>
      </c>
      <c r="D4760" s="6" t="s">
        <v>28</v>
      </c>
      <c r="E4760" s="6">
        <f>IF((ISBLANK($B$1)),"",Sheet1!Q4770)</f>
        <v>5800</v>
      </c>
      <c r="F4760" s="20" t="s">
        <v>29</v>
      </c>
      <c r="G4760" s="53">
        <f t="shared" si="75"/>
        <v>1.5483606231087981</v>
      </c>
      <c r="H4760" s="35"/>
      <c r="P4760" s="6"/>
    </row>
    <row r="4761" spans="1:16" ht="14.4" x14ac:dyDescent="0.25">
      <c r="A4761" s="6">
        <v>2081</v>
      </c>
      <c r="B4761" s="6">
        <v>14855</v>
      </c>
      <c r="C4761" s="19">
        <v>40298</v>
      </c>
      <c r="D4761" s="6" t="s">
        <v>28</v>
      </c>
      <c r="E4761" s="6">
        <f>IF((ISBLANK($B$1)),"",Sheet1!Q4771)</f>
        <v>4350</v>
      </c>
      <c r="F4761" s="20" t="s">
        <v>29</v>
      </c>
      <c r="G4761" s="53">
        <f t="shared" si="75"/>
        <v>-0.45402307232003986</v>
      </c>
      <c r="H4761" s="35"/>
      <c r="P4761" s="6"/>
    </row>
    <row r="4762" spans="1:16" ht="14.4" x14ac:dyDescent="0.25">
      <c r="A4762" s="6">
        <v>2105</v>
      </c>
      <c r="B4762" s="6">
        <v>15045</v>
      </c>
      <c r="C4762" s="19">
        <v>40410</v>
      </c>
      <c r="D4762" s="6" t="s">
        <v>28</v>
      </c>
      <c r="E4762" s="6">
        <f>IF((ISBLANK($B$1)),"",Sheet1!Q4772)</f>
        <v>3950</v>
      </c>
      <c r="F4762" s="20" t="s">
        <v>29</v>
      </c>
      <c r="G4762" s="53">
        <f t="shared" si="75"/>
        <v>-1.0064047814038573</v>
      </c>
      <c r="H4762" s="35"/>
      <c r="P4762" s="6"/>
    </row>
    <row r="4763" spans="1:16" ht="14.4" x14ac:dyDescent="0.25">
      <c r="A4763" s="6">
        <v>2266</v>
      </c>
      <c r="B4763" s="6">
        <v>16289</v>
      </c>
      <c r="C4763" s="19">
        <v>40376</v>
      </c>
      <c r="D4763" s="6" t="s">
        <v>17</v>
      </c>
      <c r="E4763" s="6">
        <f>IF((ISBLANK($B$1)),"",Sheet1!Q4773)</f>
        <v>5850</v>
      </c>
      <c r="F4763" s="20" t="s">
        <v>27</v>
      </c>
      <c r="G4763" s="53">
        <f t="shared" si="75"/>
        <v>1.6174083367442753</v>
      </c>
      <c r="H4763" s="35"/>
      <c r="P4763" s="6"/>
    </row>
    <row r="4764" spans="1:16" ht="14.4" x14ac:dyDescent="0.25">
      <c r="A4764" s="6">
        <v>2718</v>
      </c>
      <c r="B4764" s="6">
        <v>19621</v>
      </c>
      <c r="C4764" s="19">
        <v>40793</v>
      </c>
      <c r="D4764" s="6" t="s">
        <v>30</v>
      </c>
      <c r="E4764" s="6">
        <f>IF((ISBLANK($B$1)),"",Sheet1!Q4774)</f>
        <v>4400</v>
      </c>
      <c r="F4764" s="20" t="s">
        <v>26</v>
      </c>
      <c r="G4764" s="53">
        <f t="shared" si="75"/>
        <v>-0.38497535868456267</v>
      </c>
      <c r="H4764" s="35"/>
      <c r="P4764" s="6"/>
    </row>
    <row r="4765" spans="1:16" ht="14.4" x14ac:dyDescent="0.25">
      <c r="A4765" s="6">
        <v>2719</v>
      </c>
      <c r="B4765" s="6">
        <v>19621</v>
      </c>
      <c r="C4765" s="19">
        <v>40793</v>
      </c>
      <c r="D4765" s="6" t="s">
        <v>30</v>
      </c>
      <c r="E4765" s="6">
        <f>IF((ISBLANK($B$1)),"",Sheet1!Q4775)</f>
        <v>4150</v>
      </c>
      <c r="F4765" s="20" t="s">
        <v>26</v>
      </c>
      <c r="G4765" s="53">
        <f t="shared" si="75"/>
        <v>-0.73021392686194853</v>
      </c>
      <c r="H4765" s="35"/>
      <c r="P4765" s="6"/>
    </row>
    <row r="4766" spans="1:16" ht="14.4" x14ac:dyDescent="0.25">
      <c r="A4766" s="6">
        <v>2771</v>
      </c>
      <c r="B4766" s="6">
        <v>20036</v>
      </c>
      <c r="C4766" s="19">
        <v>40517</v>
      </c>
      <c r="D4766" s="6" t="s">
        <v>28</v>
      </c>
      <c r="E4766" s="6">
        <f>IF((ISBLANK($B$1)),"",Sheet1!Q4776)</f>
        <v>4800</v>
      </c>
      <c r="F4766" s="20" t="s">
        <v>29</v>
      </c>
      <c r="G4766" s="53">
        <f t="shared" si="75"/>
        <v>0.16740635039925467</v>
      </c>
      <c r="H4766" s="35"/>
      <c r="P4766" s="6"/>
    </row>
    <row r="4767" spans="1:16" ht="14.4" x14ac:dyDescent="0.25">
      <c r="A4767" s="6">
        <v>2772</v>
      </c>
      <c r="B4767" s="6">
        <v>20036</v>
      </c>
      <c r="C4767" s="19">
        <v>40517</v>
      </c>
      <c r="D4767" s="6" t="s">
        <v>28</v>
      </c>
      <c r="E4767" s="6">
        <f>IF((ISBLANK($B$1)),"",Sheet1!Q4777)</f>
        <v>4450</v>
      </c>
      <c r="F4767" s="20" t="s">
        <v>27</v>
      </c>
      <c r="G4767" s="53">
        <f t="shared" si="75"/>
        <v>-0.31592764504908549</v>
      </c>
      <c r="H4767" s="35"/>
      <c r="P4767" s="6"/>
    </row>
    <row r="4768" spans="1:16" ht="14.4" x14ac:dyDescent="0.25">
      <c r="A4768" s="6">
        <v>2880</v>
      </c>
      <c r="B4768" s="6">
        <v>20773</v>
      </c>
      <c r="C4768" s="19">
        <v>39877</v>
      </c>
      <c r="D4768" s="6" t="s">
        <v>28</v>
      </c>
      <c r="E4768" s="6">
        <f>IF((ISBLANK($B$1)),"",Sheet1!Q4778)</f>
        <v>5600</v>
      </c>
      <c r="F4768" s="20" t="s">
        <v>26</v>
      </c>
      <c r="G4768" s="53">
        <f t="shared" si="75"/>
        <v>1.2721697685668893</v>
      </c>
      <c r="H4768" s="35"/>
      <c r="P4768" s="6"/>
    </row>
    <row r="4769" spans="1:16" ht="14.4" x14ac:dyDescent="0.25">
      <c r="A4769" s="6">
        <v>2909</v>
      </c>
      <c r="B4769" s="6">
        <v>20967</v>
      </c>
      <c r="C4769" s="19">
        <v>40617</v>
      </c>
      <c r="D4769" s="6" t="s">
        <v>17</v>
      </c>
      <c r="E4769" s="6">
        <f>IF((ISBLANK($B$1)),"",Sheet1!Q4779)</f>
        <v>5900</v>
      </c>
      <c r="F4769" s="20" t="s">
        <v>27</v>
      </c>
      <c r="G4769" s="53">
        <f t="shared" si="75"/>
        <v>1.6864560503797523</v>
      </c>
      <c r="H4769" s="35"/>
      <c r="P4769" s="6"/>
    </row>
    <row r="4770" spans="1:16" ht="14.4" x14ac:dyDescent="0.25">
      <c r="A4770" s="6">
        <v>2910</v>
      </c>
      <c r="B4770" s="6">
        <v>20967</v>
      </c>
      <c r="C4770" s="19">
        <v>40617</v>
      </c>
      <c r="D4770" s="6" t="s">
        <v>17</v>
      </c>
      <c r="E4770" s="6">
        <f>IF((ISBLANK($B$1)),"",Sheet1!Q4780)</f>
        <v>3700</v>
      </c>
      <c r="F4770" s="20" t="s">
        <v>27</v>
      </c>
      <c r="G4770" s="53">
        <f t="shared" si="75"/>
        <v>-1.351643349581243</v>
      </c>
      <c r="H4770" s="35"/>
      <c r="P4770" s="6"/>
    </row>
    <row r="4771" spans="1:16" ht="14.4" x14ac:dyDescent="0.25">
      <c r="A4771" s="6">
        <v>2974</v>
      </c>
      <c r="B4771" s="6">
        <v>21478</v>
      </c>
      <c r="C4771" s="19">
        <v>40970</v>
      </c>
      <c r="D4771" s="6" t="s">
        <v>25</v>
      </c>
      <c r="E4771" s="6">
        <f>IF((ISBLANK($B$1)),"",Sheet1!Q4781)</f>
        <v>4200</v>
      </c>
      <c r="F4771" s="20" t="s">
        <v>29</v>
      </c>
      <c r="G4771" s="53">
        <f t="shared" si="75"/>
        <v>-0.6611662132264714</v>
      </c>
      <c r="H4771" s="35"/>
      <c r="P4771" s="6"/>
    </row>
    <row r="4772" spans="1:16" ht="14.4" x14ac:dyDescent="0.25">
      <c r="A4772" s="6">
        <v>2975</v>
      </c>
      <c r="B4772" s="6">
        <v>21478</v>
      </c>
      <c r="C4772" s="19">
        <v>40970</v>
      </c>
      <c r="D4772" s="6" t="s">
        <v>25</v>
      </c>
      <c r="E4772" s="6">
        <f>IF((ISBLANK($B$1)),"",Sheet1!Q4782)</f>
        <v>5050</v>
      </c>
      <c r="F4772" s="20" t="s">
        <v>26</v>
      </c>
      <c r="G4772" s="53">
        <f t="shared" si="75"/>
        <v>0.51264491857664052</v>
      </c>
      <c r="H4772" s="35"/>
      <c r="P4772" s="6"/>
    </row>
    <row r="4773" spans="1:16" ht="14.4" x14ac:dyDescent="0.25">
      <c r="A4773" s="6">
        <v>3000</v>
      </c>
      <c r="B4773" s="6">
        <v>21633</v>
      </c>
      <c r="C4773" s="19">
        <v>39899</v>
      </c>
      <c r="D4773" s="6" t="s">
        <v>16</v>
      </c>
      <c r="E4773" s="6">
        <f>IF((ISBLANK($B$1)),"",Sheet1!Q4783)</f>
        <v>4850</v>
      </c>
      <c r="F4773" s="20" t="s">
        <v>29</v>
      </c>
      <c r="G4773" s="53">
        <f t="shared" si="75"/>
        <v>0.23645406403473185</v>
      </c>
      <c r="H4773" s="35"/>
      <c r="P4773" s="6"/>
    </row>
    <row r="4774" spans="1:16" ht="14.4" x14ac:dyDescent="0.25">
      <c r="A4774" s="6">
        <v>3015</v>
      </c>
      <c r="B4774" s="6">
        <v>21696</v>
      </c>
      <c r="C4774" s="19">
        <v>40472</v>
      </c>
      <c r="D4774" s="6" t="s">
        <v>16</v>
      </c>
      <c r="E4774" s="6">
        <f>IF((ISBLANK($B$1)),"",Sheet1!Q4784)</f>
        <v>4100</v>
      </c>
      <c r="F4774" s="20" t="s">
        <v>26</v>
      </c>
      <c r="G4774" s="53">
        <f t="shared" si="75"/>
        <v>-0.79926164049742576</v>
      </c>
      <c r="H4774" s="35"/>
      <c r="P4774" s="6"/>
    </row>
    <row r="4775" spans="1:16" ht="14.4" x14ac:dyDescent="0.25">
      <c r="A4775" s="6">
        <v>3184</v>
      </c>
      <c r="B4775" s="6">
        <v>22851</v>
      </c>
      <c r="C4775" s="19">
        <v>39873</v>
      </c>
      <c r="D4775" s="6" t="s">
        <v>30</v>
      </c>
      <c r="E4775" s="6">
        <f>IF((ISBLANK($B$1)),"",Sheet1!Q4785)</f>
        <v>4650</v>
      </c>
      <c r="F4775" s="20" t="s">
        <v>27</v>
      </c>
      <c r="G4775" s="53">
        <f t="shared" si="75"/>
        <v>-3.9736790507176829E-2</v>
      </c>
      <c r="H4775" s="35"/>
      <c r="P4775" s="6"/>
    </row>
    <row r="4776" spans="1:16" ht="14.4" x14ac:dyDescent="0.25">
      <c r="A4776" s="6">
        <v>3185</v>
      </c>
      <c r="B4776" s="6">
        <v>22851</v>
      </c>
      <c r="C4776" s="19">
        <v>39873</v>
      </c>
      <c r="D4776" s="6" t="s">
        <v>30</v>
      </c>
      <c r="E4776" s="6">
        <f>IF((ISBLANK($B$1)),"",Sheet1!Q4786)</f>
        <v>4050</v>
      </c>
      <c r="F4776" s="20" t="s">
        <v>29</v>
      </c>
      <c r="G4776" s="53">
        <f t="shared" si="75"/>
        <v>-0.86830935413290289</v>
      </c>
      <c r="H4776" s="35"/>
      <c r="P4776" s="6"/>
    </row>
    <row r="4777" spans="1:16" ht="14.4" x14ac:dyDescent="0.25">
      <c r="A4777" s="6">
        <v>3186</v>
      </c>
      <c r="B4777" s="6">
        <v>22851</v>
      </c>
      <c r="C4777" s="19">
        <v>39873</v>
      </c>
      <c r="D4777" s="6" t="s">
        <v>30</v>
      </c>
      <c r="E4777" s="6">
        <f>IF((ISBLANK($B$1)),"",Sheet1!Q4787)</f>
        <v>5300</v>
      </c>
      <c r="F4777" s="20" t="s">
        <v>27</v>
      </c>
      <c r="G4777" s="53">
        <f t="shared" si="75"/>
        <v>0.85788348675402637</v>
      </c>
      <c r="H4777" s="35"/>
      <c r="P4777" s="6"/>
    </row>
    <row r="4778" spans="1:16" ht="14.4" x14ac:dyDescent="0.25">
      <c r="A4778" s="6">
        <v>3295</v>
      </c>
      <c r="B4778" s="6">
        <v>23557</v>
      </c>
      <c r="C4778" s="19">
        <v>40694</v>
      </c>
      <c r="D4778" s="6" t="s">
        <v>28</v>
      </c>
      <c r="E4778" s="6">
        <f>IF((ISBLANK($B$1)),"",Sheet1!Q4788)</f>
        <v>3750</v>
      </c>
      <c r="F4778" s="20" t="s">
        <v>29</v>
      </c>
      <c r="G4778" s="53">
        <f t="shared" si="75"/>
        <v>-1.282595635945766</v>
      </c>
      <c r="H4778" s="35"/>
      <c r="P4778" s="6"/>
    </row>
    <row r="4779" spans="1:16" ht="14.4" x14ac:dyDescent="0.25">
      <c r="A4779" s="6">
        <v>3443</v>
      </c>
      <c r="B4779" s="6">
        <v>24577</v>
      </c>
      <c r="C4779" s="19">
        <v>40238</v>
      </c>
      <c r="D4779" s="6" t="s">
        <v>16</v>
      </c>
      <c r="E4779" s="6">
        <f>IF((ISBLANK($B$1)),"",Sheet1!Q4789)</f>
        <v>3800</v>
      </c>
      <c r="F4779" s="20" t="s">
        <v>26</v>
      </c>
      <c r="G4779" s="53">
        <f t="shared" si="75"/>
        <v>-1.2135479223102887</v>
      </c>
      <c r="H4779" s="35"/>
      <c r="P4779" s="6"/>
    </row>
    <row r="4780" spans="1:16" ht="14.4" x14ac:dyDescent="0.25">
      <c r="A4780" s="6">
        <v>3504</v>
      </c>
      <c r="B4780" s="6">
        <v>24961</v>
      </c>
      <c r="C4780" s="19">
        <v>40204</v>
      </c>
      <c r="D4780" s="6" t="s">
        <v>25</v>
      </c>
      <c r="E4780" s="6">
        <f>IF((ISBLANK($B$1)),"",Sheet1!Q4790)</f>
        <v>3800</v>
      </c>
      <c r="F4780" s="20" t="s">
        <v>29</v>
      </c>
      <c r="G4780" s="53">
        <f t="shared" si="75"/>
        <v>-1.2135479223102887</v>
      </c>
      <c r="H4780" s="35"/>
      <c r="P4780" s="6"/>
    </row>
    <row r="4781" spans="1:16" ht="14.4" x14ac:dyDescent="0.25">
      <c r="A4781" s="6">
        <v>3507</v>
      </c>
      <c r="B4781" s="6">
        <v>24966</v>
      </c>
      <c r="C4781" s="19">
        <v>40894</v>
      </c>
      <c r="D4781" s="6" t="s">
        <v>16</v>
      </c>
      <c r="E4781" s="6">
        <f>IF((ISBLANK($B$1)),"",Sheet1!Q4791)</f>
        <v>5100</v>
      </c>
      <c r="F4781" s="20" t="s">
        <v>26</v>
      </c>
      <c r="G4781" s="53">
        <f t="shared" si="75"/>
        <v>0.58169263221211776</v>
      </c>
      <c r="H4781" s="35"/>
      <c r="P4781" s="6"/>
    </row>
    <row r="4782" spans="1:16" ht="14.4" x14ac:dyDescent="0.25">
      <c r="A4782" s="6">
        <v>3838</v>
      </c>
      <c r="B4782" s="6">
        <v>27363</v>
      </c>
      <c r="C4782" s="19">
        <v>40834</v>
      </c>
      <c r="D4782" s="6" t="s">
        <v>16</v>
      </c>
      <c r="E4782" s="6">
        <f>IF((ISBLANK($B$1)),"",Sheet1!Q4792)</f>
        <v>4200</v>
      </c>
      <c r="F4782" s="20" t="s">
        <v>29</v>
      </c>
      <c r="G4782" s="53">
        <f t="shared" si="75"/>
        <v>-0.6611662132264714</v>
      </c>
      <c r="H4782" s="35"/>
      <c r="P4782" s="6"/>
    </row>
    <row r="4783" spans="1:16" ht="14.4" x14ac:dyDescent="0.25">
      <c r="A4783" s="6">
        <v>4074</v>
      </c>
      <c r="B4783" s="6">
        <v>29028</v>
      </c>
      <c r="C4783" s="19">
        <v>40579</v>
      </c>
      <c r="D4783" s="6" t="s">
        <v>30</v>
      </c>
      <c r="E4783" s="6">
        <f>IF((ISBLANK($B$1)),"",Sheet1!Q4793)</f>
        <v>5550</v>
      </c>
      <c r="F4783" s="20" t="s">
        <v>27</v>
      </c>
      <c r="G4783" s="53">
        <f t="shared" si="75"/>
        <v>1.2031220549314123</v>
      </c>
      <c r="H4783" s="35"/>
      <c r="P4783" s="6"/>
    </row>
    <row r="4784" spans="1:16" ht="14.4" x14ac:dyDescent="0.25">
      <c r="A4784" s="6">
        <v>4089</v>
      </c>
      <c r="B4784" s="6">
        <v>29156</v>
      </c>
      <c r="C4784" s="19">
        <v>40233</v>
      </c>
      <c r="D4784" s="6" t="s">
        <v>25</v>
      </c>
      <c r="E4784" s="6">
        <f>IF((ISBLANK($B$1)),"",Sheet1!Q4794)</f>
        <v>3900</v>
      </c>
      <c r="F4784" s="20" t="s">
        <v>27</v>
      </c>
      <c r="G4784" s="53">
        <f t="shared" si="75"/>
        <v>-1.0754524950393345</v>
      </c>
      <c r="H4784" s="35"/>
      <c r="P4784" s="6"/>
    </row>
    <row r="4785" spans="1:16" ht="14.4" x14ac:dyDescent="0.25">
      <c r="A4785" s="6">
        <v>4115</v>
      </c>
      <c r="B4785" s="6">
        <v>29282</v>
      </c>
      <c r="C4785" s="19">
        <v>41241</v>
      </c>
      <c r="D4785" s="6" t="s">
        <v>16</v>
      </c>
      <c r="E4785" s="6">
        <f>IF((ISBLANK($B$1)),"",Sheet1!Q4795)</f>
        <v>3600</v>
      </c>
      <c r="F4785" s="20" t="s">
        <v>26</v>
      </c>
      <c r="G4785" s="53">
        <f t="shared" si="75"/>
        <v>-1.4897387768521975</v>
      </c>
      <c r="H4785" s="35"/>
      <c r="P4785" s="6"/>
    </row>
    <row r="4786" spans="1:16" ht="14.4" x14ac:dyDescent="0.25">
      <c r="A4786" s="6">
        <v>4214</v>
      </c>
      <c r="B4786" s="6">
        <v>29957</v>
      </c>
      <c r="C4786" s="19">
        <v>40250</v>
      </c>
      <c r="D4786" s="6" t="s">
        <v>30</v>
      </c>
      <c r="E4786" s="6">
        <f>IF((ISBLANK($B$1)),"",Sheet1!Q4796)</f>
        <v>4800</v>
      </c>
      <c r="F4786" s="20" t="s">
        <v>29</v>
      </c>
      <c r="G4786" s="53">
        <f t="shared" si="75"/>
        <v>0.16740635039925467</v>
      </c>
      <c r="H4786" s="35"/>
      <c r="P4786" s="6"/>
    </row>
    <row r="4787" spans="1:16" ht="14.4" x14ac:dyDescent="0.25">
      <c r="A4787" s="6">
        <v>4231</v>
      </c>
      <c r="B4787" s="6">
        <v>30053</v>
      </c>
      <c r="C4787" s="19">
        <v>39845</v>
      </c>
      <c r="D4787" s="6" t="s">
        <v>30</v>
      </c>
      <c r="E4787" s="6">
        <f>IF((ISBLANK($B$1)),"",Sheet1!Q4797)</f>
        <v>5450</v>
      </c>
      <c r="F4787" s="20" t="s">
        <v>27</v>
      </c>
      <c r="G4787" s="53">
        <f t="shared" si="75"/>
        <v>1.0650266276604579</v>
      </c>
      <c r="H4787" s="35"/>
      <c r="P4787" s="6"/>
    </row>
    <row r="4788" spans="1:16" ht="14.4" x14ac:dyDescent="0.25">
      <c r="A4788" s="6">
        <v>4233</v>
      </c>
      <c r="B4788" s="6">
        <v>30081</v>
      </c>
      <c r="C4788" s="19">
        <v>40894</v>
      </c>
      <c r="D4788" s="6" t="s">
        <v>17</v>
      </c>
      <c r="E4788" s="6">
        <f>IF((ISBLANK($B$1)),"",Sheet1!Q4798)</f>
        <v>4700</v>
      </c>
      <c r="F4788" s="20" t="s">
        <v>26</v>
      </c>
      <c r="G4788" s="53">
        <f t="shared" si="75"/>
        <v>2.9310923128300338E-2</v>
      </c>
      <c r="H4788" s="35"/>
      <c r="P4788" s="6"/>
    </row>
    <row r="4789" spans="1:16" ht="14.4" x14ac:dyDescent="0.25">
      <c r="A4789" s="6">
        <v>4246</v>
      </c>
      <c r="B4789" s="6">
        <v>30214</v>
      </c>
      <c r="C4789" s="19">
        <v>40090</v>
      </c>
      <c r="D4789" s="6" t="s">
        <v>25</v>
      </c>
      <c r="E4789" s="6">
        <f>IF((ISBLANK($B$1)),"",Sheet1!Q4799)</f>
        <v>5300</v>
      </c>
      <c r="F4789" s="20" t="s">
        <v>26</v>
      </c>
      <c r="G4789" s="53">
        <f t="shared" si="75"/>
        <v>0.85788348675402637</v>
      </c>
      <c r="H4789" s="35"/>
      <c r="P4789" s="6"/>
    </row>
    <row r="4790" spans="1:16" ht="14.4" x14ac:dyDescent="0.25">
      <c r="A4790" s="6">
        <v>4280</v>
      </c>
      <c r="B4790" s="6">
        <v>30497</v>
      </c>
      <c r="C4790" s="19">
        <v>40580</v>
      </c>
      <c r="D4790" s="6" t="s">
        <v>30</v>
      </c>
      <c r="E4790" s="6">
        <f>IF((ISBLANK($B$1)),"",Sheet1!Q4800)</f>
        <v>5100</v>
      </c>
      <c r="F4790" s="20" t="s">
        <v>26</v>
      </c>
      <c r="G4790" s="53">
        <f t="shared" si="75"/>
        <v>0.58169263221211776</v>
      </c>
      <c r="H4790" s="35"/>
      <c r="P4790" s="6"/>
    </row>
    <row r="4791" spans="1:16" ht="14.4" x14ac:dyDescent="0.25">
      <c r="A4791" s="6">
        <v>4281</v>
      </c>
      <c r="B4791" s="6">
        <v>30497</v>
      </c>
      <c r="C4791" s="19">
        <v>40580</v>
      </c>
      <c r="D4791" s="6" t="s">
        <v>30</v>
      </c>
      <c r="E4791" s="6">
        <f>IF((ISBLANK($B$1)),"",Sheet1!Q4801)</f>
        <v>4950</v>
      </c>
      <c r="F4791" s="20" t="s">
        <v>26</v>
      </c>
      <c r="G4791" s="53">
        <f t="shared" si="75"/>
        <v>0.37454949130568621</v>
      </c>
      <c r="H4791" s="35"/>
      <c r="P4791" s="6"/>
    </row>
    <row r="4792" spans="1:16" ht="14.4" x14ac:dyDescent="0.25">
      <c r="A4792" s="6">
        <v>4343</v>
      </c>
      <c r="B4792" s="6">
        <v>30917</v>
      </c>
      <c r="C4792" s="19">
        <v>40483</v>
      </c>
      <c r="D4792" s="6" t="s">
        <v>25</v>
      </c>
      <c r="E4792" s="6">
        <f>IF((ISBLANK($B$1)),"",Sheet1!Q4802)</f>
        <v>3950</v>
      </c>
      <c r="F4792" s="20" t="s">
        <v>27</v>
      </c>
      <c r="G4792" s="53">
        <f t="shared" si="75"/>
        <v>-1.0064047814038573</v>
      </c>
      <c r="H4792" s="35"/>
      <c r="P4792" s="6"/>
    </row>
    <row r="4793" spans="1:16" ht="14.4" x14ac:dyDescent="0.25">
      <c r="A4793" s="6">
        <v>4344</v>
      </c>
      <c r="B4793" s="6">
        <v>30917</v>
      </c>
      <c r="C4793" s="19">
        <v>40483</v>
      </c>
      <c r="D4793" s="6" t="s">
        <v>25</v>
      </c>
      <c r="E4793" s="6">
        <f>IF((ISBLANK($B$1)),"",Sheet1!Q4803)</f>
        <v>3800</v>
      </c>
      <c r="F4793" s="20" t="s">
        <v>27</v>
      </c>
      <c r="G4793" s="53">
        <f t="shared" si="75"/>
        <v>-1.2135479223102887</v>
      </c>
      <c r="H4793" s="35"/>
      <c r="P4793" s="6"/>
    </row>
    <row r="4794" spans="1:16" ht="14.4" x14ac:dyDescent="0.25">
      <c r="A4794" s="6">
        <v>4444</v>
      </c>
      <c r="B4794" s="6">
        <v>31681</v>
      </c>
      <c r="C4794" s="19">
        <v>41220</v>
      </c>
      <c r="D4794" s="6" t="s">
        <v>28</v>
      </c>
      <c r="E4794" s="6">
        <f>IF((ISBLANK($B$1)),"",Sheet1!Q4804)</f>
        <v>5300</v>
      </c>
      <c r="F4794" s="20" t="s">
        <v>26</v>
      </c>
      <c r="G4794" s="53">
        <f t="shared" si="75"/>
        <v>0.85788348675402637</v>
      </c>
      <c r="H4794" s="35"/>
      <c r="P4794" s="6"/>
    </row>
    <row r="4795" spans="1:16" ht="14.4" x14ac:dyDescent="0.25">
      <c r="A4795" s="6">
        <v>4456</v>
      </c>
      <c r="B4795" s="6">
        <v>31777</v>
      </c>
      <c r="C4795" s="19">
        <v>40835</v>
      </c>
      <c r="D4795" s="6" t="s">
        <v>28</v>
      </c>
      <c r="E4795" s="6">
        <f>IF((ISBLANK($B$1)),"",Sheet1!Q4805)</f>
        <v>5000</v>
      </c>
      <c r="F4795" s="20" t="s">
        <v>29</v>
      </c>
      <c r="G4795" s="53">
        <f t="shared" si="75"/>
        <v>0.44359720494116334</v>
      </c>
      <c r="H4795" s="35"/>
      <c r="P4795" s="6"/>
    </row>
    <row r="4796" spans="1:16" ht="14.4" x14ac:dyDescent="0.25">
      <c r="A4796" s="6">
        <v>4457</v>
      </c>
      <c r="B4796" s="6">
        <v>31777</v>
      </c>
      <c r="C4796" s="19">
        <v>40835</v>
      </c>
      <c r="D4796" s="6" t="s">
        <v>28</v>
      </c>
      <c r="E4796" s="6">
        <f>IF((ISBLANK($B$1)),"",Sheet1!Q4806)</f>
        <v>3900</v>
      </c>
      <c r="F4796" s="20" t="s">
        <v>26</v>
      </c>
      <c r="G4796" s="53">
        <f t="shared" si="75"/>
        <v>-1.0754524950393345</v>
      </c>
      <c r="H4796" s="35"/>
      <c r="P4796" s="6"/>
    </row>
    <row r="4797" spans="1:16" ht="14.4" x14ac:dyDescent="0.25">
      <c r="A4797" s="6">
        <v>4596</v>
      </c>
      <c r="B4797" s="6">
        <v>32710</v>
      </c>
      <c r="C4797" s="19">
        <v>40133</v>
      </c>
      <c r="D4797" s="6" t="s">
        <v>17</v>
      </c>
      <c r="E4797" s="6">
        <f>IF((ISBLANK($B$1)),"",Sheet1!Q4807)</f>
        <v>5550</v>
      </c>
      <c r="F4797" s="20" t="s">
        <v>26</v>
      </c>
      <c r="G4797" s="53">
        <f t="shared" si="75"/>
        <v>1.2031220549314123</v>
      </c>
      <c r="H4797" s="35"/>
      <c r="P4797" s="6"/>
    </row>
    <row r="4798" spans="1:16" ht="14.4" x14ac:dyDescent="0.25">
      <c r="A4798" s="6">
        <v>4644</v>
      </c>
      <c r="B4798" s="6">
        <v>33060</v>
      </c>
      <c r="C4798" s="19">
        <v>40228</v>
      </c>
      <c r="D4798" s="6" t="s">
        <v>17</v>
      </c>
      <c r="E4798" s="6">
        <f>IF((ISBLANK($B$1)),"",Sheet1!Q4808)</f>
        <v>3550</v>
      </c>
      <c r="F4798" s="20" t="s">
        <v>26</v>
      </c>
      <c r="G4798" s="53">
        <f t="shared" si="75"/>
        <v>-1.5587864904876745</v>
      </c>
      <c r="H4798" s="35"/>
      <c r="P4798" s="6"/>
    </row>
    <row r="4799" spans="1:16" ht="14.4" x14ac:dyDescent="0.25">
      <c r="A4799" s="6">
        <v>4675</v>
      </c>
      <c r="B4799" s="6">
        <v>33254</v>
      </c>
      <c r="C4799" s="19">
        <v>40850</v>
      </c>
      <c r="D4799" s="6" t="s">
        <v>28</v>
      </c>
      <c r="E4799" s="6">
        <f>IF((ISBLANK($B$1)),"",Sheet1!Q4809)</f>
        <v>3950</v>
      </c>
      <c r="F4799" s="20" t="s">
        <v>29</v>
      </c>
      <c r="G4799" s="53">
        <f t="shared" si="75"/>
        <v>-1.0064047814038573</v>
      </c>
      <c r="H4799" s="35"/>
      <c r="P4799" s="6"/>
    </row>
    <row r="4800" spans="1:16" ht="14.4" x14ac:dyDescent="0.25">
      <c r="A4800" s="6">
        <v>4720</v>
      </c>
      <c r="B4800" s="6">
        <v>33605</v>
      </c>
      <c r="C4800" s="19">
        <v>41002</v>
      </c>
      <c r="D4800" s="6" t="s">
        <v>30</v>
      </c>
      <c r="E4800" s="6">
        <f>IF((ISBLANK($B$1)),"",Sheet1!Q4810)</f>
        <v>5500</v>
      </c>
      <c r="F4800" s="20" t="s">
        <v>26</v>
      </c>
      <c r="G4800" s="53">
        <f t="shared" si="75"/>
        <v>1.1340743412959351</v>
      </c>
      <c r="H4800" s="35"/>
      <c r="P4800" s="6"/>
    </row>
    <row r="4801" spans="1:16" ht="14.4" x14ac:dyDescent="0.25">
      <c r="A4801" s="6">
        <v>4807</v>
      </c>
      <c r="B4801" s="6">
        <v>34180</v>
      </c>
      <c r="C4801" s="19">
        <v>40789</v>
      </c>
      <c r="D4801" s="6" t="s">
        <v>17</v>
      </c>
      <c r="E4801" s="6">
        <f>IF((ISBLANK($B$1)),"",Sheet1!Q4811)</f>
        <v>3500</v>
      </c>
      <c r="F4801" s="20" t="s">
        <v>26</v>
      </c>
      <c r="G4801" s="53">
        <f t="shared" si="75"/>
        <v>-1.6278342041231517</v>
      </c>
      <c r="H4801" s="35"/>
      <c r="P4801" s="6"/>
    </row>
    <row r="4802" spans="1:16" ht="14.4" x14ac:dyDescent="0.25">
      <c r="A4802" s="6">
        <v>4939</v>
      </c>
      <c r="B4802" s="6">
        <v>35137</v>
      </c>
      <c r="C4802" s="19">
        <v>40376</v>
      </c>
      <c r="D4802" s="6" t="s">
        <v>17</v>
      </c>
      <c r="E4802" s="6">
        <f>IF((ISBLANK($B$1)),"",Sheet1!Q4812)</f>
        <v>5450</v>
      </c>
      <c r="F4802" s="20" t="s">
        <v>26</v>
      </c>
      <c r="G4802" s="53">
        <f t="shared" si="75"/>
        <v>1.0650266276604579</v>
      </c>
      <c r="H4802" s="35"/>
      <c r="P4802" s="6"/>
    </row>
    <row r="4803" spans="1:16" ht="14.4" x14ac:dyDescent="0.25">
      <c r="A4803" s="6">
        <v>4940</v>
      </c>
      <c r="B4803" s="6">
        <v>35137</v>
      </c>
      <c r="C4803" s="19">
        <v>40376</v>
      </c>
      <c r="D4803" s="6" t="s">
        <v>17</v>
      </c>
      <c r="E4803" s="6">
        <f>IF((ISBLANK($B$1)),"",Sheet1!Q4813)</f>
        <v>5750</v>
      </c>
      <c r="F4803" s="20" t="s">
        <v>26</v>
      </c>
      <c r="G4803" s="53">
        <f t="shared" si="75"/>
        <v>1.4793129094733208</v>
      </c>
      <c r="H4803" s="35"/>
      <c r="P4803" s="6"/>
    </row>
    <row r="4804" spans="1:16" ht="14.4" x14ac:dyDescent="0.25">
      <c r="A4804" s="6">
        <v>5185</v>
      </c>
      <c r="B4804" s="6">
        <v>36838</v>
      </c>
      <c r="C4804" s="19">
        <v>39911</v>
      </c>
      <c r="D4804" s="6" t="s">
        <v>25</v>
      </c>
      <c r="E4804" s="6">
        <f>IF((ISBLANK($B$1)),"",Sheet1!Q4814)</f>
        <v>3550</v>
      </c>
      <c r="F4804" s="20" t="s">
        <v>26</v>
      </c>
      <c r="G4804" s="53">
        <f t="shared" si="75"/>
        <v>-1.5587864904876745</v>
      </c>
      <c r="H4804" s="35"/>
      <c r="P4804" s="6"/>
    </row>
    <row r="4805" spans="1:16" ht="14.4" x14ac:dyDescent="0.25">
      <c r="A4805" s="6">
        <v>5232</v>
      </c>
      <c r="B4805" s="6">
        <v>37252</v>
      </c>
      <c r="C4805" s="19">
        <v>40866</v>
      </c>
      <c r="D4805" s="6" t="s">
        <v>25</v>
      </c>
      <c r="E4805" s="6">
        <f>IF((ISBLANK($B$1)),"",Sheet1!Q4815)</f>
        <v>4450</v>
      </c>
      <c r="F4805" s="20" t="s">
        <v>26</v>
      </c>
      <c r="G4805" s="53">
        <f t="shared" si="75"/>
        <v>-0.31592764504908549</v>
      </c>
      <c r="H4805" s="35"/>
      <c r="P4805" s="6"/>
    </row>
    <row r="4806" spans="1:16" ht="14.4" x14ac:dyDescent="0.25">
      <c r="A4806" s="6">
        <v>5233</v>
      </c>
      <c r="B4806" s="6">
        <v>37252</v>
      </c>
      <c r="C4806" s="19">
        <v>40866</v>
      </c>
      <c r="D4806" s="6" t="s">
        <v>25</v>
      </c>
      <c r="E4806" s="6">
        <f>IF((ISBLANK($B$1)),"",Sheet1!Q4816)</f>
        <v>3450</v>
      </c>
      <c r="F4806" s="20" t="s">
        <v>27</v>
      </c>
      <c r="G4806" s="53">
        <f t="shared" si="75"/>
        <v>-1.696881917758629</v>
      </c>
      <c r="H4806" s="35"/>
      <c r="P4806" s="6"/>
    </row>
    <row r="4807" spans="1:16" ht="14.4" x14ac:dyDescent="0.25">
      <c r="A4807" s="6">
        <v>5234</v>
      </c>
      <c r="B4807" s="6">
        <v>37252</v>
      </c>
      <c r="C4807" s="19">
        <v>40866</v>
      </c>
      <c r="D4807" s="6" t="s">
        <v>25</v>
      </c>
      <c r="E4807" s="6">
        <f>IF((ISBLANK($B$1)),"",Sheet1!Q4817)</f>
        <v>5900</v>
      </c>
      <c r="F4807" s="20" t="s">
        <v>27</v>
      </c>
      <c r="G4807" s="53">
        <f t="shared" si="75"/>
        <v>1.6864560503797523</v>
      </c>
      <c r="H4807" s="35"/>
      <c r="P4807" s="6"/>
    </row>
    <row r="4808" spans="1:16" ht="14.4" x14ac:dyDescent="0.25">
      <c r="A4808" s="6">
        <v>5235</v>
      </c>
      <c r="B4808" s="6">
        <v>37252</v>
      </c>
      <c r="C4808" s="19">
        <v>40866</v>
      </c>
      <c r="D4808" s="6" t="s">
        <v>25</v>
      </c>
      <c r="E4808" s="6">
        <f>IF((ISBLANK($B$1)),"",Sheet1!Q4818)</f>
        <v>5100</v>
      </c>
      <c r="F4808" s="20" t="s">
        <v>29</v>
      </c>
      <c r="G4808" s="53">
        <f t="shared" ref="G4808:G4871" si="76">STANDARDIZE(E4808,$L$26,$L$35)</f>
        <v>0.58169263221211776</v>
      </c>
      <c r="H4808" s="35"/>
      <c r="P4808" s="6"/>
    </row>
    <row r="4809" spans="1:16" ht="14.4" x14ac:dyDescent="0.25">
      <c r="A4809" s="6">
        <v>5496</v>
      </c>
      <c r="B4809" s="6">
        <v>38979</v>
      </c>
      <c r="C4809" s="19">
        <v>40235</v>
      </c>
      <c r="D4809" s="6" t="s">
        <v>25</v>
      </c>
      <c r="E4809" s="6">
        <f>IF((ISBLANK($B$1)),"",Sheet1!Q4819)</f>
        <v>5800</v>
      </c>
      <c r="F4809" s="20" t="s">
        <v>29</v>
      </c>
      <c r="G4809" s="53">
        <f t="shared" si="76"/>
        <v>1.5483606231087981</v>
      </c>
      <c r="H4809" s="35"/>
      <c r="P4809" s="6"/>
    </row>
    <row r="4810" spans="1:16" ht="14.4" x14ac:dyDescent="0.25">
      <c r="A4810" s="6">
        <v>5497</v>
      </c>
      <c r="B4810" s="6">
        <v>38979</v>
      </c>
      <c r="C4810" s="19">
        <v>40235</v>
      </c>
      <c r="D4810" s="6" t="s">
        <v>25</v>
      </c>
      <c r="E4810" s="6">
        <f>IF((ISBLANK($B$1)),"",Sheet1!Q4820)</f>
        <v>5100</v>
      </c>
      <c r="F4810" s="20" t="s">
        <v>27</v>
      </c>
      <c r="G4810" s="53">
        <f t="shared" si="76"/>
        <v>0.58169263221211776</v>
      </c>
      <c r="H4810" s="35"/>
      <c r="P4810" s="6"/>
    </row>
    <row r="4811" spans="1:16" ht="14.4" x14ac:dyDescent="0.25">
      <c r="A4811" s="6">
        <v>5498</v>
      </c>
      <c r="B4811" s="6">
        <v>38979</v>
      </c>
      <c r="C4811" s="19">
        <v>40235</v>
      </c>
      <c r="D4811" s="6" t="s">
        <v>25</v>
      </c>
      <c r="E4811" s="6">
        <f>IF((ISBLANK($B$1)),"",Sheet1!Q4821)</f>
        <v>4950</v>
      </c>
      <c r="F4811" s="20" t="s">
        <v>26</v>
      </c>
      <c r="G4811" s="53">
        <f t="shared" si="76"/>
        <v>0.37454949130568621</v>
      </c>
      <c r="H4811" s="35"/>
      <c r="P4811" s="6"/>
    </row>
    <row r="4812" spans="1:16" ht="14.4" x14ac:dyDescent="0.25">
      <c r="A4812" s="6">
        <v>5588</v>
      </c>
      <c r="B4812" s="6">
        <v>39619</v>
      </c>
      <c r="C4812" s="19">
        <v>40912</v>
      </c>
      <c r="D4812" s="6" t="s">
        <v>25</v>
      </c>
      <c r="E4812" s="6">
        <f>IF((ISBLANK($B$1)),"",Sheet1!Q4822)</f>
        <v>4150</v>
      </c>
      <c r="F4812" s="20" t="s">
        <v>29</v>
      </c>
      <c r="G4812" s="53">
        <f t="shared" si="76"/>
        <v>-0.73021392686194853</v>
      </c>
      <c r="H4812" s="35"/>
      <c r="P4812" s="6"/>
    </row>
    <row r="4813" spans="1:16" ht="14.4" x14ac:dyDescent="0.25">
      <c r="A4813" s="6">
        <v>5670</v>
      </c>
      <c r="B4813" s="6">
        <v>40101</v>
      </c>
      <c r="C4813" s="19">
        <v>39844</v>
      </c>
      <c r="D4813" s="6" t="s">
        <v>25</v>
      </c>
      <c r="E4813" s="6">
        <f>IF((ISBLANK($B$1)),"",Sheet1!Q4823)</f>
        <v>5700</v>
      </c>
      <c r="F4813" s="20" t="s">
        <v>27</v>
      </c>
      <c r="G4813" s="53">
        <f t="shared" si="76"/>
        <v>1.4102651958378438</v>
      </c>
      <c r="H4813" s="35"/>
      <c r="P4813" s="6"/>
    </row>
    <row r="4814" spans="1:16" ht="14.4" x14ac:dyDescent="0.25">
      <c r="A4814" s="6">
        <v>5852</v>
      </c>
      <c r="B4814" s="6">
        <v>41542</v>
      </c>
      <c r="C4814" s="19">
        <v>40082</v>
      </c>
      <c r="D4814" s="6" t="s">
        <v>17</v>
      </c>
      <c r="E4814" s="6">
        <f>IF((ISBLANK($B$1)),"",Sheet1!Q4824)</f>
        <v>5750</v>
      </c>
      <c r="F4814" s="20" t="s">
        <v>29</v>
      </c>
      <c r="G4814" s="53">
        <f t="shared" si="76"/>
        <v>1.4793129094733208</v>
      </c>
      <c r="H4814" s="35"/>
      <c r="P4814" s="6"/>
    </row>
    <row r="4815" spans="1:16" ht="14.4" x14ac:dyDescent="0.25">
      <c r="A4815" s="6">
        <v>6010</v>
      </c>
      <c r="B4815" s="6">
        <v>42565</v>
      </c>
      <c r="C4815" s="19">
        <v>40443</v>
      </c>
      <c r="D4815" s="6" t="s">
        <v>25</v>
      </c>
      <c r="E4815" s="6">
        <f>IF((ISBLANK($B$1)),"",Sheet1!Q4825)</f>
        <v>5050</v>
      </c>
      <c r="F4815" s="20" t="s">
        <v>26</v>
      </c>
      <c r="G4815" s="53">
        <f t="shared" si="76"/>
        <v>0.51264491857664052</v>
      </c>
      <c r="H4815" s="35"/>
      <c r="P4815" s="6"/>
    </row>
    <row r="4816" spans="1:16" ht="14.4" x14ac:dyDescent="0.25">
      <c r="A4816" s="6">
        <v>6041</v>
      </c>
      <c r="B4816" s="6">
        <v>42823</v>
      </c>
      <c r="C4816" s="19">
        <v>40354</v>
      </c>
      <c r="D4816" s="6" t="s">
        <v>16</v>
      </c>
      <c r="E4816" s="6">
        <f>IF((ISBLANK($B$1)),"",Sheet1!Q4826)</f>
        <v>3800</v>
      </c>
      <c r="F4816" s="20" t="s">
        <v>26</v>
      </c>
      <c r="G4816" s="53">
        <f t="shared" si="76"/>
        <v>-1.2135479223102887</v>
      </c>
      <c r="H4816" s="35"/>
      <c r="P4816" s="6"/>
    </row>
    <row r="4817" spans="1:16" ht="14.4" x14ac:dyDescent="0.25">
      <c r="A4817" s="6">
        <v>6131</v>
      </c>
      <c r="B4817" s="6">
        <v>43398</v>
      </c>
      <c r="C4817" s="19">
        <v>40657</v>
      </c>
      <c r="D4817" s="6" t="s">
        <v>28</v>
      </c>
      <c r="E4817" s="6">
        <f>IF((ISBLANK($B$1)),"",Sheet1!Q4827)</f>
        <v>3900</v>
      </c>
      <c r="F4817" s="20" t="s">
        <v>29</v>
      </c>
      <c r="G4817" s="53">
        <f t="shared" si="76"/>
        <v>-1.0754524950393345</v>
      </c>
      <c r="H4817" s="35"/>
      <c r="P4817" s="6"/>
    </row>
    <row r="4818" spans="1:16" ht="14.4" x14ac:dyDescent="0.25">
      <c r="A4818" s="6">
        <v>6212</v>
      </c>
      <c r="B4818" s="6">
        <v>44002</v>
      </c>
      <c r="C4818" s="19">
        <v>39851</v>
      </c>
      <c r="D4818" s="6" t="s">
        <v>16</v>
      </c>
      <c r="E4818" s="6">
        <f>IF((ISBLANK($B$1)),"",Sheet1!Q4828)</f>
        <v>5700</v>
      </c>
      <c r="F4818" s="20" t="s">
        <v>26</v>
      </c>
      <c r="G4818" s="53">
        <f t="shared" si="76"/>
        <v>1.4102651958378438</v>
      </c>
      <c r="H4818" s="35"/>
      <c r="P4818" s="6"/>
    </row>
    <row r="4819" spans="1:16" ht="14.4" x14ac:dyDescent="0.25">
      <c r="A4819" s="6">
        <v>6213</v>
      </c>
      <c r="B4819" s="6">
        <v>44002</v>
      </c>
      <c r="C4819" s="19">
        <v>39851</v>
      </c>
      <c r="D4819" s="6" t="s">
        <v>16</v>
      </c>
      <c r="E4819" s="6">
        <f>IF((ISBLANK($B$1)),"",Sheet1!Q4829)</f>
        <v>4100</v>
      </c>
      <c r="F4819" s="20" t="s">
        <v>26</v>
      </c>
      <c r="G4819" s="53">
        <f t="shared" si="76"/>
        <v>-0.79926164049742576</v>
      </c>
      <c r="H4819" s="35"/>
      <c r="P4819" s="6"/>
    </row>
    <row r="4820" spans="1:16" ht="14.4" x14ac:dyDescent="0.25">
      <c r="A4820" s="6">
        <v>6236</v>
      </c>
      <c r="B4820" s="6">
        <v>44196</v>
      </c>
      <c r="C4820" s="19">
        <v>40047</v>
      </c>
      <c r="D4820" s="6" t="s">
        <v>28</v>
      </c>
      <c r="E4820" s="6">
        <f>IF((ISBLANK($B$1)),"",Sheet1!Q4830)</f>
        <v>3900</v>
      </c>
      <c r="F4820" s="20" t="s">
        <v>26</v>
      </c>
      <c r="G4820" s="53">
        <f t="shared" si="76"/>
        <v>-1.0754524950393345</v>
      </c>
      <c r="H4820" s="35"/>
      <c r="P4820" s="6"/>
    </row>
    <row r="4821" spans="1:16" ht="14.4" x14ac:dyDescent="0.25">
      <c r="A4821" s="6">
        <v>6267</v>
      </c>
      <c r="B4821" s="6">
        <v>44359</v>
      </c>
      <c r="C4821" s="19">
        <v>40511</v>
      </c>
      <c r="D4821" s="6" t="s">
        <v>17</v>
      </c>
      <c r="E4821" s="6">
        <f>IF((ISBLANK($B$1)),"",Sheet1!Q4831)</f>
        <v>4350</v>
      </c>
      <c r="F4821" s="20" t="s">
        <v>26</v>
      </c>
      <c r="G4821" s="53">
        <f t="shared" si="76"/>
        <v>-0.45402307232003986</v>
      </c>
      <c r="H4821" s="35"/>
      <c r="P4821" s="6"/>
    </row>
    <row r="4822" spans="1:16" ht="14.4" x14ac:dyDescent="0.25">
      <c r="A4822" s="6">
        <v>6334</v>
      </c>
      <c r="B4822" s="6">
        <v>44871</v>
      </c>
      <c r="C4822" s="19">
        <v>40666</v>
      </c>
      <c r="D4822" s="6" t="s">
        <v>30</v>
      </c>
      <c r="E4822" s="6">
        <f>IF((ISBLANK($B$1)),"",Sheet1!Q4832)</f>
        <v>4750</v>
      </c>
      <c r="F4822" s="20" t="s">
        <v>26</v>
      </c>
      <c r="G4822" s="53">
        <f t="shared" si="76"/>
        <v>9.8358636763777513E-2</v>
      </c>
      <c r="H4822" s="35"/>
      <c r="P4822" s="6"/>
    </row>
    <row r="4823" spans="1:16" ht="14.4" x14ac:dyDescent="0.25">
      <c r="A4823" s="6">
        <v>6475</v>
      </c>
      <c r="B4823" s="6">
        <v>46055</v>
      </c>
      <c r="C4823" s="19">
        <v>41062</v>
      </c>
      <c r="D4823" s="6" t="s">
        <v>16</v>
      </c>
      <c r="E4823" s="6">
        <f>IF((ISBLANK($B$1)),"",Sheet1!Q4833)</f>
        <v>4650</v>
      </c>
      <c r="F4823" s="20" t="s">
        <v>27</v>
      </c>
      <c r="G4823" s="53">
        <f t="shared" si="76"/>
        <v>-3.9736790507176829E-2</v>
      </c>
      <c r="H4823" s="35"/>
      <c r="P4823" s="6"/>
    </row>
    <row r="4824" spans="1:16" ht="14.4" x14ac:dyDescent="0.25">
      <c r="A4824" s="6">
        <v>6556</v>
      </c>
      <c r="B4824" s="6">
        <v>46624</v>
      </c>
      <c r="C4824" s="19">
        <v>40294</v>
      </c>
      <c r="D4824" s="6" t="s">
        <v>28</v>
      </c>
      <c r="E4824" s="6">
        <f>IF((ISBLANK($B$1)),"",Sheet1!Q4834)</f>
        <v>4800</v>
      </c>
      <c r="F4824" s="20" t="s">
        <v>26</v>
      </c>
      <c r="G4824" s="53">
        <f t="shared" si="76"/>
        <v>0.16740635039925467</v>
      </c>
      <c r="H4824" s="35"/>
      <c r="P4824" s="6"/>
    </row>
    <row r="4825" spans="1:16" ht="14.4" x14ac:dyDescent="0.25">
      <c r="A4825" s="6">
        <v>6557</v>
      </c>
      <c r="B4825" s="6">
        <v>46624</v>
      </c>
      <c r="C4825" s="19">
        <v>40294</v>
      </c>
      <c r="D4825" s="6" t="s">
        <v>28</v>
      </c>
      <c r="E4825" s="6">
        <f>IF((ISBLANK($B$1)),"",Sheet1!Q4835)</f>
        <v>4000</v>
      </c>
      <c r="F4825" s="20" t="s">
        <v>26</v>
      </c>
      <c r="G4825" s="53">
        <f t="shared" si="76"/>
        <v>-0.93735706776838001</v>
      </c>
      <c r="H4825" s="35"/>
      <c r="P4825" s="6"/>
    </row>
    <row r="4826" spans="1:16" ht="14.4" x14ac:dyDescent="0.25">
      <c r="A4826" s="6">
        <v>6618</v>
      </c>
      <c r="B4826" s="6">
        <v>47079</v>
      </c>
      <c r="C4826" s="19">
        <v>40893</v>
      </c>
      <c r="D4826" s="6" t="s">
        <v>30</v>
      </c>
      <c r="E4826" s="6">
        <f>IF((ISBLANK($B$1)),"",Sheet1!Q4836)</f>
        <v>5100</v>
      </c>
      <c r="F4826" s="20" t="s">
        <v>29</v>
      </c>
      <c r="G4826" s="53">
        <f t="shared" si="76"/>
        <v>0.58169263221211776</v>
      </c>
      <c r="H4826" s="35"/>
      <c r="P4826" s="6"/>
    </row>
    <row r="4827" spans="1:16" ht="14.4" x14ac:dyDescent="0.25">
      <c r="A4827" s="6">
        <v>6674</v>
      </c>
      <c r="B4827" s="6">
        <v>47494</v>
      </c>
      <c r="C4827" s="19">
        <v>39995</v>
      </c>
      <c r="D4827" s="6" t="s">
        <v>17</v>
      </c>
      <c r="E4827" s="6">
        <f>IF((ISBLANK($B$1)),"",Sheet1!Q4837)</f>
        <v>5500</v>
      </c>
      <c r="F4827" s="20" t="s">
        <v>27</v>
      </c>
      <c r="G4827" s="53">
        <f t="shared" si="76"/>
        <v>1.1340743412959351</v>
      </c>
      <c r="H4827" s="35"/>
      <c r="P4827" s="6"/>
    </row>
    <row r="4828" spans="1:16" ht="14.4" x14ac:dyDescent="0.25">
      <c r="A4828" s="6">
        <v>6675</v>
      </c>
      <c r="B4828" s="6">
        <v>47494</v>
      </c>
      <c r="C4828" s="19">
        <v>39995</v>
      </c>
      <c r="D4828" s="6" t="s">
        <v>17</v>
      </c>
      <c r="E4828" s="6">
        <f>IF((ISBLANK($B$1)),"",Sheet1!Q4838)</f>
        <v>3850</v>
      </c>
      <c r="F4828" s="20" t="s">
        <v>26</v>
      </c>
      <c r="G4828" s="53">
        <f t="shared" si="76"/>
        <v>-1.1445002086748115</v>
      </c>
      <c r="H4828" s="35"/>
      <c r="P4828" s="6"/>
    </row>
    <row r="4829" spans="1:16" ht="14.4" x14ac:dyDescent="0.25">
      <c r="A4829" s="6">
        <v>6694</v>
      </c>
      <c r="B4829" s="6">
        <v>47622</v>
      </c>
      <c r="C4829" s="19">
        <v>41164</v>
      </c>
      <c r="D4829" s="6" t="s">
        <v>28</v>
      </c>
      <c r="E4829" s="6">
        <f>IF((ISBLANK($B$1)),"",Sheet1!Q4839)</f>
        <v>5450</v>
      </c>
      <c r="F4829" s="20" t="s">
        <v>27</v>
      </c>
      <c r="G4829" s="53">
        <f t="shared" si="76"/>
        <v>1.0650266276604579</v>
      </c>
      <c r="H4829" s="35"/>
      <c r="P4829" s="6"/>
    </row>
    <row r="4830" spans="1:16" ht="14.4" x14ac:dyDescent="0.25">
      <c r="A4830" s="6">
        <v>6731</v>
      </c>
      <c r="B4830" s="6">
        <v>47938</v>
      </c>
      <c r="C4830" s="19">
        <v>39988</v>
      </c>
      <c r="D4830" s="6" t="s">
        <v>25</v>
      </c>
      <c r="E4830" s="6">
        <f>IF((ISBLANK($B$1)),"",Sheet1!Q4840)</f>
        <v>4250</v>
      </c>
      <c r="F4830" s="20" t="s">
        <v>27</v>
      </c>
      <c r="G4830" s="53">
        <f t="shared" si="76"/>
        <v>-0.59211849959099416</v>
      </c>
      <c r="H4830" s="35"/>
      <c r="P4830" s="6"/>
    </row>
    <row r="4831" spans="1:16" ht="14.4" x14ac:dyDescent="0.25">
      <c r="A4831" s="6">
        <v>6744</v>
      </c>
      <c r="B4831" s="6">
        <v>48032</v>
      </c>
      <c r="C4831" s="19">
        <v>40416</v>
      </c>
      <c r="D4831" s="6" t="s">
        <v>17</v>
      </c>
      <c r="E4831" s="6">
        <f>IF((ISBLANK($B$1)),"",Sheet1!Q4841)</f>
        <v>5500</v>
      </c>
      <c r="F4831" s="20" t="s">
        <v>26</v>
      </c>
      <c r="G4831" s="53">
        <f t="shared" si="76"/>
        <v>1.1340743412959351</v>
      </c>
      <c r="H4831" s="35"/>
      <c r="P4831" s="6"/>
    </row>
    <row r="4832" spans="1:16" ht="14.4" x14ac:dyDescent="0.25">
      <c r="A4832" s="6">
        <v>6745</v>
      </c>
      <c r="B4832" s="6">
        <v>48032</v>
      </c>
      <c r="C4832" s="19">
        <v>40416</v>
      </c>
      <c r="D4832" s="6" t="s">
        <v>17</v>
      </c>
      <c r="E4832" s="6">
        <f>IF((ISBLANK($B$1)),"",Sheet1!Q4842)</f>
        <v>4850</v>
      </c>
      <c r="F4832" s="20" t="s">
        <v>26</v>
      </c>
      <c r="G4832" s="53">
        <f t="shared" si="76"/>
        <v>0.23645406403473185</v>
      </c>
      <c r="H4832" s="35"/>
      <c r="P4832" s="6"/>
    </row>
    <row r="4833" spans="1:16" ht="14.4" x14ac:dyDescent="0.25">
      <c r="A4833" s="6">
        <v>6884</v>
      </c>
      <c r="B4833" s="6">
        <v>49062</v>
      </c>
      <c r="C4833" s="19">
        <v>41010</v>
      </c>
      <c r="D4833" s="6" t="s">
        <v>25</v>
      </c>
      <c r="E4833" s="6">
        <f>IF((ISBLANK($B$1)),"",Sheet1!Q4843)</f>
        <v>5050</v>
      </c>
      <c r="F4833" s="20" t="s">
        <v>26</v>
      </c>
      <c r="G4833" s="53">
        <f t="shared" si="76"/>
        <v>0.51264491857664052</v>
      </c>
      <c r="H4833" s="35"/>
      <c r="P4833" s="6"/>
    </row>
    <row r="4834" spans="1:16" ht="14.4" x14ac:dyDescent="0.25">
      <c r="A4834" s="6">
        <v>6941</v>
      </c>
      <c r="B4834" s="6">
        <v>49541</v>
      </c>
      <c r="C4834" s="19">
        <v>39829</v>
      </c>
      <c r="D4834" s="6" t="s">
        <v>16</v>
      </c>
      <c r="E4834" s="6">
        <f>IF((ISBLANK($B$1)),"",Sheet1!Q4844)</f>
        <v>5150</v>
      </c>
      <c r="F4834" s="20" t="s">
        <v>26</v>
      </c>
      <c r="G4834" s="53">
        <f t="shared" si="76"/>
        <v>0.65074034584759488</v>
      </c>
      <c r="H4834" s="35"/>
      <c r="P4834" s="6"/>
    </row>
    <row r="4835" spans="1:16" ht="14.4" x14ac:dyDescent="0.25">
      <c r="A4835" s="6">
        <v>6970</v>
      </c>
      <c r="B4835" s="6">
        <v>49799</v>
      </c>
      <c r="C4835" s="19">
        <v>40049</v>
      </c>
      <c r="D4835" s="6" t="s">
        <v>17</v>
      </c>
      <c r="E4835" s="6">
        <f>IF((ISBLANK($B$1)),"",Sheet1!Q4845)</f>
        <v>3600</v>
      </c>
      <c r="F4835" s="20" t="s">
        <v>29</v>
      </c>
      <c r="G4835" s="53">
        <f t="shared" si="76"/>
        <v>-1.4897387768521975</v>
      </c>
      <c r="H4835" s="35"/>
      <c r="P4835" s="6"/>
    </row>
    <row r="4836" spans="1:16" ht="14.4" x14ac:dyDescent="0.25">
      <c r="A4836" s="6">
        <v>6971</v>
      </c>
      <c r="B4836" s="6">
        <v>49799</v>
      </c>
      <c r="C4836" s="19">
        <v>40049</v>
      </c>
      <c r="D4836" s="6" t="s">
        <v>17</v>
      </c>
      <c r="E4836" s="6">
        <f>IF((ISBLANK($B$1)),"",Sheet1!Q4846)</f>
        <v>4000</v>
      </c>
      <c r="F4836" s="20" t="s">
        <v>27</v>
      </c>
      <c r="G4836" s="53">
        <f t="shared" si="76"/>
        <v>-0.93735706776838001</v>
      </c>
      <c r="H4836" s="35"/>
      <c r="P4836" s="6"/>
    </row>
    <row r="4837" spans="1:16" ht="14.4" x14ac:dyDescent="0.25">
      <c r="A4837" s="6">
        <v>6973</v>
      </c>
      <c r="B4837" s="6">
        <v>49828</v>
      </c>
      <c r="C4837" s="19">
        <v>40785</v>
      </c>
      <c r="D4837" s="6" t="s">
        <v>16</v>
      </c>
      <c r="E4837" s="6">
        <f>IF((ISBLANK($B$1)),"",Sheet1!Q4847)</f>
        <v>5350</v>
      </c>
      <c r="F4837" s="20" t="s">
        <v>26</v>
      </c>
      <c r="G4837" s="53">
        <f t="shared" si="76"/>
        <v>0.92693120038950361</v>
      </c>
      <c r="H4837" s="35"/>
      <c r="P4837" s="6"/>
    </row>
    <row r="4838" spans="1:16" ht="14.4" x14ac:dyDescent="0.25">
      <c r="A4838" s="6">
        <v>7014</v>
      </c>
      <c r="B4838" s="6">
        <v>50054</v>
      </c>
      <c r="C4838" s="19">
        <v>40427</v>
      </c>
      <c r="D4838" s="6" t="s">
        <v>28</v>
      </c>
      <c r="E4838" s="6">
        <f>IF((ISBLANK($B$1)),"",Sheet1!Q4848)</f>
        <v>5900</v>
      </c>
      <c r="F4838" s="20" t="s">
        <v>27</v>
      </c>
      <c r="G4838" s="53">
        <f t="shared" si="76"/>
        <v>1.6864560503797523</v>
      </c>
      <c r="H4838" s="35"/>
      <c r="P4838" s="6"/>
    </row>
    <row r="4839" spans="1:16" ht="14.4" x14ac:dyDescent="0.25">
      <c r="A4839" s="6">
        <v>7015</v>
      </c>
      <c r="B4839" s="6">
        <v>50054</v>
      </c>
      <c r="C4839" s="19">
        <v>40427</v>
      </c>
      <c r="D4839" s="6" t="s">
        <v>28</v>
      </c>
      <c r="E4839" s="6">
        <f>IF((ISBLANK($B$1)),"",Sheet1!Q4849)</f>
        <v>5450</v>
      </c>
      <c r="F4839" s="20" t="s">
        <v>26</v>
      </c>
      <c r="G4839" s="53">
        <f t="shared" si="76"/>
        <v>1.0650266276604579</v>
      </c>
      <c r="H4839" s="35"/>
      <c r="P4839" s="6"/>
    </row>
    <row r="4840" spans="1:16" ht="14.4" x14ac:dyDescent="0.25">
      <c r="A4840" s="6">
        <v>7058</v>
      </c>
      <c r="B4840" s="6">
        <v>50370</v>
      </c>
      <c r="C4840" s="19">
        <v>41219</v>
      </c>
      <c r="D4840" s="6" t="s">
        <v>30</v>
      </c>
      <c r="E4840" s="6">
        <f>IF((ISBLANK($B$1)),"",Sheet1!Q4850)</f>
        <v>4650</v>
      </c>
      <c r="F4840" s="20" t="s">
        <v>26</v>
      </c>
      <c r="G4840" s="53">
        <f t="shared" si="76"/>
        <v>-3.9736790507176829E-2</v>
      </c>
      <c r="H4840" s="35"/>
      <c r="P4840" s="6"/>
    </row>
    <row r="4841" spans="1:16" ht="14.4" x14ac:dyDescent="0.25">
      <c r="A4841" s="6">
        <v>7150</v>
      </c>
      <c r="B4841" s="6">
        <v>51009</v>
      </c>
      <c r="C4841" s="19">
        <v>40852</v>
      </c>
      <c r="D4841" s="6" t="s">
        <v>28</v>
      </c>
      <c r="E4841" s="6">
        <f>IF((ISBLANK($B$1)),"",Sheet1!Q4851)</f>
        <v>3900</v>
      </c>
      <c r="F4841" s="20" t="s">
        <v>29</v>
      </c>
      <c r="G4841" s="53">
        <f t="shared" si="76"/>
        <v>-1.0754524950393345</v>
      </c>
      <c r="H4841" s="35"/>
      <c r="P4841" s="6"/>
    </row>
    <row r="4842" spans="1:16" ht="14.4" x14ac:dyDescent="0.25">
      <c r="A4842" s="6">
        <v>7698</v>
      </c>
      <c r="B4842" s="6">
        <v>55200</v>
      </c>
      <c r="C4842" s="19">
        <v>40418</v>
      </c>
      <c r="D4842" s="6" t="s">
        <v>16</v>
      </c>
      <c r="E4842" s="6">
        <f>IF((ISBLANK($B$1)),"",Sheet1!Q4852)</f>
        <v>5050</v>
      </c>
      <c r="F4842" s="20" t="s">
        <v>26</v>
      </c>
      <c r="G4842" s="53">
        <f t="shared" si="76"/>
        <v>0.51264491857664052</v>
      </c>
      <c r="H4842" s="35"/>
      <c r="P4842" s="6"/>
    </row>
    <row r="4843" spans="1:16" ht="14.4" x14ac:dyDescent="0.25">
      <c r="A4843" s="6">
        <v>7699</v>
      </c>
      <c r="B4843" s="6">
        <v>55200</v>
      </c>
      <c r="C4843" s="19">
        <v>40418</v>
      </c>
      <c r="D4843" s="6" t="s">
        <v>16</v>
      </c>
      <c r="E4843" s="6">
        <f>IF((ISBLANK($B$1)),"",Sheet1!Q4853)</f>
        <v>3600</v>
      </c>
      <c r="F4843" s="20" t="s">
        <v>27</v>
      </c>
      <c r="G4843" s="53">
        <f t="shared" si="76"/>
        <v>-1.4897387768521975</v>
      </c>
      <c r="H4843" s="35"/>
      <c r="P4843" s="6"/>
    </row>
    <row r="4844" spans="1:16" ht="14.4" x14ac:dyDescent="0.25">
      <c r="A4844" s="6">
        <v>7799</v>
      </c>
      <c r="B4844" s="6">
        <v>55808</v>
      </c>
      <c r="C4844" s="19">
        <v>40588</v>
      </c>
      <c r="D4844" s="6" t="s">
        <v>28</v>
      </c>
      <c r="E4844" s="6">
        <f>IF((ISBLANK($B$1)),"",Sheet1!Q4854)</f>
        <v>3700</v>
      </c>
      <c r="F4844" s="20" t="s">
        <v>29</v>
      </c>
      <c r="G4844" s="53">
        <f t="shared" si="76"/>
        <v>-1.351643349581243</v>
      </c>
      <c r="H4844" s="35"/>
      <c r="P4844" s="6"/>
    </row>
    <row r="4845" spans="1:16" ht="14.4" x14ac:dyDescent="0.25">
      <c r="A4845" s="6">
        <v>7800</v>
      </c>
      <c r="B4845" s="6">
        <v>55808</v>
      </c>
      <c r="C4845" s="19">
        <v>40588</v>
      </c>
      <c r="D4845" s="6" t="s">
        <v>28</v>
      </c>
      <c r="E4845" s="6">
        <f>IF((ISBLANK($B$1)),"",Sheet1!Q4855)</f>
        <v>5650</v>
      </c>
      <c r="F4845" s="20" t="s">
        <v>27</v>
      </c>
      <c r="G4845" s="53">
        <f t="shared" si="76"/>
        <v>1.3412174822023666</v>
      </c>
      <c r="H4845" s="35"/>
      <c r="P4845" s="6"/>
    </row>
    <row r="4846" spans="1:16" ht="14.4" x14ac:dyDescent="0.25">
      <c r="A4846" s="6">
        <v>7823</v>
      </c>
      <c r="B4846" s="6">
        <v>55937</v>
      </c>
      <c r="C4846" s="19">
        <v>39839</v>
      </c>
      <c r="D4846" s="6" t="s">
        <v>16</v>
      </c>
      <c r="E4846" s="6">
        <f>IF((ISBLANK($B$1)),"",Sheet1!Q4856)</f>
        <v>3900</v>
      </c>
      <c r="F4846" s="20" t="s">
        <v>27</v>
      </c>
      <c r="G4846" s="53">
        <f t="shared" si="76"/>
        <v>-1.0754524950393345</v>
      </c>
      <c r="H4846" s="35"/>
      <c r="P4846" s="6"/>
    </row>
    <row r="4847" spans="1:16" ht="14.4" x14ac:dyDescent="0.25">
      <c r="A4847" s="6">
        <v>7824</v>
      </c>
      <c r="B4847" s="6">
        <v>55937</v>
      </c>
      <c r="C4847" s="19">
        <v>39839</v>
      </c>
      <c r="D4847" s="6" t="s">
        <v>16</v>
      </c>
      <c r="E4847" s="6">
        <f>IF((ISBLANK($B$1)),"",Sheet1!Q4857)</f>
        <v>4600</v>
      </c>
      <c r="F4847" s="20" t="s">
        <v>29</v>
      </c>
      <c r="G4847" s="53">
        <f t="shared" si="76"/>
        <v>-0.108784504142654</v>
      </c>
      <c r="H4847" s="35"/>
      <c r="P4847" s="6"/>
    </row>
    <row r="4848" spans="1:16" ht="14.4" x14ac:dyDescent="0.25">
      <c r="A4848" s="6">
        <v>7854</v>
      </c>
      <c r="B4848" s="6">
        <v>56161</v>
      </c>
      <c r="C4848" s="19">
        <v>41013</v>
      </c>
      <c r="D4848" s="6" t="s">
        <v>17</v>
      </c>
      <c r="E4848" s="6">
        <f>IF((ISBLANK($B$1)),"",Sheet1!Q4858)</f>
        <v>5300</v>
      </c>
      <c r="F4848" s="20" t="s">
        <v>27</v>
      </c>
      <c r="G4848" s="53">
        <f t="shared" si="76"/>
        <v>0.85788348675402637</v>
      </c>
      <c r="H4848" s="35"/>
      <c r="P4848" s="6"/>
    </row>
    <row r="4849" spans="1:16" ht="14.4" x14ac:dyDescent="0.25">
      <c r="A4849" s="6">
        <v>8050</v>
      </c>
      <c r="B4849" s="6">
        <v>57477</v>
      </c>
      <c r="C4849" s="19">
        <v>40447</v>
      </c>
      <c r="D4849" s="6" t="s">
        <v>17</v>
      </c>
      <c r="E4849" s="6">
        <f>IF((ISBLANK($B$1)),"",Sheet1!Q4859)</f>
        <v>5900</v>
      </c>
      <c r="F4849" s="20" t="s">
        <v>26</v>
      </c>
      <c r="G4849" s="53">
        <f t="shared" si="76"/>
        <v>1.6864560503797523</v>
      </c>
      <c r="H4849" s="35"/>
      <c r="P4849" s="6"/>
    </row>
    <row r="4850" spans="1:16" ht="14.4" x14ac:dyDescent="0.25">
      <c r="A4850" s="6">
        <v>8051</v>
      </c>
      <c r="B4850" s="6">
        <v>57477</v>
      </c>
      <c r="C4850" s="19">
        <v>40447</v>
      </c>
      <c r="D4850" s="6" t="s">
        <v>17</v>
      </c>
      <c r="E4850" s="6">
        <f>IF((ISBLANK($B$1)),"",Sheet1!Q4860)</f>
        <v>5650</v>
      </c>
      <c r="F4850" s="20" t="s">
        <v>27</v>
      </c>
      <c r="G4850" s="53">
        <f t="shared" si="76"/>
        <v>1.3412174822023666</v>
      </c>
      <c r="H4850" s="35"/>
      <c r="P4850" s="6"/>
    </row>
    <row r="4851" spans="1:16" ht="14.4" x14ac:dyDescent="0.25">
      <c r="A4851" s="6">
        <v>8255</v>
      </c>
      <c r="B4851" s="6">
        <v>59044</v>
      </c>
      <c r="C4851" s="19">
        <v>40744</v>
      </c>
      <c r="D4851" s="6" t="s">
        <v>30</v>
      </c>
      <c r="E4851" s="6">
        <f>IF((ISBLANK($B$1)),"",Sheet1!Q4861)</f>
        <v>3700</v>
      </c>
      <c r="F4851" s="20" t="s">
        <v>26</v>
      </c>
      <c r="G4851" s="53">
        <f t="shared" si="76"/>
        <v>-1.351643349581243</v>
      </c>
      <c r="H4851" s="35"/>
      <c r="P4851" s="6"/>
    </row>
    <row r="4852" spans="1:16" ht="14.4" x14ac:dyDescent="0.25">
      <c r="A4852" s="6">
        <v>8286</v>
      </c>
      <c r="B4852" s="6">
        <v>59204</v>
      </c>
      <c r="C4852" s="19">
        <v>40968</v>
      </c>
      <c r="D4852" s="6" t="s">
        <v>16</v>
      </c>
      <c r="E4852" s="6">
        <f>IF((ISBLANK($B$1)),"",Sheet1!Q4862)</f>
        <v>4650</v>
      </c>
      <c r="F4852" s="20" t="s">
        <v>26</v>
      </c>
      <c r="G4852" s="53">
        <f t="shared" si="76"/>
        <v>-3.9736790507176829E-2</v>
      </c>
      <c r="H4852" s="35"/>
      <c r="P4852" s="6"/>
    </row>
    <row r="4853" spans="1:16" ht="14.4" x14ac:dyDescent="0.25">
      <c r="A4853" s="6">
        <v>8393</v>
      </c>
      <c r="B4853" s="6">
        <v>59969</v>
      </c>
      <c r="C4853" s="19">
        <v>40919</v>
      </c>
      <c r="D4853" s="6" t="s">
        <v>17</v>
      </c>
      <c r="E4853" s="6">
        <f>IF((ISBLANK($B$1)),"",Sheet1!Q4863)</f>
        <v>5500</v>
      </c>
      <c r="F4853" s="20" t="s">
        <v>26</v>
      </c>
      <c r="G4853" s="53">
        <f t="shared" si="76"/>
        <v>1.1340743412959351</v>
      </c>
      <c r="H4853" s="35"/>
      <c r="P4853" s="6"/>
    </row>
    <row r="4854" spans="1:16" ht="14.4" x14ac:dyDescent="0.25">
      <c r="A4854" s="6">
        <v>8394</v>
      </c>
      <c r="B4854" s="6">
        <v>59969</v>
      </c>
      <c r="C4854" s="19">
        <v>40919</v>
      </c>
      <c r="D4854" s="6" t="s">
        <v>17</v>
      </c>
      <c r="E4854" s="6">
        <f>IF((ISBLANK($B$1)),"",Sheet1!Q4864)</f>
        <v>4200</v>
      </c>
      <c r="F4854" s="20" t="s">
        <v>26</v>
      </c>
      <c r="G4854" s="53">
        <f t="shared" si="76"/>
        <v>-0.6611662132264714</v>
      </c>
      <c r="H4854" s="35"/>
      <c r="P4854" s="6"/>
    </row>
    <row r="4855" spans="1:16" ht="14.4" x14ac:dyDescent="0.25">
      <c r="A4855" s="6">
        <v>26</v>
      </c>
      <c r="B4855" s="6">
        <v>166</v>
      </c>
      <c r="C4855" s="19">
        <v>40797</v>
      </c>
      <c r="D4855" s="6" t="s">
        <v>17</v>
      </c>
      <c r="E4855" s="6">
        <f>IF((ISBLANK($B$1)),"",Sheet1!Q4865)</f>
        <v>3900</v>
      </c>
      <c r="F4855" s="20" t="s">
        <v>27</v>
      </c>
      <c r="G4855" s="53">
        <f t="shared" si="76"/>
        <v>-1.0754524950393345</v>
      </c>
      <c r="H4855" s="35"/>
      <c r="P4855" s="6"/>
    </row>
    <row r="4856" spans="1:16" ht="14.4" x14ac:dyDescent="0.25">
      <c r="A4856" s="6">
        <v>31</v>
      </c>
      <c r="B4856" s="6">
        <v>197</v>
      </c>
      <c r="C4856" s="19">
        <v>40639</v>
      </c>
      <c r="D4856" s="6" t="s">
        <v>17</v>
      </c>
      <c r="E4856" s="6">
        <f>IF((ISBLANK($B$1)),"",Sheet1!Q4866)</f>
        <v>4550</v>
      </c>
      <c r="F4856" s="20" t="s">
        <v>26</v>
      </c>
      <c r="G4856" s="53">
        <f t="shared" si="76"/>
        <v>-0.17783221777813119</v>
      </c>
      <c r="H4856" s="35"/>
      <c r="P4856" s="6"/>
    </row>
    <row r="4857" spans="1:16" ht="14.4" x14ac:dyDescent="0.25">
      <c r="A4857" s="6">
        <v>41</v>
      </c>
      <c r="B4857" s="6">
        <v>231</v>
      </c>
      <c r="C4857" s="19">
        <v>40084</v>
      </c>
      <c r="D4857" s="6" t="s">
        <v>17</v>
      </c>
      <c r="E4857" s="6">
        <f>IF((ISBLANK($B$1)),"",Sheet1!Q4867)</f>
        <v>3500</v>
      </c>
      <c r="F4857" s="20" t="s">
        <v>26</v>
      </c>
      <c r="G4857" s="53">
        <f t="shared" si="76"/>
        <v>-1.6278342041231517</v>
      </c>
      <c r="H4857" s="35"/>
      <c r="P4857" s="6"/>
    </row>
    <row r="4858" spans="1:16" ht="14.4" x14ac:dyDescent="0.25">
      <c r="A4858" s="6">
        <v>81</v>
      </c>
      <c r="B4858" s="6">
        <v>487</v>
      </c>
      <c r="C4858" s="19">
        <v>41138</v>
      </c>
      <c r="D4858" s="6" t="s">
        <v>30</v>
      </c>
      <c r="E4858" s="6">
        <f>IF((ISBLANK($B$1)),"",Sheet1!Q4868)</f>
        <v>4350</v>
      </c>
      <c r="F4858" s="20" t="s">
        <v>26</v>
      </c>
      <c r="G4858" s="53">
        <f t="shared" si="76"/>
        <v>-0.45402307232003986</v>
      </c>
      <c r="H4858" s="35"/>
      <c r="P4858" s="6"/>
    </row>
    <row r="4859" spans="1:16" ht="14.4" x14ac:dyDescent="0.25">
      <c r="A4859" s="6">
        <v>109</v>
      </c>
      <c r="B4859" s="6">
        <v>710</v>
      </c>
      <c r="C4859" s="19">
        <v>40179</v>
      </c>
      <c r="D4859" s="6" t="s">
        <v>25</v>
      </c>
      <c r="E4859" s="6">
        <f>IF((ISBLANK($B$1)),"",Sheet1!Q4869)</f>
        <v>5500</v>
      </c>
      <c r="F4859" s="20" t="s">
        <v>26</v>
      </c>
      <c r="G4859" s="53">
        <f t="shared" si="76"/>
        <v>1.1340743412959351</v>
      </c>
      <c r="H4859" s="35"/>
      <c r="P4859" s="6"/>
    </row>
    <row r="4860" spans="1:16" ht="14.4" x14ac:dyDescent="0.25">
      <c r="A4860" s="6">
        <v>110</v>
      </c>
      <c r="B4860" s="6">
        <v>710</v>
      </c>
      <c r="C4860" s="19">
        <v>40179</v>
      </c>
      <c r="D4860" s="6" t="s">
        <v>25</v>
      </c>
      <c r="E4860" s="6">
        <f>IF((ISBLANK($B$1)),"",Sheet1!Q4870)</f>
        <v>3950</v>
      </c>
      <c r="F4860" s="20" t="s">
        <v>29</v>
      </c>
      <c r="G4860" s="53">
        <f t="shared" si="76"/>
        <v>-1.0064047814038573</v>
      </c>
      <c r="H4860" s="35"/>
      <c r="P4860" s="6"/>
    </row>
    <row r="4861" spans="1:16" ht="14.4" x14ac:dyDescent="0.25">
      <c r="A4861" s="6">
        <v>111</v>
      </c>
      <c r="B4861" s="6">
        <v>710</v>
      </c>
      <c r="C4861" s="19">
        <v>40179</v>
      </c>
      <c r="D4861" s="6" t="s">
        <v>25</v>
      </c>
      <c r="E4861" s="6">
        <f>IF((ISBLANK($B$1)),"",Sheet1!Q4871)</f>
        <v>4850</v>
      </c>
      <c r="F4861" s="20" t="s">
        <v>27</v>
      </c>
      <c r="G4861" s="53">
        <f t="shared" si="76"/>
        <v>0.23645406403473185</v>
      </c>
      <c r="H4861" s="35"/>
      <c r="P4861" s="6"/>
    </row>
    <row r="4862" spans="1:16" ht="14.4" x14ac:dyDescent="0.25">
      <c r="A4862" s="6">
        <v>123</v>
      </c>
      <c r="B4862" s="6">
        <v>801</v>
      </c>
      <c r="C4862" s="19">
        <v>40956</v>
      </c>
      <c r="D4862" s="6" t="s">
        <v>30</v>
      </c>
      <c r="E4862" s="6">
        <f>IF((ISBLANK($B$1)),"",Sheet1!Q4872)</f>
        <v>4400</v>
      </c>
      <c r="F4862" s="20" t="s">
        <v>26</v>
      </c>
      <c r="G4862" s="53">
        <f t="shared" si="76"/>
        <v>-0.38497535868456267</v>
      </c>
      <c r="H4862" s="35"/>
      <c r="P4862" s="6"/>
    </row>
    <row r="4863" spans="1:16" ht="14.4" x14ac:dyDescent="0.25">
      <c r="A4863" s="6">
        <v>136</v>
      </c>
      <c r="B4863" s="6">
        <v>870</v>
      </c>
      <c r="C4863" s="19">
        <v>40348</v>
      </c>
      <c r="D4863" s="6" t="s">
        <v>28</v>
      </c>
      <c r="E4863" s="6">
        <f>IF((ISBLANK($B$1)),"",Sheet1!Q4873)</f>
        <v>4550</v>
      </c>
      <c r="F4863" s="20" t="s">
        <v>26</v>
      </c>
      <c r="G4863" s="53">
        <f t="shared" si="76"/>
        <v>-0.17783221777813119</v>
      </c>
      <c r="H4863" s="35"/>
      <c r="P4863" s="6"/>
    </row>
    <row r="4864" spans="1:16" ht="14.4" x14ac:dyDescent="0.25">
      <c r="A4864" s="6">
        <v>189</v>
      </c>
      <c r="B4864" s="6">
        <v>1253</v>
      </c>
      <c r="C4864" s="19">
        <v>40203</v>
      </c>
      <c r="D4864" s="6" t="s">
        <v>30</v>
      </c>
      <c r="E4864" s="6">
        <f>IF((ISBLANK($B$1)),"",Sheet1!Q4874)</f>
        <v>4150</v>
      </c>
      <c r="F4864" s="20" t="s">
        <v>26</v>
      </c>
      <c r="G4864" s="53">
        <f t="shared" si="76"/>
        <v>-0.73021392686194853</v>
      </c>
      <c r="H4864" s="35"/>
      <c r="P4864" s="6"/>
    </row>
    <row r="4865" spans="1:16" ht="14.4" x14ac:dyDescent="0.25">
      <c r="A4865" s="6">
        <v>232</v>
      </c>
      <c r="B4865" s="6">
        <v>1542</v>
      </c>
      <c r="C4865" s="19">
        <v>40435</v>
      </c>
      <c r="D4865" s="6" t="s">
        <v>16</v>
      </c>
      <c r="E4865" s="6">
        <f>IF((ISBLANK($B$1)),"",Sheet1!Q4875)</f>
        <v>5750</v>
      </c>
      <c r="F4865" s="20" t="s">
        <v>26</v>
      </c>
      <c r="G4865" s="53">
        <f t="shared" si="76"/>
        <v>1.4793129094733208</v>
      </c>
      <c r="H4865" s="35"/>
      <c r="P4865" s="6"/>
    </row>
    <row r="4866" spans="1:16" ht="14.4" x14ac:dyDescent="0.25">
      <c r="A4866" s="6">
        <v>233</v>
      </c>
      <c r="B4866" s="6">
        <v>1542</v>
      </c>
      <c r="C4866" s="19">
        <v>40435</v>
      </c>
      <c r="D4866" s="6" t="s">
        <v>16</v>
      </c>
      <c r="E4866" s="6">
        <f>IF((ISBLANK($B$1)),"",Sheet1!Q4876)</f>
        <v>4050</v>
      </c>
      <c r="F4866" s="20" t="s">
        <v>26</v>
      </c>
      <c r="G4866" s="53">
        <f t="shared" si="76"/>
        <v>-0.86830935413290289</v>
      </c>
      <c r="H4866" s="35"/>
      <c r="P4866" s="6"/>
    </row>
    <row r="4867" spans="1:16" ht="14.4" x14ac:dyDescent="0.25">
      <c r="A4867" s="6">
        <v>356</v>
      </c>
      <c r="B4867" s="6">
        <v>2497</v>
      </c>
      <c r="C4867" s="19">
        <v>41147</v>
      </c>
      <c r="D4867" s="6" t="s">
        <v>30</v>
      </c>
      <c r="E4867" s="6">
        <f>IF((ISBLANK($B$1)),"",Sheet1!Q4877)</f>
        <v>4450</v>
      </c>
      <c r="F4867" s="20" t="s">
        <v>27</v>
      </c>
      <c r="G4867" s="53">
        <f t="shared" si="76"/>
        <v>-0.31592764504908549</v>
      </c>
      <c r="H4867" s="35"/>
      <c r="P4867" s="6"/>
    </row>
    <row r="4868" spans="1:16" ht="14.4" x14ac:dyDescent="0.25">
      <c r="A4868" s="6">
        <v>380</v>
      </c>
      <c r="B4868" s="6">
        <v>2630</v>
      </c>
      <c r="C4868" s="19">
        <v>41205</v>
      </c>
      <c r="D4868" s="6" t="s">
        <v>25</v>
      </c>
      <c r="E4868" s="6">
        <f>IF((ISBLANK($B$1)),"",Sheet1!Q4878)</f>
        <v>4950</v>
      </c>
      <c r="F4868" s="20" t="s">
        <v>26</v>
      </c>
      <c r="G4868" s="53">
        <f t="shared" si="76"/>
        <v>0.37454949130568621</v>
      </c>
      <c r="H4868" s="35"/>
      <c r="P4868" s="6"/>
    </row>
    <row r="4869" spans="1:16" ht="14.4" x14ac:dyDescent="0.25">
      <c r="A4869" s="6">
        <v>384</v>
      </c>
      <c r="B4869" s="6">
        <v>2657</v>
      </c>
      <c r="C4869" s="19">
        <v>40832</v>
      </c>
      <c r="D4869" s="6" t="s">
        <v>17</v>
      </c>
      <c r="E4869" s="6">
        <f>IF((ISBLANK($B$1)),"",Sheet1!Q4879)</f>
        <v>4900</v>
      </c>
      <c r="F4869" s="20" t="s">
        <v>26</v>
      </c>
      <c r="G4869" s="53">
        <f t="shared" si="76"/>
        <v>0.30550177767020903</v>
      </c>
      <c r="H4869" s="35"/>
      <c r="P4869" s="6"/>
    </row>
    <row r="4870" spans="1:16" ht="14.4" x14ac:dyDescent="0.25">
      <c r="A4870" s="6">
        <v>385</v>
      </c>
      <c r="B4870" s="6">
        <v>2657</v>
      </c>
      <c r="C4870" s="19">
        <v>40832</v>
      </c>
      <c r="D4870" s="6" t="s">
        <v>17</v>
      </c>
      <c r="E4870" s="6">
        <f>IF((ISBLANK($B$1)),"",Sheet1!Q4880)</f>
        <v>5250</v>
      </c>
      <c r="F4870" s="20" t="s">
        <v>27</v>
      </c>
      <c r="G4870" s="53">
        <f t="shared" si="76"/>
        <v>0.78883577311854924</v>
      </c>
      <c r="H4870" s="35"/>
      <c r="P4870" s="6"/>
    </row>
    <row r="4871" spans="1:16" ht="14.4" x14ac:dyDescent="0.25">
      <c r="A4871" s="6">
        <v>389</v>
      </c>
      <c r="B4871" s="6">
        <v>2688</v>
      </c>
      <c r="C4871" s="19">
        <v>40931</v>
      </c>
      <c r="D4871" s="6" t="s">
        <v>17</v>
      </c>
      <c r="E4871" s="6">
        <f>IF((ISBLANK($B$1)),"",Sheet1!Q4881)</f>
        <v>4950</v>
      </c>
      <c r="F4871" s="20" t="s">
        <v>27</v>
      </c>
      <c r="G4871" s="53">
        <f t="shared" si="76"/>
        <v>0.37454949130568621</v>
      </c>
      <c r="H4871" s="35"/>
      <c r="P4871" s="6"/>
    </row>
    <row r="4872" spans="1:16" ht="14.4" x14ac:dyDescent="0.25">
      <c r="A4872" s="6">
        <v>390</v>
      </c>
      <c r="B4872" s="6">
        <v>2688</v>
      </c>
      <c r="C4872" s="19">
        <v>40931</v>
      </c>
      <c r="D4872" s="6" t="s">
        <v>17</v>
      </c>
      <c r="E4872" s="6">
        <f>IF((ISBLANK($B$1)),"",Sheet1!Q4882)</f>
        <v>3750</v>
      </c>
      <c r="F4872" s="20" t="s">
        <v>27</v>
      </c>
      <c r="G4872" s="53">
        <f t="shared" ref="G4872:G4935" si="77">STANDARDIZE(E4872,$L$26,$L$35)</f>
        <v>-1.282595635945766</v>
      </c>
      <c r="H4872" s="35"/>
      <c r="P4872" s="6"/>
    </row>
    <row r="4873" spans="1:16" ht="14.4" x14ac:dyDescent="0.25">
      <c r="A4873" s="6">
        <v>391</v>
      </c>
      <c r="B4873" s="6">
        <v>2688</v>
      </c>
      <c r="C4873" s="19">
        <v>40931</v>
      </c>
      <c r="D4873" s="6" t="s">
        <v>17</v>
      </c>
      <c r="E4873" s="6">
        <f>IF((ISBLANK($B$1)),"",Sheet1!Q4883)</f>
        <v>3950</v>
      </c>
      <c r="F4873" s="20" t="s">
        <v>27</v>
      </c>
      <c r="G4873" s="53">
        <f t="shared" si="77"/>
        <v>-1.0064047814038573</v>
      </c>
      <c r="H4873" s="35"/>
      <c r="P4873" s="6"/>
    </row>
    <row r="4874" spans="1:16" ht="14.4" x14ac:dyDescent="0.25">
      <c r="A4874" s="6">
        <v>416</v>
      </c>
      <c r="B4874" s="6">
        <v>2816</v>
      </c>
      <c r="C4874" s="19">
        <v>40075</v>
      </c>
      <c r="D4874" s="6" t="s">
        <v>17</v>
      </c>
      <c r="E4874" s="6">
        <f>IF((ISBLANK($B$1)),"",Sheet1!Q4884)</f>
        <v>5150</v>
      </c>
      <c r="F4874" s="20" t="s">
        <v>26</v>
      </c>
      <c r="G4874" s="53">
        <f t="shared" si="77"/>
        <v>0.65074034584759488</v>
      </c>
      <c r="H4874" s="35"/>
      <c r="P4874" s="6"/>
    </row>
    <row r="4875" spans="1:16" ht="14.4" x14ac:dyDescent="0.25">
      <c r="A4875" s="6">
        <v>419</v>
      </c>
      <c r="B4875" s="6">
        <v>2818</v>
      </c>
      <c r="C4875" s="19">
        <v>40158</v>
      </c>
      <c r="D4875" s="6" t="s">
        <v>16</v>
      </c>
      <c r="E4875" s="6">
        <f>IF((ISBLANK($B$1)),"",Sheet1!Q4885)</f>
        <v>5250</v>
      </c>
      <c r="F4875" s="20" t="s">
        <v>29</v>
      </c>
      <c r="G4875" s="53">
        <f t="shared" si="77"/>
        <v>0.78883577311854924</v>
      </c>
      <c r="H4875" s="35"/>
      <c r="P4875" s="6"/>
    </row>
    <row r="4876" spans="1:16" ht="14.4" x14ac:dyDescent="0.25">
      <c r="A4876" s="6">
        <v>420</v>
      </c>
      <c r="B4876" s="6">
        <v>2818</v>
      </c>
      <c r="C4876" s="19">
        <v>40158</v>
      </c>
      <c r="D4876" s="6" t="s">
        <v>16</v>
      </c>
      <c r="E4876" s="6">
        <f>IF((ISBLANK($B$1)),"",Sheet1!Q4886)</f>
        <v>5350</v>
      </c>
      <c r="F4876" s="20" t="s">
        <v>29</v>
      </c>
      <c r="G4876" s="53">
        <f t="shared" si="77"/>
        <v>0.92693120038950361</v>
      </c>
      <c r="H4876" s="35"/>
      <c r="P4876" s="6"/>
    </row>
    <row r="4877" spans="1:16" ht="14.4" x14ac:dyDescent="0.25">
      <c r="A4877" s="6">
        <v>421</v>
      </c>
      <c r="B4877" s="6">
        <v>2818</v>
      </c>
      <c r="C4877" s="19">
        <v>40158</v>
      </c>
      <c r="D4877" s="6" t="s">
        <v>16</v>
      </c>
      <c r="E4877" s="6">
        <f>IF((ISBLANK($B$1)),"",Sheet1!Q4887)</f>
        <v>3500</v>
      </c>
      <c r="F4877" s="20" t="s">
        <v>26</v>
      </c>
      <c r="G4877" s="53">
        <f t="shared" si="77"/>
        <v>-1.6278342041231517</v>
      </c>
      <c r="H4877" s="35"/>
      <c r="P4877" s="6"/>
    </row>
    <row r="4878" spans="1:16" ht="14.4" x14ac:dyDescent="0.25">
      <c r="A4878" s="6">
        <v>447</v>
      </c>
      <c r="B4878" s="6">
        <v>3040</v>
      </c>
      <c r="C4878" s="19">
        <v>40279</v>
      </c>
      <c r="D4878" s="6" t="s">
        <v>16</v>
      </c>
      <c r="E4878" s="6">
        <f>IF((ISBLANK($B$1)),"",Sheet1!Q4888)</f>
        <v>4050</v>
      </c>
      <c r="F4878" s="20" t="s">
        <v>26</v>
      </c>
      <c r="G4878" s="53">
        <f t="shared" si="77"/>
        <v>-0.86830935413290289</v>
      </c>
      <c r="H4878" s="35"/>
      <c r="P4878" s="6"/>
    </row>
    <row r="4879" spans="1:16" ht="14.4" x14ac:dyDescent="0.25">
      <c r="A4879" s="6">
        <v>457</v>
      </c>
      <c r="B4879" s="6">
        <v>3108</v>
      </c>
      <c r="C4879" s="19">
        <v>40394</v>
      </c>
      <c r="D4879" s="6" t="s">
        <v>30</v>
      </c>
      <c r="E4879" s="6">
        <f>IF((ISBLANK($B$1)),"",Sheet1!Q4889)</f>
        <v>5200</v>
      </c>
      <c r="F4879" s="20" t="s">
        <v>26</v>
      </c>
      <c r="G4879" s="53">
        <f t="shared" si="77"/>
        <v>0.71978805948307201</v>
      </c>
      <c r="H4879" s="35"/>
      <c r="P4879" s="6"/>
    </row>
    <row r="4880" spans="1:16" ht="14.4" x14ac:dyDescent="0.25">
      <c r="A4880" s="6">
        <v>499</v>
      </c>
      <c r="B4880" s="6">
        <v>3459</v>
      </c>
      <c r="C4880" s="19">
        <v>40021</v>
      </c>
      <c r="D4880" s="6" t="s">
        <v>28</v>
      </c>
      <c r="E4880" s="6">
        <f>IF((ISBLANK($B$1)),"",Sheet1!Q4890)</f>
        <v>4600</v>
      </c>
      <c r="F4880" s="20" t="s">
        <v>27</v>
      </c>
      <c r="G4880" s="53">
        <f t="shared" si="77"/>
        <v>-0.108784504142654</v>
      </c>
      <c r="H4880" s="35"/>
      <c r="P4880" s="6"/>
    </row>
    <row r="4881" spans="1:16" ht="14.4" x14ac:dyDescent="0.25">
      <c r="A4881" s="6">
        <v>504</v>
      </c>
      <c r="B4881" s="6">
        <v>3488</v>
      </c>
      <c r="C4881" s="19">
        <v>40550</v>
      </c>
      <c r="D4881" s="6" t="s">
        <v>16</v>
      </c>
      <c r="E4881" s="6">
        <f>IF((ISBLANK($B$1)),"",Sheet1!Q4891)</f>
        <v>5350</v>
      </c>
      <c r="F4881" s="20" t="s">
        <v>29</v>
      </c>
      <c r="G4881" s="53">
        <f t="shared" si="77"/>
        <v>0.92693120038950361</v>
      </c>
      <c r="H4881" s="35"/>
      <c r="P4881" s="6"/>
    </row>
    <row r="4882" spans="1:16" ht="14.4" x14ac:dyDescent="0.25">
      <c r="A4882" s="6">
        <v>505</v>
      </c>
      <c r="B4882" s="6">
        <v>3488</v>
      </c>
      <c r="C4882" s="19">
        <v>40550</v>
      </c>
      <c r="D4882" s="6" t="s">
        <v>16</v>
      </c>
      <c r="E4882" s="6">
        <f>IF((ISBLANK($B$1)),"",Sheet1!Q4892)</f>
        <v>3700</v>
      </c>
      <c r="F4882" s="20" t="s">
        <v>26</v>
      </c>
      <c r="G4882" s="53">
        <f t="shared" si="77"/>
        <v>-1.351643349581243</v>
      </c>
      <c r="H4882" s="35"/>
      <c r="P4882" s="6"/>
    </row>
    <row r="4883" spans="1:16" ht="14.4" x14ac:dyDescent="0.25">
      <c r="A4883" s="6">
        <v>506</v>
      </c>
      <c r="B4883" s="6">
        <v>3492</v>
      </c>
      <c r="C4883" s="19">
        <v>40140</v>
      </c>
      <c r="D4883" s="6" t="s">
        <v>25</v>
      </c>
      <c r="E4883" s="6">
        <f>IF((ISBLANK($B$1)),"",Sheet1!Q4893)</f>
        <v>5150</v>
      </c>
      <c r="F4883" s="20" t="s">
        <v>26</v>
      </c>
      <c r="G4883" s="53">
        <f t="shared" si="77"/>
        <v>0.65074034584759488</v>
      </c>
      <c r="H4883" s="35"/>
      <c r="P4883" s="6"/>
    </row>
    <row r="4884" spans="1:16" ht="14.4" x14ac:dyDescent="0.25">
      <c r="A4884" s="6">
        <v>507</v>
      </c>
      <c r="B4884" s="6">
        <v>3492</v>
      </c>
      <c r="C4884" s="19">
        <v>40140</v>
      </c>
      <c r="D4884" s="6" t="s">
        <v>25</v>
      </c>
      <c r="E4884" s="6">
        <f>IF((ISBLANK($B$1)),"",Sheet1!Q4894)</f>
        <v>5850</v>
      </c>
      <c r="F4884" s="20" t="s">
        <v>29</v>
      </c>
      <c r="G4884" s="53">
        <f t="shared" si="77"/>
        <v>1.6174083367442753</v>
      </c>
      <c r="H4884" s="35"/>
      <c r="P4884" s="6"/>
    </row>
    <row r="4885" spans="1:16" ht="14.4" x14ac:dyDescent="0.25">
      <c r="A4885" s="6">
        <v>508</v>
      </c>
      <c r="B4885" s="6">
        <v>3492</v>
      </c>
      <c r="C4885" s="19">
        <v>40140</v>
      </c>
      <c r="D4885" s="6" t="s">
        <v>25</v>
      </c>
      <c r="E4885" s="6">
        <f>IF((ISBLANK($B$1)),"",Sheet1!Q4895)</f>
        <v>5050</v>
      </c>
      <c r="F4885" s="20" t="s">
        <v>26</v>
      </c>
      <c r="G4885" s="53">
        <f t="shared" si="77"/>
        <v>0.51264491857664052</v>
      </c>
      <c r="H4885" s="35"/>
      <c r="P4885" s="6"/>
    </row>
    <row r="4886" spans="1:16" ht="14.4" x14ac:dyDescent="0.25">
      <c r="A4886" s="6">
        <v>516</v>
      </c>
      <c r="B4886" s="6">
        <v>3553</v>
      </c>
      <c r="C4886" s="19">
        <v>39950</v>
      </c>
      <c r="D4886" s="6" t="s">
        <v>16</v>
      </c>
      <c r="E4886" s="6">
        <f>IF((ISBLANK($B$1)),"",Sheet1!Q4896)</f>
        <v>3750</v>
      </c>
      <c r="F4886" s="20" t="s">
        <v>26</v>
      </c>
      <c r="G4886" s="53">
        <f t="shared" si="77"/>
        <v>-1.282595635945766</v>
      </c>
      <c r="H4886" s="35"/>
      <c r="P4886" s="6"/>
    </row>
    <row r="4887" spans="1:16" ht="14.4" x14ac:dyDescent="0.25">
      <c r="A4887" s="6">
        <v>563</v>
      </c>
      <c r="B4887" s="6">
        <v>3810</v>
      </c>
      <c r="C4887" s="19">
        <v>41168</v>
      </c>
      <c r="D4887" s="6" t="s">
        <v>30</v>
      </c>
      <c r="E4887" s="6">
        <f>IF((ISBLANK($B$1)),"",Sheet1!Q4898)</f>
        <v>5400</v>
      </c>
      <c r="F4887" s="20" t="s">
        <v>26</v>
      </c>
      <c r="G4887" s="53">
        <f t="shared" si="77"/>
        <v>0.99597891402498073</v>
      </c>
      <c r="H4887" s="35"/>
      <c r="P4887" s="6"/>
    </row>
    <row r="4888" spans="1:16" ht="14.4" x14ac:dyDescent="0.25">
      <c r="A4888" s="6">
        <v>564</v>
      </c>
      <c r="B4888" s="6">
        <v>3810</v>
      </c>
      <c r="C4888" s="19">
        <v>41168</v>
      </c>
      <c r="D4888" s="6" t="s">
        <v>30</v>
      </c>
      <c r="E4888" s="6">
        <f>IF((ISBLANK($B$1)),"",Sheet1!Q4899)</f>
        <v>4650</v>
      </c>
      <c r="F4888" s="20" t="s">
        <v>26</v>
      </c>
      <c r="G4888" s="53">
        <f t="shared" si="77"/>
        <v>-3.9736790507176829E-2</v>
      </c>
      <c r="H4888" s="35"/>
      <c r="P4888" s="6"/>
    </row>
    <row r="4889" spans="1:16" ht="14.4" x14ac:dyDescent="0.25">
      <c r="A4889" s="6">
        <v>635</v>
      </c>
      <c r="B4889" s="6">
        <v>4451</v>
      </c>
      <c r="C4889" s="19">
        <v>40086</v>
      </c>
      <c r="D4889" s="6" t="s">
        <v>30</v>
      </c>
      <c r="E4889" s="6">
        <f>IF((ISBLANK($B$1)),"",Sheet1!Q4900)</f>
        <v>5750</v>
      </c>
      <c r="F4889" s="20" t="s">
        <v>26</v>
      </c>
      <c r="G4889" s="53">
        <f t="shared" si="77"/>
        <v>1.4793129094733208</v>
      </c>
      <c r="H4889" s="35"/>
      <c r="P4889" s="6"/>
    </row>
    <row r="4890" spans="1:16" ht="14.4" x14ac:dyDescent="0.25">
      <c r="A4890" s="6">
        <v>642</v>
      </c>
      <c r="B4890" s="6">
        <v>4516</v>
      </c>
      <c r="C4890" s="19">
        <v>39900</v>
      </c>
      <c r="D4890" s="6" t="s">
        <v>16</v>
      </c>
      <c r="E4890" s="6">
        <f>IF((ISBLANK($B$1)),"",Sheet1!Q4901)</f>
        <v>5500</v>
      </c>
      <c r="F4890" s="20" t="s">
        <v>26</v>
      </c>
      <c r="G4890" s="53">
        <f t="shared" si="77"/>
        <v>1.1340743412959351</v>
      </c>
      <c r="H4890" s="35"/>
      <c r="P4890" s="6"/>
    </row>
    <row r="4891" spans="1:16" ht="14.4" x14ac:dyDescent="0.25">
      <c r="A4891" s="6">
        <v>646</v>
      </c>
      <c r="B4891" s="6">
        <v>4578</v>
      </c>
      <c r="C4891" s="19">
        <v>41164</v>
      </c>
      <c r="D4891" s="6" t="s">
        <v>25</v>
      </c>
      <c r="E4891" s="6">
        <f>IF((ISBLANK($B$1)),"",Sheet1!Q4902)</f>
        <v>5650</v>
      </c>
      <c r="F4891" s="20" t="s">
        <v>26</v>
      </c>
      <c r="G4891" s="53">
        <f t="shared" si="77"/>
        <v>1.3412174822023666</v>
      </c>
      <c r="H4891" s="35"/>
      <c r="P4891" s="6"/>
    </row>
    <row r="4892" spans="1:16" ht="14.4" x14ac:dyDescent="0.25">
      <c r="A4892" s="6">
        <v>647</v>
      </c>
      <c r="B4892" s="6">
        <v>4578</v>
      </c>
      <c r="C4892" s="19">
        <v>41164</v>
      </c>
      <c r="D4892" s="6" t="s">
        <v>25</v>
      </c>
      <c r="E4892" s="6">
        <f>IF((ISBLANK($B$1)),"",Sheet1!Q4903)</f>
        <v>5800</v>
      </c>
      <c r="F4892" s="20" t="s">
        <v>26</v>
      </c>
      <c r="G4892" s="53">
        <f t="shared" si="77"/>
        <v>1.5483606231087981</v>
      </c>
      <c r="H4892" s="35"/>
      <c r="P4892" s="6"/>
    </row>
    <row r="4893" spans="1:16" ht="14.4" x14ac:dyDescent="0.25">
      <c r="A4893" s="6">
        <v>648</v>
      </c>
      <c r="B4893" s="6">
        <v>4578</v>
      </c>
      <c r="C4893" s="19">
        <v>41164</v>
      </c>
      <c r="D4893" s="6" t="s">
        <v>25</v>
      </c>
      <c r="E4893" s="6">
        <f>IF((ISBLANK($B$1)),"",Sheet1!Q4904)</f>
        <v>4150</v>
      </c>
      <c r="F4893" s="20" t="s">
        <v>29</v>
      </c>
      <c r="G4893" s="53">
        <f t="shared" si="77"/>
        <v>-0.73021392686194853</v>
      </c>
      <c r="H4893" s="35"/>
      <c r="P4893" s="6"/>
    </row>
    <row r="4894" spans="1:16" ht="14.4" x14ac:dyDescent="0.25">
      <c r="A4894" s="6">
        <v>655</v>
      </c>
      <c r="B4894" s="6">
        <v>4611</v>
      </c>
      <c r="C4894" s="19">
        <v>40187</v>
      </c>
      <c r="D4894" s="6" t="s">
        <v>17</v>
      </c>
      <c r="E4894" s="6">
        <f>IF((ISBLANK($B$1)),"",Sheet1!Q4905)</f>
        <v>5000</v>
      </c>
      <c r="F4894" s="20" t="s">
        <v>27</v>
      </c>
      <c r="G4894" s="53">
        <f t="shared" si="77"/>
        <v>0.44359720494116334</v>
      </c>
      <c r="H4894" s="35"/>
      <c r="P4894" s="6"/>
    </row>
    <row r="4895" spans="1:16" ht="14.4" x14ac:dyDescent="0.25">
      <c r="A4895" s="6">
        <v>731</v>
      </c>
      <c r="B4895" s="6">
        <v>5281</v>
      </c>
      <c r="C4895" s="19">
        <v>40848</v>
      </c>
      <c r="D4895" s="6" t="s">
        <v>17</v>
      </c>
      <c r="E4895" s="6">
        <f>IF((ISBLANK($B$1)),"",Sheet1!Q4906)</f>
        <v>5200</v>
      </c>
      <c r="F4895" s="20" t="s">
        <v>29</v>
      </c>
      <c r="G4895" s="53">
        <f t="shared" si="77"/>
        <v>0.71978805948307201</v>
      </c>
      <c r="H4895" s="35"/>
      <c r="P4895" s="6"/>
    </row>
    <row r="4896" spans="1:16" ht="14.4" x14ac:dyDescent="0.25">
      <c r="A4896" s="6">
        <v>732</v>
      </c>
      <c r="B4896" s="6">
        <v>5281</v>
      </c>
      <c r="C4896" s="19">
        <v>40848</v>
      </c>
      <c r="D4896" s="6" t="s">
        <v>17</v>
      </c>
      <c r="E4896" s="6">
        <f>IF((ISBLANK($B$1)),"",Sheet1!Q4907)</f>
        <v>4100</v>
      </c>
      <c r="F4896" s="20" t="s">
        <v>29</v>
      </c>
      <c r="G4896" s="53">
        <f t="shared" si="77"/>
        <v>-0.79926164049742576</v>
      </c>
      <c r="H4896" s="35"/>
      <c r="P4896" s="6"/>
    </row>
    <row r="4897" spans="1:16" ht="14.4" x14ac:dyDescent="0.25">
      <c r="A4897" s="6">
        <v>787</v>
      </c>
      <c r="B4897" s="6">
        <v>5635</v>
      </c>
      <c r="C4897" s="19">
        <v>41136</v>
      </c>
      <c r="D4897" s="6" t="s">
        <v>16</v>
      </c>
      <c r="E4897" s="6">
        <f>IF((ISBLANK($B$1)),"",Sheet1!Q4908)</f>
        <v>4250</v>
      </c>
      <c r="F4897" s="20" t="s">
        <v>26</v>
      </c>
      <c r="G4897" s="53">
        <f t="shared" si="77"/>
        <v>-0.59211849959099416</v>
      </c>
      <c r="H4897" s="35"/>
      <c r="P4897" s="6"/>
    </row>
    <row r="4898" spans="1:16" ht="14.4" x14ac:dyDescent="0.25">
      <c r="A4898" s="6">
        <v>788</v>
      </c>
      <c r="B4898" s="6">
        <v>5635</v>
      </c>
      <c r="C4898" s="19">
        <v>41136</v>
      </c>
      <c r="D4898" s="6" t="s">
        <v>16</v>
      </c>
      <c r="E4898" s="6">
        <f>IF((ISBLANK($B$1)),"",Sheet1!Q4909)</f>
        <v>5900</v>
      </c>
      <c r="F4898" s="20" t="s">
        <v>29</v>
      </c>
      <c r="G4898" s="53">
        <f t="shared" si="77"/>
        <v>1.6864560503797523</v>
      </c>
      <c r="H4898" s="35"/>
      <c r="P4898" s="6"/>
    </row>
    <row r="4899" spans="1:16" ht="14.4" x14ac:dyDescent="0.25">
      <c r="A4899" s="6">
        <v>791</v>
      </c>
      <c r="B4899" s="6">
        <v>5696</v>
      </c>
      <c r="C4899" s="19">
        <v>40666</v>
      </c>
      <c r="D4899" s="6" t="s">
        <v>30</v>
      </c>
      <c r="E4899" s="6">
        <f>IF((ISBLANK($B$1)),"",Sheet1!Q4910)</f>
        <v>3600</v>
      </c>
      <c r="F4899" s="20" t="s">
        <v>26</v>
      </c>
      <c r="G4899" s="53">
        <f t="shared" si="77"/>
        <v>-1.4897387768521975</v>
      </c>
      <c r="H4899" s="35"/>
      <c r="P4899" s="6"/>
    </row>
    <row r="4900" spans="1:16" ht="14.4" x14ac:dyDescent="0.25">
      <c r="A4900" s="6">
        <v>792</v>
      </c>
      <c r="B4900" s="6">
        <v>5696</v>
      </c>
      <c r="C4900" s="19">
        <v>40666</v>
      </c>
      <c r="D4900" s="6" t="s">
        <v>30</v>
      </c>
      <c r="E4900" s="6">
        <f>IF((ISBLANK($B$1)),"",Sheet1!Q4911)</f>
        <v>5400</v>
      </c>
      <c r="F4900" s="20" t="s">
        <v>26</v>
      </c>
      <c r="G4900" s="53">
        <f t="shared" si="77"/>
        <v>0.99597891402498073</v>
      </c>
      <c r="H4900" s="35"/>
      <c r="P4900" s="6"/>
    </row>
    <row r="4901" spans="1:16" ht="14.4" x14ac:dyDescent="0.25">
      <c r="A4901" s="6">
        <v>793</v>
      </c>
      <c r="B4901" s="6">
        <v>5696</v>
      </c>
      <c r="C4901" s="19">
        <v>40666</v>
      </c>
      <c r="D4901" s="6" t="s">
        <v>30</v>
      </c>
      <c r="E4901" s="6">
        <f>IF((ISBLANK($B$1)),"",Sheet1!Q4912)</f>
        <v>4950</v>
      </c>
      <c r="F4901" s="20" t="s">
        <v>27</v>
      </c>
      <c r="G4901" s="53">
        <f t="shared" si="77"/>
        <v>0.37454949130568621</v>
      </c>
      <c r="H4901" s="35"/>
      <c r="P4901" s="6"/>
    </row>
    <row r="4902" spans="1:16" ht="14.4" x14ac:dyDescent="0.25">
      <c r="A4902" s="6">
        <v>820</v>
      </c>
      <c r="B4902" s="6">
        <v>5921</v>
      </c>
      <c r="C4902" s="19">
        <v>39909</v>
      </c>
      <c r="D4902" s="6" t="s">
        <v>25</v>
      </c>
      <c r="E4902" s="6">
        <f>IF((ISBLANK($B$1)),"",Sheet1!Q4913)</f>
        <v>4750</v>
      </c>
      <c r="F4902" s="20" t="s">
        <v>26</v>
      </c>
      <c r="G4902" s="53">
        <f t="shared" si="77"/>
        <v>9.8358636763777513E-2</v>
      </c>
      <c r="H4902" s="35"/>
      <c r="P4902" s="6"/>
    </row>
    <row r="4903" spans="1:16" ht="14.4" x14ac:dyDescent="0.25">
      <c r="A4903" s="6">
        <v>868</v>
      </c>
      <c r="B4903" s="6">
        <v>6241</v>
      </c>
      <c r="C4903" s="19">
        <v>40176</v>
      </c>
      <c r="D4903" s="6" t="s">
        <v>25</v>
      </c>
      <c r="E4903" s="6">
        <f>IF((ISBLANK($B$1)),"",Sheet1!Q4914)</f>
        <v>4600</v>
      </c>
      <c r="F4903" s="20" t="s">
        <v>26</v>
      </c>
      <c r="G4903" s="53">
        <f t="shared" si="77"/>
        <v>-0.108784504142654</v>
      </c>
      <c r="H4903" s="35"/>
      <c r="P4903" s="6"/>
    </row>
    <row r="4904" spans="1:16" ht="14.4" x14ac:dyDescent="0.25">
      <c r="A4904" s="6">
        <v>869</v>
      </c>
      <c r="B4904" s="6">
        <v>6241</v>
      </c>
      <c r="C4904" s="19">
        <v>40176</v>
      </c>
      <c r="D4904" s="6" t="s">
        <v>25</v>
      </c>
      <c r="E4904" s="6">
        <f>IF((ISBLANK($B$1)),"",Sheet1!Q4915)</f>
        <v>4850</v>
      </c>
      <c r="F4904" s="20" t="s">
        <v>27</v>
      </c>
      <c r="G4904" s="53">
        <f t="shared" si="77"/>
        <v>0.23645406403473185</v>
      </c>
      <c r="H4904" s="35"/>
      <c r="P4904" s="6"/>
    </row>
    <row r="4905" spans="1:16" ht="14.4" x14ac:dyDescent="0.25">
      <c r="A4905" s="6">
        <v>892</v>
      </c>
      <c r="B4905" s="6">
        <v>6406</v>
      </c>
      <c r="C4905" s="19">
        <v>40039</v>
      </c>
      <c r="D4905" s="6" t="s">
        <v>30</v>
      </c>
      <c r="E4905" s="6">
        <f>IF((ISBLANK($B$1)),"",Sheet1!Q4916)</f>
        <v>5550</v>
      </c>
      <c r="F4905" s="20" t="s">
        <v>26</v>
      </c>
      <c r="G4905" s="53">
        <f t="shared" si="77"/>
        <v>1.2031220549314123</v>
      </c>
      <c r="H4905" s="35"/>
      <c r="P4905" s="6"/>
    </row>
    <row r="4906" spans="1:16" ht="14.4" x14ac:dyDescent="0.25">
      <c r="A4906" s="6">
        <v>920</v>
      </c>
      <c r="B4906" s="6">
        <v>6625</v>
      </c>
      <c r="C4906" s="19">
        <v>40405</v>
      </c>
      <c r="D4906" s="6" t="s">
        <v>17</v>
      </c>
      <c r="E4906" s="6">
        <f>IF((ISBLANK($B$1)),"",Sheet1!Q4917)</f>
        <v>4550</v>
      </c>
      <c r="F4906" s="20" t="s">
        <v>29</v>
      </c>
      <c r="G4906" s="53">
        <f t="shared" si="77"/>
        <v>-0.17783221777813119</v>
      </c>
      <c r="H4906" s="35"/>
      <c r="P4906" s="6"/>
    </row>
    <row r="4907" spans="1:16" ht="14.4" x14ac:dyDescent="0.25">
      <c r="A4907" s="6">
        <v>947</v>
      </c>
      <c r="B4907" s="6">
        <v>6854</v>
      </c>
      <c r="C4907" s="19">
        <v>39819</v>
      </c>
      <c r="D4907" s="6" t="s">
        <v>16</v>
      </c>
      <c r="E4907" s="6">
        <f>IF((ISBLANK($B$1)),"",Sheet1!Q4918)</f>
        <v>3450</v>
      </c>
      <c r="F4907" s="20" t="s">
        <v>26</v>
      </c>
      <c r="G4907" s="53">
        <f t="shared" si="77"/>
        <v>-1.696881917758629</v>
      </c>
      <c r="H4907" s="35"/>
      <c r="P4907" s="6"/>
    </row>
    <row r="4908" spans="1:16" ht="14.4" x14ac:dyDescent="0.25">
      <c r="A4908" s="6">
        <v>948</v>
      </c>
      <c r="B4908" s="6">
        <v>6854</v>
      </c>
      <c r="C4908" s="19">
        <v>39819</v>
      </c>
      <c r="D4908" s="6" t="s">
        <v>16</v>
      </c>
      <c r="E4908" s="6">
        <f>IF((ISBLANK($B$1)),"",Sheet1!Q4919)</f>
        <v>4350</v>
      </c>
      <c r="F4908" s="20" t="s">
        <v>29</v>
      </c>
      <c r="G4908" s="53">
        <f t="shared" si="77"/>
        <v>-0.45402307232003986</v>
      </c>
      <c r="H4908" s="35"/>
      <c r="P4908" s="6"/>
    </row>
    <row r="4909" spans="1:16" ht="14.4" x14ac:dyDescent="0.25">
      <c r="A4909" s="6">
        <v>1006</v>
      </c>
      <c r="B4909" s="6">
        <v>7335</v>
      </c>
      <c r="C4909" s="19">
        <v>40327</v>
      </c>
      <c r="D4909" s="6" t="s">
        <v>25</v>
      </c>
      <c r="E4909" s="6">
        <f>IF((ISBLANK($B$1)),"",Sheet1!Q4920)</f>
        <v>5550</v>
      </c>
      <c r="F4909" s="20" t="s">
        <v>27</v>
      </c>
      <c r="G4909" s="53">
        <f t="shared" si="77"/>
        <v>1.2031220549314123</v>
      </c>
      <c r="H4909" s="35"/>
      <c r="P4909" s="6"/>
    </row>
    <row r="4910" spans="1:16" ht="14.4" x14ac:dyDescent="0.25">
      <c r="A4910" s="6">
        <v>1019</v>
      </c>
      <c r="B4910" s="6">
        <v>7457</v>
      </c>
      <c r="C4910" s="19">
        <v>40451</v>
      </c>
      <c r="D4910" s="6" t="s">
        <v>28</v>
      </c>
      <c r="E4910" s="6">
        <f>IF((ISBLANK($B$1)),"",Sheet1!Q4921)</f>
        <v>5200</v>
      </c>
      <c r="F4910" s="20" t="s">
        <v>26</v>
      </c>
      <c r="G4910" s="53">
        <f t="shared" si="77"/>
        <v>0.71978805948307201</v>
      </c>
      <c r="H4910" s="35"/>
      <c r="P4910" s="6"/>
    </row>
    <row r="4911" spans="1:16" ht="14.4" x14ac:dyDescent="0.25">
      <c r="A4911" s="6">
        <v>1020</v>
      </c>
      <c r="B4911" s="6">
        <v>7457</v>
      </c>
      <c r="C4911" s="19">
        <v>40451</v>
      </c>
      <c r="D4911" s="6" t="s">
        <v>28</v>
      </c>
      <c r="E4911" s="6">
        <f>IF((ISBLANK($B$1)),"",Sheet1!Q4922)</f>
        <v>5700</v>
      </c>
      <c r="F4911" s="20" t="s">
        <v>26</v>
      </c>
      <c r="G4911" s="53">
        <f t="shared" si="77"/>
        <v>1.4102651958378438</v>
      </c>
      <c r="H4911" s="35"/>
      <c r="P4911" s="6"/>
    </row>
    <row r="4912" spans="1:16" ht="14.4" x14ac:dyDescent="0.25">
      <c r="A4912" s="6">
        <v>1044</v>
      </c>
      <c r="B4912" s="6">
        <v>7653</v>
      </c>
      <c r="C4912" s="19">
        <v>40966</v>
      </c>
      <c r="D4912" s="6" t="s">
        <v>16</v>
      </c>
      <c r="E4912" s="6">
        <f>IF((ISBLANK($B$1)),"",Sheet1!Q4923)</f>
        <v>5000</v>
      </c>
      <c r="F4912" s="20" t="s">
        <v>26</v>
      </c>
      <c r="G4912" s="53">
        <f t="shared" si="77"/>
        <v>0.44359720494116334</v>
      </c>
      <c r="H4912" s="35"/>
      <c r="P4912" s="6"/>
    </row>
    <row r="4913" spans="1:16" ht="14.4" x14ac:dyDescent="0.25">
      <c r="A4913" s="6">
        <v>1055</v>
      </c>
      <c r="B4913" s="6">
        <v>7783</v>
      </c>
      <c r="C4913" s="19">
        <v>40920</v>
      </c>
      <c r="D4913" s="6" t="s">
        <v>16</v>
      </c>
      <c r="E4913" s="6">
        <f>IF((ISBLANK($B$1)),"",Sheet1!Q4924)</f>
        <v>3550</v>
      </c>
      <c r="F4913" s="20" t="s">
        <v>26</v>
      </c>
      <c r="G4913" s="53">
        <f t="shared" si="77"/>
        <v>-1.5587864904876745</v>
      </c>
      <c r="H4913" s="35"/>
      <c r="P4913" s="6"/>
    </row>
    <row r="4914" spans="1:16" ht="14.4" x14ac:dyDescent="0.25">
      <c r="A4914" s="6">
        <v>1072</v>
      </c>
      <c r="B4914" s="6">
        <v>7905</v>
      </c>
      <c r="C4914" s="19">
        <v>39967</v>
      </c>
      <c r="D4914" s="6" t="s">
        <v>25</v>
      </c>
      <c r="E4914" s="6">
        <f>IF((ISBLANK($B$1)),"",Sheet1!Q4925)</f>
        <v>5700</v>
      </c>
      <c r="F4914" s="20" t="s">
        <v>29</v>
      </c>
      <c r="G4914" s="53">
        <f t="shared" si="77"/>
        <v>1.4102651958378438</v>
      </c>
      <c r="H4914" s="35"/>
      <c r="P4914" s="6"/>
    </row>
    <row r="4915" spans="1:16" ht="14.4" x14ac:dyDescent="0.25">
      <c r="A4915" s="6">
        <v>1098</v>
      </c>
      <c r="B4915" s="6">
        <v>8064</v>
      </c>
      <c r="C4915" s="19">
        <v>40675</v>
      </c>
      <c r="D4915" s="6" t="s">
        <v>17</v>
      </c>
      <c r="E4915" s="6">
        <f>IF((ISBLANK($B$1)),"",Sheet1!Q4926)</f>
        <v>5600</v>
      </c>
      <c r="F4915" s="20" t="s">
        <v>29</v>
      </c>
      <c r="G4915" s="53">
        <f t="shared" si="77"/>
        <v>1.2721697685668893</v>
      </c>
      <c r="H4915" s="35"/>
      <c r="P4915" s="6"/>
    </row>
    <row r="4916" spans="1:16" ht="14.4" x14ac:dyDescent="0.25">
      <c r="A4916" s="6">
        <v>1105</v>
      </c>
      <c r="B4916" s="6">
        <v>8130</v>
      </c>
      <c r="C4916" s="19">
        <v>41042</v>
      </c>
      <c r="D4916" s="6" t="s">
        <v>30</v>
      </c>
      <c r="E4916" s="6">
        <f>IF((ISBLANK($B$1)),"",Sheet1!Q4927)</f>
        <v>4150</v>
      </c>
      <c r="F4916" s="20" t="s">
        <v>26</v>
      </c>
      <c r="G4916" s="53">
        <f t="shared" si="77"/>
        <v>-0.73021392686194853</v>
      </c>
      <c r="H4916" s="35"/>
      <c r="P4916" s="6"/>
    </row>
    <row r="4917" spans="1:16" ht="14.4" x14ac:dyDescent="0.25">
      <c r="A4917" s="6">
        <v>1138</v>
      </c>
      <c r="B4917" s="6">
        <v>8294</v>
      </c>
      <c r="C4917" s="19">
        <v>41080</v>
      </c>
      <c r="D4917" s="6" t="s">
        <v>16</v>
      </c>
      <c r="E4917" s="6">
        <f>IF((ISBLANK($B$1)),"",Sheet1!Q4928)</f>
        <v>4800</v>
      </c>
      <c r="F4917" s="20" t="s">
        <v>27</v>
      </c>
      <c r="G4917" s="53">
        <f t="shared" si="77"/>
        <v>0.16740635039925467</v>
      </c>
      <c r="H4917" s="35"/>
      <c r="P4917" s="6"/>
    </row>
    <row r="4918" spans="1:16" ht="14.4" x14ac:dyDescent="0.25">
      <c r="A4918" s="6">
        <v>1148</v>
      </c>
      <c r="B4918" s="6">
        <v>8384</v>
      </c>
      <c r="C4918" s="19">
        <v>40303</v>
      </c>
      <c r="D4918" s="6" t="s">
        <v>17</v>
      </c>
      <c r="E4918" s="6">
        <f>IF((ISBLANK($B$1)),"",Sheet1!Q4929)</f>
        <v>5250</v>
      </c>
      <c r="F4918" s="20" t="s">
        <v>29</v>
      </c>
      <c r="G4918" s="53">
        <f t="shared" si="77"/>
        <v>0.78883577311854924</v>
      </c>
      <c r="H4918" s="35"/>
      <c r="P4918" s="6"/>
    </row>
    <row r="4919" spans="1:16" ht="14.4" x14ac:dyDescent="0.25">
      <c r="A4919" s="6">
        <v>1175</v>
      </c>
      <c r="B4919" s="6">
        <v>8580</v>
      </c>
      <c r="C4919" s="19">
        <v>40624</v>
      </c>
      <c r="D4919" s="6" t="s">
        <v>17</v>
      </c>
      <c r="E4919" s="6">
        <f>IF((ISBLANK($B$1)),"",Sheet1!Q4930)</f>
        <v>4000</v>
      </c>
      <c r="F4919" s="20" t="s">
        <v>26</v>
      </c>
      <c r="G4919" s="53">
        <f t="shared" si="77"/>
        <v>-0.93735706776838001</v>
      </c>
      <c r="H4919" s="35"/>
      <c r="P4919" s="6"/>
    </row>
    <row r="4920" spans="1:16" ht="14.4" x14ac:dyDescent="0.25">
      <c r="A4920" s="6">
        <v>1176</v>
      </c>
      <c r="B4920" s="6">
        <v>8580</v>
      </c>
      <c r="C4920" s="19">
        <v>40624</v>
      </c>
      <c r="D4920" s="6" t="s">
        <v>17</v>
      </c>
      <c r="E4920" s="6">
        <f>IF((ISBLANK($B$1)),"",Sheet1!Q4931)</f>
        <v>5250</v>
      </c>
      <c r="F4920" s="20" t="s">
        <v>26</v>
      </c>
      <c r="G4920" s="53">
        <f t="shared" si="77"/>
        <v>0.78883577311854924</v>
      </c>
      <c r="H4920" s="35"/>
      <c r="P4920" s="6"/>
    </row>
    <row r="4921" spans="1:16" ht="14.4" x14ac:dyDescent="0.25">
      <c r="A4921" s="6">
        <v>1182</v>
      </c>
      <c r="B4921" s="6">
        <v>8646</v>
      </c>
      <c r="C4921" s="19">
        <v>39912</v>
      </c>
      <c r="D4921" s="6" t="s">
        <v>17</v>
      </c>
      <c r="E4921" s="6">
        <f>IF((ISBLANK($B$1)),"",Sheet1!Q4932)</f>
        <v>3800</v>
      </c>
      <c r="F4921" s="20" t="s">
        <v>26</v>
      </c>
      <c r="G4921" s="53">
        <f t="shared" si="77"/>
        <v>-1.2135479223102887</v>
      </c>
      <c r="H4921" s="35"/>
      <c r="P4921" s="6"/>
    </row>
    <row r="4922" spans="1:16" ht="14.4" x14ac:dyDescent="0.25">
      <c r="A4922" s="6">
        <v>1183</v>
      </c>
      <c r="B4922" s="6">
        <v>8646</v>
      </c>
      <c r="C4922" s="19">
        <v>39912</v>
      </c>
      <c r="D4922" s="6" t="s">
        <v>17</v>
      </c>
      <c r="E4922" s="6">
        <f>IF((ISBLANK($B$1)),"",Sheet1!Q4933)</f>
        <v>5450</v>
      </c>
      <c r="F4922" s="20" t="s">
        <v>29</v>
      </c>
      <c r="G4922" s="53">
        <f t="shared" si="77"/>
        <v>1.0650266276604579</v>
      </c>
      <c r="H4922" s="35"/>
      <c r="P4922" s="6"/>
    </row>
    <row r="4923" spans="1:16" ht="14.4" x14ac:dyDescent="0.25">
      <c r="A4923" s="6">
        <v>1184</v>
      </c>
      <c r="B4923" s="6">
        <v>8646</v>
      </c>
      <c r="C4923" s="19">
        <v>39912</v>
      </c>
      <c r="D4923" s="6" t="s">
        <v>17</v>
      </c>
      <c r="E4923" s="6">
        <f>IF((ISBLANK($B$1)),"",Sheet1!Q4934)</f>
        <v>4700</v>
      </c>
      <c r="F4923" s="20" t="s">
        <v>27</v>
      </c>
      <c r="G4923" s="53">
        <f t="shared" si="77"/>
        <v>2.9310923128300338E-2</v>
      </c>
      <c r="H4923" s="35"/>
      <c r="P4923" s="6"/>
    </row>
    <row r="4924" spans="1:16" ht="14.4" x14ac:dyDescent="0.25">
      <c r="A4924" s="6">
        <v>1185</v>
      </c>
      <c r="B4924" s="6">
        <v>8646</v>
      </c>
      <c r="C4924" s="19">
        <v>39912</v>
      </c>
      <c r="D4924" s="6" t="s">
        <v>17</v>
      </c>
      <c r="E4924" s="6">
        <f>IF((ISBLANK($B$1)),"",Sheet1!Q4935)</f>
        <v>4850</v>
      </c>
      <c r="F4924" s="20" t="s">
        <v>29</v>
      </c>
      <c r="G4924" s="53">
        <f t="shared" si="77"/>
        <v>0.23645406403473185</v>
      </c>
      <c r="H4924" s="35"/>
      <c r="P4924" s="6"/>
    </row>
    <row r="4925" spans="1:16" ht="14.4" x14ac:dyDescent="0.25">
      <c r="A4925" s="6">
        <v>1224</v>
      </c>
      <c r="B4925" s="6">
        <v>8993</v>
      </c>
      <c r="C4925" s="19">
        <v>40691</v>
      </c>
      <c r="D4925" s="6" t="s">
        <v>16</v>
      </c>
      <c r="E4925" s="6">
        <f>IF((ISBLANK($B$1)),"",Sheet1!Q4936)</f>
        <v>5450</v>
      </c>
      <c r="F4925" s="20" t="s">
        <v>26</v>
      </c>
      <c r="G4925" s="53">
        <f t="shared" si="77"/>
        <v>1.0650266276604579</v>
      </c>
      <c r="H4925" s="35"/>
      <c r="P4925" s="6"/>
    </row>
    <row r="4926" spans="1:16" ht="14.4" x14ac:dyDescent="0.25">
      <c r="A4926" s="6">
        <v>1231</v>
      </c>
      <c r="B4926" s="6">
        <v>8996</v>
      </c>
      <c r="C4926" s="19">
        <v>40696</v>
      </c>
      <c r="D4926" s="6" t="s">
        <v>25</v>
      </c>
      <c r="E4926" s="6">
        <f>IF((ISBLANK($B$1)),"",Sheet1!Q4937)</f>
        <v>4050</v>
      </c>
      <c r="F4926" s="20" t="s">
        <v>27</v>
      </c>
      <c r="G4926" s="53">
        <f t="shared" si="77"/>
        <v>-0.86830935413290289</v>
      </c>
      <c r="H4926" s="35"/>
      <c r="P4926" s="6"/>
    </row>
    <row r="4927" spans="1:16" ht="14.4" x14ac:dyDescent="0.25">
      <c r="A4927" s="6">
        <v>1234</v>
      </c>
      <c r="B4927" s="6">
        <v>8998</v>
      </c>
      <c r="C4927" s="19">
        <v>40181</v>
      </c>
      <c r="D4927" s="6" t="s">
        <v>25</v>
      </c>
      <c r="E4927" s="6">
        <f>IF((ISBLANK($B$1)),"",Sheet1!Q4938)</f>
        <v>5250</v>
      </c>
      <c r="F4927" s="20" t="s">
        <v>26</v>
      </c>
      <c r="G4927" s="53">
        <f t="shared" si="77"/>
        <v>0.78883577311854924</v>
      </c>
      <c r="H4927" s="35"/>
      <c r="P4927" s="6"/>
    </row>
    <row r="4928" spans="1:16" ht="14.4" x14ac:dyDescent="0.25">
      <c r="A4928" s="6">
        <v>1235</v>
      </c>
      <c r="B4928" s="6">
        <v>8998</v>
      </c>
      <c r="C4928" s="19">
        <v>40181</v>
      </c>
      <c r="D4928" s="6" t="s">
        <v>25</v>
      </c>
      <c r="E4928" s="6">
        <f>IF((ISBLANK($B$1)),"",Sheet1!Q4939)</f>
        <v>4000</v>
      </c>
      <c r="F4928" s="20" t="s">
        <v>27</v>
      </c>
      <c r="G4928" s="53">
        <f t="shared" si="77"/>
        <v>-0.93735706776838001</v>
      </c>
      <c r="H4928" s="35"/>
      <c r="P4928" s="6"/>
    </row>
    <row r="4929" spans="1:16" ht="14.4" x14ac:dyDescent="0.25">
      <c r="A4929" s="6">
        <v>1236</v>
      </c>
      <c r="B4929" s="6">
        <v>8998</v>
      </c>
      <c r="C4929" s="19">
        <v>40181</v>
      </c>
      <c r="D4929" s="6" t="s">
        <v>25</v>
      </c>
      <c r="E4929" s="6">
        <f>IF((ISBLANK($B$1)),"",Sheet1!Q4940)</f>
        <v>4050</v>
      </c>
      <c r="F4929" s="20" t="s">
        <v>26</v>
      </c>
      <c r="G4929" s="53">
        <f t="shared" si="77"/>
        <v>-0.86830935413290289</v>
      </c>
      <c r="H4929" s="35"/>
      <c r="P4929" s="6"/>
    </row>
    <row r="4930" spans="1:16" ht="14.4" x14ac:dyDescent="0.25">
      <c r="A4930" s="6">
        <v>1256</v>
      </c>
      <c r="B4930" s="6">
        <v>9124</v>
      </c>
      <c r="C4930" s="19">
        <v>40832</v>
      </c>
      <c r="D4930" s="6" t="s">
        <v>25</v>
      </c>
      <c r="E4930" s="6">
        <f>IF((ISBLANK($B$1)),"",Sheet1!Q4941)</f>
        <v>4250</v>
      </c>
      <c r="F4930" s="20" t="s">
        <v>27</v>
      </c>
      <c r="G4930" s="53">
        <f t="shared" si="77"/>
        <v>-0.59211849959099416</v>
      </c>
      <c r="H4930" s="35"/>
      <c r="P4930" s="6"/>
    </row>
    <row r="4931" spans="1:16" ht="14.4" x14ac:dyDescent="0.25">
      <c r="A4931" s="6">
        <v>1257</v>
      </c>
      <c r="B4931" s="6">
        <v>9124</v>
      </c>
      <c r="C4931" s="19">
        <v>40832</v>
      </c>
      <c r="D4931" s="6" t="s">
        <v>25</v>
      </c>
      <c r="E4931" s="6">
        <f>IF((ISBLANK($B$1)),"",Sheet1!Q4942)</f>
        <v>4850</v>
      </c>
      <c r="F4931" s="20" t="s">
        <v>26</v>
      </c>
      <c r="G4931" s="53">
        <f t="shared" si="77"/>
        <v>0.23645406403473185</v>
      </c>
      <c r="H4931" s="35"/>
      <c r="P4931" s="6"/>
    </row>
    <row r="4932" spans="1:16" ht="14.4" x14ac:dyDescent="0.25">
      <c r="A4932" s="6">
        <v>1260</v>
      </c>
      <c r="B4932" s="6">
        <v>9152</v>
      </c>
      <c r="C4932" s="19">
        <v>40410</v>
      </c>
      <c r="D4932" s="6" t="s">
        <v>28</v>
      </c>
      <c r="E4932" s="6">
        <f>IF((ISBLANK($B$1)),"",Sheet1!Q4943)</f>
        <v>5550</v>
      </c>
      <c r="F4932" s="20" t="s">
        <v>27</v>
      </c>
      <c r="G4932" s="53">
        <f t="shared" si="77"/>
        <v>1.2031220549314123</v>
      </c>
      <c r="H4932" s="35"/>
      <c r="P4932" s="6"/>
    </row>
    <row r="4933" spans="1:16" ht="14.4" x14ac:dyDescent="0.25">
      <c r="A4933" s="6">
        <v>1281</v>
      </c>
      <c r="B4933" s="6">
        <v>9312</v>
      </c>
      <c r="C4933" s="19">
        <v>41047</v>
      </c>
      <c r="D4933" s="6" t="s">
        <v>28</v>
      </c>
      <c r="E4933" s="6">
        <f>IF((ISBLANK($B$1)),"",Sheet1!Q4944)</f>
        <v>5550</v>
      </c>
      <c r="F4933" s="20" t="s">
        <v>29</v>
      </c>
      <c r="G4933" s="53">
        <f t="shared" si="77"/>
        <v>1.2031220549314123</v>
      </c>
      <c r="H4933" s="35"/>
      <c r="P4933" s="6"/>
    </row>
    <row r="4934" spans="1:16" ht="14.4" x14ac:dyDescent="0.25">
      <c r="A4934" s="6">
        <v>1330</v>
      </c>
      <c r="B4934" s="6">
        <v>9700</v>
      </c>
      <c r="C4934" s="19">
        <v>40763</v>
      </c>
      <c r="D4934" s="6" t="s">
        <v>30</v>
      </c>
      <c r="E4934" s="6">
        <f>IF((ISBLANK($B$1)),"",Sheet1!Q4945)</f>
        <v>5150</v>
      </c>
      <c r="F4934" s="20" t="s">
        <v>26</v>
      </c>
      <c r="G4934" s="53">
        <f t="shared" si="77"/>
        <v>0.65074034584759488</v>
      </c>
      <c r="H4934" s="35"/>
      <c r="P4934" s="6"/>
    </row>
    <row r="4935" spans="1:16" ht="14.4" x14ac:dyDescent="0.25">
      <c r="A4935" s="6">
        <v>1345</v>
      </c>
      <c r="B4935" s="6">
        <v>9826</v>
      </c>
      <c r="C4935" s="19">
        <v>40990</v>
      </c>
      <c r="D4935" s="6" t="s">
        <v>16</v>
      </c>
      <c r="E4935" s="6">
        <f>IF((ISBLANK($B$1)),"",Sheet1!Q4946)</f>
        <v>3750</v>
      </c>
      <c r="F4935" s="20" t="s">
        <v>27</v>
      </c>
      <c r="G4935" s="53">
        <f t="shared" si="77"/>
        <v>-1.282595635945766</v>
      </c>
      <c r="H4935" s="35"/>
      <c r="P4935" s="6"/>
    </row>
    <row r="4936" spans="1:16" ht="14.4" x14ac:dyDescent="0.25">
      <c r="A4936" s="6">
        <v>1374</v>
      </c>
      <c r="B4936" s="6">
        <v>9954</v>
      </c>
      <c r="C4936" s="19">
        <v>39983</v>
      </c>
      <c r="D4936" s="6" t="s">
        <v>28</v>
      </c>
      <c r="E4936" s="6">
        <f>IF((ISBLANK($B$1)),"",Sheet1!Q4947)</f>
        <v>5200</v>
      </c>
      <c r="F4936" s="20" t="s">
        <v>29</v>
      </c>
      <c r="G4936" s="53">
        <f t="shared" ref="G4936:G4999" si="78">STANDARDIZE(E4936,$L$26,$L$35)</f>
        <v>0.71978805948307201</v>
      </c>
      <c r="H4936" s="35"/>
      <c r="P4936" s="6"/>
    </row>
    <row r="4937" spans="1:16" ht="14.4" x14ac:dyDescent="0.25">
      <c r="A4937" s="6">
        <v>1375</v>
      </c>
      <c r="B4937" s="6">
        <v>9954</v>
      </c>
      <c r="C4937" s="19">
        <v>39983</v>
      </c>
      <c r="D4937" s="6" t="s">
        <v>28</v>
      </c>
      <c r="E4937" s="6">
        <f>IF((ISBLANK($B$1)),"",Sheet1!Q4948)</f>
        <v>5350</v>
      </c>
      <c r="F4937" s="20" t="s">
        <v>26</v>
      </c>
      <c r="G4937" s="53">
        <f t="shared" si="78"/>
        <v>0.92693120038950361</v>
      </c>
      <c r="H4937" s="35"/>
      <c r="P4937" s="6"/>
    </row>
    <row r="4938" spans="1:16" ht="14.4" x14ac:dyDescent="0.25">
      <c r="A4938" s="6">
        <v>1376</v>
      </c>
      <c r="B4938" s="6">
        <v>9954</v>
      </c>
      <c r="C4938" s="19">
        <v>39983</v>
      </c>
      <c r="D4938" s="6" t="s">
        <v>28</v>
      </c>
      <c r="E4938" s="6">
        <f>IF((ISBLANK($B$1)),"",Sheet1!Q4949)</f>
        <v>4900</v>
      </c>
      <c r="F4938" s="20" t="s">
        <v>26</v>
      </c>
      <c r="G4938" s="53">
        <f t="shared" si="78"/>
        <v>0.30550177767020903</v>
      </c>
      <c r="H4938" s="35"/>
      <c r="P4938" s="6"/>
    </row>
    <row r="4939" spans="1:16" ht="14.4" x14ac:dyDescent="0.25">
      <c r="A4939" s="6">
        <v>1391</v>
      </c>
      <c r="B4939" s="6">
        <v>10081</v>
      </c>
      <c r="C4939" s="19">
        <v>40397</v>
      </c>
      <c r="D4939" s="6" t="s">
        <v>28</v>
      </c>
      <c r="E4939" s="6">
        <f>IF((ISBLANK($B$1)),"",Sheet1!Q4950)</f>
        <v>5850</v>
      </c>
      <c r="F4939" s="20" t="s">
        <v>29</v>
      </c>
      <c r="G4939" s="53">
        <f t="shared" si="78"/>
        <v>1.6174083367442753</v>
      </c>
      <c r="H4939" s="35"/>
      <c r="P4939" s="6"/>
    </row>
    <row r="4940" spans="1:16" ht="14.4" x14ac:dyDescent="0.25">
      <c r="A4940" s="6">
        <v>1415</v>
      </c>
      <c r="B4940" s="6">
        <v>10272</v>
      </c>
      <c r="C4940" s="19">
        <v>39830</v>
      </c>
      <c r="D4940" s="6" t="s">
        <v>16</v>
      </c>
      <c r="E4940" s="6">
        <f>IF((ISBLANK($B$1)),"",Sheet1!Q4951)</f>
        <v>3550</v>
      </c>
      <c r="F4940" s="20" t="s">
        <v>26</v>
      </c>
      <c r="G4940" s="53">
        <f t="shared" si="78"/>
        <v>-1.5587864904876745</v>
      </c>
      <c r="H4940" s="35"/>
      <c r="P4940" s="6"/>
    </row>
    <row r="4941" spans="1:16" ht="14.4" x14ac:dyDescent="0.25">
      <c r="A4941" s="6">
        <v>1416</v>
      </c>
      <c r="B4941" s="6">
        <v>10272</v>
      </c>
      <c r="C4941" s="19">
        <v>39830</v>
      </c>
      <c r="D4941" s="6" t="s">
        <v>16</v>
      </c>
      <c r="E4941" s="6">
        <f>IF((ISBLANK($B$1)),"",Sheet1!Q4952)</f>
        <v>4700</v>
      </c>
      <c r="F4941" s="20" t="s">
        <v>26</v>
      </c>
      <c r="G4941" s="53">
        <f t="shared" si="78"/>
        <v>2.9310923128300338E-2</v>
      </c>
      <c r="H4941" s="35"/>
      <c r="P4941" s="6"/>
    </row>
    <row r="4942" spans="1:16" ht="14.4" x14ac:dyDescent="0.25">
      <c r="A4942" s="6">
        <v>1461</v>
      </c>
      <c r="B4942" s="6">
        <v>10530</v>
      </c>
      <c r="C4942" s="19">
        <v>39840</v>
      </c>
      <c r="D4942" s="6" t="s">
        <v>16</v>
      </c>
      <c r="E4942" s="6">
        <f>IF((ISBLANK($B$1)),"",Sheet1!Q4953)</f>
        <v>3600</v>
      </c>
      <c r="F4942" s="20" t="s">
        <v>27</v>
      </c>
      <c r="G4942" s="53">
        <f t="shared" si="78"/>
        <v>-1.4897387768521975</v>
      </c>
      <c r="H4942" s="35"/>
      <c r="P4942" s="6"/>
    </row>
    <row r="4943" spans="1:16" ht="14.4" x14ac:dyDescent="0.25">
      <c r="A4943" s="6">
        <v>1563</v>
      </c>
      <c r="B4943" s="6">
        <v>11270</v>
      </c>
      <c r="C4943" s="19">
        <v>40724</v>
      </c>
      <c r="D4943" s="6" t="s">
        <v>17</v>
      </c>
      <c r="E4943" s="6">
        <f>IF((ISBLANK($B$1)),"",Sheet1!Q4954)</f>
        <v>4150</v>
      </c>
      <c r="F4943" s="20" t="s">
        <v>26</v>
      </c>
      <c r="G4943" s="53">
        <f t="shared" si="78"/>
        <v>-0.73021392686194853</v>
      </c>
      <c r="H4943" s="35"/>
      <c r="P4943" s="6"/>
    </row>
    <row r="4944" spans="1:16" ht="14.4" x14ac:dyDescent="0.25">
      <c r="A4944" s="6">
        <v>1587</v>
      </c>
      <c r="B4944" s="6">
        <v>11431</v>
      </c>
      <c r="C4944" s="19">
        <v>41122</v>
      </c>
      <c r="D4944" s="6" t="s">
        <v>17</v>
      </c>
      <c r="E4944" s="6">
        <f>IF((ISBLANK($B$1)),"",Sheet1!Q4955)</f>
        <v>3650</v>
      </c>
      <c r="F4944" s="20" t="s">
        <v>26</v>
      </c>
      <c r="G4944" s="53">
        <f t="shared" si="78"/>
        <v>-1.4206910632167202</v>
      </c>
      <c r="H4944" s="35"/>
      <c r="P4944" s="6"/>
    </row>
    <row r="4945" spans="1:16" ht="14.4" x14ac:dyDescent="0.25">
      <c r="A4945" s="6">
        <v>1588</v>
      </c>
      <c r="B4945" s="6">
        <v>11431</v>
      </c>
      <c r="C4945" s="19">
        <v>41122</v>
      </c>
      <c r="D4945" s="6" t="s">
        <v>17</v>
      </c>
      <c r="E4945" s="6">
        <f>IF((ISBLANK($B$1)),"",Sheet1!Q4956)</f>
        <v>3800</v>
      </c>
      <c r="F4945" s="20" t="s">
        <v>27</v>
      </c>
      <c r="G4945" s="53">
        <f t="shared" si="78"/>
        <v>-1.2135479223102887</v>
      </c>
      <c r="H4945" s="35"/>
      <c r="P4945" s="6"/>
    </row>
    <row r="4946" spans="1:16" ht="14.4" x14ac:dyDescent="0.25">
      <c r="A4946" s="6">
        <v>1634</v>
      </c>
      <c r="B4946" s="6">
        <v>11815</v>
      </c>
      <c r="C4946" s="19">
        <v>40798</v>
      </c>
      <c r="D4946" s="6" t="s">
        <v>25</v>
      </c>
      <c r="E4946" s="6">
        <f>IF((ISBLANK($B$1)),"",Sheet1!Q4957)</f>
        <v>4500</v>
      </c>
      <c r="F4946" s="20" t="s">
        <v>26</v>
      </c>
      <c r="G4946" s="53">
        <f t="shared" si="78"/>
        <v>-0.24687993141360834</v>
      </c>
      <c r="H4946" s="35"/>
      <c r="P4946" s="6"/>
    </row>
    <row r="4947" spans="1:16" ht="14.4" x14ac:dyDescent="0.25">
      <c r="A4947" s="6">
        <v>1677</v>
      </c>
      <c r="B4947" s="6">
        <v>12097</v>
      </c>
      <c r="C4947" s="19">
        <v>40491</v>
      </c>
      <c r="D4947" s="6" t="s">
        <v>30</v>
      </c>
      <c r="E4947" s="6">
        <f>IF((ISBLANK($B$1)),"",Sheet1!Q4958)</f>
        <v>3850</v>
      </c>
      <c r="F4947" s="20" t="s">
        <v>26</v>
      </c>
      <c r="G4947" s="53">
        <f t="shared" si="78"/>
        <v>-1.1445002086748115</v>
      </c>
      <c r="H4947" s="35"/>
      <c r="P4947" s="6"/>
    </row>
    <row r="4948" spans="1:16" ht="14.4" x14ac:dyDescent="0.25">
      <c r="A4948" s="6">
        <v>1678</v>
      </c>
      <c r="B4948" s="6">
        <v>12097</v>
      </c>
      <c r="C4948" s="19">
        <v>40491</v>
      </c>
      <c r="D4948" s="6" t="s">
        <v>30</v>
      </c>
      <c r="E4948" s="6">
        <f>IF((ISBLANK($B$1)),"",Sheet1!Q4959)</f>
        <v>4650</v>
      </c>
      <c r="F4948" s="20" t="s">
        <v>27</v>
      </c>
      <c r="G4948" s="53">
        <f t="shared" si="78"/>
        <v>-3.9736790507176829E-2</v>
      </c>
      <c r="H4948" s="35"/>
      <c r="P4948" s="6"/>
    </row>
    <row r="4949" spans="1:16" ht="14.4" x14ac:dyDescent="0.25">
      <c r="A4949" s="6">
        <v>1688</v>
      </c>
      <c r="B4949" s="6">
        <v>12196</v>
      </c>
      <c r="C4949" s="19">
        <v>40331</v>
      </c>
      <c r="D4949" s="6" t="s">
        <v>28</v>
      </c>
      <c r="E4949" s="6">
        <f>IF((ISBLANK($B$1)),"",Sheet1!Q4960)</f>
        <v>5000</v>
      </c>
      <c r="F4949" s="20" t="s">
        <v>27</v>
      </c>
      <c r="G4949" s="53">
        <f t="shared" si="78"/>
        <v>0.44359720494116334</v>
      </c>
      <c r="H4949" s="35"/>
      <c r="P4949" s="6"/>
    </row>
    <row r="4950" spans="1:16" ht="14.4" x14ac:dyDescent="0.25">
      <c r="A4950" s="6">
        <v>1689</v>
      </c>
      <c r="B4950" s="6">
        <v>12196</v>
      </c>
      <c r="C4950" s="19">
        <v>40331</v>
      </c>
      <c r="D4950" s="6" t="s">
        <v>28</v>
      </c>
      <c r="E4950" s="6">
        <f>IF((ISBLANK($B$1)),"",Sheet1!Q4961)</f>
        <v>4650</v>
      </c>
      <c r="F4950" s="20" t="s">
        <v>26</v>
      </c>
      <c r="G4950" s="53">
        <f t="shared" si="78"/>
        <v>-3.9736790507176829E-2</v>
      </c>
      <c r="H4950" s="35"/>
      <c r="P4950" s="6"/>
    </row>
    <row r="4951" spans="1:16" ht="14.4" x14ac:dyDescent="0.25">
      <c r="A4951" s="6">
        <v>1734</v>
      </c>
      <c r="B4951" s="6">
        <v>12451</v>
      </c>
      <c r="C4951" s="19">
        <v>40287</v>
      </c>
      <c r="D4951" s="6" t="s">
        <v>25</v>
      </c>
      <c r="E4951" s="6">
        <f>IF((ISBLANK($B$1)),"",Sheet1!Q4962)</f>
        <v>4700</v>
      </c>
      <c r="F4951" s="20" t="s">
        <v>29</v>
      </c>
      <c r="G4951" s="53">
        <f t="shared" si="78"/>
        <v>2.9310923128300338E-2</v>
      </c>
      <c r="H4951" s="35"/>
      <c r="P4951" s="6"/>
    </row>
    <row r="4952" spans="1:16" ht="14.4" x14ac:dyDescent="0.25">
      <c r="A4952" s="6">
        <v>1735</v>
      </c>
      <c r="B4952" s="6">
        <v>12451</v>
      </c>
      <c r="C4952" s="19">
        <v>40287</v>
      </c>
      <c r="D4952" s="6" t="s">
        <v>25</v>
      </c>
      <c r="E4952" s="6">
        <f>IF((ISBLANK($B$1)),"",Sheet1!Q4963)</f>
        <v>4450</v>
      </c>
      <c r="F4952" s="20" t="s">
        <v>26</v>
      </c>
      <c r="G4952" s="53">
        <f t="shared" si="78"/>
        <v>-0.31592764504908549</v>
      </c>
      <c r="H4952" s="35"/>
      <c r="P4952" s="6"/>
    </row>
    <row r="4953" spans="1:16" ht="14.4" x14ac:dyDescent="0.25">
      <c r="A4953" s="6">
        <v>1742</v>
      </c>
      <c r="B4953" s="6">
        <v>12483</v>
      </c>
      <c r="C4953" s="19">
        <v>40394</v>
      </c>
      <c r="D4953" s="6" t="s">
        <v>30</v>
      </c>
      <c r="E4953" s="6">
        <f>IF((ISBLANK($B$1)),"",Sheet1!Q4964)</f>
        <v>4100</v>
      </c>
      <c r="F4953" s="20" t="s">
        <v>26</v>
      </c>
      <c r="G4953" s="53">
        <f t="shared" si="78"/>
        <v>-0.79926164049742576</v>
      </c>
      <c r="H4953" s="35"/>
      <c r="P4953" s="6"/>
    </row>
    <row r="4954" spans="1:16" ht="14.4" x14ac:dyDescent="0.25">
      <c r="A4954" s="6">
        <v>1743</v>
      </c>
      <c r="B4954" s="6">
        <v>12483</v>
      </c>
      <c r="C4954" s="19">
        <v>40394</v>
      </c>
      <c r="D4954" s="6" t="s">
        <v>30</v>
      </c>
      <c r="E4954" s="6">
        <f>IF((ISBLANK($B$1)),"",Sheet1!Q4965)</f>
        <v>4100</v>
      </c>
      <c r="F4954" s="20" t="s">
        <v>29</v>
      </c>
      <c r="G4954" s="53">
        <f t="shared" si="78"/>
        <v>-0.79926164049742576</v>
      </c>
      <c r="H4954" s="35"/>
      <c r="P4954" s="6"/>
    </row>
    <row r="4955" spans="1:16" ht="14.4" x14ac:dyDescent="0.25">
      <c r="A4955" s="6">
        <v>1744</v>
      </c>
      <c r="B4955" s="6">
        <v>12483</v>
      </c>
      <c r="C4955" s="19">
        <v>40394</v>
      </c>
      <c r="D4955" s="6" t="s">
        <v>30</v>
      </c>
      <c r="E4955" s="6">
        <f>IF((ISBLANK($B$1)),"",Sheet1!Q4966)</f>
        <v>4900</v>
      </c>
      <c r="F4955" s="20" t="s">
        <v>26</v>
      </c>
      <c r="G4955" s="53">
        <f t="shared" si="78"/>
        <v>0.30550177767020903</v>
      </c>
      <c r="H4955" s="35"/>
      <c r="P4955" s="6"/>
    </row>
    <row r="4956" spans="1:16" ht="14.4" x14ac:dyDescent="0.25">
      <c r="A4956" s="6">
        <v>1794</v>
      </c>
      <c r="B4956" s="6">
        <v>12867</v>
      </c>
      <c r="C4956" s="19">
        <v>40613</v>
      </c>
      <c r="D4956" s="6" t="s">
        <v>28</v>
      </c>
      <c r="E4956" s="6">
        <f>IF((ISBLANK($B$1)),"",Sheet1!Q4967)</f>
        <v>3700</v>
      </c>
      <c r="F4956" s="20" t="s">
        <v>27</v>
      </c>
      <c r="G4956" s="53">
        <f t="shared" si="78"/>
        <v>-1.351643349581243</v>
      </c>
      <c r="H4956" s="35"/>
      <c r="P4956" s="6"/>
    </row>
    <row r="4957" spans="1:16" ht="14.4" x14ac:dyDescent="0.25">
      <c r="A4957" s="6">
        <v>1805</v>
      </c>
      <c r="B4957" s="6">
        <v>12903</v>
      </c>
      <c r="C4957" s="19">
        <v>40081</v>
      </c>
      <c r="D4957" s="6" t="s">
        <v>30</v>
      </c>
      <c r="E4957" s="6">
        <f>IF((ISBLANK($B$1)),"",Sheet1!Q4968)</f>
        <v>3500</v>
      </c>
      <c r="F4957" s="20" t="s">
        <v>27</v>
      </c>
      <c r="G4957" s="53">
        <f t="shared" si="78"/>
        <v>-1.6278342041231517</v>
      </c>
      <c r="H4957" s="35"/>
      <c r="P4957" s="6"/>
    </row>
    <row r="4958" spans="1:16" ht="14.4" x14ac:dyDescent="0.25">
      <c r="A4958" s="6">
        <v>1881</v>
      </c>
      <c r="B4958" s="6">
        <v>13540</v>
      </c>
      <c r="C4958" s="19">
        <v>40321</v>
      </c>
      <c r="D4958" s="6" t="s">
        <v>17</v>
      </c>
      <c r="E4958" s="6">
        <f>IF((ISBLANK($B$1)),"",Sheet1!Q4969)</f>
        <v>4950</v>
      </c>
      <c r="F4958" s="20" t="s">
        <v>27</v>
      </c>
      <c r="G4958" s="53">
        <f t="shared" si="78"/>
        <v>0.37454949130568621</v>
      </c>
      <c r="H4958" s="35"/>
      <c r="P4958" s="6"/>
    </row>
    <row r="4959" spans="1:16" ht="14.4" x14ac:dyDescent="0.25">
      <c r="A4959" s="6">
        <v>1882</v>
      </c>
      <c r="B4959" s="6">
        <v>13540</v>
      </c>
      <c r="C4959" s="19">
        <v>40321</v>
      </c>
      <c r="D4959" s="6" t="s">
        <v>17</v>
      </c>
      <c r="E4959" s="6">
        <f>IF((ISBLANK($B$1)),"",Sheet1!Q4970)</f>
        <v>4200</v>
      </c>
      <c r="F4959" s="20" t="s">
        <v>26</v>
      </c>
      <c r="G4959" s="53">
        <f t="shared" si="78"/>
        <v>-0.6611662132264714</v>
      </c>
      <c r="H4959" s="35"/>
      <c r="P4959" s="6"/>
    </row>
    <row r="4960" spans="1:16" ht="14.4" x14ac:dyDescent="0.25">
      <c r="A4960" s="6">
        <v>1883</v>
      </c>
      <c r="B4960" s="6">
        <v>13540</v>
      </c>
      <c r="C4960" s="19">
        <v>40321</v>
      </c>
      <c r="D4960" s="6" t="s">
        <v>17</v>
      </c>
      <c r="E4960" s="6">
        <f>IF((ISBLANK($B$1)),"",Sheet1!Q4971)</f>
        <v>5050</v>
      </c>
      <c r="F4960" s="20" t="s">
        <v>26</v>
      </c>
      <c r="G4960" s="53">
        <f t="shared" si="78"/>
        <v>0.51264491857664052</v>
      </c>
      <c r="H4960" s="35"/>
      <c r="P4960" s="6"/>
    </row>
    <row r="4961" spans="1:16" ht="14.4" x14ac:dyDescent="0.25">
      <c r="A4961" s="6">
        <v>1919</v>
      </c>
      <c r="B4961" s="6">
        <v>13762</v>
      </c>
      <c r="C4961" s="19">
        <v>40350</v>
      </c>
      <c r="D4961" s="6" t="s">
        <v>16</v>
      </c>
      <c r="E4961" s="6">
        <f>IF((ISBLANK($B$1)),"",Sheet1!Q4972)</f>
        <v>3800</v>
      </c>
      <c r="F4961" s="20" t="s">
        <v>26</v>
      </c>
      <c r="G4961" s="53">
        <f t="shared" si="78"/>
        <v>-1.2135479223102887</v>
      </c>
      <c r="H4961" s="35"/>
      <c r="P4961" s="6"/>
    </row>
    <row r="4962" spans="1:16" ht="14.4" x14ac:dyDescent="0.25">
      <c r="A4962" s="6">
        <v>1920</v>
      </c>
      <c r="B4962" s="6">
        <v>13762</v>
      </c>
      <c r="C4962" s="19">
        <v>40350</v>
      </c>
      <c r="D4962" s="6" t="s">
        <v>16</v>
      </c>
      <c r="E4962" s="6">
        <f>IF((ISBLANK($B$1)),"",Sheet1!Q4973)</f>
        <v>3750</v>
      </c>
      <c r="F4962" s="20" t="s">
        <v>26</v>
      </c>
      <c r="G4962" s="53">
        <f t="shared" si="78"/>
        <v>-1.282595635945766</v>
      </c>
      <c r="H4962" s="35"/>
      <c r="P4962" s="6"/>
    </row>
    <row r="4963" spans="1:16" ht="14.4" x14ac:dyDescent="0.25">
      <c r="A4963" s="6">
        <v>1921</v>
      </c>
      <c r="B4963" s="6">
        <v>13762</v>
      </c>
      <c r="C4963" s="19">
        <v>40350</v>
      </c>
      <c r="D4963" s="6" t="s">
        <v>16</v>
      </c>
      <c r="E4963" s="6">
        <f>IF((ISBLANK($B$1)),"",Sheet1!Q4974)</f>
        <v>5250</v>
      </c>
      <c r="F4963" s="20" t="s">
        <v>26</v>
      </c>
      <c r="G4963" s="53">
        <f t="shared" si="78"/>
        <v>0.78883577311854924</v>
      </c>
      <c r="H4963" s="35"/>
      <c r="P4963" s="6"/>
    </row>
    <row r="4964" spans="1:16" ht="14.4" x14ac:dyDescent="0.25">
      <c r="A4964" s="6">
        <v>2008</v>
      </c>
      <c r="B4964" s="6">
        <v>14336</v>
      </c>
      <c r="C4964" s="19">
        <v>40135</v>
      </c>
      <c r="D4964" s="6" t="s">
        <v>17</v>
      </c>
      <c r="E4964" s="6">
        <f>IF((ISBLANK($B$1)),"",Sheet1!Q4975)</f>
        <v>3600</v>
      </c>
      <c r="F4964" s="20" t="s">
        <v>27</v>
      </c>
      <c r="G4964" s="53">
        <f t="shared" si="78"/>
        <v>-1.4897387768521975</v>
      </c>
      <c r="H4964" s="35"/>
      <c r="P4964" s="6"/>
    </row>
    <row r="4965" spans="1:16" ht="14.4" x14ac:dyDescent="0.25">
      <c r="A4965" s="6">
        <v>2016</v>
      </c>
      <c r="B4965" s="6">
        <v>14400</v>
      </c>
      <c r="C4965" s="19">
        <v>39848</v>
      </c>
      <c r="D4965" s="6" t="s">
        <v>16</v>
      </c>
      <c r="E4965" s="6">
        <f>IF((ISBLANK($B$1)),"",Sheet1!Q4976)</f>
        <v>5000</v>
      </c>
      <c r="F4965" s="20" t="s">
        <v>26</v>
      </c>
      <c r="G4965" s="53">
        <f t="shared" si="78"/>
        <v>0.44359720494116334</v>
      </c>
      <c r="H4965" s="35"/>
      <c r="P4965" s="6"/>
    </row>
    <row r="4966" spans="1:16" ht="14.4" x14ac:dyDescent="0.25">
      <c r="A4966" s="6">
        <v>2017</v>
      </c>
      <c r="B4966" s="6">
        <v>14400</v>
      </c>
      <c r="C4966" s="19">
        <v>39848</v>
      </c>
      <c r="D4966" s="6" t="s">
        <v>16</v>
      </c>
      <c r="E4966" s="6">
        <f>IF((ISBLANK($B$1)),"",Sheet1!Q4977)</f>
        <v>5150</v>
      </c>
      <c r="F4966" s="20" t="s">
        <v>26</v>
      </c>
      <c r="G4966" s="53">
        <f t="shared" si="78"/>
        <v>0.65074034584759488</v>
      </c>
      <c r="H4966" s="35"/>
      <c r="P4966" s="6"/>
    </row>
    <row r="4967" spans="1:16" ht="14.4" x14ac:dyDescent="0.25">
      <c r="A4967" s="6">
        <v>2018</v>
      </c>
      <c r="B4967" s="6">
        <v>14400</v>
      </c>
      <c r="C4967" s="19">
        <v>39848</v>
      </c>
      <c r="D4967" s="6" t="s">
        <v>16</v>
      </c>
      <c r="E4967" s="6">
        <f>IF((ISBLANK($B$1)),"",Sheet1!Q4978)</f>
        <v>5550</v>
      </c>
      <c r="F4967" s="20" t="s">
        <v>29</v>
      </c>
      <c r="G4967" s="53">
        <f t="shared" si="78"/>
        <v>1.2031220549314123</v>
      </c>
      <c r="H4967" s="35"/>
      <c r="P4967" s="6"/>
    </row>
    <row r="4968" spans="1:16" ht="14.4" x14ac:dyDescent="0.25">
      <c r="A4968" s="6">
        <v>2033</v>
      </c>
      <c r="B4968" s="6">
        <v>14500</v>
      </c>
      <c r="C4968" s="19">
        <v>40718</v>
      </c>
      <c r="D4968" s="6" t="s">
        <v>28</v>
      </c>
      <c r="E4968" s="6">
        <f>IF((ISBLANK($B$1)),"",Sheet1!Q4979)</f>
        <v>5600</v>
      </c>
      <c r="F4968" s="20" t="s">
        <v>26</v>
      </c>
      <c r="G4968" s="53">
        <f t="shared" si="78"/>
        <v>1.2721697685668893</v>
      </c>
      <c r="H4968" s="35"/>
      <c r="P4968" s="6"/>
    </row>
    <row r="4969" spans="1:16" ht="14.4" x14ac:dyDescent="0.25">
      <c r="A4969" s="6">
        <v>2034</v>
      </c>
      <c r="B4969" s="6">
        <v>14500</v>
      </c>
      <c r="C4969" s="19">
        <v>40718</v>
      </c>
      <c r="D4969" s="6" t="s">
        <v>28</v>
      </c>
      <c r="E4969" s="6">
        <f>IF((ISBLANK($B$1)),"",Sheet1!Q4980)</f>
        <v>5700</v>
      </c>
      <c r="F4969" s="20" t="s">
        <v>26</v>
      </c>
      <c r="G4969" s="53">
        <f t="shared" si="78"/>
        <v>1.4102651958378438</v>
      </c>
      <c r="H4969" s="35"/>
      <c r="P4969" s="6"/>
    </row>
    <row r="4970" spans="1:16" ht="14.4" x14ac:dyDescent="0.25">
      <c r="A4970" s="6">
        <v>2042</v>
      </c>
      <c r="B4970" s="6">
        <v>14534</v>
      </c>
      <c r="C4970" s="19">
        <v>40377</v>
      </c>
      <c r="D4970" s="6" t="s">
        <v>16</v>
      </c>
      <c r="E4970" s="6">
        <f>IF((ISBLANK($B$1)),"",Sheet1!Q4981)</f>
        <v>5700</v>
      </c>
      <c r="F4970" s="20" t="s">
        <v>27</v>
      </c>
      <c r="G4970" s="53">
        <f t="shared" si="78"/>
        <v>1.4102651958378438</v>
      </c>
      <c r="H4970" s="35"/>
      <c r="P4970" s="6"/>
    </row>
    <row r="4971" spans="1:16" ht="14.4" x14ac:dyDescent="0.25">
      <c r="A4971" s="6">
        <v>2084</v>
      </c>
      <c r="B4971" s="6">
        <v>14884</v>
      </c>
      <c r="C4971" s="19">
        <v>40813</v>
      </c>
      <c r="D4971" s="6" t="s">
        <v>17</v>
      </c>
      <c r="E4971" s="6">
        <f>IF((ISBLANK($B$1)),"",Sheet1!Q4982)</f>
        <v>3700</v>
      </c>
      <c r="F4971" s="20" t="s">
        <v>27</v>
      </c>
      <c r="G4971" s="53">
        <f t="shared" si="78"/>
        <v>-1.351643349581243</v>
      </c>
      <c r="H4971" s="35"/>
      <c r="P4971" s="6"/>
    </row>
    <row r="4972" spans="1:16" ht="14.4" x14ac:dyDescent="0.25">
      <c r="A4972" s="6">
        <v>2107</v>
      </c>
      <c r="B4972" s="6">
        <v>15075</v>
      </c>
      <c r="C4972" s="19">
        <v>40090</v>
      </c>
      <c r="D4972" s="6" t="s">
        <v>16</v>
      </c>
      <c r="E4972" s="6">
        <f>IF((ISBLANK($B$1)),"",Sheet1!Q4983)</f>
        <v>4600</v>
      </c>
      <c r="F4972" s="20" t="s">
        <v>29</v>
      </c>
      <c r="G4972" s="53">
        <f t="shared" si="78"/>
        <v>-0.108784504142654</v>
      </c>
      <c r="H4972" s="35"/>
      <c r="P4972" s="6"/>
    </row>
    <row r="4973" spans="1:16" ht="14.4" x14ac:dyDescent="0.25">
      <c r="A4973" s="6">
        <v>2108</v>
      </c>
      <c r="B4973" s="6">
        <v>15075</v>
      </c>
      <c r="C4973" s="19">
        <v>40090</v>
      </c>
      <c r="D4973" s="6" t="s">
        <v>16</v>
      </c>
      <c r="E4973" s="6">
        <f>IF((ISBLANK($B$1)),"",Sheet1!Q4984)</f>
        <v>3900</v>
      </c>
      <c r="F4973" s="20" t="s">
        <v>27</v>
      </c>
      <c r="G4973" s="53">
        <f t="shared" si="78"/>
        <v>-1.0754524950393345</v>
      </c>
      <c r="H4973" s="35"/>
      <c r="P4973" s="6"/>
    </row>
    <row r="4974" spans="1:16" ht="14.4" x14ac:dyDescent="0.25">
      <c r="A4974" s="6">
        <v>2132</v>
      </c>
      <c r="B4974" s="6">
        <v>15234</v>
      </c>
      <c r="C4974" s="19">
        <v>40249</v>
      </c>
      <c r="D4974" s="6" t="s">
        <v>28</v>
      </c>
      <c r="E4974" s="6">
        <f>IF((ISBLANK($B$1)),"",Sheet1!Q4985)</f>
        <v>4450</v>
      </c>
      <c r="F4974" s="20" t="s">
        <v>27</v>
      </c>
      <c r="G4974" s="53">
        <f t="shared" si="78"/>
        <v>-0.31592764504908549</v>
      </c>
      <c r="H4974" s="35"/>
      <c r="P4974" s="6"/>
    </row>
    <row r="4975" spans="1:16" ht="14.4" x14ac:dyDescent="0.25">
      <c r="A4975" s="6">
        <v>2133</v>
      </c>
      <c r="B4975" s="6">
        <v>15234</v>
      </c>
      <c r="C4975" s="19">
        <v>40249</v>
      </c>
      <c r="D4975" s="6" t="s">
        <v>28</v>
      </c>
      <c r="E4975" s="6">
        <f>IF((ISBLANK($B$1)),"",Sheet1!Q4986)</f>
        <v>4000</v>
      </c>
      <c r="F4975" s="20" t="s">
        <v>27</v>
      </c>
      <c r="G4975" s="53">
        <f t="shared" si="78"/>
        <v>-0.93735706776838001</v>
      </c>
      <c r="H4975" s="35"/>
      <c r="P4975" s="6"/>
    </row>
    <row r="4976" spans="1:16" ht="14.4" x14ac:dyDescent="0.25">
      <c r="A4976" s="6">
        <v>2138</v>
      </c>
      <c r="B4976" s="6">
        <v>15270</v>
      </c>
      <c r="C4976" s="19">
        <v>39844</v>
      </c>
      <c r="D4976" s="6" t="s">
        <v>28</v>
      </c>
      <c r="E4976" s="6">
        <f>IF((ISBLANK($B$1)),"",Sheet1!Q4987)</f>
        <v>5200</v>
      </c>
      <c r="F4976" s="20" t="s">
        <v>26</v>
      </c>
      <c r="G4976" s="53">
        <f t="shared" si="78"/>
        <v>0.71978805948307201</v>
      </c>
      <c r="H4976" s="35"/>
      <c r="P4976" s="6"/>
    </row>
    <row r="4977" spans="1:16" ht="14.4" x14ac:dyDescent="0.25">
      <c r="A4977" s="6">
        <v>2141</v>
      </c>
      <c r="B4977" s="6">
        <v>15296</v>
      </c>
      <c r="C4977" s="19">
        <v>41128</v>
      </c>
      <c r="D4977" s="6" t="s">
        <v>28</v>
      </c>
      <c r="E4977" s="6">
        <f>IF((ISBLANK($B$1)),"",Sheet1!Q4988)</f>
        <v>5300</v>
      </c>
      <c r="F4977" s="20" t="s">
        <v>26</v>
      </c>
      <c r="G4977" s="53">
        <f t="shared" si="78"/>
        <v>0.85788348675402637</v>
      </c>
      <c r="H4977" s="35"/>
      <c r="P4977" s="6"/>
    </row>
    <row r="4978" spans="1:16" ht="14.4" x14ac:dyDescent="0.25">
      <c r="A4978" s="6">
        <v>2147</v>
      </c>
      <c r="B4978" s="6">
        <v>15335</v>
      </c>
      <c r="C4978" s="19">
        <v>40438</v>
      </c>
      <c r="D4978" s="6" t="s">
        <v>16</v>
      </c>
      <c r="E4978" s="6">
        <f>IF((ISBLANK($B$1)),"",Sheet1!Q4989)</f>
        <v>4700</v>
      </c>
      <c r="F4978" s="20" t="s">
        <v>27</v>
      </c>
      <c r="G4978" s="53">
        <f t="shared" si="78"/>
        <v>2.9310923128300338E-2</v>
      </c>
      <c r="H4978" s="35"/>
      <c r="P4978" s="6"/>
    </row>
    <row r="4979" spans="1:16" ht="14.4" x14ac:dyDescent="0.25">
      <c r="A4979" s="6">
        <v>2179</v>
      </c>
      <c r="B4979" s="6">
        <v>15712</v>
      </c>
      <c r="C4979" s="19">
        <v>41247</v>
      </c>
      <c r="D4979" s="6" t="s">
        <v>17</v>
      </c>
      <c r="E4979" s="6">
        <f>IF((ISBLANK($B$1)),"",Sheet1!Q4990)</f>
        <v>3450</v>
      </c>
      <c r="F4979" s="20" t="s">
        <v>29</v>
      </c>
      <c r="G4979" s="53">
        <f t="shared" si="78"/>
        <v>-1.696881917758629</v>
      </c>
      <c r="H4979" s="35"/>
      <c r="P4979" s="6"/>
    </row>
    <row r="4980" spans="1:16" ht="14.4" x14ac:dyDescent="0.25">
      <c r="A4980" s="6">
        <v>2205</v>
      </c>
      <c r="B4980" s="6">
        <v>15906</v>
      </c>
      <c r="C4980" s="19">
        <v>40448</v>
      </c>
      <c r="D4980" s="6" t="s">
        <v>25</v>
      </c>
      <c r="E4980" s="6">
        <f>IF((ISBLANK($B$1)),"",Sheet1!Q4991)</f>
        <v>3800</v>
      </c>
      <c r="F4980" s="20" t="s">
        <v>27</v>
      </c>
      <c r="G4980" s="53">
        <f t="shared" si="78"/>
        <v>-1.2135479223102887</v>
      </c>
      <c r="H4980" s="35"/>
      <c r="P4980" s="6"/>
    </row>
    <row r="4981" spans="1:16" ht="14.4" x14ac:dyDescent="0.25">
      <c r="A4981" s="6">
        <v>2215</v>
      </c>
      <c r="B4981" s="6">
        <v>16005</v>
      </c>
      <c r="C4981" s="19">
        <v>41267</v>
      </c>
      <c r="D4981" s="6" t="s">
        <v>28</v>
      </c>
      <c r="E4981" s="6">
        <f>IF((ISBLANK($B$1)),"",Sheet1!Q4992)</f>
        <v>3750</v>
      </c>
      <c r="F4981" s="20" t="s">
        <v>26</v>
      </c>
      <c r="G4981" s="53">
        <f t="shared" si="78"/>
        <v>-1.282595635945766</v>
      </c>
      <c r="H4981" s="35"/>
      <c r="P4981" s="6"/>
    </row>
    <row r="4982" spans="1:16" ht="14.4" x14ac:dyDescent="0.25">
      <c r="A4982" s="6">
        <v>2230</v>
      </c>
      <c r="B4982" s="6">
        <v>16103</v>
      </c>
      <c r="C4982" s="19">
        <v>41105</v>
      </c>
      <c r="D4982" s="6" t="s">
        <v>28</v>
      </c>
      <c r="E4982" s="6">
        <f>IF((ISBLANK($B$1)),"",Sheet1!Q4993)</f>
        <v>4500</v>
      </c>
      <c r="F4982" s="20" t="s">
        <v>26</v>
      </c>
      <c r="G4982" s="53">
        <f t="shared" si="78"/>
        <v>-0.24687993141360834</v>
      </c>
      <c r="H4982" s="35"/>
      <c r="P4982" s="6"/>
    </row>
    <row r="4983" spans="1:16" ht="14.4" x14ac:dyDescent="0.25">
      <c r="A4983" s="6">
        <v>2253</v>
      </c>
      <c r="B4983" s="6">
        <v>16225</v>
      </c>
      <c r="C4983" s="19">
        <v>39961</v>
      </c>
      <c r="D4983" s="6" t="s">
        <v>30</v>
      </c>
      <c r="E4983" s="6">
        <f>IF((ISBLANK($B$1)),"",Sheet1!Q4994)</f>
        <v>4900</v>
      </c>
      <c r="F4983" s="20" t="s">
        <v>26</v>
      </c>
      <c r="G4983" s="53">
        <f t="shared" si="78"/>
        <v>0.30550177767020903</v>
      </c>
      <c r="H4983" s="35"/>
      <c r="P4983" s="6"/>
    </row>
    <row r="4984" spans="1:16" ht="14.4" x14ac:dyDescent="0.25">
      <c r="A4984" s="6">
        <v>2265</v>
      </c>
      <c r="B4984" s="6">
        <v>16262</v>
      </c>
      <c r="C4984" s="19">
        <v>40544</v>
      </c>
      <c r="D4984" s="6" t="s">
        <v>25</v>
      </c>
      <c r="E4984" s="6">
        <f>IF((ISBLANK($B$1)),"",Sheet1!Q4995)</f>
        <v>3950</v>
      </c>
      <c r="F4984" s="20" t="s">
        <v>26</v>
      </c>
      <c r="G4984" s="53">
        <f t="shared" si="78"/>
        <v>-1.0064047814038573</v>
      </c>
      <c r="H4984" s="35"/>
      <c r="P4984" s="6"/>
    </row>
    <row r="4985" spans="1:16" ht="14.4" x14ac:dyDescent="0.25">
      <c r="A4985" s="6">
        <v>2270</v>
      </c>
      <c r="B4985" s="6">
        <v>16321</v>
      </c>
      <c r="C4985" s="19">
        <v>40087</v>
      </c>
      <c r="D4985" s="6" t="s">
        <v>28</v>
      </c>
      <c r="E4985" s="6">
        <f>IF((ISBLANK($B$1)),"",Sheet1!Q4996)</f>
        <v>5900</v>
      </c>
      <c r="F4985" s="20" t="s">
        <v>26</v>
      </c>
      <c r="G4985" s="53">
        <f t="shared" si="78"/>
        <v>1.6864560503797523</v>
      </c>
      <c r="H4985" s="35"/>
      <c r="P4985" s="6"/>
    </row>
    <row r="4986" spans="1:16" ht="14.4" x14ac:dyDescent="0.25">
      <c r="A4986" s="6">
        <v>2315</v>
      </c>
      <c r="B4986" s="6">
        <v>16679</v>
      </c>
      <c r="C4986" s="19">
        <v>40125</v>
      </c>
      <c r="D4986" s="6" t="s">
        <v>25</v>
      </c>
      <c r="E4986" s="6">
        <f>IF((ISBLANK($B$1)),"",Sheet1!Q4997)</f>
        <v>4850</v>
      </c>
      <c r="F4986" s="20" t="s">
        <v>29</v>
      </c>
      <c r="G4986" s="53">
        <f t="shared" si="78"/>
        <v>0.23645406403473185</v>
      </c>
      <c r="H4986" s="35"/>
      <c r="P4986" s="6"/>
    </row>
    <row r="4987" spans="1:16" ht="14.4" x14ac:dyDescent="0.25">
      <c r="A4987" s="6">
        <v>2328</v>
      </c>
      <c r="B4987" s="6">
        <v>16775</v>
      </c>
      <c r="C4987" s="19">
        <v>41235</v>
      </c>
      <c r="D4987" s="6" t="s">
        <v>25</v>
      </c>
      <c r="E4987" s="6">
        <f>IF((ISBLANK($B$1)),"",Sheet1!Q4998)</f>
        <v>5850</v>
      </c>
      <c r="F4987" s="20" t="s">
        <v>26</v>
      </c>
      <c r="G4987" s="53">
        <f t="shared" si="78"/>
        <v>1.6174083367442753</v>
      </c>
      <c r="H4987" s="35"/>
      <c r="P4987" s="6"/>
    </row>
    <row r="4988" spans="1:16" ht="14.4" x14ac:dyDescent="0.25">
      <c r="A4988" s="6">
        <v>2340</v>
      </c>
      <c r="B4988" s="6">
        <v>16834</v>
      </c>
      <c r="C4988" s="19">
        <v>40474</v>
      </c>
      <c r="D4988" s="6" t="s">
        <v>25</v>
      </c>
      <c r="E4988" s="6">
        <f>IF((ISBLANK($B$1)),"",Sheet1!Q4999)</f>
        <v>5050</v>
      </c>
      <c r="F4988" s="20" t="s">
        <v>26</v>
      </c>
      <c r="G4988" s="53">
        <f t="shared" si="78"/>
        <v>0.51264491857664052</v>
      </c>
      <c r="H4988" s="35"/>
      <c r="P4988" s="6"/>
    </row>
    <row r="4989" spans="1:16" ht="14.4" x14ac:dyDescent="0.25">
      <c r="A4989" s="6">
        <v>2341</v>
      </c>
      <c r="B4989" s="6">
        <v>16837</v>
      </c>
      <c r="C4989" s="19">
        <v>40564</v>
      </c>
      <c r="D4989" s="6" t="s">
        <v>28</v>
      </c>
      <c r="E4989" s="6">
        <f>IF((ISBLANK($B$1)),"",Sheet1!Q5000)</f>
        <v>3600</v>
      </c>
      <c r="F4989" s="20" t="s">
        <v>29</v>
      </c>
      <c r="G4989" s="53">
        <f t="shared" si="78"/>
        <v>-1.4897387768521975</v>
      </c>
      <c r="H4989" s="35"/>
      <c r="P4989" s="6"/>
    </row>
    <row r="4990" spans="1:16" ht="14.4" x14ac:dyDescent="0.25">
      <c r="A4990" s="6">
        <v>2343</v>
      </c>
      <c r="B4990" s="6">
        <v>16866</v>
      </c>
      <c r="C4990" s="19">
        <v>40945</v>
      </c>
      <c r="D4990" s="6" t="s">
        <v>28</v>
      </c>
      <c r="E4990" s="6">
        <f>IF((ISBLANK($B$1)),"",Sheet1!Q5001)</f>
        <v>5550</v>
      </c>
      <c r="F4990" s="20" t="s">
        <v>27</v>
      </c>
      <c r="G4990" s="53">
        <f t="shared" si="78"/>
        <v>1.2031220549314123</v>
      </c>
      <c r="H4990" s="35"/>
      <c r="P4990" s="6"/>
    </row>
    <row r="4991" spans="1:16" ht="14.4" x14ac:dyDescent="0.25">
      <c r="A4991" s="6">
        <v>2360</v>
      </c>
      <c r="B4991" s="6">
        <v>17058</v>
      </c>
      <c r="C4991" s="19">
        <v>40544</v>
      </c>
      <c r="D4991" s="6" t="s">
        <v>17</v>
      </c>
      <c r="E4991" s="6">
        <f>IF((ISBLANK($B$1)),"",Sheet1!Q5002)</f>
        <v>4150</v>
      </c>
      <c r="F4991" s="20" t="s">
        <v>26</v>
      </c>
      <c r="G4991" s="53">
        <f t="shared" si="78"/>
        <v>-0.73021392686194853</v>
      </c>
      <c r="H4991" s="35"/>
      <c r="P4991" s="6"/>
    </row>
    <row r="4992" spans="1:16" ht="14.4" x14ac:dyDescent="0.25">
      <c r="A4992" s="6">
        <v>2413</v>
      </c>
      <c r="B4992" s="6">
        <v>17508</v>
      </c>
      <c r="C4992" s="19">
        <v>41087</v>
      </c>
      <c r="D4992" s="6" t="s">
        <v>25</v>
      </c>
      <c r="E4992" s="6">
        <f>IF((ISBLANK($B$1)),"",Sheet1!Q5003)</f>
        <v>5900</v>
      </c>
      <c r="F4992" s="20" t="s">
        <v>26</v>
      </c>
      <c r="G4992" s="53">
        <f t="shared" si="78"/>
        <v>1.6864560503797523</v>
      </c>
      <c r="H4992" s="35"/>
      <c r="P4992" s="6"/>
    </row>
    <row r="4993" spans="1:16" ht="14.4" x14ac:dyDescent="0.25">
      <c r="A4993" s="6">
        <v>2573</v>
      </c>
      <c r="B4993" s="6">
        <v>18592</v>
      </c>
      <c r="C4993" s="19">
        <v>41182</v>
      </c>
      <c r="D4993" s="6" t="s">
        <v>30</v>
      </c>
      <c r="E4993" s="6">
        <f>IF((ISBLANK($B$1)),"",Sheet1!Q5004)</f>
        <v>3500</v>
      </c>
      <c r="F4993" s="20" t="s">
        <v>26</v>
      </c>
      <c r="G4993" s="53">
        <f t="shared" si="78"/>
        <v>-1.6278342041231517</v>
      </c>
      <c r="H4993" s="35"/>
      <c r="P4993" s="6"/>
    </row>
    <row r="4994" spans="1:16" ht="14.4" x14ac:dyDescent="0.25">
      <c r="A4994" s="6">
        <v>2598</v>
      </c>
      <c r="B4994" s="6">
        <v>18757</v>
      </c>
      <c r="C4994" s="19">
        <v>41051</v>
      </c>
      <c r="D4994" s="6" t="s">
        <v>25</v>
      </c>
      <c r="E4994" s="6">
        <f>IF((ISBLANK($B$1)),"",Sheet1!Q5005)</f>
        <v>5550</v>
      </c>
      <c r="F4994" s="20" t="s">
        <v>26</v>
      </c>
      <c r="G4994" s="53">
        <f t="shared" si="78"/>
        <v>1.2031220549314123</v>
      </c>
      <c r="H4994" s="35"/>
      <c r="P4994" s="6"/>
    </row>
    <row r="4995" spans="1:16" ht="14.4" x14ac:dyDescent="0.25">
      <c r="A4995" s="6">
        <v>2609</v>
      </c>
      <c r="B4995" s="6">
        <v>18851</v>
      </c>
      <c r="C4995" s="19">
        <v>41259</v>
      </c>
      <c r="D4995" s="6" t="s">
        <v>30</v>
      </c>
      <c r="E4995" s="6">
        <f>IF((ISBLANK($B$1)),"",Sheet1!Q5006)</f>
        <v>5000</v>
      </c>
      <c r="F4995" s="20" t="s">
        <v>26</v>
      </c>
      <c r="G4995" s="53">
        <f t="shared" si="78"/>
        <v>0.44359720494116334</v>
      </c>
      <c r="H4995" s="35"/>
      <c r="P4995" s="6"/>
    </row>
    <row r="4996" spans="1:16" ht="14.4" x14ac:dyDescent="0.25">
      <c r="A4996" s="6">
        <v>2611</v>
      </c>
      <c r="B4996" s="6">
        <v>18853</v>
      </c>
      <c r="C4996" s="19">
        <v>40195</v>
      </c>
      <c r="D4996" s="6" t="s">
        <v>30</v>
      </c>
      <c r="E4996" s="6">
        <f>IF((ISBLANK($B$1)),"",Sheet1!Q5007)</f>
        <v>5050</v>
      </c>
      <c r="F4996" s="20" t="s">
        <v>26</v>
      </c>
      <c r="G4996" s="53">
        <f t="shared" si="78"/>
        <v>0.51264491857664052</v>
      </c>
      <c r="H4996" s="35"/>
      <c r="P4996" s="6"/>
    </row>
    <row r="4997" spans="1:16" ht="14.4" x14ac:dyDescent="0.25">
      <c r="A4997" s="6">
        <v>2613</v>
      </c>
      <c r="B4997" s="6">
        <v>18884</v>
      </c>
      <c r="C4997" s="19">
        <v>40718</v>
      </c>
      <c r="D4997" s="6" t="s">
        <v>28</v>
      </c>
      <c r="E4997" s="6">
        <f>IF((ISBLANK($B$1)),"",Sheet1!Q5008)</f>
        <v>3650</v>
      </c>
      <c r="F4997" s="20" t="s">
        <v>29</v>
      </c>
      <c r="G4997" s="53">
        <f t="shared" si="78"/>
        <v>-1.4206910632167202</v>
      </c>
      <c r="H4997" s="35"/>
      <c r="P4997" s="6"/>
    </row>
    <row r="4998" spans="1:16" ht="14.4" x14ac:dyDescent="0.25">
      <c r="A4998" s="6">
        <v>2614</v>
      </c>
      <c r="B4998" s="6">
        <v>18884</v>
      </c>
      <c r="C4998" s="19">
        <v>40718</v>
      </c>
      <c r="D4998" s="6" t="s">
        <v>28</v>
      </c>
      <c r="E4998" s="6">
        <f>IF((ISBLANK($B$1)),"",Sheet1!Q5009)</f>
        <v>4850</v>
      </c>
      <c r="F4998" s="20" t="s">
        <v>27</v>
      </c>
      <c r="G4998" s="53">
        <f t="shared" si="78"/>
        <v>0.23645406403473185</v>
      </c>
      <c r="H4998" s="35"/>
      <c r="P4998" s="6"/>
    </row>
    <row r="4999" spans="1:16" ht="14.4" x14ac:dyDescent="0.25">
      <c r="A4999" s="6">
        <v>2669</v>
      </c>
      <c r="B4999" s="6">
        <v>19300</v>
      </c>
      <c r="C4999" s="19">
        <v>40163</v>
      </c>
      <c r="D4999" s="6" t="s">
        <v>30</v>
      </c>
      <c r="E4999" s="6">
        <f>IF((ISBLANK($B$1)),"",Sheet1!Q5010)</f>
        <v>3900</v>
      </c>
      <c r="F4999" s="20" t="s">
        <v>26</v>
      </c>
      <c r="G4999" s="53">
        <f t="shared" si="78"/>
        <v>-1.0754524950393345</v>
      </c>
      <c r="H4999" s="35"/>
      <c r="P4999" s="6"/>
    </row>
    <row r="5000" spans="1:16" ht="14.4" x14ac:dyDescent="0.25">
      <c r="A5000" s="6">
        <v>2673</v>
      </c>
      <c r="B5000" s="6">
        <v>19361</v>
      </c>
      <c r="C5000" s="19">
        <v>41175</v>
      </c>
      <c r="D5000" s="6" t="s">
        <v>25</v>
      </c>
      <c r="E5000" s="6">
        <f>IF((ISBLANK($B$1)),"",Sheet1!Q5011)</f>
        <v>4450</v>
      </c>
      <c r="F5000" s="20" t="s">
        <v>26</v>
      </c>
      <c r="G5000" s="53">
        <f t="shared" ref="G5000:G5063" si="79">STANDARDIZE(E5000,$L$26,$L$35)</f>
        <v>-0.31592764504908549</v>
      </c>
      <c r="H5000" s="35"/>
      <c r="P5000" s="6"/>
    </row>
    <row r="5001" spans="1:16" ht="14.4" x14ac:dyDescent="0.25">
      <c r="A5001" s="6">
        <v>2674</v>
      </c>
      <c r="B5001" s="6">
        <v>19361</v>
      </c>
      <c r="C5001" s="19">
        <v>41175</v>
      </c>
      <c r="D5001" s="6" t="s">
        <v>25</v>
      </c>
      <c r="E5001" s="6">
        <f>IF((ISBLANK($B$1)),"",Sheet1!Q5012)</f>
        <v>5550</v>
      </c>
      <c r="F5001" s="20" t="s">
        <v>26</v>
      </c>
      <c r="G5001" s="53">
        <f t="shared" si="79"/>
        <v>1.2031220549314123</v>
      </c>
      <c r="H5001" s="35"/>
      <c r="P5001" s="6"/>
    </row>
    <row r="5002" spans="1:16" ht="14.4" x14ac:dyDescent="0.25">
      <c r="A5002" s="6">
        <v>2706</v>
      </c>
      <c r="B5002" s="6">
        <v>19557</v>
      </c>
      <c r="C5002" s="19">
        <v>40846</v>
      </c>
      <c r="D5002" s="6" t="s">
        <v>25</v>
      </c>
      <c r="E5002" s="6">
        <f>IF((ISBLANK($B$1)),"",Sheet1!Q5013)</f>
        <v>4700</v>
      </c>
      <c r="F5002" s="20" t="s">
        <v>26</v>
      </c>
      <c r="G5002" s="53">
        <f t="shared" si="79"/>
        <v>2.9310923128300338E-2</v>
      </c>
      <c r="H5002" s="35"/>
      <c r="P5002" s="6"/>
    </row>
    <row r="5003" spans="1:16" ht="14.4" x14ac:dyDescent="0.25">
      <c r="A5003" s="6">
        <v>2707</v>
      </c>
      <c r="B5003" s="6">
        <v>19557</v>
      </c>
      <c r="C5003" s="19">
        <v>40846</v>
      </c>
      <c r="D5003" s="6" t="s">
        <v>25</v>
      </c>
      <c r="E5003" s="6">
        <f>IF((ISBLANK($B$1)),"",Sheet1!Q5014)</f>
        <v>3850</v>
      </c>
      <c r="F5003" s="20" t="s">
        <v>26</v>
      </c>
      <c r="G5003" s="53">
        <f t="shared" si="79"/>
        <v>-1.1445002086748115</v>
      </c>
      <c r="H5003" s="35"/>
      <c r="P5003" s="6"/>
    </row>
    <row r="5004" spans="1:16" ht="14.4" x14ac:dyDescent="0.25">
      <c r="A5004" s="6">
        <v>2713</v>
      </c>
      <c r="B5004" s="6">
        <v>19586</v>
      </c>
      <c r="C5004" s="19">
        <v>41214</v>
      </c>
      <c r="D5004" s="6" t="s">
        <v>28</v>
      </c>
      <c r="E5004" s="6">
        <f>IF((ISBLANK($B$1)),"",Sheet1!Q5015)</f>
        <v>5200</v>
      </c>
      <c r="F5004" s="20" t="s">
        <v>26</v>
      </c>
      <c r="G5004" s="53">
        <f t="shared" si="79"/>
        <v>0.71978805948307201</v>
      </c>
      <c r="H5004" s="35"/>
      <c r="P5004" s="6"/>
    </row>
    <row r="5005" spans="1:16" ht="14.4" x14ac:dyDescent="0.25">
      <c r="A5005" s="6">
        <v>2732</v>
      </c>
      <c r="B5005" s="6">
        <v>19718</v>
      </c>
      <c r="C5005" s="19">
        <v>41084</v>
      </c>
      <c r="D5005" s="6" t="s">
        <v>25</v>
      </c>
      <c r="E5005" s="6">
        <f>IF((ISBLANK($B$1)),"",Sheet1!Q5016)</f>
        <v>3700</v>
      </c>
      <c r="F5005" s="20" t="s">
        <v>27</v>
      </c>
      <c r="G5005" s="53">
        <f t="shared" si="79"/>
        <v>-1.351643349581243</v>
      </c>
      <c r="H5005" s="35"/>
      <c r="P5005" s="6"/>
    </row>
    <row r="5006" spans="1:16" ht="14.4" x14ac:dyDescent="0.25">
      <c r="A5006" s="6">
        <v>2733</v>
      </c>
      <c r="B5006" s="6">
        <v>19744</v>
      </c>
      <c r="C5006" s="19">
        <v>40251</v>
      </c>
      <c r="D5006" s="6" t="s">
        <v>16</v>
      </c>
      <c r="E5006" s="6">
        <f>IF((ISBLANK($B$1)),"",Sheet1!Q5017)</f>
        <v>5450</v>
      </c>
      <c r="F5006" s="20" t="s">
        <v>26</v>
      </c>
      <c r="G5006" s="53">
        <f t="shared" si="79"/>
        <v>1.0650266276604579</v>
      </c>
      <c r="H5006" s="35"/>
      <c r="P5006" s="6"/>
    </row>
    <row r="5007" spans="1:16" ht="14.4" x14ac:dyDescent="0.25">
      <c r="A5007" s="6">
        <v>2781</v>
      </c>
      <c r="B5007" s="6">
        <v>20069</v>
      </c>
      <c r="C5007" s="19">
        <v>40082</v>
      </c>
      <c r="D5007" s="6" t="s">
        <v>30</v>
      </c>
      <c r="E5007" s="6">
        <f>IF((ISBLANK($B$1)),"",Sheet1!Q5018)</f>
        <v>3700</v>
      </c>
      <c r="F5007" s="20" t="s">
        <v>29</v>
      </c>
      <c r="G5007" s="53">
        <f t="shared" si="79"/>
        <v>-1.351643349581243</v>
      </c>
      <c r="H5007" s="35"/>
      <c r="P5007" s="6"/>
    </row>
    <row r="5008" spans="1:16" ht="14.4" x14ac:dyDescent="0.25">
      <c r="A5008" s="6">
        <v>2787</v>
      </c>
      <c r="B5008" s="6">
        <v>20103</v>
      </c>
      <c r="C5008" s="19">
        <v>40220</v>
      </c>
      <c r="D5008" s="6" t="s">
        <v>16</v>
      </c>
      <c r="E5008" s="6">
        <f>IF((ISBLANK($B$1)),"",Sheet1!Q5019)</f>
        <v>4900</v>
      </c>
      <c r="F5008" s="20" t="s">
        <v>27</v>
      </c>
      <c r="G5008" s="53">
        <f t="shared" si="79"/>
        <v>0.30550177767020903</v>
      </c>
      <c r="H5008" s="35"/>
      <c r="P5008" s="6"/>
    </row>
    <row r="5009" spans="1:16" ht="14.4" x14ac:dyDescent="0.25">
      <c r="A5009" s="6">
        <v>2788</v>
      </c>
      <c r="B5009" s="6">
        <v>20103</v>
      </c>
      <c r="C5009" s="19">
        <v>40220</v>
      </c>
      <c r="D5009" s="6" t="s">
        <v>16</v>
      </c>
      <c r="E5009" s="6">
        <f>IF((ISBLANK($B$1)),"",Sheet1!Q5020)</f>
        <v>4650</v>
      </c>
      <c r="F5009" s="20" t="s">
        <v>27</v>
      </c>
      <c r="G5009" s="53">
        <f t="shared" si="79"/>
        <v>-3.9736790507176829E-2</v>
      </c>
      <c r="H5009" s="35"/>
      <c r="P5009" s="6"/>
    </row>
    <row r="5010" spans="1:16" ht="14.4" x14ac:dyDescent="0.25">
      <c r="A5010" s="6">
        <v>2794</v>
      </c>
      <c r="B5010" s="6">
        <v>20135</v>
      </c>
      <c r="C5010" s="19">
        <v>39994</v>
      </c>
      <c r="D5010" s="6" t="s">
        <v>30</v>
      </c>
      <c r="E5010" s="6">
        <f>IF((ISBLANK($B$1)),"",Sheet1!Q5021)</f>
        <v>5600</v>
      </c>
      <c r="F5010" s="20" t="s">
        <v>26</v>
      </c>
      <c r="G5010" s="53">
        <f t="shared" si="79"/>
        <v>1.2721697685668893</v>
      </c>
      <c r="H5010" s="35"/>
      <c r="P5010" s="6"/>
    </row>
    <row r="5011" spans="1:16" ht="14.4" x14ac:dyDescent="0.25">
      <c r="A5011" s="6">
        <v>2795</v>
      </c>
      <c r="B5011" s="6">
        <v>20135</v>
      </c>
      <c r="C5011" s="19">
        <v>39994</v>
      </c>
      <c r="D5011" s="6" t="s">
        <v>30</v>
      </c>
      <c r="E5011" s="6">
        <f>IF((ISBLANK($B$1)),"",Sheet1!Q5022)</f>
        <v>4800</v>
      </c>
      <c r="F5011" s="20" t="s">
        <v>29</v>
      </c>
      <c r="G5011" s="53">
        <f t="shared" si="79"/>
        <v>0.16740635039925467</v>
      </c>
      <c r="H5011" s="35"/>
      <c r="P5011" s="6"/>
    </row>
    <row r="5012" spans="1:16" ht="14.4" x14ac:dyDescent="0.25">
      <c r="A5012" s="6">
        <v>2798</v>
      </c>
      <c r="B5012" s="6">
        <v>20166</v>
      </c>
      <c r="C5012" s="19">
        <v>39876</v>
      </c>
      <c r="D5012" s="6" t="s">
        <v>25</v>
      </c>
      <c r="E5012" s="6">
        <f>IF((ISBLANK($B$1)),"",Sheet1!Q5023)</f>
        <v>3700</v>
      </c>
      <c r="F5012" s="20" t="s">
        <v>27</v>
      </c>
      <c r="G5012" s="53">
        <f t="shared" si="79"/>
        <v>-1.351643349581243</v>
      </c>
      <c r="H5012" s="35"/>
      <c r="P5012" s="6"/>
    </row>
    <row r="5013" spans="1:16" ht="14.4" x14ac:dyDescent="0.25">
      <c r="A5013" s="6">
        <v>2799</v>
      </c>
      <c r="B5013" s="6">
        <v>20192</v>
      </c>
      <c r="C5013" s="19">
        <v>40457</v>
      </c>
      <c r="D5013" s="6" t="s">
        <v>25</v>
      </c>
      <c r="E5013" s="6">
        <f>IF((ISBLANK($B$1)),"",Sheet1!Q5024)</f>
        <v>5150</v>
      </c>
      <c r="F5013" s="20" t="s">
        <v>27</v>
      </c>
      <c r="G5013" s="53">
        <f t="shared" si="79"/>
        <v>0.65074034584759488</v>
      </c>
      <c r="H5013" s="35"/>
      <c r="P5013" s="6"/>
    </row>
    <row r="5014" spans="1:16" ht="14.4" x14ac:dyDescent="0.25">
      <c r="A5014" s="6">
        <v>2804</v>
      </c>
      <c r="B5014" s="6">
        <v>20229</v>
      </c>
      <c r="C5014" s="19">
        <v>40116</v>
      </c>
      <c r="D5014" s="6" t="s">
        <v>25</v>
      </c>
      <c r="E5014" s="6">
        <f>IF((ISBLANK($B$1)),"",Sheet1!Q5025)</f>
        <v>5750</v>
      </c>
      <c r="F5014" s="20" t="s">
        <v>26</v>
      </c>
      <c r="G5014" s="53">
        <f t="shared" si="79"/>
        <v>1.4793129094733208</v>
      </c>
      <c r="H5014" s="35"/>
      <c r="P5014" s="6"/>
    </row>
    <row r="5015" spans="1:16" ht="14.4" x14ac:dyDescent="0.25">
      <c r="A5015" s="6">
        <v>2906</v>
      </c>
      <c r="B5015" s="6">
        <v>20966</v>
      </c>
      <c r="C5015" s="19">
        <v>40439</v>
      </c>
      <c r="D5015" s="6" t="s">
        <v>25</v>
      </c>
      <c r="E5015" s="6">
        <f>IF((ISBLANK($B$1)),"",Sheet1!Q5026)</f>
        <v>3900</v>
      </c>
      <c r="F5015" s="20" t="s">
        <v>26</v>
      </c>
      <c r="G5015" s="53">
        <f t="shared" si="79"/>
        <v>-1.0754524950393345</v>
      </c>
      <c r="H5015" s="35"/>
      <c r="P5015" s="6"/>
    </row>
    <row r="5016" spans="1:16" ht="14.4" x14ac:dyDescent="0.25">
      <c r="A5016" s="6">
        <v>2907</v>
      </c>
      <c r="B5016" s="6">
        <v>20966</v>
      </c>
      <c r="C5016" s="19">
        <v>40439</v>
      </c>
      <c r="D5016" s="6" t="s">
        <v>25</v>
      </c>
      <c r="E5016" s="6">
        <f>IF((ISBLANK($B$1)),"",Sheet1!Q5027)</f>
        <v>5150</v>
      </c>
      <c r="F5016" s="20" t="s">
        <v>27</v>
      </c>
      <c r="G5016" s="53">
        <f t="shared" si="79"/>
        <v>0.65074034584759488</v>
      </c>
      <c r="H5016" s="35"/>
      <c r="P5016" s="6"/>
    </row>
    <row r="5017" spans="1:16" ht="14.4" x14ac:dyDescent="0.25">
      <c r="A5017" s="6">
        <v>2908</v>
      </c>
      <c r="B5017" s="6">
        <v>20966</v>
      </c>
      <c r="C5017" s="19">
        <v>40439</v>
      </c>
      <c r="D5017" s="6" t="s">
        <v>25</v>
      </c>
      <c r="E5017" s="6">
        <f>IF((ISBLANK($B$1)),"",Sheet1!Q5028)</f>
        <v>4500</v>
      </c>
      <c r="F5017" s="20" t="s">
        <v>29</v>
      </c>
      <c r="G5017" s="53">
        <f t="shared" si="79"/>
        <v>-0.24687993141360834</v>
      </c>
      <c r="H5017" s="35"/>
      <c r="P5017" s="6"/>
    </row>
    <row r="5018" spans="1:16" ht="14.4" x14ac:dyDescent="0.25">
      <c r="A5018" s="6">
        <v>2916</v>
      </c>
      <c r="B5018" s="6">
        <v>21063</v>
      </c>
      <c r="C5018" s="19">
        <v>40648</v>
      </c>
      <c r="D5018" s="6" t="s">
        <v>25</v>
      </c>
      <c r="E5018" s="6">
        <f>IF((ISBLANK($B$1)),"",Sheet1!Q5029)</f>
        <v>5850</v>
      </c>
      <c r="F5018" s="20" t="s">
        <v>26</v>
      </c>
      <c r="G5018" s="53">
        <f t="shared" si="79"/>
        <v>1.6174083367442753</v>
      </c>
      <c r="H5018" s="35"/>
      <c r="P5018" s="6"/>
    </row>
    <row r="5019" spans="1:16" ht="14.4" x14ac:dyDescent="0.25">
      <c r="A5019" s="6">
        <v>2917</v>
      </c>
      <c r="B5019" s="6">
        <v>21063</v>
      </c>
      <c r="C5019" s="19">
        <v>40648</v>
      </c>
      <c r="D5019" s="6" t="s">
        <v>25</v>
      </c>
      <c r="E5019" s="6">
        <f>IF((ISBLANK($B$1)),"",Sheet1!Q5030)</f>
        <v>5800</v>
      </c>
      <c r="F5019" s="20" t="s">
        <v>29</v>
      </c>
      <c r="G5019" s="53">
        <f t="shared" si="79"/>
        <v>1.5483606231087981</v>
      </c>
      <c r="H5019" s="35"/>
      <c r="P5019" s="6"/>
    </row>
    <row r="5020" spans="1:16" ht="14.4" x14ac:dyDescent="0.25">
      <c r="A5020" s="6">
        <v>2958</v>
      </c>
      <c r="B5020" s="6">
        <v>21412</v>
      </c>
      <c r="C5020" s="19">
        <v>40737</v>
      </c>
      <c r="D5020" s="6" t="s">
        <v>28</v>
      </c>
      <c r="E5020" s="6">
        <f>IF((ISBLANK($B$1)),"",Sheet1!Q5031)</f>
        <v>5300</v>
      </c>
      <c r="F5020" s="20" t="s">
        <v>26</v>
      </c>
      <c r="G5020" s="53">
        <f t="shared" si="79"/>
        <v>0.85788348675402637</v>
      </c>
      <c r="H5020" s="35"/>
      <c r="P5020" s="6"/>
    </row>
    <row r="5021" spans="1:16" ht="14.4" x14ac:dyDescent="0.25">
      <c r="A5021" s="6">
        <v>2959</v>
      </c>
      <c r="B5021" s="6">
        <v>21412</v>
      </c>
      <c r="C5021" s="19">
        <v>40737</v>
      </c>
      <c r="D5021" s="6" t="s">
        <v>28</v>
      </c>
      <c r="E5021" s="6">
        <f>IF((ISBLANK($B$1)),"",Sheet1!Q5032)</f>
        <v>4800</v>
      </c>
      <c r="F5021" s="20" t="s">
        <v>26</v>
      </c>
      <c r="G5021" s="53">
        <f t="shared" si="79"/>
        <v>0.16740635039925467</v>
      </c>
      <c r="H5021" s="35"/>
      <c r="P5021" s="6"/>
    </row>
    <row r="5022" spans="1:16" ht="14.4" x14ac:dyDescent="0.25">
      <c r="A5022" s="6">
        <v>2964</v>
      </c>
      <c r="B5022" s="6">
        <v>21442</v>
      </c>
      <c r="C5022" s="19">
        <v>40172</v>
      </c>
      <c r="D5022" s="6" t="s">
        <v>25</v>
      </c>
      <c r="E5022" s="6">
        <f>IF((ISBLANK($B$1)),"",Sheet1!Q5033)</f>
        <v>5800</v>
      </c>
      <c r="F5022" s="20" t="s">
        <v>29</v>
      </c>
      <c r="G5022" s="53">
        <f t="shared" si="79"/>
        <v>1.5483606231087981</v>
      </c>
      <c r="H5022" s="35"/>
      <c r="P5022" s="6"/>
    </row>
    <row r="5023" spans="1:16" ht="14.4" x14ac:dyDescent="0.25">
      <c r="A5023" s="6">
        <v>2965</v>
      </c>
      <c r="B5023" s="6">
        <v>21442</v>
      </c>
      <c r="C5023" s="19">
        <v>40172</v>
      </c>
      <c r="D5023" s="6" t="s">
        <v>25</v>
      </c>
      <c r="E5023" s="6">
        <f>IF((ISBLANK($B$1)),"",Sheet1!Q5034)</f>
        <v>5800</v>
      </c>
      <c r="F5023" s="20" t="s">
        <v>26</v>
      </c>
      <c r="G5023" s="53">
        <f t="shared" si="79"/>
        <v>1.5483606231087981</v>
      </c>
      <c r="H5023" s="35"/>
      <c r="P5023" s="6"/>
    </row>
    <row r="5024" spans="1:16" ht="14.4" x14ac:dyDescent="0.25">
      <c r="A5024" s="6">
        <v>2966</v>
      </c>
      <c r="B5024" s="6">
        <v>21444</v>
      </c>
      <c r="C5024" s="19">
        <v>40648</v>
      </c>
      <c r="D5024" s="6" t="s">
        <v>16</v>
      </c>
      <c r="E5024" s="6">
        <f>IF((ISBLANK($B$1)),"",Sheet1!Q5035)</f>
        <v>4250</v>
      </c>
      <c r="F5024" s="20" t="s">
        <v>26</v>
      </c>
      <c r="G5024" s="53">
        <f t="shared" si="79"/>
        <v>-0.59211849959099416</v>
      </c>
      <c r="H5024" s="35"/>
      <c r="P5024" s="6"/>
    </row>
    <row r="5025" spans="1:16" ht="14.4" x14ac:dyDescent="0.25">
      <c r="A5025" s="6">
        <v>3046</v>
      </c>
      <c r="B5025" s="6">
        <v>21861</v>
      </c>
      <c r="C5025" s="19">
        <v>40043</v>
      </c>
      <c r="D5025" s="6" t="s">
        <v>30</v>
      </c>
      <c r="E5025" s="6">
        <f>IF((ISBLANK($B$1)),"",Sheet1!Q5036)</f>
        <v>3650</v>
      </c>
      <c r="F5025" s="20" t="s">
        <v>27</v>
      </c>
      <c r="G5025" s="53">
        <f t="shared" si="79"/>
        <v>-1.4206910632167202</v>
      </c>
      <c r="H5025" s="35"/>
      <c r="P5025" s="6"/>
    </row>
    <row r="5026" spans="1:16" ht="14.4" x14ac:dyDescent="0.25">
      <c r="A5026" s="6">
        <v>3064</v>
      </c>
      <c r="B5026" s="6">
        <v>21956</v>
      </c>
      <c r="C5026" s="19">
        <v>40575</v>
      </c>
      <c r="D5026" s="6" t="s">
        <v>17</v>
      </c>
      <c r="E5026" s="6">
        <f>IF((ISBLANK($B$1)),"",Sheet1!Q5037)</f>
        <v>3500</v>
      </c>
      <c r="F5026" s="20" t="s">
        <v>27</v>
      </c>
      <c r="G5026" s="53">
        <f t="shared" si="79"/>
        <v>-1.6278342041231517</v>
      </c>
      <c r="H5026" s="35"/>
      <c r="P5026" s="6"/>
    </row>
    <row r="5027" spans="1:16" ht="14.4" x14ac:dyDescent="0.25">
      <c r="A5027" s="6">
        <v>3073</v>
      </c>
      <c r="B5027" s="6">
        <v>22051</v>
      </c>
      <c r="C5027" s="19">
        <v>40907</v>
      </c>
      <c r="D5027" s="6" t="s">
        <v>28</v>
      </c>
      <c r="E5027" s="6">
        <f>IF((ISBLANK($B$1)),"",Sheet1!Q5038)</f>
        <v>5350</v>
      </c>
      <c r="F5027" s="20" t="s">
        <v>26</v>
      </c>
      <c r="G5027" s="53">
        <f t="shared" si="79"/>
        <v>0.92693120038950361</v>
      </c>
      <c r="H5027" s="35"/>
      <c r="P5027" s="6"/>
    </row>
    <row r="5028" spans="1:16" ht="14.4" x14ac:dyDescent="0.25">
      <c r="A5028" s="6">
        <v>3078</v>
      </c>
      <c r="B5028" s="6">
        <v>22085</v>
      </c>
      <c r="C5028" s="19">
        <v>40977</v>
      </c>
      <c r="D5028" s="6" t="s">
        <v>25</v>
      </c>
      <c r="E5028" s="6">
        <f>IF((ISBLANK($B$1)),"",Sheet1!Q5039)</f>
        <v>5450</v>
      </c>
      <c r="F5028" s="20" t="s">
        <v>26</v>
      </c>
      <c r="G5028" s="53">
        <f t="shared" si="79"/>
        <v>1.0650266276604579</v>
      </c>
      <c r="H5028" s="35"/>
      <c r="P5028" s="6"/>
    </row>
    <row r="5029" spans="1:16" ht="14.4" x14ac:dyDescent="0.25">
      <c r="A5029" s="6">
        <v>3079</v>
      </c>
      <c r="B5029" s="6">
        <v>22085</v>
      </c>
      <c r="C5029" s="19">
        <v>40977</v>
      </c>
      <c r="D5029" s="6" t="s">
        <v>25</v>
      </c>
      <c r="E5029" s="6">
        <f>IF((ISBLANK($B$1)),"",Sheet1!Q5040)</f>
        <v>4750</v>
      </c>
      <c r="F5029" s="20" t="s">
        <v>26</v>
      </c>
      <c r="G5029" s="53">
        <f t="shared" si="79"/>
        <v>9.8358636763777513E-2</v>
      </c>
      <c r="H5029" s="35"/>
      <c r="P5029" s="6"/>
    </row>
    <row r="5030" spans="1:16" ht="14.4" x14ac:dyDescent="0.25">
      <c r="A5030" s="6">
        <v>3080</v>
      </c>
      <c r="B5030" s="6">
        <v>22086</v>
      </c>
      <c r="C5030" s="19">
        <v>40892</v>
      </c>
      <c r="D5030" s="6" t="s">
        <v>16</v>
      </c>
      <c r="E5030" s="6">
        <f>IF((ISBLANK($B$1)),"",Sheet1!Q5041)</f>
        <v>4450</v>
      </c>
      <c r="F5030" s="20" t="s">
        <v>29</v>
      </c>
      <c r="G5030" s="53">
        <f t="shared" si="79"/>
        <v>-0.31592764504908549</v>
      </c>
      <c r="H5030" s="35"/>
      <c r="P5030" s="6"/>
    </row>
    <row r="5031" spans="1:16" ht="14.4" x14ac:dyDescent="0.25">
      <c r="A5031" s="6">
        <v>3084</v>
      </c>
      <c r="B5031" s="6">
        <v>22118</v>
      </c>
      <c r="C5031" s="19">
        <v>39831</v>
      </c>
      <c r="D5031" s="6" t="s">
        <v>17</v>
      </c>
      <c r="E5031" s="6">
        <f>IF((ISBLANK($B$1)),"",Sheet1!Q5042)</f>
        <v>5900</v>
      </c>
      <c r="F5031" s="20" t="s">
        <v>26</v>
      </c>
      <c r="G5031" s="53">
        <f t="shared" si="79"/>
        <v>1.6864560503797523</v>
      </c>
      <c r="H5031" s="35"/>
      <c r="P5031" s="6"/>
    </row>
    <row r="5032" spans="1:16" ht="14.4" x14ac:dyDescent="0.25">
      <c r="A5032" s="6">
        <v>3107</v>
      </c>
      <c r="B5032" s="6">
        <v>22304</v>
      </c>
      <c r="C5032" s="19">
        <v>40872</v>
      </c>
      <c r="D5032" s="6" t="s">
        <v>25</v>
      </c>
      <c r="E5032" s="6">
        <f>IF((ISBLANK($B$1)),"",Sheet1!Q5043)</f>
        <v>4600</v>
      </c>
      <c r="F5032" s="20" t="s">
        <v>26</v>
      </c>
      <c r="G5032" s="53">
        <f t="shared" si="79"/>
        <v>-0.108784504142654</v>
      </c>
      <c r="H5032" s="35"/>
      <c r="P5032" s="6"/>
    </row>
    <row r="5033" spans="1:16" ht="14.4" x14ac:dyDescent="0.25">
      <c r="A5033" s="6">
        <v>3199</v>
      </c>
      <c r="B5033" s="6">
        <v>22919</v>
      </c>
      <c r="C5033" s="19">
        <v>40011</v>
      </c>
      <c r="D5033" s="6" t="s">
        <v>30</v>
      </c>
      <c r="E5033" s="6">
        <f>IF((ISBLANK($B$1)),"",Sheet1!Q5044)</f>
        <v>4450</v>
      </c>
      <c r="F5033" s="20" t="s">
        <v>26</v>
      </c>
      <c r="G5033" s="53">
        <f t="shared" si="79"/>
        <v>-0.31592764504908549</v>
      </c>
      <c r="H5033" s="35"/>
      <c r="P5033" s="6"/>
    </row>
    <row r="5034" spans="1:16" ht="14.4" x14ac:dyDescent="0.25">
      <c r="A5034" s="6">
        <v>3209</v>
      </c>
      <c r="B5034" s="6">
        <v>23041</v>
      </c>
      <c r="C5034" s="19">
        <v>40379</v>
      </c>
      <c r="D5034" s="6" t="s">
        <v>25</v>
      </c>
      <c r="E5034" s="6">
        <f>IF((ISBLANK($B$1)),"",Sheet1!Q5045)</f>
        <v>4450</v>
      </c>
      <c r="F5034" s="20" t="s">
        <v>26</v>
      </c>
      <c r="G5034" s="53">
        <f t="shared" si="79"/>
        <v>-0.31592764504908549</v>
      </c>
      <c r="H5034" s="35"/>
      <c r="P5034" s="6"/>
    </row>
    <row r="5035" spans="1:16" ht="14.4" x14ac:dyDescent="0.25">
      <c r="A5035" s="6">
        <v>3210</v>
      </c>
      <c r="B5035" s="6">
        <v>23041</v>
      </c>
      <c r="C5035" s="19">
        <v>40379</v>
      </c>
      <c r="D5035" s="6" t="s">
        <v>25</v>
      </c>
      <c r="E5035" s="6">
        <f>IF((ISBLANK($B$1)),"",Sheet1!Q5046)</f>
        <v>3650</v>
      </c>
      <c r="F5035" s="20" t="s">
        <v>26</v>
      </c>
      <c r="G5035" s="53">
        <f t="shared" si="79"/>
        <v>-1.4206910632167202</v>
      </c>
      <c r="H5035" s="35"/>
      <c r="P5035" s="6"/>
    </row>
    <row r="5036" spans="1:16" ht="14.4" x14ac:dyDescent="0.25">
      <c r="A5036" s="6">
        <v>3211</v>
      </c>
      <c r="B5036" s="6">
        <v>23041</v>
      </c>
      <c r="C5036" s="19">
        <v>40379</v>
      </c>
      <c r="D5036" s="6" t="s">
        <v>25</v>
      </c>
      <c r="E5036" s="6">
        <f>IF((ISBLANK($B$1)),"",Sheet1!Q5047)</f>
        <v>3900</v>
      </c>
      <c r="F5036" s="20" t="s">
        <v>29</v>
      </c>
      <c r="G5036" s="53">
        <f t="shared" si="79"/>
        <v>-1.0754524950393345</v>
      </c>
      <c r="H5036" s="35"/>
      <c r="P5036" s="6"/>
    </row>
    <row r="5037" spans="1:16" ht="14.4" x14ac:dyDescent="0.25">
      <c r="A5037" s="6">
        <v>3239</v>
      </c>
      <c r="B5037" s="6">
        <v>23232</v>
      </c>
      <c r="C5037" s="19">
        <v>40284</v>
      </c>
      <c r="D5037" s="6" t="s">
        <v>17</v>
      </c>
      <c r="E5037" s="6">
        <f>IF((ISBLANK($B$1)),"",Sheet1!Q5048)</f>
        <v>4150</v>
      </c>
      <c r="F5037" s="20" t="s">
        <v>27</v>
      </c>
      <c r="G5037" s="53">
        <f t="shared" si="79"/>
        <v>-0.73021392686194853</v>
      </c>
      <c r="H5037" s="35"/>
      <c r="P5037" s="6"/>
    </row>
    <row r="5038" spans="1:16" ht="14.4" x14ac:dyDescent="0.25">
      <c r="A5038" s="6">
        <v>3240</v>
      </c>
      <c r="B5038" s="6">
        <v>23232</v>
      </c>
      <c r="C5038" s="19">
        <v>40284</v>
      </c>
      <c r="D5038" s="6" t="s">
        <v>17</v>
      </c>
      <c r="E5038" s="6">
        <f>IF((ISBLANK($B$1)),"",Sheet1!Q5049)</f>
        <v>4950</v>
      </c>
      <c r="F5038" s="20" t="s">
        <v>26</v>
      </c>
      <c r="G5038" s="53">
        <f t="shared" si="79"/>
        <v>0.37454949130568621</v>
      </c>
      <c r="H5038" s="35"/>
      <c r="P5038" s="6"/>
    </row>
    <row r="5039" spans="1:16" ht="14.4" x14ac:dyDescent="0.25">
      <c r="A5039" s="6">
        <v>3241</v>
      </c>
      <c r="B5039" s="6">
        <v>23232</v>
      </c>
      <c r="C5039" s="19">
        <v>40284</v>
      </c>
      <c r="D5039" s="6" t="s">
        <v>17</v>
      </c>
      <c r="E5039" s="6">
        <f>IF((ISBLANK($B$1)),"",Sheet1!Q5050)</f>
        <v>4400</v>
      </c>
      <c r="F5039" s="20" t="s">
        <v>26</v>
      </c>
      <c r="G5039" s="53">
        <f t="shared" si="79"/>
        <v>-0.38497535868456267</v>
      </c>
      <c r="H5039" s="35"/>
      <c r="P5039" s="6"/>
    </row>
    <row r="5040" spans="1:16" ht="14.4" x14ac:dyDescent="0.25">
      <c r="A5040" s="6">
        <v>3248</v>
      </c>
      <c r="B5040" s="6">
        <v>23270</v>
      </c>
      <c r="C5040" s="19">
        <v>40615</v>
      </c>
      <c r="D5040" s="6" t="s">
        <v>25</v>
      </c>
      <c r="E5040" s="6">
        <f>IF((ISBLANK($B$1)),"",Sheet1!Q5051)</f>
        <v>4400</v>
      </c>
      <c r="F5040" s="20" t="s">
        <v>26</v>
      </c>
      <c r="G5040" s="53">
        <f t="shared" si="79"/>
        <v>-0.38497535868456267</v>
      </c>
      <c r="H5040" s="35"/>
      <c r="P5040" s="6"/>
    </row>
    <row r="5041" spans="1:16" ht="14.4" x14ac:dyDescent="0.25">
      <c r="A5041" s="6">
        <v>3249</v>
      </c>
      <c r="B5041" s="6">
        <v>23270</v>
      </c>
      <c r="C5041" s="19">
        <v>40615</v>
      </c>
      <c r="D5041" s="6" t="s">
        <v>25</v>
      </c>
      <c r="E5041" s="6">
        <f>IF((ISBLANK($B$1)),"",Sheet1!Q5052)</f>
        <v>5500</v>
      </c>
      <c r="F5041" s="20" t="s">
        <v>27</v>
      </c>
      <c r="G5041" s="53">
        <f t="shared" si="79"/>
        <v>1.1340743412959351</v>
      </c>
      <c r="H5041" s="35"/>
      <c r="P5041" s="6"/>
    </row>
    <row r="5042" spans="1:16" ht="14.4" x14ac:dyDescent="0.25">
      <c r="A5042" s="6">
        <v>3305</v>
      </c>
      <c r="B5042" s="6">
        <v>23618</v>
      </c>
      <c r="C5042" s="19">
        <v>41240</v>
      </c>
      <c r="D5042" s="6" t="s">
        <v>16</v>
      </c>
      <c r="E5042" s="6">
        <f>IF((ISBLANK($B$1)),"",Sheet1!Q5053)</f>
        <v>5650</v>
      </c>
      <c r="F5042" s="20" t="s">
        <v>27</v>
      </c>
      <c r="G5042" s="53">
        <f t="shared" si="79"/>
        <v>1.3412174822023666</v>
      </c>
      <c r="H5042" s="35"/>
      <c r="P5042" s="6"/>
    </row>
    <row r="5043" spans="1:16" ht="14.4" x14ac:dyDescent="0.25">
      <c r="A5043" s="6">
        <v>3358</v>
      </c>
      <c r="B5043" s="6">
        <v>24033</v>
      </c>
      <c r="C5043" s="19">
        <v>40545</v>
      </c>
      <c r="D5043" s="6" t="s">
        <v>17</v>
      </c>
      <c r="E5043" s="6">
        <f>IF((ISBLANK($B$1)),"",Sheet1!Q5054)</f>
        <v>5900</v>
      </c>
      <c r="F5043" s="20" t="s">
        <v>29</v>
      </c>
      <c r="G5043" s="53">
        <f t="shared" si="79"/>
        <v>1.6864560503797523</v>
      </c>
      <c r="H5043" s="35"/>
      <c r="P5043" s="6"/>
    </row>
    <row r="5044" spans="1:16" ht="14.4" x14ac:dyDescent="0.25">
      <c r="A5044" s="6">
        <v>3363</v>
      </c>
      <c r="B5044" s="6">
        <v>24066</v>
      </c>
      <c r="C5044" s="19">
        <v>41012</v>
      </c>
      <c r="D5044" s="6" t="s">
        <v>17</v>
      </c>
      <c r="E5044" s="6">
        <f>IF((ISBLANK($B$1)),"",Sheet1!Q5055)</f>
        <v>4900</v>
      </c>
      <c r="F5044" s="20" t="s">
        <v>29</v>
      </c>
      <c r="G5044" s="53">
        <f t="shared" si="79"/>
        <v>0.30550177767020903</v>
      </c>
      <c r="H5044" s="35"/>
      <c r="P5044" s="6"/>
    </row>
    <row r="5045" spans="1:16" ht="14.4" x14ac:dyDescent="0.25">
      <c r="A5045" s="6">
        <v>3390</v>
      </c>
      <c r="B5045" s="6">
        <v>24162</v>
      </c>
      <c r="C5045" s="19">
        <v>40047</v>
      </c>
      <c r="D5045" s="6" t="s">
        <v>28</v>
      </c>
      <c r="E5045" s="6">
        <f>IF((ISBLANK($B$1)),"",Sheet1!Q5056)</f>
        <v>3450</v>
      </c>
      <c r="F5045" s="20" t="s">
        <v>26</v>
      </c>
      <c r="G5045" s="53">
        <f t="shared" si="79"/>
        <v>-1.696881917758629</v>
      </c>
      <c r="H5045" s="35"/>
      <c r="P5045" s="6"/>
    </row>
    <row r="5046" spans="1:16" ht="14.4" x14ac:dyDescent="0.25">
      <c r="A5046" s="6">
        <v>3391</v>
      </c>
      <c r="B5046" s="6">
        <v>24162</v>
      </c>
      <c r="C5046" s="19">
        <v>40047</v>
      </c>
      <c r="D5046" s="6" t="s">
        <v>28</v>
      </c>
      <c r="E5046" s="6">
        <f>IF((ISBLANK($B$1)),"",Sheet1!Q5057)</f>
        <v>4000</v>
      </c>
      <c r="F5046" s="20" t="s">
        <v>29</v>
      </c>
      <c r="G5046" s="53">
        <f t="shared" si="79"/>
        <v>-0.93735706776838001</v>
      </c>
      <c r="H5046" s="35"/>
      <c r="P5046" s="6"/>
    </row>
    <row r="5047" spans="1:16" ht="14.4" x14ac:dyDescent="0.25">
      <c r="A5047" s="6">
        <v>3412</v>
      </c>
      <c r="B5047" s="6">
        <v>24384</v>
      </c>
      <c r="C5047" s="19">
        <v>40628</v>
      </c>
      <c r="D5047" s="6" t="s">
        <v>16</v>
      </c>
      <c r="E5047" s="6">
        <f>IF((ISBLANK($B$1)),"",Sheet1!Q5058)</f>
        <v>5600</v>
      </c>
      <c r="F5047" s="20" t="s">
        <v>26</v>
      </c>
      <c r="G5047" s="53">
        <f t="shared" si="79"/>
        <v>1.2721697685668893</v>
      </c>
      <c r="H5047" s="35"/>
      <c r="P5047" s="6"/>
    </row>
    <row r="5048" spans="1:16" ht="14.4" x14ac:dyDescent="0.25">
      <c r="A5048" s="6">
        <v>3413</v>
      </c>
      <c r="B5048" s="6">
        <v>24384</v>
      </c>
      <c r="C5048" s="19">
        <v>40628</v>
      </c>
      <c r="D5048" s="6" t="s">
        <v>16</v>
      </c>
      <c r="E5048" s="6">
        <f>IF((ISBLANK($B$1)),"",Sheet1!Q5059)</f>
        <v>4450</v>
      </c>
      <c r="F5048" s="20" t="s">
        <v>26</v>
      </c>
      <c r="G5048" s="53">
        <f t="shared" si="79"/>
        <v>-0.31592764504908549</v>
      </c>
      <c r="H5048" s="35"/>
      <c r="P5048" s="6"/>
    </row>
    <row r="5049" spans="1:16" ht="14.4" x14ac:dyDescent="0.25">
      <c r="A5049" s="6">
        <v>3414</v>
      </c>
      <c r="B5049" s="6">
        <v>24384</v>
      </c>
      <c r="C5049" s="19">
        <v>40628</v>
      </c>
      <c r="D5049" s="6" t="s">
        <v>16</v>
      </c>
      <c r="E5049" s="6">
        <f>IF((ISBLANK($B$1)),"",Sheet1!Q5060)</f>
        <v>4400</v>
      </c>
      <c r="F5049" s="20" t="s">
        <v>27</v>
      </c>
      <c r="G5049" s="53">
        <f t="shared" si="79"/>
        <v>-0.38497535868456267</v>
      </c>
      <c r="H5049" s="35"/>
      <c r="P5049" s="6"/>
    </row>
    <row r="5050" spans="1:16" ht="14.4" x14ac:dyDescent="0.25">
      <c r="A5050" s="6">
        <v>3424</v>
      </c>
      <c r="B5050" s="6">
        <v>24448</v>
      </c>
      <c r="C5050" s="19">
        <v>40945</v>
      </c>
      <c r="D5050" s="6" t="s">
        <v>17</v>
      </c>
      <c r="E5050" s="6">
        <f>IF((ISBLANK($B$1)),"",Sheet1!Q5061)</f>
        <v>5700</v>
      </c>
      <c r="F5050" s="20" t="s">
        <v>29</v>
      </c>
      <c r="G5050" s="53">
        <f t="shared" si="79"/>
        <v>1.4102651958378438</v>
      </c>
      <c r="H5050" s="35"/>
      <c r="P5050" s="6"/>
    </row>
    <row r="5051" spans="1:16" ht="14.4" x14ac:dyDescent="0.25">
      <c r="A5051" s="6">
        <v>3429</v>
      </c>
      <c r="B5051" s="6">
        <v>24452</v>
      </c>
      <c r="C5051" s="19">
        <v>39940</v>
      </c>
      <c r="D5051" s="6" t="s">
        <v>17</v>
      </c>
      <c r="E5051" s="6">
        <f>IF((ISBLANK($B$1)),"",Sheet1!Q5062)</f>
        <v>4300</v>
      </c>
      <c r="F5051" s="20" t="s">
        <v>26</v>
      </c>
      <c r="G5051" s="53">
        <f t="shared" si="79"/>
        <v>-0.52307078595551704</v>
      </c>
      <c r="H5051" s="35"/>
      <c r="P5051" s="6"/>
    </row>
    <row r="5052" spans="1:16" ht="14.4" x14ac:dyDescent="0.25">
      <c r="A5052" s="6">
        <v>3436</v>
      </c>
      <c r="B5052" s="6">
        <v>24544</v>
      </c>
      <c r="C5052" s="19">
        <v>39839</v>
      </c>
      <c r="D5052" s="6" t="s">
        <v>17</v>
      </c>
      <c r="E5052" s="6">
        <f>IF((ISBLANK($B$1)),"",Sheet1!Q5063)</f>
        <v>4950</v>
      </c>
      <c r="F5052" s="20" t="s">
        <v>27</v>
      </c>
      <c r="G5052" s="53">
        <f t="shared" si="79"/>
        <v>0.37454949130568621</v>
      </c>
      <c r="H5052" s="35"/>
      <c r="P5052" s="6"/>
    </row>
    <row r="5053" spans="1:16" ht="14.4" x14ac:dyDescent="0.25">
      <c r="A5053" s="6">
        <v>3437</v>
      </c>
      <c r="B5053" s="6">
        <v>24544</v>
      </c>
      <c r="C5053" s="19">
        <v>39839</v>
      </c>
      <c r="D5053" s="6" t="s">
        <v>17</v>
      </c>
      <c r="E5053" s="6">
        <f>IF((ISBLANK($B$1)),"",Sheet1!Q5064)</f>
        <v>4150</v>
      </c>
      <c r="F5053" s="20" t="s">
        <v>29</v>
      </c>
      <c r="G5053" s="53">
        <f t="shared" si="79"/>
        <v>-0.73021392686194853</v>
      </c>
      <c r="H5053" s="35"/>
      <c r="P5053" s="6"/>
    </row>
    <row r="5054" spans="1:16" ht="14.4" x14ac:dyDescent="0.25">
      <c r="A5054" s="6">
        <v>3438</v>
      </c>
      <c r="B5054" s="6">
        <v>24544</v>
      </c>
      <c r="C5054" s="19">
        <v>39839</v>
      </c>
      <c r="D5054" s="6" t="s">
        <v>17</v>
      </c>
      <c r="E5054" s="6">
        <f>IF((ISBLANK($B$1)),"",Sheet1!Q5065)</f>
        <v>5350</v>
      </c>
      <c r="F5054" s="20" t="s">
        <v>26</v>
      </c>
      <c r="G5054" s="53">
        <f t="shared" si="79"/>
        <v>0.92693120038950361</v>
      </c>
      <c r="H5054" s="35"/>
      <c r="P5054" s="6"/>
    </row>
    <row r="5055" spans="1:16" ht="14.4" x14ac:dyDescent="0.25">
      <c r="A5055" s="6">
        <v>3489</v>
      </c>
      <c r="B5055" s="6">
        <v>24865</v>
      </c>
      <c r="C5055" s="19">
        <v>40987</v>
      </c>
      <c r="D5055" s="6" t="s">
        <v>17</v>
      </c>
      <c r="E5055" s="6">
        <f>IF((ISBLANK($B$1)),"",Sheet1!Q5066)</f>
        <v>5700</v>
      </c>
      <c r="F5055" s="20" t="s">
        <v>26</v>
      </c>
      <c r="G5055" s="53">
        <f t="shared" si="79"/>
        <v>1.4102651958378438</v>
      </c>
      <c r="H5055" s="35"/>
      <c r="P5055" s="6"/>
    </row>
    <row r="5056" spans="1:16" ht="14.4" x14ac:dyDescent="0.25">
      <c r="A5056" s="6">
        <v>3495</v>
      </c>
      <c r="B5056" s="6">
        <v>24902</v>
      </c>
      <c r="C5056" s="19">
        <v>40324</v>
      </c>
      <c r="D5056" s="6" t="s">
        <v>17</v>
      </c>
      <c r="E5056" s="6">
        <f>IF((ISBLANK($B$1)),"",Sheet1!Q5067)</f>
        <v>5550</v>
      </c>
      <c r="F5056" s="20" t="s">
        <v>26</v>
      </c>
      <c r="G5056" s="53">
        <f t="shared" si="79"/>
        <v>1.2031220549314123</v>
      </c>
      <c r="H5056" s="35"/>
      <c r="P5056" s="6"/>
    </row>
    <row r="5057" spans="1:16" ht="14.4" x14ac:dyDescent="0.25">
      <c r="A5057" s="6">
        <v>3555</v>
      </c>
      <c r="B5057" s="6">
        <v>25348</v>
      </c>
      <c r="C5057" s="19">
        <v>41038</v>
      </c>
      <c r="D5057" s="6" t="s">
        <v>30</v>
      </c>
      <c r="E5057" s="6">
        <f>IF((ISBLANK($B$1)),"",Sheet1!Q5068)</f>
        <v>3700</v>
      </c>
      <c r="F5057" s="20" t="s">
        <v>26</v>
      </c>
      <c r="G5057" s="53">
        <f t="shared" si="79"/>
        <v>-1.351643349581243</v>
      </c>
      <c r="H5057" s="35"/>
      <c r="P5057" s="6"/>
    </row>
    <row r="5058" spans="1:16" ht="14.4" x14ac:dyDescent="0.25">
      <c r="A5058" s="6">
        <v>3556</v>
      </c>
      <c r="B5058" s="6">
        <v>25348</v>
      </c>
      <c r="C5058" s="19">
        <v>41038</v>
      </c>
      <c r="D5058" s="6" t="s">
        <v>30</v>
      </c>
      <c r="E5058" s="6">
        <f>IF((ISBLANK($B$1)),"",Sheet1!Q5069)</f>
        <v>3750</v>
      </c>
      <c r="F5058" s="20" t="s">
        <v>27</v>
      </c>
      <c r="G5058" s="53">
        <f t="shared" si="79"/>
        <v>-1.282595635945766</v>
      </c>
      <c r="H5058" s="35"/>
      <c r="P5058" s="6"/>
    </row>
    <row r="5059" spans="1:16" ht="14.4" x14ac:dyDescent="0.25">
      <c r="A5059" s="6">
        <v>3557</v>
      </c>
      <c r="B5059" s="6">
        <v>25350</v>
      </c>
      <c r="C5059" s="19">
        <v>40515</v>
      </c>
      <c r="D5059" s="6" t="s">
        <v>28</v>
      </c>
      <c r="E5059" s="6">
        <f>IF((ISBLANK($B$1)),"",Sheet1!Q5070)</f>
        <v>4900</v>
      </c>
      <c r="F5059" s="20" t="s">
        <v>26</v>
      </c>
      <c r="G5059" s="53">
        <f t="shared" si="79"/>
        <v>0.30550177767020903</v>
      </c>
      <c r="H5059" s="35"/>
      <c r="P5059" s="6"/>
    </row>
    <row r="5060" spans="1:16" ht="14.4" x14ac:dyDescent="0.25">
      <c r="A5060" s="6">
        <v>3558</v>
      </c>
      <c r="B5060" s="6">
        <v>25350</v>
      </c>
      <c r="C5060" s="19">
        <v>40515</v>
      </c>
      <c r="D5060" s="6" t="s">
        <v>28</v>
      </c>
      <c r="E5060" s="6">
        <f>IF((ISBLANK($B$1)),"",Sheet1!Q5071)</f>
        <v>4550</v>
      </c>
      <c r="F5060" s="20" t="s">
        <v>26</v>
      </c>
      <c r="G5060" s="53">
        <f t="shared" si="79"/>
        <v>-0.17783221777813119</v>
      </c>
      <c r="H5060" s="35"/>
      <c r="P5060" s="6"/>
    </row>
    <row r="5061" spans="1:16" ht="14.4" x14ac:dyDescent="0.25">
      <c r="A5061" s="6">
        <v>3582</v>
      </c>
      <c r="B5061" s="6">
        <v>25541</v>
      </c>
      <c r="C5061" s="19">
        <v>39826</v>
      </c>
      <c r="D5061" s="6" t="s">
        <v>25</v>
      </c>
      <c r="E5061" s="6">
        <f>IF((ISBLANK($B$1)),"",Sheet1!Q5072)</f>
        <v>5900</v>
      </c>
      <c r="F5061" s="20" t="s">
        <v>26</v>
      </c>
      <c r="G5061" s="53">
        <f t="shared" si="79"/>
        <v>1.6864560503797523</v>
      </c>
      <c r="H5061" s="35"/>
      <c r="P5061" s="6"/>
    </row>
    <row r="5062" spans="1:16" ht="14.4" x14ac:dyDescent="0.25">
      <c r="A5062" s="6">
        <v>3588</v>
      </c>
      <c r="B5062" s="6">
        <v>25601</v>
      </c>
      <c r="C5062" s="19">
        <v>39818</v>
      </c>
      <c r="D5062" s="6" t="s">
        <v>16</v>
      </c>
      <c r="E5062" s="6">
        <f>IF((ISBLANK($B$1)),"",Sheet1!Q5073)</f>
        <v>5550</v>
      </c>
      <c r="F5062" s="20" t="s">
        <v>26</v>
      </c>
      <c r="G5062" s="53">
        <f t="shared" si="79"/>
        <v>1.2031220549314123</v>
      </c>
      <c r="H5062" s="35"/>
      <c r="P5062" s="6"/>
    </row>
    <row r="5063" spans="1:16" ht="14.4" x14ac:dyDescent="0.25">
      <c r="A5063" s="6">
        <v>3615</v>
      </c>
      <c r="B5063" s="6">
        <v>25828</v>
      </c>
      <c r="C5063" s="19">
        <v>40505</v>
      </c>
      <c r="D5063" s="6" t="s">
        <v>28</v>
      </c>
      <c r="E5063" s="6">
        <f>IF((ISBLANK($B$1)),"",Sheet1!Q5074)</f>
        <v>5150</v>
      </c>
      <c r="F5063" s="20" t="s">
        <v>26</v>
      </c>
      <c r="G5063" s="53">
        <f t="shared" si="79"/>
        <v>0.65074034584759488</v>
      </c>
      <c r="H5063" s="35"/>
      <c r="P5063" s="6"/>
    </row>
    <row r="5064" spans="1:16" ht="14.4" x14ac:dyDescent="0.25">
      <c r="A5064" s="6">
        <v>3656</v>
      </c>
      <c r="B5064" s="6">
        <v>26176</v>
      </c>
      <c r="C5064" s="19">
        <v>40866</v>
      </c>
      <c r="D5064" s="6" t="s">
        <v>17</v>
      </c>
      <c r="E5064" s="6">
        <f>IF((ISBLANK($B$1)),"",Sheet1!Q5075)</f>
        <v>4100</v>
      </c>
      <c r="F5064" s="20" t="s">
        <v>26</v>
      </c>
      <c r="G5064" s="53">
        <f t="shared" ref="G5064:G5127" si="80">STANDARDIZE(E5064,$L$26,$L$35)</f>
        <v>-0.79926164049742576</v>
      </c>
      <c r="H5064" s="35"/>
      <c r="P5064" s="6"/>
    </row>
    <row r="5065" spans="1:16" ht="14.4" x14ac:dyDescent="0.25">
      <c r="A5065" s="6">
        <v>3657</v>
      </c>
      <c r="B5065" s="6">
        <v>26176</v>
      </c>
      <c r="C5065" s="19">
        <v>40866</v>
      </c>
      <c r="D5065" s="6" t="s">
        <v>17</v>
      </c>
      <c r="E5065" s="6">
        <f>IF((ISBLANK($B$1)),"",Sheet1!Q5076)</f>
        <v>4900</v>
      </c>
      <c r="F5065" s="20" t="s">
        <v>27</v>
      </c>
      <c r="G5065" s="53">
        <f t="shared" si="80"/>
        <v>0.30550177767020903</v>
      </c>
      <c r="H5065" s="35"/>
      <c r="P5065" s="6"/>
    </row>
    <row r="5066" spans="1:16" ht="14.4" x14ac:dyDescent="0.25">
      <c r="A5066" s="6">
        <v>3682</v>
      </c>
      <c r="B5066" s="6">
        <v>26337</v>
      </c>
      <c r="C5066" s="19">
        <v>40124</v>
      </c>
      <c r="D5066" s="6" t="s">
        <v>30</v>
      </c>
      <c r="E5066" s="6">
        <f>IF((ISBLANK($B$1)),"",Sheet1!Q5077)</f>
        <v>5650</v>
      </c>
      <c r="F5066" s="20" t="s">
        <v>26</v>
      </c>
      <c r="G5066" s="53">
        <f t="shared" si="80"/>
        <v>1.3412174822023666</v>
      </c>
      <c r="H5066" s="35"/>
      <c r="P5066" s="6"/>
    </row>
    <row r="5067" spans="1:16" ht="14.4" x14ac:dyDescent="0.25">
      <c r="A5067" s="6">
        <v>3712</v>
      </c>
      <c r="B5067" s="6">
        <v>26503</v>
      </c>
      <c r="C5067" s="19">
        <v>40654</v>
      </c>
      <c r="D5067" s="6" t="s">
        <v>16</v>
      </c>
      <c r="E5067" s="6">
        <f>IF((ISBLANK($B$1)),"",Sheet1!Q5078)</f>
        <v>5750</v>
      </c>
      <c r="F5067" s="20" t="s">
        <v>26</v>
      </c>
      <c r="G5067" s="53">
        <f t="shared" si="80"/>
        <v>1.4793129094733208</v>
      </c>
      <c r="H5067" s="35"/>
      <c r="P5067" s="6"/>
    </row>
    <row r="5068" spans="1:16" ht="14.4" x14ac:dyDescent="0.25">
      <c r="A5068" s="6">
        <v>3713</v>
      </c>
      <c r="B5068" s="6">
        <v>26503</v>
      </c>
      <c r="C5068" s="19">
        <v>40654</v>
      </c>
      <c r="D5068" s="6" t="s">
        <v>16</v>
      </c>
      <c r="E5068" s="6">
        <f>IF((ISBLANK($B$1)),"",Sheet1!Q5079)</f>
        <v>4000</v>
      </c>
      <c r="F5068" s="20" t="s">
        <v>29</v>
      </c>
      <c r="G5068" s="53">
        <f t="shared" si="80"/>
        <v>-0.93735706776838001</v>
      </c>
      <c r="H5068" s="35"/>
      <c r="P5068" s="6"/>
    </row>
    <row r="5069" spans="1:16" ht="14.4" x14ac:dyDescent="0.25">
      <c r="A5069" s="6">
        <v>3728</v>
      </c>
      <c r="B5069" s="6">
        <v>26657</v>
      </c>
      <c r="C5069" s="19">
        <v>41181</v>
      </c>
      <c r="D5069" s="6" t="s">
        <v>16</v>
      </c>
      <c r="E5069" s="6">
        <f>IF((ISBLANK($B$1)),"",Sheet1!Q5080)</f>
        <v>4800</v>
      </c>
      <c r="F5069" s="20" t="s">
        <v>26</v>
      </c>
      <c r="G5069" s="53">
        <f t="shared" si="80"/>
        <v>0.16740635039925467</v>
      </c>
      <c r="H5069" s="35"/>
      <c r="P5069" s="6"/>
    </row>
    <row r="5070" spans="1:16" ht="14.4" x14ac:dyDescent="0.25">
      <c r="A5070" s="6">
        <v>3752</v>
      </c>
      <c r="B5070" s="6">
        <v>26787</v>
      </c>
      <c r="C5070" s="19">
        <v>40805</v>
      </c>
      <c r="D5070" s="6" t="s">
        <v>17</v>
      </c>
      <c r="E5070" s="6">
        <f>IF((ISBLANK($B$1)),"",Sheet1!Q5081)</f>
        <v>4650</v>
      </c>
      <c r="F5070" s="20" t="s">
        <v>26</v>
      </c>
      <c r="G5070" s="53">
        <f t="shared" si="80"/>
        <v>-3.9736790507176829E-2</v>
      </c>
      <c r="H5070" s="35"/>
      <c r="P5070" s="6"/>
    </row>
    <row r="5071" spans="1:16" ht="14.4" x14ac:dyDescent="0.25">
      <c r="A5071" s="6">
        <v>3769</v>
      </c>
      <c r="B5071" s="6">
        <v>26919</v>
      </c>
      <c r="C5071" s="19">
        <v>41253</v>
      </c>
      <c r="D5071" s="6" t="s">
        <v>25</v>
      </c>
      <c r="E5071" s="6">
        <f>IF((ISBLANK($B$1)),"",Sheet1!Q5082)</f>
        <v>4000</v>
      </c>
      <c r="F5071" s="20" t="s">
        <v>26</v>
      </c>
      <c r="G5071" s="53">
        <f t="shared" si="80"/>
        <v>-0.93735706776838001</v>
      </c>
      <c r="H5071" s="35"/>
      <c r="P5071" s="6"/>
    </row>
    <row r="5072" spans="1:16" ht="14.4" x14ac:dyDescent="0.25">
      <c r="A5072" s="6">
        <v>3770</v>
      </c>
      <c r="B5072" s="6">
        <v>26919</v>
      </c>
      <c r="C5072" s="19">
        <v>41253</v>
      </c>
      <c r="D5072" s="6" t="s">
        <v>25</v>
      </c>
      <c r="E5072" s="6">
        <f>IF((ISBLANK($B$1)),"",Sheet1!Q5083)</f>
        <v>5000</v>
      </c>
      <c r="F5072" s="20" t="s">
        <v>26</v>
      </c>
      <c r="G5072" s="53">
        <f t="shared" si="80"/>
        <v>0.44359720494116334</v>
      </c>
      <c r="H5072" s="35"/>
      <c r="P5072" s="6"/>
    </row>
    <row r="5073" spans="1:16" ht="14.4" x14ac:dyDescent="0.25">
      <c r="A5073" s="6">
        <v>3772</v>
      </c>
      <c r="B5073" s="6">
        <v>26945</v>
      </c>
      <c r="C5073" s="19">
        <v>39849</v>
      </c>
      <c r="D5073" s="6" t="s">
        <v>30</v>
      </c>
      <c r="E5073" s="6">
        <f>IF((ISBLANK($B$1)),"",Sheet1!Q5084)</f>
        <v>4850</v>
      </c>
      <c r="F5073" s="20" t="s">
        <v>26</v>
      </c>
      <c r="G5073" s="53">
        <f t="shared" si="80"/>
        <v>0.23645406403473185</v>
      </c>
      <c r="H5073" s="35"/>
      <c r="P5073" s="6"/>
    </row>
    <row r="5074" spans="1:16" ht="14.4" x14ac:dyDescent="0.25">
      <c r="A5074" s="6">
        <v>3839</v>
      </c>
      <c r="B5074" s="6">
        <v>27364</v>
      </c>
      <c r="C5074" s="19">
        <v>40683</v>
      </c>
      <c r="D5074" s="6" t="s">
        <v>16</v>
      </c>
      <c r="E5074" s="6">
        <f>IF((ISBLANK($B$1)),"",Sheet1!Q5085)</f>
        <v>4650</v>
      </c>
      <c r="F5074" s="20" t="s">
        <v>26</v>
      </c>
      <c r="G5074" s="53">
        <f t="shared" si="80"/>
        <v>-3.9736790507176829E-2</v>
      </c>
      <c r="H5074" s="35"/>
      <c r="P5074" s="6"/>
    </row>
    <row r="5075" spans="1:16" ht="14.4" x14ac:dyDescent="0.25">
      <c r="A5075" s="6">
        <v>3840</v>
      </c>
      <c r="B5075" s="6">
        <v>27364</v>
      </c>
      <c r="C5075" s="19">
        <v>40683</v>
      </c>
      <c r="D5075" s="6" t="s">
        <v>16</v>
      </c>
      <c r="E5075" s="6">
        <f>IF((ISBLANK($B$1)),"",Sheet1!Q5086)</f>
        <v>4850</v>
      </c>
      <c r="F5075" s="20" t="s">
        <v>27</v>
      </c>
      <c r="G5075" s="53">
        <f t="shared" si="80"/>
        <v>0.23645406403473185</v>
      </c>
      <c r="H5075" s="35"/>
      <c r="P5075" s="6"/>
    </row>
    <row r="5076" spans="1:16" ht="14.4" x14ac:dyDescent="0.25">
      <c r="A5076" s="6">
        <v>3848</v>
      </c>
      <c r="B5076" s="6">
        <v>27460</v>
      </c>
      <c r="C5076" s="19">
        <v>39945</v>
      </c>
      <c r="D5076" s="6" t="s">
        <v>28</v>
      </c>
      <c r="E5076" s="6">
        <f>IF((ISBLANK($B$1)),"",Sheet1!Q5087)</f>
        <v>3750</v>
      </c>
      <c r="F5076" s="20" t="s">
        <v>29</v>
      </c>
      <c r="G5076" s="53">
        <f t="shared" si="80"/>
        <v>-1.282595635945766</v>
      </c>
      <c r="H5076" s="35"/>
      <c r="P5076" s="6"/>
    </row>
    <row r="5077" spans="1:16" ht="14.4" x14ac:dyDescent="0.25">
      <c r="A5077" s="6">
        <v>3849</v>
      </c>
      <c r="B5077" s="6">
        <v>27460</v>
      </c>
      <c r="C5077" s="19">
        <v>39945</v>
      </c>
      <c r="D5077" s="6" t="s">
        <v>28</v>
      </c>
      <c r="E5077" s="6">
        <f>IF((ISBLANK($B$1)),"",Sheet1!Q5088)</f>
        <v>4950</v>
      </c>
      <c r="F5077" s="20" t="s">
        <v>27</v>
      </c>
      <c r="G5077" s="53">
        <f t="shared" si="80"/>
        <v>0.37454949130568621</v>
      </c>
      <c r="H5077" s="35"/>
      <c r="P5077" s="6"/>
    </row>
    <row r="5078" spans="1:16" ht="14.4" x14ac:dyDescent="0.25">
      <c r="A5078" s="6">
        <v>3881</v>
      </c>
      <c r="B5078" s="6">
        <v>27717</v>
      </c>
      <c r="C5078" s="19">
        <v>40842</v>
      </c>
      <c r="D5078" s="6" t="s">
        <v>30</v>
      </c>
      <c r="E5078" s="6">
        <f>IF((ISBLANK($B$1)),"",Sheet1!Q5089)</f>
        <v>4350</v>
      </c>
      <c r="F5078" s="20" t="s">
        <v>26</v>
      </c>
      <c r="G5078" s="53">
        <f t="shared" si="80"/>
        <v>-0.45402307232003986</v>
      </c>
      <c r="H5078" s="35"/>
      <c r="P5078" s="6"/>
    </row>
    <row r="5079" spans="1:16" ht="14.4" x14ac:dyDescent="0.25">
      <c r="A5079" s="6">
        <v>3890</v>
      </c>
      <c r="B5079" s="6">
        <v>27778</v>
      </c>
      <c r="C5079" s="19">
        <v>40788</v>
      </c>
      <c r="D5079" s="6" t="s">
        <v>30</v>
      </c>
      <c r="E5079" s="6">
        <f>IF((ISBLANK($B$1)),"",Sheet1!Q5090)</f>
        <v>3900</v>
      </c>
      <c r="F5079" s="20" t="s">
        <v>27</v>
      </c>
      <c r="G5079" s="53">
        <f t="shared" si="80"/>
        <v>-1.0754524950393345</v>
      </c>
      <c r="H5079" s="35"/>
      <c r="P5079" s="6"/>
    </row>
    <row r="5080" spans="1:16" ht="14.4" x14ac:dyDescent="0.25">
      <c r="A5080" s="6">
        <v>3916</v>
      </c>
      <c r="B5080" s="6">
        <v>27936</v>
      </c>
      <c r="C5080" s="19">
        <v>40731</v>
      </c>
      <c r="D5080" s="6" t="s">
        <v>17</v>
      </c>
      <c r="E5080" s="6">
        <f>IF((ISBLANK($B$1)),"",Sheet1!Q5091)</f>
        <v>4550</v>
      </c>
      <c r="F5080" s="20" t="s">
        <v>27</v>
      </c>
      <c r="G5080" s="53">
        <f t="shared" si="80"/>
        <v>-0.17783221777813119</v>
      </c>
      <c r="H5080" s="35"/>
      <c r="P5080" s="6"/>
    </row>
    <row r="5081" spans="1:16" ht="14.4" x14ac:dyDescent="0.25">
      <c r="A5081" s="6">
        <v>3957</v>
      </c>
      <c r="B5081" s="6">
        <v>28228</v>
      </c>
      <c r="C5081" s="19">
        <v>41101</v>
      </c>
      <c r="D5081" s="6" t="s">
        <v>28</v>
      </c>
      <c r="E5081" s="6">
        <f>IF((ISBLANK($B$1)),"",Sheet1!Q5092)</f>
        <v>3650</v>
      </c>
      <c r="F5081" s="20" t="s">
        <v>26</v>
      </c>
      <c r="G5081" s="53">
        <f t="shared" si="80"/>
        <v>-1.4206910632167202</v>
      </c>
      <c r="H5081" s="35"/>
      <c r="P5081" s="6"/>
    </row>
    <row r="5082" spans="1:16" ht="14.4" x14ac:dyDescent="0.25">
      <c r="A5082" s="6">
        <v>3961</v>
      </c>
      <c r="B5082" s="6">
        <v>28259</v>
      </c>
      <c r="C5082" s="19">
        <v>40121</v>
      </c>
      <c r="D5082" s="6" t="s">
        <v>17</v>
      </c>
      <c r="E5082" s="6">
        <f>IF((ISBLANK($B$1)),"",Sheet1!Q5093)</f>
        <v>4500</v>
      </c>
      <c r="F5082" s="20" t="s">
        <v>27</v>
      </c>
      <c r="G5082" s="53">
        <f t="shared" si="80"/>
        <v>-0.24687993141360834</v>
      </c>
      <c r="H5082" s="35"/>
      <c r="P5082" s="6"/>
    </row>
    <row r="5083" spans="1:16" ht="14.4" x14ac:dyDescent="0.25">
      <c r="A5083" s="6">
        <v>3979</v>
      </c>
      <c r="B5083" s="6">
        <v>28419</v>
      </c>
      <c r="C5083" s="19">
        <v>40117</v>
      </c>
      <c r="D5083" s="6" t="s">
        <v>25</v>
      </c>
      <c r="E5083" s="6">
        <f>IF((ISBLANK($B$1)),"",Sheet1!Q5094)</f>
        <v>3850</v>
      </c>
      <c r="F5083" s="20" t="s">
        <v>26</v>
      </c>
      <c r="G5083" s="53">
        <f t="shared" si="80"/>
        <v>-1.1445002086748115</v>
      </c>
      <c r="H5083" s="35"/>
      <c r="P5083" s="6"/>
    </row>
    <row r="5084" spans="1:16" ht="14.4" x14ac:dyDescent="0.25">
      <c r="A5084" s="6">
        <v>4010</v>
      </c>
      <c r="B5084" s="6">
        <v>28614</v>
      </c>
      <c r="C5084" s="19">
        <v>40105</v>
      </c>
      <c r="D5084" s="6" t="s">
        <v>30</v>
      </c>
      <c r="E5084" s="6">
        <f>IF((ISBLANK($B$1)),"",Sheet1!Q5095)</f>
        <v>5900</v>
      </c>
      <c r="F5084" s="20" t="s">
        <v>27</v>
      </c>
      <c r="G5084" s="53">
        <f t="shared" si="80"/>
        <v>1.6864560503797523</v>
      </c>
      <c r="H5084" s="35"/>
      <c r="P5084" s="6"/>
    </row>
    <row r="5085" spans="1:16" ht="14.4" x14ac:dyDescent="0.25">
      <c r="A5085" s="6">
        <v>4023</v>
      </c>
      <c r="B5085" s="6">
        <v>28741</v>
      </c>
      <c r="C5085" s="19">
        <v>40602</v>
      </c>
      <c r="D5085" s="6" t="s">
        <v>28</v>
      </c>
      <c r="E5085" s="6">
        <f>IF((ISBLANK($B$1)),"",Sheet1!Q5096)</f>
        <v>4050</v>
      </c>
      <c r="F5085" s="20" t="s">
        <v>26</v>
      </c>
      <c r="G5085" s="53">
        <f t="shared" si="80"/>
        <v>-0.86830935413290289</v>
      </c>
      <c r="H5085" s="35"/>
      <c r="P5085" s="6"/>
    </row>
    <row r="5086" spans="1:16" ht="14.4" x14ac:dyDescent="0.25">
      <c r="A5086" s="6">
        <v>4024</v>
      </c>
      <c r="B5086" s="6">
        <v>28741</v>
      </c>
      <c r="C5086" s="19">
        <v>40602</v>
      </c>
      <c r="D5086" s="6" t="s">
        <v>28</v>
      </c>
      <c r="E5086" s="6">
        <f>IF((ISBLANK($B$1)),"",Sheet1!Q5097)</f>
        <v>3650</v>
      </c>
      <c r="F5086" s="20" t="s">
        <v>26</v>
      </c>
      <c r="G5086" s="53">
        <f t="shared" si="80"/>
        <v>-1.4206910632167202</v>
      </c>
      <c r="H5086" s="35"/>
      <c r="P5086" s="6"/>
    </row>
    <row r="5087" spans="1:16" ht="14.4" x14ac:dyDescent="0.25">
      <c r="A5087" s="6">
        <v>4027</v>
      </c>
      <c r="B5087" s="6">
        <v>28769</v>
      </c>
      <c r="C5087" s="19">
        <v>40418</v>
      </c>
      <c r="D5087" s="6" t="s">
        <v>25</v>
      </c>
      <c r="E5087" s="6">
        <f>IF((ISBLANK($B$1)),"",Sheet1!Q5098)</f>
        <v>3700</v>
      </c>
      <c r="F5087" s="20" t="s">
        <v>27</v>
      </c>
      <c r="G5087" s="53">
        <f t="shared" si="80"/>
        <v>-1.351643349581243</v>
      </c>
      <c r="H5087" s="35"/>
      <c r="P5087" s="6"/>
    </row>
    <row r="5088" spans="1:16" ht="14.4" x14ac:dyDescent="0.25">
      <c r="A5088" s="6">
        <v>4057</v>
      </c>
      <c r="B5088" s="6">
        <v>28928</v>
      </c>
      <c r="C5088" s="19">
        <v>40298</v>
      </c>
      <c r="D5088" s="6" t="s">
        <v>25</v>
      </c>
      <c r="E5088" s="6">
        <f>IF((ISBLANK($B$1)),"",Sheet1!Q5099)</f>
        <v>3550</v>
      </c>
      <c r="F5088" s="20" t="s">
        <v>26</v>
      </c>
      <c r="G5088" s="53">
        <f t="shared" si="80"/>
        <v>-1.5587864904876745</v>
      </c>
      <c r="H5088" s="35"/>
      <c r="P5088" s="6"/>
    </row>
    <row r="5089" spans="1:16" ht="14.4" x14ac:dyDescent="0.25">
      <c r="A5089" s="6">
        <v>4058</v>
      </c>
      <c r="B5089" s="6">
        <v>28928</v>
      </c>
      <c r="C5089" s="19">
        <v>40298</v>
      </c>
      <c r="D5089" s="6" t="s">
        <v>25</v>
      </c>
      <c r="E5089" s="6">
        <f>IF((ISBLANK($B$1)),"",Sheet1!Q5100)</f>
        <v>4500</v>
      </c>
      <c r="F5089" s="20" t="s">
        <v>27</v>
      </c>
      <c r="G5089" s="53">
        <f t="shared" si="80"/>
        <v>-0.24687993141360834</v>
      </c>
      <c r="H5089" s="35"/>
      <c r="P5089" s="6"/>
    </row>
    <row r="5090" spans="1:16" ht="14.4" x14ac:dyDescent="0.25">
      <c r="A5090" s="6">
        <v>4059</v>
      </c>
      <c r="B5090" s="6">
        <v>28928</v>
      </c>
      <c r="C5090" s="19">
        <v>40298</v>
      </c>
      <c r="D5090" s="6" t="s">
        <v>25</v>
      </c>
      <c r="E5090" s="6">
        <f>IF((ISBLANK($B$1)),"",Sheet1!Q5101)</f>
        <v>5700</v>
      </c>
      <c r="F5090" s="20" t="s">
        <v>27</v>
      </c>
      <c r="G5090" s="53">
        <f t="shared" si="80"/>
        <v>1.4102651958378438</v>
      </c>
      <c r="H5090" s="35"/>
      <c r="P5090" s="6"/>
    </row>
    <row r="5091" spans="1:16" ht="14.4" x14ac:dyDescent="0.25">
      <c r="A5091" s="6">
        <v>4076</v>
      </c>
      <c r="B5091" s="6">
        <v>29058</v>
      </c>
      <c r="C5091" s="19">
        <v>40181</v>
      </c>
      <c r="D5091" s="6" t="s">
        <v>17</v>
      </c>
      <c r="E5091" s="6">
        <f>IF((ISBLANK($B$1)),"",Sheet1!Q5102)</f>
        <v>5550</v>
      </c>
      <c r="F5091" s="20" t="s">
        <v>26</v>
      </c>
      <c r="G5091" s="53">
        <f t="shared" si="80"/>
        <v>1.2031220549314123</v>
      </c>
      <c r="H5091" s="35"/>
      <c r="P5091" s="6"/>
    </row>
    <row r="5092" spans="1:16" ht="14.4" x14ac:dyDescent="0.25">
      <c r="A5092" s="6">
        <v>4077</v>
      </c>
      <c r="B5092" s="6">
        <v>29058</v>
      </c>
      <c r="C5092" s="19">
        <v>40181</v>
      </c>
      <c r="D5092" s="6" t="s">
        <v>17</v>
      </c>
      <c r="E5092" s="6">
        <f>IF((ISBLANK($B$1)),"",Sheet1!Q5103)</f>
        <v>4550</v>
      </c>
      <c r="F5092" s="20" t="s">
        <v>26</v>
      </c>
      <c r="G5092" s="53">
        <f t="shared" si="80"/>
        <v>-0.17783221777813119</v>
      </c>
      <c r="H5092" s="35"/>
      <c r="P5092" s="6"/>
    </row>
    <row r="5093" spans="1:16" ht="14.4" x14ac:dyDescent="0.25">
      <c r="A5093" s="6">
        <v>4078</v>
      </c>
      <c r="B5093" s="6">
        <v>29058</v>
      </c>
      <c r="C5093" s="19">
        <v>40181</v>
      </c>
      <c r="D5093" s="6" t="s">
        <v>17</v>
      </c>
      <c r="E5093" s="6">
        <f>IF((ISBLANK($B$1)),"",Sheet1!Q5104)</f>
        <v>5450</v>
      </c>
      <c r="F5093" s="20" t="s">
        <v>26</v>
      </c>
      <c r="G5093" s="53">
        <f t="shared" si="80"/>
        <v>1.0650266276604579</v>
      </c>
      <c r="H5093" s="35"/>
      <c r="P5093" s="6"/>
    </row>
    <row r="5094" spans="1:16" ht="14.4" x14ac:dyDescent="0.25">
      <c r="A5094" s="6">
        <v>4086</v>
      </c>
      <c r="B5094" s="6">
        <v>29127</v>
      </c>
      <c r="C5094" s="19">
        <v>39903</v>
      </c>
      <c r="D5094" s="6" t="s">
        <v>30</v>
      </c>
      <c r="E5094" s="6">
        <f>IF((ISBLANK($B$1)),"",Sheet1!Q5105)</f>
        <v>4300</v>
      </c>
      <c r="F5094" s="20" t="s">
        <v>26</v>
      </c>
      <c r="G5094" s="53">
        <f t="shared" si="80"/>
        <v>-0.52307078595551704</v>
      </c>
      <c r="H5094" s="35"/>
      <c r="P5094" s="6"/>
    </row>
    <row r="5095" spans="1:16" ht="14.4" x14ac:dyDescent="0.25">
      <c r="A5095" s="6">
        <v>4099</v>
      </c>
      <c r="B5095" s="6">
        <v>29191</v>
      </c>
      <c r="C5095" s="19">
        <v>41088</v>
      </c>
      <c r="D5095" s="6" t="s">
        <v>16</v>
      </c>
      <c r="E5095" s="6">
        <f>IF((ISBLANK($B$1)),"",Sheet1!Q5106)</f>
        <v>4700</v>
      </c>
      <c r="F5095" s="20" t="s">
        <v>29</v>
      </c>
      <c r="G5095" s="53">
        <f t="shared" si="80"/>
        <v>2.9310923128300338E-2</v>
      </c>
      <c r="H5095" s="35"/>
      <c r="P5095" s="6"/>
    </row>
    <row r="5096" spans="1:16" ht="14.4" x14ac:dyDescent="0.25">
      <c r="A5096" s="6">
        <v>4109</v>
      </c>
      <c r="B5096" s="6">
        <v>29249</v>
      </c>
      <c r="C5096" s="19">
        <v>40707</v>
      </c>
      <c r="D5096" s="6" t="s">
        <v>25</v>
      </c>
      <c r="E5096" s="6">
        <f>IF((ISBLANK($B$1)),"",Sheet1!Q5107)</f>
        <v>4000</v>
      </c>
      <c r="F5096" s="20" t="s">
        <v>29</v>
      </c>
      <c r="G5096" s="53">
        <f t="shared" si="80"/>
        <v>-0.93735706776838001</v>
      </c>
      <c r="H5096" s="35"/>
      <c r="P5096" s="6"/>
    </row>
    <row r="5097" spans="1:16" ht="14.4" x14ac:dyDescent="0.25">
      <c r="A5097" s="6">
        <v>4110</v>
      </c>
      <c r="B5097" s="6">
        <v>29249</v>
      </c>
      <c r="C5097" s="19">
        <v>40707</v>
      </c>
      <c r="D5097" s="6" t="s">
        <v>25</v>
      </c>
      <c r="E5097" s="6">
        <f>IF((ISBLANK($B$1)),"",Sheet1!Q5108)</f>
        <v>5750</v>
      </c>
      <c r="F5097" s="20" t="s">
        <v>26</v>
      </c>
      <c r="G5097" s="53">
        <f t="shared" si="80"/>
        <v>1.4793129094733208</v>
      </c>
      <c r="H5097" s="35"/>
      <c r="P5097" s="6"/>
    </row>
    <row r="5098" spans="1:16" ht="14.4" x14ac:dyDescent="0.25">
      <c r="A5098" s="6">
        <v>4128</v>
      </c>
      <c r="B5098" s="6">
        <v>29347</v>
      </c>
      <c r="C5098" s="19">
        <v>41133</v>
      </c>
      <c r="D5098" s="6" t="s">
        <v>16</v>
      </c>
      <c r="E5098" s="6">
        <f>IF((ISBLANK($B$1)),"",Sheet1!Q5109)</f>
        <v>5900</v>
      </c>
      <c r="F5098" s="20" t="s">
        <v>26</v>
      </c>
      <c r="G5098" s="53">
        <f t="shared" si="80"/>
        <v>1.6864560503797523</v>
      </c>
      <c r="H5098" s="35"/>
      <c r="P5098" s="6"/>
    </row>
    <row r="5099" spans="1:16" ht="14.4" x14ac:dyDescent="0.25">
      <c r="A5099" s="6">
        <v>4156</v>
      </c>
      <c r="B5099" s="6">
        <v>29478</v>
      </c>
      <c r="C5099" s="19">
        <v>40277</v>
      </c>
      <c r="D5099" s="6" t="s">
        <v>17</v>
      </c>
      <c r="E5099" s="6">
        <f>IF((ISBLANK($B$1)),"",Sheet1!Q5110)</f>
        <v>4150</v>
      </c>
      <c r="F5099" s="20" t="s">
        <v>27</v>
      </c>
      <c r="G5099" s="53">
        <f t="shared" si="80"/>
        <v>-0.73021392686194853</v>
      </c>
      <c r="H5099" s="35"/>
      <c r="P5099" s="6"/>
    </row>
    <row r="5100" spans="1:16" ht="14.4" x14ac:dyDescent="0.25">
      <c r="A5100" s="6">
        <v>4222</v>
      </c>
      <c r="B5100" s="6">
        <v>29991</v>
      </c>
      <c r="C5100" s="19">
        <v>41187</v>
      </c>
      <c r="D5100" s="6" t="s">
        <v>25</v>
      </c>
      <c r="E5100" s="6">
        <f>IF((ISBLANK($B$1)),"",Sheet1!Q5111)</f>
        <v>5450</v>
      </c>
      <c r="F5100" s="20" t="s">
        <v>26</v>
      </c>
      <c r="G5100" s="53">
        <f t="shared" si="80"/>
        <v>1.0650266276604579</v>
      </c>
      <c r="H5100" s="35"/>
      <c r="P5100" s="6"/>
    </row>
    <row r="5101" spans="1:16" ht="14.4" x14ac:dyDescent="0.25">
      <c r="A5101" s="6">
        <v>4330</v>
      </c>
      <c r="B5101" s="6">
        <v>30853</v>
      </c>
      <c r="C5101" s="19">
        <v>40751</v>
      </c>
      <c r="D5101" s="6" t="s">
        <v>16</v>
      </c>
      <c r="E5101" s="6">
        <f>IF((ISBLANK($B$1)),"",Sheet1!Q5112)</f>
        <v>4200</v>
      </c>
      <c r="F5101" s="20" t="s">
        <v>26</v>
      </c>
      <c r="G5101" s="53">
        <f t="shared" si="80"/>
        <v>-0.6611662132264714</v>
      </c>
      <c r="H5101" s="35"/>
      <c r="P5101" s="6"/>
    </row>
    <row r="5102" spans="1:16" ht="14.4" x14ac:dyDescent="0.25">
      <c r="A5102" s="6">
        <v>4335</v>
      </c>
      <c r="B5102" s="6">
        <v>30886</v>
      </c>
      <c r="C5102" s="19">
        <v>41041</v>
      </c>
      <c r="D5102" s="6" t="s">
        <v>25</v>
      </c>
      <c r="E5102" s="6">
        <f>IF((ISBLANK($B$1)),"",Sheet1!Q5113)</f>
        <v>4800</v>
      </c>
      <c r="F5102" s="20" t="s">
        <v>26</v>
      </c>
      <c r="G5102" s="53">
        <f t="shared" si="80"/>
        <v>0.16740635039925467</v>
      </c>
      <c r="H5102" s="35"/>
      <c r="P5102" s="6"/>
    </row>
    <row r="5103" spans="1:16" ht="14.4" x14ac:dyDescent="0.25">
      <c r="A5103" s="6">
        <v>4353</v>
      </c>
      <c r="B5103" s="6">
        <v>31042</v>
      </c>
      <c r="C5103" s="19">
        <v>41232</v>
      </c>
      <c r="D5103" s="6" t="s">
        <v>16</v>
      </c>
      <c r="E5103" s="6">
        <f>IF((ISBLANK($B$1)),"",Sheet1!Q5114)</f>
        <v>4700</v>
      </c>
      <c r="F5103" s="20" t="s">
        <v>29</v>
      </c>
      <c r="G5103" s="53">
        <f t="shared" si="80"/>
        <v>2.9310923128300338E-2</v>
      </c>
      <c r="H5103" s="35"/>
      <c r="P5103" s="6"/>
    </row>
    <row r="5104" spans="1:16" ht="14.4" x14ac:dyDescent="0.25">
      <c r="A5104" s="6">
        <v>4354</v>
      </c>
      <c r="B5104" s="6">
        <v>31042</v>
      </c>
      <c r="C5104" s="19">
        <v>41232</v>
      </c>
      <c r="D5104" s="6" t="s">
        <v>16</v>
      </c>
      <c r="E5104" s="6">
        <f>IF((ISBLANK($B$1)),"",Sheet1!Q5115)</f>
        <v>5800</v>
      </c>
      <c r="F5104" s="20" t="s">
        <v>26</v>
      </c>
      <c r="G5104" s="53">
        <f t="shared" si="80"/>
        <v>1.5483606231087981</v>
      </c>
      <c r="H5104" s="35"/>
      <c r="P5104" s="6"/>
    </row>
    <row r="5105" spans="1:16" ht="14.4" x14ac:dyDescent="0.25">
      <c r="A5105" s="6">
        <v>4363</v>
      </c>
      <c r="B5105" s="6">
        <v>31078</v>
      </c>
      <c r="C5105" s="19">
        <v>39854</v>
      </c>
      <c r="D5105" s="6" t="s">
        <v>30</v>
      </c>
      <c r="E5105" s="6">
        <f>IF((ISBLANK($B$1)),"",Sheet1!Q5116)</f>
        <v>3750</v>
      </c>
      <c r="F5105" s="20" t="s">
        <v>27</v>
      </c>
      <c r="G5105" s="53">
        <f t="shared" si="80"/>
        <v>-1.282595635945766</v>
      </c>
      <c r="H5105" s="35"/>
      <c r="P5105" s="6"/>
    </row>
    <row r="5106" spans="1:16" ht="14.4" x14ac:dyDescent="0.25">
      <c r="A5106" s="6">
        <v>4414</v>
      </c>
      <c r="B5106" s="6">
        <v>31493</v>
      </c>
      <c r="C5106" s="19">
        <v>40103</v>
      </c>
      <c r="D5106" s="6" t="s">
        <v>17</v>
      </c>
      <c r="E5106" s="6">
        <f>IF((ISBLANK($B$1)),"",Sheet1!Q5117)</f>
        <v>3800</v>
      </c>
      <c r="F5106" s="20" t="s">
        <v>29</v>
      </c>
      <c r="G5106" s="53">
        <f t="shared" si="80"/>
        <v>-1.2135479223102887</v>
      </c>
      <c r="H5106" s="35"/>
      <c r="P5106" s="6"/>
    </row>
    <row r="5107" spans="1:16" ht="14.4" x14ac:dyDescent="0.25">
      <c r="A5107" s="6">
        <v>4426</v>
      </c>
      <c r="B5107" s="6">
        <v>31555</v>
      </c>
      <c r="C5107" s="19">
        <v>40912</v>
      </c>
      <c r="D5107" s="6" t="s">
        <v>30</v>
      </c>
      <c r="E5107" s="6">
        <f>IF((ISBLANK($B$1)),"",Sheet1!Q5118)</f>
        <v>5300</v>
      </c>
      <c r="F5107" s="20" t="s">
        <v>29</v>
      </c>
      <c r="G5107" s="53">
        <f t="shared" si="80"/>
        <v>0.85788348675402637</v>
      </c>
      <c r="H5107" s="35"/>
      <c r="P5107" s="6"/>
    </row>
    <row r="5108" spans="1:16" ht="14.4" x14ac:dyDescent="0.25">
      <c r="A5108" s="6">
        <v>4427</v>
      </c>
      <c r="B5108" s="6">
        <v>31555</v>
      </c>
      <c r="C5108" s="19">
        <v>40912</v>
      </c>
      <c r="D5108" s="6" t="s">
        <v>30</v>
      </c>
      <c r="E5108" s="6">
        <f>IF((ISBLANK($B$1)),"",Sheet1!Q5119)</f>
        <v>3650</v>
      </c>
      <c r="F5108" s="20" t="s">
        <v>27</v>
      </c>
      <c r="G5108" s="53">
        <f t="shared" si="80"/>
        <v>-1.4206910632167202</v>
      </c>
      <c r="H5108" s="35"/>
      <c r="P5108" s="6"/>
    </row>
    <row r="5109" spans="1:16" ht="14.4" x14ac:dyDescent="0.25">
      <c r="A5109" s="6">
        <v>4454</v>
      </c>
      <c r="B5109" s="6">
        <v>31744</v>
      </c>
      <c r="C5109" s="19">
        <v>41161</v>
      </c>
      <c r="D5109" s="6" t="s">
        <v>16</v>
      </c>
      <c r="E5109" s="6">
        <f>IF((ISBLANK($B$1)),"",Sheet1!Q5120)</f>
        <v>4000</v>
      </c>
      <c r="F5109" s="20" t="s">
        <v>26</v>
      </c>
      <c r="G5109" s="53">
        <f t="shared" si="80"/>
        <v>-0.93735706776838001</v>
      </c>
      <c r="H5109" s="35"/>
      <c r="P5109" s="6"/>
    </row>
    <row r="5110" spans="1:16" ht="14.4" x14ac:dyDescent="0.25">
      <c r="A5110" s="6">
        <v>4465</v>
      </c>
      <c r="B5110" s="6">
        <v>31842</v>
      </c>
      <c r="C5110" s="19">
        <v>40375</v>
      </c>
      <c r="D5110" s="6" t="s">
        <v>16</v>
      </c>
      <c r="E5110" s="6">
        <f>IF((ISBLANK($B$1)),"",Sheet1!Q5121)</f>
        <v>3850</v>
      </c>
      <c r="F5110" s="20" t="s">
        <v>27</v>
      </c>
      <c r="G5110" s="53">
        <f t="shared" si="80"/>
        <v>-1.1445002086748115</v>
      </c>
      <c r="H5110" s="35"/>
      <c r="P5110" s="6"/>
    </row>
    <row r="5111" spans="1:16" ht="14.4" x14ac:dyDescent="0.25">
      <c r="A5111" s="6">
        <v>4484</v>
      </c>
      <c r="B5111" s="6">
        <v>31910</v>
      </c>
      <c r="C5111" s="19">
        <v>40115</v>
      </c>
      <c r="D5111" s="6" t="s">
        <v>16</v>
      </c>
      <c r="E5111" s="6">
        <f>IF((ISBLANK($B$1)),"",Sheet1!Q5122)</f>
        <v>3700</v>
      </c>
      <c r="F5111" s="20" t="s">
        <v>27</v>
      </c>
      <c r="G5111" s="53">
        <f t="shared" si="80"/>
        <v>-1.351643349581243</v>
      </c>
      <c r="H5111" s="35"/>
      <c r="P5111" s="6"/>
    </row>
    <row r="5112" spans="1:16" ht="14.4" x14ac:dyDescent="0.25">
      <c r="A5112" s="6">
        <v>4507</v>
      </c>
      <c r="B5112" s="6">
        <v>32069</v>
      </c>
      <c r="C5112" s="19">
        <v>40866</v>
      </c>
      <c r="D5112" s="6" t="s">
        <v>28</v>
      </c>
      <c r="E5112" s="6">
        <f>IF((ISBLANK($B$1)),"",Sheet1!Q5123)</f>
        <v>4250</v>
      </c>
      <c r="F5112" s="20" t="s">
        <v>26</v>
      </c>
      <c r="G5112" s="53">
        <f t="shared" si="80"/>
        <v>-0.59211849959099416</v>
      </c>
      <c r="H5112" s="35"/>
      <c r="P5112" s="6"/>
    </row>
    <row r="5113" spans="1:16" ht="14.4" x14ac:dyDescent="0.25">
      <c r="A5113" s="6">
        <v>4571</v>
      </c>
      <c r="B5113" s="6">
        <v>32519</v>
      </c>
      <c r="C5113" s="19">
        <v>40459</v>
      </c>
      <c r="D5113" s="6" t="s">
        <v>25</v>
      </c>
      <c r="E5113" s="6">
        <f>IF((ISBLANK($B$1)),"",Sheet1!Q5124)</f>
        <v>3800</v>
      </c>
      <c r="F5113" s="20" t="s">
        <v>26</v>
      </c>
      <c r="G5113" s="53">
        <f t="shared" si="80"/>
        <v>-1.2135479223102887</v>
      </c>
      <c r="H5113" s="35"/>
      <c r="P5113" s="6"/>
    </row>
    <row r="5114" spans="1:16" ht="14.4" x14ac:dyDescent="0.25">
      <c r="A5114" s="6">
        <v>4591</v>
      </c>
      <c r="B5114" s="6">
        <v>32647</v>
      </c>
      <c r="C5114" s="19">
        <v>40865</v>
      </c>
      <c r="D5114" s="6" t="s">
        <v>17</v>
      </c>
      <c r="E5114" s="6">
        <f>IF((ISBLANK($B$1)),"",Sheet1!Q5125)</f>
        <v>5000</v>
      </c>
      <c r="F5114" s="20" t="s">
        <v>27</v>
      </c>
      <c r="G5114" s="53">
        <f t="shared" si="80"/>
        <v>0.44359720494116334</v>
      </c>
      <c r="H5114" s="35"/>
      <c r="P5114" s="6"/>
    </row>
    <row r="5115" spans="1:16" ht="14.4" x14ac:dyDescent="0.25">
      <c r="A5115" s="6">
        <v>4592</v>
      </c>
      <c r="B5115" s="6">
        <v>32647</v>
      </c>
      <c r="C5115" s="19">
        <v>40865</v>
      </c>
      <c r="D5115" s="6" t="s">
        <v>17</v>
      </c>
      <c r="E5115" s="6">
        <f>IF((ISBLANK($B$1)),"",Sheet1!Q5126)</f>
        <v>4750</v>
      </c>
      <c r="F5115" s="20" t="s">
        <v>29</v>
      </c>
      <c r="G5115" s="53">
        <f t="shared" si="80"/>
        <v>9.8358636763777513E-2</v>
      </c>
      <c r="H5115" s="35"/>
      <c r="P5115" s="6"/>
    </row>
    <row r="5116" spans="1:16" ht="14.4" x14ac:dyDescent="0.25">
      <c r="A5116" s="6">
        <v>4632</v>
      </c>
      <c r="B5116" s="6">
        <v>32966</v>
      </c>
      <c r="C5116" s="19">
        <v>40934</v>
      </c>
      <c r="D5116" s="6" t="s">
        <v>25</v>
      </c>
      <c r="E5116" s="6">
        <f>IF((ISBLANK($B$1)),"",Sheet1!Q5127)</f>
        <v>3600</v>
      </c>
      <c r="F5116" s="20" t="s">
        <v>27</v>
      </c>
      <c r="G5116" s="53">
        <f t="shared" si="80"/>
        <v>-1.4897387768521975</v>
      </c>
      <c r="H5116" s="35"/>
      <c r="P5116" s="6"/>
    </row>
    <row r="5117" spans="1:16" ht="14.4" x14ac:dyDescent="0.25">
      <c r="A5117" s="6">
        <v>4633</v>
      </c>
      <c r="B5117" s="6">
        <v>32966</v>
      </c>
      <c r="C5117" s="19">
        <v>40934</v>
      </c>
      <c r="D5117" s="6" t="s">
        <v>25</v>
      </c>
      <c r="E5117" s="6">
        <f>IF((ISBLANK($B$1)),"",Sheet1!Q5128)</f>
        <v>5550</v>
      </c>
      <c r="F5117" s="20" t="s">
        <v>26</v>
      </c>
      <c r="G5117" s="53">
        <f t="shared" si="80"/>
        <v>1.2031220549314123</v>
      </c>
      <c r="H5117" s="35"/>
      <c r="P5117" s="6"/>
    </row>
    <row r="5118" spans="1:16" ht="14.4" x14ac:dyDescent="0.25">
      <c r="A5118" s="6">
        <v>4664</v>
      </c>
      <c r="B5118" s="6">
        <v>33218</v>
      </c>
      <c r="C5118" s="19">
        <v>40184</v>
      </c>
      <c r="D5118" s="6" t="s">
        <v>28</v>
      </c>
      <c r="E5118" s="6">
        <f>IF((ISBLANK($B$1)),"",Sheet1!Q5129)</f>
        <v>4650</v>
      </c>
      <c r="F5118" s="20" t="s">
        <v>26</v>
      </c>
      <c r="G5118" s="53">
        <f t="shared" si="80"/>
        <v>-3.9736790507176829E-2</v>
      </c>
      <c r="H5118" s="35"/>
      <c r="P5118" s="6"/>
    </row>
    <row r="5119" spans="1:16" ht="14.4" x14ac:dyDescent="0.25">
      <c r="A5119" s="6">
        <v>4665</v>
      </c>
      <c r="B5119" s="6">
        <v>33218</v>
      </c>
      <c r="C5119" s="19">
        <v>40184</v>
      </c>
      <c r="D5119" s="6" t="s">
        <v>28</v>
      </c>
      <c r="E5119" s="6">
        <f>IF((ISBLANK($B$1)),"",Sheet1!Q5130)</f>
        <v>4850</v>
      </c>
      <c r="F5119" s="20" t="s">
        <v>29</v>
      </c>
      <c r="G5119" s="53">
        <f t="shared" si="80"/>
        <v>0.23645406403473185</v>
      </c>
      <c r="H5119" s="35"/>
      <c r="P5119" s="6"/>
    </row>
    <row r="5120" spans="1:16" ht="14.4" x14ac:dyDescent="0.25">
      <c r="A5120" s="6">
        <v>4679</v>
      </c>
      <c r="B5120" s="6">
        <v>33285</v>
      </c>
      <c r="C5120" s="19">
        <v>40927</v>
      </c>
      <c r="D5120" s="6" t="s">
        <v>17</v>
      </c>
      <c r="E5120" s="6">
        <f>IF((ISBLANK($B$1)),"",Sheet1!Q5131)</f>
        <v>3650</v>
      </c>
      <c r="F5120" s="20" t="s">
        <v>26</v>
      </c>
      <c r="G5120" s="53">
        <f t="shared" si="80"/>
        <v>-1.4206910632167202</v>
      </c>
      <c r="H5120" s="35"/>
      <c r="P5120" s="6"/>
    </row>
    <row r="5121" spans="1:16" ht="14.4" x14ac:dyDescent="0.25">
      <c r="A5121" s="6">
        <v>4701</v>
      </c>
      <c r="B5121" s="6">
        <v>33479</v>
      </c>
      <c r="C5121" s="19">
        <v>41170</v>
      </c>
      <c r="D5121" s="6" t="s">
        <v>30</v>
      </c>
      <c r="E5121" s="6">
        <f>IF((ISBLANK($B$1)),"",Sheet1!Q5132)</f>
        <v>4600</v>
      </c>
      <c r="F5121" s="20" t="s">
        <v>26</v>
      </c>
      <c r="G5121" s="53">
        <f t="shared" si="80"/>
        <v>-0.108784504142654</v>
      </c>
      <c r="H5121" s="35"/>
      <c r="P5121" s="6"/>
    </row>
    <row r="5122" spans="1:16" ht="14.4" x14ac:dyDescent="0.25">
      <c r="A5122" s="6">
        <v>4706</v>
      </c>
      <c r="B5122" s="6">
        <v>33537</v>
      </c>
      <c r="C5122" s="19">
        <v>40403</v>
      </c>
      <c r="D5122" s="6" t="s">
        <v>16</v>
      </c>
      <c r="E5122" s="6">
        <f>IF((ISBLANK($B$1)),"",Sheet1!Q5133)</f>
        <v>4700</v>
      </c>
      <c r="F5122" s="20" t="s">
        <v>26</v>
      </c>
      <c r="G5122" s="53">
        <f t="shared" si="80"/>
        <v>2.9310923128300338E-2</v>
      </c>
      <c r="H5122" s="35"/>
      <c r="P5122" s="6"/>
    </row>
    <row r="5123" spans="1:16" ht="14.4" x14ac:dyDescent="0.25">
      <c r="A5123" s="6">
        <v>4707</v>
      </c>
      <c r="B5123" s="6">
        <v>33537</v>
      </c>
      <c r="C5123" s="19">
        <v>40403</v>
      </c>
      <c r="D5123" s="6" t="s">
        <v>16</v>
      </c>
      <c r="E5123" s="6">
        <f>IF((ISBLANK($B$1)),"",Sheet1!Q5134)</f>
        <v>3850</v>
      </c>
      <c r="F5123" s="20" t="s">
        <v>27</v>
      </c>
      <c r="G5123" s="53">
        <f t="shared" si="80"/>
        <v>-1.1445002086748115</v>
      </c>
      <c r="H5123" s="35"/>
      <c r="P5123" s="6"/>
    </row>
    <row r="5124" spans="1:16" ht="14.4" x14ac:dyDescent="0.25">
      <c r="A5124" s="6">
        <v>4712</v>
      </c>
      <c r="B5124" s="6">
        <v>33569</v>
      </c>
      <c r="C5124" s="19">
        <v>40053</v>
      </c>
      <c r="D5124" s="6" t="s">
        <v>25</v>
      </c>
      <c r="E5124" s="6">
        <f>IF((ISBLANK($B$1)),"",Sheet1!Q5135)</f>
        <v>3850</v>
      </c>
      <c r="F5124" s="20" t="s">
        <v>29</v>
      </c>
      <c r="G5124" s="53">
        <f t="shared" si="80"/>
        <v>-1.1445002086748115</v>
      </c>
      <c r="H5124" s="35"/>
      <c r="P5124" s="6"/>
    </row>
    <row r="5125" spans="1:16" ht="14.4" x14ac:dyDescent="0.25">
      <c r="A5125" s="6">
        <v>4716</v>
      </c>
      <c r="B5125" s="6">
        <v>33571</v>
      </c>
      <c r="C5125" s="19">
        <v>40827</v>
      </c>
      <c r="D5125" s="6" t="s">
        <v>16</v>
      </c>
      <c r="E5125" s="6">
        <f>IF((ISBLANK($B$1)),"",Sheet1!Q5136)</f>
        <v>3450</v>
      </c>
      <c r="F5125" s="20" t="s">
        <v>29</v>
      </c>
      <c r="G5125" s="53">
        <f t="shared" si="80"/>
        <v>-1.696881917758629</v>
      </c>
      <c r="H5125" s="35"/>
      <c r="P5125" s="6"/>
    </row>
    <row r="5126" spans="1:16" ht="14.4" x14ac:dyDescent="0.25">
      <c r="A5126" s="6">
        <v>4726</v>
      </c>
      <c r="B5126" s="6">
        <v>33637</v>
      </c>
      <c r="C5126" s="19">
        <v>41237</v>
      </c>
      <c r="D5126" s="6" t="s">
        <v>25</v>
      </c>
      <c r="E5126" s="6">
        <f>IF((ISBLANK($B$1)),"",Sheet1!Q5137)</f>
        <v>5150</v>
      </c>
      <c r="F5126" s="20" t="s">
        <v>29</v>
      </c>
      <c r="G5126" s="53">
        <f t="shared" si="80"/>
        <v>0.65074034584759488</v>
      </c>
      <c r="H5126" s="35"/>
      <c r="P5126" s="6"/>
    </row>
    <row r="5127" spans="1:16" ht="14.4" x14ac:dyDescent="0.25">
      <c r="A5127" s="6">
        <v>4729</v>
      </c>
      <c r="B5127" s="6">
        <v>33670</v>
      </c>
      <c r="C5127" s="19">
        <v>41026</v>
      </c>
      <c r="D5127" s="6" t="s">
        <v>17</v>
      </c>
      <c r="E5127" s="6">
        <f>IF((ISBLANK($B$1)),"",Sheet1!Q5138)</f>
        <v>5900</v>
      </c>
      <c r="F5127" s="20" t="s">
        <v>26</v>
      </c>
      <c r="G5127" s="53">
        <f t="shared" si="80"/>
        <v>1.6864560503797523</v>
      </c>
      <c r="H5127" s="35"/>
      <c r="P5127" s="6"/>
    </row>
    <row r="5128" spans="1:16" ht="14.4" x14ac:dyDescent="0.25">
      <c r="A5128" s="6">
        <v>4730</v>
      </c>
      <c r="B5128" s="6">
        <v>33670</v>
      </c>
      <c r="C5128" s="19">
        <v>41026</v>
      </c>
      <c r="D5128" s="6" t="s">
        <v>17</v>
      </c>
      <c r="E5128" s="6">
        <f>IF((ISBLANK($B$1)),"",Sheet1!Q5139)</f>
        <v>3600</v>
      </c>
      <c r="F5128" s="20" t="s">
        <v>26</v>
      </c>
      <c r="G5128" s="53">
        <f t="shared" ref="G5128:G5191" si="81">STANDARDIZE(E5128,$L$26,$L$35)</f>
        <v>-1.4897387768521975</v>
      </c>
      <c r="H5128" s="35"/>
      <c r="P5128" s="6"/>
    </row>
    <row r="5129" spans="1:16" ht="14.4" x14ac:dyDescent="0.25">
      <c r="A5129" s="6">
        <v>4753</v>
      </c>
      <c r="B5129" s="6">
        <v>33794</v>
      </c>
      <c r="C5129" s="19">
        <v>40596</v>
      </c>
      <c r="D5129" s="6" t="s">
        <v>30</v>
      </c>
      <c r="E5129" s="6">
        <f>IF((ISBLANK($B$1)),"",Sheet1!Q5140)</f>
        <v>4300</v>
      </c>
      <c r="F5129" s="20" t="s">
        <v>29</v>
      </c>
      <c r="G5129" s="53">
        <f t="shared" si="81"/>
        <v>-0.52307078595551704</v>
      </c>
      <c r="H5129" s="35"/>
      <c r="P5129" s="6"/>
    </row>
    <row r="5130" spans="1:16" ht="14.4" x14ac:dyDescent="0.25">
      <c r="A5130" s="6">
        <v>4761</v>
      </c>
      <c r="B5130" s="6">
        <v>33857</v>
      </c>
      <c r="C5130" s="19">
        <v>40297</v>
      </c>
      <c r="D5130" s="6" t="s">
        <v>30</v>
      </c>
      <c r="E5130" s="6">
        <f>IF((ISBLANK($B$1)),"",Sheet1!Q5141)</f>
        <v>4300</v>
      </c>
      <c r="F5130" s="20" t="s">
        <v>26</v>
      </c>
      <c r="G5130" s="53">
        <f t="shared" si="81"/>
        <v>-0.52307078595551704</v>
      </c>
      <c r="H5130" s="35"/>
      <c r="P5130" s="6"/>
    </row>
    <row r="5131" spans="1:16" ht="14.4" x14ac:dyDescent="0.25">
      <c r="A5131" s="6">
        <v>4833</v>
      </c>
      <c r="B5131" s="6">
        <v>34400</v>
      </c>
      <c r="C5131" s="19">
        <v>41267</v>
      </c>
      <c r="D5131" s="6" t="s">
        <v>25</v>
      </c>
      <c r="E5131" s="6">
        <f>IF((ISBLANK($B$1)),"",Sheet1!Q5142)</f>
        <v>4650</v>
      </c>
      <c r="F5131" s="20" t="s">
        <v>26</v>
      </c>
      <c r="G5131" s="53">
        <f t="shared" si="81"/>
        <v>-3.9736790507176829E-2</v>
      </c>
      <c r="H5131" s="35"/>
      <c r="P5131" s="6"/>
    </row>
    <row r="5132" spans="1:16" ht="14.4" x14ac:dyDescent="0.25">
      <c r="A5132" s="6">
        <v>4834</v>
      </c>
      <c r="B5132" s="6">
        <v>34400</v>
      </c>
      <c r="C5132" s="19">
        <v>41267</v>
      </c>
      <c r="D5132" s="6" t="s">
        <v>25</v>
      </c>
      <c r="E5132" s="6">
        <f>IF((ISBLANK($B$1)),"",Sheet1!Q5143)</f>
        <v>4250</v>
      </c>
      <c r="F5132" s="20" t="s">
        <v>27</v>
      </c>
      <c r="G5132" s="53">
        <f t="shared" si="81"/>
        <v>-0.59211849959099416</v>
      </c>
      <c r="H5132" s="35"/>
      <c r="P5132" s="6"/>
    </row>
    <row r="5133" spans="1:16" ht="14.4" x14ac:dyDescent="0.25">
      <c r="A5133" s="6">
        <v>4838</v>
      </c>
      <c r="B5133" s="6">
        <v>34407</v>
      </c>
      <c r="C5133" s="19">
        <v>40390</v>
      </c>
      <c r="D5133" s="6" t="s">
        <v>25</v>
      </c>
      <c r="E5133" s="6">
        <f>IF((ISBLANK($B$1)),"",Sheet1!Q5144)</f>
        <v>5450</v>
      </c>
      <c r="F5133" s="20" t="s">
        <v>26</v>
      </c>
      <c r="G5133" s="53">
        <f t="shared" si="81"/>
        <v>1.0650266276604579</v>
      </c>
      <c r="H5133" s="35"/>
      <c r="P5133" s="6"/>
    </row>
    <row r="5134" spans="1:16" ht="14.4" x14ac:dyDescent="0.25">
      <c r="A5134" s="6">
        <v>4839</v>
      </c>
      <c r="B5134" s="6">
        <v>34432</v>
      </c>
      <c r="C5134" s="19">
        <v>39910</v>
      </c>
      <c r="D5134" s="6" t="s">
        <v>28</v>
      </c>
      <c r="E5134" s="6">
        <f>IF((ISBLANK($B$1)),"",Sheet1!Q5145)</f>
        <v>4400</v>
      </c>
      <c r="F5134" s="20" t="s">
        <v>26</v>
      </c>
      <c r="G5134" s="53">
        <f t="shared" si="81"/>
        <v>-0.38497535868456267</v>
      </c>
      <c r="H5134" s="35"/>
      <c r="P5134" s="6"/>
    </row>
    <row r="5135" spans="1:16" ht="14.4" x14ac:dyDescent="0.25">
      <c r="A5135" s="6">
        <v>4840</v>
      </c>
      <c r="B5135" s="6">
        <v>34432</v>
      </c>
      <c r="C5135" s="19">
        <v>39910</v>
      </c>
      <c r="D5135" s="6" t="s">
        <v>28</v>
      </c>
      <c r="E5135" s="6">
        <f>IF((ISBLANK($B$1)),"",Sheet1!Q5146)</f>
        <v>3550</v>
      </c>
      <c r="F5135" s="20" t="s">
        <v>26</v>
      </c>
      <c r="G5135" s="53">
        <f t="shared" si="81"/>
        <v>-1.5587864904876745</v>
      </c>
      <c r="H5135" s="35"/>
      <c r="P5135" s="6"/>
    </row>
    <row r="5136" spans="1:16" ht="14.4" x14ac:dyDescent="0.25">
      <c r="A5136" s="6">
        <v>4846</v>
      </c>
      <c r="B5136" s="6">
        <v>34497</v>
      </c>
      <c r="C5136" s="19">
        <v>39882</v>
      </c>
      <c r="D5136" s="6" t="s">
        <v>16</v>
      </c>
      <c r="E5136" s="6">
        <f>IF((ISBLANK($B$1)),"",Sheet1!Q5147)</f>
        <v>5200</v>
      </c>
      <c r="F5136" s="20" t="s">
        <v>26</v>
      </c>
      <c r="G5136" s="53">
        <f t="shared" si="81"/>
        <v>0.71978805948307201</v>
      </c>
      <c r="H5136" s="35"/>
      <c r="P5136" s="6"/>
    </row>
    <row r="5137" spans="1:16" ht="14.4" x14ac:dyDescent="0.25">
      <c r="A5137" s="6">
        <v>4847</v>
      </c>
      <c r="B5137" s="6">
        <v>34497</v>
      </c>
      <c r="C5137" s="19">
        <v>39882</v>
      </c>
      <c r="D5137" s="6" t="s">
        <v>16</v>
      </c>
      <c r="E5137" s="6">
        <f>IF((ISBLANK($B$1)),"",Sheet1!Q5148)</f>
        <v>4650</v>
      </c>
      <c r="F5137" s="20" t="s">
        <v>26</v>
      </c>
      <c r="G5137" s="53">
        <f t="shared" si="81"/>
        <v>-3.9736790507176829E-2</v>
      </c>
      <c r="H5137" s="35"/>
      <c r="P5137" s="6"/>
    </row>
    <row r="5138" spans="1:16" ht="14.4" x14ac:dyDescent="0.25">
      <c r="A5138" s="6">
        <v>4848</v>
      </c>
      <c r="B5138" s="6">
        <v>34498</v>
      </c>
      <c r="C5138" s="19">
        <v>39859</v>
      </c>
      <c r="D5138" s="6" t="s">
        <v>25</v>
      </c>
      <c r="E5138" s="6">
        <f>IF((ISBLANK($B$1)),"",Sheet1!Q5149)</f>
        <v>3600</v>
      </c>
      <c r="F5138" s="20" t="s">
        <v>26</v>
      </c>
      <c r="G5138" s="53">
        <f t="shared" si="81"/>
        <v>-1.4897387768521975</v>
      </c>
      <c r="H5138" s="35"/>
      <c r="P5138" s="6"/>
    </row>
    <row r="5139" spans="1:16" ht="14.4" x14ac:dyDescent="0.25">
      <c r="A5139" s="6">
        <v>4849</v>
      </c>
      <c r="B5139" s="6">
        <v>34498</v>
      </c>
      <c r="C5139" s="19">
        <v>39859</v>
      </c>
      <c r="D5139" s="6" t="s">
        <v>25</v>
      </c>
      <c r="E5139" s="6">
        <f>IF((ISBLANK($B$1)),"",Sheet1!Q5150)</f>
        <v>3550</v>
      </c>
      <c r="F5139" s="20" t="s">
        <v>26</v>
      </c>
      <c r="G5139" s="53">
        <f t="shared" si="81"/>
        <v>-1.5587864904876745</v>
      </c>
      <c r="H5139" s="35"/>
      <c r="P5139" s="6"/>
    </row>
    <row r="5140" spans="1:16" ht="14.4" x14ac:dyDescent="0.25">
      <c r="A5140" s="6">
        <v>4925</v>
      </c>
      <c r="B5140" s="6">
        <v>35045</v>
      </c>
      <c r="C5140" s="19">
        <v>41001</v>
      </c>
      <c r="D5140" s="6" t="s">
        <v>16</v>
      </c>
      <c r="E5140" s="6">
        <f>IF((ISBLANK($B$1)),"",Sheet1!Q5151)</f>
        <v>5600</v>
      </c>
      <c r="F5140" s="20" t="s">
        <v>26</v>
      </c>
      <c r="G5140" s="53">
        <f t="shared" si="81"/>
        <v>1.2721697685668893</v>
      </c>
      <c r="H5140" s="35"/>
      <c r="P5140" s="6"/>
    </row>
    <row r="5141" spans="1:16" ht="14.4" x14ac:dyDescent="0.25">
      <c r="A5141" s="6">
        <v>4954</v>
      </c>
      <c r="B5141" s="6">
        <v>35265</v>
      </c>
      <c r="C5141" s="19">
        <v>40511</v>
      </c>
      <c r="D5141" s="6" t="s">
        <v>28</v>
      </c>
      <c r="E5141" s="6">
        <f>IF((ISBLANK($B$1)),"",Sheet1!Q5152)</f>
        <v>3600</v>
      </c>
      <c r="F5141" s="20" t="s">
        <v>26</v>
      </c>
      <c r="G5141" s="53">
        <f t="shared" si="81"/>
        <v>-1.4897387768521975</v>
      </c>
      <c r="H5141" s="35"/>
      <c r="P5141" s="6"/>
    </row>
    <row r="5142" spans="1:16" ht="14.4" x14ac:dyDescent="0.25">
      <c r="A5142" s="6">
        <v>4955</v>
      </c>
      <c r="B5142" s="6">
        <v>35265</v>
      </c>
      <c r="C5142" s="19">
        <v>40511</v>
      </c>
      <c r="D5142" s="6" t="s">
        <v>28</v>
      </c>
      <c r="E5142" s="6">
        <f>IF((ISBLANK($B$1)),"",Sheet1!Q5153)</f>
        <v>4200</v>
      </c>
      <c r="F5142" s="20" t="s">
        <v>29</v>
      </c>
      <c r="G5142" s="53">
        <f t="shared" si="81"/>
        <v>-0.6611662132264714</v>
      </c>
      <c r="H5142" s="35"/>
      <c r="P5142" s="6"/>
    </row>
    <row r="5143" spans="1:16" ht="14.4" x14ac:dyDescent="0.25">
      <c r="A5143" s="6">
        <v>4956</v>
      </c>
      <c r="B5143" s="6">
        <v>35265</v>
      </c>
      <c r="C5143" s="19">
        <v>40511</v>
      </c>
      <c r="D5143" s="6" t="s">
        <v>28</v>
      </c>
      <c r="E5143" s="6">
        <f>IF((ISBLANK($B$1)),"",Sheet1!Q5154)</f>
        <v>3500</v>
      </c>
      <c r="F5143" s="20" t="s">
        <v>27</v>
      </c>
      <c r="G5143" s="53">
        <f t="shared" si="81"/>
        <v>-1.6278342041231517</v>
      </c>
      <c r="H5143" s="35"/>
      <c r="P5143" s="6"/>
    </row>
    <row r="5144" spans="1:16" ht="14.4" x14ac:dyDescent="0.25">
      <c r="A5144" s="6">
        <v>4985</v>
      </c>
      <c r="B5144" s="6">
        <v>35461</v>
      </c>
      <c r="C5144" s="19">
        <v>39965</v>
      </c>
      <c r="D5144" s="6" t="s">
        <v>30</v>
      </c>
      <c r="E5144" s="6">
        <f>IF((ISBLANK($B$1)),"",Sheet1!Q5155)</f>
        <v>3950</v>
      </c>
      <c r="F5144" s="20" t="s">
        <v>26</v>
      </c>
      <c r="G5144" s="53">
        <f t="shared" si="81"/>
        <v>-1.0064047814038573</v>
      </c>
      <c r="H5144" s="35"/>
      <c r="P5144" s="6"/>
    </row>
    <row r="5145" spans="1:16" ht="14.4" x14ac:dyDescent="0.25">
      <c r="A5145" s="6">
        <v>4986</v>
      </c>
      <c r="B5145" s="6">
        <v>35461</v>
      </c>
      <c r="C5145" s="19">
        <v>39965</v>
      </c>
      <c r="D5145" s="6" t="s">
        <v>30</v>
      </c>
      <c r="E5145" s="6">
        <f>IF((ISBLANK($B$1)),"",Sheet1!Q5156)</f>
        <v>4900</v>
      </c>
      <c r="F5145" s="20" t="s">
        <v>26</v>
      </c>
      <c r="G5145" s="53">
        <f t="shared" si="81"/>
        <v>0.30550177767020903</v>
      </c>
      <c r="H5145" s="35"/>
      <c r="P5145" s="6"/>
    </row>
    <row r="5146" spans="1:16" ht="14.4" x14ac:dyDescent="0.25">
      <c r="A5146" s="6">
        <v>5000</v>
      </c>
      <c r="B5146" s="6">
        <v>35590</v>
      </c>
      <c r="C5146" s="19">
        <v>41245</v>
      </c>
      <c r="D5146" s="6" t="s">
        <v>30</v>
      </c>
      <c r="E5146" s="6">
        <f>IF((ISBLANK($B$1)),"",Sheet1!Q5157)</f>
        <v>3600</v>
      </c>
      <c r="F5146" s="20" t="s">
        <v>27</v>
      </c>
      <c r="G5146" s="53">
        <f t="shared" si="81"/>
        <v>-1.4897387768521975</v>
      </c>
      <c r="H5146" s="35"/>
      <c r="P5146" s="6"/>
    </row>
    <row r="5147" spans="1:16" ht="14.4" x14ac:dyDescent="0.25">
      <c r="A5147" s="6">
        <v>5006</v>
      </c>
      <c r="B5147" s="6">
        <v>35687</v>
      </c>
      <c r="C5147" s="19">
        <v>40865</v>
      </c>
      <c r="D5147" s="6" t="s">
        <v>28</v>
      </c>
      <c r="E5147" s="6">
        <f>IF((ISBLANK($B$1)),"",Sheet1!Q5158)</f>
        <v>5800</v>
      </c>
      <c r="F5147" s="20" t="s">
        <v>29</v>
      </c>
      <c r="G5147" s="53">
        <f t="shared" si="81"/>
        <v>1.5483606231087981</v>
      </c>
      <c r="H5147" s="35"/>
      <c r="P5147" s="6"/>
    </row>
    <row r="5148" spans="1:16" ht="14.4" x14ac:dyDescent="0.25">
      <c r="A5148" s="6">
        <v>5011</v>
      </c>
      <c r="B5148" s="6">
        <v>35776</v>
      </c>
      <c r="C5148" s="19">
        <v>39848</v>
      </c>
      <c r="D5148" s="6" t="s">
        <v>16</v>
      </c>
      <c r="E5148" s="6">
        <f>IF((ISBLANK($B$1)),"",Sheet1!Q5159)</f>
        <v>3850</v>
      </c>
      <c r="F5148" s="20" t="s">
        <v>26</v>
      </c>
      <c r="G5148" s="53">
        <f t="shared" si="81"/>
        <v>-1.1445002086748115</v>
      </c>
      <c r="H5148" s="35"/>
      <c r="P5148" s="6"/>
    </row>
    <row r="5149" spans="1:16" ht="14.4" x14ac:dyDescent="0.25">
      <c r="A5149" s="6">
        <v>5012</v>
      </c>
      <c r="B5149" s="6">
        <v>35776</v>
      </c>
      <c r="C5149" s="19">
        <v>39848</v>
      </c>
      <c r="D5149" s="6" t="s">
        <v>16</v>
      </c>
      <c r="E5149" s="6">
        <f>IF((ISBLANK($B$1)),"",Sheet1!Q5160)</f>
        <v>5200</v>
      </c>
      <c r="F5149" s="20" t="s">
        <v>26</v>
      </c>
      <c r="G5149" s="53">
        <f t="shared" si="81"/>
        <v>0.71978805948307201</v>
      </c>
      <c r="H5149" s="35"/>
      <c r="P5149" s="6"/>
    </row>
    <row r="5150" spans="1:16" ht="14.4" x14ac:dyDescent="0.25">
      <c r="A5150" s="6">
        <v>5015</v>
      </c>
      <c r="B5150" s="6">
        <v>35782</v>
      </c>
      <c r="C5150" s="19">
        <v>40760</v>
      </c>
      <c r="D5150" s="6" t="s">
        <v>25</v>
      </c>
      <c r="E5150" s="6">
        <f>IF((ISBLANK($B$1)),"",Sheet1!Q5161)</f>
        <v>5500</v>
      </c>
      <c r="F5150" s="20" t="s">
        <v>26</v>
      </c>
      <c r="G5150" s="53">
        <f t="shared" si="81"/>
        <v>1.1340743412959351</v>
      </c>
      <c r="H5150" s="35"/>
      <c r="P5150" s="6"/>
    </row>
    <row r="5151" spans="1:16" ht="14.4" x14ac:dyDescent="0.25">
      <c r="A5151" s="6">
        <v>5016</v>
      </c>
      <c r="B5151" s="6">
        <v>35782</v>
      </c>
      <c r="C5151" s="19">
        <v>40760</v>
      </c>
      <c r="D5151" s="6" t="s">
        <v>25</v>
      </c>
      <c r="E5151" s="6">
        <f>IF((ISBLANK($B$1)),"",Sheet1!Q5162)</f>
        <v>4050</v>
      </c>
      <c r="F5151" s="20" t="s">
        <v>29</v>
      </c>
      <c r="G5151" s="53">
        <f t="shared" si="81"/>
        <v>-0.86830935413290289</v>
      </c>
      <c r="H5151" s="35"/>
      <c r="P5151" s="6"/>
    </row>
    <row r="5152" spans="1:16" ht="14.4" x14ac:dyDescent="0.25">
      <c r="A5152" s="6">
        <v>5022</v>
      </c>
      <c r="B5152" s="6">
        <v>35813</v>
      </c>
      <c r="C5152" s="19">
        <v>39924</v>
      </c>
      <c r="D5152" s="6" t="s">
        <v>30</v>
      </c>
      <c r="E5152" s="6">
        <f>IF((ISBLANK($B$1)),"",Sheet1!Q5163)</f>
        <v>4450</v>
      </c>
      <c r="F5152" s="20" t="s">
        <v>26</v>
      </c>
      <c r="G5152" s="53">
        <f t="shared" si="81"/>
        <v>-0.31592764504908549</v>
      </c>
      <c r="H5152" s="35"/>
      <c r="P5152" s="6"/>
    </row>
    <row r="5153" spans="1:16" ht="14.4" x14ac:dyDescent="0.25">
      <c r="A5153" s="6">
        <v>5023</v>
      </c>
      <c r="B5153" s="6">
        <v>35813</v>
      </c>
      <c r="C5153" s="19">
        <v>39924</v>
      </c>
      <c r="D5153" s="6" t="s">
        <v>30</v>
      </c>
      <c r="E5153" s="6">
        <f>IF((ISBLANK($B$1)),"",Sheet1!Q5164)</f>
        <v>4450</v>
      </c>
      <c r="F5153" s="20" t="s">
        <v>29</v>
      </c>
      <c r="G5153" s="53">
        <f t="shared" si="81"/>
        <v>-0.31592764504908549</v>
      </c>
      <c r="H5153" s="35"/>
      <c r="P5153" s="6"/>
    </row>
    <row r="5154" spans="1:16" ht="14.4" x14ac:dyDescent="0.25">
      <c r="A5154" s="6">
        <v>5050</v>
      </c>
      <c r="B5154" s="6">
        <v>36003</v>
      </c>
      <c r="C5154" s="19">
        <v>40482</v>
      </c>
      <c r="D5154" s="6" t="s">
        <v>16</v>
      </c>
      <c r="E5154" s="6">
        <f>IF((ISBLANK($B$1)),"",Sheet1!Q5165)</f>
        <v>5400</v>
      </c>
      <c r="F5154" s="20" t="s">
        <v>26</v>
      </c>
      <c r="G5154" s="53">
        <f t="shared" si="81"/>
        <v>0.99597891402498073</v>
      </c>
      <c r="H5154" s="35"/>
      <c r="P5154" s="6"/>
    </row>
    <row r="5155" spans="1:16" ht="14.4" x14ac:dyDescent="0.25">
      <c r="A5155" s="6">
        <v>5051</v>
      </c>
      <c r="B5155" s="6">
        <v>36003</v>
      </c>
      <c r="C5155" s="19">
        <v>40482</v>
      </c>
      <c r="D5155" s="6" t="s">
        <v>16</v>
      </c>
      <c r="E5155" s="6">
        <f>IF((ISBLANK($B$1)),"",Sheet1!Q5166)</f>
        <v>5800</v>
      </c>
      <c r="F5155" s="20" t="s">
        <v>26</v>
      </c>
      <c r="G5155" s="53">
        <f t="shared" si="81"/>
        <v>1.5483606231087981</v>
      </c>
      <c r="H5155" s="35"/>
      <c r="P5155" s="6"/>
    </row>
    <row r="5156" spans="1:16" ht="14.4" x14ac:dyDescent="0.25">
      <c r="A5156" s="6">
        <v>5065</v>
      </c>
      <c r="B5156" s="6">
        <v>36102</v>
      </c>
      <c r="C5156" s="19">
        <v>40318</v>
      </c>
      <c r="D5156" s="6" t="s">
        <v>28</v>
      </c>
      <c r="E5156" s="6">
        <f>IF((ISBLANK($B$1)),"",Sheet1!Q5167)</f>
        <v>5200</v>
      </c>
      <c r="F5156" s="20" t="s">
        <v>29</v>
      </c>
      <c r="G5156" s="53">
        <f t="shared" si="81"/>
        <v>0.71978805948307201</v>
      </c>
      <c r="H5156" s="35"/>
      <c r="P5156" s="6"/>
    </row>
    <row r="5157" spans="1:16" ht="14.4" x14ac:dyDescent="0.25">
      <c r="A5157" s="6">
        <v>5094</v>
      </c>
      <c r="B5157" s="6">
        <v>36295</v>
      </c>
      <c r="C5157" s="19">
        <v>40425</v>
      </c>
      <c r="D5157" s="6" t="s">
        <v>16</v>
      </c>
      <c r="E5157" s="6">
        <f>IF((ISBLANK($B$1)),"",Sheet1!Q5168)</f>
        <v>3900</v>
      </c>
      <c r="F5157" s="20" t="s">
        <v>26</v>
      </c>
      <c r="G5157" s="53">
        <f t="shared" si="81"/>
        <v>-1.0754524950393345</v>
      </c>
      <c r="H5157" s="35"/>
      <c r="P5157" s="6"/>
    </row>
    <row r="5158" spans="1:16" ht="14.4" x14ac:dyDescent="0.25">
      <c r="A5158" s="6">
        <v>5095</v>
      </c>
      <c r="B5158" s="6">
        <v>36323</v>
      </c>
      <c r="C5158" s="19">
        <v>40469</v>
      </c>
      <c r="D5158" s="6" t="s">
        <v>17</v>
      </c>
      <c r="E5158" s="6">
        <f>IF((ISBLANK($B$1)),"",Sheet1!Q5169)</f>
        <v>3650</v>
      </c>
      <c r="F5158" s="20" t="s">
        <v>27</v>
      </c>
      <c r="G5158" s="53">
        <f t="shared" si="81"/>
        <v>-1.4206910632167202</v>
      </c>
      <c r="H5158" s="35"/>
      <c r="P5158" s="6"/>
    </row>
    <row r="5159" spans="1:16" ht="14.4" x14ac:dyDescent="0.25">
      <c r="A5159" s="6">
        <v>5096</v>
      </c>
      <c r="B5159" s="6">
        <v>36354</v>
      </c>
      <c r="C5159" s="19">
        <v>41065</v>
      </c>
      <c r="D5159" s="6" t="s">
        <v>16</v>
      </c>
      <c r="E5159" s="6">
        <f>IF((ISBLANK($B$1)),"",Sheet1!Q5170)</f>
        <v>4050</v>
      </c>
      <c r="F5159" s="20" t="s">
        <v>26</v>
      </c>
      <c r="G5159" s="53">
        <f t="shared" si="81"/>
        <v>-0.86830935413290289</v>
      </c>
      <c r="H5159" s="35"/>
      <c r="P5159" s="6"/>
    </row>
    <row r="5160" spans="1:16" ht="14.4" x14ac:dyDescent="0.25">
      <c r="A5160" s="6">
        <v>5126</v>
      </c>
      <c r="B5160" s="6">
        <v>36512</v>
      </c>
      <c r="C5160" s="19">
        <v>40996</v>
      </c>
      <c r="D5160" s="6" t="s">
        <v>28</v>
      </c>
      <c r="E5160" s="6">
        <f>IF((ISBLANK($B$1)),"",Sheet1!Q5171)</f>
        <v>4900</v>
      </c>
      <c r="F5160" s="20" t="s">
        <v>29</v>
      </c>
      <c r="G5160" s="53">
        <f t="shared" si="81"/>
        <v>0.30550177767020903</v>
      </c>
      <c r="H5160" s="35"/>
      <c r="P5160" s="6"/>
    </row>
    <row r="5161" spans="1:16" ht="14.4" x14ac:dyDescent="0.25">
      <c r="A5161" s="6">
        <v>5127</v>
      </c>
      <c r="B5161" s="6">
        <v>36512</v>
      </c>
      <c r="C5161" s="19">
        <v>40996</v>
      </c>
      <c r="D5161" s="6" t="s">
        <v>28</v>
      </c>
      <c r="E5161" s="6">
        <f>IF((ISBLANK($B$1)),"",Sheet1!Q5172)</f>
        <v>3550</v>
      </c>
      <c r="F5161" s="20" t="s">
        <v>29</v>
      </c>
      <c r="G5161" s="53">
        <f t="shared" si="81"/>
        <v>-1.5587864904876745</v>
      </c>
      <c r="H5161" s="35"/>
      <c r="P5161" s="6"/>
    </row>
    <row r="5162" spans="1:16" ht="14.4" x14ac:dyDescent="0.25">
      <c r="A5162" s="6">
        <v>5198</v>
      </c>
      <c r="B5162" s="6">
        <v>36932</v>
      </c>
      <c r="C5162" s="19">
        <v>40001</v>
      </c>
      <c r="D5162" s="6" t="s">
        <v>25</v>
      </c>
      <c r="E5162" s="6">
        <f>IF((ISBLANK($B$1)),"",Sheet1!Q5173)</f>
        <v>4400</v>
      </c>
      <c r="F5162" s="20" t="s">
        <v>26</v>
      </c>
      <c r="G5162" s="53">
        <f t="shared" si="81"/>
        <v>-0.38497535868456267</v>
      </c>
      <c r="H5162" s="35"/>
      <c r="P5162" s="6"/>
    </row>
    <row r="5163" spans="1:16" ht="14.4" x14ac:dyDescent="0.25">
      <c r="A5163" s="6">
        <v>5211</v>
      </c>
      <c r="B5163" s="6">
        <v>37025</v>
      </c>
      <c r="C5163" s="19">
        <v>40127</v>
      </c>
      <c r="D5163" s="6" t="s">
        <v>17</v>
      </c>
      <c r="E5163" s="6">
        <f>IF((ISBLANK($B$1)),"",Sheet1!Q5174)</f>
        <v>5250</v>
      </c>
      <c r="F5163" s="20" t="s">
        <v>27</v>
      </c>
      <c r="G5163" s="53">
        <f t="shared" si="81"/>
        <v>0.78883577311854924</v>
      </c>
      <c r="H5163" s="35"/>
      <c r="P5163" s="6"/>
    </row>
    <row r="5164" spans="1:16" ht="14.4" x14ac:dyDescent="0.25">
      <c r="A5164" s="6">
        <v>5216</v>
      </c>
      <c r="B5164" s="6">
        <v>37124</v>
      </c>
      <c r="C5164" s="19">
        <v>40998</v>
      </c>
      <c r="D5164" s="6" t="s">
        <v>25</v>
      </c>
      <c r="E5164" s="6">
        <f>IF((ISBLANK($B$1)),"",Sheet1!Q5175)</f>
        <v>5050</v>
      </c>
      <c r="F5164" s="20" t="s">
        <v>27</v>
      </c>
      <c r="G5164" s="53">
        <f t="shared" si="81"/>
        <v>0.51264491857664052</v>
      </c>
      <c r="H5164" s="35"/>
      <c r="P5164" s="6"/>
    </row>
    <row r="5165" spans="1:16" ht="14.4" x14ac:dyDescent="0.25">
      <c r="A5165" s="6">
        <v>5293</v>
      </c>
      <c r="B5165" s="6">
        <v>37696</v>
      </c>
      <c r="C5165" s="19">
        <v>40003</v>
      </c>
      <c r="D5165" s="6" t="s">
        <v>28</v>
      </c>
      <c r="E5165" s="6">
        <f>IF((ISBLANK($B$1)),"",Sheet1!Q5176)</f>
        <v>3650</v>
      </c>
      <c r="F5165" s="20" t="s">
        <v>26</v>
      </c>
      <c r="G5165" s="53">
        <f t="shared" si="81"/>
        <v>-1.4206910632167202</v>
      </c>
      <c r="H5165" s="35"/>
      <c r="P5165" s="6"/>
    </row>
    <row r="5166" spans="1:16" ht="14.4" x14ac:dyDescent="0.25">
      <c r="A5166" s="6">
        <v>5294</v>
      </c>
      <c r="B5166" s="6">
        <v>37696</v>
      </c>
      <c r="C5166" s="19">
        <v>40003</v>
      </c>
      <c r="D5166" s="6" t="s">
        <v>28</v>
      </c>
      <c r="E5166" s="6">
        <f>IF((ISBLANK($B$1)),"",Sheet1!Q5177)</f>
        <v>5450</v>
      </c>
      <c r="F5166" s="20" t="s">
        <v>26</v>
      </c>
      <c r="G5166" s="53">
        <f t="shared" si="81"/>
        <v>1.0650266276604579</v>
      </c>
      <c r="H5166" s="35"/>
      <c r="P5166" s="6"/>
    </row>
    <row r="5167" spans="1:16" ht="14.4" x14ac:dyDescent="0.25">
      <c r="A5167" s="6">
        <v>5296</v>
      </c>
      <c r="B5167" s="6">
        <v>37702</v>
      </c>
      <c r="C5167" s="19">
        <v>40704</v>
      </c>
      <c r="D5167" s="6" t="s">
        <v>28</v>
      </c>
      <c r="E5167" s="6">
        <f>IF((ISBLANK($B$1)),"",Sheet1!Q5178)</f>
        <v>5600</v>
      </c>
      <c r="F5167" s="20" t="s">
        <v>26</v>
      </c>
      <c r="G5167" s="53">
        <f t="shared" si="81"/>
        <v>1.2721697685668893</v>
      </c>
      <c r="H5167" s="35"/>
      <c r="P5167" s="6"/>
    </row>
    <row r="5168" spans="1:16" ht="14.4" x14ac:dyDescent="0.25">
      <c r="A5168" s="6">
        <v>5313</v>
      </c>
      <c r="B5168" s="6">
        <v>37794</v>
      </c>
      <c r="C5168" s="19">
        <v>39896</v>
      </c>
      <c r="D5168" s="6" t="s">
        <v>25</v>
      </c>
      <c r="E5168" s="6">
        <f>IF((ISBLANK($B$1)),"",Sheet1!Q5179)</f>
        <v>3700</v>
      </c>
      <c r="F5168" s="20" t="s">
        <v>29</v>
      </c>
      <c r="G5168" s="53">
        <f t="shared" si="81"/>
        <v>-1.351643349581243</v>
      </c>
      <c r="H5168" s="35"/>
      <c r="P5168" s="6"/>
    </row>
    <row r="5169" spans="1:16" ht="14.4" x14ac:dyDescent="0.25">
      <c r="A5169" s="6">
        <v>5314</v>
      </c>
      <c r="B5169" s="6">
        <v>37794</v>
      </c>
      <c r="C5169" s="19">
        <v>39896</v>
      </c>
      <c r="D5169" s="6" t="s">
        <v>25</v>
      </c>
      <c r="E5169" s="6">
        <f>IF((ISBLANK($B$1)),"",Sheet1!Q5180)</f>
        <v>5000</v>
      </c>
      <c r="F5169" s="20" t="s">
        <v>26</v>
      </c>
      <c r="G5169" s="53">
        <f t="shared" si="81"/>
        <v>0.44359720494116334</v>
      </c>
      <c r="H5169" s="35"/>
      <c r="P5169" s="6"/>
    </row>
    <row r="5170" spans="1:16" ht="14.4" x14ac:dyDescent="0.25">
      <c r="A5170" s="6">
        <v>5344</v>
      </c>
      <c r="B5170" s="6">
        <v>37987</v>
      </c>
      <c r="C5170" s="19">
        <v>39997</v>
      </c>
      <c r="D5170" s="6" t="s">
        <v>17</v>
      </c>
      <c r="E5170" s="6">
        <f>IF((ISBLANK($B$1)),"",Sheet1!Q5181)</f>
        <v>4700</v>
      </c>
      <c r="F5170" s="20" t="s">
        <v>26</v>
      </c>
      <c r="G5170" s="53">
        <f t="shared" si="81"/>
        <v>2.9310923128300338E-2</v>
      </c>
      <c r="H5170" s="35"/>
      <c r="P5170" s="6"/>
    </row>
    <row r="5171" spans="1:16" ht="14.4" x14ac:dyDescent="0.25">
      <c r="A5171" s="6">
        <v>5345</v>
      </c>
      <c r="B5171" s="6">
        <v>37987</v>
      </c>
      <c r="C5171" s="19">
        <v>39997</v>
      </c>
      <c r="D5171" s="6" t="s">
        <v>17</v>
      </c>
      <c r="E5171" s="6">
        <f>IF((ISBLANK($B$1)),"",Sheet1!Q5182)</f>
        <v>3650</v>
      </c>
      <c r="F5171" s="20" t="s">
        <v>29</v>
      </c>
      <c r="G5171" s="53">
        <f t="shared" si="81"/>
        <v>-1.4206910632167202</v>
      </c>
      <c r="H5171" s="35"/>
      <c r="P5171" s="6"/>
    </row>
    <row r="5172" spans="1:16" ht="14.4" x14ac:dyDescent="0.25">
      <c r="A5172" s="6">
        <v>5392</v>
      </c>
      <c r="B5172" s="6">
        <v>38340</v>
      </c>
      <c r="C5172" s="19">
        <v>39833</v>
      </c>
      <c r="D5172" s="6" t="s">
        <v>30</v>
      </c>
      <c r="E5172" s="6">
        <f>IF((ISBLANK($B$1)),"",Sheet1!Q5183)</f>
        <v>5200</v>
      </c>
      <c r="F5172" s="20" t="s">
        <v>26</v>
      </c>
      <c r="G5172" s="53">
        <f t="shared" si="81"/>
        <v>0.71978805948307201</v>
      </c>
      <c r="H5172" s="35"/>
      <c r="P5172" s="6"/>
    </row>
    <row r="5173" spans="1:16" ht="14.4" x14ac:dyDescent="0.25">
      <c r="A5173" s="6">
        <v>5419</v>
      </c>
      <c r="B5173" s="6">
        <v>38528</v>
      </c>
      <c r="C5173" s="19">
        <v>40897</v>
      </c>
      <c r="D5173" s="6" t="s">
        <v>30</v>
      </c>
      <c r="E5173" s="6">
        <f>IF((ISBLANK($B$1)),"",Sheet1!Q5184)</f>
        <v>3900</v>
      </c>
      <c r="F5173" s="20" t="s">
        <v>26</v>
      </c>
      <c r="G5173" s="53">
        <f t="shared" si="81"/>
        <v>-1.0754524950393345</v>
      </c>
      <c r="H5173" s="35"/>
      <c r="P5173" s="6"/>
    </row>
    <row r="5174" spans="1:16" ht="14.4" x14ac:dyDescent="0.25">
      <c r="A5174" s="6">
        <v>5459</v>
      </c>
      <c r="B5174" s="6">
        <v>38786</v>
      </c>
      <c r="C5174" s="19">
        <v>40712</v>
      </c>
      <c r="D5174" s="6" t="s">
        <v>16</v>
      </c>
      <c r="E5174" s="6">
        <f>IF((ISBLANK($B$1)),"",Sheet1!Q5185)</f>
        <v>3900</v>
      </c>
      <c r="F5174" s="20" t="s">
        <v>29</v>
      </c>
      <c r="G5174" s="53">
        <f t="shared" si="81"/>
        <v>-1.0754524950393345</v>
      </c>
      <c r="H5174" s="35"/>
      <c r="P5174" s="6"/>
    </row>
    <row r="5175" spans="1:16" ht="14.4" x14ac:dyDescent="0.25">
      <c r="A5175" s="6">
        <v>5468</v>
      </c>
      <c r="B5175" s="6">
        <v>38852</v>
      </c>
      <c r="C5175" s="19">
        <v>40118</v>
      </c>
      <c r="D5175" s="6" t="s">
        <v>28</v>
      </c>
      <c r="E5175" s="6">
        <f>IF((ISBLANK($B$1)),"",Sheet1!Q5186)</f>
        <v>4650</v>
      </c>
      <c r="F5175" s="20" t="s">
        <v>26</v>
      </c>
      <c r="G5175" s="53">
        <f t="shared" si="81"/>
        <v>-3.9736790507176829E-2</v>
      </c>
      <c r="H5175" s="35"/>
      <c r="P5175" s="6"/>
    </row>
    <row r="5176" spans="1:16" ht="14.4" x14ac:dyDescent="0.25">
      <c r="A5176" s="6">
        <v>5500</v>
      </c>
      <c r="B5176" s="6">
        <v>39008</v>
      </c>
      <c r="C5176" s="19">
        <v>40661</v>
      </c>
      <c r="D5176" s="6" t="s">
        <v>28</v>
      </c>
      <c r="E5176" s="6">
        <f>IF((ISBLANK($B$1)),"",Sheet1!Q5187)</f>
        <v>4800</v>
      </c>
      <c r="F5176" s="20" t="s">
        <v>29</v>
      </c>
      <c r="G5176" s="53">
        <f t="shared" si="81"/>
        <v>0.16740635039925467</v>
      </c>
      <c r="H5176" s="35"/>
      <c r="P5176" s="6"/>
    </row>
    <row r="5177" spans="1:16" ht="14.4" x14ac:dyDescent="0.25">
      <c r="A5177" s="6">
        <v>5553</v>
      </c>
      <c r="B5177" s="6">
        <v>39331</v>
      </c>
      <c r="C5177" s="19">
        <v>40799</v>
      </c>
      <c r="D5177" s="6" t="s">
        <v>17</v>
      </c>
      <c r="E5177" s="6">
        <f>IF((ISBLANK($B$1)),"",Sheet1!Q5188)</f>
        <v>4550</v>
      </c>
      <c r="F5177" s="20" t="s">
        <v>26</v>
      </c>
      <c r="G5177" s="53">
        <f t="shared" si="81"/>
        <v>-0.17783221777813119</v>
      </c>
      <c r="H5177" s="35"/>
      <c r="P5177" s="6"/>
    </row>
    <row r="5178" spans="1:16" ht="14.4" x14ac:dyDescent="0.25">
      <c r="A5178" s="6">
        <v>5565</v>
      </c>
      <c r="B5178" s="6">
        <v>39399</v>
      </c>
      <c r="C5178" s="19">
        <v>41260</v>
      </c>
      <c r="D5178" s="6" t="s">
        <v>16</v>
      </c>
      <c r="E5178" s="6">
        <f>IF((ISBLANK($B$1)),"",Sheet1!Q5189)</f>
        <v>4800</v>
      </c>
      <c r="F5178" s="20" t="s">
        <v>26</v>
      </c>
      <c r="G5178" s="53">
        <f t="shared" si="81"/>
        <v>0.16740635039925467</v>
      </c>
      <c r="H5178" s="35"/>
      <c r="P5178" s="6"/>
    </row>
    <row r="5179" spans="1:16" ht="14.4" x14ac:dyDescent="0.25">
      <c r="A5179" s="6">
        <v>5634</v>
      </c>
      <c r="B5179" s="6">
        <v>39876</v>
      </c>
      <c r="C5179" s="19">
        <v>41012</v>
      </c>
      <c r="D5179" s="6" t="s">
        <v>17</v>
      </c>
      <c r="E5179" s="6">
        <f>IF((ISBLANK($B$1)),"",Sheet1!Q5190)</f>
        <v>5550</v>
      </c>
      <c r="F5179" s="20" t="s">
        <v>26</v>
      </c>
      <c r="G5179" s="53">
        <f t="shared" si="81"/>
        <v>1.2031220549314123</v>
      </c>
      <c r="H5179" s="35"/>
      <c r="P5179" s="6"/>
    </row>
    <row r="5180" spans="1:16" ht="14.4" x14ac:dyDescent="0.25">
      <c r="A5180" s="6">
        <v>5635</v>
      </c>
      <c r="B5180" s="6">
        <v>39876</v>
      </c>
      <c r="C5180" s="19">
        <v>41012</v>
      </c>
      <c r="D5180" s="6" t="s">
        <v>17</v>
      </c>
      <c r="E5180" s="6">
        <f>IF((ISBLANK($B$1)),"",Sheet1!Q5191)</f>
        <v>5700</v>
      </c>
      <c r="F5180" s="20" t="s">
        <v>26</v>
      </c>
      <c r="G5180" s="53">
        <f t="shared" si="81"/>
        <v>1.4102651958378438</v>
      </c>
      <c r="H5180" s="35"/>
      <c r="P5180" s="6"/>
    </row>
    <row r="5181" spans="1:16" ht="14.4" x14ac:dyDescent="0.25">
      <c r="A5181" s="6">
        <v>5636</v>
      </c>
      <c r="B5181" s="6">
        <v>39876</v>
      </c>
      <c r="C5181" s="19">
        <v>41012</v>
      </c>
      <c r="D5181" s="6" t="s">
        <v>17</v>
      </c>
      <c r="E5181" s="6">
        <f>IF((ISBLANK($B$1)),"",Sheet1!Q5192)</f>
        <v>5450</v>
      </c>
      <c r="F5181" s="20" t="s">
        <v>29</v>
      </c>
      <c r="G5181" s="53">
        <f t="shared" si="81"/>
        <v>1.0650266276604579</v>
      </c>
      <c r="H5181" s="35"/>
      <c r="P5181" s="6"/>
    </row>
    <row r="5182" spans="1:16" ht="14.4" x14ac:dyDescent="0.25">
      <c r="A5182" s="6">
        <v>5657</v>
      </c>
      <c r="B5182" s="6">
        <v>40032</v>
      </c>
      <c r="C5182" s="19">
        <v>41243</v>
      </c>
      <c r="D5182" s="6" t="s">
        <v>25</v>
      </c>
      <c r="E5182" s="6">
        <f>IF((ISBLANK($B$1)),"",Sheet1!Q5193)</f>
        <v>3850</v>
      </c>
      <c r="F5182" s="20" t="s">
        <v>27</v>
      </c>
      <c r="G5182" s="53">
        <f t="shared" si="81"/>
        <v>-1.1445002086748115</v>
      </c>
      <c r="H5182" s="35"/>
      <c r="P5182" s="6"/>
    </row>
    <row r="5183" spans="1:16" ht="14.4" x14ac:dyDescent="0.25">
      <c r="A5183" s="6">
        <v>5696</v>
      </c>
      <c r="B5183" s="6">
        <v>40261</v>
      </c>
      <c r="C5183" s="19">
        <v>40121</v>
      </c>
      <c r="D5183" s="6" t="s">
        <v>30</v>
      </c>
      <c r="E5183" s="6">
        <f>IF((ISBLANK($B$1)),"",Sheet1!Q5194)</f>
        <v>5200</v>
      </c>
      <c r="F5183" s="20" t="s">
        <v>26</v>
      </c>
      <c r="G5183" s="53">
        <f t="shared" si="81"/>
        <v>0.71978805948307201</v>
      </c>
      <c r="H5183" s="35"/>
      <c r="P5183" s="6"/>
    </row>
    <row r="5184" spans="1:16" ht="14.4" x14ac:dyDescent="0.25">
      <c r="A5184" s="6">
        <v>5697</v>
      </c>
      <c r="B5184" s="6">
        <v>40261</v>
      </c>
      <c r="C5184" s="19">
        <v>40121</v>
      </c>
      <c r="D5184" s="6" t="s">
        <v>30</v>
      </c>
      <c r="E5184" s="6">
        <f>IF((ISBLANK($B$1)),"",Sheet1!Q5195)</f>
        <v>4700</v>
      </c>
      <c r="F5184" s="20" t="s">
        <v>26</v>
      </c>
      <c r="G5184" s="53">
        <f t="shared" si="81"/>
        <v>2.9310923128300338E-2</v>
      </c>
      <c r="H5184" s="35"/>
      <c r="P5184" s="6"/>
    </row>
    <row r="5185" spans="1:16" ht="14.4" x14ac:dyDescent="0.25">
      <c r="A5185" s="6">
        <v>5734</v>
      </c>
      <c r="B5185" s="6">
        <v>40706</v>
      </c>
      <c r="C5185" s="19">
        <v>40929</v>
      </c>
      <c r="D5185" s="6" t="s">
        <v>16</v>
      </c>
      <c r="E5185" s="6">
        <f>IF((ISBLANK($B$1)),"",Sheet1!Q5196)</f>
        <v>5400</v>
      </c>
      <c r="F5185" s="20" t="s">
        <v>26</v>
      </c>
      <c r="G5185" s="53">
        <f t="shared" si="81"/>
        <v>0.99597891402498073</v>
      </c>
      <c r="H5185" s="35"/>
      <c r="P5185" s="6"/>
    </row>
    <row r="5186" spans="1:16" ht="14.4" x14ac:dyDescent="0.25">
      <c r="A5186" s="6">
        <v>5736</v>
      </c>
      <c r="B5186" s="6">
        <v>40708</v>
      </c>
      <c r="C5186" s="19">
        <v>40098</v>
      </c>
      <c r="D5186" s="6" t="s">
        <v>28</v>
      </c>
      <c r="E5186" s="6">
        <f>IF((ISBLANK($B$1)),"",Sheet1!Q5197)</f>
        <v>4150</v>
      </c>
      <c r="F5186" s="20" t="s">
        <v>26</v>
      </c>
      <c r="G5186" s="53">
        <f t="shared" si="81"/>
        <v>-0.73021392686194853</v>
      </c>
      <c r="H5186" s="35"/>
      <c r="P5186" s="6"/>
    </row>
    <row r="5187" spans="1:16" ht="14.4" x14ac:dyDescent="0.25">
      <c r="A5187" s="6">
        <v>5772</v>
      </c>
      <c r="B5187" s="6">
        <v>40964</v>
      </c>
      <c r="C5187" s="19">
        <v>40686</v>
      </c>
      <c r="D5187" s="6" t="s">
        <v>30</v>
      </c>
      <c r="E5187" s="6">
        <f>IF((ISBLANK($B$1)),"",Sheet1!Q5198)</f>
        <v>5400</v>
      </c>
      <c r="F5187" s="20" t="s">
        <v>26</v>
      </c>
      <c r="G5187" s="53">
        <f t="shared" si="81"/>
        <v>0.99597891402498073</v>
      </c>
      <c r="H5187" s="35"/>
      <c r="P5187" s="6"/>
    </row>
    <row r="5188" spans="1:16" ht="14.4" x14ac:dyDescent="0.25">
      <c r="A5188" s="6">
        <v>5952</v>
      </c>
      <c r="B5188" s="6">
        <v>42243</v>
      </c>
      <c r="C5188" s="19">
        <v>40979</v>
      </c>
      <c r="D5188" s="6" t="s">
        <v>16</v>
      </c>
      <c r="E5188" s="6">
        <f>IF((ISBLANK($B$1)),"",Sheet1!Q5199)</f>
        <v>5500</v>
      </c>
      <c r="F5188" s="20" t="s">
        <v>26</v>
      </c>
      <c r="G5188" s="53">
        <f t="shared" si="81"/>
        <v>1.1340743412959351</v>
      </c>
      <c r="H5188" s="35"/>
      <c r="P5188" s="6"/>
    </row>
    <row r="5189" spans="1:16" ht="14.4" x14ac:dyDescent="0.25">
      <c r="A5189" s="6">
        <v>5953</v>
      </c>
      <c r="B5189" s="6">
        <v>42243</v>
      </c>
      <c r="C5189" s="19">
        <v>40979</v>
      </c>
      <c r="D5189" s="6" t="s">
        <v>16</v>
      </c>
      <c r="E5189" s="6">
        <f>IF((ISBLANK($B$1)),"",Sheet1!Q5200)</f>
        <v>4350</v>
      </c>
      <c r="F5189" s="20" t="s">
        <v>26</v>
      </c>
      <c r="G5189" s="53">
        <f t="shared" si="81"/>
        <v>-0.45402307232003986</v>
      </c>
      <c r="H5189" s="35"/>
      <c r="P5189" s="6"/>
    </row>
    <row r="5190" spans="1:16" ht="14.4" x14ac:dyDescent="0.25">
      <c r="A5190" s="6">
        <v>5987</v>
      </c>
      <c r="B5190" s="6">
        <v>42437</v>
      </c>
      <c r="C5190" s="19">
        <v>40973</v>
      </c>
      <c r="D5190" s="6" t="s">
        <v>30</v>
      </c>
      <c r="E5190" s="6">
        <f>IF((ISBLANK($B$1)),"",Sheet1!Q5201)</f>
        <v>5550</v>
      </c>
      <c r="F5190" s="20" t="s">
        <v>27</v>
      </c>
      <c r="G5190" s="53">
        <f t="shared" si="81"/>
        <v>1.2031220549314123</v>
      </c>
      <c r="H5190" s="35"/>
      <c r="P5190" s="6"/>
    </row>
    <row r="5191" spans="1:16" ht="14.4" x14ac:dyDescent="0.25">
      <c r="A5191" s="6">
        <v>5988</v>
      </c>
      <c r="B5191" s="6">
        <v>42437</v>
      </c>
      <c r="C5191" s="19">
        <v>40973</v>
      </c>
      <c r="D5191" s="6" t="s">
        <v>30</v>
      </c>
      <c r="E5191" s="6">
        <f>IF((ISBLANK($B$1)),"",Sheet1!Q5202)</f>
        <v>4100</v>
      </c>
      <c r="F5191" s="20" t="s">
        <v>26</v>
      </c>
      <c r="G5191" s="53">
        <f t="shared" si="81"/>
        <v>-0.79926164049742576</v>
      </c>
      <c r="H5191" s="35"/>
      <c r="P5191" s="6"/>
    </row>
    <row r="5192" spans="1:16" ht="14.4" x14ac:dyDescent="0.25">
      <c r="A5192" s="6">
        <v>6051</v>
      </c>
      <c r="B5192" s="6">
        <v>42887</v>
      </c>
      <c r="C5192" s="19">
        <v>41070</v>
      </c>
      <c r="D5192" s="6" t="s">
        <v>16</v>
      </c>
      <c r="E5192" s="6">
        <f>IF((ISBLANK($B$1)),"",Sheet1!Q5203)</f>
        <v>3550</v>
      </c>
      <c r="F5192" s="20" t="s">
        <v>26</v>
      </c>
      <c r="G5192" s="53">
        <f t="shared" ref="G5192:G5255" si="82">STANDARDIZE(E5192,$L$26,$L$35)</f>
        <v>-1.5587864904876745</v>
      </c>
      <c r="H5192" s="35"/>
      <c r="P5192" s="6"/>
    </row>
    <row r="5193" spans="1:16" ht="14.4" x14ac:dyDescent="0.25">
      <c r="A5193" s="6">
        <v>6052</v>
      </c>
      <c r="B5193" s="6">
        <v>42887</v>
      </c>
      <c r="C5193" s="19">
        <v>41070</v>
      </c>
      <c r="D5193" s="6" t="s">
        <v>16</v>
      </c>
      <c r="E5193" s="6">
        <f>IF((ISBLANK($B$1)),"",Sheet1!Q5204)</f>
        <v>3950</v>
      </c>
      <c r="F5193" s="20" t="s">
        <v>26</v>
      </c>
      <c r="G5193" s="53">
        <f t="shared" si="82"/>
        <v>-1.0064047814038573</v>
      </c>
      <c r="H5193" s="35"/>
      <c r="P5193" s="6"/>
    </row>
    <row r="5194" spans="1:16" ht="14.4" x14ac:dyDescent="0.25">
      <c r="A5194" s="6">
        <v>6053</v>
      </c>
      <c r="B5194" s="6">
        <v>42887</v>
      </c>
      <c r="C5194" s="19">
        <v>41070</v>
      </c>
      <c r="D5194" s="6" t="s">
        <v>16</v>
      </c>
      <c r="E5194" s="6">
        <f>IF((ISBLANK($B$1)),"",Sheet1!Q5205)</f>
        <v>3550</v>
      </c>
      <c r="F5194" s="20" t="s">
        <v>29</v>
      </c>
      <c r="G5194" s="53">
        <f t="shared" si="82"/>
        <v>-1.5587864904876745</v>
      </c>
      <c r="H5194" s="35"/>
      <c r="P5194" s="6"/>
    </row>
    <row r="5195" spans="1:16" ht="14.4" x14ac:dyDescent="0.25">
      <c r="A5195" s="6">
        <v>6088</v>
      </c>
      <c r="B5195" s="6">
        <v>43137</v>
      </c>
      <c r="C5195" s="19">
        <v>40600</v>
      </c>
      <c r="D5195" s="6" t="s">
        <v>17</v>
      </c>
      <c r="E5195" s="6">
        <f>IF((ISBLANK($B$1)),"",Sheet1!Q5206)</f>
        <v>5400</v>
      </c>
      <c r="F5195" s="20" t="s">
        <v>26</v>
      </c>
      <c r="G5195" s="53">
        <f t="shared" si="82"/>
        <v>0.99597891402498073</v>
      </c>
      <c r="H5195" s="35"/>
      <c r="P5195" s="6"/>
    </row>
    <row r="5196" spans="1:16" ht="14.4" x14ac:dyDescent="0.25">
      <c r="A5196" s="6">
        <v>6151</v>
      </c>
      <c r="B5196" s="6">
        <v>43554</v>
      </c>
      <c r="C5196" s="19">
        <v>40116</v>
      </c>
      <c r="D5196" s="6" t="s">
        <v>30</v>
      </c>
      <c r="E5196" s="6">
        <f>IF((ISBLANK($B$1)),"",Sheet1!Q5207)</f>
        <v>3850</v>
      </c>
      <c r="F5196" s="20" t="s">
        <v>26</v>
      </c>
      <c r="G5196" s="53">
        <f t="shared" si="82"/>
        <v>-1.1445002086748115</v>
      </c>
      <c r="H5196" s="35"/>
      <c r="P5196" s="6"/>
    </row>
    <row r="5197" spans="1:16" ht="14.4" x14ac:dyDescent="0.25">
      <c r="A5197" s="6">
        <v>6178</v>
      </c>
      <c r="B5197" s="6">
        <v>43782</v>
      </c>
      <c r="C5197" s="19">
        <v>40495</v>
      </c>
      <c r="D5197" s="6" t="s">
        <v>16</v>
      </c>
      <c r="E5197" s="6">
        <f>IF((ISBLANK($B$1)),"",Sheet1!Q5208)</f>
        <v>4750</v>
      </c>
      <c r="F5197" s="20" t="s">
        <v>26</v>
      </c>
      <c r="G5197" s="53">
        <f t="shared" si="82"/>
        <v>9.8358636763777513E-2</v>
      </c>
      <c r="H5197" s="35"/>
      <c r="P5197" s="6"/>
    </row>
    <row r="5198" spans="1:16" ht="14.4" x14ac:dyDescent="0.25">
      <c r="A5198" s="6">
        <v>6195</v>
      </c>
      <c r="B5198" s="6">
        <v>43904</v>
      </c>
      <c r="C5198" s="19">
        <v>40299</v>
      </c>
      <c r="D5198" s="6" t="s">
        <v>28</v>
      </c>
      <c r="E5198" s="6">
        <f>IF((ISBLANK($B$1)),"",Sheet1!Q5209)</f>
        <v>5550</v>
      </c>
      <c r="F5198" s="20" t="s">
        <v>27</v>
      </c>
      <c r="G5198" s="53">
        <f t="shared" si="82"/>
        <v>1.2031220549314123</v>
      </c>
      <c r="H5198" s="35"/>
      <c r="P5198" s="6"/>
    </row>
    <row r="5199" spans="1:16" ht="14.4" x14ac:dyDescent="0.25">
      <c r="A5199" s="6">
        <v>6196</v>
      </c>
      <c r="B5199" s="6">
        <v>43904</v>
      </c>
      <c r="C5199" s="19">
        <v>40299</v>
      </c>
      <c r="D5199" s="6" t="s">
        <v>28</v>
      </c>
      <c r="E5199" s="6">
        <f>IF((ISBLANK($B$1)),"",Sheet1!Q5210)</f>
        <v>4900</v>
      </c>
      <c r="F5199" s="20" t="s">
        <v>27</v>
      </c>
      <c r="G5199" s="53">
        <f t="shared" si="82"/>
        <v>0.30550177767020903</v>
      </c>
      <c r="H5199" s="35"/>
      <c r="P5199" s="6"/>
    </row>
    <row r="5200" spans="1:16" ht="14.4" x14ac:dyDescent="0.25">
      <c r="A5200" s="6">
        <v>6197</v>
      </c>
      <c r="B5200" s="6">
        <v>43906</v>
      </c>
      <c r="C5200" s="19">
        <v>40947</v>
      </c>
      <c r="D5200" s="6" t="s">
        <v>17</v>
      </c>
      <c r="E5200" s="6">
        <f>IF((ISBLANK($B$1)),"",Sheet1!Q5211)</f>
        <v>5900</v>
      </c>
      <c r="F5200" s="20" t="s">
        <v>27</v>
      </c>
      <c r="G5200" s="53">
        <f t="shared" si="82"/>
        <v>1.6864560503797523</v>
      </c>
      <c r="H5200" s="35"/>
      <c r="P5200" s="6"/>
    </row>
    <row r="5201" spans="1:16" ht="14.4" x14ac:dyDescent="0.25">
      <c r="A5201" s="6">
        <v>6221</v>
      </c>
      <c r="B5201" s="6">
        <v>44064</v>
      </c>
      <c r="C5201" s="19">
        <v>40240</v>
      </c>
      <c r="D5201" s="6" t="s">
        <v>16</v>
      </c>
      <c r="E5201" s="6">
        <f>IF((ISBLANK($B$1)),"",Sheet1!Q5212)</f>
        <v>5550</v>
      </c>
      <c r="F5201" s="20" t="s">
        <v>26</v>
      </c>
      <c r="G5201" s="53">
        <f t="shared" si="82"/>
        <v>1.2031220549314123</v>
      </c>
      <c r="H5201" s="35"/>
      <c r="P5201" s="6"/>
    </row>
    <row r="5202" spans="1:16" ht="14.4" x14ac:dyDescent="0.25">
      <c r="A5202" s="6">
        <v>6222</v>
      </c>
      <c r="B5202" s="6">
        <v>44064</v>
      </c>
      <c r="C5202" s="19">
        <v>40240</v>
      </c>
      <c r="D5202" s="6" t="s">
        <v>16</v>
      </c>
      <c r="E5202" s="6">
        <f>IF((ISBLANK($B$1)),"",Sheet1!Q5213)</f>
        <v>4550</v>
      </c>
      <c r="F5202" s="20" t="s">
        <v>26</v>
      </c>
      <c r="G5202" s="53">
        <f t="shared" si="82"/>
        <v>-0.17783221777813119</v>
      </c>
      <c r="H5202" s="35"/>
      <c r="P5202" s="6"/>
    </row>
    <row r="5203" spans="1:16" ht="14.4" x14ac:dyDescent="0.25">
      <c r="A5203" s="6">
        <v>6240</v>
      </c>
      <c r="B5203" s="6">
        <v>44224</v>
      </c>
      <c r="C5203" s="19">
        <v>40399</v>
      </c>
      <c r="D5203" s="6" t="s">
        <v>17</v>
      </c>
      <c r="E5203" s="6">
        <f>IF((ISBLANK($B$1)),"",Sheet1!Q5214)</f>
        <v>5000</v>
      </c>
      <c r="F5203" s="20" t="s">
        <v>27</v>
      </c>
      <c r="G5203" s="53">
        <f t="shared" si="82"/>
        <v>0.44359720494116334</v>
      </c>
      <c r="H5203" s="35"/>
      <c r="P5203" s="6"/>
    </row>
    <row r="5204" spans="1:16" ht="14.4" x14ac:dyDescent="0.25">
      <c r="A5204" s="6">
        <v>6264</v>
      </c>
      <c r="B5204" s="6">
        <v>44325</v>
      </c>
      <c r="C5204" s="19">
        <v>39854</v>
      </c>
      <c r="D5204" s="6" t="s">
        <v>16</v>
      </c>
      <c r="E5204" s="6">
        <f>IF((ISBLANK($B$1)),"",Sheet1!Q5215)</f>
        <v>5600</v>
      </c>
      <c r="F5204" s="20" t="s">
        <v>29</v>
      </c>
      <c r="G5204" s="53">
        <f t="shared" si="82"/>
        <v>1.2721697685668893</v>
      </c>
      <c r="H5204" s="35"/>
      <c r="P5204" s="6"/>
    </row>
    <row r="5205" spans="1:16" ht="14.4" x14ac:dyDescent="0.25">
      <c r="A5205" s="6">
        <v>6274</v>
      </c>
      <c r="B5205" s="6">
        <v>44422</v>
      </c>
      <c r="C5205" s="19">
        <v>41012</v>
      </c>
      <c r="D5205" s="6" t="s">
        <v>16</v>
      </c>
      <c r="E5205" s="6">
        <f>IF((ISBLANK($B$1)),"",Sheet1!Q5216)</f>
        <v>3450</v>
      </c>
      <c r="F5205" s="20" t="s">
        <v>26</v>
      </c>
      <c r="G5205" s="53">
        <f t="shared" si="82"/>
        <v>-1.696881917758629</v>
      </c>
      <c r="H5205" s="35"/>
      <c r="P5205" s="6"/>
    </row>
    <row r="5206" spans="1:16" ht="14.4" x14ac:dyDescent="0.25">
      <c r="A5206" s="6">
        <v>6275</v>
      </c>
      <c r="B5206" s="6">
        <v>44422</v>
      </c>
      <c r="C5206" s="19">
        <v>41012</v>
      </c>
      <c r="D5206" s="6" t="s">
        <v>16</v>
      </c>
      <c r="E5206" s="6">
        <f>IF((ISBLANK($B$1)),"",Sheet1!Q5217)</f>
        <v>5200</v>
      </c>
      <c r="F5206" s="20" t="s">
        <v>26</v>
      </c>
      <c r="G5206" s="53">
        <f t="shared" si="82"/>
        <v>0.71978805948307201</v>
      </c>
      <c r="H5206" s="35"/>
      <c r="P5206" s="6"/>
    </row>
    <row r="5207" spans="1:16" ht="14.4" x14ac:dyDescent="0.25">
      <c r="A5207" s="6">
        <v>6276</v>
      </c>
      <c r="B5207" s="6">
        <v>44422</v>
      </c>
      <c r="C5207" s="19">
        <v>41012</v>
      </c>
      <c r="D5207" s="6" t="s">
        <v>16</v>
      </c>
      <c r="E5207" s="6">
        <f>IF((ISBLANK($B$1)),"",Sheet1!Q5218)</f>
        <v>3950</v>
      </c>
      <c r="F5207" s="20" t="s">
        <v>27</v>
      </c>
      <c r="G5207" s="53">
        <f t="shared" si="82"/>
        <v>-1.0064047814038573</v>
      </c>
      <c r="H5207" s="35"/>
      <c r="P5207" s="6"/>
    </row>
    <row r="5208" spans="1:16" ht="14.4" x14ac:dyDescent="0.25">
      <c r="A5208" s="6">
        <v>6300</v>
      </c>
      <c r="B5208" s="6">
        <v>44609</v>
      </c>
      <c r="C5208" s="19">
        <v>40712</v>
      </c>
      <c r="D5208" s="6" t="s">
        <v>25</v>
      </c>
      <c r="E5208" s="6">
        <f>IF((ISBLANK($B$1)),"",Sheet1!Q5219)</f>
        <v>4800</v>
      </c>
      <c r="F5208" s="20" t="s">
        <v>26</v>
      </c>
      <c r="G5208" s="53">
        <f t="shared" si="82"/>
        <v>0.16740635039925467</v>
      </c>
      <c r="H5208" s="35"/>
      <c r="P5208" s="6"/>
    </row>
    <row r="5209" spans="1:16" ht="14.4" x14ac:dyDescent="0.25">
      <c r="A5209" s="6">
        <v>6301</v>
      </c>
      <c r="B5209" s="6">
        <v>44609</v>
      </c>
      <c r="C5209" s="19">
        <v>40712</v>
      </c>
      <c r="D5209" s="6" t="s">
        <v>25</v>
      </c>
      <c r="E5209" s="6">
        <f>IF((ISBLANK($B$1)),"",Sheet1!Q5220)</f>
        <v>5250</v>
      </c>
      <c r="F5209" s="20" t="s">
        <v>26</v>
      </c>
      <c r="G5209" s="53">
        <f t="shared" si="82"/>
        <v>0.78883577311854924</v>
      </c>
      <c r="H5209" s="35"/>
      <c r="P5209" s="6"/>
    </row>
    <row r="5210" spans="1:16" ht="14.4" x14ac:dyDescent="0.25">
      <c r="A5210" s="6">
        <v>6339</v>
      </c>
      <c r="B5210" s="6">
        <v>44935</v>
      </c>
      <c r="C5210" s="19">
        <v>40499</v>
      </c>
      <c r="D5210" s="6" t="s">
        <v>17</v>
      </c>
      <c r="E5210" s="6">
        <f>IF((ISBLANK($B$1)),"",Sheet1!Q5221)</f>
        <v>5250</v>
      </c>
      <c r="F5210" s="20" t="s">
        <v>26</v>
      </c>
      <c r="G5210" s="53">
        <f t="shared" si="82"/>
        <v>0.78883577311854924</v>
      </c>
      <c r="H5210" s="35"/>
      <c r="P5210" s="6"/>
    </row>
    <row r="5211" spans="1:16" ht="14.4" x14ac:dyDescent="0.25">
      <c r="A5211" s="6">
        <v>6361</v>
      </c>
      <c r="B5211" s="6">
        <v>45127</v>
      </c>
      <c r="C5211" s="19">
        <v>41273</v>
      </c>
      <c r="D5211" s="6" t="s">
        <v>16</v>
      </c>
      <c r="E5211" s="6">
        <f>IF((ISBLANK($B$1)),"",Sheet1!Q5222)</f>
        <v>3900</v>
      </c>
      <c r="F5211" s="20" t="s">
        <v>26</v>
      </c>
      <c r="G5211" s="53">
        <f t="shared" si="82"/>
        <v>-1.0754524950393345</v>
      </c>
      <c r="H5211" s="35"/>
      <c r="P5211" s="6"/>
    </row>
    <row r="5212" spans="1:16" ht="14.4" x14ac:dyDescent="0.25">
      <c r="A5212" s="6">
        <v>6398</v>
      </c>
      <c r="B5212" s="6">
        <v>45413</v>
      </c>
      <c r="C5212" s="19">
        <v>40337</v>
      </c>
      <c r="D5212" s="6" t="s">
        <v>17</v>
      </c>
      <c r="E5212" s="6">
        <f>IF((ISBLANK($B$1)),"",Sheet1!Q5223)</f>
        <v>4300</v>
      </c>
      <c r="F5212" s="20" t="s">
        <v>26</v>
      </c>
      <c r="G5212" s="53">
        <f t="shared" si="82"/>
        <v>-0.52307078595551704</v>
      </c>
      <c r="H5212" s="35"/>
      <c r="P5212" s="6"/>
    </row>
    <row r="5213" spans="1:16" ht="14.4" x14ac:dyDescent="0.25">
      <c r="A5213" s="6">
        <v>6399</v>
      </c>
      <c r="B5213" s="6">
        <v>45413</v>
      </c>
      <c r="C5213" s="19">
        <v>40337</v>
      </c>
      <c r="D5213" s="6" t="s">
        <v>17</v>
      </c>
      <c r="E5213" s="6">
        <f>IF((ISBLANK($B$1)),"",Sheet1!Q5224)</f>
        <v>4250</v>
      </c>
      <c r="F5213" s="20" t="s">
        <v>26</v>
      </c>
      <c r="G5213" s="53">
        <f t="shared" si="82"/>
        <v>-0.59211849959099416</v>
      </c>
      <c r="H5213" s="35"/>
      <c r="P5213" s="6"/>
    </row>
    <row r="5214" spans="1:16" ht="14.4" x14ac:dyDescent="0.25">
      <c r="A5214" s="6">
        <v>6400</v>
      </c>
      <c r="B5214" s="6">
        <v>45413</v>
      </c>
      <c r="C5214" s="19">
        <v>40337</v>
      </c>
      <c r="D5214" s="6" t="s">
        <v>17</v>
      </c>
      <c r="E5214" s="6">
        <f>IF((ISBLANK($B$1)),"",Sheet1!Q5225)</f>
        <v>4600</v>
      </c>
      <c r="F5214" s="20" t="s">
        <v>26</v>
      </c>
      <c r="G5214" s="53">
        <f t="shared" si="82"/>
        <v>-0.108784504142654</v>
      </c>
      <c r="H5214" s="35"/>
      <c r="P5214" s="6"/>
    </row>
    <row r="5215" spans="1:16" ht="14.4" x14ac:dyDescent="0.25">
      <c r="A5215" s="6">
        <v>6412</v>
      </c>
      <c r="B5215" s="6">
        <v>45571</v>
      </c>
      <c r="C5215" s="19">
        <v>41175</v>
      </c>
      <c r="D5215" s="6" t="s">
        <v>16</v>
      </c>
      <c r="E5215" s="6">
        <f>IF((ISBLANK($B$1)),"",Sheet1!Q5226)</f>
        <v>5550</v>
      </c>
      <c r="F5215" s="20" t="s">
        <v>26</v>
      </c>
      <c r="G5215" s="53">
        <f t="shared" si="82"/>
        <v>1.2031220549314123</v>
      </c>
      <c r="H5215" s="35"/>
      <c r="P5215" s="6"/>
    </row>
    <row r="5216" spans="1:16" ht="14.4" x14ac:dyDescent="0.25">
      <c r="A5216" s="6">
        <v>6413</v>
      </c>
      <c r="B5216" s="6">
        <v>45571</v>
      </c>
      <c r="C5216" s="19">
        <v>41175</v>
      </c>
      <c r="D5216" s="6" t="s">
        <v>16</v>
      </c>
      <c r="E5216" s="6">
        <f>IF((ISBLANK($B$1)),"",Sheet1!Q5227)</f>
        <v>5750</v>
      </c>
      <c r="F5216" s="20" t="s">
        <v>27</v>
      </c>
      <c r="G5216" s="53">
        <f t="shared" si="82"/>
        <v>1.4793129094733208</v>
      </c>
      <c r="H5216" s="35"/>
      <c r="P5216" s="6"/>
    </row>
    <row r="5217" spans="1:16" ht="14.4" x14ac:dyDescent="0.25">
      <c r="A5217" s="6">
        <v>6414</v>
      </c>
      <c r="B5217" s="6">
        <v>45571</v>
      </c>
      <c r="C5217" s="19">
        <v>41175</v>
      </c>
      <c r="D5217" s="6" t="s">
        <v>16</v>
      </c>
      <c r="E5217" s="6">
        <f>IF((ISBLANK($B$1)),"",Sheet1!Q5228)</f>
        <v>5600</v>
      </c>
      <c r="F5217" s="20" t="s">
        <v>27</v>
      </c>
      <c r="G5217" s="53">
        <f t="shared" si="82"/>
        <v>1.2721697685668893</v>
      </c>
      <c r="H5217" s="35"/>
      <c r="P5217" s="6"/>
    </row>
    <row r="5218" spans="1:16" ht="14.4" x14ac:dyDescent="0.25">
      <c r="A5218" s="6">
        <v>6416</v>
      </c>
      <c r="B5218" s="6">
        <v>45575</v>
      </c>
      <c r="C5218" s="19">
        <v>41011</v>
      </c>
      <c r="D5218" s="6" t="s">
        <v>30</v>
      </c>
      <c r="E5218" s="6">
        <f>IF((ISBLANK($B$1)),"",Sheet1!Q5229)</f>
        <v>5700</v>
      </c>
      <c r="F5218" s="20" t="s">
        <v>26</v>
      </c>
      <c r="G5218" s="53">
        <f t="shared" si="82"/>
        <v>1.4102651958378438</v>
      </c>
      <c r="H5218" s="35"/>
      <c r="P5218" s="6"/>
    </row>
    <row r="5219" spans="1:16" ht="14.4" x14ac:dyDescent="0.25">
      <c r="A5219" s="6">
        <v>6442</v>
      </c>
      <c r="B5219" s="6">
        <v>45794</v>
      </c>
      <c r="C5219" s="19">
        <v>40810</v>
      </c>
      <c r="D5219" s="6" t="s">
        <v>30</v>
      </c>
      <c r="E5219" s="6">
        <f>IF((ISBLANK($B$1)),"",Sheet1!Q5230)</f>
        <v>4800</v>
      </c>
      <c r="F5219" s="20" t="s">
        <v>27</v>
      </c>
      <c r="G5219" s="53">
        <f t="shared" si="82"/>
        <v>0.16740635039925467</v>
      </c>
      <c r="H5219" s="35"/>
      <c r="P5219" s="6"/>
    </row>
    <row r="5220" spans="1:16" ht="14.4" x14ac:dyDescent="0.25">
      <c r="A5220" s="6">
        <v>6445</v>
      </c>
      <c r="B5220" s="6">
        <v>45860</v>
      </c>
      <c r="C5220" s="19">
        <v>41133</v>
      </c>
      <c r="D5220" s="6" t="s">
        <v>25</v>
      </c>
      <c r="E5220" s="6">
        <f>IF((ISBLANK($B$1)),"",Sheet1!Q5231)</f>
        <v>4000</v>
      </c>
      <c r="F5220" s="20" t="s">
        <v>26</v>
      </c>
      <c r="G5220" s="53">
        <f t="shared" si="82"/>
        <v>-0.93735706776838001</v>
      </c>
      <c r="H5220" s="35"/>
      <c r="P5220" s="6"/>
    </row>
    <row r="5221" spans="1:16" ht="14.4" x14ac:dyDescent="0.25">
      <c r="A5221" s="6">
        <v>6464</v>
      </c>
      <c r="B5221" s="6">
        <v>46021</v>
      </c>
      <c r="C5221" s="19">
        <v>39874</v>
      </c>
      <c r="D5221" s="6" t="s">
        <v>17</v>
      </c>
      <c r="E5221" s="6">
        <f>IF((ISBLANK($B$1)),"",Sheet1!Q5232)</f>
        <v>3450</v>
      </c>
      <c r="F5221" s="20" t="s">
        <v>29</v>
      </c>
      <c r="G5221" s="53">
        <f t="shared" si="82"/>
        <v>-1.696881917758629</v>
      </c>
      <c r="H5221" s="35"/>
      <c r="P5221" s="6"/>
    </row>
    <row r="5222" spans="1:16" ht="14.4" x14ac:dyDescent="0.25">
      <c r="A5222" s="6">
        <v>6483</v>
      </c>
      <c r="B5222" s="6">
        <v>46147</v>
      </c>
      <c r="C5222" s="19">
        <v>40558</v>
      </c>
      <c r="D5222" s="6" t="s">
        <v>30</v>
      </c>
      <c r="E5222" s="6">
        <f>IF((ISBLANK($B$1)),"",Sheet1!Q5233)</f>
        <v>5250</v>
      </c>
      <c r="F5222" s="20" t="s">
        <v>26</v>
      </c>
      <c r="G5222" s="53">
        <f t="shared" si="82"/>
        <v>0.78883577311854924</v>
      </c>
      <c r="H5222" s="35"/>
      <c r="P5222" s="6"/>
    </row>
    <row r="5223" spans="1:16" ht="14.4" x14ac:dyDescent="0.25">
      <c r="A5223" s="6">
        <v>6484</v>
      </c>
      <c r="B5223" s="6">
        <v>46147</v>
      </c>
      <c r="C5223" s="19">
        <v>40558</v>
      </c>
      <c r="D5223" s="6" t="s">
        <v>30</v>
      </c>
      <c r="E5223" s="6">
        <f>IF((ISBLANK($B$1)),"",Sheet1!Q5234)</f>
        <v>5350</v>
      </c>
      <c r="F5223" s="20" t="s">
        <v>26</v>
      </c>
      <c r="G5223" s="53">
        <f t="shared" si="82"/>
        <v>0.92693120038950361</v>
      </c>
      <c r="H5223" s="35"/>
      <c r="P5223" s="6"/>
    </row>
    <row r="5224" spans="1:16" ht="14.4" x14ac:dyDescent="0.25">
      <c r="A5224" s="6">
        <v>6485</v>
      </c>
      <c r="B5224" s="6">
        <v>46147</v>
      </c>
      <c r="C5224" s="19">
        <v>40558</v>
      </c>
      <c r="D5224" s="6" t="s">
        <v>30</v>
      </c>
      <c r="E5224" s="6">
        <f>IF((ISBLANK($B$1)),"",Sheet1!Q5235)</f>
        <v>4000</v>
      </c>
      <c r="F5224" s="20" t="s">
        <v>29</v>
      </c>
      <c r="G5224" s="53">
        <f t="shared" si="82"/>
        <v>-0.93735706776838001</v>
      </c>
      <c r="H5224" s="35"/>
      <c r="P5224" s="6"/>
    </row>
    <row r="5225" spans="1:16" ht="14.4" x14ac:dyDescent="0.25">
      <c r="A5225" s="6">
        <v>6490</v>
      </c>
      <c r="B5225" s="6">
        <v>46211</v>
      </c>
      <c r="C5225" s="19">
        <v>40340</v>
      </c>
      <c r="D5225" s="6" t="s">
        <v>25</v>
      </c>
      <c r="E5225" s="6">
        <f>IF((ISBLANK($B$1)),"",Sheet1!Q5236)</f>
        <v>5750</v>
      </c>
      <c r="F5225" s="20" t="s">
        <v>29</v>
      </c>
      <c r="G5225" s="53">
        <f t="shared" si="82"/>
        <v>1.4793129094733208</v>
      </c>
      <c r="H5225" s="35"/>
      <c r="P5225" s="6"/>
    </row>
    <row r="5226" spans="1:16" ht="14.4" x14ac:dyDescent="0.25">
      <c r="A5226" s="6">
        <v>6493</v>
      </c>
      <c r="B5226" s="6">
        <v>46241</v>
      </c>
      <c r="C5226" s="19">
        <v>39886</v>
      </c>
      <c r="D5226" s="6" t="s">
        <v>28</v>
      </c>
      <c r="E5226" s="6">
        <f>IF((ISBLANK($B$1)),"",Sheet1!Q5237)</f>
        <v>5100</v>
      </c>
      <c r="F5226" s="20" t="s">
        <v>29</v>
      </c>
      <c r="G5226" s="53">
        <f t="shared" si="82"/>
        <v>0.58169263221211776</v>
      </c>
      <c r="H5226" s="35"/>
      <c r="P5226" s="6"/>
    </row>
    <row r="5227" spans="1:16" ht="14.4" x14ac:dyDescent="0.25">
      <c r="A5227" s="6">
        <v>6497</v>
      </c>
      <c r="B5227" s="6">
        <v>46244</v>
      </c>
      <c r="C5227" s="19">
        <v>39996</v>
      </c>
      <c r="D5227" s="6" t="s">
        <v>16</v>
      </c>
      <c r="E5227" s="6">
        <f>IF((ISBLANK($B$1)),"",Sheet1!Q5238)</f>
        <v>3900</v>
      </c>
      <c r="F5227" s="20" t="s">
        <v>29</v>
      </c>
      <c r="G5227" s="53">
        <f t="shared" si="82"/>
        <v>-1.0754524950393345</v>
      </c>
      <c r="H5227" s="35"/>
      <c r="P5227" s="6"/>
    </row>
    <row r="5228" spans="1:16" ht="14.4" x14ac:dyDescent="0.25">
      <c r="A5228" s="6">
        <v>6498</v>
      </c>
      <c r="B5228" s="6">
        <v>46244</v>
      </c>
      <c r="C5228" s="19">
        <v>39996</v>
      </c>
      <c r="D5228" s="6" t="s">
        <v>16</v>
      </c>
      <c r="E5228" s="6">
        <f>IF((ISBLANK($B$1)),"",Sheet1!Q5239)</f>
        <v>3850</v>
      </c>
      <c r="F5228" s="20" t="s">
        <v>27</v>
      </c>
      <c r="G5228" s="53">
        <f t="shared" si="82"/>
        <v>-1.1445002086748115</v>
      </c>
      <c r="H5228" s="35"/>
      <c r="P5228" s="6"/>
    </row>
    <row r="5229" spans="1:16" ht="14.4" x14ac:dyDescent="0.25">
      <c r="A5229" s="6">
        <v>6501</v>
      </c>
      <c r="B5229" s="6">
        <v>46305</v>
      </c>
      <c r="C5229" s="19">
        <v>40754</v>
      </c>
      <c r="D5229" s="6" t="s">
        <v>25</v>
      </c>
      <c r="E5229" s="6">
        <f>IF((ISBLANK($B$1)),"",Sheet1!Q5240)</f>
        <v>4900</v>
      </c>
      <c r="F5229" s="20" t="s">
        <v>26</v>
      </c>
      <c r="G5229" s="53">
        <f t="shared" si="82"/>
        <v>0.30550177767020903</v>
      </c>
      <c r="H5229" s="35"/>
      <c r="P5229" s="6"/>
    </row>
    <row r="5230" spans="1:16" ht="14.4" x14ac:dyDescent="0.25">
      <c r="A5230" s="6">
        <v>6514</v>
      </c>
      <c r="B5230" s="6">
        <v>46372</v>
      </c>
      <c r="C5230" s="19">
        <v>40600</v>
      </c>
      <c r="D5230" s="6" t="s">
        <v>17</v>
      </c>
      <c r="E5230" s="6">
        <f>IF((ISBLANK($B$1)),"",Sheet1!Q5241)</f>
        <v>3750</v>
      </c>
      <c r="F5230" s="20" t="s">
        <v>26</v>
      </c>
      <c r="G5230" s="53">
        <f t="shared" si="82"/>
        <v>-1.282595635945766</v>
      </c>
      <c r="H5230" s="35"/>
      <c r="P5230" s="6"/>
    </row>
    <row r="5231" spans="1:16" ht="14.4" x14ac:dyDescent="0.25">
      <c r="A5231" s="6">
        <v>6515</v>
      </c>
      <c r="B5231" s="6">
        <v>46372</v>
      </c>
      <c r="C5231" s="19">
        <v>40600</v>
      </c>
      <c r="D5231" s="6" t="s">
        <v>17</v>
      </c>
      <c r="E5231" s="6">
        <f>IF((ISBLANK($B$1)),"",Sheet1!Q5242)</f>
        <v>4150</v>
      </c>
      <c r="F5231" s="20" t="s">
        <v>26</v>
      </c>
      <c r="G5231" s="53">
        <f t="shared" si="82"/>
        <v>-0.73021392686194853</v>
      </c>
      <c r="H5231" s="35"/>
      <c r="P5231" s="6"/>
    </row>
    <row r="5232" spans="1:16" ht="14.4" x14ac:dyDescent="0.25">
      <c r="A5232" s="6">
        <v>6562</v>
      </c>
      <c r="B5232" s="6">
        <v>46656</v>
      </c>
      <c r="C5232" s="19">
        <v>40010</v>
      </c>
      <c r="D5232" s="6" t="s">
        <v>17</v>
      </c>
      <c r="E5232" s="6">
        <f>IF((ISBLANK($B$1)),"",Sheet1!Q5243)</f>
        <v>4750</v>
      </c>
      <c r="F5232" s="20" t="s">
        <v>26</v>
      </c>
      <c r="G5232" s="53">
        <f t="shared" si="82"/>
        <v>9.8358636763777513E-2</v>
      </c>
      <c r="H5232" s="35"/>
      <c r="P5232" s="6"/>
    </row>
    <row r="5233" spans="1:16" ht="14.4" x14ac:dyDescent="0.25">
      <c r="A5233" s="6">
        <v>6567</v>
      </c>
      <c r="B5233" s="6">
        <v>46721</v>
      </c>
      <c r="C5233" s="19">
        <v>40069</v>
      </c>
      <c r="D5233" s="6" t="s">
        <v>16</v>
      </c>
      <c r="E5233" s="6">
        <f>IF((ISBLANK($B$1)),"",Sheet1!Q5244)</f>
        <v>4250</v>
      </c>
      <c r="F5233" s="20" t="s">
        <v>26</v>
      </c>
      <c r="G5233" s="53">
        <f t="shared" si="82"/>
        <v>-0.59211849959099416</v>
      </c>
      <c r="H5233" s="35"/>
      <c r="P5233" s="6"/>
    </row>
    <row r="5234" spans="1:16" ht="14.4" x14ac:dyDescent="0.25">
      <c r="A5234" s="6">
        <v>6568</v>
      </c>
      <c r="B5234" s="6">
        <v>46721</v>
      </c>
      <c r="C5234" s="19">
        <v>40069</v>
      </c>
      <c r="D5234" s="6" t="s">
        <v>16</v>
      </c>
      <c r="E5234" s="6">
        <f>IF((ISBLANK($B$1)),"",Sheet1!Q5245)</f>
        <v>5150</v>
      </c>
      <c r="F5234" s="20" t="s">
        <v>26</v>
      </c>
      <c r="G5234" s="53">
        <f t="shared" si="82"/>
        <v>0.65074034584759488</v>
      </c>
      <c r="H5234" s="35"/>
      <c r="P5234" s="6"/>
    </row>
    <row r="5235" spans="1:16" ht="14.4" x14ac:dyDescent="0.25">
      <c r="A5235" s="6">
        <v>6569</v>
      </c>
      <c r="B5235" s="6">
        <v>46721</v>
      </c>
      <c r="C5235" s="19">
        <v>40069</v>
      </c>
      <c r="D5235" s="6" t="s">
        <v>16</v>
      </c>
      <c r="E5235" s="6">
        <f>IF((ISBLANK($B$1)),"",Sheet1!Q5246)</f>
        <v>4250</v>
      </c>
      <c r="F5235" s="20" t="s">
        <v>26</v>
      </c>
      <c r="G5235" s="53">
        <f t="shared" si="82"/>
        <v>-0.59211849959099416</v>
      </c>
      <c r="H5235" s="35"/>
      <c r="P5235" s="6"/>
    </row>
    <row r="5236" spans="1:16" ht="14.4" x14ac:dyDescent="0.25">
      <c r="A5236" s="6">
        <v>6579</v>
      </c>
      <c r="B5236" s="6">
        <v>46852</v>
      </c>
      <c r="C5236" s="19">
        <v>40936</v>
      </c>
      <c r="D5236" s="6" t="s">
        <v>28</v>
      </c>
      <c r="E5236" s="6">
        <f>IF((ISBLANK($B$1)),"",Sheet1!Q5247)</f>
        <v>5700</v>
      </c>
      <c r="F5236" s="20" t="s">
        <v>27</v>
      </c>
      <c r="G5236" s="53">
        <f t="shared" si="82"/>
        <v>1.4102651958378438</v>
      </c>
      <c r="H5236" s="35"/>
      <c r="P5236" s="6"/>
    </row>
    <row r="5237" spans="1:16" ht="14.4" x14ac:dyDescent="0.25">
      <c r="A5237" s="6">
        <v>6580</v>
      </c>
      <c r="B5237" s="6">
        <v>46852</v>
      </c>
      <c r="C5237" s="19">
        <v>40936</v>
      </c>
      <c r="D5237" s="6" t="s">
        <v>28</v>
      </c>
      <c r="E5237" s="6">
        <f>IF((ISBLANK($B$1)),"",Sheet1!Q5248)</f>
        <v>5600</v>
      </c>
      <c r="F5237" s="20" t="s">
        <v>27</v>
      </c>
      <c r="G5237" s="53">
        <f t="shared" si="82"/>
        <v>1.2721697685668893</v>
      </c>
      <c r="H5237" s="35"/>
      <c r="P5237" s="6"/>
    </row>
    <row r="5238" spans="1:16" ht="14.4" x14ac:dyDescent="0.25">
      <c r="A5238" s="6">
        <v>6597</v>
      </c>
      <c r="B5238" s="6">
        <v>46949</v>
      </c>
      <c r="C5238" s="19">
        <v>40244</v>
      </c>
      <c r="D5238" s="6" t="s">
        <v>17</v>
      </c>
      <c r="E5238" s="6">
        <f>IF((ISBLANK($B$1)),"",Sheet1!Q5249)</f>
        <v>5250</v>
      </c>
      <c r="F5238" s="20" t="s">
        <v>27</v>
      </c>
      <c r="G5238" s="53">
        <f t="shared" si="82"/>
        <v>0.78883577311854924</v>
      </c>
      <c r="H5238" s="35"/>
      <c r="P5238" s="6"/>
    </row>
    <row r="5239" spans="1:16" ht="14.4" x14ac:dyDescent="0.25">
      <c r="A5239" s="6">
        <v>6598</v>
      </c>
      <c r="B5239" s="6">
        <v>46951</v>
      </c>
      <c r="C5239" s="19">
        <v>40864</v>
      </c>
      <c r="D5239" s="6" t="s">
        <v>30</v>
      </c>
      <c r="E5239" s="6">
        <f>IF((ISBLANK($B$1)),"",Sheet1!Q5250)</f>
        <v>4700</v>
      </c>
      <c r="F5239" s="20" t="s">
        <v>27</v>
      </c>
      <c r="G5239" s="53">
        <f t="shared" si="82"/>
        <v>2.9310923128300338E-2</v>
      </c>
      <c r="H5239" s="35"/>
      <c r="P5239" s="6"/>
    </row>
    <row r="5240" spans="1:16" ht="14.4" x14ac:dyDescent="0.25">
      <c r="A5240" s="6">
        <v>6614</v>
      </c>
      <c r="B5240" s="6">
        <v>47075</v>
      </c>
      <c r="C5240" s="19">
        <v>40833</v>
      </c>
      <c r="D5240" s="6" t="s">
        <v>16</v>
      </c>
      <c r="E5240" s="6">
        <f>IF((ISBLANK($B$1)),"",Sheet1!Q5251)</f>
        <v>5500</v>
      </c>
      <c r="F5240" s="20" t="s">
        <v>29</v>
      </c>
      <c r="G5240" s="53">
        <f t="shared" si="82"/>
        <v>1.1340743412959351</v>
      </c>
      <c r="H5240" s="35"/>
      <c r="P5240" s="6"/>
    </row>
    <row r="5241" spans="1:16" ht="14.4" x14ac:dyDescent="0.25">
      <c r="A5241" s="6">
        <v>6661</v>
      </c>
      <c r="B5241" s="6">
        <v>47399</v>
      </c>
      <c r="C5241" s="19">
        <v>41122</v>
      </c>
      <c r="D5241" s="6" t="s">
        <v>25</v>
      </c>
      <c r="E5241" s="6">
        <f>IF((ISBLANK($B$1)),"",Sheet1!Q5252)</f>
        <v>4700</v>
      </c>
      <c r="F5241" s="20" t="s">
        <v>26</v>
      </c>
      <c r="G5241" s="53">
        <f t="shared" si="82"/>
        <v>2.9310923128300338E-2</v>
      </c>
      <c r="H5241" s="35"/>
      <c r="P5241" s="6"/>
    </row>
    <row r="5242" spans="1:16" ht="14.4" x14ac:dyDescent="0.25">
      <c r="A5242" s="6">
        <v>6673</v>
      </c>
      <c r="B5242" s="6">
        <v>47493</v>
      </c>
      <c r="C5242" s="19">
        <v>39855</v>
      </c>
      <c r="D5242" s="6" t="s">
        <v>30</v>
      </c>
      <c r="E5242" s="6">
        <f>IF((ISBLANK($B$1)),"",Sheet1!Q5253)</f>
        <v>5200</v>
      </c>
      <c r="F5242" s="20" t="s">
        <v>29</v>
      </c>
      <c r="G5242" s="53">
        <f t="shared" si="82"/>
        <v>0.71978805948307201</v>
      </c>
      <c r="H5242" s="35"/>
      <c r="P5242" s="6"/>
    </row>
    <row r="5243" spans="1:16" ht="14.4" x14ac:dyDescent="0.25">
      <c r="A5243" s="6">
        <v>6708</v>
      </c>
      <c r="B5243" s="6">
        <v>47777</v>
      </c>
      <c r="C5243" s="19">
        <v>41238</v>
      </c>
      <c r="D5243" s="6" t="s">
        <v>25</v>
      </c>
      <c r="E5243" s="6">
        <f>IF((ISBLANK($B$1)),"",Sheet1!Q5254)</f>
        <v>4050</v>
      </c>
      <c r="F5243" s="20" t="s">
        <v>26</v>
      </c>
      <c r="G5243" s="53">
        <f t="shared" si="82"/>
        <v>-0.86830935413290289</v>
      </c>
      <c r="H5243" s="35"/>
      <c r="P5243" s="6"/>
    </row>
    <row r="5244" spans="1:16" ht="14.4" x14ac:dyDescent="0.25">
      <c r="A5244" s="6">
        <v>6714</v>
      </c>
      <c r="B5244" s="6">
        <v>47844</v>
      </c>
      <c r="C5244" s="19">
        <v>40524</v>
      </c>
      <c r="D5244" s="6" t="s">
        <v>30</v>
      </c>
      <c r="E5244" s="6">
        <f>IF((ISBLANK($B$1)),"",Sheet1!Q5255)</f>
        <v>5450</v>
      </c>
      <c r="F5244" s="20" t="s">
        <v>29</v>
      </c>
      <c r="G5244" s="53">
        <f t="shared" si="82"/>
        <v>1.0650266276604579</v>
      </c>
      <c r="H5244" s="35"/>
      <c r="P5244" s="6"/>
    </row>
    <row r="5245" spans="1:16" ht="14.4" x14ac:dyDescent="0.25">
      <c r="A5245" s="6">
        <v>6732</v>
      </c>
      <c r="B5245" s="6">
        <v>47941</v>
      </c>
      <c r="C5245" s="19">
        <v>40033</v>
      </c>
      <c r="D5245" s="6" t="s">
        <v>17</v>
      </c>
      <c r="E5245" s="6">
        <f>IF((ISBLANK($B$1)),"",Sheet1!Q5256)</f>
        <v>4150</v>
      </c>
      <c r="F5245" s="20" t="s">
        <v>27</v>
      </c>
      <c r="G5245" s="53">
        <f t="shared" si="82"/>
        <v>-0.73021392686194853</v>
      </c>
      <c r="H5245" s="35"/>
      <c r="P5245" s="6"/>
    </row>
    <row r="5246" spans="1:16" ht="14.4" x14ac:dyDescent="0.25">
      <c r="A5246" s="6">
        <v>6795</v>
      </c>
      <c r="B5246" s="6">
        <v>48423</v>
      </c>
      <c r="C5246" s="19">
        <v>41213</v>
      </c>
      <c r="D5246" s="6" t="s">
        <v>17</v>
      </c>
      <c r="E5246" s="6">
        <f>IF((ISBLANK($B$1)),"",Sheet1!Q5257)</f>
        <v>5850</v>
      </c>
      <c r="F5246" s="20" t="s">
        <v>26</v>
      </c>
      <c r="G5246" s="53">
        <f t="shared" si="82"/>
        <v>1.6174083367442753</v>
      </c>
      <c r="H5246" s="35"/>
      <c r="P5246" s="6"/>
    </row>
    <row r="5247" spans="1:16" ht="14.4" x14ac:dyDescent="0.25">
      <c r="A5247" s="6">
        <v>6857</v>
      </c>
      <c r="B5247" s="6">
        <v>48837</v>
      </c>
      <c r="C5247" s="19">
        <v>40742</v>
      </c>
      <c r="D5247" s="6" t="s">
        <v>28</v>
      </c>
      <c r="E5247" s="6">
        <f>IF((ISBLANK($B$1)),"",Sheet1!Q5258)</f>
        <v>5350</v>
      </c>
      <c r="F5247" s="20" t="s">
        <v>27</v>
      </c>
      <c r="G5247" s="53">
        <f t="shared" si="82"/>
        <v>0.92693120038950361</v>
      </c>
      <c r="H5247" s="35"/>
      <c r="P5247" s="6"/>
    </row>
    <row r="5248" spans="1:16" ht="14.4" x14ac:dyDescent="0.25">
      <c r="A5248" s="6">
        <v>6874</v>
      </c>
      <c r="B5248" s="6">
        <v>48993</v>
      </c>
      <c r="C5248" s="19">
        <v>41060</v>
      </c>
      <c r="D5248" s="6" t="s">
        <v>25</v>
      </c>
      <c r="E5248" s="6">
        <f>IF((ISBLANK($B$1)),"",Sheet1!Q5259)</f>
        <v>4250</v>
      </c>
      <c r="F5248" s="20" t="s">
        <v>26</v>
      </c>
      <c r="G5248" s="53">
        <f t="shared" si="82"/>
        <v>-0.59211849959099416</v>
      </c>
      <c r="H5248" s="35"/>
      <c r="P5248" s="6"/>
    </row>
    <row r="5249" spans="1:16" ht="14.4" x14ac:dyDescent="0.25">
      <c r="A5249" s="6">
        <v>6889</v>
      </c>
      <c r="B5249" s="6">
        <v>49123</v>
      </c>
      <c r="C5249" s="19">
        <v>39869</v>
      </c>
      <c r="D5249" s="6" t="s">
        <v>17</v>
      </c>
      <c r="E5249" s="6">
        <f>IF((ISBLANK($B$1)),"",Sheet1!Q5260)</f>
        <v>4950</v>
      </c>
      <c r="F5249" s="20" t="s">
        <v>26</v>
      </c>
      <c r="G5249" s="53">
        <f t="shared" si="82"/>
        <v>0.37454949130568621</v>
      </c>
      <c r="H5249" s="35"/>
      <c r="P5249" s="6"/>
    </row>
    <row r="5250" spans="1:16" ht="14.4" x14ac:dyDescent="0.25">
      <c r="A5250" s="6">
        <v>6890</v>
      </c>
      <c r="B5250" s="6">
        <v>49123</v>
      </c>
      <c r="C5250" s="19">
        <v>39869</v>
      </c>
      <c r="D5250" s="6" t="s">
        <v>17</v>
      </c>
      <c r="E5250" s="6">
        <f>IF((ISBLANK($B$1)),"",Sheet1!Q5261)</f>
        <v>3550</v>
      </c>
      <c r="F5250" s="20" t="s">
        <v>27</v>
      </c>
      <c r="G5250" s="53">
        <f t="shared" si="82"/>
        <v>-1.5587864904876745</v>
      </c>
      <c r="H5250" s="35"/>
      <c r="P5250" s="6"/>
    </row>
    <row r="5251" spans="1:16" ht="14.4" x14ac:dyDescent="0.25">
      <c r="A5251" s="6">
        <v>6903</v>
      </c>
      <c r="B5251" s="6">
        <v>49220</v>
      </c>
      <c r="C5251" s="19">
        <v>40768</v>
      </c>
      <c r="D5251" s="6" t="s">
        <v>30</v>
      </c>
      <c r="E5251" s="6">
        <f>IF((ISBLANK($B$1)),"",Sheet1!Q5262)</f>
        <v>4050</v>
      </c>
      <c r="F5251" s="20" t="s">
        <v>26</v>
      </c>
      <c r="G5251" s="53">
        <f t="shared" si="82"/>
        <v>-0.86830935413290289</v>
      </c>
      <c r="H5251" s="35"/>
      <c r="P5251" s="6"/>
    </row>
    <row r="5252" spans="1:16" ht="14.4" x14ac:dyDescent="0.25">
      <c r="A5252" s="6">
        <v>6925</v>
      </c>
      <c r="B5252" s="6">
        <v>49409</v>
      </c>
      <c r="C5252" s="19">
        <v>40771</v>
      </c>
      <c r="D5252" s="6" t="s">
        <v>17</v>
      </c>
      <c r="E5252" s="6">
        <f>IF((ISBLANK($B$1)),"",Sheet1!Q5263)</f>
        <v>4800</v>
      </c>
      <c r="F5252" s="20" t="s">
        <v>27</v>
      </c>
      <c r="G5252" s="53">
        <f t="shared" si="82"/>
        <v>0.16740635039925467</v>
      </c>
      <c r="H5252" s="35"/>
      <c r="P5252" s="6"/>
    </row>
    <row r="5253" spans="1:16" ht="14.4" x14ac:dyDescent="0.25">
      <c r="A5253" s="6">
        <v>6934</v>
      </c>
      <c r="B5253" s="6">
        <v>49479</v>
      </c>
      <c r="C5253" s="19">
        <v>40751</v>
      </c>
      <c r="D5253" s="6" t="s">
        <v>16</v>
      </c>
      <c r="E5253" s="6">
        <f>IF((ISBLANK($B$1)),"",Sheet1!Q5264)</f>
        <v>5700</v>
      </c>
      <c r="F5253" s="20" t="s">
        <v>27</v>
      </c>
      <c r="G5253" s="53">
        <f t="shared" si="82"/>
        <v>1.4102651958378438</v>
      </c>
      <c r="H5253" s="35"/>
      <c r="P5253" s="6"/>
    </row>
    <row r="5254" spans="1:16" ht="14.4" x14ac:dyDescent="0.25">
      <c r="A5254" s="6">
        <v>6943</v>
      </c>
      <c r="B5254" s="6">
        <v>49600</v>
      </c>
      <c r="C5254" s="19">
        <v>40609</v>
      </c>
      <c r="D5254" s="6" t="s">
        <v>25</v>
      </c>
      <c r="E5254" s="6">
        <f>IF((ISBLANK($B$1)),"",Sheet1!Q5265)</f>
        <v>5050</v>
      </c>
      <c r="F5254" s="20" t="s">
        <v>26</v>
      </c>
      <c r="G5254" s="53">
        <f t="shared" si="82"/>
        <v>0.51264491857664052</v>
      </c>
      <c r="H5254" s="35"/>
      <c r="P5254" s="6"/>
    </row>
    <row r="5255" spans="1:16" ht="14.4" x14ac:dyDescent="0.25">
      <c r="A5255" s="6">
        <v>6998</v>
      </c>
      <c r="B5255" s="6">
        <v>49987</v>
      </c>
      <c r="C5255" s="19">
        <v>40562</v>
      </c>
      <c r="D5255" s="6" t="s">
        <v>17</v>
      </c>
      <c r="E5255" s="6">
        <f>IF((ISBLANK($B$1)),"",Sheet1!Q5266)</f>
        <v>4100</v>
      </c>
      <c r="F5255" s="20" t="s">
        <v>27</v>
      </c>
      <c r="G5255" s="53">
        <f t="shared" si="82"/>
        <v>-0.79926164049742576</v>
      </c>
      <c r="H5255" s="35"/>
      <c r="P5255" s="6"/>
    </row>
    <row r="5256" spans="1:16" ht="14.4" x14ac:dyDescent="0.25">
      <c r="A5256" s="6">
        <v>7037</v>
      </c>
      <c r="B5256" s="6">
        <v>50242</v>
      </c>
      <c r="C5256" s="19">
        <v>40378</v>
      </c>
      <c r="D5256" s="6" t="s">
        <v>28</v>
      </c>
      <c r="E5256" s="6">
        <f>IF((ISBLANK($B$1)),"",Sheet1!Q5267)</f>
        <v>3800</v>
      </c>
      <c r="F5256" s="20" t="s">
        <v>27</v>
      </c>
      <c r="G5256" s="53">
        <f t="shared" ref="G5256:G5319" si="83">STANDARDIZE(E5256,$L$26,$L$35)</f>
        <v>-1.2135479223102887</v>
      </c>
      <c r="H5256" s="35"/>
      <c r="P5256" s="6"/>
    </row>
    <row r="5257" spans="1:16" ht="14.4" x14ac:dyDescent="0.25">
      <c r="A5257" s="6">
        <v>7039</v>
      </c>
      <c r="B5257" s="6">
        <v>50275</v>
      </c>
      <c r="C5257" s="19">
        <v>40152</v>
      </c>
      <c r="D5257" s="6" t="s">
        <v>16</v>
      </c>
      <c r="E5257" s="6">
        <f>IF((ISBLANK($B$1)),"",Sheet1!Q5268)</f>
        <v>3650</v>
      </c>
      <c r="F5257" s="20" t="s">
        <v>27</v>
      </c>
      <c r="G5257" s="53">
        <f t="shared" si="83"/>
        <v>-1.4206910632167202</v>
      </c>
      <c r="H5257" s="35"/>
      <c r="P5257" s="6"/>
    </row>
    <row r="5258" spans="1:16" ht="14.4" x14ac:dyDescent="0.25">
      <c r="A5258" s="6">
        <v>7040</v>
      </c>
      <c r="B5258" s="6">
        <v>50275</v>
      </c>
      <c r="C5258" s="19">
        <v>40152</v>
      </c>
      <c r="D5258" s="6" t="s">
        <v>16</v>
      </c>
      <c r="E5258" s="6">
        <f>IF((ISBLANK($B$1)),"",Sheet1!Q5269)</f>
        <v>4950</v>
      </c>
      <c r="F5258" s="20" t="s">
        <v>26</v>
      </c>
      <c r="G5258" s="53">
        <f t="shared" si="83"/>
        <v>0.37454949130568621</v>
      </c>
      <c r="H5258" s="35"/>
      <c r="P5258" s="6"/>
    </row>
    <row r="5259" spans="1:16" ht="14.4" x14ac:dyDescent="0.25">
      <c r="A5259" s="6">
        <v>7061</v>
      </c>
      <c r="B5259" s="6">
        <v>50403</v>
      </c>
      <c r="C5259" s="19">
        <v>41041</v>
      </c>
      <c r="D5259" s="6" t="s">
        <v>28</v>
      </c>
      <c r="E5259" s="6">
        <f>IF((ISBLANK($B$1)),"",Sheet1!Q5270)</f>
        <v>4500</v>
      </c>
      <c r="F5259" s="20" t="s">
        <v>26</v>
      </c>
      <c r="G5259" s="53">
        <f t="shared" si="83"/>
        <v>-0.24687993141360834</v>
      </c>
      <c r="H5259" s="35"/>
      <c r="P5259" s="6"/>
    </row>
    <row r="5260" spans="1:16" ht="14.4" x14ac:dyDescent="0.25">
      <c r="A5260" s="6">
        <v>7065</v>
      </c>
      <c r="B5260" s="6">
        <v>50405</v>
      </c>
      <c r="C5260" s="19">
        <v>40726</v>
      </c>
      <c r="D5260" s="6" t="s">
        <v>16</v>
      </c>
      <c r="E5260" s="6">
        <f>IF((ISBLANK($B$1)),"",Sheet1!Q5271)</f>
        <v>3800</v>
      </c>
      <c r="F5260" s="20" t="s">
        <v>26</v>
      </c>
      <c r="G5260" s="53">
        <f t="shared" si="83"/>
        <v>-1.2135479223102887</v>
      </c>
      <c r="H5260" s="35"/>
      <c r="P5260" s="6"/>
    </row>
    <row r="5261" spans="1:16" ht="14.4" x14ac:dyDescent="0.25">
      <c r="A5261" s="6">
        <v>7069</v>
      </c>
      <c r="B5261" s="6">
        <v>50464</v>
      </c>
      <c r="C5261" s="19">
        <v>40813</v>
      </c>
      <c r="D5261" s="6" t="s">
        <v>30</v>
      </c>
      <c r="E5261" s="6">
        <f>IF((ISBLANK($B$1)),"",Sheet1!Q5272)</f>
        <v>3750</v>
      </c>
      <c r="F5261" s="20" t="s">
        <v>26</v>
      </c>
      <c r="G5261" s="53">
        <f t="shared" si="83"/>
        <v>-1.282595635945766</v>
      </c>
      <c r="H5261" s="35"/>
      <c r="P5261" s="6"/>
    </row>
    <row r="5262" spans="1:16" ht="14.4" x14ac:dyDescent="0.25">
      <c r="A5262" s="6">
        <v>7070</v>
      </c>
      <c r="B5262" s="6">
        <v>50465</v>
      </c>
      <c r="C5262" s="19">
        <v>40613</v>
      </c>
      <c r="D5262" s="6" t="s">
        <v>16</v>
      </c>
      <c r="E5262" s="6">
        <f>IF((ISBLANK($B$1)),"",Sheet1!Q5273)</f>
        <v>4850</v>
      </c>
      <c r="F5262" s="20" t="s">
        <v>26</v>
      </c>
      <c r="G5262" s="53">
        <f t="shared" si="83"/>
        <v>0.23645406403473185</v>
      </c>
      <c r="H5262" s="35"/>
      <c r="P5262" s="6"/>
    </row>
    <row r="5263" spans="1:16" ht="14.4" x14ac:dyDescent="0.25">
      <c r="A5263" s="6">
        <v>7072</v>
      </c>
      <c r="B5263" s="6">
        <v>50469</v>
      </c>
      <c r="C5263" s="19">
        <v>40348</v>
      </c>
      <c r="D5263" s="6" t="s">
        <v>28</v>
      </c>
      <c r="E5263" s="6">
        <f>IF((ISBLANK($B$1)),"",Sheet1!Q5274)</f>
        <v>5600</v>
      </c>
      <c r="F5263" s="20" t="s">
        <v>27</v>
      </c>
      <c r="G5263" s="53">
        <f t="shared" si="83"/>
        <v>1.2721697685668893</v>
      </c>
      <c r="H5263" s="35"/>
      <c r="P5263" s="6"/>
    </row>
    <row r="5264" spans="1:16" ht="14.4" x14ac:dyDescent="0.25">
      <c r="A5264" s="6">
        <v>7118</v>
      </c>
      <c r="B5264" s="6">
        <v>50789</v>
      </c>
      <c r="C5264" s="19">
        <v>40614</v>
      </c>
      <c r="D5264" s="6" t="s">
        <v>28</v>
      </c>
      <c r="E5264" s="6">
        <f>IF((ISBLANK($B$1)),"",Sheet1!Q5275)</f>
        <v>4550</v>
      </c>
      <c r="F5264" s="20" t="s">
        <v>26</v>
      </c>
      <c r="G5264" s="53">
        <f t="shared" si="83"/>
        <v>-0.17783221777813119</v>
      </c>
      <c r="H5264" s="35"/>
      <c r="P5264" s="6"/>
    </row>
    <row r="5265" spans="1:16" ht="14.4" x14ac:dyDescent="0.25">
      <c r="A5265" s="6">
        <v>7153</v>
      </c>
      <c r="B5265" s="6">
        <v>51044</v>
      </c>
      <c r="C5265" s="19">
        <v>40926</v>
      </c>
      <c r="D5265" s="6" t="s">
        <v>25</v>
      </c>
      <c r="E5265" s="6">
        <f>IF((ISBLANK($B$1)),"",Sheet1!Q5276)</f>
        <v>4250</v>
      </c>
      <c r="F5265" s="20" t="s">
        <v>26</v>
      </c>
      <c r="G5265" s="53">
        <f t="shared" si="83"/>
        <v>-0.59211849959099416</v>
      </c>
      <c r="H5265" s="35"/>
      <c r="P5265" s="6"/>
    </row>
    <row r="5266" spans="1:16" ht="14.4" x14ac:dyDescent="0.25">
      <c r="A5266" s="6">
        <v>7154</v>
      </c>
      <c r="B5266" s="6">
        <v>51044</v>
      </c>
      <c r="C5266" s="19">
        <v>40926</v>
      </c>
      <c r="D5266" s="6" t="s">
        <v>25</v>
      </c>
      <c r="E5266" s="6">
        <f>IF((ISBLANK($B$1)),"",Sheet1!Q5277)</f>
        <v>4700</v>
      </c>
      <c r="F5266" s="20" t="s">
        <v>29</v>
      </c>
      <c r="G5266" s="53">
        <f t="shared" si="83"/>
        <v>2.9310923128300338E-2</v>
      </c>
      <c r="H5266" s="35"/>
      <c r="P5266" s="6"/>
    </row>
    <row r="5267" spans="1:16" ht="14.4" x14ac:dyDescent="0.25">
      <c r="A5267" s="6">
        <v>7155</v>
      </c>
      <c r="B5267" s="6">
        <v>51044</v>
      </c>
      <c r="C5267" s="19">
        <v>40926</v>
      </c>
      <c r="D5267" s="6" t="s">
        <v>25</v>
      </c>
      <c r="E5267" s="6">
        <f>IF((ISBLANK($B$1)),"",Sheet1!Q5278)</f>
        <v>4350</v>
      </c>
      <c r="F5267" s="20" t="s">
        <v>26</v>
      </c>
      <c r="G5267" s="53">
        <f t="shared" si="83"/>
        <v>-0.45402307232003986</v>
      </c>
      <c r="H5267" s="35"/>
      <c r="P5267" s="6"/>
    </row>
    <row r="5268" spans="1:16" ht="14.4" x14ac:dyDescent="0.25">
      <c r="A5268" s="6">
        <v>7193</v>
      </c>
      <c r="B5268" s="6">
        <v>51302</v>
      </c>
      <c r="C5268" s="19">
        <v>40779</v>
      </c>
      <c r="D5268" s="6" t="s">
        <v>28</v>
      </c>
      <c r="E5268" s="6">
        <f>IF((ISBLANK($B$1)),"",Sheet1!Q5279)</f>
        <v>5600</v>
      </c>
      <c r="F5268" s="20" t="s">
        <v>26</v>
      </c>
      <c r="G5268" s="53">
        <f t="shared" si="83"/>
        <v>1.2721697685668893</v>
      </c>
      <c r="H5268" s="35"/>
      <c r="P5268" s="6"/>
    </row>
    <row r="5269" spans="1:16" ht="14.4" x14ac:dyDescent="0.25">
      <c r="A5269" s="6">
        <v>7203</v>
      </c>
      <c r="B5269" s="6">
        <v>51392</v>
      </c>
      <c r="C5269" s="19">
        <v>40129</v>
      </c>
      <c r="D5269" s="6" t="s">
        <v>16</v>
      </c>
      <c r="E5269" s="6">
        <f>IF((ISBLANK($B$1)),"",Sheet1!Q5280)</f>
        <v>3900</v>
      </c>
      <c r="F5269" s="20" t="s">
        <v>27</v>
      </c>
      <c r="G5269" s="53">
        <f t="shared" si="83"/>
        <v>-1.0754524950393345</v>
      </c>
      <c r="H5269" s="35"/>
      <c r="P5269" s="6"/>
    </row>
    <row r="5270" spans="1:16" ht="14.4" x14ac:dyDescent="0.25">
      <c r="A5270" s="6">
        <v>7244</v>
      </c>
      <c r="B5270" s="6">
        <v>51650</v>
      </c>
      <c r="C5270" s="19">
        <v>40695</v>
      </c>
      <c r="D5270" s="6" t="s">
        <v>17</v>
      </c>
      <c r="E5270" s="6">
        <f>IF((ISBLANK($B$1)),"",Sheet1!Q5281)</f>
        <v>4650</v>
      </c>
      <c r="F5270" s="20" t="s">
        <v>26</v>
      </c>
      <c r="G5270" s="53">
        <f t="shared" si="83"/>
        <v>-3.9736790507176829E-2</v>
      </c>
      <c r="H5270" s="35"/>
      <c r="P5270" s="6"/>
    </row>
    <row r="5271" spans="1:16" ht="14.4" x14ac:dyDescent="0.25">
      <c r="A5271" s="6">
        <v>7245</v>
      </c>
      <c r="B5271" s="6">
        <v>51650</v>
      </c>
      <c r="C5271" s="19">
        <v>40695</v>
      </c>
      <c r="D5271" s="6" t="s">
        <v>17</v>
      </c>
      <c r="E5271" s="6">
        <f>IF((ISBLANK($B$1)),"",Sheet1!Q5282)</f>
        <v>5550</v>
      </c>
      <c r="F5271" s="20" t="s">
        <v>27</v>
      </c>
      <c r="G5271" s="53">
        <f t="shared" si="83"/>
        <v>1.2031220549314123</v>
      </c>
      <c r="H5271" s="35"/>
      <c r="P5271" s="6"/>
    </row>
    <row r="5272" spans="1:16" ht="14.4" x14ac:dyDescent="0.25">
      <c r="A5272" s="6">
        <v>7246</v>
      </c>
      <c r="B5272" s="6">
        <v>51650</v>
      </c>
      <c r="C5272" s="19">
        <v>40695</v>
      </c>
      <c r="D5272" s="6" t="s">
        <v>17</v>
      </c>
      <c r="E5272" s="6">
        <f>IF((ISBLANK($B$1)),"",Sheet1!Q5283)</f>
        <v>4350</v>
      </c>
      <c r="F5272" s="20" t="s">
        <v>26</v>
      </c>
      <c r="G5272" s="53">
        <f t="shared" si="83"/>
        <v>-0.45402307232003986</v>
      </c>
      <c r="H5272" s="35"/>
      <c r="P5272" s="6"/>
    </row>
    <row r="5273" spans="1:16" ht="14.4" x14ac:dyDescent="0.25">
      <c r="A5273" s="6">
        <v>7247</v>
      </c>
      <c r="B5273" s="6">
        <v>51652</v>
      </c>
      <c r="C5273" s="19">
        <v>40642</v>
      </c>
      <c r="D5273" s="6" t="s">
        <v>28</v>
      </c>
      <c r="E5273" s="6">
        <f>IF((ISBLANK($B$1)),"",Sheet1!Q5284)</f>
        <v>5250</v>
      </c>
      <c r="F5273" s="20" t="s">
        <v>26</v>
      </c>
      <c r="G5273" s="53">
        <f t="shared" si="83"/>
        <v>0.78883577311854924</v>
      </c>
      <c r="H5273" s="35"/>
      <c r="P5273" s="6"/>
    </row>
    <row r="5274" spans="1:16" ht="14.4" x14ac:dyDescent="0.25">
      <c r="A5274" s="6">
        <v>7248</v>
      </c>
      <c r="B5274" s="6">
        <v>51652</v>
      </c>
      <c r="C5274" s="19">
        <v>40642</v>
      </c>
      <c r="D5274" s="6" t="s">
        <v>28</v>
      </c>
      <c r="E5274" s="6">
        <f>IF((ISBLANK($B$1)),"",Sheet1!Q5285)</f>
        <v>5300</v>
      </c>
      <c r="F5274" s="20" t="s">
        <v>26</v>
      </c>
      <c r="G5274" s="53">
        <f t="shared" si="83"/>
        <v>0.85788348675402637</v>
      </c>
      <c r="H5274" s="35"/>
      <c r="P5274" s="6"/>
    </row>
    <row r="5275" spans="1:16" ht="14.4" x14ac:dyDescent="0.25">
      <c r="A5275" s="6">
        <v>7272</v>
      </c>
      <c r="B5275" s="6">
        <v>51876</v>
      </c>
      <c r="C5275" s="19">
        <v>40974</v>
      </c>
      <c r="D5275" s="6" t="s">
        <v>30</v>
      </c>
      <c r="E5275" s="6">
        <f>IF((ISBLANK($B$1)),"",Sheet1!Q5286)</f>
        <v>3500</v>
      </c>
      <c r="F5275" s="20" t="s">
        <v>27</v>
      </c>
      <c r="G5275" s="53">
        <f t="shared" si="83"/>
        <v>-1.6278342041231517</v>
      </c>
      <c r="H5275" s="35"/>
      <c r="P5275" s="6"/>
    </row>
    <row r="5276" spans="1:16" ht="14.4" x14ac:dyDescent="0.25">
      <c r="A5276" s="6">
        <v>7304</v>
      </c>
      <c r="B5276" s="6">
        <v>52070</v>
      </c>
      <c r="C5276" s="19">
        <v>40148</v>
      </c>
      <c r="D5276" s="6" t="s">
        <v>28</v>
      </c>
      <c r="E5276" s="6">
        <f>IF((ISBLANK($B$1)),"",Sheet1!Q5287)</f>
        <v>4850</v>
      </c>
      <c r="F5276" s="20" t="s">
        <v>26</v>
      </c>
      <c r="G5276" s="53">
        <f t="shared" si="83"/>
        <v>0.23645406403473185</v>
      </c>
      <c r="H5276" s="35"/>
      <c r="P5276" s="6"/>
    </row>
    <row r="5277" spans="1:16" ht="14.4" x14ac:dyDescent="0.25">
      <c r="A5277" s="6">
        <v>7313</v>
      </c>
      <c r="B5277" s="6">
        <v>52160</v>
      </c>
      <c r="C5277" s="19">
        <v>40727</v>
      </c>
      <c r="D5277" s="6" t="s">
        <v>30</v>
      </c>
      <c r="E5277" s="6">
        <f>IF((ISBLANK($B$1)),"",Sheet1!Q5288)</f>
        <v>3650</v>
      </c>
      <c r="F5277" s="20" t="s">
        <v>26</v>
      </c>
      <c r="G5277" s="53">
        <f t="shared" si="83"/>
        <v>-1.4206910632167202</v>
      </c>
      <c r="H5277" s="35"/>
      <c r="P5277" s="6"/>
    </row>
    <row r="5278" spans="1:16" ht="14.4" x14ac:dyDescent="0.25">
      <c r="A5278" s="6">
        <v>7314</v>
      </c>
      <c r="B5278" s="6">
        <v>52160</v>
      </c>
      <c r="C5278" s="19">
        <v>40727</v>
      </c>
      <c r="D5278" s="6" t="s">
        <v>30</v>
      </c>
      <c r="E5278" s="6">
        <f>IF((ISBLANK($B$1)),"",Sheet1!Q5289)</f>
        <v>3700</v>
      </c>
      <c r="F5278" s="20" t="s">
        <v>27</v>
      </c>
      <c r="G5278" s="53">
        <f t="shared" si="83"/>
        <v>-1.351643349581243</v>
      </c>
      <c r="H5278" s="35"/>
      <c r="P5278" s="6"/>
    </row>
    <row r="5279" spans="1:16" ht="14.4" x14ac:dyDescent="0.25">
      <c r="A5279" s="6">
        <v>7333</v>
      </c>
      <c r="B5279" s="6">
        <v>52258</v>
      </c>
      <c r="C5279" s="19">
        <v>39854</v>
      </c>
      <c r="D5279" s="6" t="s">
        <v>25</v>
      </c>
      <c r="E5279" s="6">
        <f>IF((ISBLANK($B$1)),"",Sheet1!Q5290)</f>
        <v>3650</v>
      </c>
      <c r="F5279" s="20" t="s">
        <v>29</v>
      </c>
      <c r="G5279" s="53">
        <f t="shared" si="83"/>
        <v>-1.4206910632167202</v>
      </c>
      <c r="H5279" s="35"/>
      <c r="P5279" s="6"/>
    </row>
    <row r="5280" spans="1:16" ht="14.4" x14ac:dyDescent="0.25">
      <c r="A5280" s="6">
        <v>7378</v>
      </c>
      <c r="B5280" s="6">
        <v>52608</v>
      </c>
      <c r="C5280" s="19">
        <v>39834</v>
      </c>
      <c r="D5280" s="6" t="s">
        <v>25</v>
      </c>
      <c r="E5280" s="6">
        <f>IF((ISBLANK($B$1)),"",Sheet1!Q5291)</f>
        <v>5200</v>
      </c>
      <c r="F5280" s="20" t="s">
        <v>26</v>
      </c>
      <c r="G5280" s="53">
        <f t="shared" si="83"/>
        <v>0.71978805948307201</v>
      </c>
      <c r="H5280" s="35"/>
      <c r="P5280" s="6"/>
    </row>
    <row r="5281" spans="1:16" ht="14.4" x14ac:dyDescent="0.25">
      <c r="A5281" s="6">
        <v>7382</v>
      </c>
      <c r="B5281" s="6">
        <v>52640</v>
      </c>
      <c r="C5281" s="19">
        <v>40544</v>
      </c>
      <c r="D5281" s="6" t="s">
        <v>16</v>
      </c>
      <c r="E5281" s="6">
        <f>IF((ISBLANK($B$1)),"",Sheet1!Q5292)</f>
        <v>4300</v>
      </c>
      <c r="F5281" s="20" t="s">
        <v>26</v>
      </c>
      <c r="G5281" s="53">
        <f t="shared" si="83"/>
        <v>-0.52307078595551704</v>
      </c>
      <c r="H5281" s="35"/>
      <c r="P5281" s="6"/>
    </row>
    <row r="5282" spans="1:16" ht="14.4" x14ac:dyDescent="0.25">
      <c r="A5282" s="6">
        <v>7482</v>
      </c>
      <c r="B5282" s="6">
        <v>53412</v>
      </c>
      <c r="C5282" s="19">
        <v>40071</v>
      </c>
      <c r="D5282" s="6" t="s">
        <v>30</v>
      </c>
      <c r="E5282" s="6">
        <f>IF((ISBLANK($B$1)),"",Sheet1!Q5293)</f>
        <v>5650</v>
      </c>
      <c r="F5282" s="20" t="s">
        <v>29</v>
      </c>
      <c r="G5282" s="53">
        <f t="shared" si="83"/>
        <v>1.3412174822023666</v>
      </c>
      <c r="H5282" s="35"/>
      <c r="P5282" s="6"/>
    </row>
    <row r="5283" spans="1:16" ht="14.4" x14ac:dyDescent="0.25">
      <c r="A5283" s="6">
        <v>7504</v>
      </c>
      <c r="B5283" s="6">
        <v>53568</v>
      </c>
      <c r="C5283" s="19">
        <v>40357</v>
      </c>
      <c r="D5283" s="6" t="s">
        <v>16</v>
      </c>
      <c r="E5283" s="6">
        <f>IF((ISBLANK($B$1)),"",Sheet1!Q5294)</f>
        <v>5100</v>
      </c>
      <c r="F5283" s="20" t="s">
        <v>29</v>
      </c>
      <c r="G5283" s="53">
        <f t="shared" si="83"/>
        <v>0.58169263221211776</v>
      </c>
      <c r="H5283" s="35"/>
      <c r="P5283" s="6"/>
    </row>
    <row r="5284" spans="1:16" ht="14.4" x14ac:dyDescent="0.25">
      <c r="A5284" s="6">
        <v>7546</v>
      </c>
      <c r="B5284" s="6">
        <v>53956</v>
      </c>
      <c r="C5284" s="19">
        <v>40763</v>
      </c>
      <c r="D5284" s="6" t="s">
        <v>17</v>
      </c>
      <c r="E5284" s="6">
        <f>IF((ISBLANK($B$1)),"",Sheet1!Q5295)</f>
        <v>5550</v>
      </c>
      <c r="F5284" s="20" t="s">
        <v>26</v>
      </c>
      <c r="G5284" s="53">
        <f t="shared" si="83"/>
        <v>1.2031220549314123</v>
      </c>
      <c r="H5284" s="35"/>
      <c r="P5284" s="6"/>
    </row>
    <row r="5285" spans="1:16" ht="14.4" x14ac:dyDescent="0.25">
      <c r="A5285" s="6">
        <v>7601</v>
      </c>
      <c r="B5285" s="6">
        <v>54371</v>
      </c>
      <c r="C5285" s="19">
        <v>40954</v>
      </c>
      <c r="D5285" s="6" t="s">
        <v>28</v>
      </c>
      <c r="E5285" s="6">
        <f>IF((ISBLANK($B$1)),"",Sheet1!Q5296)</f>
        <v>4800</v>
      </c>
      <c r="F5285" s="20" t="s">
        <v>26</v>
      </c>
      <c r="G5285" s="53">
        <f t="shared" si="83"/>
        <v>0.16740635039925467</v>
      </c>
      <c r="H5285" s="35"/>
      <c r="P5285" s="6"/>
    </row>
    <row r="5286" spans="1:16" ht="14.4" x14ac:dyDescent="0.25">
      <c r="A5286" s="6">
        <v>7602</v>
      </c>
      <c r="B5286" s="6">
        <v>54371</v>
      </c>
      <c r="C5286" s="19">
        <v>40954</v>
      </c>
      <c r="D5286" s="6" t="s">
        <v>28</v>
      </c>
      <c r="E5286" s="6">
        <f>IF((ISBLANK($B$1)),"",Sheet1!Q5297)</f>
        <v>3750</v>
      </c>
      <c r="F5286" s="20" t="s">
        <v>26</v>
      </c>
      <c r="G5286" s="53">
        <f t="shared" si="83"/>
        <v>-1.282595635945766</v>
      </c>
      <c r="H5286" s="35"/>
      <c r="P5286" s="6"/>
    </row>
    <row r="5287" spans="1:16" ht="14.4" x14ac:dyDescent="0.25">
      <c r="A5287" s="6">
        <v>7605</v>
      </c>
      <c r="B5287" s="6">
        <v>54436</v>
      </c>
      <c r="C5287" s="19">
        <v>40075</v>
      </c>
      <c r="D5287" s="6" t="s">
        <v>17</v>
      </c>
      <c r="E5287" s="6">
        <f>IF((ISBLANK($B$1)),"",Sheet1!Q5298)</f>
        <v>4250</v>
      </c>
      <c r="F5287" s="20" t="s">
        <v>27</v>
      </c>
      <c r="G5287" s="53">
        <f t="shared" si="83"/>
        <v>-0.59211849959099416</v>
      </c>
      <c r="H5287" s="35"/>
      <c r="P5287" s="6"/>
    </row>
    <row r="5288" spans="1:16" ht="14.4" x14ac:dyDescent="0.25">
      <c r="A5288" s="6">
        <v>7606</v>
      </c>
      <c r="B5288" s="6">
        <v>54436</v>
      </c>
      <c r="C5288" s="19">
        <v>40075</v>
      </c>
      <c r="D5288" s="6" t="s">
        <v>17</v>
      </c>
      <c r="E5288" s="6">
        <f>IF((ISBLANK($B$1)),"",Sheet1!Q5299)</f>
        <v>5250</v>
      </c>
      <c r="F5288" s="20" t="s">
        <v>27</v>
      </c>
      <c r="G5288" s="53">
        <f t="shared" si="83"/>
        <v>0.78883577311854924</v>
      </c>
      <c r="H5288" s="35"/>
      <c r="P5288" s="6"/>
    </row>
    <row r="5289" spans="1:16" ht="14.4" x14ac:dyDescent="0.25">
      <c r="A5289" s="6">
        <v>7608</v>
      </c>
      <c r="B5289" s="6">
        <v>54464</v>
      </c>
      <c r="C5289" s="19">
        <v>40057</v>
      </c>
      <c r="D5289" s="6" t="s">
        <v>17</v>
      </c>
      <c r="E5289" s="6">
        <f>IF((ISBLANK($B$1)),"",Sheet1!Q5300)</f>
        <v>3950</v>
      </c>
      <c r="F5289" s="20" t="s">
        <v>29</v>
      </c>
      <c r="G5289" s="53">
        <f t="shared" si="83"/>
        <v>-1.0064047814038573</v>
      </c>
      <c r="H5289" s="35"/>
      <c r="P5289" s="6"/>
    </row>
    <row r="5290" spans="1:16" ht="14.4" x14ac:dyDescent="0.25">
      <c r="A5290" s="6">
        <v>7609</v>
      </c>
      <c r="B5290" s="6">
        <v>54464</v>
      </c>
      <c r="C5290" s="19">
        <v>40057</v>
      </c>
      <c r="D5290" s="6" t="s">
        <v>17</v>
      </c>
      <c r="E5290" s="6">
        <f>IF((ISBLANK($B$1)),"",Sheet1!Q5301)</f>
        <v>5900</v>
      </c>
      <c r="F5290" s="20" t="s">
        <v>29</v>
      </c>
      <c r="G5290" s="53">
        <f t="shared" si="83"/>
        <v>1.6864560503797523</v>
      </c>
      <c r="H5290" s="35"/>
      <c r="P5290" s="6"/>
    </row>
    <row r="5291" spans="1:16" ht="14.4" x14ac:dyDescent="0.25">
      <c r="A5291" s="6">
        <v>7613</v>
      </c>
      <c r="B5291" s="6">
        <v>54468</v>
      </c>
      <c r="C5291" s="19">
        <v>40161</v>
      </c>
      <c r="D5291" s="6" t="s">
        <v>17</v>
      </c>
      <c r="E5291" s="6">
        <f>IF((ISBLANK($B$1)),"",Sheet1!Q5302)</f>
        <v>4150</v>
      </c>
      <c r="F5291" s="20" t="s">
        <v>26</v>
      </c>
      <c r="G5291" s="53">
        <f t="shared" si="83"/>
        <v>-0.73021392686194853</v>
      </c>
      <c r="H5291" s="35"/>
      <c r="P5291" s="6"/>
    </row>
    <row r="5292" spans="1:16" ht="14.4" x14ac:dyDescent="0.25">
      <c r="A5292" s="6">
        <v>7614</v>
      </c>
      <c r="B5292" s="6">
        <v>54468</v>
      </c>
      <c r="C5292" s="19">
        <v>40161</v>
      </c>
      <c r="D5292" s="6" t="s">
        <v>17</v>
      </c>
      <c r="E5292" s="6">
        <f>IF((ISBLANK($B$1)),"",Sheet1!Q5303)</f>
        <v>5150</v>
      </c>
      <c r="F5292" s="20" t="s">
        <v>26</v>
      </c>
      <c r="G5292" s="53">
        <f t="shared" si="83"/>
        <v>0.65074034584759488</v>
      </c>
      <c r="H5292" s="35"/>
      <c r="P5292" s="6"/>
    </row>
    <row r="5293" spans="1:16" ht="14.4" x14ac:dyDescent="0.25">
      <c r="A5293" s="6">
        <v>7649</v>
      </c>
      <c r="B5293" s="6">
        <v>54819</v>
      </c>
      <c r="C5293" s="19">
        <v>40096</v>
      </c>
      <c r="D5293" s="6" t="s">
        <v>25</v>
      </c>
      <c r="E5293" s="6">
        <f>IF((ISBLANK($B$1)),"",Sheet1!Q5304)</f>
        <v>3900</v>
      </c>
      <c r="F5293" s="20" t="s">
        <v>29</v>
      </c>
      <c r="G5293" s="53">
        <f t="shared" si="83"/>
        <v>-1.0754524950393345</v>
      </c>
      <c r="H5293" s="35"/>
      <c r="P5293" s="6"/>
    </row>
    <row r="5294" spans="1:16" ht="14.4" x14ac:dyDescent="0.25">
      <c r="A5294" s="6">
        <v>7650</v>
      </c>
      <c r="B5294" s="6">
        <v>54819</v>
      </c>
      <c r="C5294" s="19">
        <v>40096</v>
      </c>
      <c r="D5294" s="6" t="s">
        <v>25</v>
      </c>
      <c r="E5294" s="6">
        <f>IF((ISBLANK($B$1)),"",Sheet1!Q5305)</f>
        <v>4700</v>
      </c>
      <c r="F5294" s="20" t="s">
        <v>26</v>
      </c>
      <c r="G5294" s="53">
        <f t="shared" si="83"/>
        <v>2.9310923128300338E-2</v>
      </c>
      <c r="H5294" s="35"/>
      <c r="P5294" s="6"/>
    </row>
    <row r="5295" spans="1:16" ht="14.4" x14ac:dyDescent="0.25">
      <c r="A5295" s="6">
        <v>7651</v>
      </c>
      <c r="B5295" s="6">
        <v>54819</v>
      </c>
      <c r="C5295" s="19">
        <v>40096</v>
      </c>
      <c r="D5295" s="6" t="s">
        <v>25</v>
      </c>
      <c r="E5295" s="6">
        <f>IF((ISBLANK($B$1)),"",Sheet1!Q5306)</f>
        <v>5700</v>
      </c>
      <c r="F5295" s="20" t="s">
        <v>27</v>
      </c>
      <c r="G5295" s="53">
        <f t="shared" si="83"/>
        <v>1.4102651958378438</v>
      </c>
      <c r="H5295" s="35"/>
      <c r="P5295" s="6"/>
    </row>
    <row r="5296" spans="1:16" ht="14.4" x14ac:dyDescent="0.25">
      <c r="A5296" s="6">
        <v>7654</v>
      </c>
      <c r="B5296" s="6">
        <v>54882</v>
      </c>
      <c r="C5296" s="19">
        <v>40580</v>
      </c>
      <c r="D5296" s="6" t="s">
        <v>30</v>
      </c>
      <c r="E5296" s="6">
        <f>IF((ISBLANK($B$1)),"",Sheet1!Q5307)</f>
        <v>4250</v>
      </c>
      <c r="F5296" s="20" t="s">
        <v>26</v>
      </c>
      <c r="G5296" s="53">
        <f t="shared" si="83"/>
        <v>-0.59211849959099416</v>
      </c>
      <c r="H5296" s="35"/>
      <c r="P5296" s="6"/>
    </row>
    <row r="5297" spans="1:16" ht="14.4" x14ac:dyDescent="0.25">
      <c r="A5297" s="6">
        <v>7655</v>
      </c>
      <c r="B5297" s="6">
        <v>54882</v>
      </c>
      <c r="C5297" s="19">
        <v>40580</v>
      </c>
      <c r="D5297" s="6" t="s">
        <v>30</v>
      </c>
      <c r="E5297" s="6">
        <f>IF((ISBLANK($B$1)),"",Sheet1!Q5308)</f>
        <v>3500</v>
      </c>
      <c r="F5297" s="20" t="s">
        <v>26</v>
      </c>
      <c r="G5297" s="53">
        <f t="shared" si="83"/>
        <v>-1.6278342041231517</v>
      </c>
      <c r="H5297" s="35"/>
      <c r="P5297" s="6"/>
    </row>
    <row r="5298" spans="1:16" ht="14.4" x14ac:dyDescent="0.25">
      <c r="A5298" s="6">
        <v>7680</v>
      </c>
      <c r="B5298" s="6">
        <v>55042</v>
      </c>
      <c r="C5298" s="19">
        <v>40885</v>
      </c>
      <c r="D5298" s="6" t="s">
        <v>17</v>
      </c>
      <c r="E5298" s="6">
        <f>IF((ISBLANK($B$1)),"",Sheet1!Q5309)</f>
        <v>4800</v>
      </c>
      <c r="F5298" s="20" t="s">
        <v>26</v>
      </c>
      <c r="G5298" s="53">
        <f t="shared" si="83"/>
        <v>0.16740635039925467</v>
      </c>
      <c r="H5298" s="35"/>
      <c r="P5298" s="6"/>
    </row>
    <row r="5299" spans="1:16" ht="14.4" x14ac:dyDescent="0.25">
      <c r="A5299" s="6">
        <v>7681</v>
      </c>
      <c r="B5299" s="6">
        <v>55042</v>
      </c>
      <c r="C5299" s="19">
        <v>40885</v>
      </c>
      <c r="D5299" s="6" t="s">
        <v>17</v>
      </c>
      <c r="E5299" s="6">
        <f>IF((ISBLANK($B$1)),"",Sheet1!Q5310)</f>
        <v>5300</v>
      </c>
      <c r="F5299" s="20" t="s">
        <v>27</v>
      </c>
      <c r="G5299" s="53">
        <f t="shared" si="83"/>
        <v>0.85788348675402637</v>
      </c>
      <c r="H5299" s="35"/>
      <c r="P5299" s="6"/>
    </row>
    <row r="5300" spans="1:16" ht="14.4" x14ac:dyDescent="0.25">
      <c r="A5300" s="6">
        <v>7683</v>
      </c>
      <c r="B5300" s="6">
        <v>55046</v>
      </c>
      <c r="C5300" s="19">
        <v>39916</v>
      </c>
      <c r="D5300" s="6" t="s">
        <v>30</v>
      </c>
      <c r="E5300" s="6">
        <f>IF((ISBLANK($B$1)),"",Sheet1!Q5311)</f>
        <v>3500</v>
      </c>
      <c r="F5300" s="20" t="s">
        <v>26</v>
      </c>
      <c r="G5300" s="53">
        <f t="shared" si="83"/>
        <v>-1.6278342041231517</v>
      </c>
      <c r="H5300" s="35"/>
      <c r="P5300" s="6"/>
    </row>
    <row r="5301" spans="1:16" ht="14.4" x14ac:dyDescent="0.25">
      <c r="A5301" s="6">
        <v>7715</v>
      </c>
      <c r="B5301" s="6">
        <v>55297</v>
      </c>
      <c r="C5301" s="19">
        <v>40470</v>
      </c>
      <c r="D5301" s="6" t="s">
        <v>16</v>
      </c>
      <c r="E5301" s="6">
        <f>IF((ISBLANK($B$1)),"",Sheet1!Q5312)</f>
        <v>4850</v>
      </c>
      <c r="F5301" s="20" t="s">
        <v>26</v>
      </c>
      <c r="G5301" s="53">
        <f t="shared" si="83"/>
        <v>0.23645406403473185</v>
      </c>
      <c r="H5301" s="35"/>
      <c r="P5301" s="6"/>
    </row>
    <row r="5302" spans="1:16" ht="14.4" x14ac:dyDescent="0.25">
      <c r="A5302" s="6">
        <v>7724</v>
      </c>
      <c r="B5302" s="6">
        <v>55360</v>
      </c>
      <c r="C5302" s="19">
        <v>39835</v>
      </c>
      <c r="D5302" s="6" t="s">
        <v>16</v>
      </c>
      <c r="E5302" s="6">
        <f>IF((ISBLANK($B$1)),"",Sheet1!Q5313)</f>
        <v>5850</v>
      </c>
      <c r="F5302" s="20" t="s">
        <v>26</v>
      </c>
      <c r="G5302" s="53">
        <f t="shared" si="83"/>
        <v>1.6174083367442753</v>
      </c>
      <c r="H5302" s="35"/>
      <c r="P5302" s="6"/>
    </row>
    <row r="5303" spans="1:16" ht="14.4" x14ac:dyDescent="0.25">
      <c r="A5303" s="6">
        <v>7725</v>
      </c>
      <c r="B5303" s="6">
        <v>55360</v>
      </c>
      <c r="C5303" s="19">
        <v>39835</v>
      </c>
      <c r="D5303" s="6" t="s">
        <v>16</v>
      </c>
      <c r="E5303" s="6">
        <f>IF((ISBLANK($B$1)),"",Sheet1!Q5314)</f>
        <v>5350</v>
      </c>
      <c r="F5303" s="20" t="s">
        <v>29</v>
      </c>
      <c r="G5303" s="53">
        <f t="shared" si="83"/>
        <v>0.92693120038950361</v>
      </c>
      <c r="H5303" s="35"/>
      <c r="P5303" s="6"/>
    </row>
    <row r="5304" spans="1:16" ht="14.4" x14ac:dyDescent="0.25">
      <c r="A5304" s="6">
        <v>7772</v>
      </c>
      <c r="B5304" s="6">
        <v>55623</v>
      </c>
      <c r="C5304" s="19">
        <v>41187</v>
      </c>
      <c r="D5304" s="6" t="s">
        <v>30</v>
      </c>
      <c r="E5304" s="6">
        <f>IF((ISBLANK($B$1)),"",Sheet1!Q5315)</f>
        <v>5750</v>
      </c>
      <c r="F5304" s="20" t="s">
        <v>29</v>
      </c>
      <c r="G5304" s="53">
        <f t="shared" si="83"/>
        <v>1.4793129094733208</v>
      </c>
      <c r="H5304" s="35"/>
      <c r="P5304" s="6"/>
    </row>
    <row r="5305" spans="1:16" ht="14.4" x14ac:dyDescent="0.25">
      <c r="A5305" s="6">
        <v>7774</v>
      </c>
      <c r="B5305" s="6">
        <v>55650</v>
      </c>
      <c r="C5305" s="19">
        <v>40837</v>
      </c>
      <c r="D5305" s="6" t="s">
        <v>25</v>
      </c>
      <c r="E5305" s="6">
        <f>IF((ISBLANK($B$1)),"",Sheet1!Q5316)</f>
        <v>5450</v>
      </c>
      <c r="F5305" s="20" t="s">
        <v>27</v>
      </c>
      <c r="G5305" s="53">
        <f t="shared" si="83"/>
        <v>1.0650266276604579</v>
      </c>
      <c r="H5305" s="35"/>
      <c r="P5305" s="6"/>
    </row>
    <row r="5306" spans="1:16" ht="14.4" x14ac:dyDescent="0.25">
      <c r="A5306" s="6">
        <v>7776</v>
      </c>
      <c r="B5306" s="6">
        <v>55651</v>
      </c>
      <c r="C5306" s="19">
        <v>40975</v>
      </c>
      <c r="D5306" s="6" t="s">
        <v>16</v>
      </c>
      <c r="E5306" s="6">
        <f>IF((ISBLANK($B$1)),"",Sheet1!Q5317)</f>
        <v>5450</v>
      </c>
      <c r="F5306" s="20" t="s">
        <v>29</v>
      </c>
      <c r="G5306" s="53">
        <f t="shared" si="83"/>
        <v>1.0650266276604579</v>
      </c>
      <c r="H5306" s="35"/>
      <c r="P5306" s="6"/>
    </row>
    <row r="5307" spans="1:16" ht="14.4" x14ac:dyDescent="0.25">
      <c r="A5307" s="6">
        <v>7777</v>
      </c>
      <c r="B5307" s="6">
        <v>55651</v>
      </c>
      <c r="C5307" s="19">
        <v>40975</v>
      </c>
      <c r="D5307" s="6" t="s">
        <v>16</v>
      </c>
      <c r="E5307" s="6">
        <f>IF((ISBLANK($B$1)),"",Sheet1!Q5318)</f>
        <v>3500</v>
      </c>
      <c r="F5307" s="20" t="s">
        <v>26</v>
      </c>
      <c r="G5307" s="53">
        <f t="shared" si="83"/>
        <v>-1.6278342041231517</v>
      </c>
      <c r="H5307" s="35"/>
      <c r="P5307" s="6"/>
    </row>
    <row r="5308" spans="1:16" ht="14.4" x14ac:dyDescent="0.25">
      <c r="A5308" s="6">
        <v>7876</v>
      </c>
      <c r="B5308" s="6">
        <v>56322</v>
      </c>
      <c r="C5308" s="19">
        <v>40816</v>
      </c>
      <c r="D5308" s="6" t="s">
        <v>16</v>
      </c>
      <c r="E5308" s="6">
        <f>IF((ISBLANK($B$1)),"",Sheet1!Q5319)</f>
        <v>4700</v>
      </c>
      <c r="F5308" s="20" t="s">
        <v>27</v>
      </c>
      <c r="G5308" s="53">
        <f t="shared" si="83"/>
        <v>2.9310923128300338E-2</v>
      </c>
      <c r="H5308" s="35"/>
      <c r="P5308" s="6"/>
    </row>
    <row r="5309" spans="1:16" ht="14.4" x14ac:dyDescent="0.25">
      <c r="A5309" s="6">
        <v>7877</v>
      </c>
      <c r="B5309" s="6">
        <v>56322</v>
      </c>
      <c r="C5309" s="19">
        <v>40816</v>
      </c>
      <c r="D5309" s="6" t="s">
        <v>16</v>
      </c>
      <c r="E5309" s="6">
        <f>IF((ISBLANK($B$1)),"",Sheet1!Q5320)</f>
        <v>4200</v>
      </c>
      <c r="F5309" s="20" t="s">
        <v>27</v>
      </c>
      <c r="G5309" s="53">
        <f t="shared" si="83"/>
        <v>-0.6611662132264714</v>
      </c>
      <c r="H5309" s="35"/>
      <c r="P5309" s="6"/>
    </row>
    <row r="5310" spans="1:16" ht="14.4" x14ac:dyDescent="0.25">
      <c r="A5310" s="6">
        <v>7918</v>
      </c>
      <c r="B5310" s="6">
        <v>56608</v>
      </c>
      <c r="C5310" s="19">
        <v>40135</v>
      </c>
      <c r="D5310" s="6" t="s">
        <v>30</v>
      </c>
      <c r="E5310" s="6">
        <f>IF((ISBLANK($B$1)),"",Sheet1!Q5321)</f>
        <v>4550</v>
      </c>
      <c r="F5310" s="20" t="s">
        <v>26</v>
      </c>
      <c r="G5310" s="53">
        <f t="shared" si="83"/>
        <v>-0.17783221777813119</v>
      </c>
      <c r="H5310" s="35"/>
      <c r="P5310" s="6"/>
    </row>
    <row r="5311" spans="1:16" ht="14.4" x14ac:dyDescent="0.25">
      <c r="A5311" s="6">
        <v>7920</v>
      </c>
      <c r="B5311" s="6">
        <v>56612</v>
      </c>
      <c r="C5311" s="19">
        <v>40016</v>
      </c>
      <c r="D5311" s="6" t="s">
        <v>17</v>
      </c>
      <c r="E5311" s="6">
        <f>IF((ISBLANK($B$1)),"",Sheet1!Q5322)</f>
        <v>5300</v>
      </c>
      <c r="F5311" s="20" t="s">
        <v>27</v>
      </c>
      <c r="G5311" s="53">
        <f t="shared" si="83"/>
        <v>0.85788348675402637</v>
      </c>
      <c r="H5311" s="35"/>
      <c r="P5311" s="6"/>
    </row>
    <row r="5312" spans="1:16" ht="14.4" x14ac:dyDescent="0.25">
      <c r="A5312" s="6">
        <v>7956</v>
      </c>
      <c r="B5312" s="6">
        <v>56835</v>
      </c>
      <c r="C5312" s="19">
        <v>40229</v>
      </c>
      <c r="D5312" s="6" t="s">
        <v>28</v>
      </c>
      <c r="E5312" s="6">
        <f>IF((ISBLANK($B$1)),"",Sheet1!Q5323)</f>
        <v>3450</v>
      </c>
      <c r="F5312" s="20" t="s">
        <v>26</v>
      </c>
      <c r="G5312" s="53">
        <f t="shared" si="83"/>
        <v>-1.696881917758629</v>
      </c>
      <c r="H5312" s="35"/>
      <c r="P5312" s="6"/>
    </row>
    <row r="5313" spans="1:16" ht="14.4" x14ac:dyDescent="0.25">
      <c r="A5313" s="6">
        <v>7975</v>
      </c>
      <c r="B5313" s="6">
        <v>57058</v>
      </c>
      <c r="C5313" s="19">
        <v>41038</v>
      </c>
      <c r="D5313" s="6" t="s">
        <v>16</v>
      </c>
      <c r="E5313" s="6">
        <f>IF((ISBLANK($B$1)),"",Sheet1!Q5324)</f>
        <v>4800</v>
      </c>
      <c r="F5313" s="20" t="s">
        <v>26</v>
      </c>
      <c r="G5313" s="53">
        <f t="shared" si="83"/>
        <v>0.16740635039925467</v>
      </c>
      <c r="H5313" s="35"/>
      <c r="P5313" s="6"/>
    </row>
    <row r="5314" spans="1:16" ht="14.4" x14ac:dyDescent="0.25">
      <c r="A5314" s="6">
        <v>7976</v>
      </c>
      <c r="B5314" s="6">
        <v>57058</v>
      </c>
      <c r="C5314" s="19">
        <v>41038</v>
      </c>
      <c r="D5314" s="6" t="s">
        <v>16</v>
      </c>
      <c r="E5314" s="6">
        <f>IF((ISBLANK($B$1)),"",Sheet1!Q5325)</f>
        <v>4750</v>
      </c>
      <c r="F5314" s="20" t="s">
        <v>27</v>
      </c>
      <c r="G5314" s="53">
        <f t="shared" si="83"/>
        <v>9.8358636763777513E-2</v>
      </c>
      <c r="H5314" s="35"/>
      <c r="P5314" s="6"/>
    </row>
    <row r="5315" spans="1:16" ht="14.4" x14ac:dyDescent="0.25">
      <c r="A5315" s="6">
        <v>8055</v>
      </c>
      <c r="B5315" s="6">
        <v>57506</v>
      </c>
      <c r="C5315" s="19">
        <v>39857</v>
      </c>
      <c r="D5315" s="6" t="s">
        <v>16</v>
      </c>
      <c r="E5315" s="6">
        <f>IF((ISBLANK($B$1)),"",Sheet1!Q5326)</f>
        <v>5800</v>
      </c>
      <c r="F5315" s="20" t="s">
        <v>26</v>
      </c>
      <c r="G5315" s="53">
        <f t="shared" si="83"/>
        <v>1.5483606231087981</v>
      </c>
      <c r="H5315" s="35"/>
      <c r="P5315" s="6"/>
    </row>
    <row r="5316" spans="1:16" ht="14.4" x14ac:dyDescent="0.25">
      <c r="A5316" s="6">
        <v>8072</v>
      </c>
      <c r="B5316" s="6">
        <v>57574</v>
      </c>
      <c r="C5316" s="19">
        <v>41113</v>
      </c>
      <c r="D5316" s="6" t="s">
        <v>30</v>
      </c>
      <c r="E5316" s="6">
        <f>IF((ISBLANK($B$1)),"",Sheet1!Q5327)</f>
        <v>4400</v>
      </c>
      <c r="F5316" s="20" t="s">
        <v>29</v>
      </c>
      <c r="G5316" s="53">
        <f t="shared" si="83"/>
        <v>-0.38497535868456267</v>
      </c>
      <c r="H5316" s="35"/>
      <c r="P5316" s="6"/>
    </row>
    <row r="5317" spans="1:16" ht="14.4" x14ac:dyDescent="0.25">
      <c r="A5317" s="6">
        <v>8076</v>
      </c>
      <c r="B5317" s="6">
        <v>57602</v>
      </c>
      <c r="C5317" s="19">
        <v>41046</v>
      </c>
      <c r="D5317" s="6" t="s">
        <v>25</v>
      </c>
      <c r="E5317" s="6">
        <f>IF((ISBLANK($B$1)),"",Sheet1!Q5328)</f>
        <v>5550</v>
      </c>
      <c r="F5317" s="20" t="s">
        <v>26</v>
      </c>
      <c r="G5317" s="53">
        <f t="shared" si="83"/>
        <v>1.2031220549314123</v>
      </c>
      <c r="H5317" s="35"/>
      <c r="P5317" s="6"/>
    </row>
    <row r="5318" spans="1:16" ht="14.4" x14ac:dyDescent="0.25">
      <c r="A5318" s="6">
        <v>8112</v>
      </c>
      <c r="B5318" s="6">
        <v>57921</v>
      </c>
      <c r="C5318" s="19">
        <v>40408</v>
      </c>
      <c r="D5318" s="6" t="s">
        <v>16</v>
      </c>
      <c r="E5318" s="6">
        <f>IF((ISBLANK($B$1)),"",Sheet1!Q5329)</f>
        <v>3800</v>
      </c>
      <c r="F5318" s="20" t="s">
        <v>27</v>
      </c>
      <c r="G5318" s="53">
        <f t="shared" si="83"/>
        <v>-1.2135479223102887</v>
      </c>
      <c r="H5318" s="35"/>
      <c r="P5318" s="6"/>
    </row>
    <row r="5319" spans="1:16" ht="14.4" x14ac:dyDescent="0.25">
      <c r="A5319" s="6">
        <v>8113</v>
      </c>
      <c r="B5319" s="6">
        <v>57921</v>
      </c>
      <c r="C5319" s="19">
        <v>40408</v>
      </c>
      <c r="D5319" s="6" t="s">
        <v>16</v>
      </c>
      <c r="E5319" s="6">
        <f>IF((ISBLANK($B$1)),"",Sheet1!Q5330)</f>
        <v>3750</v>
      </c>
      <c r="F5319" s="20" t="s">
        <v>26</v>
      </c>
      <c r="G5319" s="53">
        <f t="shared" si="83"/>
        <v>-1.282595635945766</v>
      </c>
      <c r="H5319" s="35"/>
      <c r="P5319" s="6"/>
    </row>
    <row r="5320" spans="1:16" ht="14.4" x14ac:dyDescent="0.25">
      <c r="A5320" s="6">
        <v>8115</v>
      </c>
      <c r="B5320" s="6">
        <v>57958</v>
      </c>
      <c r="C5320" s="19">
        <v>39872</v>
      </c>
      <c r="D5320" s="6" t="s">
        <v>30</v>
      </c>
      <c r="E5320" s="6">
        <f>IF((ISBLANK($B$1)),"",Sheet1!Q5331)</f>
        <v>5700</v>
      </c>
      <c r="F5320" s="20" t="s">
        <v>26</v>
      </c>
      <c r="G5320" s="53">
        <f t="shared" ref="G5320:G5383" si="84">STANDARDIZE(E5320,$L$26,$L$35)</f>
        <v>1.4102651958378438</v>
      </c>
      <c r="H5320" s="35"/>
      <c r="P5320" s="6"/>
    </row>
    <row r="5321" spans="1:16" ht="14.4" x14ac:dyDescent="0.25">
      <c r="A5321" s="6">
        <v>8127</v>
      </c>
      <c r="B5321" s="6">
        <v>58086</v>
      </c>
      <c r="C5321" s="19">
        <v>40612</v>
      </c>
      <c r="D5321" s="6" t="s">
        <v>16</v>
      </c>
      <c r="E5321" s="6">
        <f>IF((ISBLANK($B$1)),"",Sheet1!Q5332)</f>
        <v>4750</v>
      </c>
      <c r="F5321" s="20" t="s">
        <v>26</v>
      </c>
      <c r="G5321" s="53">
        <f t="shared" si="84"/>
        <v>9.8358636763777513E-2</v>
      </c>
      <c r="H5321" s="35"/>
      <c r="P5321" s="6"/>
    </row>
    <row r="5322" spans="1:16" ht="14.4" x14ac:dyDescent="0.25">
      <c r="A5322" s="6">
        <v>8128</v>
      </c>
      <c r="B5322" s="6">
        <v>58086</v>
      </c>
      <c r="C5322" s="19">
        <v>40612</v>
      </c>
      <c r="D5322" s="6" t="s">
        <v>16</v>
      </c>
      <c r="E5322" s="6">
        <f>IF((ISBLANK($B$1)),"",Sheet1!Q5333)</f>
        <v>4950</v>
      </c>
      <c r="F5322" s="20" t="s">
        <v>26</v>
      </c>
      <c r="G5322" s="53">
        <f t="shared" si="84"/>
        <v>0.37454949130568621</v>
      </c>
      <c r="H5322" s="35"/>
      <c r="P5322" s="6"/>
    </row>
    <row r="5323" spans="1:16" ht="14.4" x14ac:dyDescent="0.25">
      <c r="A5323" s="6">
        <v>8141</v>
      </c>
      <c r="B5323" s="6">
        <v>58182</v>
      </c>
      <c r="C5323" s="19">
        <v>39864</v>
      </c>
      <c r="D5323" s="6" t="s">
        <v>17</v>
      </c>
      <c r="E5323" s="6">
        <f>IF((ISBLANK($B$1)),"",Sheet1!Q5334)</f>
        <v>4600</v>
      </c>
      <c r="F5323" s="20" t="s">
        <v>29</v>
      </c>
      <c r="G5323" s="53">
        <f t="shared" si="84"/>
        <v>-0.108784504142654</v>
      </c>
      <c r="H5323" s="35"/>
      <c r="P5323" s="6"/>
    </row>
    <row r="5324" spans="1:16" ht="14.4" x14ac:dyDescent="0.25">
      <c r="A5324" s="6">
        <v>8160</v>
      </c>
      <c r="B5324" s="6">
        <v>58342</v>
      </c>
      <c r="C5324" s="19">
        <v>40634</v>
      </c>
      <c r="D5324" s="6" t="s">
        <v>17</v>
      </c>
      <c r="E5324" s="6">
        <f>IF((ISBLANK($B$1)),"",Sheet1!Q5335)</f>
        <v>5400</v>
      </c>
      <c r="F5324" s="20" t="s">
        <v>27</v>
      </c>
      <c r="G5324" s="53">
        <f t="shared" si="84"/>
        <v>0.99597891402498073</v>
      </c>
      <c r="H5324" s="35"/>
      <c r="P5324" s="6"/>
    </row>
    <row r="5325" spans="1:16" ht="14.4" x14ac:dyDescent="0.25">
      <c r="A5325" s="6">
        <v>8279</v>
      </c>
      <c r="B5325" s="6">
        <v>59174</v>
      </c>
      <c r="C5325" s="19">
        <v>40179</v>
      </c>
      <c r="D5325" s="6" t="s">
        <v>16</v>
      </c>
      <c r="E5325" s="6">
        <f>IF((ISBLANK($B$1)),"",Sheet1!Q5336)</f>
        <v>3700</v>
      </c>
      <c r="F5325" s="20" t="s">
        <v>27</v>
      </c>
      <c r="G5325" s="53">
        <f t="shared" si="84"/>
        <v>-1.351643349581243</v>
      </c>
      <c r="H5325" s="35"/>
      <c r="P5325" s="6"/>
    </row>
    <row r="5326" spans="1:16" ht="14.4" x14ac:dyDescent="0.25">
      <c r="A5326" s="6">
        <v>8308</v>
      </c>
      <c r="B5326" s="6">
        <v>59361</v>
      </c>
      <c r="C5326" s="19">
        <v>41150</v>
      </c>
      <c r="D5326" s="6" t="s">
        <v>17</v>
      </c>
      <c r="E5326" s="6">
        <f>IF((ISBLANK($B$1)),"",Sheet1!Q5337)</f>
        <v>5650</v>
      </c>
      <c r="F5326" s="20" t="s">
        <v>27</v>
      </c>
      <c r="G5326" s="53">
        <f t="shared" si="84"/>
        <v>1.3412174822023666</v>
      </c>
      <c r="H5326" s="35"/>
      <c r="P5326" s="6"/>
    </row>
    <row r="5327" spans="1:16" ht="14.4" x14ac:dyDescent="0.25">
      <c r="A5327" s="6">
        <v>8310</v>
      </c>
      <c r="B5327" s="6">
        <v>59365</v>
      </c>
      <c r="C5327" s="19">
        <v>40154</v>
      </c>
      <c r="D5327" s="6" t="s">
        <v>16</v>
      </c>
      <c r="E5327" s="6">
        <f>IF((ISBLANK($B$1)),"",Sheet1!Q5338)</f>
        <v>3450</v>
      </c>
      <c r="F5327" s="20" t="s">
        <v>27</v>
      </c>
      <c r="G5327" s="53">
        <f t="shared" si="84"/>
        <v>-1.696881917758629</v>
      </c>
      <c r="H5327" s="35"/>
      <c r="P5327" s="6"/>
    </row>
    <row r="5328" spans="1:16" ht="14.4" x14ac:dyDescent="0.25">
      <c r="A5328" s="6">
        <v>8326</v>
      </c>
      <c r="B5328" s="6">
        <v>59492</v>
      </c>
      <c r="C5328" s="19">
        <v>41213</v>
      </c>
      <c r="D5328" s="6" t="s">
        <v>28</v>
      </c>
      <c r="E5328" s="6">
        <f>IF((ISBLANK($B$1)),"",Sheet1!Q5339)</f>
        <v>4650</v>
      </c>
      <c r="F5328" s="20" t="s">
        <v>26</v>
      </c>
      <c r="G5328" s="53">
        <f t="shared" si="84"/>
        <v>-3.9736790507176829E-2</v>
      </c>
      <c r="H5328" s="35"/>
      <c r="P5328" s="6"/>
    </row>
    <row r="5329" spans="1:16" ht="14.4" x14ac:dyDescent="0.25">
      <c r="A5329" s="6">
        <v>8350</v>
      </c>
      <c r="B5329" s="6">
        <v>59684</v>
      </c>
      <c r="C5329" s="19">
        <v>40541</v>
      </c>
      <c r="D5329" s="6" t="s">
        <v>16</v>
      </c>
      <c r="E5329" s="6">
        <f>IF((ISBLANK($B$1)),"",Sheet1!Q5340)</f>
        <v>5900</v>
      </c>
      <c r="F5329" s="20" t="s">
        <v>26</v>
      </c>
      <c r="G5329" s="53">
        <f t="shared" si="84"/>
        <v>1.6864560503797523</v>
      </c>
      <c r="H5329" s="35"/>
      <c r="P5329" s="6"/>
    </row>
    <row r="5330" spans="1:16" ht="14.4" x14ac:dyDescent="0.25">
      <c r="A5330" s="6">
        <v>8351</v>
      </c>
      <c r="B5330" s="6">
        <v>59684</v>
      </c>
      <c r="C5330" s="19">
        <v>40541</v>
      </c>
      <c r="D5330" s="6" t="s">
        <v>16</v>
      </c>
      <c r="E5330" s="6">
        <f>IF((ISBLANK($B$1)),"",Sheet1!Q5341)</f>
        <v>5450</v>
      </c>
      <c r="F5330" s="20" t="s">
        <v>27</v>
      </c>
      <c r="G5330" s="53">
        <f t="shared" si="84"/>
        <v>1.0650266276604579</v>
      </c>
      <c r="H5330" s="35"/>
      <c r="P5330" s="6"/>
    </row>
    <row r="5331" spans="1:16" ht="14.4" x14ac:dyDescent="0.25">
      <c r="A5331" s="6">
        <v>8352</v>
      </c>
      <c r="B5331" s="6">
        <v>59684</v>
      </c>
      <c r="C5331" s="19">
        <v>40541</v>
      </c>
      <c r="D5331" s="6" t="s">
        <v>16</v>
      </c>
      <c r="E5331" s="6">
        <f>IF((ISBLANK($B$1)),"",Sheet1!Q5342)</f>
        <v>3550</v>
      </c>
      <c r="F5331" s="20" t="s">
        <v>26</v>
      </c>
      <c r="G5331" s="53">
        <f t="shared" si="84"/>
        <v>-1.5587864904876745</v>
      </c>
      <c r="H5331" s="35"/>
      <c r="P5331" s="6"/>
    </row>
    <row r="5332" spans="1:16" ht="14.4" x14ac:dyDescent="0.25">
      <c r="A5332" s="6">
        <v>8353</v>
      </c>
      <c r="B5332" s="6">
        <v>59684</v>
      </c>
      <c r="C5332" s="19">
        <v>40541</v>
      </c>
      <c r="D5332" s="6" t="s">
        <v>16</v>
      </c>
      <c r="E5332" s="6">
        <f>IF((ISBLANK($B$1)),"",Sheet1!Q5343)</f>
        <v>4650</v>
      </c>
      <c r="F5332" s="20" t="s">
        <v>26</v>
      </c>
      <c r="G5332" s="53">
        <f t="shared" si="84"/>
        <v>-3.9736790507176829E-2</v>
      </c>
      <c r="H5332" s="35"/>
      <c r="P5332" s="6"/>
    </row>
    <row r="5333" spans="1:16" ht="14.4" x14ac:dyDescent="0.25">
      <c r="A5333" s="6">
        <v>38</v>
      </c>
      <c r="B5333" s="6">
        <v>229</v>
      </c>
      <c r="C5333" s="19">
        <v>40540</v>
      </c>
      <c r="D5333" s="6" t="s">
        <v>30</v>
      </c>
      <c r="E5333" s="6">
        <f>IF((ISBLANK($B$1)),"",Sheet1!Q5344)</f>
        <v>4600</v>
      </c>
      <c r="F5333" s="20" t="s">
        <v>26</v>
      </c>
      <c r="G5333" s="53">
        <f t="shared" si="84"/>
        <v>-0.108784504142654</v>
      </c>
      <c r="H5333" s="35"/>
      <c r="P5333" s="6"/>
    </row>
    <row r="5334" spans="1:16" ht="14.4" x14ac:dyDescent="0.25">
      <c r="A5334" s="6">
        <v>82</v>
      </c>
      <c r="B5334" s="6">
        <v>512</v>
      </c>
      <c r="C5334" s="19">
        <v>40682</v>
      </c>
      <c r="D5334" s="6" t="s">
        <v>25</v>
      </c>
      <c r="E5334" s="6">
        <f>IF((ISBLANK($B$1)),"",Sheet1!Q5345)</f>
        <v>3700</v>
      </c>
      <c r="F5334" s="20" t="s">
        <v>29</v>
      </c>
      <c r="G5334" s="53">
        <f t="shared" si="84"/>
        <v>-1.351643349581243</v>
      </c>
      <c r="H5334" s="35"/>
      <c r="P5334" s="6"/>
    </row>
    <row r="5335" spans="1:16" ht="14.4" x14ac:dyDescent="0.25">
      <c r="A5335" s="6">
        <v>83</v>
      </c>
      <c r="B5335" s="6">
        <v>512</v>
      </c>
      <c r="C5335" s="19">
        <v>40682</v>
      </c>
      <c r="D5335" s="6" t="s">
        <v>25</v>
      </c>
      <c r="E5335" s="6">
        <f>IF((ISBLANK($B$1)),"",Sheet1!Q5346)</f>
        <v>5800</v>
      </c>
      <c r="F5335" s="20" t="s">
        <v>26</v>
      </c>
      <c r="G5335" s="53">
        <f t="shared" si="84"/>
        <v>1.5483606231087981</v>
      </c>
      <c r="H5335" s="35"/>
      <c r="P5335" s="6"/>
    </row>
    <row r="5336" spans="1:16" ht="14.4" x14ac:dyDescent="0.25">
      <c r="A5336" s="6">
        <v>197</v>
      </c>
      <c r="B5336" s="6">
        <v>1287</v>
      </c>
      <c r="C5336" s="19">
        <v>39998</v>
      </c>
      <c r="D5336" s="6" t="s">
        <v>17</v>
      </c>
      <c r="E5336" s="6">
        <f>IF((ISBLANK($B$1)),"",Sheet1!Q5347)</f>
        <v>5350</v>
      </c>
      <c r="F5336" s="20" t="s">
        <v>29</v>
      </c>
      <c r="G5336" s="53">
        <f t="shared" si="84"/>
        <v>0.92693120038950361</v>
      </c>
      <c r="H5336" s="35"/>
      <c r="P5336" s="6"/>
    </row>
    <row r="5337" spans="1:16" ht="14.4" x14ac:dyDescent="0.25">
      <c r="A5337" s="6">
        <v>277</v>
      </c>
      <c r="B5337" s="6">
        <v>1895</v>
      </c>
      <c r="C5337" s="19">
        <v>39962</v>
      </c>
      <c r="D5337" s="6" t="s">
        <v>16</v>
      </c>
      <c r="E5337" s="6">
        <f>IF((ISBLANK($B$1)),"",Sheet1!Q5348)</f>
        <v>3650</v>
      </c>
      <c r="F5337" s="20" t="s">
        <v>26</v>
      </c>
      <c r="G5337" s="53">
        <f t="shared" si="84"/>
        <v>-1.4206910632167202</v>
      </c>
      <c r="H5337" s="35"/>
      <c r="P5337" s="6"/>
    </row>
    <row r="5338" spans="1:16" ht="14.4" x14ac:dyDescent="0.25">
      <c r="A5338" s="6">
        <v>290</v>
      </c>
      <c r="B5338" s="6">
        <v>2023</v>
      </c>
      <c r="C5338" s="19">
        <v>41034</v>
      </c>
      <c r="D5338" s="6" t="s">
        <v>25</v>
      </c>
      <c r="E5338" s="6">
        <f>IF((ISBLANK($B$1)),"",Sheet1!Q5349)</f>
        <v>3600</v>
      </c>
      <c r="F5338" s="20" t="s">
        <v>27</v>
      </c>
      <c r="G5338" s="53">
        <f t="shared" si="84"/>
        <v>-1.4897387768521975</v>
      </c>
      <c r="H5338" s="35"/>
      <c r="P5338" s="6"/>
    </row>
    <row r="5339" spans="1:16" ht="14.4" x14ac:dyDescent="0.25">
      <c r="A5339" s="6">
        <v>291</v>
      </c>
      <c r="B5339" s="6">
        <v>2023</v>
      </c>
      <c r="C5339" s="19">
        <v>41034</v>
      </c>
      <c r="D5339" s="6" t="s">
        <v>25</v>
      </c>
      <c r="E5339" s="6">
        <f>IF((ISBLANK($B$1)),"",Sheet1!Q5350)</f>
        <v>5900</v>
      </c>
      <c r="F5339" s="20" t="s">
        <v>26</v>
      </c>
      <c r="G5339" s="53">
        <f t="shared" si="84"/>
        <v>1.6864560503797523</v>
      </c>
      <c r="H5339" s="35"/>
      <c r="P5339" s="6"/>
    </row>
    <row r="5340" spans="1:16" ht="14.4" x14ac:dyDescent="0.25">
      <c r="A5340" s="6">
        <v>372</v>
      </c>
      <c r="B5340" s="6">
        <v>2593</v>
      </c>
      <c r="C5340" s="19">
        <v>40424</v>
      </c>
      <c r="D5340" s="6" t="s">
        <v>17</v>
      </c>
      <c r="E5340" s="6">
        <f>IF((ISBLANK($B$1)),"",Sheet1!Q5351)</f>
        <v>3650</v>
      </c>
      <c r="F5340" s="20" t="s">
        <v>26</v>
      </c>
      <c r="G5340" s="53">
        <f t="shared" si="84"/>
        <v>-1.4206910632167202</v>
      </c>
      <c r="H5340" s="35"/>
      <c r="P5340" s="6"/>
    </row>
    <row r="5341" spans="1:16" ht="14.4" x14ac:dyDescent="0.25">
      <c r="A5341" s="6">
        <v>373</v>
      </c>
      <c r="B5341" s="6">
        <v>2593</v>
      </c>
      <c r="C5341" s="19">
        <v>40424</v>
      </c>
      <c r="D5341" s="6" t="s">
        <v>17</v>
      </c>
      <c r="E5341" s="6">
        <f>IF((ISBLANK($B$1)),"",Sheet1!Q5352)</f>
        <v>4150</v>
      </c>
      <c r="F5341" s="20" t="s">
        <v>29</v>
      </c>
      <c r="G5341" s="53">
        <f t="shared" si="84"/>
        <v>-0.73021392686194853</v>
      </c>
      <c r="H5341" s="35"/>
      <c r="P5341" s="6"/>
    </row>
    <row r="5342" spans="1:16" ht="14.4" x14ac:dyDescent="0.25">
      <c r="A5342" s="6">
        <v>501</v>
      </c>
      <c r="B5342" s="6">
        <v>3461</v>
      </c>
      <c r="C5342" s="19">
        <v>40208</v>
      </c>
      <c r="D5342" s="6" t="s">
        <v>30</v>
      </c>
      <c r="E5342" s="6">
        <f>IF((ISBLANK($B$1)),"",Sheet1!Q5353)</f>
        <v>5750</v>
      </c>
      <c r="F5342" s="20" t="s">
        <v>27</v>
      </c>
      <c r="G5342" s="53">
        <f t="shared" si="84"/>
        <v>1.4793129094733208</v>
      </c>
      <c r="H5342" s="35"/>
      <c r="P5342" s="6"/>
    </row>
    <row r="5343" spans="1:16" ht="14.4" x14ac:dyDescent="0.25">
      <c r="A5343" s="6">
        <v>502</v>
      </c>
      <c r="B5343" s="6">
        <v>3461</v>
      </c>
      <c r="C5343" s="19">
        <v>40208</v>
      </c>
      <c r="D5343" s="6" t="s">
        <v>30</v>
      </c>
      <c r="E5343" s="6">
        <f>IF((ISBLANK($B$1)),"",Sheet1!Q5354)</f>
        <v>5150</v>
      </c>
      <c r="F5343" s="20" t="s">
        <v>27</v>
      </c>
      <c r="G5343" s="53">
        <f t="shared" si="84"/>
        <v>0.65074034584759488</v>
      </c>
      <c r="H5343" s="35"/>
      <c r="P5343" s="6"/>
    </row>
    <row r="5344" spans="1:16" ht="14.4" x14ac:dyDescent="0.25">
      <c r="A5344" s="6">
        <v>517</v>
      </c>
      <c r="B5344" s="6">
        <v>3554</v>
      </c>
      <c r="C5344" s="19">
        <v>40710</v>
      </c>
      <c r="D5344" s="6" t="s">
        <v>25</v>
      </c>
      <c r="E5344" s="6">
        <f>IF((ISBLANK($B$1)),"",Sheet1!Q5355)</f>
        <v>4650</v>
      </c>
      <c r="F5344" s="20" t="s">
        <v>26</v>
      </c>
      <c r="G5344" s="53">
        <f t="shared" si="84"/>
        <v>-3.9736790507176829E-2</v>
      </c>
      <c r="H5344" s="35"/>
      <c r="P5344" s="6"/>
    </row>
    <row r="5345" spans="1:16" ht="14.4" x14ac:dyDescent="0.25">
      <c r="A5345" s="6">
        <v>610</v>
      </c>
      <c r="B5345" s="6">
        <v>4166</v>
      </c>
      <c r="C5345" s="19">
        <v>40236</v>
      </c>
      <c r="D5345" s="6" t="s">
        <v>25</v>
      </c>
      <c r="E5345" s="6">
        <f>IF((ISBLANK($B$1)),"",Sheet1!Q5356)</f>
        <v>4350</v>
      </c>
      <c r="F5345" s="20" t="s">
        <v>26</v>
      </c>
      <c r="G5345" s="53">
        <f t="shared" si="84"/>
        <v>-0.45402307232003986</v>
      </c>
      <c r="H5345" s="35"/>
      <c r="P5345" s="6"/>
    </row>
    <row r="5346" spans="1:16" ht="14.4" x14ac:dyDescent="0.25">
      <c r="A5346" s="6">
        <v>712</v>
      </c>
      <c r="B5346" s="6">
        <v>5059</v>
      </c>
      <c r="C5346" s="19">
        <v>40491</v>
      </c>
      <c r="D5346" s="6" t="s">
        <v>17</v>
      </c>
      <c r="E5346" s="6">
        <f>IF((ISBLANK($B$1)),"",Sheet1!Q5357)</f>
        <v>3650</v>
      </c>
      <c r="F5346" s="20" t="s">
        <v>26</v>
      </c>
      <c r="G5346" s="53">
        <f t="shared" si="84"/>
        <v>-1.4206910632167202</v>
      </c>
      <c r="H5346" s="35"/>
      <c r="P5346" s="6"/>
    </row>
    <row r="5347" spans="1:16" ht="14.4" x14ac:dyDescent="0.25">
      <c r="A5347" s="6">
        <v>730</v>
      </c>
      <c r="B5347" s="6">
        <v>5254</v>
      </c>
      <c r="C5347" s="19">
        <v>41115</v>
      </c>
      <c r="D5347" s="6" t="s">
        <v>28</v>
      </c>
      <c r="E5347" s="6">
        <f>IF((ISBLANK($B$1)),"",Sheet1!Q5358)</f>
        <v>4950</v>
      </c>
      <c r="F5347" s="20" t="s">
        <v>27</v>
      </c>
      <c r="G5347" s="53">
        <f t="shared" si="84"/>
        <v>0.37454949130568621</v>
      </c>
      <c r="H5347" s="35"/>
      <c r="P5347" s="6"/>
    </row>
    <row r="5348" spans="1:16" ht="14.4" x14ac:dyDescent="0.25">
      <c r="A5348" s="6">
        <v>784</v>
      </c>
      <c r="B5348" s="6">
        <v>5575</v>
      </c>
      <c r="C5348" s="19">
        <v>40747</v>
      </c>
      <c r="D5348" s="6" t="s">
        <v>25</v>
      </c>
      <c r="E5348" s="6">
        <f>IF((ISBLANK($B$1)),"",Sheet1!Q5359)</f>
        <v>5450</v>
      </c>
      <c r="F5348" s="20" t="s">
        <v>26</v>
      </c>
      <c r="G5348" s="53">
        <f t="shared" si="84"/>
        <v>1.0650266276604579</v>
      </c>
      <c r="H5348" s="35"/>
      <c r="P5348" s="6"/>
    </row>
    <row r="5349" spans="1:16" ht="14.4" x14ac:dyDescent="0.25">
      <c r="A5349" s="6">
        <v>823</v>
      </c>
      <c r="B5349" s="6">
        <v>5954</v>
      </c>
      <c r="C5349" s="19">
        <v>41245</v>
      </c>
      <c r="D5349" s="6" t="s">
        <v>30</v>
      </c>
      <c r="E5349" s="6">
        <f>IF((ISBLANK($B$1)),"",Sheet1!Q5360)</f>
        <v>5000</v>
      </c>
      <c r="F5349" s="20" t="s">
        <v>27</v>
      </c>
      <c r="G5349" s="53">
        <f t="shared" si="84"/>
        <v>0.44359720494116334</v>
      </c>
      <c r="H5349" s="35"/>
      <c r="P5349" s="6"/>
    </row>
    <row r="5350" spans="1:16" ht="14.4" x14ac:dyDescent="0.25">
      <c r="A5350" s="6">
        <v>840</v>
      </c>
      <c r="B5350" s="6">
        <v>6018</v>
      </c>
      <c r="C5350" s="19">
        <v>41139</v>
      </c>
      <c r="D5350" s="6" t="s">
        <v>25</v>
      </c>
      <c r="E5350" s="6">
        <f>IF((ISBLANK($B$1)),"",Sheet1!Q5361)</f>
        <v>5350</v>
      </c>
      <c r="F5350" s="20" t="s">
        <v>29</v>
      </c>
      <c r="G5350" s="53">
        <f t="shared" si="84"/>
        <v>0.92693120038950361</v>
      </c>
      <c r="H5350" s="35"/>
      <c r="P5350" s="6"/>
    </row>
    <row r="5351" spans="1:16" ht="14.4" x14ac:dyDescent="0.25">
      <c r="A5351" s="6">
        <v>841</v>
      </c>
      <c r="B5351" s="6">
        <v>6018</v>
      </c>
      <c r="C5351" s="19">
        <v>41139</v>
      </c>
      <c r="D5351" s="6" t="s">
        <v>25</v>
      </c>
      <c r="E5351" s="6">
        <f>IF((ISBLANK($B$1)),"",Sheet1!Q5362)</f>
        <v>3500</v>
      </c>
      <c r="F5351" s="20" t="s">
        <v>26</v>
      </c>
      <c r="G5351" s="53">
        <f t="shared" si="84"/>
        <v>-1.6278342041231517</v>
      </c>
      <c r="H5351" s="35"/>
      <c r="P5351" s="6"/>
    </row>
    <row r="5352" spans="1:16" ht="14.4" x14ac:dyDescent="0.25">
      <c r="A5352" s="6">
        <v>881</v>
      </c>
      <c r="B5352" s="6">
        <v>6336</v>
      </c>
      <c r="C5352" s="19">
        <v>40783</v>
      </c>
      <c r="D5352" s="6" t="s">
        <v>17</v>
      </c>
      <c r="E5352" s="6">
        <f>IF((ISBLANK($B$1)),"",Sheet1!Q5363)</f>
        <v>5550</v>
      </c>
      <c r="F5352" s="20" t="s">
        <v>26</v>
      </c>
      <c r="G5352" s="53">
        <f t="shared" si="84"/>
        <v>1.2031220549314123</v>
      </c>
      <c r="H5352" s="35"/>
      <c r="P5352" s="6"/>
    </row>
    <row r="5353" spans="1:16" ht="14.4" x14ac:dyDescent="0.25">
      <c r="A5353" s="6">
        <v>1037</v>
      </c>
      <c r="B5353" s="6">
        <v>7559</v>
      </c>
      <c r="C5353" s="19">
        <v>40463</v>
      </c>
      <c r="D5353" s="6" t="s">
        <v>30</v>
      </c>
      <c r="E5353" s="6">
        <f>IF((ISBLANK($B$1)),"",Sheet1!Q5364)</f>
        <v>3850</v>
      </c>
      <c r="F5353" s="20" t="s">
        <v>26</v>
      </c>
      <c r="G5353" s="53">
        <f t="shared" si="84"/>
        <v>-1.1445002086748115</v>
      </c>
      <c r="H5353" s="35"/>
      <c r="P5353" s="6"/>
    </row>
    <row r="5354" spans="1:16" ht="14.4" x14ac:dyDescent="0.25">
      <c r="A5354" s="6">
        <v>1038</v>
      </c>
      <c r="B5354" s="6">
        <v>7559</v>
      </c>
      <c r="C5354" s="19">
        <v>40463</v>
      </c>
      <c r="D5354" s="6" t="s">
        <v>30</v>
      </c>
      <c r="E5354" s="6">
        <f>IF((ISBLANK($B$1)),"",Sheet1!Q5365)</f>
        <v>5350</v>
      </c>
      <c r="F5354" s="20" t="s">
        <v>27</v>
      </c>
      <c r="G5354" s="53">
        <f t="shared" si="84"/>
        <v>0.92693120038950361</v>
      </c>
      <c r="H5354" s="35"/>
      <c r="P5354" s="6"/>
    </row>
    <row r="5355" spans="1:16" ht="14.4" x14ac:dyDescent="0.25">
      <c r="A5355" s="6">
        <v>1091</v>
      </c>
      <c r="B5355" s="6">
        <v>8007</v>
      </c>
      <c r="C5355" s="19">
        <v>40950</v>
      </c>
      <c r="D5355" s="6" t="s">
        <v>25</v>
      </c>
      <c r="E5355" s="6">
        <f>IF((ISBLANK($B$1)),"",Sheet1!Q5366)</f>
        <v>5150</v>
      </c>
      <c r="F5355" s="20" t="s">
        <v>27</v>
      </c>
      <c r="G5355" s="53">
        <f t="shared" si="84"/>
        <v>0.65074034584759488</v>
      </c>
      <c r="H5355" s="35"/>
      <c r="P5355" s="6"/>
    </row>
    <row r="5356" spans="1:16" ht="14.4" x14ac:dyDescent="0.25">
      <c r="A5356" s="6">
        <v>1100</v>
      </c>
      <c r="B5356" s="6">
        <v>8070</v>
      </c>
      <c r="C5356" s="19">
        <v>40936</v>
      </c>
      <c r="D5356" s="6" t="s">
        <v>16</v>
      </c>
      <c r="E5356" s="6">
        <f>IF((ISBLANK($B$1)),"",Sheet1!Q5367)</f>
        <v>4100</v>
      </c>
      <c r="F5356" s="20" t="s">
        <v>26</v>
      </c>
      <c r="G5356" s="53">
        <f t="shared" si="84"/>
        <v>-0.79926164049742576</v>
      </c>
      <c r="H5356" s="35"/>
      <c r="P5356" s="6"/>
    </row>
    <row r="5357" spans="1:16" ht="14.4" x14ac:dyDescent="0.25">
      <c r="A5357" s="6">
        <v>1131</v>
      </c>
      <c r="B5357" s="6">
        <v>8259</v>
      </c>
      <c r="C5357" s="19">
        <v>39921</v>
      </c>
      <c r="D5357" s="6" t="s">
        <v>16</v>
      </c>
      <c r="E5357" s="6">
        <f>IF((ISBLANK($B$1)),"",Sheet1!Q5368)</f>
        <v>4650</v>
      </c>
      <c r="F5357" s="20" t="s">
        <v>29</v>
      </c>
      <c r="G5357" s="53">
        <f t="shared" si="84"/>
        <v>-3.9736790507176829E-2</v>
      </c>
      <c r="H5357" s="35"/>
      <c r="P5357" s="6"/>
    </row>
    <row r="5358" spans="1:16" ht="14.4" x14ac:dyDescent="0.25">
      <c r="A5358" s="6">
        <v>1180</v>
      </c>
      <c r="B5358" s="6">
        <v>8642</v>
      </c>
      <c r="C5358" s="19">
        <v>40194</v>
      </c>
      <c r="D5358" s="6" t="s">
        <v>17</v>
      </c>
      <c r="E5358" s="6">
        <f>IF((ISBLANK($B$1)),"",Sheet1!Q5369)</f>
        <v>4700</v>
      </c>
      <c r="F5358" s="20" t="s">
        <v>26</v>
      </c>
      <c r="G5358" s="53">
        <f t="shared" si="84"/>
        <v>2.9310923128300338E-2</v>
      </c>
      <c r="H5358" s="35"/>
      <c r="P5358" s="6"/>
    </row>
    <row r="5359" spans="1:16" ht="14.4" x14ac:dyDescent="0.25">
      <c r="A5359" s="6">
        <v>1181</v>
      </c>
      <c r="B5359" s="6">
        <v>8642</v>
      </c>
      <c r="C5359" s="19">
        <v>40194</v>
      </c>
      <c r="D5359" s="6" t="s">
        <v>17</v>
      </c>
      <c r="E5359" s="6">
        <f>IF((ISBLANK($B$1)),"",Sheet1!Q5370)</f>
        <v>4050</v>
      </c>
      <c r="F5359" s="20" t="s">
        <v>26</v>
      </c>
      <c r="G5359" s="53">
        <f t="shared" si="84"/>
        <v>-0.86830935413290289</v>
      </c>
      <c r="H5359" s="35"/>
      <c r="P5359" s="6"/>
    </row>
    <row r="5360" spans="1:16" ht="14.4" x14ac:dyDescent="0.25">
      <c r="A5360" s="6">
        <v>1200</v>
      </c>
      <c r="B5360" s="6">
        <v>8803</v>
      </c>
      <c r="C5360" s="19">
        <v>41263</v>
      </c>
      <c r="D5360" s="6" t="s">
        <v>28</v>
      </c>
      <c r="E5360" s="6">
        <f>IF((ISBLANK($B$1)),"",Sheet1!Q5371)</f>
        <v>3700</v>
      </c>
      <c r="F5360" s="20" t="s">
        <v>26</v>
      </c>
      <c r="G5360" s="53">
        <f t="shared" si="84"/>
        <v>-1.351643349581243</v>
      </c>
      <c r="H5360" s="35"/>
      <c r="P5360" s="6"/>
    </row>
    <row r="5361" spans="1:16" ht="14.4" x14ac:dyDescent="0.25">
      <c r="A5361" s="6">
        <v>1201</v>
      </c>
      <c r="B5361" s="6">
        <v>8803</v>
      </c>
      <c r="C5361" s="19">
        <v>41263</v>
      </c>
      <c r="D5361" s="6" t="s">
        <v>28</v>
      </c>
      <c r="E5361" s="6">
        <f>IF((ISBLANK($B$1)),"",Sheet1!Q5372)</f>
        <v>4250</v>
      </c>
      <c r="F5361" s="20" t="s">
        <v>26</v>
      </c>
      <c r="G5361" s="53">
        <f t="shared" si="84"/>
        <v>-0.59211849959099416</v>
      </c>
      <c r="H5361" s="35"/>
      <c r="P5361" s="6"/>
    </row>
    <row r="5362" spans="1:16" ht="14.4" x14ac:dyDescent="0.25">
      <c r="A5362" s="6">
        <v>1287</v>
      </c>
      <c r="B5362" s="6">
        <v>9383</v>
      </c>
      <c r="C5362" s="19">
        <v>39888</v>
      </c>
      <c r="D5362" s="6" t="s">
        <v>28</v>
      </c>
      <c r="E5362" s="6">
        <f>IF((ISBLANK($B$1)),"",Sheet1!Q5373)</f>
        <v>3950</v>
      </c>
      <c r="F5362" s="20" t="s">
        <v>29</v>
      </c>
      <c r="G5362" s="53">
        <f t="shared" si="84"/>
        <v>-1.0064047814038573</v>
      </c>
      <c r="H5362" s="35"/>
      <c r="P5362" s="6"/>
    </row>
    <row r="5363" spans="1:16" ht="14.4" x14ac:dyDescent="0.25">
      <c r="A5363" s="6">
        <v>1418</v>
      </c>
      <c r="B5363" s="6">
        <v>10278</v>
      </c>
      <c r="C5363" s="19">
        <v>40798</v>
      </c>
      <c r="D5363" s="6" t="s">
        <v>25</v>
      </c>
      <c r="E5363" s="6">
        <f>IF((ISBLANK($B$1)),"",Sheet1!Q5374)</f>
        <v>4650</v>
      </c>
      <c r="F5363" s="20" t="s">
        <v>29</v>
      </c>
      <c r="G5363" s="53">
        <f t="shared" si="84"/>
        <v>-3.9736790507176829E-2</v>
      </c>
      <c r="H5363" s="35"/>
      <c r="P5363" s="6"/>
    </row>
    <row r="5364" spans="1:16" ht="14.4" x14ac:dyDescent="0.25">
      <c r="A5364" s="6">
        <v>1515</v>
      </c>
      <c r="B5364" s="6">
        <v>10949</v>
      </c>
      <c r="C5364" s="19">
        <v>39902</v>
      </c>
      <c r="D5364" s="6" t="s">
        <v>16</v>
      </c>
      <c r="E5364" s="6">
        <f>IF((ISBLANK($B$1)),"",Sheet1!Q5375)</f>
        <v>5700</v>
      </c>
      <c r="F5364" s="20" t="s">
        <v>27</v>
      </c>
      <c r="G5364" s="53">
        <f t="shared" si="84"/>
        <v>1.4102651958378438</v>
      </c>
      <c r="H5364" s="35"/>
      <c r="P5364" s="6"/>
    </row>
    <row r="5365" spans="1:16" ht="14.4" x14ac:dyDescent="0.25">
      <c r="A5365" s="6">
        <v>1569</v>
      </c>
      <c r="B5365" s="6">
        <v>11335</v>
      </c>
      <c r="C5365" s="19">
        <v>40107</v>
      </c>
      <c r="D5365" s="6" t="s">
        <v>17</v>
      </c>
      <c r="E5365" s="6">
        <f>IF((ISBLANK($B$1)),"",Sheet1!Q5376)</f>
        <v>3550</v>
      </c>
      <c r="F5365" s="20" t="s">
        <v>26</v>
      </c>
      <c r="G5365" s="53">
        <f t="shared" si="84"/>
        <v>-1.5587864904876745</v>
      </c>
      <c r="H5365" s="35"/>
      <c r="P5365" s="6"/>
    </row>
    <row r="5366" spans="1:16" ht="14.4" x14ac:dyDescent="0.25">
      <c r="A5366" s="6">
        <v>1570</v>
      </c>
      <c r="B5366" s="6">
        <v>11335</v>
      </c>
      <c r="C5366" s="19">
        <v>40107</v>
      </c>
      <c r="D5366" s="6" t="s">
        <v>17</v>
      </c>
      <c r="E5366" s="6">
        <f>IF((ISBLANK($B$1)),"",Sheet1!Q5377)</f>
        <v>3800</v>
      </c>
      <c r="F5366" s="20" t="s">
        <v>27</v>
      </c>
      <c r="G5366" s="53">
        <f t="shared" si="84"/>
        <v>-1.2135479223102887</v>
      </c>
      <c r="H5366" s="35"/>
      <c r="P5366" s="6"/>
    </row>
    <row r="5367" spans="1:16" ht="14.4" x14ac:dyDescent="0.25">
      <c r="A5367" s="6">
        <v>1719</v>
      </c>
      <c r="B5367" s="6">
        <v>12355</v>
      </c>
      <c r="C5367" s="19">
        <v>40691</v>
      </c>
      <c r="D5367" s="6" t="s">
        <v>28</v>
      </c>
      <c r="E5367" s="6">
        <f>IF((ISBLANK($B$1)),"",Sheet1!Q5378)</f>
        <v>5200</v>
      </c>
      <c r="F5367" s="20" t="s">
        <v>26</v>
      </c>
      <c r="G5367" s="53">
        <f t="shared" si="84"/>
        <v>0.71978805948307201</v>
      </c>
      <c r="H5367" s="35"/>
      <c r="P5367" s="6"/>
    </row>
    <row r="5368" spans="1:16" ht="14.4" x14ac:dyDescent="0.25">
      <c r="A5368" s="6">
        <v>1720</v>
      </c>
      <c r="B5368" s="6">
        <v>12355</v>
      </c>
      <c r="C5368" s="19">
        <v>40691</v>
      </c>
      <c r="D5368" s="6" t="s">
        <v>28</v>
      </c>
      <c r="E5368" s="6">
        <f>IF((ISBLANK($B$1)),"",Sheet1!Q5379)</f>
        <v>4100</v>
      </c>
      <c r="F5368" s="20" t="s">
        <v>26</v>
      </c>
      <c r="G5368" s="53">
        <f t="shared" si="84"/>
        <v>-0.79926164049742576</v>
      </c>
      <c r="H5368" s="35"/>
      <c r="P5368" s="6"/>
    </row>
    <row r="5369" spans="1:16" ht="14.4" x14ac:dyDescent="0.25">
      <c r="A5369" s="6">
        <v>1834</v>
      </c>
      <c r="B5369" s="6">
        <v>13127</v>
      </c>
      <c r="C5369" s="19">
        <v>40390</v>
      </c>
      <c r="D5369" s="6" t="s">
        <v>16</v>
      </c>
      <c r="E5369" s="6">
        <f>IF((ISBLANK($B$1)),"",Sheet1!Q5380)</f>
        <v>4050</v>
      </c>
      <c r="F5369" s="20" t="s">
        <v>26</v>
      </c>
      <c r="G5369" s="53">
        <f t="shared" si="84"/>
        <v>-0.86830935413290289</v>
      </c>
      <c r="H5369" s="35"/>
      <c r="P5369" s="6"/>
    </row>
    <row r="5370" spans="1:16" ht="14.4" x14ac:dyDescent="0.25">
      <c r="A5370" s="6">
        <v>2092</v>
      </c>
      <c r="B5370" s="6">
        <v>14978</v>
      </c>
      <c r="C5370" s="19">
        <v>40325</v>
      </c>
      <c r="D5370" s="6" t="s">
        <v>30</v>
      </c>
      <c r="E5370" s="6">
        <f>IF((ISBLANK($B$1)),"",Sheet1!Q5381)</f>
        <v>4100</v>
      </c>
      <c r="F5370" s="20" t="s">
        <v>29</v>
      </c>
      <c r="G5370" s="53">
        <f t="shared" si="84"/>
        <v>-0.79926164049742576</v>
      </c>
      <c r="H5370" s="35"/>
      <c r="P5370" s="6"/>
    </row>
    <row r="5371" spans="1:16" ht="14.4" x14ac:dyDescent="0.25">
      <c r="A5371" s="6">
        <v>2093</v>
      </c>
      <c r="B5371" s="6">
        <v>14978</v>
      </c>
      <c r="C5371" s="19">
        <v>40325</v>
      </c>
      <c r="D5371" s="6" t="s">
        <v>30</v>
      </c>
      <c r="E5371" s="6">
        <f>IF((ISBLANK($B$1)),"",Sheet1!Q5382)</f>
        <v>4100</v>
      </c>
      <c r="F5371" s="20" t="s">
        <v>26</v>
      </c>
      <c r="G5371" s="53">
        <f t="shared" si="84"/>
        <v>-0.79926164049742576</v>
      </c>
      <c r="H5371" s="35"/>
      <c r="P5371" s="6"/>
    </row>
    <row r="5372" spans="1:16" ht="14.4" x14ac:dyDescent="0.25">
      <c r="A5372" s="6">
        <v>2187</v>
      </c>
      <c r="B5372" s="6">
        <v>15751</v>
      </c>
      <c r="C5372" s="19">
        <v>40040</v>
      </c>
      <c r="D5372" s="6" t="s">
        <v>30</v>
      </c>
      <c r="E5372" s="6">
        <f>IF((ISBLANK($B$1)),"",Sheet1!Q5383)</f>
        <v>5250</v>
      </c>
      <c r="F5372" s="20" t="s">
        <v>26</v>
      </c>
      <c r="G5372" s="53">
        <f t="shared" si="84"/>
        <v>0.78883577311854924</v>
      </c>
      <c r="H5372" s="35"/>
      <c r="P5372" s="6"/>
    </row>
    <row r="5373" spans="1:16" ht="14.4" x14ac:dyDescent="0.25">
      <c r="A5373" s="6">
        <v>2188</v>
      </c>
      <c r="B5373" s="6">
        <v>15751</v>
      </c>
      <c r="C5373" s="19">
        <v>40040</v>
      </c>
      <c r="D5373" s="6" t="s">
        <v>30</v>
      </c>
      <c r="E5373" s="6">
        <f>IF((ISBLANK($B$1)),"",Sheet1!Q5384)</f>
        <v>4450</v>
      </c>
      <c r="F5373" s="20" t="s">
        <v>27</v>
      </c>
      <c r="G5373" s="53">
        <f t="shared" si="84"/>
        <v>-0.31592764504908549</v>
      </c>
      <c r="H5373" s="35"/>
      <c r="P5373" s="6"/>
    </row>
    <row r="5374" spans="1:16" ht="14.4" x14ac:dyDescent="0.25">
      <c r="A5374" s="6">
        <v>2197</v>
      </c>
      <c r="B5374" s="6">
        <v>15815</v>
      </c>
      <c r="C5374" s="19">
        <v>39934</v>
      </c>
      <c r="D5374" s="6" t="s">
        <v>30</v>
      </c>
      <c r="E5374" s="6">
        <f>IF((ISBLANK($B$1)),"",Sheet1!Q5385)</f>
        <v>5550</v>
      </c>
      <c r="F5374" s="20" t="s">
        <v>26</v>
      </c>
      <c r="G5374" s="53">
        <f t="shared" si="84"/>
        <v>1.2031220549314123</v>
      </c>
      <c r="H5374" s="35"/>
      <c r="P5374" s="6"/>
    </row>
    <row r="5375" spans="1:16" ht="14.4" x14ac:dyDescent="0.25">
      <c r="A5375" s="6">
        <v>2198</v>
      </c>
      <c r="B5375" s="6">
        <v>15815</v>
      </c>
      <c r="C5375" s="19">
        <v>39934</v>
      </c>
      <c r="D5375" s="6" t="s">
        <v>30</v>
      </c>
      <c r="E5375" s="6">
        <f>IF((ISBLANK($B$1)),"",Sheet1!Q5386)</f>
        <v>4600</v>
      </c>
      <c r="F5375" s="20" t="s">
        <v>26</v>
      </c>
      <c r="G5375" s="53">
        <f t="shared" si="84"/>
        <v>-0.108784504142654</v>
      </c>
      <c r="H5375" s="35"/>
      <c r="P5375" s="6"/>
    </row>
    <row r="5376" spans="1:16" ht="14.4" x14ac:dyDescent="0.25">
      <c r="A5376" s="6">
        <v>2322</v>
      </c>
      <c r="B5376" s="6">
        <v>16737</v>
      </c>
      <c r="C5376" s="19">
        <v>40714</v>
      </c>
      <c r="D5376" s="6" t="s">
        <v>28</v>
      </c>
      <c r="E5376" s="6">
        <f>IF((ISBLANK($B$1)),"",Sheet1!Q5387)</f>
        <v>4150</v>
      </c>
      <c r="F5376" s="20" t="s">
        <v>26</v>
      </c>
      <c r="G5376" s="53">
        <f t="shared" si="84"/>
        <v>-0.73021392686194853</v>
      </c>
      <c r="H5376" s="35"/>
      <c r="P5376" s="6"/>
    </row>
    <row r="5377" spans="1:16" ht="14.4" x14ac:dyDescent="0.25">
      <c r="A5377" s="6">
        <v>2366</v>
      </c>
      <c r="B5377" s="6">
        <v>17124</v>
      </c>
      <c r="C5377" s="19">
        <v>40111</v>
      </c>
      <c r="D5377" s="6" t="s">
        <v>30</v>
      </c>
      <c r="E5377" s="6">
        <f>IF((ISBLANK($B$1)),"",Sheet1!Q5388)</f>
        <v>5350</v>
      </c>
      <c r="F5377" s="20" t="s">
        <v>26</v>
      </c>
      <c r="G5377" s="53">
        <f t="shared" si="84"/>
        <v>0.92693120038950361</v>
      </c>
      <c r="H5377" s="35"/>
      <c r="P5377" s="6"/>
    </row>
    <row r="5378" spans="1:16" ht="14.4" x14ac:dyDescent="0.25">
      <c r="A5378" s="6">
        <v>2429</v>
      </c>
      <c r="B5378" s="6">
        <v>17666</v>
      </c>
      <c r="C5378" s="19">
        <v>40429</v>
      </c>
      <c r="D5378" s="6" t="s">
        <v>16</v>
      </c>
      <c r="E5378" s="6">
        <f>IF((ISBLANK($B$1)),"",Sheet1!Q5389)</f>
        <v>4350</v>
      </c>
      <c r="F5378" s="20" t="s">
        <v>26</v>
      </c>
      <c r="G5378" s="53">
        <f t="shared" si="84"/>
        <v>-0.45402307232003986</v>
      </c>
      <c r="H5378" s="35"/>
      <c r="P5378" s="6"/>
    </row>
    <row r="5379" spans="1:16" ht="14.4" x14ac:dyDescent="0.25">
      <c r="A5379" s="6">
        <v>2430</v>
      </c>
      <c r="B5379" s="6">
        <v>17666</v>
      </c>
      <c r="C5379" s="19">
        <v>40429</v>
      </c>
      <c r="D5379" s="6" t="s">
        <v>16</v>
      </c>
      <c r="E5379" s="6">
        <f>IF((ISBLANK($B$1)),"",Sheet1!Q5390)</f>
        <v>3950</v>
      </c>
      <c r="F5379" s="20" t="s">
        <v>26</v>
      </c>
      <c r="G5379" s="53">
        <f t="shared" si="84"/>
        <v>-1.0064047814038573</v>
      </c>
      <c r="H5379" s="35"/>
      <c r="P5379" s="6"/>
    </row>
    <row r="5380" spans="1:16" ht="14.4" x14ac:dyDescent="0.25">
      <c r="A5380" s="6">
        <v>2636</v>
      </c>
      <c r="B5380" s="6">
        <v>19075</v>
      </c>
      <c r="C5380" s="19">
        <v>40082</v>
      </c>
      <c r="D5380" s="6" t="s">
        <v>30</v>
      </c>
      <c r="E5380" s="6">
        <f>IF((ISBLANK($B$1)),"",Sheet1!Q5391)</f>
        <v>5200</v>
      </c>
      <c r="F5380" s="20" t="s">
        <v>27</v>
      </c>
      <c r="G5380" s="53">
        <f t="shared" si="84"/>
        <v>0.71978805948307201</v>
      </c>
      <c r="H5380" s="35"/>
      <c r="P5380" s="6"/>
    </row>
    <row r="5381" spans="1:16" ht="14.4" x14ac:dyDescent="0.25">
      <c r="A5381" s="6">
        <v>2927</v>
      </c>
      <c r="B5381" s="6">
        <v>21220</v>
      </c>
      <c r="C5381" s="19">
        <v>41265</v>
      </c>
      <c r="D5381" s="6" t="s">
        <v>28</v>
      </c>
      <c r="E5381" s="6">
        <f>IF((ISBLANK($B$1)),"",Sheet1!Q5392)</f>
        <v>3600</v>
      </c>
      <c r="F5381" s="20" t="s">
        <v>27</v>
      </c>
      <c r="G5381" s="53">
        <f t="shared" si="84"/>
        <v>-1.4897387768521975</v>
      </c>
      <c r="H5381" s="35"/>
      <c r="P5381" s="6"/>
    </row>
    <row r="5382" spans="1:16" ht="14.4" x14ac:dyDescent="0.25">
      <c r="A5382" s="6">
        <v>2991</v>
      </c>
      <c r="B5382" s="6">
        <v>21600</v>
      </c>
      <c r="C5382" s="19">
        <v>40272</v>
      </c>
      <c r="D5382" s="6" t="s">
        <v>25</v>
      </c>
      <c r="E5382" s="6">
        <f>IF((ISBLANK($B$1)),"",Sheet1!Q5393)</f>
        <v>4250</v>
      </c>
      <c r="F5382" s="20" t="s">
        <v>26</v>
      </c>
      <c r="G5382" s="53">
        <f t="shared" si="84"/>
        <v>-0.59211849959099416</v>
      </c>
      <c r="H5382" s="35"/>
      <c r="P5382" s="6"/>
    </row>
    <row r="5383" spans="1:16" ht="14.4" x14ac:dyDescent="0.25">
      <c r="A5383" s="6">
        <v>3082</v>
      </c>
      <c r="B5383" s="6">
        <v>22117</v>
      </c>
      <c r="C5383" s="19">
        <v>40402</v>
      </c>
      <c r="D5383" s="6" t="s">
        <v>30</v>
      </c>
      <c r="E5383" s="6">
        <f>IF((ISBLANK($B$1)),"",Sheet1!Q5394)</f>
        <v>4200</v>
      </c>
      <c r="F5383" s="20" t="s">
        <v>26</v>
      </c>
      <c r="G5383" s="53">
        <f t="shared" si="84"/>
        <v>-0.6611662132264714</v>
      </c>
      <c r="H5383" s="35"/>
      <c r="P5383" s="6"/>
    </row>
    <row r="5384" spans="1:16" ht="14.4" x14ac:dyDescent="0.25">
      <c r="A5384" s="6">
        <v>3083</v>
      </c>
      <c r="B5384" s="6">
        <v>22117</v>
      </c>
      <c r="C5384" s="19">
        <v>40402</v>
      </c>
      <c r="D5384" s="6" t="s">
        <v>30</v>
      </c>
      <c r="E5384" s="6">
        <f>IF((ISBLANK($B$1)),"",Sheet1!Q5395)</f>
        <v>3650</v>
      </c>
      <c r="F5384" s="20" t="s">
        <v>26</v>
      </c>
      <c r="G5384" s="53">
        <f t="shared" ref="G5384:G5447" si="85">STANDARDIZE(E5384,$L$26,$L$35)</f>
        <v>-1.4206910632167202</v>
      </c>
      <c r="H5384" s="35"/>
      <c r="P5384" s="6"/>
    </row>
    <row r="5385" spans="1:16" ht="14.4" x14ac:dyDescent="0.25">
      <c r="A5385" s="6">
        <v>3099</v>
      </c>
      <c r="B5385" s="6">
        <v>22211</v>
      </c>
      <c r="C5385" s="19">
        <v>40819</v>
      </c>
      <c r="D5385" s="6" t="s">
        <v>28</v>
      </c>
      <c r="E5385" s="6">
        <f>IF((ISBLANK($B$1)),"",Sheet1!Q5396)</f>
        <v>4900</v>
      </c>
      <c r="F5385" s="20" t="s">
        <v>26</v>
      </c>
      <c r="G5385" s="53">
        <f t="shared" si="85"/>
        <v>0.30550177767020903</v>
      </c>
      <c r="H5385" s="35"/>
      <c r="P5385" s="6"/>
    </row>
    <row r="5386" spans="1:16" ht="14.4" x14ac:dyDescent="0.25">
      <c r="A5386" s="6">
        <v>3100</v>
      </c>
      <c r="B5386" s="6">
        <v>22211</v>
      </c>
      <c r="C5386" s="19">
        <v>40819</v>
      </c>
      <c r="D5386" s="6" t="s">
        <v>28</v>
      </c>
      <c r="E5386" s="6">
        <f>IF((ISBLANK($B$1)),"",Sheet1!Q5397)</f>
        <v>5750</v>
      </c>
      <c r="F5386" s="20" t="s">
        <v>29</v>
      </c>
      <c r="G5386" s="53">
        <f t="shared" si="85"/>
        <v>1.4793129094733208</v>
      </c>
      <c r="H5386" s="35"/>
      <c r="P5386" s="6"/>
    </row>
    <row r="5387" spans="1:16" ht="14.4" x14ac:dyDescent="0.25">
      <c r="A5387" s="6">
        <v>3119</v>
      </c>
      <c r="B5387" s="6">
        <v>22404</v>
      </c>
      <c r="C5387" s="19">
        <v>40498</v>
      </c>
      <c r="D5387" s="6" t="s">
        <v>25</v>
      </c>
      <c r="E5387" s="6">
        <f>IF((ISBLANK($B$1)),"",Sheet1!Q5398)</f>
        <v>5150</v>
      </c>
      <c r="F5387" s="20" t="s">
        <v>29</v>
      </c>
      <c r="G5387" s="53">
        <f t="shared" si="85"/>
        <v>0.65074034584759488</v>
      </c>
      <c r="H5387" s="35"/>
      <c r="P5387" s="6"/>
    </row>
    <row r="5388" spans="1:16" ht="14.4" x14ac:dyDescent="0.25">
      <c r="A5388" s="6">
        <v>3266</v>
      </c>
      <c r="B5388" s="6">
        <v>23362</v>
      </c>
      <c r="C5388" s="19">
        <v>40417</v>
      </c>
      <c r="D5388" s="6" t="s">
        <v>16</v>
      </c>
      <c r="E5388" s="6">
        <f>IF((ISBLANK($B$1)),"",Sheet1!Q5399)</f>
        <v>5650</v>
      </c>
      <c r="F5388" s="20" t="s">
        <v>29</v>
      </c>
      <c r="G5388" s="53">
        <f t="shared" si="85"/>
        <v>1.3412174822023666</v>
      </c>
      <c r="H5388" s="35"/>
      <c r="P5388" s="6"/>
    </row>
    <row r="5389" spans="1:16" ht="14.4" x14ac:dyDescent="0.25">
      <c r="A5389" s="6">
        <v>3275</v>
      </c>
      <c r="B5389" s="6">
        <v>23399</v>
      </c>
      <c r="C5389" s="19">
        <v>40541</v>
      </c>
      <c r="D5389" s="6" t="s">
        <v>17</v>
      </c>
      <c r="E5389" s="6">
        <f>IF((ISBLANK($B$1)),"",Sheet1!Q5400)</f>
        <v>4100</v>
      </c>
      <c r="F5389" s="20" t="s">
        <v>26</v>
      </c>
      <c r="G5389" s="53">
        <f t="shared" si="85"/>
        <v>-0.79926164049742576</v>
      </c>
      <c r="H5389" s="35"/>
      <c r="P5389" s="6"/>
    </row>
    <row r="5390" spans="1:16" ht="14.4" x14ac:dyDescent="0.25">
      <c r="A5390" s="6">
        <v>3326</v>
      </c>
      <c r="B5390" s="6">
        <v>23781</v>
      </c>
      <c r="C5390" s="19">
        <v>40847</v>
      </c>
      <c r="D5390" s="6" t="s">
        <v>30</v>
      </c>
      <c r="E5390" s="6">
        <f>IF((ISBLANK($B$1)),"",Sheet1!Q5401)</f>
        <v>4900</v>
      </c>
      <c r="F5390" s="20" t="s">
        <v>26</v>
      </c>
      <c r="G5390" s="53">
        <f t="shared" si="85"/>
        <v>0.30550177767020903</v>
      </c>
      <c r="H5390" s="35"/>
      <c r="P5390" s="6"/>
    </row>
    <row r="5391" spans="1:16" ht="14.4" x14ac:dyDescent="0.25">
      <c r="A5391" s="6">
        <v>3332</v>
      </c>
      <c r="B5391" s="6">
        <v>23812</v>
      </c>
      <c r="C5391" s="19">
        <v>41117</v>
      </c>
      <c r="D5391" s="6" t="s">
        <v>30</v>
      </c>
      <c r="E5391" s="6">
        <f>IF((ISBLANK($B$1)),"",Sheet1!Q5402)</f>
        <v>5000</v>
      </c>
      <c r="F5391" s="20" t="s">
        <v>27</v>
      </c>
      <c r="G5391" s="53">
        <f t="shared" si="85"/>
        <v>0.44359720494116334</v>
      </c>
      <c r="H5391" s="35"/>
      <c r="P5391" s="6"/>
    </row>
    <row r="5392" spans="1:16" ht="14.4" x14ac:dyDescent="0.25">
      <c r="A5392" s="6">
        <v>3399</v>
      </c>
      <c r="B5392" s="6">
        <v>24199</v>
      </c>
      <c r="C5392" s="19">
        <v>39980</v>
      </c>
      <c r="D5392" s="6" t="s">
        <v>30</v>
      </c>
      <c r="E5392" s="6">
        <f>IF((ISBLANK($B$1)),"",Sheet1!Q5403)</f>
        <v>4200</v>
      </c>
      <c r="F5392" s="20" t="s">
        <v>27</v>
      </c>
      <c r="G5392" s="53">
        <f t="shared" si="85"/>
        <v>-0.6611662132264714</v>
      </c>
      <c r="H5392" s="35"/>
      <c r="P5392" s="6"/>
    </row>
    <row r="5393" spans="1:16" ht="14.4" x14ac:dyDescent="0.25">
      <c r="A5393" s="6">
        <v>3534</v>
      </c>
      <c r="B5393" s="6">
        <v>25155</v>
      </c>
      <c r="C5393" s="19">
        <v>40198</v>
      </c>
      <c r="D5393" s="6" t="s">
        <v>25</v>
      </c>
      <c r="E5393" s="6">
        <f>IF((ISBLANK($B$1)),"",Sheet1!Q5404)</f>
        <v>5800</v>
      </c>
      <c r="F5393" s="20" t="s">
        <v>29</v>
      </c>
      <c r="G5393" s="53">
        <f t="shared" si="85"/>
        <v>1.5483606231087981</v>
      </c>
      <c r="H5393" s="35"/>
      <c r="P5393" s="6"/>
    </row>
    <row r="5394" spans="1:16" ht="14.4" x14ac:dyDescent="0.25">
      <c r="A5394" s="6">
        <v>3535</v>
      </c>
      <c r="B5394" s="6">
        <v>25155</v>
      </c>
      <c r="C5394" s="19">
        <v>40198</v>
      </c>
      <c r="D5394" s="6" t="s">
        <v>25</v>
      </c>
      <c r="E5394" s="6">
        <f>IF((ISBLANK($B$1)),"",Sheet1!Q5405)</f>
        <v>4250</v>
      </c>
      <c r="F5394" s="20" t="s">
        <v>26</v>
      </c>
      <c r="G5394" s="53">
        <f t="shared" si="85"/>
        <v>-0.59211849959099416</v>
      </c>
      <c r="H5394" s="35"/>
      <c r="P5394" s="6"/>
    </row>
    <row r="5395" spans="1:16" ht="14.4" x14ac:dyDescent="0.25">
      <c r="A5395" s="6">
        <v>3536</v>
      </c>
      <c r="B5395" s="6">
        <v>25155</v>
      </c>
      <c r="C5395" s="19">
        <v>40198</v>
      </c>
      <c r="D5395" s="6" t="s">
        <v>25</v>
      </c>
      <c r="E5395" s="6">
        <f>IF((ISBLANK($B$1)),"",Sheet1!Q5406)</f>
        <v>3550</v>
      </c>
      <c r="F5395" s="20" t="s">
        <v>26</v>
      </c>
      <c r="G5395" s="53">
        <f t="shared" si="85"/>
        <v>-1.5587864904876745</v>
      </c>
      <c r="H5395" s="35"/>
      <c r="P5395" s="6"/>
    </row>
    <row r="5396" spans="1:16" ht="14.4" x14ac:dyDescent="0.25">
      <c r="A5396" s="6">
        <v>3648</v>
      </c>
      <c r="B5396" s="6">
        <v>26084</v>
      </c>
      <c r="C5396" s="19">
        <v>41198</v>
      </c>
      <c r="D5396" s="6" t="s">
        <v>25</v>
      </c>
      <c r="E5396" s="6">
        <f>IF((ISBLANK($B$1)),"",Sheet1!Q5407)</f>
        <v>5050</v>
      </c>
      <c r="F5396" s="20" t="s">
        <v>26</v>
      </c>
      <c r="G5396" s="53">
        <f t="shared" si="85"/>
        <v>0.51264491857664052</v>
      </c>
      <c r="H5396" s="35"/>
      <c r="P5396" s="6"/>
    </row>
    <row r="5397" spans="1:16" ht="14.4" x14ac:dyDescent="0.25">
      <c r="A5397" s="6">
        <v>3654</v>
      </c>
      <c r="B5397" s="6">
        <v>26146</v>
      </c>
      <c r="C5397" s="19">
        <v>40097</v>
      </c>
      <c r="D5397" s="6" t="s">
        <v>25</v>
      </c>
      <c r="E5397" s="6">
        <f>IF((ISBLANK($B$1)),"",Sheet1!Q5408)</f>
        <v>4050</v>
      </c>
      <c r="F5397" s="20" t="s">
        <v>26</v>
      </c>
      <c r="G5397" s="53">
        <f t="shared" si="85"/>
        <v>-0.86830935413290289</v>
      </c>
      <c r="H5397" s="35"/>
      <c r="P5397" s="6"/>
    </row>
    <row r="5398" spans="1:16" ht="14.4" x14ac:dyDescent="0.25">
      <c r="A5398" s="6">
        <v>3655</v>
      </c>
      <c r="B5398" s="6">
        <v>26146</v>
      </c>
      <c r="C5398" s="19">
        <v>40097</v>
      </c>
      <c r="D5398" s="6" t="s">
        <v>25</v>
      </c>
      <c r="E5398" s="6">
        <f>IF((ISBLANK($B$1)),"",Sheet1!Q5409)</f>
        <v>5850</v>
      </c>
      <c r="F5398" s="20" t="s">
        <v>26</v>
      </c>
      <c r="G5398" s="53">
        <f t="shared" si="85"/>
        <v>1.6174083367442753</v>
      </c>
      <c r="H5398" s="35"/>
      <c r="P5398" s="6"/>
    </row>
    <row r="5399" spans="1:16" ht="14.4" x14ac:dyDescent="0.25">
      <c r="A5399" s="6">
        <v>3715</v>
      </c>
      <c r="B5399" s="6">
        <v>26529</v>
      </c>
      <c r="C5399" s="19">
        <v>40571</v>
      </c>
      <c r="D5399" s="6" t="s">
        <v>25</v>
      </c>
      <c r="E5399" s="6">
        <f>IF((ISBLANK($B$1)),"",Sheet1!Q5410)</f>
        <v>5450</v>
      </c>
      <c r="F5399" s="20" t="s">
        <v>27</v>
      </c>
      <c r="G5399" s="53">
        <f t="shared" si="85"/>
        <v>1.0650266276604579</v>
      </c>
      <c r="H5399" s="35"/>
      <c r="P5399" s="6"/>
    </row>
    <row r="5400" spans="1:16" ht="14.4" x14ac:dyDescent="0.25">
      <c r="A5400" s="6">
        <v>3736</v>
      </c>
      <c r="B5400" s="6">
        <v>26693</v>
      </c>
      <c r="C5400" s="19">
        <v>40411</v>
      </c>
      <c r="D5400" s="6" t="s">
        <v>16</v>
      </c>
      <c r="E5400" s="6">
        <f>IF((ISBLANK($B$1)),"",Sheet1!Q5411)</f>
        <v>5600</v>
      </c>
      <c r="F5400" s="20" t="s">
        <v>27</v>
      </c>
      <c r="G5400" s="53">
        <f t="shared" si="85"/>
        <v>1.2721697685668893</v>
      </c>
      <c r="H5400" s="35"/>
      <c r="P5400" s="6"/>
    </row>
    <row r="5401" spans="1:16" ht="14.4" x14ac:dyDescent="0.25">
      <c r="A5401" s="6">
        <v>3775</v>
      </c>
      <c r="B5401" s="6">
        <v>26948</v>
      </c>
      <c r="C5401" s="19">
        <v>40869</v>
      </c>
      <c r="D5401" s="6" t="s">
        <v>17</v>
      </c>
      <c r="E5401" s="6">
        <f>IF((ISBLANK($B$1)),"",Sheet1!Q5412)</f>
        <v>5300</v>
      </c>
      <c r="F5401" s="20" t="s">
        <v>26</v>
      </c>
      <c r="G5401" s="53">
        <f t="shared" si="85"/>
        <v>0.85788348675402637</v>
      </c>
      <c r="H5401" s="35"/>
      <c r="P5401" s="6"/>
    </row>
    <row r="5402" spans="1:16" ht="14.4" x14ac:dyDescent="0.25">
      <c r="A5402" s="6">
        <v>3777</v>
      </c>
      <c r="B5402" s="6">
        <v>26951</v>
      </c>
      <c r="C5402" s="19">
        <v>40276</v>
      </c>
      <c r="D5402" s="6" t="s">
        <v>28</v>
      </c>
      <c r="E5402" s="6">
        <f>IF((ISBLANK($B$1)),"",Sheet1!Q5413)</f>
        <v>3550</v>
      </c>
      <c r="F5402" s="20" t="s">
        <v>27</v>
      </c>
      <c r="G5402" s="53">
        <f t="shared" si="85"/>
        <v>-1.5587864904876745</v>
      </c>
      <c r="H5402" s="35"/>
      <c r="P5402" s="6"/>
    </row>
    <row r="5403" spans="1:16" ht="14.4" x14ac:dyDescent="0.25">
      <c r="A5403" s="6">
        <v>3812</v>
      </c>
      <c r="B5403" s="6">
        <v>27141</v>
      </c>
      <c r="C5403" s="19">
        <v>40213</v>
      </c>
      <c r="D5403" s="6" t="s">
        <v>28</v>
      </c>
      <c r="E5403" s="6">
        <f>IF((ISBLANK($B$1)),"",Sheet1!Q5414)</f>
        <v>4650</v>
      </c>
      <c r="F5403" s="20" t="s">
        <v>29</v>
      </c>
      <c r="G5403" s="53">
        <f t="shared" si="85"/>
        <v>-3.9736790507176829E-2</v>
      </c>
      <c r="H5403" s="35"/>
      <c r="P5403" s="6"/>
    </row>
    <row r="5404" spans="1:16" ht="14.4" x14ac:dyDescent="0.25">
      <c r="A5404" s="6">
        <v>3813</v>
      </c>
      <c r="B5404" s="6">
        <v>27141</v>
      </c>
      <c r="C5404" s="19">
        <v>40213</v>
      </c>
      <c r="D5404" s="6" t="s">
        <v>28</v>
      </c>
      <c r="E5404" s="6">
        <f>IF((ISBLANK($B$1)),"",Sheet1!Q5415)</f>
        <v>4800</v>
      </c>
      <c r="F5404" s="20" t="s">
        <v>26</v>
      </c>
      <c r="G5404" s="53">
        <f t="shared" si="85"/>
        <v>0.16740635039925467</v>
      </c>
      <c r="H5404" s="35"/>
      <c r="P5404" s="6"/>
    </row>
    <row r="5405" spans="1:16" ht="14.4" x14ac:dyDescent="0.25">
      <c r="A5405" s="6">
        <v>3832</v>
      </c>
      <c r="B5405" s="6">
        <v>27302</v>
      </c>
      <c r="C5405" s="19">
        <v>41164</v>
      </c>
      <c r="D5405" s="6" t="s">
        <v>25</v>
      </c>
      <c r="E5405" s="6">
        <f>IF((ISBLANK($B$1)),"",Sheet1!Q5416)</f>
        <v>4200</v>
      </c>
      <c r="F5405" s="20" t="s">
        <v>29</v>
      </c>
      <c r="G5405" s="53">
        <f t="shared" si="85"/>
        <v>-0.6611662132264714</v>
      </c>
      <c r="H5405" s="35"/>
      <c r="P5405" s="6"/>
    </row>
    <row r="5406" spans="1:16" ht="14.4" x14ac:dyDescent="0.25">
      <c r="A5406" s="6">
        <v>3833</v>
      </c>
      <c r="B5406" s="6">
        <v>27302</v>
      </c>
      <c r="C5406" s="19">
        <v>41164</v>
      </c>
      <c r="D5406" s="6" t="s">
        <v>25</v>
      </c>
      <c r="E5406" s="6">
        <f>IF((ISBLANK($B$1)),"",Sheet1!Q5417)</f>
        <v>3550</v>
      </c>
      <c r="F5406" s="20" t="s">
        <v>26</v>
      </c>
      <c r="G5406" s="53">
        <f t="shared" si="85"/>
        <v>-1.5587864904876745</v>
      </c>
      <c r="H5406" s="35"/>
      <c r="P5406" s="6"/>
    </row>
    <row r="5407" spans="1:16" ht="14.4" x14ac:dyDescent="0.25">
      <c r="A5407" s="6">
        <v>3843</v>
      </c>
      <c r="B5407" s="6">
        <v>27426</v>
      </c>
      <c r="C5407" s="19">
        <v>40232</v>
      </c>
      <c r="D5407" s="6" t="s">
        <v>25</v>
      </c>
      <c r="E5407" s="6">
        <f>IF((ISBLANK($B$1)),"",Sheet1!Q5418)</f>
        <v>5450</v>
      </c>
      <c r="F5407" s="20" t="s">
        <v>26</v>
      </c>
      <c r="G5407" s="53">
        <f t="shared" si="85"/>
        <v>1.0650266276604579</v>
      </c>
      <c r="H5407" s="35"/>
      <c r="P5407" s="6"/>
    </row>
    <row r="5408" spans="1:16" ht="14.4" x14ac:dyDescent="0.25">
      <c r="A5408" s="6">
        <v>3844</v>
      </c>
      <c r="B5408" s="6">
        <v>27426</v>
      </c>
      <c r="C5408" s="19">
        <v>40232</v>
      </c>
      <c r="D5408" s="6" t="s">
        <v>25</v>
      </c>
      <c r="E5408" s="6">
        <f>IF((ISBLANK($B$1)),"",Sheet1!Q5419)</f>
        <v>5000</v>
      </c>
      <c r="F5408" s="20" t="s">
        <v>26</v>
      </c>
      <c r="G5408" s="53">
        <f t="shared" si="85"/>
        <v>0.44359720494116334</v>
      </c>
      <c r="H5408" s="35"/>
      <c r="P5408" s="6"/>
    </row>
    <row r="5409" spans="1:16" ht="14.4" x14ac:dyDescent="0.25">
      <c r="A5409" s="6">
        <v>3898</v>
      </c>
      <c r="B5409" s="6">
        <v>27810</v>
      </c>
      <c r="C5409" s="19">
        <v>40206</v>
      </c>
      <c r="D5409" s="6" t="s">
        <v>17</v>
      </c>
      <c r="E5409" s="6">
        <f>IF((ISBLANK($B$1)),"",Sheet1!Q5420)</f>
        <v>5000</v>
      </c>
      <c r="F5409" s="20" t="s">
        <v>26</v>
      </c>
      <c r="G5409" s="53">
        <f t="shared" si="85"/>
        <v>0.44359720494116334</v>
      </c>
      <c r="H5409" s="35"/>
      <c r="P5409" s="6"/>
    </row>
    <row r="5410" spans="1:16" ht="14.4" x14ac:dyDescent="0.25">
      <c r="A5410" s="6">
        <v>4016</v>
      </c>
      <c r="B5410" s="6">
        <v>28674</v>
      </c>
      <c r="C5410" s="19">
        <v>40770</v>
      </c>
      <c r="D5410" s="6" t="s">
        <v>17</v>
      </c>
      <c r="E5410" s="6">
        <f>IF((ISBLANK($B$1)),"",Sheet1!Q5421)</f>
        <v>4700</v>
      </c>
      <c r="F5410" s="20" t="s">
        <v>26</v>
      </c>
      <c r="G5410" s="53">
        <f t="shared" si="85"/>
        <v>2.9310923128300338E-2</v>
      </c>
      <c r="H5410" s="35"/>
      <c r="P5410" s="6"/>
    </row>
    <row r="5411" spans="1:16" ht="14.4" x14ac:dyDescent="0.25">
      <c r="A5411" s="6">
        <v>4025</v>
      </c>
      <c r="B5411" s="6">
        <v>28742</v>
      </c>
      <c r="C5411" s="19">
        <v>41028</v>
      </c>
      <c r="D5411" s="6" t="s">
        <v>25</v>
      </c>
      <c r="E5411" s="6">
        <f>IF((ISBLANK($B$1)),"",Sheet1!Q5422)</f>
        <v>5150</v>
      </c>
      <c r="F5411" s="20" t="s">
        <v>26</v>
      </c>
      <c r="G5411" s="53">
        <f t="shared" si="85"/>
        <v>0.65074034584759488</v>
      </c>
      <c r="H5411" s="35"/>
      <c r="P5411" s="6"/>
    </row>
    <row r="5412" spans="1:16" ht="14.4" x14ac:dyDescent="0.25">
      <c r="A5412" s="6">
        <v>4026</v>
      </c>
      <c r="B5412" s="6">
        <v>28742</v>
      </c>
      <c r="C5412" s="19">
        <v>41028</v>
      </c>
      <c r="D5412" s="6" t="s">
        <v>25</v>
      </c>
      <c r="E5412" s="6">
        <f>IF((ISBLANK($B$1)),"",Sheet1!Q5423)</f>
        <v>3750</v>
      </c>
      <c r="F5412" s="20" t="s">
        <v>29</v>
      </c>
      <c r="G5412" s="53">
        <f t="shared" si="85"/>
        <v>-1.282595635945766</v>
      </c>
      <c r="H5412" s="35"/>
      <c r="P5412" s="6"/>
    </row>
    <row r="5413" spans="1:16" ht="14.4" x14ac:dyDescent="0.25">
      <c r="A5413" s="6">
        <v>4028</v>
      </c>
      <c r="B5413" s="6">
        <v>28772</v>
      </c>
      <c r="C5413" s="19">
        <v>39850</v>
      </c>
      <c r="D5413" s="6" t="s">
        <v>17</v>
      </c>
      <c r="E5413" s="6">
        <f>IF((ISBLANK($B$1)),"",Sheet1!Q5424)</f>
        <v>4200</v>
      </c>
      <c r="F5413" s="20" t="s">
        <v>29</v>
      </c>
      <c r="G5413" s="53">
        <f t="shared" si="85"/>
        <v>-0.6611662132264714</v>
      </c>
      <c r="H5413" s="35"/>
      <c r="P5413" s="6"/>
    </row>
    <row r="5414" spans="1:16" ht="14.4" x14ac:dyDescent="0.25">
      <c r="A5414" s="6">
        <v>4029</v>
      </c>
      <c r="B5414" s="6">
        <v>28772</v>
      </c>
      <c r="C5414" s="19">
        <v>39850</v>
      </c>
      <c r="D5414" s="6" t="s">
        <v>17</v>
      </c>
      <c r="E5414" s="6">
        <f>IF((ISBLANK($B$1)),"",Sheet1!Q5425)</f>
        <v>3600</v>
      </c>
      <c r="F5414" s="20" t="s">
        <v>27</v>
      </c>
      <c r="G5414" s="53">
        <f t="shared" si="85"/>
        <v>-1.4897387768521975</v>
      </c>
      <c r="H5414" s="35"/>
      <c r="P5414" s="6"/>
    </row>
    <row r="5415" spans="1:16" ht="14.4" x14ac:dyDescent="0.25">
      <c r="A5415" s="6">
        <v>4087</v>
      </c>
      <c r="B5415" s="6">
        <v>29152</v>
      </c>
      <c r="C5415" s="19">
        <v>40747</v>
      </c>
      <c r="D5415" s="6" t="s">
        <v>25</v>
      </c>
      <c r="E5415" s="6">
        <f>IF((ISBLANK($B$1)),"",Sheet1!Q5426)</f>
        <v>3550</v>
      </c>
      <c r="F5415" s="20" t="s">
        <v>27</v>
      </c>
      <c r="G5415" s="53">
        <f t="shared" si="85"/>
        <v>-1.5587864904876745</v>
      </c>
      <c r="H5415" s="35"/>
      <c r="P5415" s="6"/>
    </row>
    <row r="5416" spans="1:16" ht="14.4" x14ac:dyDescent="0.25">
      <c r="A5416" s="6">
        <v>4088</v>
      </c>
      <c r="B5416" s="6">
        <v>29152</v>
      </c>
      <c r="C5416" s="19">
        <v>40747</v>
      </c>
      <c r="D5416" s="6" t="s">
        <v>25</v>
      </c>
      <c r="E5416" s="6">
        <f>IF((ISBLANK($B$1)),"",Sheet1!Q5427)</f>
        <v>4050</v>
      </c>
      <c r="F5416" s="20" t="s">
        <v>26</v>
      </c>
      <c r="G5416" s="53">
        <f t="shared" si="85"/>
        <v>-0.86830935413290289</v>
      </c>
      <c r="H5416" s="35"/>
      <c r="P5416" s="6"/>
    </row>
    <row r="5417" spans="1:16" ht="14.4" x14ac:dyDescent="0.25">
      <c r="A5417" s="6">
        <v>4177</v>
      </c>
      <c r="B5417" s="6">
        <v>29639</v>
      </c>
      <c r="C5417" s="19">
        <v>40650</v>
      </c>
      <c r="D5417" s="6" t="s">
        <v>30</v>
      </c>
      <c r="E5417" s="6">
        <f>IF((ISBLANK($B$1)),"",Sheet1!Q5428)</f>
        <v>3800</v>
      </c>
      <c r="F5417" s="20" t="s">
        <v>26</v>
      </c>
      <c r="G5417" s="53">
        <f t="shared" si="85"/>
        <v>-1.2135479223102887</v>
      </c>
      <c r="H5417" s="35"/>
      <c r="P5417" s="6"/>
    </row>
    <row r="5418" spans="1:16" ht="14.4" x14ac:dyDescent="0.25">
      <c r="A5418" s="6">
        <v>4275</v>
      </c>
      <c r="B5418" s="6">
        <v>30407</v>
      </c>
      <c r="C5418" s="19">
        <v>39920</v>
      </c>
      <c r="D5418" s="6" t="s">
        <v>25</v>
      </c>
      <c r="E5418" s="6">
        <f>IF((ISBLANK($B$1)),"",Sheet1!Q5429)</f>
        <v>5450</v>
      </c>
      <c r="F5418" s="20" t="s">
        <v>26</v>
      </c>
      <c r="G5418" s="53">
        <f t="shared" si="85"/>
        <v>1.0650266276604579</v>
      </c>
      <c r="H5418" s="35"/>
      <c r="P5418" s="6"/>
    </row>
    <row r="5419" spans="1:16" ht="14.4" x14ac:dyDescent="0.25">
      <c r="A5419" s="6">
        <v>4378</v>
      </c>
      <c r="B5419" s="6">
        <v>31175</v>
      </c>
      <c r="C5419" s="19">
        <v>40082</v>
      </c>
      <c r="D5419" s="6" t="s">
        <v>30</v>
      </c>
      <c r="E5419" s="6">
        <f>IF((ISBLANK($B$1)),"",Sheet1!Q5430)</f>
        <v>4700</v>
      </c>
      <c r="F5419" s="20" t="s">
        <v>26</v>
      </c>
      <c r="G5419" s="53">
        <f t="shared" si="85"/>
        <v>2.9310923128300338E-2</v>
      </c>
      <c r="H5419" s="35"/>
      <c r="P5419" s="6"/>
    </row>
    <row r="5420" spans="1:16" ht="14.4" x14ac:dyDescent="0.25">
      <c r="A5420" s="6">
        <v>4565</v>
      </c>
      <c r="B5420" s="6">
        <v>32455</v>
      </c>
      <c r="C5420" s="19">
        <v>40444</v>
      </c>
      <c r="D5420" s="6" t="s">
        <v>17</v>
      </c>
      <c r="E5420" s="6">
        <f>IF((ISBLANK($B$1)),"",Sheet1!Q5431)</f>
        <v>5550</v>
      </c>
      <c r="F5420" s="20" t="s">
        <v>27</v>
      </c>
      <c r="G5420" s="53">
        <f t="shared" si="85"/>
        <v>1.2031220549314123</v>
      </c>
      <c r="H5420" s="35"/>
      <c r="P5420" s="6"/>
    </row>
    <row r="5421" spans="1:16" ht="14.4" x14ac:dyDescent="0.25">
      <c r="A5421" s="6">
        <v>4566</v>
      </c>
      <c r="B5421" s="6">
        <v>32484</v>
      </c>
      <c r="C5421" s="19">
        <v>40578</v>
      </c>
      <c r="D5421" s="6" t="s">
        <v>28</v>
      </c>
      <c r="E5421" s="6">
        <f>IF((ISBLANK($B$1)),"",Sheet1!Q5432)</f>
        <v>3850</v>
      </c>
      <c r="F5421" s="20" t="s">
        <v>29</v>
      </c>
      <c r="G5421" s="53">
        <f t="shared" si="85"/>
        <v>-1.1445002086748115</v>
      </c>
      <c r="H5421" s="35"/>
      <c r="P5421" s="6"/>
    </row>
    <row r="5422" spans="1:16" ht="14.4" x14ac:dyDescent="0.25">
      <c r="A5422" s="6">
        <v>4835</v>
      </c>
      <c r="B5422" s="6">
        <v>34402</v>
      </c>
      <c r="C5422" s="19">
        <v>40300</v>
      </c>
      <c r="D5422" s="6" t="s">
        <v>17</v>
      </c>
      <c r="E5422" s="6">
        <f>IF((ISBLANK($B$1)),"",Sheet1!Q5433)</f>
        <v>5300</v>
      </c>
      <c r="F5422" s="20" t="s">
        <v>26</v>
      </c>
      <c r="G5422" s="53">
        <f t="shared" si="85"/>
        <v>0.85788348675402637</v>
      </c>
      <c r="H5422" s="35"/>
      <c r="P5422" s="6"/>
    </row>
    <row r="5423" spans="1:16" ht="14.4" x14ac:dyDescent="0.25">
      <c r="A5423" s="6">
        <v>4836</v>
      </c>
      <c r="B5423" s="6">
        <v>34402</v>
      </c>
      <c r="C5423" s="19">
        <v>40300</v>
      </c>
      <c r="D5423" s="6" t="s">
        <v>17</v>
      </c>
      <c r="E5423" s="6">
        <f>IF((ISBLANK($B$1)),"",Sheet1!Q5434)</f>
        <v>3950</v>
      </c>
      <c r="F5423" s="20" t="s">
        <v>26</v>
      </c>
      <c r="G5423" s="53">
        <f t="shared" si="85"/>
        <v>-1.0064047814038573</v>
      </c>
      <c r="H5423" s="35"/>
      <c r="P5423" s="6"/>
    </row>
    <row r="5424" spans="1:16" ht="14.4" x14ac:dyDescent="0.25">
      <c r="A5424" s="6">
        <v>4880</v>
      </c>
      <c r="B5424" s="6">
        <v>34723</v>
      </c>
      <c r="C5424" s="19">
        <v>41252</v>
      </c>
      <c r="D5424" s="6" t="s">
        <v>16</v>
      </c>
      <c r="E5424" s="6">
        <f>IF((ISBLANK($B$1)),"",Sheet1!Q5435)</f>
        <v>3600</v>
      </c>
      <c r="F5424" s="20" t="s">
        <v>27</v>
      </c>
      <c r="G5424" s="53">
        <f t="shared" si="85"/>
        <v>-1.4897387768521975</v>
      </c>
      <c r="H5424" s="35"/>
      <c r="P5424" s="6"/>
    </row>
    <row r="5425" spans="1:16" ht="14.4" x14ac:dyDescent="0.25">
      <c r="A5425" s="6">
        <v>4881</v>
      </c>
      <c r="B5425" s="6">
        <v>34723</v>
      </c>
      <c r="C5425" s="19">
        <v>41252</v>
      </c>
      <c r="D5425" s="6" t="s">
        <v>16</v>
      </c>
      <c r="E5425" s="6">
        <f>IF((ISBLANK($B$1)),"",Sheet1!Q5436)</f>
        <v>5700</v>
      </c>
      <c r="F5425" s="20" t="s">
        <v>27</v>
      </c>
      <c r="G5425" s="53">
        <f t="shared" si="85"/>
        <v>1.4102651958378438</v>
      </c>
      <c r="H5425" s="35"/>
      <c r="P5425" s="6"/>
    </row>
    <row r="5426" spans="1:16" ht="14.4" x14ac:dyDescent="0.25">
      <c r="A5426" s="6">
        <v>4882</v>
      </c>
      <c r="B5426" s="6">
        <v>34723</v>
      </c>
      <c r="C5426" s="19">
        <v>41252</v>
      </c>
      <c r="D5426" s="6" t="s">
        <v>16</v>
      </c>
      <c r="E5426" s="6">
        <f>IF((ISBLANK($B$1)),"",Sheet1!Q5437)</f>
        <v>4850</v>
      </c>
      <c r="F5426" s="20" t="s">
        <v>27</v>
      </c>
      <c r="G5426" s="53">
        <f t="shared" si="85"/>
        <v>0.23645406403473185</v>
      </c>
      <c r="H5426" s="35"/>
      <c r="P5426" s="6"/>
    </row>
    <row r="5427" spans="1:16" ht="14.4" x14ac:dyDescent="0.25">
      <c r="A5427" s="6">
        <v>4887</v>
      </c>
      <c r="B5427" s="6">
        <v>34757</v>
      </c>
      <c r="C5427" s="19">
        <v>41057</v>
      </c>
      <c r="D5427" s="6" t="s">
        <v>17</v>
      </c>
      <c r="E5427" s="6">
        <f>IF((ISBLANK($B$1)),"",Sheet1!Q5438)</f>
        <v>5400</v>
      </c>
      <c r="F5427" s="20" t="s">
        <v>26</v>
      </c>
      <c r="G5427" s="53">
        <f t="shared" si="85"/>
        <v>0.99597891402498073</v>
      </c>
      <c r="H5427" s="35"/>
      <c r="P5427" s="6"/>
    </row>
    <row r="5428" spans="1:16" ht="14.4" x14ac:dyDescent="0.25">
      <c r="A5428" s="6">
        <v>4905</v>
      </c>
      <c r="B5428" s="6">
        <v>34913</v>
      </c>
      <c r="C5428" s="19">
        <v>40869</v>
      </c>
      <c r="D5428" s="6" t="s">
        <v>16</v>
      </c>
      <c r="E5428" s="6">
        <f>IF((ISBLANK($B$1)),"",Sheet1!Q5439)</f>
        <v>4150</v>
      </c>
      <c r="F5428" s="20" t="s">
        <v>26</v>
      </c>
      <c r="G5428" s="53">
        <f t="shared" si="85"/>
        <v>-0.73021392686194853</v>
      </c>
      <c r="H5428" s="35"/>
      <c r="P5428" s="6"/>
    </row>
    <row r="5429" spans="1:16" ht="14.4" x14ac:dyDescent="0.25">
      <c r="A5429" s="6">
        <v>4938</v>
      </c>
      <c r="B5429" s="6">
        <v>35136</v>
      </c>
      <c r="C5429" s="19">
        <v>40094</v>
      </c>
      <c r="D5429" s="6" t="s">
        <v>30</v>
      </c>
      <c r="E5429" s="6">
        <f>IF((ISBLANK($B$1)),"",Sheet1!Q5440)</f>
        <v>4550</v>
      </c>
      <c r="F5429" s="20" t="s">
        <v>26</v>
      </c>
      <c r="G5429" s="53">
        <f t="shared" si="85"/>
        <v>-0.17783221777813119</v>
      </c>
      <c r="H5429" s="35"/>
      <c r="P5429" s="6"/>
    </row>
    <row r="5430" spans="1:16" ht="14.4" x14ac:dyDescent="0.25">
      <c r="A5430" s="6">
        <v>4961</v>
      </c>
      <c r="B5430" s="6">
        <v>35299</v>
      </c>
      <c r="C5430" s="19">
        <v>41131</v>
      </c>
      <c r="D5430" s="6" t="s">
        <v>28</v>
      </c>
      <c r="E5430" s="6">
        <f>IF((ISBLANK($B$1)),"",Sheet1!Q5441)</f>
        <v>5450</v>
      </c>
      <c r="F5430" s="20" t="s">
        <v>27</v>
      </c>
      <c r="G5430" s="53">
        <f t="shared" si="85"/>
        <v>1.0650266276604579</v>
      </c>
      <c r="H5430" s="35"/>
      <c r="P5430" s="6"/>
    </row>
    <row r="5431" spans="1:16" ht="14.4" x14ac:dyDescent="0.25">
      <c r="A5431" s="6">
        <v>5145</v>
      </c>
      <c r="B5431" s="6">
        <v>36676</v>
      </c>
      <c r="C5431" s="19">
        <v>40780</v>
      </c>
      <c r="D5431" s="6" t="s">
        <v>28</v>
      </c>
      <c r="E5431" s="6">
        <f>IF((ISBLANK($B$1)),"",Sheet1!Q5442)</f>
        <v>5000</v>
      </c>
      <c r="F5431" s="20" t="s">
        <v>27</v>
      </c>
      <c r="G5431" s="53">
        <f t="shared" si="85"/>
        <v>0.44359720494116334</v>
      </c>
      <c r="H5431" s="35"/>
      <c r="P5431" s="6"/>
    </row>
    <row r="5432" spans="1:16" ht="14.4" x14ac:dyDescent="0.25">
      <c r="A5432" s="6">
        <v>5146</v>
      </c>
      <c r="B5432" s="6">
        <v>36676</v>
      </c>
      <c r="C5432" s="19">
        <v>40780</v>
      </c>
      <c r="D5432" s="6" t="s">
        <v>28</v>
      </c>
      <c r="E5432" s="6">
        <f>IF((ISBLANK($B$1)),"",Sheet1!Q5443)</f>
        <v>4150</v>
      </c>
      <c r="F5432" s="20" t="s">
        <v>26</v>
      </c>
      <c r="G5432" s="53">
        <f t="shared" si="85"/>
        <v>-0.73021392686194853</v>
      </c>
      <c r="H5432" s="35"/>
      <c r="P5432" s="6"/>
    </row>
    <row r="5433" spans="1:16" ht="14.4" x14ac:dyDescent="0.25">
      <c r="A5433" s="6">
        <v>5155</v>
      </c>
      <c r="B5433" s="6">
        <v>36708</v>
      </c>
      <c r="C5433" s="19">
        <v>40805</v>
      </c>
      <c r="D5433" s="6" t="s">
        <v>28</v>
      </c>
      <c r="E5433" s="6">
        <f>IF((ISBLANK($B$1)),"",Sheet1!Q5444)</f>
        <v>5700</v>
      </c>
      <c r="F5433" s="20" t="s">
        <v>27</v>
      </c>
      <c r="G5433" s="53">
        <f t="shared" si="85"/>
        <v>1.4102651958378438</v>
      </c>
      <c r="H5433" s="35"/>
      <c r="P5433" s="6"/>
    </row>
    <row r="5434" spans="1:16" ht="14.4" x14ac:dyDescent="0.25">
      <c r="A5434" s="6">
        <v>5156</v>
      </c>
      <c r="B5434" s="6">
        <v>36708</v>
      </c>
      <c r="C5434" s="19">
        <v>40805</v>
      </c>
      <c r="D5434" s="6" t="s">
        <v>28</v>
      </c>
      <c r="E5434" s="6">
        <f>IF((ISBLANK($B$1)),"",Sheet1!Q5445)</f>
        <v>4650</v>
      </c>
      <c r="F5434" s="20" t="s">
        <v>27</v>
      </c>
      <c r="G5434" s="53">
        <f t="shared" si="85"/>
        <v>-3.9736790507176829E-2</v>
      </c>
      <c r="H5434" s="35"/>
      <c r="P5434" s="6"/>
    </row>
    <row r="5435" spans="1:16" ht="14.4" x14ac:dyDescent="0.25">
      <c r="A5435" s="6">
        <v>5181</v>
      </c>
      <c r="B5435" s="6">
        <v>36835</v>
      </c>
      <c r="C5435" s="19">
        <v>40106</v>
      </c>
      <c r="D5435" s="6" t="s">
        <v>30</v>
      </c>
      <c r="E5435" s="6">
        <f>IF((ISBLANK($B$1)),"",Sheet1!Q5446)</f>
        <v>5350</v>
      </c>
      <c r="F5435" s="20" t="s">
        <v>26</v>
      </c>
      <c r="G5435" s="53">
        <f t="shared" si="85"/>
        <v>0.92693120038950361</v>
      </c>
      <c r="H5435" s="35"/>
      <c r="P5435" s="6"/>
    </row>
    <row r="5436" spans="1:16" ht="14.4" x14ac:dyDescent="0.25">
      <c r="A5436" s="6">
        <v>5182</v>
      </c>
      <c r="B5436" s="6">
        <v>36835</v>
      </c>
      <c r="C5436" s="19">
        <v>40106</v>
      </c>
      <c r="D5436" s="6" t="s">
        <v>30</v>
      </c>
      <c r="E5436" s="6">
        <f>IF((ISBLANK($B$1)),"",Sheet1!Q5447)</f>
        <v>4650</v>
      </c>
      <c r="F5436" s="20" t="s">
        <v>29</v>
      </c>
      <c r="G5436" s="53">
        <f t="shared" si="85"/>
        <v>-3.9736790507176829E-2</v>
      </c>
      <c r="H5436" s="35"/>
      <c r="P5436" s="6"/>
    </row>
    <row r="5437" spans="1:16" ht="14.4" x14ac:dyDescent="0.25">
      <c r="A5437" s="6">
        <v>5183</v>
      </c>
      <c r="B5437" s="6">
        <v>36835</v>
      </c>
      <c r="C5437" s="19">
        <v>40106</v>
      </c>
      <c r="D5437" s="6" t="s">
        <v>30</v>
      </c>
      <c r="E5437" s="6">
        <f>IF((ISBLANK($B$1)),"",Sheet1!Q5448)</f>
        <v>4300</v>
      </c>
      <c r="F5437" s="20" t="s">
        <v>29</v>
      </c>
      <c r="G5437" s="53">
        <f t="shared" si="85"/>
        <v>-0.52307078595551704</v>
      </c>
      <c r="H5437" s="35"/>
      <c r="P5437" s="6"/>
    </row>
    <row r="5438" spans="1:16" ht="14.4" x14ac:dyDescent="0.25">
      <c r="A5438" s="6">
        <v>5218</v>
      </c>
      <c r="B5438" s="6">
        <v>37127</v>
      </c>
      <c r="C5438" s="19">
        <v>40453</v>
      </c>
      <c r="D5438" s="6" t="s">
        <v>17</v>
      </c>
      <c r="E5438" s="6">
        <f>IF((ISBLANK($B$1)),"",Sheet1!Q5449)</f>
        <v>4350</v>
      </c>
      <c r="F5438" s="20" t="s">
        <v>26</v>
      </c>
      <c r="G5438" s="53">
        <f t="shared" si="85"/>
        <v>-0.45402307232003986</v>
      </c>
      <c r="H5438" s="35"/>
      <c r="P5438" s="6"/>
    </row>
    <row r="5439" spans="1:16" ht="14.4" x14ac:dyDescent="0.25">
      <c r="A5439" s="6">
        <v>5288</v>
      </c>
      <c r="B5439" s="6">
        <v>37667</v>
      </c>
      <c r="C5439" s="19">
        <v>40879</v>
      </c>
      <c r="D5439" s="6" t="s">
        <v>17</v>
      </c>
      <c r="E5439" s="6">
        <f>IF((ISBLANK($B$1)),"",Sheet1!Q5450)</f>
        <v>4950</v>
      </c>
      <c r="F5439" s="20" t="s">
        <v>26</v>
      </c>
      <c r="G5439" s="53">
        <f t="shared" si="85"/>
        <v>0.37454949130568621</v>
      </c>
      <c r="H5439" s="35"/>
      <c r="P5439" s="6"/>
    </row>
    <row r="5440" spans="1:16" ht="14.4" x14ac:dyDescent="0.25">
      <c r="A5440" s="6">
        <v>5316</v>
      </c>
      <c r="B5440" s="6">
        <v>37825</v>
      </c>
      <c r="C5440" s="19">
        <v>40016</v>
      </c>
      <c r="D5440" s="6" t="s">
        <v>25</v>
      </c>
      <c r="E5440" s="6">
        <f>IF((ISBLANK($B$1)),"",Sheet1!Q5451)</f>
        <v>5600</v>
      </c>
      <c r="F5440" s="20" t="s">
        <v>26</v>
      </c>
      <c r="G5440" s="53">
        <f t="shared" si="85"/>
        <v>1.2721697685668893</v>
      </c>
      <c r="H5440" s="35"/>
      <c r="P5440" s="6"/>
    </row>
    <row r="5441" spans="1:16" ht="14.4" x14ac:dyDescent="0.25">
      <c r="A5441" s="6">
        <v>5317</v>
      </c>
      <c r="B5441" s="6">
        <v>37825</v>
      </c>
      <c r="C5441" s="19">
        <v>40016</v>
      </c>
      <c r="D5441" s="6" t="s">
        <v>25</v>
      </c>
      <c r="E5441" s="6">
        <f>IF((ISBLANK($B$1)),"",Sheet1!Q5452)</f>
        <v>5450</v>
      </c>
      <c r="F5441" s="20" t="s">
        <v>26</v>
      </c>
      <c r="G5441" s="53">
        <f t="shared" si="85"/>
        <v>1.0650266276604579</v>
      </c>
      <c r="H5441" s="35"/>
      <c r="P5441" s="6"/>
    </row>
    <row r="5442" spans="1:16" ht="14.4" x14ac:dyDescent="0.25">
      <c r="A5442" s="6">
        <v>5326</v>
      </c>
      <c r="B5442" s="6">
        <v>37861</v>
      </c>
      <c r="C5442" s="19">
        <v>40905</v>
      </c>
      <c r="D5442" s="6" t="s">
        <v>28</v>
      </c>
      <c r="E5442" s="6">
        <f>IF((ISBLANK($B$1)),"",Sheet1!Q5453)</f>
        <v>5000</v>
      </c>
      <c r="F5442" s="20" t="s">
        <v>26</v>
      </c>
      <c r="G5442" s="53">
        <f t="shared" si="85"/>
        <v>0.44359720494116334</v>
      </c>
      <c r="H5442" s="35"/>
      <c r="P5442" s="6"/>
    </row>
    <row r="5443" spans="1:16" ht="14.4" x14ac:dyDescent="0.25">
      <c r="A5443" s="6">
        <v>5342</v>
      </c>
      <c r="B5443" s="6">
        <v>37926</v>
      </c>
      <c r="C5443" s="19">
        <v>40064</v>
      </c>
      <c r="D5443" s="6" t="s">
        <v>30</v>
      </c>
      <c r="E5443" s="6">
        <f>IF((ISBLANK($B$1)),"",Sheet1!Q5454)</f>
        <v>4950</v>
      </c>
      <c r="F5443" s="20" t="s">
        <v>26</v>
      </c>
      <c r="G5443" s="53">
        <f t="shared" si="85"/>
        <v>0.37454949130568621</v>
      </c>
      <c r="H5443" s="35"/>
      <c r="P5443" s="6"/>
    </row>
    <row r="5444" spans="1:16" ht="14.4" x14ac:dyDescent="0.25">
      <c r="A5444" s="6">
        <v>5385</v>
      </c>
      <c r="B5444" s="6">
        <v>38304</v>
      </c>
      <c r="C5444" s="19">
        <v>40624</v>
      </c>
      <c r="D5444" s="6" t="s">
        <v>17</v>
      </c>
      <c r="E5444" s="6">
        <f>IF((ISBLANK($B$1)),"",Sheet1!Q5455)</f>
        <v>3750</v>
      </c>
      <c r="F5444" s="20" t="s">
        <v>26</v>
      </c>
      <c r="G5444" s="53">
        <f t="shared" si="85"/>
        <v>-1.282595635945766</v>
      </c>
      <c r="H5444" s="35"/>
      <c r="P5444" s="6"/>
    </row>
    <row r="5445" spans="1:16" ht="14.4" x14ac:dyDescent="0.25">
      <c r="A5445" s="6">
        <v>5495</v>
      </c>
      <c r="B5445" s="6">
        <v>38978</v>
      </c>
      <c r="C5445" s="19">
        <v>40028</v>
      </c>
      <c r="D5445" s="6" t="s">
        <v>25</v>
      </c>
      <c r="E5445" s="6">
        <f>IF((ISBLANK($B$1)),"",Sheet1!Q5456)</f>
        <v>4600</v>
      </c>
      <c r="F5445" s="20" t="s">
        <v>29</v>
      </c>
      <c r="G5445" s="53">
        <f t="shared" si="85"/>
        <v>-0.108784504142654</v>
      </c>
      <c r="H5445" s="35"/>
      <c r="P5445" s="6"/>
    </row>
    <row r="5446" spans="1:16" ht="14.4" x14ac:dyDescent="0.25">
      <c r="A5446" s="6">
        <v>5543</v>
      </c>
      <c r="B5446" s="6">
        <v>39267</v>
      </c>
      <c r="C5446" s="19">
        <v>40196</v>
      </c>
      <c r="D5446" s="6" t="s">
        <v>17</v>
      </c>
      <c r="E5446" s="6">
        <f>IF((ISBLANK($B$1)),"",Sheet1!Q5457)</f>
        <v>4700</v>
      </c>
      <c r="F5446" s="20" t="s">
        <v>29</v>
      </c>
      <c r="G5446" s="53">
        <f t="shared" si="85"/>
        <v>2.9310923128300338E-2</v>
      </c>
      <c r="H5446" s="35"/>
      <c r="P5446" s="6"/>
    </row>
    <row r="5447" spans="1:16" ht="14.4" x14ac:dyDescent="0.25">
      <c r="A5447" s="6">
        <v>5544</v>
      </c>
      <c r="B5447" s="6">
        <v>39267</v>
      </c>
      <c r="C5447" s="19">
        <v>40196</v>
      </c>
      <c r="D5447" s="6" t="s">
        <v>17</v>
      </c>
      <c r="E5447" s="6">
        <f>IF((ISBLANK($B$1)),"",Sheet1!Q5458)</f>
        <v>5700</v>
      </c>
      <c r="F5447" s="20" t="s">
        <v>26</v>
      </c>
      <c r="G5447" s="53">
        <f t="shared" si="85"/>
        <v>1.4102651958378438</v>
      </c>
      <c r="H5447" s="35"/>
      <c r="P5447" s="6"/>
    </row>
    <row r="5448" spans="1:16" ht="14.4" x14ac:dyDescent="0.25">
      <c r="A5448" s="6">
        <v>5738</v>
      </c>
      <c r="B5448" s="6">
        <v>40772</v>
      </c>
      <c r="C5448" s="19">
        <v>40952</v>
      </c>
      <c r="D5448" s="6" t="s">
        <v>30</v>
      </c>
      <c r="E5448" s="6">
        <f>IF((ISBLANK($B$1)),"",Sheet1!Q5459)</f>
        <v>4150</v>
      </c>
      <c r="F5448" s="20" t="s">
        <v>26</v>
      </c>
      <c r="G5448" s="53">
        <f t="shared" ref="G5448:G5511" si="86">STANDARDIZE(E5448,$L$26,$L$35)</f>
        <v>-0.73021392686194853</v>
      </c>
      <c r="H5448" s="35"/>
      <c r="P5448" s="6"/>
    </row>
    <row r="5449" spans="1:16" ht="14.4" x14ac:dyDescent="0.25">
      <c r="A5449" s="6">
        <v>5765</v>
      </c>
      <c r="B5449" s="6">
        <v>40928</v>
      </c>
      <c r="C5449" s="19">
        <v>40068</v>
      </c>
      <c r="D5449" s="6" t="s">
        <v>25</v>
      </c>
      <c r="E5449" s="6">
        <f>IF((ISBLANK($B$1)),"",Sheet1!Q5460)</f>
        <v>3600</v>
      </c>
      <c r="F5449" s="20" t="s">
        <v>27</v>
      </c>
      <c r="G5449" s="53">
        <f t="shared" si="86"/>
        <v>-1.4897387768521975</v>
      </c>
      <c r="H5449" s="35"/>
      <c r="P5449" s="6"/>
    </row>
    <row r="5450" spans="1:16" ht="14.4" x14ac:dyDescent="0.25">
      <c r="A5450" s="6">
        <v>5812</v>
      </c>
      <c r="B5450" s="6">
        <v>41216</v>
      </c>
      <c r="C5450" s="19">
        <v>39995</v>
      </c>
      <c r="D5450" s="6" t="s">
        <v>28</v>
      </c>
      <c r="E5450" s="6">
        <f>IF((ISBLANK($B$1)),"",Sheet1!Q5461)</f>
        <v>3800</v>
      </c>
      <c r="F5450" s="20" t="s">
        <v>26</v>
      </c>
      <c r="G5450" s="53">
        <f t="shared" si="86"/>
        <v>-1.2135479223102887</v>
      </c>
      <c r="H5450" s="35"/>
      <c r="P5450" s="6"/>
    </row>
    <row r="5451" spans="1:16" ht="14.4" x14ac:dyDescent="0.25">
      <c r="A5451" s="6">
        <v>5813</v>
      </c>
      <c r="B5451" s="6">
        <v>41216</v>
      </c>
      <c r="C5451" s="19">
        <v>39995</v>
      </c>
      <c r="D5451" s="6" t="s">
        <v>28</v>
      </c>
      <c r="E5451" s="6">
        <f>IF((ISBLANK($B$1)),"",Sheet1!Q5462)</f>
        <v>5650</v>
      </c>
      <c r="F5451" s="20" t="s">
        <v>29</v>
      </c>
      <c r="G5451" s="53">
        <f t="shared" si="86"/>
        <v>1.3412174822023666</v>
      </c>
      <c r="H5451" s="35"/>
      <c r="P5451" s="6"/>
    </row>
    <row r="5452" spans="1:16" ht="14.4" x14ac:dyDescent="0.25">
      <c r="A5452" s="6">
        <v>5966</v>
      </c>
      <c r="B5452" s="6">
        <v>42310</v>
      </c>
      <c r="C5452" s="19">
        <v>40015</v>
      </c>
      <c r="D5452" s="6" t="s">
        <v>30</v>
      </c>
      <c r="E5452" s="6">
        <f>IF((ISBLANK($B$1)),"",Sheet1!Q5463)</f>
        <v>4400</v>
      </c>
      <c r="F5452" s="20" t="s">
        <v>27</v>
      </c>
      <c r="G5452" s="53">
        <f t="shared" si="86"/>
        <v>-0.38497535868456267</v>
      </c>
      <c r="H5452" s="35"/>
      <c r="P5452" s="6"/>
    </row>
    <row r="5453" spans="1:16" ht="14.4" x14ac:dyDescent="0.25">
      <c r="A5453" s="6">
        <v>5983</v>
      </c>
      <c r="B5453" s="6">
        <v>42403</v>
      </c>
      <c r="C5453" s="19">
        <v>39984</v>
      </c>
      <c r="D5453" s="6" t="s">
        <v>28</v>
      </c>
      <c r="E5453" s="6">
        <f>IF((ISBLANK($B$1)),"",Sheet1!Q5464)</f>
        <v>5300</v>
      </c>
      <c r="F5453" s="20" t="s">
        <v>26</v>
      </c>
      <c r="G5453" s="53">
        <f t="shared" si="86"/>
        <v>0.85788348675402637</v>
      </c>
      <c r="H5453" s="35"/>
      <c r="P5453" s="6"/>
    </row>
    <row r="5454" spans="1:16" ht="14.4" x14ac:dyDescent="0.25">
      <c r="A5454" s="6">
        <v>5984</v>
      </c>
      <c r="B5454" s="6">
        <v>42403</v>
      </c>
      <c r="C5454" s="19">
        <v>39984</v>
      </c>
      <c r="D5454" s="6" t="s">
        <v>28</v>
      </c>
      <c r="E5454" s="6">
        <f>IF((ISBLANK($B$1)),"",Sheet1!Q5465)</f>
        <v>5750</v>
      </c>
      <c r="F5454" s="20" t="s">
        <v>26</v>
      </c>
      <c r="G5454" s="53">
        <f t="shared" si="86"/>
        <v>1.4793129094733208</v>
      </c>
      <c r="H5454" s="35"/>
      <c r="P5454" s="6"/>
    </row>
    <row r="5455" spans="1:16" ht="14.4" x14ac:dyDescent="0.25">
      <c r="A5455" s="6">
        <v>6089</v>
      </c>
      <c r="B5455" s="6">
        <v>43138</v>
      </c>
      <c r="C5455" s="19">
        <v>40982</v>
      </c>
      <c r="D5455" s="6" t="s">
        <v>25</v>
      </c>
      <c r="E5455" s="6">
        <f>IF((ISBLANK($B$1)),"",Sheet1!Q5466)</f>
        <v>5550</v>
      </c>
      <c r="F5455" s="20" t="s">
        <v>26</v>
      </c>
      <c r="G5455" s="53">
        <f t="shared" si="86"/>
        <v>1.2031220549314123</v>
      </c>
      <c r="H5455" s="35"/>
      <c r="P5455" s="6"/>
    </row>
    <row r="5456" spans="1:16" ht="14.4" x14ac:dyDescent="0.25">
      <c r="A5456" s="6">
        <v>6090</v>
      </c>
      <c r="B5456" s="6">
        <v>43138</v>
      </c>
      <c r="C5456" s="19">
        <v>40982</v>
      </c>
      <c r="D5456" s="6" t="s">
        <v>25</v>
      </c>
      <c r="E5456" s="6">
        <f>IF((ISBLANK($B$1)),"",Sheet1!Q5467)</f>
        <v>5900</v>
      </c>
      <c r="F5456" s="20" t="s">
        <v>29</v>
      </c>
      <c r="G5456" s="53">
        <f t="shared" si="86"/>
        <v>1.6864560503797523</v>
      </c>
      <c r="H5456" s="35"/>
      <c r="P5456" s="6"/>
    </row>
    <row r="5457" spans="1:16" ht="14.4" x14ac:dyDescent="0.25">
      <c r="A5457" s="6">
        <v>6098</v>
      </c>
      <c r="B5457" s="6">
        <v>43206</v>
      </c>
      <c r="C5457" s="19">
        <v>40048</v>
      </c>
      <c r="D5457" s="6" t="s">
        <v>16</v>
      </c>
      <c r="E5457" s="6">
        <f>IF((ISBLANK($B$1)),"",Sheet1!Q5468)</f>
        <v>4200</v>
      </c>
      <c r="F5457" s="20" t="s">
        <v>27</v>
      </c>
      <c r="G5457" s="53">
        <f t="shared" si="86"/>
        <v>-0.6611662132264714</v>
      </c>
      <c r="H5457" s="35"/>
      <c r="P5457" s="6"/>
    </row>
    <row r="5458" spans="1:16" ht="14.4" x14ac:dyDescent="0.25">
      <c r="A5458" s="6">
        <v>6099</v>
      </c>
      <c r="B5458" s="6">
        <v>43207</v>
      </c>
      <c r="C5458" s="19">
        <v>40338</v>
      </c>
      <c r="D5458" s="6" t="s">
        <v>25</v>
      </c>
      <c r="E5458" s="6">
        <f>IF((ISBLANK($B$1)),"",Sheet1!Q5469)</f>
        <v>5650</v>
      </c>
      <c r="F5458" s="20" t="s">
        <v>29</v>
      </c>
      <c r="G5458" s="53">
        <f t="shared" si="86"/>
        <v>1.3412174822023666</v>
      </c>
      <c r="H5458" s="35"/>
      <c r="P5458" s="6"/>
    </row>
    <row r="5459" spans="1:16" ht="14.4" x14ac:dyDescent="0.25">
      <c r="A5459" s="6">
        <v>6100</v>
      </c>
      <c r="B5459" s="6">
        <v>43207</v>
      </c>
      <c r="C5459" s="19">
        <v>40338</v>
      </c>
      <c r="D5459" s="6" t="s">
        <v>25</v>
      </c>
      <c r="E5459" s="6">
        <f>IF((ISBLANK($B$1)),"",Sheet1!Q5470)</f>
        <v>5450</v>
      </c>
      <c r="F5459" s="20" t="s">
        <v>26</v>
      </c>
      <c r="G5459" s="53">
        <f t="shared" si="86"/>
        <v>1.0650266276604579</v>
      </c>
      <c r="H5459" s="35"/>
      <c r="P5459" s="6"/>
    </row>
    <row r="5460" spans="1:16" ht="14.4" x14ac:dyDescent="0.25">
      <c r="A5460" s="6">
        <v>6101</v>
      </c>
      <c r="B5460" s="6">
        <v>43207</v>
      </c>
      <c r="C5460" s="19">
        <v>40338</v>
      </c>
      <c r="D5460" s="6" t="s">
        <v>25</v>
      </c>
      <c r="E5460" s="6">
        <f>IF((ISBLANK($B$1)),"",Sheet1!Q5471)</f>
        <v>3800</v>
      </c>
      <c r="F5460" s="20" t="s">
        <v>26</v>
      </c>
      <c r="G5460" s="53">
        <f t="shared" si="86"/>
        <v>-1.2135479223102887</v>
      </c>
      <c r="H5460" s="35"/>
      <c r="P5460" s="6"/>
    </row>
    <row r="5461" spans="1:16" ht="14.4" x14ac:dyDescent="0.25">
      <c r="A5461" s="6">
        <v>6160</v>
      </c>
      <c r="B5461" s="6">
        <v>43650</v>
      </c>
      <c r="C5461" s="19">
        <v>39895</v>
      </c>
      <c r="D5461" s="6" t="s">
        <v>28</v>
      </c>
      <c r="E5461" s="6">
        <f>IF((ISBLANK($B$1)),"",Sheet1!Q5472)</f>
        <v>3550</v>
      </c>
      <c r="F5461" s="20" t="s">
        <v>27</v>
      </c>
      <c r="G5461" s="53">
        <f t="shared" si="86"/>
        <v>-1.5587864904876745</v>
      </c>
      <c r="H5461" s="35"/>
      <c r="P5461" s="6"/>
    </row>
    <row r="5462" spans="1:16" ht="14.4" x14ac:dyDescent="0.25">
      <c r="A5462" s="6">
        <v>6161</v>
      </c>
      <c r="B5462" s="6">
        <v>43650</v>
      </c>
      <c r="C5462" s="19">
        <v>39895</v>
      </c>
      <c r="D5462" s="6" t="s">
        <v>28</v>
      </c>
      <c r="E5462" s="6">
        <f>IF((ISBLANK($B$1)),"",Sheet1!Q5473)</f>
        <v>3750</v>
      </c>
      <c r="F5462" s="20" t="s">
        <v>26</v>
      </c>
      <c r="G5462" s="53">
        <f t="shared" si="86"/>
        <v>-1.282595635945766</v>
      </c>
      <c r="H5462" s="35"/>
      <c r="P5462" s="6"/>
    </row>
    <row r="5463" spans="1:16" ht="14.4" x14ac:dyDescent="0.25">
      <c r="A5463" s="6">
        <v>6253</v>
      </c>
      <c r="B5463" s="6">
        <v>44290</v>
      </c>
      <c r="C5463" s="19">
        <v>40258</v>
      </c>
      <c r="D5463" s="6" t="s">
        <v>16</v>
      </c>
      <c r="E5463" s="6">
        <f>IF((ISBLANK($B$1)),"",Sheet1!Q5474)</f>
        <v>5850</v>
      </c>
      <c r="F5463" s="20" t="s">
        <v>29</v>
      </c>
      <c r="G5463" s="53">
        <f t="shared" si="86"/>
        <v>1.6174083367442753</v>
      </c>
      <c r="H5463" s="35"/>
      <c r="P5463" s="6"/>
    </row>
    <row r="5464" spans="1:16" ht="14.4" x14ac:dyDescent="0.25">
      <c r="A5464" s="6">
        <v>6254</v>
      </c>
      <c r="B5464" s="6">
        <v>44290</v>
      </c>
      <c r="C5464" s="19">
        <v>40258</v>
      </c>
      <c r="D5464" s="6" t="s">
        <v>16</v>
      </c>
      <c r="E5464" s="6">
        <f>IF((ISBLANK($B$1)),"",Sheet1!Q5475)</f>
        <v>4800</v>
      </c>
      <c r="F5464" s="20" t="s">
        <v>26</v>
      </c>
      <c r="G5464" s="53">
        <f t="shared" si="86"/>
        <v>0.16740635039925467</v>
      </c>
      <c r="H5464" s="35"/>
      <c r="P5464" s="6"/>
    </row>
    <row r="5465" spans="1:16" ht="14.4" x14ac:dyDescent="0.25">
      <c r="A5465" s="6">
        <v>6255</v>
      </c>
      <c r="B5465" s="6">
        <v>44290</v>
      </c>
      <c r="C5465" s="19">
        <v>40258</v>
      </c>
      <c r="D5465" s="6" t="s">
        <v>16</v>
      </c>
      <c r="E5465" s="6">
        <f>IF((ISBLANK($B$1)),"",Sheet1!Q5476)</f>
        <v>5450</v>
      </c>
      <c r="F5465" s="20" t="s">
        <v>26</v>
      </c>
      <c r="G5465" s="53">
        <f t="shared" si="86"/>
        <v>1.0650266276604579</v>
      </c>
      <c r="H5465" s="35"/>
      <c r="P5465" s="6"/>
    </row>
    <row r="5466" spans="1:16" ht="14.4" x14ac:dyDescent="0.25">
      <c r="A5466" s="6">
        <v>6304</v>
      </c>
      <c r="B5466" s="6">
        <v>44613</v>
      </c>
      <c r="C5466" s="19">
        <v>40420</v>
      </c>
      <c r="D5466" s="6" t="s">
        <v>17</v>
      </c>
      <c r="E5466" s="6">
        <f>IF((ISBLANK($B$1)),"",Sheet1!Q5477)</f>
        <v>5100</v>
      </c>
      <c r="F5466" s="20" t="s">
        <v>26</v>
      </c>
      <c r="G5466" s="53">
        <f t="shared" si="86"/>
        <v>0.58169263221211776</v>
      </c>
      <c r="H5466" s="35"/>
      <c r="P5466" s="6"/>
    </row>
    <row r="5467" spans="1:16" ht="14.4" x14ac:dyDescent="0.25">
      <c r="A5467" s="6">
        <v>6305</v>
      </c>
      <c r="B5467" s="6">
        <v>44613</v>
      </c>
      <c r="C5467" s="19">
        <v>40420</v>
      </c>
      <c r="D5467" s="6" t="s">
        <v>17</v>
      </c>
      <c r="E5467" s="6">
        <f>IF((ISBLANK($B$1)),"",Sheet1!Q5478)</f>
        <v>4250</v>
      </c>
      <c r="F5467" s="20" t="s">
        <v>27</v>
      </c>
      <c r="G5467" s="53">
        <f t="shared" si="86"/>
        <v>-0.59211849959099416</v>
      </c>
      <c r="H5467" s="35"/>
      <c r="P5467" s="6"/>
    </row>
    <row r="5468" spans="1:16" ht="14.4" x14ac:dyDescent="0.25">
      <c r="A5468" s="6">
        <v>6306</v>
      </c>
      <c r="B5468" s="6">
        <v>44613</v>
      </c>
      <c r="C5468" s="19">
        <v>40420</v>
      </c>
      <c r="D5468" s="6" t="s">
        <v>17</v>
      </c>
      <c r="E5468" s="6">
        <f>IF((ISBLANK($B$1)),"",Sheet1!Q5479)</f>
        <v>5650</v>
      </c>
      <c r="F5468" s="20" t="s">
        <v>26</v>
      </c>
      <c r="G5468" s="53">
        <f t="shared" si="86"/>
        <v>1.3412174822023666</v>
      </c>
      <c r="H5468" s="35"/>
      <c r="P5468" s="6"/>
    </row>
    <row r="5469" spans="1:16" ht="14.4" x14ac:dyDescent="0.25">
      <c r="A5469" s="6">
        <v>6344</v>
      </c>
      <c r="B5469" s="6">
        <v>44965</v>
      </c>
      <c r="C5469" s="19">
        <v>40818</v>
      </c>
      <c r="D5469" s="6" t="s">
        <v>25</v>
      </c>
      <c r="E5469" s="6">
        <f>IF((ISBLANK($B$1)),"",Sheet1!Q5480)</f>
        <v>4350</v>
      </c>
      <c r="F5469" s="20" t="s">
        <v>26</v>
      </c>
      <c r="G5469" s="53">
        <f t="shared" si="86"/>
        <v>-0.45402307232003986</v>
      </c>
      <c r="H5469" s="35"/>
      <c r="P5469" s="6"/>
    </row>
    <row r="5470" spans="1:16" ht="14.4" x14ac:dyDescent="0.25">
      <c r="A5470" s="6">
        <v>6345</v>
      </c>
      <c r="B5470" s="6">
        <v>44965</v>
      </c>
      <c r="C5470" s="19">
        <v>40818</v>
      </c>
      <c r="D5470" s="6" t="s">
        <v>25</v>
      </c>
      <c r="E5470" s="6">
        <f>IF((ISBLANK($B$1)),"",Sheet1!Q5481)</f>
        <v>5650</v>
      </c>
      <c r="F5470" s="20" t="s">
        <v>26</v>
      </c>
      <c r="G5470" s="53">
        <f t="shared" si="86"/>
        <v>1.3412174822023666</v>
      </c>
      <c r="H5470" s="35"/>
      <c r="P5470" s="6"/>
    </row>
    <row r="5471" spans="1:16" ht="14.4" x14ac:dyDescent="0.25">
      <c r="A5471" s="6">
        <v>6435</v>
      </c>
      <c r="B5471" s="6">
        <v>45733</v>
      </c>
      <c r="C5471" s="19">
        <v>40518</v>
      </c>
      <c r="D5471" s="6" t="s">
        <v>30</v>
      </c>
      <c r="E5471" s="6">
        <f>IF((ISBLANK($B$1)),"",Sheet1!Q5482)</f>
        <v>5350</v>
      </c>
      <c r="F5471" s="20" t="s">
        <v>26</v>
      </c>
      <c r="G5471" s="53">
        <f t="shared" si="86"/>
        <v>0.92693120038950361</v>
      </c>
      <c r="H5471" s="35"/>
      <c r="P5471" s="6"/>
    </row>
    <row r="5472" spans="1:16" ht="14.4" x14ac:dyDescent="0.25">
      <c r="A5472" s="6">
        <v>6448</v>
      </c>
      <c r="B5472" s="6">
        <v>45893</v>
      </c>
      <c r="C5472" s="19">
        <v>40689</v>
      </c>
      <c r="D5472" s="6" t="s">
        <v>17</v>
      </c>
      <c r="E5472" s="6">
        <f>IF((ISBLANK($B$1)),"",Sheet1!Q5483)</f>
        <v>4150</v>
      </c>
      <c r="F5472" s="20" t="s">
        <v>26</v>
      </c>
      <c r="G5472" s="53">
        <f t="shared" si="86"/>
        <v>-0.73021392686194853</v>
      </c>
      <c r="H5472" s="35"/>
      <c r="P5472" s="6"/>
    </row>
    <row r="5473" spans="1:16" ht="14.4" x14ac:dyDescent="0.25">
      <c r="A5473" s="6">
        <v>6476</v>
      </c>
      <c r="B5473" s="6">
        <v>46113</v>
      </c>
      <c r="C5473" s="19">
        <v>40149</v>
      </c>
      <c r="D5473" s="6" t="s">
        <v>28</v>
      </c>
      <c r="E5473" s="6">
        <f>IF((ISBLANK($B$1)),"",Sheet1!Q5484)</f>
        <v>4300</v>
      </c>
      <c r="F5473" s="20" t="s">
        <v>29</v>
      </c>
      <c r="G5473" s="53">
        <f t="shared" si="86"/>
        <v>-0.52307078595551704</v>
      </c>
      <c r="H5473" s="35"/>
      <c r="P5473" s="6"/>
    </row>
    <row r="5474" spans="1:16" ht="14.4" x14ac:dyDescent="0.25">
      <c r="A5474" s="6">
        <v>6507</v>
      </c>
      <c r="B5474" s="6">
        <v>46311</v>
      </c>
      <c r="C5474" s="19">
        <v>40749</v>
      </c>
      <c r="D5474" s="6" t="s">
        <v>17</v>
      </c>
      <c r="E5474" s="6">
        <f>IF((ISBLANK($B$1)),"",Sheet1!Q5485)</f>
        <v>5500</v>
      </c>
      <c r="F5474" s="20" t="s">
        <v>27</v>
      </c>
      <c r="G5474" s="53">
        <f t="shared" si="86"/>
        <v>1.1340743412959351</v>
      </c>
      <c r="H5474" s="35"/>
      <c r="P5474" s="6"/>
    </row>
    <row r="5475" spans="1:16" ht="14.4" x14ac:dyDescent="0.25">
      <c r="A5475" s="6">
        <v>6508</v>
      </c>
      <c r="B5475" s="6">
        <v>46311</v>
      </c>
      <c r="C5475" s="19">
        <v>40749</v>
      </c>
      <c r="D5475" s="6" t="s">
        <v>17</v>
      </c>
      <c r="E5475" s="6">
        <f>IF((ISBLANK($B$1)),"",Sheet1!Q5486)</f>
        <v>5500</v>
      </c>
      <c r="F5475" s="20" t="s">
        <v>29</v>
      </c>
      <c r="G5475" s="53">
        <f t="shared" si="86"/>
        <v>1.1340743412959351</v>
      </c>
      <c r="H5475" s="35"/>
      <c r="P5475" s="6"/>
    </row>
    <row r="5476" spans="1:16" ht="14.4" x14ac:dyDescent="0.25">
      <c r="A5476" s="6">
        <v>6509</v>
      </c>
      <c r="B5476" s="6">
        <v>46311</v>
      </c>
      <c r="C5476" s="19">
        <v>40749</v>
      </c>
      <c r="D5476" s="6" t="s">
        <v>17</v>
      </c>
      <c r="E5476" s="6">
        <f>IF((ISBLANK($B$1)),"",Sheet1!Q5487)</f>
        <v>5600</v>
      </c>
      <c r="F5476" s="20" t="s">
        <v>26</v>
      </c>
      <c r="G5476" s="53">
        <f t="shared" si="86"/>
        <v>1.2721697685668893</v>
      </c>
      <c r="H5476" s="35"/>
      <c r="P5476" s="6"/>
    </row>
    <row r="5477" spans="1:16" ht="14.4" x14ac:dyDescent="0.25">
      <c r="A5477" s="6">
        <v>6660</v>
      </c>
      <c r="B5477" s="6">
        <v>47398</v>
      </c>
      <c r="C5477" s="19">
        <v>40711</v>
      </c>
      <c r="D5477" s="6" t="s">
        <v>16</v>
      </c>
      <c r="E5477" s="6">
        <f>IF((ISBLANK($B$1)),"",Sheet1!Q5488)</f>
        <v>3700</v>
      </c>
      <c r="F5477" s="20" t="s">
        <v>29</v>
      </c>
      <c r="G5477" s="53">
        <f t="shared" si="86"/>
        <v>-1.351643349581243</v>
      </c>
      <c r="H5477" s="35"/>
      <c r="P5477" s="6"/>
    </row>
    <row r="5478" spans="1:16" ht="14.4" x14ac:dyDescent="0.25">
      <c r="A5478" s="6">
        <v>6685</v>
      </c>
      <c r="B5478" s="6">
        <v>47554</v>
      </c>
      <c r="C5478" s="19">
        <v>40250</v>
      </c>
      <c r="D5478" s="6" t="s">
        <v>25</v>
      </c>
      <c r="E5478" s="6">
        <f>IF((ISBLANK($B$1)),"",Sheet1!Q5489)</f>
        <v>3850</v>
      </c>
      <c r="F5478" s="20" t="s">
        <v>29</v>
      </c>
      <c r="G5478" s="53">
        <f t="shared" si="86"/>
        <v>-1.1445002086748115</v>
      </c>
      <c r="H5478" s="35"/>
      <c r="P5478" s="6"/>
    </row>
    <row r="5479" spans="1:16" ht="14.4" x14ac:dyDescent="0.25">
      <c r="A5479" s="6">
        <v>6686</v>
      </c>
      <c r="B5479" s="6">
        <v>47554</v>
      </c>
      <c r="C5479" s="19">
        <v>40250</v>
      </c>
      <c r="D5479" s="6" t="s">
        <v>25</v>
      </c>
      <c r="E5479" s="6">
        <f>IF((ISBLANK($B$1)),"",Sheet1!Q5490)</f>
        <v>5750</v>
      </c>
      <c r="F5479" s="20" t="s">
        <v>29</v>
      </c>
      <c r="G5479" s="53">
        <f t="shared" si="86"/>
        <v>1.4793129094733208</v>
      </c>
      <c r="H5479" s="35"/>
      <c r="P5479" s="6"/>
    </row>
    <row r="5480" spans="1:16" ht="14.4" x14ac:dyDescent="0.25">
      <c r="A5480" s="6">
        <v>6757</v>
      </c>
      <c r="B5480" s="6">
        <v>48135</v>
      </c>
      <c r="C5480" s="19">
        <v>39922</v>
      </c>
      <c r="D5480" s="6" t="s">
        <v>17</v>
      </c>
      <c r="E5480" s="6">
        <f>IF((ISBLANK($B$1)),"",Sheet1!Q5491)</f>
        <v>5400</v>
      </c>
      <c r="F5480" s="20" t="s">
        <v>29</v>
      </c>
      <c r="G5480" s="53">
        <f t="shared" si="86"/>
        <v>0.99597891402498073</v>
      </c>
      <c r="H5480" s="35"/>
      <c r="P5480" s="6"/>
    </row>
    <row r="5481" spans="1:16" ht="14.4" x14ac:dyDescent="0.25">
      <c r="A5481" s="6">
        <v>6917</v>
      </c>
      <c r="B5481" s="6">
        <v>49346</v>
      </c>
      <c r="C5481" s="19">
        <v>40668</v>
      </c>
      <c r="D5481" s="6" t="s">
        <v>28</v>
      </c>
      <c r="E5481" s="6">
        <f>IF((ISBLANK($B$1)),"",Sheet1!Q5492)</f>
        <v>3800</v>
      </c>
      <c r="F5481" s="20" t="s">
        <v>29</v>
      </c>
      <c r="G5481" s="53">
        <f t="shared" si="86"/>
        <v>-1.2135479223102887</v>
      </c>
      <c r="H5481" s="35"/>
      <c r="P5481" s="6"/>
    </row>
    <row r="5482" spans="1:16" ht="14.4" x14ac:dyDescent="0.25">
      <c r="A5482" s="6">
        <v>6918</v>
      </c>
      <c r="B5482" s="6">
        <v>49346</v>
      </c>
      <c r="C5482" s="19">
        <v>40668</v>
      </c>
      <c r="D5482" s="6" t="s">
        <v>28</v>
      </c>
      <c r="E5482" s="6">
        <f>IF((ISBLANK($B$1)),"",Sheet1!Q5493)</f>
        <v>5900</v>
      </c>
      <c r="F5482" s="20" t="s">
        <v>26</v>
      </c>
      <c r="G5482" s="53">
        <f t="shared" si="86"/>
        <v>1.6864560503797523</v>
      </c>
      <c r="H5482" s="35"/>
      <c r="P5482" s="6"/>
    </row>
    <row r="5483" spans="1:16" ht="14.4" x14ac:dyDescent="0.25">
      <c r="A5483" s="6">
        <v>6954</v>
      </c>
      <c r="B5483" s="6">
        <v>49735</v>
      </c>
      <c r="C5483" s="19">
        <v>40079</v>
      </c>
      <c r="D5483" s="6" t="s">
        <v>28</v>
      </c>
      <c r="E5483" s="6">
        <f>IF((ISBLANK($B$1)),"",Sheet1!Q5494)</f>
        <v>5000</v>
      </c>
      <c r="F5483" s="20" t="s">
        <v>26</v>
      </c>
      <c r="G5483" s="53">
        <f t="shared" si="86"/>
        <v>0.44359720494116334</v>
      </c>
      <c r="H5483" s="35"/>
      <c r="P5483" s="6"/>
    </row>
    <row r="5484" spans="1:16" ht="14.4" x14ac:dyDescent="0.25">
      <c r="A5484" s="6">
        <v>7020</v>
      </c>
      <c r="B5484" s="6">
        <v>50087</v>
      </c>
      <c r="C5484" s="19">
        <v>40313</v>
      </c>
      <c r="D5484" s="6" t="s">
        <v>28</v>
      </c>
      <c r="E5484" s="6">
        <f>IF((ISBLANK($B$1)),"",Sheet1!Q5495)</f>
        <v>4250</v>
      </c>
      <c r="F5484" s="20" t="s">
        <v>26</v>
      </c>
      <c r="G5484" s="53">
        <f t="shared" si="86"/>
        <v>-0.59211849959099416</v>
      </c>
      <c r="H5484" s="35"/>
      <c r="P5484" s="6"/>
    </row>
    <row r="5485" spans="1:16" ht="14.4" x14ac:dyDescent="0.25">
      <c r="A5485" s="6">
        <v>7071</v>
      </c>
      <c r="B5485" s="6">
        <v>50466</v>
      </c>
      <c r="C5485" s="19">
        <v>41088</v>
      </c>
      <c r="D5485" s="6" t="s">
        <v>30</v>
      </c>
      <c r="E5485" s="6">
        <f>IF((ISBLANK($B$1)),"",Sheet1!Q5496)</f>
        <v>5000</v>
      </c>
      <c r="F5485" s="20" t="s">
        <v>26</v>
      </c>
      <c r="G5485" s="53">
        <f t="shared" si="86"/>
        <v>0.44359720494116334</v>
      </c>
      <c r="H5485" s="35"/>
      <c r="P5485" s="6"/>
    </row>
    <row r="5486" spans="1:16" ht="14.4" x14ac:dyDescent="0.25">
      <c r="A5486" s="6">
        <v>7078</v>
      </c>
      <c r="B5486" s="6">
        <v>50501</v>
      </c>
      <c r="C5486" s="19">
        <v>39962</v>
      </c>
      <c r="D5486" s="6" t="s">
        <v>17</v>
      </c>
      <c r="E5486" s="6">
        <f>IF((ISBLANK($B$1)),"",Sheet1!Q5497)</f>
        <v>4950</v>
      </c>
      <c r="F5486" s="20" t="s">
        <v>27</v>
      </c>
      <c r="G5486" s="53">
        <f t="shared" si="86"/>
        <v>0.37454949130568621</v>
      </c>
      <c r="H5486" s="35"/>
      <c r="P5486" s="6"/>
    </row>
    <row r="5487" spans="1:16" ht="14.4" x14ac:dyDescent="0.25">
      <c r="A5487" s="6">
        <v>7123</v>
      </c>
      <c r="B5487" s="6">
        <v>50818</v>
      </c>
      <c r="C5487" s="19">
        <v>41188</v>
      </c>
      <c r="D5487" s="6" t="s">
        <v>16</v>
      </c>
      <c r="E5487" s="6">
        <f>IF((ISBLANK($B$1)),"",Sheet1!Q5498)</f>
        <v>5100</v>
      </c>
      <c r="F5487" s="20" t="s">
        <v>27</v>
      </c>
      <c r="G5487" s="53">
        <f t="shared" si="86"/>
        <v>0.58169263221211776</v>
      </c>
      <c r="H5487" s="35"/>
      <c r="P5487" s="6"/>
    </row>
    <row r="5488" spans="1:16" ht="14.4" x14ac:dyDescent="0.25">
      <c r="A5488" s="6">
        <v>7130</v>
      </c>
      <c r="B5488" s="6">
        <v>50852</v>
      </c>
      <c r="C5488" s="19">
        <v>40706</v>
      </c>
      <c r="D5488" s="6" t="s">
        <v>16</v>
      </c>
      <c r="E5488" s="6">
        <f>IF((ISBLANK($B$1)),"",Sheet1!Q5499)</f>
        <v>4600</v>
      </c>
      <c r="F5488" s="20" t="s">
        <v>26</v>
      </c>
      <c r="G5488" s="53">
        <f t="shared" si="86"/>
        <v>-0.108784504142654</v>
      </c>
      <c r="H5488" s="35"/>
      <c r="P5488" s="6"/>
    </row>
    <row r="5489" spans="1:16" ht="14.4" x14ac:dyDescent="0.25">
      <c r="A5489" s="6">
        <v>7300</v>
      </c>
      <c r="B5489" s="6">
        <v>52068</v>
      </c>
      <c r="C5489" s="19">
        <v>40921</v>
      </c>
      <c r="D5489" s="6" t="s">
        <v>28</v>
      </c>
      <c r="E5489" s="6">
        <f>IF((ISBLANK($B$1)),"",Sheet1!Q5500)</f>
        <v>4950</v>
      </c>
      <c r="F5489" s="20" t="s">
        <v>26</v>
      </c>
      <c r="G5489" s="53">
        <f t="shared" si="86"/>
        <v>0.37454949130568621</v>
      </c>
      <c r="H5489" s="35"/>
      <c r="P5489" s="6"/>
    </row>
    <row r="5490" spans="1:16" ht="14.4" x14ac:dyDescent="0.25">
      <c r="A5490" s="6">
        <v>7301</v>
      </c>
      <c r="B5490" s="6">
        <v>52068</v>
      </c>
      <c r="C5490" s="19">
        <v>40921</v>
      </c>
      <c r="D5490" s="6" t="s">
        <v>28</v>
      </c>
      <c r="E5490" s="6">
        <f>IF((ISBLANK($B$1)),"",Sheet1!Q5501)</f>
        <v>5750</v>
      </c>
      <c r="F5490" s="20" t="s">
        <v>27</v>
      </c>
      <c r="G5490" s="53">
        <f t="shared" si="86"/>
        <v>1.4793129094733208</v>
      </c>
      <c r="H5490" s="35"/>
      <c r="P5490" s="6"/>
    </row>
    <row r="5491" spans="1:16" ht="14.4" x14ac:dyDescent="0.25">
      <c r="A5491" s="6">
        <v>7302</v>
      </c>
      <c r="B5491" s="6">
        <v>52068</v>
      </c>
      <c r="C5491" s="19">
        <v>40921</v>
      </c>
      <c r="D5491" s="6" t="s">
        <v>28</v>
      </c>
      <c r="E5491" s="6">
        <f>IF((ISBLANK($B$1)),"",Sheet1!Q5502)</f>
        <v>4450</v>
      </c>
      <c r="F5491" s="20" t="s">
        <v>29</v>
      </c>
      <c r="G5491" s="53">
        <f t="shared" si="86"/>
        <v>-0.31592764504908549</v>
      </c>
      <c r="H5491" s="35"/>
      <c r="P5491" s="6"/>
    </row>
    <row r="5492" spans="1:16" ht="14.4" x14ac:dyDescent="0.25">
      <c r="A5492" s="6">
        <v>7303</v>
      </c>
      <c r="B5492" s="6">
        <v>52068</v>
      </c>
      <c r="C5492" s="19">
        <v>40921</v>
      </c>
      <c r="D5492" s="6" t="s">
        <v>28</v>
      </c>
      <c r="E5492" s="6">
        <f>IF((ISBLANK($B$1)),"",Sheet1!Q5503)</f>
        <v>4250</v>
      </c>
      <c r="F5492" s="20" t="s">
        <v>29</v>
      </c>
      <c r="G5492" s="53">
        <f t="shared" si="86"/>
        <v>-0.59211849959099416</v>
      </c>
      <c r="H5492" s="35"/>
      <c r="P5492" s="6"/>
    </row>
    <row r="5493" spans="1:16" ht="14.4" x14ac:dyDescent="0.25">
      <c r="A5493" s="6">
        <v>7383</v>
      </c>
      <c r="B5493" s="6">
        <v>52641</v>
      </c>
      <c r="C5493" s="19">
        <v>40459</v>
      </c>
      <c r="D5493" s="6" t="s">
        <v>28</v>
      </c>
      <c r="E5493" s="6">
        <f>IF((ISBLANK($B$1)),"",Sheet1!Q5504)</f>
        <v>3700</v>
      </c>
      <c r="F5493" s="20" t="s">
        <v>27</v>
      </c>
      <c r="G5493" s="53">
        <f t="shared" si="86"/>
        <v>-1.351643349581243</v>
      </c>
      <c r="H5493" s="35"/>
      <c r="P5493" s="6"/>
    </row>
    <row r="5494" spans="1:16" ht="14.4" x14ac:dyDescent="0.25">
      <c r="A5494" s="6">
        <v>7474</v>
      </c>
      <c r="B5494" s="6">
        <v>53378</v>
      </c>
      <c r="C5494" s="19">
        <v>41103</v>
      </c>
      <c r="D5494" s="6" t="s">
        <v>16</v>
      </c>
      <c r="E5494" s="6">
        <f>IF((ISBLANK($B$1)),"",Sheet1!Q5505)</f>
        <v>5900</v>
      </c>
      <c r="F5494" s="20" t="s">
        <v>27</v>
      </c>
      <c r="G5494" s="53">
        <f t="shared" si="86"/>
        <v>1.6864560503797523</v>
      </c>
      <c r="H5494" s="35"/>
      <c r="P5494" s="6"/>
    </row>
    <row r="5495" spans="1:16" ht="14.4" x14ac:dyDescent="0.25">
      <c r="A5495" s="6">
        <v>7475</v>
      </c>
      <c r="B5495" s="6">
        <v>53378</v>
      </c>
      <c r="C5495" s="19">
        <v>41103</v>
      </c>
      <c r="D5495" s="6" t="s">
        <v>16</v>
      </c>
      <c r="E5495" s="6">
        <f>IF((ISBLANK($B$1)),"",Sheet1!Q5506)</f>
        <v>5300</v>
      </c>
      <c r="F5495" s="20" t="s">
        <v>29</v>
      </c>
      <c r="G5495" s="53">
        <f t="shared" si="86"/>
        <v>0.85788348675402637</v>
      </c>
      <c r="H5495" s="35"/>
      <c r="P5495" s="6"/>
    </row>
    <row r="5496" spans="1:16" ht="14.4" x14ac:dyDescent="0.25">
      <c r="A5496" s="6">
        <v>7476</v>
      </c>
      <c r="B5496" s="6">
        <v>53378</v>
      </c>
      <c r="C5496" s="19">
        <v>41103</v>
      </c>
      <c r="D5496" s="6" t="s">
        <v>16</v>
      </c>
      <c r="E5496" s="6">
        <f>IF((ISBLANK($B$1)),"",Sheet1!Q5507)</f>
        <v>5850</v>
      </c>
      <c r="F5496" s="20" t="s">
        <v>27</v>
      </c>
      <c r="G5496" s="53">
        <f t="shared" si="86"/>
        <v>1.6174083367442753</v>
      </c>
      <c r="H5496" s="35"/>
      <c r="P5496" s="6"/>
    </row>
    <row r="5497" spans="1:16" ht="14.4" x14ac:dyDescent="0.25">
      <c r="A5497" s="6">
        <v>7689</v>
      </c>
      <c r="B5497" s="6">
        <v>55136</v>
      </c>
      <c r="C5497" s="19">
        <v>40460</v>
      </c>
      <c r="D5497" s="6" t="s">
        <v>30</v>
      </c>
      <c r="E5497" s="6">
        <f>IF((ISBLANK($B$1)),"",Sheet1!Q5508)</f>
        <v>4850</v>
      </c>
      <c r="F5497" s="20" t="s">
        <v>26</v>
      </c>
      <c r="G5497" s="53">
        <f t="shared" si="86"/>
        <v>0.23645406403473185</v>
      </c>
      <c r="H5497" s="35"/>
      <c r="P5497" s="6"/>
    </row>
    <row r="5498" spans="1:16" ht="14.4" x14ac:dyDescent="0.25">
      <c r="A5498" s="6">
        <v>7780</v>
      </c>
      <c r="B5498" s="6">
        <v>55655</v>
      </c>
      <c r="C5498" s="19">
        <v>41176</v>
      </c>
      <c r="D5498" s="6" t="s">
        <v>25</v>
      </c>
      <c r="E5498" s="6">
        <f>IF((ISBLANK($B$1)),"",Sheet1!Q5509)</f>
        <v>5050</v>
      </c>
      <c r="F5498" s="20" t="s">
        <v>27</v>
      </c>
      <c r="G5498" s="53">
        <f t="shared" si="86"/>
        <v>0.51264491857664052</v>
      </c>
      <c r="H5498" s="35"/>
      <c r="P5498" s="6"/>
    </row>
    <row r="5499" spans="1:16" ht="14.4" x14ac:dyDescent="0.25">
      <c r="A5499" s="6">
        <v>7794</v>
      </c>
      <c r="B5499" s="6">
        <v>55750</v>
      </c>
      <c r="C5499" s="19">
        <v>40417</v>
      </c>
      <c r="D5499" s="6" t="s">
        <v>30</v>
      </c>
      <c r="E5499" s="6">
        <f>IF((ISBLANK($B$1)),"",Sheet1!Q5510)</f>
        <v>4950</v>
      </c>
      <c r="F5499" s="20" t="s">
        <v>29</v>
      </c>
      <c r="G5499" s="53">
        <f t="shared" si="86"/>
        <v>0.37454949130568621</v>
      </c>
      <c r="H5499" s="35"/>
      <c r="P5499" s="6"/>
    </row>
    <row r="5500" spans="1:16" ht="14.4" x14ac:dyDescent="0.25">
      <c r="A5500" s="6">
        <v>7841</v>
      </c>
      <c r="B5500" s="6">
        <v>56064</v>
      </c>
      <c r="C5500" s="19">
        <v>40115</v>
      </c>
      <c r="D5500" s="6" t="s">
        <v>16</v>
      </c>
      <c r="E5500" s="6">
        <f>IF((ISBLANK($B$1)),"",Sheet1!Q5511)</f>
        <v>5450</v>
      </c>
      <c r="F5500" s="20" t="s">
        <v>26</v>
      </c>
      <c r="G5500" s="53">
        <f t="shared" si="86"/>
        <v>1.0650266276604579</v>
      </c>
      <c r="H5500" s="35"/>
      <c r="P5500" s="6"/>
    </row>
    <row r="5501" spans="1:16" ht="14.4" x14ac:dyDescent="0.25">
      <c r="A5501" s="6">
        <v>7950</v>
      </c>
      <c r="B5501" s="6">
        <v>56804</v>
      </c>
      <c r="C5501" s="19">
        <v>40629</v>
      </c>
      <c r="D5501" s="6" t="s">
        <v>30</v>
      </c>
      <c r="E5501" s="6">
        <f>IF((ISBLANK($B$1)),"",Sheet1!Q5512)</f>
        <v>5450</v>
      </c>
      <c r="F5501" s="20" t="s">
        <v>26</v>
      </c>
      <c r="G5501" s="53">
        <f t="shared" si="86"/>
        <v>1.0650266276604579</v>
      </c>
      <c r="H5501" s="35"/>
      <c r="P5501" s="6"/>
    </row>
    <row r="5502" spans="1:16" ht="14.4" x14ac:dyDescent="0.25">
      <c r="A5502" s="6">
        <v>7951</v>
      </c>
      <c r="B5502" s="6">
        <v>56804</v>
      </c>
      <c r="C5502" s="19">
        <v>40629</v>
      </c>
      <c r="D5502" s="6" t="s">
        <v>30</v>
      </c>
      <c r="E5502" s="6">
        <f>IF((ISBLANK($B$1)),"",Sheet1!Q5513)</f>
        <v>4600</v>
      </c>
      <c r="F5502" s="20" t="s">
        <v>26</v>
      </c>
      <c r="G5502" s="53">
        <f t="shared" si="86"/>
        <v>-0.108784504142654</v>
      </c>
      <c r="H5502" s="35"/>
      <c r="P5502" s="6"/>
    </row>
    <row r="5503" spans="1:16" ht="14.4" x14ac:dyDescent="0.25">
      <c r="A5503" s="6">
        <v>8000</v>
      </c>
      <c r="B5503" s="6">
        <v>57157</v>
      </c>
      <c r="C5503" s="19">
        <v>40965</v>
      </c>
      <c r="D5503" s="6" t="s">
        <v>30</v>
      </c>
      <c r="E5503" s="6">
        <f>IF((ISBLANK($B$1)),"",Sheet1!Q5514)</f>
        <v>4300</v>
      </c>
      <c r="F5503" s="20" t="s">
        <v>26</v>
      </c>
      <c r="G5503" s="53">
        <f t="shared" si="86"/>
        <v>-0.52307078595551704</v>
      </c>
      <c r="H5503" s="35"/>
      <c r="P5503" s="6"/>
    </row>
    <row r="5504" spans="1:16" ht="14.4" x14ac:dyDescent="0.25">
      <c r="A5504" s="6">
        <v>8122</v>
      </c>
      <c r="B5504" s="6">
        <v>58053</v>
      </c>
      <c r="C5504" s="19">
        <v>40186</v>
      </c>
      <c r="D5504" s="6" t="s">
        <v>16</v>
      </c>
      <c r="E5504" s="6">
        <f>IF((ISBLANK($B$1)),"",Sheet1!Q5515)</f>
        <v>5500</v>
      </c>
      <c r="F5504" s="20" t="s">
        <v>26</v>
      </c>
      <c r="G5504" s="53">
        <f t="shared" si="86"/>
        <v>1.1340743412959351</v>
      </c>
      <c r="H5504" s="35"/>
      <c r="P5504" s="6"/>
    </row>
    <row r="5505" spans="1:16" ht="14.4" x14ac:dyDescent="0.25">
      <c r="A5505" s="6">
        <v>8131</v>
      </c>
      <c r="B5505" s="6">
        <v>58116</v>
      </c>
      <c r="C5505" s="19">
        <v>39900</v>
      </c>
      <c r="D5505" s="6" t="s">
        <v>30</v>
      </c>
      <c r="E5505" s="6">
        <f>IF((ISBLANK($B$1)),"",Sheet1!Q5516)</f>
        <v>3700</v>
      </c>
      <c r="F5505" s="20" t="s">
        <v>29</v>
      </c>
      <c r="G5505" s="53">
        <f t="shared" si="86"/>
        <v>-1.351643349581243</v>
      </c>
      <c r="H5505" s="35"/>
      <c r="P5505" s="6"/>
    </row>
    <row r="5506" spans="1:16" ht="14.4" x14ac:dyDescent="0.25">
      <c r="A5506" s="6">
        <v>8140</v>
      </c>
      <c r="B5506" s="6">
        <v>58181</v>
      </c>
      <c r="C5506" s="19">
        <v>41189</v>
      </c>
      <c r="D5506" s="6" t="s">
        <v>28</v>
      </c>
      <c r="E5506" s="6">
        <f>IF((ISBLANK($B$1)),"",Sheet1!Q5517)</f>
        <v>3650</v>
      </c>
      <c r="F5506" s="20" t="s">
        <v>26</v>
      </c>
      <c r="G5506" s="53">
        <f t="shared" si="86"/>
        <v>-1.4206910632167202</v>
      </c>
      <c r="H5506" s="35"/>
      <c r="P5506" s="6"/>
    </row>
    <row r="5507" spans="1:16" ht="14.4" x14ac:dyDescent="0.25">
      <c r="A5507" s="6">
        <v>8152</v>
      </c>
      <c r="B5507" s="6">
        <v>58308</v>
      </c>
      <c r="C5507" s="19">
        <v>40319</v>
      </c>
      <c r="D5507" s="6" t="s">
        <v>28</v>
      </c>
      <c r="E5507" s="6">
        <f>IF((ISBLANK($B$1)),"",Sheet1!Q5518)</f>
        <v>5150</v>
      </c>
      <c r="F5507" s="20" t="s">
        <v>29</v>
      </c>
      <c r="G5507" s="53">
        <f t="shared" si="86"/>
        <v>0.65074034584759488</v>
      </c>
      <c r="H5507" s="35"/>
      <c r="P5507" s="6"/>
    </row>
    <row r="5508" spans="1:16" ht="14.4" x14ac:dyDescent="0.25">
      <c r="A5508" s="6">
        <v>8153</v>
      </c>
      <c r="B5508" s="6">
        <v>58308</v>
      </c>
      <c r="C5508" s="19">
        <v>40319</v>
      </c>
      <c r="D5508" s="6" t="s">
        <v>28</v>
      </c>
      <c r="E5508" s="6">
        <f>IF((ISBLANK($B$1)),"",Sheet1!Q5519)</f>
        <v>4400</v>
      </c>
      <c r="F5508" s="20" t="s">
        <v>27</v>
      </c>
      <c r="G5508" s="53">
        <f t="shared" si="86"/>
        <v>-0.38497535868456267</v>
      </c>
      <c r="H5508" s="35"/>
      <c r="P5508" s="6"/>
    </row>
    <row r="5509" spans="1:16" ht="14.4" x14ac:dyDescent="0.25">
      <c r="A5509" s="6">
        <v>8154</v>
      </c>
      <c r="B5509" s="6">
        <v>58308</v>
      </c>
      <c r="C5509" s="19">
        <v>40319</v>
      </c>
      <c r="D5509" s="6" t="s">
        <v>28</v>
      </c>
      <c r="E5509" s="6">
        <f>IF((ISBLANK($B$1)),"",Sheet1!Q5520)</f>
        <v>3500</v>
      </c>
      <c r="F5509" s="20" t="s">
        <v>29</v>
      </c>
      <c r="G5509" s="53">
        <f t="shared" si="86"/>
        <v>-1.6278342041231517</v>
      </c>
      <c r="H5509" s="35"/>
      <c r="P5509" s="6"/>
    </row>
    <row r="5510" spans="1:16" ht="14.4" x14ac:dyDescent="0.25">
      <c r="A5510" s="6">
        <v>8157</v>
      </c>
      <c r="B5510" s="6">
        <v>58339</v>
      </c>
      <c r="C5510" s="19">
        <v>39977</v>
      </c>
      <c r="D5510" s="6" t="s">
        <v>17</v>
      </c>
      <c r="E5510" s="6">
        <f>IF((ISBLANK($B$1)),"",Sheet1!Q5521)</f>
        <v>3850</v>
      </c>
      <c r="F5510" s="20" t="s">
        <v>26</v>
      </c>
      <c r="G5510" s="53">
        <f t="shared" si="86"/>
        <v>-1.1445002086748115</v>
      </c>
      <c r="H5510" s="35"/>
      <c r="P5510" s="6"/>
    </row>
    <row r="5511" spans="1:16" ht="14.4" x14ac:dyDescent="0.25">
      <c r="A5511" s="6">
        <v>8158</v>
      </c>
      <c r="B5511" s="6">
        <v>58339</v>
      </c>
      <c r="C5511" s="19">
        <v>39977</v>
      </c>
      <c r="D5511" s="6" t="s">
        <v>17</v>
      </c>
      <c r="E5511" s="6">
        <f>IF((ISBLANK($B$1)),"",Sheet1!Q5522)</f>
        <v>3950</v>
      </c>
      <c r="F5511" s="20" t="s">
        <v>26</v>
      </c>
      <c r="G5511" s="53">
        <f t="shared" si="86"/>
        <v>-1.0064047814038573</v>
      </c>
      <c r="H5511" s="35"/>
      <c r="P5511" s="6"/>
    </row>
    <row r="5512" spans="1:16" ht="14.4" x14ac:dyDescent="0.25">
      <c r="A5512" s="6">
        <v>8237</v>
      </c>
      <c r="B5512" s="6">
        <v>58883</v>
      </c>
      <c r="C5512" s="19">
        <v>41133</v>
      </c>
      <c r="D5512" s="6" t="s">
        <v>25</v>
      </c>
      <c r="E5512" s="6">
        <f>IF((ISBLANK($B$1)),"",Sheet1!Q5523)</f>
        <v>5200</v>
      </c>
      <c r="F5512" s="20" t="s">
        <v>26</v>
      </c>
      <c r="G5512" s="53">
        <f t="shared" ref="G5512:G5575" si="87">STANDARDIZE(E5512,$L$26,$L$35)</f>
        <v>0.71978805948307201</v>
      </c>
      <c r="H5512" s="35"/>
      <c r="P5512" s="6"/>
    </row>
    <row r="5513" spans="1:16" ht="14.4" x14ac:dyDescent="0.25">
      <c r="A5513" s="6">
        <v>8363</v>
      </c>
      <c r="B5513" s="6">
        <v>59777</v>
      </c>
      <c r="C5513" s="19">
        <v>40524</v>
      </c>
      <c r="D5513" s="6" t="s">
        <v>17</v>
      </c>
      <c r="E5513" s="6">
        <f>IF((ISBLANK($B$1)),"",Sheet1!Q5524)</f>
        <v>4350</v>
      </c>
      <c r="F5513" s="20" t="s">
        <v>27</v>
      </c>
      <c r="G5513" s="53">
        <f t="shared" si="87"/>
        <v>-0.45402307232003986</v>
      </c>
      <c r="H5513" s="35"/>
      <c r="P5513" s="6"/>
    </row>
    <row r="5514" spans="1:16" ht="14.4" x14ac:dyDescent="0.25">
      <c r="A5514" s="6">
        <v>87</v>
      </c>
      <c r="B5514" s="6">
        <v>548</v>
      </c>
      <c r="C5514" s="19">
        <v>40076</v>
      </c>
      <c r="D5514" s="6" t="s">
        <v>30</v>
      </c>
      <c r="E5514" s="6">
        <f>IF((ISBLANK($B$1)),"",Sheet1!Q5525)</f>
        <v>5450</v>
      </c>
      <c r="F5514" s="20" t="s">
        <v>26</v>
      </c>
      <c r="G5514" s="53">
        <f t="shared" si="87"/>
        <v>1.0650266276604579</v>
      </c>
      <c r="H5514" s="35"/>
      <c r="P5514" s="6"/>
    </row>
    <row r="5515" spans="1:16" ht="14.4" x14ac:dyDescent="0.25">
      <c r="A5515" s="6">
        <v>88</v>
      </c>
      <c r="B5515" s="6">
        <v>548</v>
      </c>
      <c r="C5515" s="19">
        <v>40076</v>
      </c>
      <c r="D5515" s="6" t="s">
        <v>30</v>
      </c>
      <c r="E5515" s="6">
        <f>IF((ISBLANK($B$1)),"",Sheet1!Q5526)</f>
        <v>4850</v>
      </c>
      <c r="F5515" s="20" t="s">
        <v>26</v>
      </c>
      <c r="G5515" s="53">
        <f t="shared" si="87"/>
        <v>0.23645406403473185</v>
      </c>
      <c r="H5515" s="35"/>
      <c r="P5515" s="6"/>
    </row>
    <row r="5516" spans="1:16" ht="14.4" x14ac:dyDescent="0.25">
      <c r="A5516" s="6">
        <v>89</v>
      </c>
      <c r="B5516" s="6">
        <v>548</v>
      </c>
      <c r="C5516" s="19">
        <v>40076</v>
      </c>
      <c r="D5516" s="6" t="s">
        <v>30</v>
      </c>
      <c r="E5516" s="6">
        <f>IF((ISBLANK($B$1)),"",Sheet1!Q5527)</f>
        <v>4700</v>
      </c>
      <c r="F5516" s="20" t="s">
        <v>27</v>
      </c>
      <c r="G5516" s="53">
        <f t="shared" si="87"/>
        <v>2.9310923128300338E-2</v>
      </c>
      <c r="H5516" s="35"/>
      <c r="P5516" s="6"/>
    </row>
    <row r="5517" spans="1:16" ht="14.4" x14ac:dyDescent="0.25">
      <c r="A5517" s="6">
        <v>116</v>
      </c>
      <c r="B5517" s="6">
        <v>771</v>
      </c>
      <c r="C5517" s="19">
        <v>40710</v>
      </c>
      <c r="D5517" s="6" t="s">
        <v>30</v>
      </c>
      <c r="E5517" s="6">
        <f>IF((ISBLANK($B$1)),"",Sheet1!Q5528)</f>
        <v>4300</v>
      </c>
      <c r="F5517" s="20" t="s">
        <v>26</v>
      </c>
      <c r="G5517" s="53">
        <f t="shared" si="87"/>
        <v>-0.52307078595551704</v>
      </c>
      <c r="H5517" s="35"/>
      <c r="P5517" s="6"/>
    </row>
    <row r="5518" spans="1:16" ht="14.4" x14ac:dyDescent="0.25">
      <c r="A5518" s="6">
        <v>279</v>
      </c>
      <c r="B5518" s="6">
        <v>1925</v>
      </c>
      <c r="C5518" s="19">
        <v>40972</v>
      </c>
      <c r="D5518" s="6" t="s">
        <v>30</v>
      </c>
      <c r="E5518" s="6">
        <f>IF((ISBLANK($B$1)),"",Sheet1!Q5529)</f>
        <v>5400</v>
      </c>
      <c r="F5518" s="20" t="s">
        <v>27</v>
      </c>
      <c r="G5518" s="53">
        <f t="shared" si="87"/>
        <v>0.99597891402498073</v>
      </c>
      <c r="H5518" s="35"/>
      <c r="P5518" s="6"/>
    </row>
    <row r="5519" spans="1:16" ht="14.4" x14ac:dyDescent="0.25">
      <c r="A5519" s="6">
        <v>303</v>
      </c>
      <c r="B5519" s="6">
        <v>2086</v>
      </c>
      <c r="C5519" s="19">
        <v>40104</v>
      </c>
      <c r="D5519" s="6" t="s">
        <v>30</v>
      </c>
      <c r="E5519" s="6">
        <f>IF((ISBLANK($B$1)),"",Sheet1!Q5530)</f>
        <v>4600</v>
      </c>
      <c r="F5519" s="20" t="s">
        <v>26</v>
      </c>
      <c r="G5519" s="53">
        <f t="shared" si="87"/>
        <v>-0.108784504142654</v>
      </c>
      <c r="H5519" s="35"/>
      <c r="P5519" s="6"/>
    </row>
    <row r="5520" spans="1:16" ht="14.4" x14ac:dyDescent="0.25">
      <c r="A5520" s="6">
        <v>304</v>
      </c>
      <c r="B5520" s="6">
        <v>2086</v>
      </c>
      <c r="C5520" s="19">
        <v>40104</v>
      </c>
      <c r="D5520" s="6" t="s">
        <v>30</v>
      </c>
      <c r="E5520" s="6">
        <f>IF((ISBLANK($B$1)),"",Sheet1!Q5531)</f>
        <v>5300</v>
      </c>
      <c r="F5520" s="20" t="s">
        <v>27</v>
      </c>
      <c r="G5520" s="53">
        <f t="shared" si="87"/>
        <v>0.85788348675402637</v>
      </c>
      <c r="H5520" s="35"/>
      <c r="P5520" s="6"/>
    </row>
    <row r="5521" spans="1:16" ht="14.4" x14ac:dyDescent="0.25">
      <c r="A5521" s="6">
        <v>305</v>
      </c>
      <c r="B5521" s="6">
        <v>2086</v>
      </c>
      <c r="C5521" s="19">
        <v>40104</v>
      </c>
      <c r="D5521" s="6" t="s">
        <v>30</v>
      </c>
      <c r="E5521" s="6">
        <f>IF((ISBLANK($B$1)),"",Sheet1!Q5532)</f>
        <v>3850</v>
      </c>
      <c r="F5521" s="20" t="s">
        <v>29</v>
      </c>
      <c r="G5521" s="53">
        <f t="shared" si="87"/>
        <v>-1.1445002086748115</v>
      </c>
      <c r="H5521" s="35"/>
      <c r="P5521" s="6"/>
    </row>
    <row r="5522" spans="1:16" ht="14.4" x14ac:dyDescent="0.25">
      <c r="A5522" s="6">
        <v>912</v>
      </c>
      <c r="B5522" s="6">
        <v>6560</v>
      </c>
      <c r="C5522" s="19">
        <v>40547</v>
      </c>
      <c r="D5522" s="6" t="s">
        <v>25</v>
      </c>
      <c r="E5522" s="6">
        <f>IF((ISBLANK($B$1)),"",Sheet1!Q5533)</f>
        <v>4400</v>
      </c>
      <c r="F5522" s="20" t="s">
        <v>26</v>
      </c>
      <c r="G5522" s="53">
        <f t="shared" si="87"/>
        <v>-0.38497535868456267</v>
      </c>
      <c r="H5522" s="35"/>
      <c r="P5522" s="6"/>
    </row>
    <row r="5523" spans="1:16" ht="14.4" x14ac:dyDescent="0.25">
      <c r="A5523" s="6">
        <v>913</v>
      </c>
      <c r="B5523" s="6">
        <v>6560</v>
      </c>
      <c r="C5523" s="19">
        <v>40547</v>
      </c>
      <c r="D5523" s="6" t="s">
        <v>25</v>
      </c>
      <c r="E5523" s="6">
        <f>IF((ISBLANK($B$1)),"",Sheet1!Q5534)</f>
        <v>5250</v>
      </c>
      <c r="F5523" s="20" t="s">
        <v>29</v>
      </c>
      <c r="G5523" s="53">
        <f t="shared" si="87"/>
        <v>0.78883577311854924</v>
      </c>
      <c r="H5523" s="35"/>
      <c r="P5523" s="6"/>
    </row>
    <row r="5524" spans="1:16" ht="14.4" x14ac:dyDescent="0.25">
      <c r="A5524" s="6">
        <v>981</v>
      </c>
      <c r="B5524" s="6">
        <v>7105</v>
      </c>
      <c r="C5524" s="19">
        <v>40350</v>
      </c>
      <c r="D5524" s="6" t="s">
        <v>25</v>
      </c>
      <c r="E5524" s="6">
        <f>IF((ISBLANK($B$1)),"",Sheet1!Q5535)</f>
        <v>4250</v>
      </c>
      <c r="F5524" s="20" t="s">
        <v>26</v>
      </c>
      <c r="G5524" s="53">
        <f t="shared" si="87"/>
        <v>-0.59211849959099416</v>
      </c>
      <c r="H5524" s="35"/>
      <c r="P5524" s="6"/>
    </row>
    <row r="5525" spans="1:16" ht="14.4" x14ac:dyDescent="0.25">
      <c r="A5525" s="6">
        <v>1052</v>
      </c>
      <c r="B5525" s="6">
        <v>7776</v>
      </c>
      <c r="C5525" s="19">
        <v>39886</v>
      </c>
      <c r="D5525" s="6" t="s">
        <v>16</v>
      </c>
      <c r="E5525" s="6">
        <f>IF((ISBLANK($B$1)),"",Sheet1!Q5536)</f>
        <v>5200</v>
      </c>
      <c r="F5525" s="20" t="s">
        <v>29</v>
      </c>
      <c r="G5525" s="53">
        <f t="shared" si="87"/>
        <v>0.71978805948307201</v>
      </c>
      <c r="H5525" s="35"/>
      <c r="P5525" s="6"/>
    </row>
    <row r="5526" spans="1:16" ht="14.4" x14ac:dyDescent="0.25">
      <c r="A5526" s="6">
        <v>1053</v>
      </c>
      <c r="B5526" s="6">
        <v>7776</v>
      </c>
      <c r="C5526" s="19">
        <v>39886</v>
      </c>
      <c r="D5526" s="6" t="s">
        <v>16</v>
      </c>
      <c r="E5526" s="6">
        <f>IF((ISBLANK($B$1)),"",Sheet1!Q5537)</f>
        <v>3700</v>
      </c>
      <c r="F5526" s="20" t="s">
        <v>29</v>
      </c>
      <c r="G5526" s="53">
        <f t="shared" si="87"/>
        <v>-1.351643349581243</v>
      </c>
      <c r="H5526" s="35"/>
      <c r="P5526" s="6"/>
    </row>
    <row r="5527" spans="1:16" ht="14.4" x14ac:dyDescent="0.25">
      <c r="A5527" s="6">
        <v>1160</v>
      </c>
      <c r="B5527" s="6">
        <v>8450</v>
      </c>
      <c r="C5527" s="19">
        <v>41012</v>
      </c>
      <c r="D5527" s="6" t="s">
        <v>28</v>
      </c>
      <c r="E5527" s="6">
        <f>IF((ISBLANK($B$1)),"",Sheet1!Q5538)</f>
        <v>4600</v>
      </c>
      <c r="F5527" s="20" t="s">
        <v>26</v>
      </c>
      <c r="G5527" s="53">
        <f t="shared" si="87"/>
        <v>-0.108784504142654</v>
      </c>
      <c r="H5527" s="35"/>
      <c r="P5527" s="6"/>
    </row>
    <row r="5528" spans="1:16" ht="14.4" x14ac:dyDescent="0.25">
      <c r="A5528" s="6">
        <v>1161</v>
      </c>
      <c r="B5528" s="6">
        <v>8450</v>
      </c>
      <c r="C5528" s="19">
        <v>41012</v>
      </c>
      <c r="D5528" s="6" t="s">
        <v>28</v>
      </c>
      <c r="E5528" s="6">
        <f>IF((ISBLANK($B$1)),"",Sheet1!Q5539)</f>
        <v>4500</v>
      </c>
      <c r="F5528" s="20" t="s">
        <v>26</v>
      </c>
      <c r="G5528" s="53">
        <f t="shared" si="87"/>
        <v>-0.24687993141360834</v>
      </c>
      <c r="H5528" s="35"/>
      <c r="P5528" s="6"/>
    </row>
    <row r="5529" spans="1:16" ht="14.4" x14ac:dyDescent="0.25">
      <c r="A5529" s="6">
        <v>2241</v>
      </c>
      <c r="B5529" s="6">
        <v>16164</v>
      </c>
      <c r="C5529" s="19">
        <v>40911</v>
      </c>
      <c r="D5529" s="6" t="s">
        <v>25</v>
      </c>
      <c r="E5529" s="6">
        <f>IF((ISBLANK($B$1)),"",Sheet1!Q5540)</f>
        <v>4700</v>
      </c>
      <c r="F5529" s="20" t="s">
        <v>27</v>
      </c>
      <c r="G5529" s="53">
        <f t="shared" si="87"/>
        <v>2.9310923128300338E-2</v>
      </c>
      <c r="H5529" s="35"/>
      <c r="P5529" s="6"/>
    </row>
    <row r="5530" spans="1:16" ht="14.4" x14ac:dyDescent="0.25">
      <c r="A5530" s="6">
        <v>2601</v>
      </c>
      <c r="B5530" s="6">
        <v>18789</v>
      </c>
      <c r="C5530" s="19">
        <v>40618</v>
      </c>
      <c r="D5530" s="6" t="s">
        <v>17</v>
      </c>
      <c r="E5530" s="6">
        <f>IF((ISBLANK($B$1)),"",Sheet1!Q5541)</f>
        <v>5900</v>
      </c>
      <c r="F5530" s="20" t="s">
        <v>26</v>
      </c>
      <c r="G5530" s="53">
        <f t="shared" si="87"/>
        <v>1.6864560503797523</v>
      </c>
      <c r="H5530" s="35"/>
      <c r="P5530" s="6"/>
    </row>
    <row r="5531" spans="1:16" ht="14.4" x14ac:dyDescent="0.25">
      <c r="A5531" s="6">
        <v>2639</v>
      </c>
      <c r="B5531" s="6">
        <v>19105</v>
      </c>
      <c r="C5531" s="19">
        <v>40114</v>
      </c>
      <c r="D5531" s="6" t="s">
        <v>17</v>
      </c>
      <c r="E5531" s="6">
        <f>IF((ISBLANK($B$1)),"",Sheet1!Q5542)</f>
        <v>4950</v>
      </c>
      <c r="F5531" s="20" t="s">
        <v>26</v>
      </c>
      <c r="G5531" s="53">
        <f t="shared" si="87"/>
        <v>0.37454949130568621</v>
      </c>
      <c r="H5531" s="35"/>
      <c r="P5531" s="6"/>
    </row>
    <row r="5532" spans="1:16" ht="14.4" x14ac:dyDescent="0.25">
      <c r="A5532" s="6">
        <v>2640</v>
      </c>
      <c r="B5532" s="6">
        <v>19105</v>
      </c>
      <c r="C5532" s="19">
        <v>40114</v>
      </c>
      <c r="D5532" s="6" t="s">
        <v>17</v>
      </c>
      <c r="E5532" s="6">
        <f>IF((ISBLANK($B$1)),"",Sheet1!Q5543)</f>
        <v>4850</v>
      </c>
      <c r="F5532" s="20" t="s">
        <v>26</v>
      </c>
      <c r="G5532" s="53">
        <f t="shared" si="87"/>
        <v>0.23645406403473185</v>
      </c>
      <c r="H5532" s="35"/>
      <c r="P5532" s="6"/>
    </row>
    <row r="5533" spans="1:16" ht="14.4" x14ac:dyDescent="0.25">
      <c r="A5533" s="6">
        <v>2642</v>
      </c>
      <c r="B5533" s="6">
        <v>19136</v>
      </c>
      <c r="C5533" s="19">
        <v>40394</v>
      </c>
      <c r="D5533" s="6" t="s">
        <v>28</v>
      </c>
      <c r="E5533" s="6">
        <f>IF((ISBLANK($B$1)),"",Sheet1!Q5544)</f>
        <v>5600</v>
      </c>
      <c r="F5533" s="20" t="s">
        <v>27</v>
      </c>
      <c r="G5533" s="53">
        <f t="shared" si="87"/>
        <v>1.2721697685668893</v>
      </c>
      <c r="H5533" s="35"/>
      <c r="P5533" s="6"/>
    </row>
    <row r="5534" spans="1:16" ht="14.4" x14ac:dyDescent="0.25">
      <c r="A5534" s="6">
        <v>2657</v>
      </c>
      <c r="B5534" s="6">
        <v>19206</v>
      </c>
      <c r="C5534" s="19">
        <v>40267</v>
      </c>
      <c r="D5534" s="6" t="s">
        <v>25</v>
      </c>
      <c r="E5534" s="6">
        <f>IF((ISBLANK($B$1)),"",Sheet1!Q5545)</f>
        <v>5400</v>
      </c>
      <c r="F5534" s="20" t="s">
        <v>26</v>
      </c>
      <c r="G5534" s="53">
        <f t="shared" si="87"/>
        <v>0.99597891402498073</v>
      </c>
      <c r="H5534" s="35"/>
      <c r="P5534" s="6"/>
    </row>
    <row r="5535" spans="1:16" ht="14.4" x14ac:dyDescent="0.25">
      <c r="A5535" s="6">
        <v>2658</v>
      </c>
      <c r="B5535" s="6">
        <v>19206</v>
      </c>
      <c r="C5535" s="19">
        <v>40267</v>
      </c>
      <c r="D5535" s="6" t="s">
        <v>25</v>
      </c>
      <c r="E5535" s="6">
        <f>IF((ISBLANK($B$1)),"",Sheet1!Q5546)</f>
        <v>5000</v>
      </c>
      <c r="F5535" s="20" t="s">
        <v>29</v>
      </c>
      <c r="G5535" s="53">
        <f t="shared" si="87"/>
        <v>0.44359720494116334</v>
      </c>
      <c r="H5535" s="35"/>
      <c r="P5535" s="6"/>
    </row>
    <row r="5536" spans="1:16" ht="14.4" x14ac:dyDescent="0.25">
      <c r="A5536" s="6">
        <v>2725</v>
      </c>
      <c r="B5536" s="6">
        <v>19654</v>
      </c>
      <c r="C5536" s="19">
        <v>40552</v>
      </c>
      <c r="D5536" s="6" t="s">
        <v>17</v>
      </c>
      <c r="E5536" s="6">
        <f>IF((ISBLANK($B$1)),"",Sheet1!Q5547)</f>
        <v>3800</v>
      </c>
      <c r="F5536" s="20" t="s">
        <v>29</v>
      </c>
      <c r="G5536" s="53">
        <f t="shared" si="87"/>
        <v>-1.2135479223102887</v>
      </c>
      <c r="H5536" s="35"/>
      <c r="P5536" s="6"/>
    </row>
    <row r="5537" spans="1:16" ht="14.4" x14ac:dyDescent="0.25">
      <c r="A5537" s="6">
        <v>2775</v>
      </c>
      <c r="B5537" s="6">
        <v>20037</v>
      </c>
      <c r="C5537" s="19">
        <v>39823</v>
      </c>
      <c r="D5537" s="6" t="s">
        <v>25</v>
      </c>
      <c r="E5537" s="6">
        <f>IF((ISBLANK($B$1)),"",Sheet1!Q5548)</f>
        <v>5150</v>
      </c>
      <c r="F5537" s="20" t="s">
        <v>29</v>
      </c>
      <c r="G5537" s="53">
        <f t="shared" si="87"/>
        <v>0.65074034584759488</v>
      </c>
      <c r="H5537" s="35"/>
      <c r="P5537" s="6"/>
    </row>
    <row r="5538" spans="1:16" ht="14.4" x14ac:dyDescent="0.25">
      <c r="A5538" s="6">
        <v>2776</v>
      </c>
      <c r="B5538" s="6">
        <v>20037</v>
      </c>
      <c r="C5538" s="19">
        <v>39823</v>
      </c>
      <c r="D5538" s="6" t="s">
        <v>25</v>
      </c>
      <c r="E5538" s="6">
        <f>IF((ISBLANK($B$1)),"",Sheet1!Q5549)</f>
        <v>5850</v>
      </c>
      <c r="F5538" s="20" t="s">
        <v>27</v>
      </c>
      <c r="G5538" s="53">
        <f t="shared" si="87"/>
        <v>1.6174083367442753</v>
      </c>
      <c r="H5538" s="35"/>
      <c r="P5538" s="6"/>
    </row>
    <row r="5539" spans="1:16" ht="14.4" x14ac:dyDescent="0.25">
      <c r="A5539" s="6">
        <v>2855</v>
      </c>
      <c r="B5539" s="6">
        <v>20549</v>
      </c>
      <c r="C5539" s="19">
        <v>39825</v>
      </c>
      <c r="D5539" s="6" t="s">
        <v>28</v>
      </c>
      <c r="E5539" s="6">
        <f>IF((ISBLANK($B$1)),"",Sheet1!Q5550)</f>
        <v>5400</v>
      </c>
      <c r="F5539" s="20" t="s">
        <v>26</v>
      </c>
      <c r="G5539" s="53">
        <f t="shared" si="87"/>
        <v>0.99597891402498073</v>
      </c>
      <c r="H5539" s="35"/>
      <c r="P5539" s="6"/>
    </row>
    <row r="5540" spans="1:16" ht="14.4" x14ac:dyDescent="0.25">
      <c r="A5540" s="6">
        <v>2888</v>
      </c>
      <c r="B5540" s="6">
        <v>20832</v>
      </c>
      <c r="C5540" s="19">
        <v>40389</v>
      </c>
      <c r="D5540" s="6" t="s">
        <v>28</v>
      </c>
      <c r="E5540" s="6">
        <f>IF((ISBLANK($B$1)),"",Sheet1!Q5551)</f>
        <v>5750</v>
      </c>
      <c r="F5540" s="20" t="s">
        <v>26</v>
      </c>
      <c r="G5540" s="53">
        <f t="shared" si="87"/>
        <v>1.4793129094733208</v>
      </c>
      <c r="H5540" s="35"/>
      <c r="P5540" s="6"/>
    </row>
    <row r="5541" spans="1:16" ht="14.4" x14ac:dyDescent="0.25">
      <c r="A5541" s="6">
        <v>2889</v>
      </c>
      <c r="B5541" s="6">
        <v>20832</v>
      </c>
      <c r="C5541" s="19">
        <v>40389</v>
      </c>
      <c r="D5541" s="6" t="s">
        <v>28</v>
      </c>
      <c r="E5541" s="6">
        <f>IF((ISBLANK($B$1)),"",Sheet1!Q5552)</f>
        <v>5350</v>
      </c>
      <c r="F5541" s="20" t="s">
        <v>26</v>
      </c>
      <c r="G5541" s="53">
        <f t="shared" si="87"/>
        <v>0.92693120038950361</v>
      </c>
      <c r="H5541" s="35"/>
      <c r="P5541" s="6"/>
    </row>
    <row r="5542" spans="1:16" ht="14.4" x14ac:dyDescent="0.25">
      <c r="A5542" s="6">
        <v>3191</v>
      </c>
      <c r="B5542" s="6">
        <v>22887</v>
      </c>
      <c r="C5542" s="19">
        <v>40500</v>
      </c>
      <c r="D5542" s="6" t="s">
        <v>28</v>
      </c>
      <c r="E5542" s="6">
        <f>IF((ISBLANK($B$1)),"",Sheet1!Q5553)</f>
        <v>5100</v>
      </c>
      <c r="F5542" s="20" t="s">
        <v>29</v>
      </c>
      <c r="G5542" s="53">
        <f t="shared" si="87"/>
        <v>0.58169263221211776</v>
      </c>
      <c r="H5542" s="35"/>
      <c r="P5542" s="6"/>
    </row>
    <row r="5543" spans="1:16" ht="14.4" x14ac:dyDescent="0.25">
      <c r="A5543" s="6">
        <v>3345</v>
      </c>
      <c r="B5543" s="6">
        <v>23936</v>
      </c>
      <c r="C5543" s="19">
        <v>40164</v>
      </c>
      <c r="D5543" s="6" t="s">
        <v>16</v>
      </c>
      <c r="E5543" s="6">
        <f>IF((ISBLANK($B$1)),"",Sheet1!Q5554)</f>
        <v>4750</v>
      </c>
      <c r="F5543" s="20" t="s">
        <v>26</v>
      </c>
      <c r="G5543" s="53">
        <f t="shared" si="87"/>
        <v>9.8358636763777513E-2</v>
      </c>
      <c r="H5543" s="35"/>
      <c r="P5543" s="6"/>
    </row>
    <row r="5544" spans="1:16" ht="14.4" x14ac:dyDescent="0.25">
      <c r="A5544" s="6">
        <v>3407</v>
      </c>
      <c r="B5544" s="6">
        <v>24326</v>
      </c>
      <c r="C5544" s="19">
        <v>40815</v>
      </c>
      <c r="D5544" s="6" t="s">
        <v>30</v>
      </c>
      <c r="E5544" s="6">
        <f>IF((ISBLANK($B$1)),"",Sheet1!Q5555)</f>
        <v>5250</v>
      </c>
      <c r="F5544" s="20" t="s">
        <v>26</v>
      </c>
      <c r="G5544" s="53">
        <f t="shared" si="87"/>
        <v>0.78883577311854924</v>
      </c>
      <c r="H5544" s="35"/>
      <c r="P5544" s="6"/>
    </row>
    <row r="5545" spans="1:16" ht="14.4" x14ac:dyDescent="0.25">
      <c r="A5545" s="6">
        <v>3408</v>
      </c>
      <c r="B5545" s="6">
        <v>24326</v>
      </c>
      <c r="C5545" s="19">
        <v>40815</v>
      </c>
      <c r="D5545" s="6" t="s">
        <v>30</v>
      </c>
      <c r="E5545" s="6">
        <f>IF((ISBLANK($B$1)),"",Sheet1!Q5556)</f>
        <v>4000</v>
      </c>
      <c r="F5545" s="20" t="s">
        <v>26</v>
      </c>
      <c r="G5545" s="53">
        <f t="shared" si="87"/>
        <v>-0.93735706776838001</v>
      </c>
      <c r="H5545" s="35"/>
      <c r="P5545" s="6"/>
    </row>
    <row r="5546" spans="1:16" ht="14.4" x14ac:dyDescent="0.25">
      <c r="A5546" s="6">
        <v>3627</v>
      </c>
      <c r="B5546" s="6">
        <v>25926</v>
      </c>
      <c r="C5546" s="19">
        <v>40137</v>
      </c>
      <c r="D5546" s="6" t="s">
        <v>17</v>
      </c>
      <c r="E5546" s="6">
        <f>IF((ISBLANK($B$1)),"",Sheet1!Q5557)</f>
        <v>4400</v>
      </c>
      <c r="F5546" s="20" t="s">
        <v>29</v>
      </c>
      <c r="G5546" s="53">
        <f t="shared" si="87"/>
        <v>-0.38497535868456267</v>
      </c>
      <c r="H5546" s="35"/>
      <c r="P5546" s="6"/>
    </row>
    <row r="5547" spans="1:16" ht="14.4" x14ac:dyDescent="0.25">
      <c r="A5547" s="6">
        <v>3628</v>
      </c>
      <c r="B5547" s="6">
        <v>25926</v>
      </c>
      <c r="C5547" s="19">
        <v>40137</v>
      </c>
      <c r="D5547" s="6" t="s">
        <v>17</v>
      </c>
      <c r="E5547" s="6">
        <f>IF((ISBLANK($B$1)),"",Sheet1!Q5558)</f>
        <v>4550</v>
      </c>
      <c r="F5547" s="20" t="s">
        <v>26</v>
      </c>
      <c r="G5547" s="53">
        <f t="shared" si="87"/>
        <v>-0.17783221777813119</v>
      </c>
      <c r="H5547" s="35"/>
      <c r="P5547" s="6"/>
    </row>
    <row r="5548" spans="1:16" ht="14.4" x14ac:dyDescent="0.25">
      <c r="A5548" s="6">
        <v>3878</v>
      </c>
      <c r="B5548" s="6">
        <v>27687</v>
      </c>
      <c r="C5548" s="19">
        <v>40290</v>
      </c>
      <c r="D5548" s="6" t="s">
        <v>16</v>
      </c>
      <c r="E5548" s="6">
        <f>IF((ISBLANK($B$1)),"",Sheet1!Q5559)</f>
        <v>5300</v>
      </c>
      <c r="F5548" s="20" t="s">
        <v>26</v>
      </c>
      <c r="G5548" s="53">
        <f t="shared" si="87"/>
        <v>0.85788348675402637</v>
      </c>
      <c r="H5548" s="35"/>
      <c r="P5548" s="6"/>
    </row>
    <row r="5549" spans="1:16" ht="14.4" x14ac:dyDescent="0.25">
      <c r="A5549" s="6">
        <v>3889</v>
      </c>
      <c r="B5549" s="6">
        <v>27776</v>
      </c>
      <c r="C5549" s="19">
        <v>40302</v>
      </c>
      <c r="D5549" s="6" t="s">
        <v>25</v>
      </c>
      <c r="E5549" s="6">
        <f>IF((ISBLANK($B$1)),"",Sheet1!Q5560)</f>
        <v>5450</v>
      </c>
      <c r="F5549" s="20" t="s">
        <v>26</v>
      </c>
      <c r="G5549" s="53">
        <f t="shared" si="87"/>
        <v>1.0650266276604579</v>
      </c>
      <c r="H5549" s="35"/>
      <c r="P5549" s="6"/>
    </row>
    <row r="5550" spans="1:16" ht="14.4" x14ac:dyDescent="0.25">
      <c r="A5550" s="6">
        <v>3901</v>
      </c>
      <c r="B5550" s="6">
        <v>27813</v>
      </c>
      <c r="C5550" s="19">
        <v>39825</v>
      </c>
      <c r="D5550" s="6" t="s">
        <v>16</v>
      </c>
      <c r="E5550" s="6">
        <f>IF((ISBLANK($B$1)),"",Sheet1!Q5561)</f>
        <v>3900</v>
      </c>
      <c r="F5550" s="20" t="s">
        <v>27</v>
      </c>
      <c r="G5550" s="53">
        <f t="shared" si="87"/>
        <v>-1.0754524950393345</v>
      </c>
      <c r="H5550" s="35"/>
      <c r="P5550" s="6"/>
    </row>
    <row r="5551" spans="1:16" ht="14.4" x14ac:dyDescent="0.25">
      <c r="A5551" s="6">
        <v>3958</v>
      </c>
      <c r="B5551" s="6">
        <v>28256</v>
      </c>
      <c r="C5551" s="19">
        <v>39867</v>
      </c>
      <c r="D5551" s="6" t="s">
        <v>17</v>
      </c>
      <c r="E5551" s="6">
        <f>IF((ISBLANK($B$1)),"",Sheet1!Q5562)</f>
        <v>4350</v>
      </c>
      <c r="F5551" s="20" t="s">
        <v>26</v>
      </c>
      <c r="G5551" s="53">
        <f t="shared" si="87"/>
        <v>-0.45402307232003986</v>
      </c>
      <c r="H5551" s="35"/>
      <c r="P5551" s="6"/>
    </row>
    <row r="5552" spans="1:16" ht="14.4" x14ac:dyDescent="0.25">
      <c r="A5552" s="6">
        <v>4001</v>
      </c>
      <c r="B5552" s="6">
        <v>28550</v>
      </c>
      <c r="C5552" s="19">
        <v>40622</v>
      </c>
      <c r="D5552" s="6" t="s">
        <v>28</v>
      </c>
      <c r="E5552" s="6">
        <f>IF((ISBLANK($B$1)),"",Sheet1!Q5563)</f>
        <v>5600</v>
      </c>
      <c r="F5552" s="20" t="s">
        <v>27</v>
      </c>
      <c r="G5552" s="53">
        <f t="shared" si="87"/>
        <v>1.2721697685668893</v>
      </c>
      <c r="H5552" s="35"/>
      <c r="P5552" s="6"/>
    </row>
    <row r="5553" spans="1:16" ht="14.4" x14ac:dyDescent="0.25">
      <c r="A5553" s="6">
        <v>4002</v>
      </c>
      <c r="B5553" s="6">
        <v>28550</v>
      </c>
      <c r="C5553" s="19">
        <v>40622</v>
      </c>
      <c r="D5553" s="6" t="s">
        <v>28</v>
      </c>
      <c r="E5553" s="6">
        <f>IF((ISBLANK($B$1)),"",Sheet1!Q5564)</f>
        <v>3450</v>
      </c>
      <c r="F5553" s="20" t="s">
        <v>26</v>
      </c>
      <c r="G5553" s="53">
        <f t="shared" si="87"/>
        <v>-1.696881917758629</v>
      </c>
      <c r="H5553" s="35"/>
      <c r="P5553" s="6"/>
    </row>
    <row r="5554" spans="1:16" ht="14.4" x14ac:dyDescent="0.25">
      <c r="A5554" s="6">
        <v>4049</v>
      </c>
      <c r="B5554" s="6">
        <v>28870</v>
      </c>
      <c r="C5554" s="19">
        <v>40857</v>
      </c>
      <c r="D5554" s="6" t="s">
        <v>17</v>
      </c>
      <c r="E5554" s="6">
        <f>IF((ISBLANK($B$1)),"",Sheet1!Q5565)</f>
        <v>4750</v>
      </c>
      <c r="F5554" s="20" t="s">
        <v>27</v>
      </c>
      <c r="G5554" s="53">
        <f t="shared" si="87"/>
        <v>9.8358636763777513E-2</v>
      </c>
      <c r="H5554" s="35"/>
      <c r="P5554" s="6"/>
    </row>
    <row r="5555" spans="1:16" ht="14.4" x14ac:dyDescent="0.25">
      <c r="A5555" s="6">
        <v>4268</v>
      </c>
      <c r="B5555" s="6">
        <v>30374</v>
      </c>
      <c r="C5555" s="19">
        <v>40258</v>
      </c>
      <c r="D5555" s="6" t="s">
        <v>30</v>
      </c>
      <c r="E5555" s="6">
        <f>IF((ISBLANK($B$1)),"",Sheet1!Q5566)</f>
        <v>4000</v>
      </c>
      <c r="F5555" s="20" t="s">
        <v>26</v>
      </c>
      <c r="G5555" s="53">
        <f t="shared" si="87"/>
        <v>-0.93735706776838001</v>
      </c>
      <c r="H5555" s="35"/>
      <c r="P5555" s="6"/>
    </row>
    <row r="5556" spans="1:16" ht="14.4" x14ac:dyDescent="0.25">
      <c r="A5556" s="6">
        <v>4269</v>
      </c>
      <c r="B5556" s="6">
        <v>30374</v>
      </c>
      <c r="C5556" s="19">
        <v>40258</v>
      </c>
      <c r="D5556" s="6" t="s">
        <v>30</v>
      </c>
      <c r="E5556" s="6">
        <f>IF((ISBLANK($B$1)),"",Sheet1!Q5567)</f>
        <v>5500</v>
      </c>
      <c r="F5556" s="20" t="s">
        <v>27</v>
      </c>
      <c r="G5556" s="53">
        <f t="shared" si="87"/>
        <v>1.1340743412959351</v>
      </c>
      <c r="H5556" s="35"/>
      <c r="P5556" s="6"/>
    </row>
    <row r="5557" spans="1:16" ht="14.4" x14ac:dyDescent="0.25">
      <c r="A5557" s="6">
        <v>4288</v>
      </c>
      <c r="B5557" s="6">
        <v>30564</v>
      </c>
      <c r="C5557" s="19">
        <v>39870</v>
      </c>
      <c r="D5557" s="6" t="s">
        <v>30</v>
      </c>
      <c r="E5557" s="6">
        <f>IF((ISBLANK($B$1)),"",Sheet1!Q5568)</f>
        <v>4400</v>
      </c>
      <c r="F5557" s="20" t="s">
        <v>27</v>
      </c>
      <c r="G5557" s="53">
        <f t="shared" si="87"/>
        <v>-0.38497535868456267</v>
      </c>
      <c r="H5557" s="35"/>
      <c r="P5557" s="6"/>
    </row>
    <row r="5558" spans="1:16" ht="14.4" x14ac:dyDescent="0.25">
      <c r="A5558" s="6">
        <v>4440</v>
      </c>
      <c r="B5558" s="6">
        <v>31620</v>
      </c>
      <c r="C5558" s="19">
        <v>40766</v>
      </c>
      <c r="D5558" s="6" t="s">
        <v>30</v>
      </c>
      <c r="E5558" s="6">
        <f>IF((ISBLANK($B$1)),"",Sheet1!Q5569)</f>
        <v>4400</v>
      </c>
      <c r="F5558" s="20" t="s">
        <v>27</v>
      </c>
      <c r="G5558" s="53">
        <f t="shared" si="87"/>
        <v>-0.38497535868456267</v>
      </c>
      <c r="H5558" s="35"/>
      <c r="P5558" s="6"/>
    </row>
    <row r="5559" spans="1:16" ht="14.4" x14ac:dyDescent="0.25">
      <c r="A5559" s="6">
        <v>4458</v>
      </c>
      <c r="B5559" s="6">
        <v>31780</v>
      </c>
      <c r="C5559" s="19">
        <v>40207</v>
      </c>
      <c r="D5559" s="6" t="s">
        <v>16</v>
      </c>
      <c r="E5559" s="6">
        <f>IF((ISBLANK($B$1)),"",Sheet1!Q5570)</f>
        <v>4250</v>
      </c>
      <c r="F5559" s="20" t="s">
        <v>26</v>
      </c>
      <c r="G5559" s="53">
        <f t="shared" si="87"/>
        <v>-0.59211849959099416</v>
      </c>
      <c r="H5559" s="35"/>
      <c r="P5559" s="6"/>
    </row>
    <row r="5560" spans="1:16" ht="14.4" x14ac:dyDescent="0.25">
      <c r="A5560" s="6">
        <v>4479</v>
      </c>
      <c r="B5560" s="6">
        <v>31876</v>
      </c>
      <c r="C5560" s="19">
        <v>40670</v>
      </c>
      <c r="D5560" s="6" t="s">
        <v>17</v>
      </c>
      <c r="E5560" s="6">
        <f>IF((ISBLANK($B$1)),"",Sheet1!Q5571)</f>
        <v>3800</v>
      </c>
      <c r="F5560" s="20" t="s">
        <v>26</v>
      </c>
      <c r="G5560" s="53">
        <f t="shared" si="87"/>
        <v>-1.2135479223102887</v>
      </c>
      <c r="H5560" s="35"/>
      <c r="P5560" s="6"/>
    </row>
    <row r="5561" spans="1:16" ht="14.4" x14ac:dyDescent="0.25">
      <c r="A5561" s="6">
        <v>4549</v>
      </c>
      <c r="B5561" s="6">
        <v>32356</v>
      </c>
      <c r="C5561" s="19">
        <v>41192</v>
      </c>
      <c r="D5561" s="6" t="s">
        <v>28</v>
      </c>
      <c r="E5561" s="6">
        <f>IF((ISBLANK($B$1)),"",Sheet1!Q5572)</f>
        <v>4000</v>
      </c>
      <c r="F5561" s="20" t="s">
        <v>26</v>
      </c>
      <c r="G5561" s="53">
        <f t="shared" si="87"/>
        <v>-0.93735706776838001</v>
      </c>
      <c r="H5561" s="35"/>
      <c r="P5561" s="6"/>
    </row>
    <row r="5562" spans="1:16" ht="14.4" x14ac:dyDescent="0.25">
      <c r="A5562" s="6">
        <v>4550</v>
      </c>
      <c r="B5562" s="6">
        <v>32356</v>
      </c>
      <c r="C5562" s="19">
        <v>41192</v>
      </c>
      <c r="D5562" s="6" t="s">
        <v>28</v>
      </c>
      <c r="E5562" s="6">
        <f>IF((ISBLANK($B$1)),"",Sheet1!Q5573)</f>
        <v>5750</v>
      </c>
      <c r="F5562" s="20" t="s">
        <v>29</v>
      </c>
      <c r="G5562" s="53">
        <f t="shared" si="87"/>
        <v>1.4793129094733208</v>
      </c>
      <c r="H5562" s="35"/>
      <c r="P5562" s="6"/>
    </row>
    <row r="5563" spans="1:16" ht="14.4" x14ac:dyDescent="0.25">
      <c r="A5563" s="6">
        <v>4696</v>
      </c>
      <c r="B5563" s="6">
        <v>33473</v>
      </c>
      <c r="C5563" s="19">
        <v>40547</v>
      </c>
      <c r="D5563" s="6" t="s">
        <v>25</v>
      </c>
      <c r="E5563" s="6">
        <f>IF((ISBLANK($B$1)),"",Sheet1!Q5574)</f>
        <v>5900</v>
      </c>
      <c r="F5563" s="20" t="s">
        <v>26</v>
      </c>
      <c r="G5563" s="53">
        <f t="shared" si="87"/>
        <v>1.6864560503797523</v>
      </c>
      <c r="H5563" s="35"/>
      <c r="P5563" s="6"/>
    </row>
    <row r="5564" spans="1:16" ht="14.4" x14ac:dyDescent="0.25">
      <c r="A5564" s="6">
        <v>4923</v>
      </c>
      <c r="B5564" s="6">
        <v>35043</v>
      </c>
      <c r="C5564" s="19">
        <v>40378</v>
      </c>
      <c r="D5564" s="6" t="s">
        <v>28</v>
      </c>
      <c r="E5564" s="6">
        <f>IF((ISBLANK($B$1)),"",Sheet1!Q5575)</f>
        <v>5650</v>
      </c>
      <c r="F5564" s="20" t="s">
        <v>26</v>
      </c>
      <c r="G5564" s="53">
        <f t="shared" si="87"/>
        <v>1.3412174822023666</v>
      </c>
      <c r="H5564" s="35"/>
      <c r="P5564" s="6"/>
    </row>
    <row r="5565" spans="1:16" ht="14.4" x14ac:dyDescent="0.25">
      <c r="A5565" s="6">
        <v>4924</v>
      </c>
      <c r="B5565" s="6">
        <v>35043</v>
      </c>
      <c r="C5565" s="19">
        <v>40378</v>
      </c>
      <c r="D5565" s="6" t="s">
        <v>28</v>
      </c>
      <c r="E5565" s="6">
        <f>IF((ISBLANK($B$1)),"",Sheet1!Q5576)</f>
        <v>3850</v>
      </c>
      <c r="F5565" s="20" t="s">
        <v>27</v>
      </c>
      <c r="G5565" s="53">
        <f t="shared" si="87"/>
        <v>-1.1445002086748115</v>
      </c>
      <c r="H5565" s="35"/>
      <c r="P5565" s="6"/>
    </row>
    <row r="5566" spans="1:16" ht="14.4" x14ac:dyDescent="0.25">
      <c r="A5566" s="6">
        <v>5281</v>
      </c>
      <c r="B5566" s="6">
        <v>37603</v>
      </c>
      <c r="C5566" s="19">
        <v>40506</v>
      </c>
      <c r="D5566" s="6" t="s">
        <v>16</v>
      </c>
      <c r="E5566" s="6">
        <f>IF((ISBLANK($B$1)),"",Sheet1!Q5577)</f>
        <v>5900</v>
      </c>
      <c r="F5566" s="20" t="s">
        <v>27</v>
      </c>
      <c r="G5566" s="53">
        <f t="shared" si="87"/>
        <v>1.6864560503797523</v>
      </c>
      <c r="H5566" s="35"/>
      <c r="P5566" s="6"/>
    </row>
    <row r="5567" spans="1:16" ht="14.4" x14ac:dyDescent="0.25">
      <c r="A5567" s="6">
        <v>5282</v>
      </c>
      <c r="B5567" s="6">
        <v>37603</v>
      </c>
      <c r="C5567" s="19">
        <v>40506</v>
      </c>
      <c r="D5567" s="6" t="s">
        <v>16</v>
      </c>
      <c r="E5567" s="6">
        <f>IF((ISBLANK($B$1)),"",Sheet1!Q5578)</f>
        <v>4550</v>
      </c>
      <c r="F5567" s="20" t="s">
        <v>27</v>
      </c>
      <c r="G5567" s="53">
        <f t="shared" si="87"/>
        <v>-0.17783221777813119</v>
      </c>
      <c r="H5567" s="35"/>
      <c r="P5567" s="6"/>
    </row>
    <row r="5568" spans="1:16" ht="14.4" x14ac:dyDescent="0.25">
      <c r="A5568" s="6">
        <v>5426</v>
      </c>
      <c r="B5568" s="6">
        <v>38561</v>
      </c>
      <c r="C5568" s="19">
        <v>40785</v>
      </c>
      <c r="D5568" s="6" t="s">
        <v>30</v>
      </c>
      <c r="E5568" s="6">
        <f>IF((ISBLANK($B$1)),"",Sheet1!Q5579)</f>
        <v>4350</v>
      </c>
      <c r="F5568" s="20" t="s">
        <v>29</v>
      </c>
      <c r="G5568" s="53">
        <f t="shared" si="87"/>
        <v>-0.45402307232003986</v>
      </c>
      <c r="H5568" s="35"/>
      <c r="P5568" s="6"/>
    </row>
    <row r="5569" spans="1:16" ht="14.4" x14ac:dyDescent="0.25">
      <c r="A5569" s="6">
        <v>5629</v>
      </c>
      <c r="B5569" s="6">
        <v>39846</v>
      </c>
      <c r="C5569" s="19">
        <v>39871</v>
      </c>
      <c r="D5569" s="6" t="s">
        <v>25</v>
      </c>
      <c r="E5569" s="6">
        <f>IF((ISBLANK($B$1)),"",Sheet1!Q5580)</f>
        <v>3900</v>
      </c>
      <c r="F5569" s="20" t="s">
        <v>29</v>
      </c>
      <c r="G5569" s="53">
        <f t="shared" si="87"/>
        <v>-1.0754524950393345</v>
      </c>
      <c r="H5569" s="35"/>
      <c r="P5569" s="6"/>
    </row>
    <row r="5570" spans="1:16" ht="14.4" x14ac:dyDescent="0.25">
      <c r="A5570" s="6">
        <v>5722</v>
      </c>
      <c r="B5570" s="6">
        <v>40547</v>
      </c>
      <c r="C5570" s="19">
        <v>40003</v>
      </c>
      <c r="D5570" s="6" t="s">
        <v>30</v>
      </c>
      <c r="E5570" s="6">
        <f>IF((ISBLANK($B$1)),"",Sheet1!Q5581)</f>
        <v>5650</v>
      </c>
      <c r="F5570" s="20" t="s">
        <v>27</v>
      </c>
      <c r="G5570" s="53">
        <f t="shared" si="87"/>
        <v>1.3412174822023666</v>
      </c>
      <c r="H5570" s="35"/>
      <c r="P5570" s="6"/>
    </row>
    <row r="5571" spans="1:16" ht="14.4" x14ac:dyDescent="0.25">
      <c r="A5571" s="6">
        <v>5725</v>
      </c>
      <c r="B5571" s="6">
        <v>40611</v>
      </c>
      <c r="C5571" s="19">
        <v>40996</v>
      </c>
      <c r="D5571" s="6" t="s">
        <v>28</v>
      </c>
      <c r="E5571" s="6">
        <f>IF((ISBLANK($B$1)),"",Sheet1!Q5582)</f>
        <v>4000</v>
      </c>
      <c r="F5571" s="20" t="s">
        <v>26</v>
      </c>
      <c r="G5571" s="53">
        <f t="shared" si="87"/>
        <v>-0.93735706776838001</v>
      </c>
      <c r="H5571" s="35"/>
      <c r="P5571" s="6"/>
    </row>
    <row r="5572" spans="1:16" ht="14.4" x14ac:dyDescent="0.25">
      <c r="A5572" s="6">
        <v>5726</v>
      </c>
      <c r="B5572" s="6">
        <v>40611</v>
      </c>
      <c r="C5572" s="19">
        <v>40996</v>
      </c>
      <c r="D5572" s="6" t="s">
        <v>28</v>
      </c>
      <c r="E5572" s="6">
        <f>IF((ISBLANK($B$1)),"",Sheet1!Q5583)</f>
        <v>5550</v>
      </c>
      <c r="F5572" s="20" t="s">
        <v>27</v>
      </c>
      <c r="G5572" s="53">
        <f t="shared" si="87"/>
        <v>1.2031220549314123</v>
      </c>
      <c r="H5572" s="35"/>
      <c r="P5572" s="6"/>
    </row>
    <row r="5573" spans="1:16" ht="14.4" x14ac:dyDescent="0.25">
      <c r="A5573" s="6">
        <v>5762</v>
      </c>
      <c r="B5573" s="6">
        <v>40901</v>
      </c>
      <c r="C5573" s="19">
        <v>41119</v>
      </c>
      <c r="D5573" s="6" t="s">
        <v>16</v>
      </c>
      <c r="E5573" s="6">
        <f>IF((ISBLANK($B$1)),"",Sheet1!Q5584)</f>
        <v>5400</v>
      </c>
      <c r="F5573" s="20" t="s">
        <v>27</v>
      </c>
      <c r="G5573" s="53">
        <f t="shared" si="87"/>
        <v>0.99597891402498073</v>
      </c>
      <c r="H5573" s="35"/>
      <c r="P5573" s="6"/>
    </row>
    <row r="5574" spans="1:16" ht="14.4" x14ac:dyDescent="0.25">
      <c r="A5574" s="6">
        <v>5763</v>
      </c>
      <c r="B5574" s="6">
        <v>40901</v>
      </c>
      <c r="C5574" s="19">
        <v>41119</v>
      </c>
      <c r="D5574" s="6" t="s">
        <v>16</v>
      </c>
      <c r="E5574" s="6">
        <f>IF((ISBLANK($B$1)),"",Sheet1!Q5585)</f>
        <v>4500</v>
      </c>
      <c r="F5574" s="20" t="s">
        <v>27</v>
      </c>
      <c r="G5574" s="53">
        <f t="shared" si="87"/>
        <v>-0.24687993141360834</v>
      </c>
      <c r="H5574" s="35"/>
      <c r="P5574" s="6"/>
    </row>
    <row r="5575" spans="1:16" ht="14.4" x14ac:dyDescent="0.25">
      <c r="A5575" s="6">
        <v>5867</v>
      </c>
      <c r="B5575" s="6">
        <v>41634</v>
      </c>
      <c r="C5575" s="19">
        <v>41251</v>
      </c>
      <c r="D5575" s="6" t="s">
        <v>28</v>
      </c>
      <c r="E5575" s="6">
        <f>IF((ISBLANK($B$1)),"",Sheet1!Q5586)</f>
        <v>3750</v>
      </c>
      <c r="F5575" s="20" t="s">
        <v>27</v>
      </c>
      <c r="G5575" s="53">
        <f t="shared" si="87"/>
        <v>-1.282595635945766</v>
      </c>
      <c r="H5575" s="35"/>
      <c r="P5575" s="6"/>
    </row>
    <row r="5576" spans="1:16" ht="14.4" x14ac:dyDescent="0.25">
      <c r="A5576" s="6">
        <v>5868</v>
      </c>
      <c r="B5576" s="6">
        <v>41634</v>
      </c>
      <c r="C5576" s="19">
        <v>41251</v>
      </c>
      <c r="D5576" s="6" t="s">
        <v>28</v>
      </c>
      <c r="E5576" s="6">
        <f>IF((ISBLANK($B$1)),"",Sheet1!Q5587)</f>
        <v>3900</v>
      </c>
      <c r="F5576" s="20" t="s">
        <v>26</v>
      </c>
      <c r="G5576" s="53">
        <f t="shared" ref="G5576:G5639" si="88">STANDARDIZE(E5576,$L$26,$L$35)</f>
        <v>-1.0754524950393345</v>
      </c>
      <c r="H5576" s="35"/>
      <c r="P5576" s="6"/>
    </row>
    <row r="5577" spans="1:16" ht="14.4" x14ac:dyDescent="0.25">
      <c r="A5577" s="6">
        <v>5889</v>
      </c>
      <c r="B5577" s="6">
        <v>41766</v>
      </c>
      <c r="C5577" s="19">
        <v>41163</v>
      </c>
      <c r="D5577" s="6" t="s">
        <v>30</v>
      </c>
      <c r="E5577" s="6">
        <f>IF((ISBLANK($B$1)),"",Sheet1!Q5588)</f>
        <v>3900</v>
      </c>
      <c r="F5577" s="20" t="s">
        <v>27</v>
      </c>
      <c r="G5577" s="53">
        <f t="shared" si="88"/>
        <v>-1.0754524950393345</v>
      </c>
      <c r="H5577" s="35"/>
      <c r="P5577" s="6"/>
    </row>
    <row r="5578" spans="1:16" ht="14.4" x14ac:dyDescent="0.25">
      <c r="A5578" s="6">
        <v>5916</v>
      </c>
      <c r="B5578" s="6">
        <v>41956</v>
      </c>
      <c r="C5578" s="19">
        <v>40889</v>
      </c>
      <c r="D5578" s="6" t="s">
        <v>16</v>
      </c>
      <c r="E5578" s="6">
        <f>IF((ISBLANK($B$1)),"",Sheet1!Q5589)</f>
        <v>4500</v>
      </c>
      <c r="F5578" s="20" t="s">
        <v>26</v>
      </c>
      <c r="G5578" s="53">
        <f t="shared" si="88"/>
        <v>-0.24687993141360834</v>
      </c>
      <c r="H5578" s="35"/>
      <c r="P5578" s="6"/>
    </row>
    <row r="5579" spans="1:16" ht="14.4" x14ac:dyDescent="0.25">
      <c r="A5579" s="6">
        <v>5917</v>
      </c>
      <c r="B5579" s="6">
        <v>41956</v>
      </c>
      <c r="C5579" s="19">
        <v>40889</v>
      </c>
      <c r="D5579" s="6" t="s">
        <v>16</v>
      </c>
      <c r="E5579" s="6">
        <f>IF((ISBLANK($B$1)),"",Sheet1!Q5590)</f>
        <v>4200</v>
      </c>
      <c r="F5579" s="20" t="s">
        <v>27</v>
      </c>
      <c r="G5579" s="53">
        <f t="shared" si="88"/>
        <v>-0.6611662132264714</v>
      </c>
      <c r="H5579" s="35"/>
      <c r="P5579" s="6"/>
    </row>
    <row r="5580" spans="1:16" ht="14.4" x14ac:dyDescent="0.25">
      <c r="A5580" s="6">
        <v>6310</v>
      </c>
      <c r="B5580" s="6">
        <v>44646</v>
      </c>
      <c r="C5580" s="19">
        <v>40912</v>
      </c>
      <c r="D5580" s="6" t="s">
        <v>25</v>
      </c>
      <c r="E5580" s="6">
        <f>IF((ISBLANK($B$1)),"",Sheet1!Q5591)</f>
        <v>5750</v>
      </c>
      <c r="F5580" s="20" t="s">
        <v>26</v>
      </c>
      <c r="G5580" s="53">
        <f t="shared" si="88"/>
        <v>1.4793129094733208</v>
      </c>
      <c r="H5580" s="35"/>
      <c r="P5580" s="6"/>
    </row>
    <row r="5581" spans="1:16" ht="14.4" x14ac:dyDescent="0.25">
      <c r="A5581" s="6">
        <v>6444</v>
      </c>
      <c r="B5581" s="6">
        <v>45825</v>
      </c>
      <c r="C5581" s="19">
        <v>41189</v>
      </c>
      <c r="D5581" s="6" t="s">
        <v>16</v>
      </c>
      <c r="E5581" s="6">
        <f>IF((ISBLANK($B$1)),"",Sheet1!Q5592)</f>
        <v>5550</v>
      </c>
      <c r="F5581" s="20" t="s">
        <v>26</v>
      </c>
      <c r="G5581" s="53">
        <f t="shared" si="88"/>
        <v>1.2031220549314123</v>
      </c>
      <c r="H5581" s="35"/>
      <c r="P5581" s="6"/>
    </row>
    <row r="5582" spans="1:16" ht="14.4" x14ac:dyDescent="0.25">
      <c r="A5582" s="6">
        <v>6641</v>
      </c>
      <c r="B5582" s="6">
        <v>47232</v>
      </c>
      <c r="C5582" s="19">
        <v>40407</v>
      </c>
      <c r="D5582" s="6" t="s">
        <v>28</v>
      </c>
      <c r="E5582" s="6">
        <f>IF((ISBLANK($B$1)),"",Sheet1!Q5593)</f>
        <v>5350</v>
      </c>
      <c r="F5582" s="20" t="s">
        <v>26</v>
      </c>
      <c r="G5582" s="53">
        <f t="shared" si="88"/>
        <v>0.92693120038950361</v>
      </c>
      <c r="H5582" s="35"/>
      <c r="P5582" s="6"/>
    </row>
    <row r="5583" spans="1:16" ht="14.4" x14ac:dyDescent="0.25">
      <c r="A5583" s="6">
        <v>6915</v>
      </c>
      <c r="B5583" s="6">
        <v>49344</v>
      </c>
      <c r="C5583" s="19">
        <v>41273</v>
      </c>
      <c r="D5583" s="6" t="s">
        <v>25</v>
      </c>
      <c r="E5583" s="6">
        <f>IF((ISBLANK($B$1)),"",Sheet1!Q5594)</f>
        <v>4950</v>
      </c>
      <c r="F5583" s="20" t="s">
        <v>27</v>
      </c>
      <c r="G5583" s="53">
        <f t="shared" si="88"/>
        <v>0.37454949130568621</v>
      </c>
      <c r="H5583" s="35"/>
      <c r="P5583" s="6"/>
    </row>
    <row r="5584" spans="1:16" ht="14.4" x14ac:dyDescent="0.25">
      <c r="A5584" s="6">
        <v>6916</v>
      </c>
      <c r="B5584" s="6">
        <v>49344</v>
      </c>
      <c r="C5584" s="19">
        <v>41273</v>
      </c>
      <c r="D5584" s="6" t="s">
        <v>25</v>
      </c>
      <c r="E5584" s="6">
        <f>IF((ISBLANK($B$1)),"",Sheet1!Q5595)</f>
        <v>3450</v>
      </c>
      <c r="F5584" s="20" t="s">
        <v>26</v>
      </c>
      <c r="G5584" s="53">
        <f t="shared" si="88"/>
        <v>-1.696881917758629</v>
      </c>
      <c r="H5584" s="35"/>
      <c r="P5584" s="6"/>
    </row>
    <row r="5585" spans="1:16" ht="14.4" x14ac:dyDescent="0.25">
      <c r="A5585" s="6">
        <v>6922</v>
      </c>
      <c r="B5585" s="6">
        <v>49351</v>
      </c>
      <c r="C5585" s="19">
        <v>40998</v>
      </c>
      <c r="D5585" s="6" t="s">
        <v>25</v>
      </c>
      <c r="E5585" s="6">
        <f>IF((ISBLANK($B$1)),"",Sheet1!Q5596)</f>
        <v>4750</v>
      </c>
      <c r="F5585" s="20" t="s">
        <v>26</v>
      </c>
      <c r="G5585" s="53">
        <f t="shared" si="88"/>
        <v>9.8358636763777513E-2</v>
      </c>
      <c r="H5585" s="35"/>
      <c r="P5585" s="6"/>
    </row>
    <row r="5586" spans="1:16" ht="14.4" x14ac:dyDescent="0.25">
      <c r="A5586" s="6">
        <v>6939</v>
      </c>
      <c r="B5586" s="6">
        <v>49511</v>
      </c>
      <c r="C5586" s="19">
        <v>39923</v>
      </c>
      <c r="D5586" s="6" t="s">
        <v>17</v>
      </c>
      <c r="E5586" s="6">
        <f>IF((ISBLANK($B$1)),"",Sheet1!Q5597)</f>
        <v>5150</v>
      </c>
      <c r="F5586" s="20" t="s">
        <v>26</v>
      </c>
      <c r="G5586" s="53">
        <f t="shared" si="88"/>
        <v>0.65074034584759488</v>
      </c>
      <c r="H5586" s="35"/>
      <c r="P5586" s="6"/>
    </row>
    <row r="5587" spans="1:16" ht="14.4" x14ac:dyDescent="0.25">
      <c r="A5587" s="6">
        <v>7358</v>
      </c>
      <c r="B5587" s="6">
        <v>52419</v>
      </c>
      <c r="C5587" s="19">
        <v>41170</v>
      </c>
      <c r="D5587" s="6" t="s">
        <v>17</v>
      </c>
      <c r="E5587" s="6">
        <f>IF((ISBLANK($B$1)),"",Sheet1!Q5598)</f>
        <v>5000</v>
      </c>
      <c r="F5587" s="20" t="s">
        <v>26</v>
      </c>
      <c r="G5587" s="53">
        <f t="shared" si="88"/>
        <v>0.44359720494116334</v>
      </c>
      <c r="H5587" s="35"/>
      <c r="P5587" s="6"/>
    </row>
    <row r="5588" spans="1:16" ht="14.4" x14ac:dyDescent="0.25">
      <c r="A5588" s="6">
        <v>7440</v>
      </c>
      <c r="B5588" s="6">
        <v>53029</v>
      </c>
      <c r="C5588" s="19">
        <v>40021</v>
      </c>
      <c r="D5588" s="6" t="s">
        <v>25</v>
      </c>
      <c r="E5588" s="6">
        <f>IF((ISBLANK($B$1)),"",Sheet1!Q5599)</f>
        <v>5350</v>
      </c>
      <c r="F5588" s="20" t="s">
        <v>26</v>
      </c>
      <c r="G5588" s="53">
        <f t="shared" si="88"/>
        <v>0.92693120038950361</v>
      </c>
      <c r="H5588" s="35"/>
      <c r="P5588" s="6"/>
    </row>
    <row r="5589" spans="1:16" ht="14.4" x14ac:dyDescent="0.25">
      <c r="A5589" s="6">
        <v>7644</v>
      </c>
      <c r="B5589" s="6">
        <v>54786</v>
      </c>
      <c r="C5589" s="19">
        <v>40919</v>
      </c>
      <c r="D5589" s="6" t="s">
        <v>28</v>
      </c>
      <c r="E5589" s="6">
        <f>IF((ISBLANK($B$1)),"",Sheet1!Q5600)</f>
        <v>4900</v>
      </c>
      <c r="F5589" s="20" t="s">
        <v>26</v>
      </c>
      <c r="G5589" s="53">
        <f t="shared" si="88"/>
        <v>0.30550177767020903</v>
      </c>
      <c r="H5589" s="35"/>
      <c r="P5589" s="6"/>
    </row>
    <row r="5590" spans="1:16" ht="14.4" x14ac:dyDescent="0.25">
      <c r="A5590" s="6">
        <v>7728</v>
      </c>
      <c r="B5590" s="6">
        <v>55362</v>
      </c>
      <c r="C5590" s="19">
        <v>40653</v>
      </c>
      <c r="D5590" s="6" t="s">
        <v>17</v>
      </c>
      <c r="E5590" s="6">
        <f>IF((ISBLANK($B$1)),"",Sheet1!Q5601)</f>
        <v>4600</v>
      </c>
      <c r="F5590" s="20" t="s">
        <v>26</v>
      </c>
      <c r="G5590" s="53">
        <f t="shared" si="88"/>
        <v>-0.108784504142654</v>
      </c>
      <c r="H5590" s="35"/>
      <c r="P5590" s="6"/>
    </row>
    <row r="5591" spans="1:16" ht="14.4" x14ac:dyDescent="0.25">
      <c r="A5591" s="6">
        <v>7844</v>
      </c>
      <c r="B5591" s="6">
        <v>56099</v>
      </c>
      <c r="C5591" s="19">
        <v>40456</v>
      </c>
      <c r="D5591" s="6" t="s">
        <v>25</v>
      </c>
      <c r="E5591" s="6">
        <f>IF((ISBLANK($B$1)),"",Sheet1!Q5602)</f>
        <v>3950</v>
      </c>
      <c r="F5591" s="20" t="s">
        <v>26</v>
      </c>
      <c r="G5591" s="53">
        <f t="shared" si="88"/>
        <v>-1.0064047814038573</v>
      </c>
      <c r="H5591" s="35"/>
      <c r="P5591" s="6"/>
    </row>
    <row r="5592" spans="1:16" ht="14.4" x14ac:dyDescent="0.25">
      <c r="A5592" s="6">
        <v>7903</v>
      </c>
      <c r="B5592" s="6">
        <v>56516</v>
      </c>
      <c r="C5592" s="19">
        <v>40028</v>
      </c>
      <c r="D5592" s="6" t="s">
        <v>16</v>
      </c>
      <c r="E5592" s="6">
        <f>IF((ISBLANK($B$1)),"",Sheet1!Q5603)</f>
        <v>3700</v>
      </c>
      <c r="F5592" s="20" t="s">
        <v>26</v>
      </c>
      <c r="G5592" s="53">
        <f t="shared" si="88"/>
        <v>-1.351643349581243</v>
      </c>
      <c r="H5592" s="35"/>
      <c r="P5592" s="6"/>
    </row>
    <row r="5593" spans="1:16" ht="14.4" x14ac:dyDescent="0.25">
      <c r="A5593" s="6">
        <v>7904</v>
      </c>
      <c r="B5593" s="6">
        <v>56516</v>
      </c>
      <c r="C5593" s="19">
        <v>40028</v>
      </c>
      <c r="D5593" s="6" t="s">
        <v>16</v>
      </c>
      <c r="E5593" s="6">
        <f>IF((ISBLANK($B$1)),"",Sheet1!Q5604)</f>
        <v>4600</v>
      </c>
      <c r="F5593" s="20" t="s">
        <v>27</v>
      </c>
      <c r="G5593" s="53">
        <f t="shared" si="88"/>
        <v>-0.108784504142654</v>
      </c>
      <c r="H5593" s="35"/>
      <c r="P5593" s="6"/>
    </row>
    <row r="5594" spans="1:16" ht="14.4" x14ac:dyDescent="0.25">
      <c r="A5594" s="6">
        <v>8331</v>
      </c>
      <c r="B5594" s="6">
        <v>59556</v>
      </c>
      <c r="C5594" s="19">
        <v>40162</v>
      </c>
      <c r="D5594" s="6" t="s">
        <v>28</v>
      </c>
      <c r="E5594" s="6">
        <f>IF((ISBLANK($B$1)),"",Sheet1!Q5605)</f>
        <v>4750</v>
      </c>
      <c r="F5594" s="20" t="s">
        <v>26</v>
      </c>
      <c r="G5594" s="53">
        <f t="shared" si="88"/>
        <v>9.8358636763777513E-2</v>
      </c>
      <c r="H5594" s="35"/>
      <c r="P5594" s="6"/>
    </row>
    <row r="5595" spans="1:16" ht="14.4" x14ac:dyDescent="0.25">
      <c r="A5595" s="6">
        <v>8332</v>
      </c>
      <c r="B5595" s="6">
        <v>59556</v>
      </c>
      <c r="C5595" s="19">
        <v>40162</v>
      </c>
      <c r="D5595" s="6" t="s">
        <v>28</v>
      </c>
      <c r="E5595" s="6">
        <f>IF((ISBLANK($B$1)),"",Sheet1!Q5606)</f>
        <v>3650</v>
      </c>
      <c r="F5595" s="20" t="s">
        <v>27</v>
      </c>
      <c r="G5595" s="53">
        <f t="shared" si="88"/>
        <v>-1.4206910632167202</v>
      </c>
      <c r="H5595" s="35"/>
      <c r="P5595" s="6"/>
    </row>
    <row r="5596" spans="1:16" ht="14.4" x14ac:dyDescent="0.25">
      <c r="A5596" s="6">
        <v>8364</v>
      </c>
      <c r="B5596" s="6">
        <v>59779</v>
      </c>
      <c r="C5596" s="19">
        <v>39950</v>
      </c>
      <c r="D5596" s="6" t="s">
        <v>25</v>
      </c>
      <c r="E5596" s="6">
        <f>IF((ISBLANK($B$1)),"",Sheet1!Q5607)</f>
        <v>4900</v>
      </c>
      <c r="F5596" s="20" t="s">
        <v>29</v>
      </c>
      <c r="G5596" s="53">
        <f t="shared" si="88"/>
        <v>0.30550177767020903</v>
      </c>
      <c r="H5596" s="35"/>
      <c r="P5596" s="6"/>
    </row>
    <row r="5597" spans="1:16" ht="14.4" x14ac:dyDescent="0.25">
      <c r="A5597" s="6">
        <v>183</v>
      </c>
      <c r="B5597" s="6">
        <v>1217</v>
      </c>
      <c r="C5597" s="19">
        <v>41024</v>
      </c>
      <c r="D5597" s="6" t="s">
        <v>28</v>
      </c>
      <c r="E5597" s="6">
        <f>IF((ISBLANK($B$1)),"",Sheet1!Q5608)</f>
        <v>4650</v>
      </c>
      <c r="F5597" s="20" t="s">
        <v>27</v>
      </c>
      <c r="G5597" s="53">
        <f t="shared" si="88"/>
        <v>-3.9736790507176829E-2</v>
      </c>
      <c r="H5597" s="35"/>
      <c r="P5597" s="6"/>
    </row>
    <row r="5598" spans="1:16" ht="14.4" x14ac:dyDescent="0.25">
      <c r="A5598" s="6">
        <v>245</v>
      </c>
      <c r="B5598" s="6">
        <v>1666</v>
      </c>
      <c r="C5598" s="19">
        <v>40833</v>
      </c>
      <c r="D5598" s="6" t="s">
        <v>30</v>
      </c>
      <c r="E5598" s="6">
        <f>IF((ISBLANK($B$1)),"",Sheet1!Q5609)</f>
        <v>4350</v>
      </c>
      <c r="F5598" s="20" t="s">
        <v>26</v>
      </c>
      <c r="G5598" s="53">
        <f t="shared" si="88"/>
        <v>-0.45402307232003986</v>
      </c>
      <c r="H5598" s="35"/>
      <c r="P5598" s="6"/>
    </row>
    <row r="5599" spans="1:16" ht="14.4" x14ac:dyDescent="0.25">
      <c r="A5599" s="6">
        <v>265</v>
      </c>
      <c r="B5599" s="6">
        <v>1829</v>
      </c>
      <c r="C5599" s="19">
        <v>39940</v>
      </c>
      <c r="D5599" s="6" t="s">
        <v>17</v>
      </c>
      <c r="E5599" s="6">
        <f>IF((ISBLANK($B$1)),"",Sheet1!Q5610)</f>
        <v>5800</v>
      </c>
      <c r="F5599" s="20" t="s">
        <v>26</v>
      </c>
      <c r="G5599" s="53">
        <f t="shared" si="88"/>
        <v>1.5483606231087981</v>
      </c>
      <c r="H5599" s="35"/>
      <c r="P5599" s="6"/>
    </row>
    <row r="5600" spans="1:16" ht="14.4" x14ac:dyDescent="0.25">
      <c r="A5600" s="6">
        <v>468</v>
      </c>
      <c r="B5600" s="6">
        <v>3202</v>
      </c>
      <c r="C5600" s="19">
        <v>41266</v>
      </c>
      <c r="D5600" s="6" t="s">
        <v>25</v>
      </c>
      <c r="E5600" s="6">
        <f>IF((ISBLANK($B$1)),"",Sheet1!Q5611)</f>
        <v>3900</v>
      </c>
      <c r="F5600" s="20" t="s">
        <v>27</v>
      </c>
      <c r="G5600" s="53">
        <f t="shared" si="88"/>
        <v>-1.0754524950393345</v>
      </c>
      <c r="H5600" s="35"/>
      <c r="P5600" s="6"/>
    </row>
    <row r="5601" spans="1:16" ht="14.4" x14ac:dyDescent="0.25">
      <c r="A5601" s="6">
        <v>697</v>
      </c>
      <c r="B5601" s="6">
        <v>4871</v>
      </c>
      <c r="C5601" s="19">
        <v>40705</v>
      </c>
      <c r="D5601" s="6" t="s">
        <v>30</v>
      </c>
      <c r="E5601" s="6">
        <f>IF((ISBLANK($B$1)),"",Sheet1!Q5612)</f>
        <v>3800</v>
      </c>
      <c r="F5601" s="20" t="s">
        <v>29</v>
      </c>
      <c r="G5601" s="53">
        <f t="shared" si="88"/>
        <v>-1.2135479223102887</v>
      </c>
      <c r="H5601" s="35"/>
      <c r="P5601" s="6"/>
    </row>
    <row r="5602" spans="1:16" ht="14.4" x14ac:dyDescent="0.25">
      <c r="A5602" s="6">
        <v>698</v>
      </c>
      <c r="B5602" s="6">
        <v>4871</v>
      </c>
      <c r="C5602" s="19">
        <v>40705</v>
      </c>
      <c r="D5602" s="6" t="s">
        <v>30</v>
      </c>
      <c r="E5602" s="6">
        <f>IF((ISBLANK($B$1)),"",Sheet1!Q5613)</f>
        <v>4700</v>
      </c>
      <c r="F5602" s="20" t="s">
        <v>26</v>
      </c>
      <c r="G5602" s="53">
        <f t="shared" si="88"/>
        <v>2.9310923128300338E-2</v>
      </c>
      <c r="H5602" s="35"/>
      <c r="P5602" s="6"/>
    </row>
    <row r="5603" spans="1:16" ht="14.4" x14ac:dyDescent="0.25">
      <c r="A5603" s="6">
        <v>866</v>
      </c>
      <c r="B5603" s="6">
        <v>6211</v>
      </c>
      <c r="C5603" s="19">
        <v>40140</v>
      </c>
      <c r="D5603" s="6" t="s">
        <v>30</v>
      </c>
      <c r="E5603" s="6">
        <f>IF((ISBLANK($B$1)),"",Sheet1!Q5614)</f>
        <v>4800</v>
      </c>
      <c r="F5603" s="20" t="s">
        <v>26</v>
      </c>
      <c r="G5603" s="53">
        <f t="shared" si="88"/>
        <v>0.16740635039925467</v>
      </c>
      <c r="H5603" s="35"/>
      <c r="P5603" s="6"/>
    </row>
    <row r="5604" spans="1:16" ht="14.4" x14ac:dyDescent="0.25">
      <c r="A5604" s="6">
        <v>867</v>
      </c>
      <c r="B5604" s="6">
        <v>6211</v>
      </c>
      <c r="C5604" s="19">
        <v>40140</v>
      </c>
      <c r="D5604" s="6" t="s">
        <v>30</v>
      </c>
      <c r="E5604" s="6">
        <f>IF((ISBLANK($B$1)),"",Sheet1!Q5615)</f>
        <v>3550</v>
      </c>
      <c r="F5604" s="20" t="s">
        <v>26</v>
      </c>
      <c r="G5604" s="53">
        <f t="shared" si="88"/>
        <v>-1.5587864904876745</v>
      </c>
      <c r="H5604" s="35"/>
      <c r="P5604" s="6"/>
    </row>
    <row r="5605" spans="1:16" ht="14.4" x14ac:dyDescent="0.25">
      <c r="A5605" s="6">
        <v>1007</v>
      </c>
      <c r="B5605" s="6">
        <v>7363</v>
      </c>
      <c r="C5605" s="19">
        <v>40491</v>
      </c>
      <c r="D5605" s="6" t="s">
        <v>16</v>
      </c>
      <c r="E5605" s="6">
        <f>IF((ISBLANK($B$1)),"",Sheet1!Q5616)</f>
        <v>4600</v>
      </c>
      <c r="F5605" s="20" t="s">
        <v>29</v>
      </c>
      <c r="G5605" s="53">
        <f t="shared" si="88"/>
        <v>-0.108784504142654</v>
      </c>
      <c r="H5605" s="35"/>
      <c r="P5605" s="6"/>
    </row>
    <row r="5606" spans="1:16" ht="14.4" x14ac:dyDescent="0.25">
      <c r="A5606" s="6">
        <v>1109</v>
      </c>
      <c r="B5606" s="6">
        <v>8133</v>
      </c>
      <c r="C5606" s="19">
        <v>40600</v>
      </c>
      <c r="D5606" s="6" t="s">
        <v>16</v>
      </c>
      <c r="E5606" s="6">
        <f>IF((ISBLANK($B$1)),"",Sheet1!Q5617)</f>
        <v>3950</v>
      </c>
      <c r="F5606" s="20" t="s">
        <v>26</v>
      </c>
      <c r="G5606" s="53">
        <f t="shared" si="88"/>
        <v>-1.0064047814038573</v>
      </c>
      <c r="H5606" s="35"/>
      <c r="P5606" s="6"/>
    </row>
    <row r="5607" spans="1:16" ht="14.4" x14ac:dyDescent="0.25">
      <c r="A5607" s="6">
        <v>1155</v>
      </c>
      <c r="B5607" s="6">
        <v>8416</v>
      </c>
      <c r="C5607" s="19">
        <v>40396</v>
      </c>
      <c r="D5607" s="6" t="s">
        <v>25</v>
      </c>
      <c r="E5607" s="6">
        <f>IF((ISBLANK($B$1)),"",Sheet1!Q5618)</f>
        <v>3500</v>
      </c>
      <c r="F5607" s="20" t="s">
        <v>26</v>
      </c>
      <c r="G5607" s="53">
        <f t="shared" si="88"/>
        <v>-1.6278342041231517</v>
      </c>
      <c r="H5607" s="35"/>
      <c r="P5607" s="6"/>
    </row>
    <row r="5608" spans="1:16" ht="14.4" x14ac:dyDescent="0.25">
      <c r="A5608" s="6">
        <v>1199</v>
      </c>
      <c r="B5608" s="6">
        <v>8802</v>
      </c>
      <c r="C5608" s="19">
        <v>40574</v>
      </c>
      <c r="D5608" s="6" t="s">
        <v>16</v>
      </c>
      <c r="E5608" s="6">
        <f>IF((ISBLANK($B$1)),"",Sheet1!Q5619)</f>
        <v>4150</v>
      </c>
      <c r="F5608" s="20" t="s">
        <v>26</v>
      </c>
      <c r="G5608" s="53">
        <f t="shared" si="88"/>
        <v>-0.73021392686194853</v>
      </c>
      <c r="H5608" s="35"/>
      <c r="P5608" s="6"/>
    </row>
    <row r="5609" spans="1:16" ht="14.4" x14ac:dyDescent="0.25">
      <c r="A5609" s="6">
        <v>1315</v>
      </c>
      <c r="B5609" s="6">
        <v>9637</v>
      </c>
      <c r="C5609" s="19">
        <v>39816</v>
      </c>
      <c r="D5609" s="6" t="s">
        <v>25</v>
      </c>
      <c r="E5609" s="6">
        <f>IF((ISBLANK($B$1)),"",Sheet1!Q5620)</f>
        <v>4000</v>
      </c>
      <c r="F5609" s="20" t="s">
        <v>27</v>
      </c>
      <c r="G5609" s="53">
        <f t="shared" si="88"/>
        <v>-0.93735706776838001</v>
      </c>
      <c r="H5609" s="35"/>
      <c r="P5609" s="6"/>
    </row>
    <row r="5610" spans="1:16" ht="14.4" x14ac:dyDescent="0.25">
      <c r="A5610" s="6">
        <v>1316</v>
      </c>
      <c r="B5610" s="6">
        <v>9637</v>
      </c>
      <c r="C5610" s="19">
        <v>39816</v>
      </c>
      <c r="D5610" s="6" t="s">
        <v>25</v>
      </c>
      <c r="E5610" s="6">
        <f>IF((ISBLANK($B$1)),"",Sheet1!Q5621)</f>
        <v>5850</v>
      </c>
      <c r="F5610" s="20" t="s">
        <v>27</v>
      </c>
      <c r="G5610" s="53">
        <f t="shared" si="88"/>
        <v>1.6174083367442753</v>
      </c>
      <c r="H5610" s="35"/>
      <c r="P5610" s="6"/>
    </row>
    <row r="5611" spans="1:16" ht="14.4" x14ac:dyDescent="0.25">
      <c r="A5611" s="6">
        <v>1317</v>
      </c>
      <c r="B5611" s="6">
        <v>9637</v>
      </c>
      <c r="C5611" s="19">
        <v>39816</v>
      </c>
      <c r="D5611" s="6" t="s">
        <v>25</v>
      </c>
      <c r="E5611" s="6">
        <f>IF((ISBLANK($B$1)),"",Sheet1!Q5622)</f>
        <v>4000</v>
      </c>
      <c r="F5611" s="20" t="s">
        <v>26</v>
      </c>
      <c r="G5611" s="53">
        <f t="shared" si="88"/>
        <v>-0.93735706776838001</v>
      </c>
      <c r="H5611" s="35"/>
      <c r="P5611" s="6"/>
    </row>
    <row r="5612" spans="1:16" ht="14.4" x14ac:dyDescent="0.25">
      <c r="A5612" s="6">
        <v>1327</v>
      </c>
      <c r="B5612" s="6">
        <v>9671</v>
      </c>
      <c r="C5612" s="19">
        <v>40798</v>
      </c>
      <c r="D5612" s="6" t="s">
        <v>17</v>
      </c>
      <c r="E5612" s="6">
        <f>IF((ISBLANK($B$1)),"",Sheet1!Q5623)</f>
        <v>3700</v>
      </c>
      <c r="F5612" s="20" t="s">
        <v>26</v>
      </c>
      <c r="G5612" s="53">
        <f t="shared" si="88"/>
        <v>-1.351643349581243</v>
      </c>
      <c r="H5612" s="35"/>
      <c r="P5612" s="6"/>
    </row>
    <row r="5613" spans="1:16" ht="14.4" x14ac:dyDescent="0.25">
      <c r="A5613" s="6">
        <v>1378</v>
      </c>
      <c r="B5613" s="6">
        <v>9957</v>
      </c>
      <c r="C5613" s="19">
        <v>40512</v>
      </c>
      <c r="D5613" s="6" t="s">
        <v>28</v>
      </c>
      <c r="E5613" s="6">
        <f>IF((ISBLANK($B$1)),"",Sheet1!Q5624)</f>
        <v>4950</v>
      </c>
      <c r="F5613" s="20" t="s">
        <v>26</v>
      </c>
      <c r="G5613" s="53">
        <f t="shared" si="88"/>
        <v>0.37454949130568621</v>
      </c>
      <c r="H5613" s="35"/>
      <c r="P5613" s="6"/>
    </row>
    <row r="5614" spans="1:16" ht="14.4" x14ac:dyDescent="0.25">
      <c r="A5614" s="6">
        <v>1467</v>
      </c>
      <c r="B5614" s="6">
        <v>10567</v>
      </c>
      <c r="C5614" s="19">
        <v>40997</v>
      </c>
      <c r="D5614" s="6" t="s">
        <v>17</v>
      </c>
      <c r="E5614" s="6">
        <f>IF((ISBLANK($B$1)),"",Sheet1!Q5625)</f>
        <v>3900</v>
      </c>
      <c r="F5614" s="20" t="s">
        <v>29</v>
      </c>
      <c r="G5614" s="53">
        <f t="shared" si="88"/>
        <v>-1.0754524950393345</v>
      </c>
      <c r="H5614" s="35"/>
      <c r="P5614" s="6"/>
    </row>
    <row r="5615" spans="1:16" ht="14.4" x14ac:dyDescent="0.25">
      <c r="A5615" s="6">
        <v>1760</v>
      </c>
      <c r="B5615" s="6">
        <v>12613</v>
      </c>
      <c r="C5615" s="19">
        <v>40278</v>
      </c>
      <c r="D5615" s="6" t="s">
        <v>16</v>
      </c>
      <c r="E5615" s="6">
        <f>IF((ISBLANK($B$1)),"",Sheet1!Q5626)</f>
        <v>3550</v>
      </c>
      <c r="F5615" s="20" t="s">
        <v>26</v>
      </c>
      <c r="G5615" s="53">
        <f t="shared" si="88"/>
        <v>-1.5587864904876745</v>
      </c>
      <c r="H5615" s="35"/>
      <c r="P5615" s="6"/>
    </row>
    <row r="5616" spans="1:16" ht="14.4" x14ac:dyDescent="0.25">
      <c r="A5616" s="6">
        <v>1761</v>
      </c>
      <c r="B5616" s="6">
        <v>12613</v>
      </c>
      <c r="C5616" s="19">
        <v>40278</v>
      </c>
      <c r="D5616" s="6" t="s">
        <v>16</v>
      </c>
      <c r="E5616" s="6">
        <f>IF((ISBLANK($B$1)),"",Sheet1!Q5627)</f>
        <v>4800</v>
      </c>
      <c r="F5616" s="20" t="s">
        <v>26</v>
      </c>
      <c r="G5616" s="53">
        <f t="shared" si="88"/>
        <v>0.16740635039925467</v>
      </c>
      <c r="H5616" s="35"/>
      <c r="P5616" s="6"/>
    </row>
    <row r="5617" spans="1:16" ht="14.4" x14ac:dyDescent="0.25">
      <c r="A5617" s="6">
        <v>1762</v>
      </c>
      <c r="B5617" s="6">
        <v>12613</v>
      </c>
      <c r="C5617" s="19">
        <v>40278</v>
      </c>
      <c r="D5617" s="6" t="s">
        <v>16</v>
      </c>
      <c r="E5617" s="6">
        <f>IF((ISBLANK($B$1)),"",Sheet1!Q5628)</f>
        <v>4300</v>
      </c>
      <c r="F5617" s="20" t="s">
        <v>29</v>
      </c>
      <c r="G5617" s="53">
        <f t="shared" si="88"/>
        <v>-0.52307078595551704</v>
      </c>
      <c r="H5617" s="35"/>
      <c r="P5617" s="6"/>
    </row>
    <row r="5618" spans="1:16" ht="14.4" x14ac:dyDescent="0.25">
      <c r="A5618" s="6">
        <v>1776</v>
      </c>
      <c r="B5618" s="6">
        <v>12711</v>
      </c>
      <c r="C5618" s="19">
        <v>40958</v>
      </c>
      <c r="D5618" s="6" t="s">
        <v>30</v>
      </c>
      <c r="E5618" s="6">
        <f>IF((ISBLANK($B$1)),"",Sheet1!Q5629)</f>
        <v>5000</v>
      </c>
      <c r="F5618" s="20" t="s">
        <v>26</v>
      </c>
      <c r="G5618" s="53">
        <f t="shared" si="88"/>
        <v>0.44359720494116334</v>
      </c>
      <c r="H5618" s="35"/>
      <c r="P5618" s="6"/>
    </row>
    <row r="5619" spans="1:16" ht="14.4" x14ac:dyDescent="0.25">
      <c r="A5619" s="6">
        <v>1777</v>
      </c>
      <c r="B5619" s="6">
        <v>12711</v>
      </c>
      <c r="C5619" s="19">
        <v>40958</v>
      </c>
      <c r="D5619" s="6" t="s">
        <v>30</v>
      </c>
      <c r="E5619" s="6">
        <f>IF((ISBLANK($B$1)),"",Sheet1!Q5630)</f>
        <v>5650</v>
      </c>
      <c r="F5619" s="20" t="s">
        <v>26</v>
      </c>
      <c r="G5619" s="53">
        <f t="shared" si="88"/>
        <v>1.3412174822023666</v>
      </c>
      <c r="H5619" s="35"/>
      <c r="P5619" s="6"/>
    </row>
    <row r="5620" spans="1:16" ht="14.4" x14ac:dyDescent="0.25">
      <c r="A5620" s="6">
        <v>1886</v>
      </c>
      <c r="B5620" s="6">
        <v>13543</v>
      </c>
      <c r="C5620" s="19">
        <v>41129</v>
      </c>
      <c r="D5620" s="6" t="s">
        <v>16</v>
      </c>
      <c r="E5620" s="6">
        <f>IF((ISBLANK($B$1)),"",Sheet1!Q5631)</f>
        <v>3500</v>
      </c>
      <c r="F5620" s="20" t="s">
        <v>26</v>
      </c>
      <c r="G5620" s="53">
        <f t="shared" si="88"/>
        <v>-1.6278342041231517</v>
      </c>
      <c r="H5620" s="35"/>
      <c r="P5620" s="6"/>
    </row>
    <row r="5621" spans="1:16" ht="14.4" x14ac:dyDescent="0.25">
      <c r="A5621" s="6">
        <v>1924</v>
      </c>
      <c r="B5621" s="6">
        <v>13767</v>
      </c>
      <c r="C5621" s="19">
        <v>40416</v>
      </c>
      <c r="D5621" s="6" t="s">
        <v>17</v>
      </c>
      <c r="E5621" s="6">
        <f>IF((ISBLANK($B$1)),"",Sheet1!Q5632)</f>
        <v>4850</v>
      </c>
      <c r="F5621" s="20" t="s">
        <v>26</v>
      </c>
      <c r="G5621" s="53">
        <f t="shared" si="88"/>
        <v>0.23645406403473185</v>
      </c>
      <c r="H5621" s="35"/>
      <c r="P5621" s="6"/>
    </row>
    <row r="5622" spans="1:16" ht="14.4" x14ac:dyDescent="0.25">
      <c r="A5622" s="6">
        <v>1925</v>
      </c>
      <c r="B5622" s="6">
        <v>13767</v>
      </c>
      <c r="C5622" s="19">
        <v>40416</v>
      </c>
      <c r="D5622" s="6" t="s">
        <v>17</v>
      </c>
      <c r="E5622" s="6">
        <f>IF((ISBLANK($B$1)),"",Sheet1!Q5633)</f>
        <v>5650</v>
      </c>
      <c r="F5622" s="20" t="s">
        <v>27</v>
      </c>
      <c r="G5622" s="53">
        <f t="shared" si="88"/>
        <v>1.3412174822023666</v>
      </c>
      <c r="H5622" s="35"/>
      <c r="P5622" s="6"/>
    </row>
    <row r="5623" spans="1:16" ht="14.4" x14ac:dyDescent="0.25">
      <c r="A5623" s="6">
        <v>1926</v>
      </c>
      <c r="B5623" s="6">
        <v>13767</v>
      </c>
      <c r="C5623" s="19">
        <v>40416</v>
      </c>
      <c r="D5623" s="6" t="s">
        <v>17</v>
      </c>
      <c r="E5623" s="6">
        <f>IF((ISBLANK($B$1)),"",Sheet1!Q5634)</f>
        <v>3900</v>
      </c>
      <c r="F5623" s="20" t="s">
        <v>27</v>
      </c>
      <c r="G5623" s="53">
        <f t="shared" si="88"/>
        <v>-1.0754524950393345</v>
      </c>
      <c r="H5623" s="35"/>
      <c r="P5623" s="6"/>
    </row>
    <row r="5624" spans="1:16" ht="14.4" x14ac:dyDescent="0.25">
      <c r="A5624" s="6">
        <v>2462</v>
      </c>
      <c r="B5624" s="6">
        <v>17924</v>
      </c>
      <c r="C5624" s="19">
        <v>40781</v>
      </c>
      <c r="D5624" s="6" t="s">
        <v>30</v>
      </c>
      <c r="E5624" s="6">
        <f>IF((ISBLANK($B$1)),"",Sheet1!Q5635)</f>
        <v>5500</v>
      </c>
      <c r="F5624" s="20" t="s">
        <v>26</v>
      </c>
      <c r="G5624" s="53">
        <f t="shared" si="88"/>
        <v>1.1340743412959351</v>
      </c>
      <c r="H5624" s="35"/>
      <c r="P5624" s="6"/>
    </row>
    <row r="5625" spans="1:16" ht="14.4" x14ac:dyDescent="0.25">
      <c r="A5625" s="6">
        <v>2750</v>
      </c>
      <c r="B5625" s="6">
        <v>19841</v>
      </c>
      <c r="C5625" s="19">
        <v>40538</v>
      </c>
      <c r="D5625" s="6" t="s">
        <v>25</v>
      </c>
      <c r="E5625" s="6">
        <f>IF((ISBLANK($B$1)),"",Sheet1!Q5637)</f>
        <v>5550</v>
      </c>
      <c r="F5625" s="20" t="s">
        <v>27</v>
      </c>
      <c r="G5625" s="53">
        <f t="shared" si="88"/>
        <v>1.2031220549314123</v>
      </c>
      <c r="H5625" s="35"/>
      <c r="P5625" s="6"/>
    </row>
    <row r="5626" spans="1:16" ht="14.4" x14ac:dyDescent="0.25">
      <c r="A5626" s="6">
        <v>2953</v>
      </c>
      <c r="B5626" s="6">
        <v>21382</v>
      </c>
      <c r="C5626" s="19">
        <v>40920</v>
      </c>
      <c r="D5626" s="6" t="s">
        <v>30</v>
      </c>
      <c r="E5626" s="6">
        <f>IF((ISBLANK($B$1)),"",Sheet1!Q5638)</f>
        <v>4450</v>
      </c>
      <c r="F5626" s="20" t="s">
        <v>29</v>
      </c>
      <c r="G5626" s="53">
        <f t="shared" si="88"/>
        <v>-0.31592764504908549</v>
      </c>
      <c r="H5626" s="35"/>
      <c r="P5626" s="6"/>
    </row>
    <row r="5627" spans="1:16" ht="14.4" x14ac:dyDescent="0.25">
      <c r="A5627" s="6">
        <v>2954</v>
      </c>
      <c r="B5627" s="6">
        <v>21382</v>
      </c>
      <c r="C5627" s="19">
        <v>40920</v>
      </c>
      <c r="D5627" s="6" t="s">
        <v>30</v>
      </c>
      <c r="E5627" s="6">
        <f>IF((ISBLANK($B$1)),"",Sheet1!Q5639)</f>
        <v>3950</v>
      </c>
      <c r="F5627" s="20" t="s">
        <v>27</v>
      </c>
      <c r="G5627" s="53">
        <f t="shared" si="88"/>
        <v>-1.0064047814038573</v>
      </c>
      <c r="H5627" s="35"/>
      <c r="P5627" s="6"/>
    </row>
    <row r="5628" spans="1:16" ht="14.4" x14ac:dyDescent="0.25">
      <c r="A5628" s="6">
        <v>3007</v>
      </c>
      <c r="B5628" s="6">
        <v>21638</v>
      </c>
      <c r="C5628" s="19">
        <v>41015</v>
      </c>
      <c r="D5628" s="6" t="s">
        <v>17</v>
      </c>
      <c r="E5628" s="6">
        <f>IF((ISBLANK($B$1)),"",Sheet1!Q5640)</f>
        <v>4050</v>
      </c>
      <c r="F5628" s="20" t="s">
        <v>26</v>
      </c>
      <c r="G5628" s="53">
        <f t="shared" si="88"/>
        <v>-0.86830935413290289</v>
      </c>
      <c r="H5628" s="35"/>
      <c r="P5628" s="6"/>
    </row>
    <row r="5629" spans="1:16" ht="14.4" x14ac:dyDescent="0.25">
      <c r="A5629" s="6">
        <v>3120</v>
      </c>
      <c r="B5629" s="6">
        <v>22407</v>
      </c>
      <c r="C5629" s="19">
        <v>40134</v>
      </c>
      <c r="D5629" s="6" t="s">
        <v>28</v>
      </c>
      <c r="E5629" s="6">
        <f>IF((ISBLANK($B$1)),"",Sheet1!Q5641)</f>
        <v>4400</v>
      </c>
      <c r="F5629" s="20" t="s">
        <v>26</v>
      </c>
      <c r="G5629" s="53">
        <f t="shared" si="88"/>
        <v>-0.38497535868456267</v>
      </c>
      <c r="H5629" s="35"/>
      <c r="P5629" s="6"/>
    </row>
    <row r="5630" spans="1:16" ht="14.4" x14ac:dyDescent="0.25">
      <c r="A5630" s="6">
        <v>3121</v>
      </c>
      <c r="B5630" s="6">
        <v>22407</v>
      </c>
      <c r="C5630" s="19">
        <v>40134</v>
      </c>
      <c r="D5630" s="6" t="s">
        <v>28</v>
      </c>
      <c r="E5630" s="6">
        <f>IF((ISBLANK($B$1)),"",Sheet1!Q5642)</f>
        <v>3900</v>
      </c>
      <c r="F5630" s="20" t="s">
        <v>26</v>
      </c>
      <c r="G5630" s="53">
        <f t="shared" si="88"/>
        <v>-1.0754524950393345</v>
      </c>
      <c r="H5630" s="35"/>
      <c r="P5630" s="6"/>
    </row>
    <row r="5631" spans="1:16" ht="14.4" x14ac:dyDescent="0.25">
      <c r="A5631" s="6">
        <v>3122</v>
      </c>
      <c r="B5631" s="6">
        <v>22407</v>
      </c>
      <c r="C5631" s="19">
        <v>40134</v>
      </c>
      <c r="D5631" s="6" t="s">
        <v>28</v>
      </c>
      <c r="E5631" s="6">
        <f>IF((ISBLANK($B$1)),"",Sheet1!Q5643)</f>
        <v>4150</v>
      </c>
      <c r="F5631" s="20" t="s">
        <v>26</v>
      </c>
      <c r="G5631" s="53">
        <f t="shared" si="88"/>
        <v>-0.73021392686194853</v>
      </c>
      <c r="H5631" s="35"/>
      <c r="P5631" s="6"/>
    </row>
    <row r="5632" spans="1:16" ht="14.4" x14ac:dyDescent="0.25">
      <c r="A5632" s="6">
        <v>3548</v>
      </c>
      <c r="B5632" s="6">
        <v>25314</v>
      </c>
      <c r="C5632" s="19">
        <v>40963</v>
      </c>
      <c r="D5632" s="6" t="s">
        <v>17</v>
      </c>
      <c r="E5632" s="6">
        <f>IF((ISBLANK($B$1)),"",Sheet1!Q5644)</f>
        <v>5550</v>
      </c>
      <c r="F5632" s="20" t="s">
        <v>27</v>
      </c>
      <c r="G5632" s="53">
        <f t="shared" si="88"/>
        <v>1.2031220549314123</v>
      </c>
      <c r="H5632" s="35"/>
      <c r="P5632" s="6"/>
    </row>
    <row r="5633" spans="1:16" ht="14.4" x14ac:dyDescent="0.25">
      <c r="A5633" s="6">
        <v>3586</v>
      </c>
      <c r="B5633" s="6">
        <v>25574</v>
      </c>
      <c r="C5633" s="19">
        <v>39884</v>
      </c>
      <c r="D5633" s="6" t="s">
        <v>28</v>
      </c>
      <c r="E5633" s="6">
        <f>IF((ISBLANK($B$1)),"",Sheet1!Q5645)</f>
        <v>5700</v>
      </c>
      <c r="F5633" s="20" t="s">
        <v>29</v>
      </c>
      <c r="G5633" s="53">
        <f t="shared" si="88"/>
        <v>1.4102651958378438</v>
      </c>
      <c r="H5633" s="35"/>
      <c r="P5633" s="6"/>
    </row>
    <row r="5634" spans="1:16" ht="14.4" x14ac:dyDescent="0.25">
      <c r="A5634" s="6">
        <v>3587</v>
      </c>
      <c r="B5634" s="6">
        <v>25574</v>
      </c>
      <c r="C5634" s="19">
        <v>39884</v>
      </c>
      <c r="D5634" s="6" t="s">
        <v>28</v>
      </c>
      <c r="E5634" s="6">
        <f>IF((ISBLANK($B$1)),"",Sheet1!Q5646)</f>
        <v>4950</v>
      </c>
      <c r="F5634" s="20" t="s">
        <v>27</v>
      </c>
      <c r="G5634" s="53">
        <f t="shared" si="88"/>
        <v>0.37454949130568621</v>
      </c>
      <c r="H5634" s="35"/>
      <c r="P5634" s="6"/>
    </row>
    <row r="5635" spans="1:16" ht="14.4" x14ac:dyDescent="0.25">
      <c r="A5635" s="6">
        <v>3678</v>
      </c>
      <c r="B5635" s="6">
        <v>26310</v>
      </c>
      <c r="C5635" s="19">
        <v>41119</v>
      </c>
      <c r="D5635" s="6" t="s">
        <v>28</v>
      </c>
      <c r="E5635" s="6">
        <f>IF((ISBLANK($B$1)),"",Sheet1!Q5647)</f>
        <v>3650</v>
      </c>
      <c r="F5635" s="20" t="s">
        <v>26</v>
      </c>
      <c r="G5635" s="53">
        <f t="shared" si="88"/>
        <v>-1.4206910632167202</v>
      </c>
      <c r="H5635" s="35"/>
      <c r="P5635" s="6"/>
    </row>
    <row r="5636" spans="1:16" ht="14.4" x14ac:dyDescent="0.25">
      <c r="A5636" s="6">
        <v>3679</v>
      </c>
      <c r="B5636" s="6">
        <v>26310</v>
      </c>
      <c r="C5636" s="19">
        <v>41119</v>
      </c>
      <c r="D5636" s="6" t="s">
        <v>28</v>
      </c>
      <c r="E5636" s="6">
        <f>IF((ISBLANK($B$1)),"",Sheet1!Q5648)</f>
        <v>4350</v>
      </c>
      <c r="F5636" s="20" t="s">
        <v>26</v>
      </c>
      <c r="G5636" s="53">
        <f t="shared" si="88"/>
        <v>-0.45402307232003986</v>
      </c>
      <c r="H5636" s="35"/>
      <c r="P5636" s="6"/>
    </row>
    <row r="5637" spans="1:16" ht="14.4" x14ac:dyDescent="0.25">
      <c r="A5637" s="6">
        <v>3870</v>
      </c>
      <c r="B5637" s="6">
        <v>27616</v>
      </c>
      <c r="C5637" s="19">
        <v>41120</v>
      </c>
      <c r="D5637" s="6" t="s">
        <v>25</v>
      </c>
      <c r="E5637" s="6">
        <f>IF((ISBLANK($B$1)),"",Sheet1!Q5649)</f>
        <v>3550</v>
      </c>
      <c r="F5637" s="20" t="s">
        <v>27</v>
      </c>
      <c r="G5637" s="53">
        <f t="shared" si="88"/>
        <v>-1.5587864904876745</v>
      </c>
      <c r="H5637" s="35"/>
      <c r="P5637" s="6"/>
    </row>
    <row r="5638" spans="1:16" ht="14.4" x14ac:dyDescent="0.25">
      <c r="A5638" s="6">
        <v>4169</v>
      </c>
      <c r="B5638" s="6">
        <v>29539</v>
      </c>
      <c r="C5638" s="19">
        <v>40656</v>
      </c>
      <c r="D5638" s="6" t="s">
        <v>17</v>
      </c>
      <c r="E5638" s="6">
        <f>IF((ISBLANK($B$1)),"",Sheet1!Q5650)</f>
        <v>4600</v>
      </c>
      <c r="F5638" s="20" t="s">
        <v>26</v>
      </c>
      <c r="G5638" s="53">
        <f t="shared" si="88"/>
        <v>-0.108784504142654</v>
      </c>
      <c r="H5638" s="35"/>
      <c r="P5638" s="6"/>
    </row>
    <row r="5639" spans="1:16" ht="14.4" x14ac:dyDescent="0.25">
      <c r="A5639" s="6">
        <v>4364</v>
      </c>
      <c r="B5639" s="6">
        <v>31106</v>
      </c>
      <c r="C5639" s="19">
        <v>40955</v>
      </c>
      <c r="D5639" s="6" t="s">
        <v>25</v>
      </c>
      <c r="E5639" s="6">
        <f>IF((ISBLANK($B$1)),"",Sheet1!Q5651)</f>
        <v>5250</v>
      </c>
      <c r="F5639" s="20" t="s">
        <v>26</v>
      </c>
      <c r="G5639" s="53">
        <f t="shared" si="88"/>
        <v>0.78883577311854924</v>
      </c>
      <c r="H5639" s="35"/>
      <c r="P5639" s="6"/>
    </row>
    <row r="5640" spans="1:16" ht="14.4" x14ac:dyDescent="0.25">
      <c r="A5640" s="6">
        <v>4365</v>
      </c>
      <c r="B5640" s="6">
        <v>31106</v>
      </c>
      <c r="C5640" s="19">
        <v>40955</v>
      </c>
      <c r="D5640" s="6" t="s">
        <v>25</v>
      </c>
      <c r="E5640" s="6">
        <f>IF((ISBLANK($B$1)),"",Sheet1!Q5652)</f>
        <v>3750</v>
      </c>
      <c r="F5640" s="20" t="s">
        <v>29</v>
      </c>
      <c r="G5640" s="53">
        <f t="shared" ref="G5640:G5703" si="89">STANDARDIZE(E5640,$L$26,$L$35)</f>
        <v>-1.282595635945766</v>
      </c>
      <c r="H5640" s="35"/>
      <c r="P5640" s="6"/>
    </row>
    <row r="5641" spans="1:16" ht="14.4" x14ac:dyDescent="0.25">
      <c r="A5641" s="6">
        <v>4366</v>
      </c>
      <c r="B5641" s="6">
        <v>31106</v>
      </c>
      <c r="C5641" s="19">
        <v>40955</v>
      </c>
      <c r="D5641" s="6" t="s">
        <v>25</v>
      </c>
      <c r="E5641" s="6">
        <f>IF((ISBLANK($B$1)),"",Sheet1!Q5653)</f>
        <v>5650</v>
      </c>
      <c r="F5641" s="20" t="s">
        <v>26</v>
      </c>
      <c r="G5641" s="53">
        <f t="shared" si="89"/>
        <v>1.3412174822023666</v>
      </c>
      <c r="H5641" s="35"/>
      <c r="P5641" s="6"/>
    </row>
    <row r="5642" spans="1:16" ht="14.4" x14ac:dyDescent="0.25">
      <c r="A5642" s="6">
        <v>4367</v>
      </c>
      <c r="B5642" s="6">
        <v>31106</v>
      </c>
      <c r="C5642" s="19">
        <v>40955</v>
      </c>
      <c r="D5642" s="6" t="s">
        <v>25</v>
      </c>
      <c r="E5642" s="6">
        <f>IF((ISBLANK($B$1)),"",Sheet1!Q5654)</f>
        <v>5550</v>
      </c>
      <c r="F5642" s="20" t="s">
        <v>27</v>
      </c>
      <c r="G5642" s="53">
        <f t="shared" si="89"/>
        <v>1.2031220549314123</v>
      </c>
      <c r="H5642" s="35"/>
      <c r="P5642" s="6"/>
    </row>
    <row r="5643" spans="1:16" ht="14.4" x14ac:dyDescent="0.25">
      <c r="A5643" s="6">
        <v>4371</v>
      </c>
      <c r="B5643" s="6">
        <v>31140</v>
      </c>
      <c r="C5643" s="19">
        <v>40575</v>
      </c>
      <c r="D5643" s="6" t="s">
        <v>30</v>
      </c>
      <c r="E5643" s="6">
        <f>IF((ISBLANK($B$1)),"",Sheet1!Q5655)</f>
        <v>3600</v>
      </c>
      <c r="F5643" s="20" t="s">
        <v>26</v>
      </c>
      <c r="G5643" s="53">
        <f t="shared" si="89"/>
        <v>-1.4897387768521975</v>
      </c>
      <c r="H5643" s="35"/>
      <c r="P5643" s="6"/>
    </row>
    <row r="5644" spans="1:16" ht="14.4" x14ac:dyDescent="0.25">
      <c r="A5644" s="6">
        <v>4373</v>
      </c>
      <c r="B5644" s="6">
        <v>31170</v>
      </c>
      <c r="C5644" s="19">
        <v>40935</v>
      </c>
      <c r="D5644" s="6" t="s">
        <v>16</v>
      </c>
      <c r="E5644" s="6">
        <f>IF((ISBLANK($B$1)),"",Sheet1!Q5656)</f>
        <v>5000</v>
      </c>
      <c r="F5644" s="20" t="s">
        <v>27</v>
      </c>
      <c r="G5644" s="53">
        <f t="shared" si="89"/>
        <v>0.44359720494116334</v>
      </c>
      <c r="H5644" s="35"/>
      <c r="P5644" s="6"/>
    </row>
    <row r="5645" spans="1:16" ht="14.4" x14ac:dyDescent="0.25">
      <c r="A5645" s="6">
        <v>4417</v>
      </c>
      <c r="B5645" s="6">
        <v>31520</v>
      </c>
      <c r="C5645" s="19">
        <v>40875</v>
      </c>
      <c r="D5645" s="6" t="s">
        <v>17</v>
      </c>
      <c r="E5645" s="6">
        <f>IF((ISBLANK($B$1)),"",Sheet1!Q5657)</f>
        <v>4550</v>
      </c>
      <c r="F5645" s="20" t="s">
        <v>29</v>
      </c>
      <c r="G5645" s="53">
        <f t="shared" si="89"/>
        <v>-0.17783221777813119</v>
      </c>
      <c r="H5645" s="35"/>
      <c r="P5645" s="6"/>
    </row>
    <row r="5646" spans="1:16" ht="14.4" x14ac:dyDescent="0.25">
      <c r="A5646" s="6">
        <v>4873</v>
      </c>
      <c r="B5646" s="6">
        <v>34663</v>
      </c>
      <c r="C5646" s="19">
        <v>40730</v>
      </c>
      <c r="D5646" s="6" t="s">
        <v>28</v>
      </c>
      <c r="E5646" s="6">
        <f>IF((ISBLANK($B$1)),"",Sheet1!Q5658)</f>
        <v>5300</v>
      </c>
      <c r="F5646" s="20" t="s">
        <v>27</v>
      </c>
      <c r="G5646" s="53">
        <f t="shared" si="89"/>
        <v>0.85788348675402637</v>
      </c>
      <c r="H5646" s="35"/>
      <c r="P5646" s="6"/>
    </row>
    <row r="5647" spans="1:16" ht="14.4" x14ac:dyDescent="0.25">
      <c r="A5647" s="6">
        <v>5029</v>
      </c>
      <c r="B5647" s="6">
        <v>35842</v>
      </c>
      <c r="C5647" s="19">
        <v>41053</v>
      </c>
      <c r="D5647" s="6" t="s">
        <v>17</v>
      </c>
      <c r="E5647" s="6">
        <f>IF((ISBLANK($B$1)),"",Sheet1!Q5659)</f>
        <v>4300</v>
      </c>
      <c r="F5647" s="20" t="s">
        <v>26</v>
      </c>
      <c r="G5647" s="53">
        <f t="shared" si="89"/>
        <v>-0.52307078595551704</v>
      </c>
      <c r="H5647" s="35"/>
      <c r="P5647" s="6"/>
    </row>
    <row r="5648" spans="1:16" ht="14.4" x14ac:dyDescent="0.25">
      <c r="A5648" s="6">
        <v>5069</v>
      </c>
      <c r="B5648" s="6">
        <v>36131</v>
      </c>
      <c r="C5648" s="19">
        <v>39950</v>
      </c>
      <c r="D5648" s="6" t="s">
        <v>17</v>
      </c>
      <c r="E5648" s="6">
        <f>IF((ISBLANK($B$1)),"",Sheet1!Q5660)</f>
        <v>5550</v>
      </c>
      <c r="F5648" s="20" t="s">
        <v>26</v>
      </c>
      <c r="G5648" s="53">
        <f t="shared" si="89"/>
        <v>1.2031220549314123</v>
      </c>
      <c r="H5648" s="35"/>
      <c r="P5648" s="6"/>
    </row>
    <row r="5649" spans="1:16" ht="14.4" x14ac:dyDescent="0.25">
      <c r="A5649" s="6">
        <v>5070</v>
      </c>
      <c r="B5649" s="6">
        <v>36131</v>
      </c>
      <c r="C5649" s="19">
        <v>39950</v>
      </c>
      <c r="D5649" s="6" t="s">
        <v>17</v>
      </c>
      <c r="E5649" s="6">
        <f>IF((ISBLANK($B$1)),"",Sheet1!Q5661)</f>
        <v>4700</v>
      </c>
      <c r="F5649" s="20" t="s">
        <v>26</v>
      </c>
      <c r="G5649" s="53">
        <f t="shared" si="89"/>
        <v>2.9310923128300338E-2</v>
      </c>
      <c r="H5649" s="35"/>
      <c r="P5649" s="6"/>
    </row>
    <row r="5650" spans="1:16" ht="14.4" x14ac:dyDescent="0.25">
      <c r="A5650" s="6">
        <v>5203</v>
      </c>
      <c r="B5650" s="6">
        <v>36992</v>
      </c>
      <c r="C5650" s="19">
        <v>40154</v>
      </c>
      <c r="D5650" s="6" t="s">
        <v>16</v>
      </c>
      <c r="E5650" s="6">
        <f>IF((ISBLANK($B$1)),"",Sheet1!Q5662)</f>
        <v>5100</v>
      </c>
      <c r="F5650" s="20" t="s">
        <v>26</v>
      </c>
      <c r="G5650" s="53">
        <f t="shared" si="89"/>
        <v>0.58169263221211776</v>
      </c>
      <c r="H5650" s="35"/>
      <c r="P5650" s="6"/>
    </row>
    <row r="5651" spans="1:16" ht="14.4" x14ac:dyDescent="0.25">
      <c r="A5651" s="6">
        <v>5432</v>
      </c>
      <c r="B5651" s="6">
        <v>38596</v>
      </c>
      <c r="C5651" s="19">
        <v>40270</v>
      </c>
      <c r="D5651" s="6" t="s">
        <v>16</v>
      </c>
      <c r="E5651" s="6">
        <f>IF((ISBLANK($B$1)),"",Sheet1!Q5663)</f>
        <v>4400</v>
      </c>
      <c r="F5651" s="20" t="s">
        <v>26</v>
      </c>
      <c r="G5651" s="53">
        <f t="shared" si="89"/>
        <v>-0.38497535868456267</v>
      </c>
      <c r="H5651" s="35"/>
      <c r="P5651" s="6"/>
    </row>
    <row r="5652" spans="1:16" ht="14.4" x14ac:dyDescent="0.25">
      <c r="A5652" s="6">
        <v>5526</v>
      </c>
      <c r="B5652" s="6">
        <v>39143</v>
      </c>
      <c r="C5652" s="19">
        <v>41005</v>
      </c>
      <c r="D5652" s="6" t="s">
        <v>28</v>
      </c>
      <c r="E5652" s="6">
        <f>IF((ISBLANK($B$1)),"",Sheet1!Q5664)</f>
        <v>5700</v>
      </c>
      <c r="F5652" s="20" t="s">
        <v>29</v>
      </c>
      <c r="G5652" s="53">
        <f t="shared" si="89"/>
        <v>1.4102651958378438</v>
      </c>
      <c r="H5652" s="35"/>
      <c r="P5652" s="6"/>
    </row>
    <row r="5653" spans="1:16" ht="14.4" x14ac:dyDescent="0.25">
      <c r="A5653" s="6">
        <v>5807</v>
      </c>
      <c r="B5653" s="6">
        <v>41186</v>
      </c>
      <c r="C5653" s="19">
        <v>40504</v>
      </c>
      <c r="D5653" s="6" t="s">
        <v>17</v>
      </c>
      <c r="E5653" s="6">
        <f>IF((ISBLANK($B$1)),"",Sheet1!Q5665)</f>
        <v>5050</v>
      </c>
      <c r="F5653" s="20" t="s">
        <v>27</v>
      </c>
      <c r="G5653" s="53">
        <f t="shared" si="89"/>
        <v>0.51264491857664052</v>
      </c>
      <c r="H5653" s="35"/>
      <c r="P5653" s="6"/>
    </row>
    <row r="5654" spans="1:16" ht="14.4" x14ac:dyDescent="0.25">
      <c r="A5654" s="6">
        <v>6143</v>
      </c>
      <c r="B5654" s="6">
        <v>43493</v>
      </c>
      <c r="C5654" s="19">
        <v>41039</v>
      </c>
      <c r="D5654" s="6" t="s">
        <v>17</v>
      </c>
      <c r="E5654" s="6">
        <f>IF((ISBLANK($B$1)),"",Sheet1!Q5666)</f>
        <v>4500</v>
      </c>
      <c r="F5654" s="20" t="s">
        <v>26</v>
      </c>
      <c r="G5654" s="53">
        <f t="shared" si="89"/>
        <v>-0.24687993141360834</v>
      </c>
      <c r="H5654" s="35"/>
      <c r="P5654" s="6"/>
    </row>
    <row r="5655" spans="1:16" ht="14.4" x14ac:dyDescent="0.25">
      <c r="A5655" s="6">
        <v>6144</v>
      </c>
      <c r="B5655" s="6">
        <v>43493</v>
      </c>
      <c r="C5655" s="19">
        <v>41039</v>
      </c>
      <c r="D5655" s="6" t="s">
        <v>17</v>
      </c>
      <c r="E5655" s="6">
        <f>IF((ISBLANK($B$1)),"",Sheet1!Q5667)</f>
        <v>4100</v>
      </c>
      <c r="F5655" s="20" t="s">
        <v>26</v>
      </c>
      <c r="G5655" s="53">
        <f t="shared" si="89"/>
        <v>-0.79926164049742576</v>
      </c>
      <c r="H5655" s="35"/>
      <c r="P5655" s="6"/>
    </row>
    <row r="5656" spans="1:16" ht="14.4" x14ac:dyDescent="0.25">
      <c r="A5656" s="6">
        <v>6145</v>
      </c>
      <c r="B5656" s="6">
        <v>43493</v>
      </c>
      <c r="C5656" s="19">
        <v>41039</v>
      </c>
      <c r="D5656" s="6" t="s">
        <v>17</v>
      </c>
      <c r="E5656" s="6">
        <f>IF((ISBLANK($B$1)),"",Sheet1!Q5668)</f>
        <v>5250</v>
      </c>
      <c r="F5656" s="20" t="s">
        <v>27</v>
      </c>
      <c r="G5656" s="53">
        <f t="shared" si="89"/>
        <v>0.78883577311854924</v>
      </c>
      <c r="H5656" s="35"/>
      <c r="P5656" s="6"/>
    </row>
    <row r="5657" spans="1:16" ht="14.4" x14ac:dyDescent="0.25">
      <c r="A5657" s="6">
        <v>6152</v>
      </c>
      <c r="B5657" s="6">
        <v>43555</v>
      </c>
      <c r="C5657" s="19">
        <v>41093</v>
      </c>
      <c r="D5657" s="6" t="s">
        <v>16</v>
      </c>
      <c r="E5657" s="6">
        <f>IF((ISBLANK($B$1)),"",Sheet1!Q5669)</f>
        <v>5100</v>
      </c>
      <c r="F5657" s="20" t="s">
        <v>26</v>
      </c>
      <c r="G5657" s="53">
        <f t="shared" si="89"/>
        <v>0.58169263221211776</v>
      </c>
      <c r="H5657" s="35"/>
      <c r="P5657" s="6"/>
    </row>
    <row r="5658" spans="1:16" ht="14.4" x14ac:dyDescent="0.25">
      <c r="A5658" s="6">
        <v>6283</v>
      </c>
      <c r="B5658" s="6">
        <v>44452</v>
      </c>
      <c r="C5658" s="19">
        <v>40886</v>
      </c>
      <c r="D5658" s="6" t="s">
        <v>28</v>
      </c>
      <c r="E5658" s="6">
        <f>IF((ISBLANK($B$1)),"",Sheet1!Q5670)</f>
        <v>5900</v>
      </c>
      <c r="F5658" s="20" t="s">
        <v>26</v>
      </c>
      <c r="G5658" s="53">
        <f t="shared" si="89"/>
        <v>1.6864560503797523</v>
      </c>
      <c r="H5658" s="35"/>
      <c r="P5658" s="6"/>
    </row>
    <row r="5659" spans="1:16" ht="14.4" x14ac:dyDescent="0.25">
      <c r="A5659" s="6">
        <v>6404</v>
      </c>
      <c r="B5659" s="6">
        <v>45506</v>
      </c>
      <c r="C5659" s="19">
        <v>40903</v>
      </c>
      <c r="D5659" s="6" t="s">
        <v>25</v>
      </c>
      <c r="E5659" s="6">
        <f>IF((ISBLANK($B$1)),"",Sheet1!Q5671)</f>
        <v>3550</v>
      </c>
      <c r="F5659" s="20" t="s">
        <v>27</v>
      </c>
      <c r="G5659" s="53">
        <f t="shared" si="89"/>
        <v>-1.5587864904876745</v>
      </c>
      <c r="H5659" s="35"/>
      <c r="P5659" s="6"/>
    </row>
    <row r="5660" spans="1:16" ht="14.4" x14ac:dyDescent="0.25">
      <c r="A5660" s="6">
        <v>6441</v>
      </c>
      <c r="B5660" s="6">
        <v>45767</v>
      </c>
      <c r="C5660" s="19">
        <v>41100</v>
      </c>
      <c r="D5660" s="6" t="s">
        <v>17</v>
      </c>
      <c r="E5660" s="6">
        <f>IF((ISBLANK($B$1)),"",Sheet1!Q5672)</f>
        <v>5850</v>
      </c>
      <c r="F5660" s="20" t="s">
        <v>26</v>
      </c>
      <c r="G5660" s="53">
        <f t="shared" si="89"/>
        <v>1.6174083367442753</v>
      </c>
      <c r="H5660" s="35"/>
      <c r="P5660" s="6"/>
    </row>
    <row r="5661" spans="1:16" ht="14.4" x14ac:dyDescent="0.25">
      <c r="A5661" s="6">
        <v>6457</v>
      </c>
      <c r="B5661" s="6">
        <v>45986</v>
      </c>
      <c r="C5661" s="19">
        <v>40172</v>
      </c>
      <c r="D5661" s="6" t="s">
        <v>25</v>
      </c>
      <c r="E5661" s="6">
        <f>IF((ISBLANK($B$1)),"",Sheet1!Q5673)</f>
        <v>4400</v>
      </c>
      <c r="F5661" s="20" t="s">
        <v>26</v>
      </c>
      <c r="G5661" s="53">
        <f t="shared" si="89"/>
        <v>-0.38497535868456267</v>
      </c>
      <c r="H5661" s="35"/>
      <c r="P5661" s="6"/>
    </row>
    <row r="5662" spans="1:16" ht="14.4" x14ac:dyDescent="0.25">
      <c r="A5662" s="6">
        <v>6584</v>
      </c>
      <c r="B5662" s="6">
        <v>46881</v>
      </c>
      <c r="C5662" s="19">
        <v>40092</v>
      </c>
      <c r="D5662" s="6" t="s">
        <v>30</v>
      </c>
      <c r="E5662" s="6">
        <f>IF((ISBLANK($B$1)),"",Sheet1!Q5674)</f>
        <v>4950</v>
      </c>
      <c r="F5662" s="20" t="s">
        <v>26</v>
      </c>
      <c r="G5662" s="53">
        <f t="shared" si="89"/>
        <v>0.37454949130568621</v>
      </c>
      <c r="H5662" s="35"/>
      <c r="P5662" s="6"/>
    </row>
    <row r="5663" spans="1:16" ht="14.4" x14ac:dyDescent="0.25">
      <c r="A5663" s="6">
        <v>6601</v>
      </c>
      <c r="B5663" s="6">
        <v>46979</v>
      </c>
      <c r="C5663" s="19">
        <v>41106</v>
      </c>
      <c r="D5663" s="6" t="s">
        <v>25</v>
      </c>
      <c r="E5663" s="6">
        <f>IF((ISBLANK($B$1)),"",Sheet1!Q5675)</f>
        <v>4900</v>
      </c>
      <c r="F5663" s="20" t="s">
        <v>27</v>
      </c>
      <c r="G5663" s="53">
        <f t="shared" si="89"/>
        <v>0.30550177767020903</v>
      </c>
      <c r="H5663" s="35"/>
      <c r="P5663" s="6"/>
    </row>
    <row r="5664" spans="1:16" ht="14.4" x14ac:dyDescent="0.25">
      <c r="A5664" s="6">
        <v>6602</v>
      </c>
      <c r="B5664" s="6">
        <v>46979</v>
      </c>
      <c r="C5664" s="19">
        <v>41106</v>
      </c>
      <c r="D5664" s="6" t="s">
        <v>25</v>
      </c>
      <c r="E5664" s="6">
        <f>IF((ISBLANK($B$1)),"",Sheet1!Q5676)</f>
        <v>4700</v>
      </c>
      <c r="F5664" s="20" t="s">
        <v>26</v>
      </c>
      <c r="G5664" s="53">
        <f t="shared" si="89"/>
        <v>2.9310923128300338E-2</v>
      </c>
      <c r="H5664" s="35"/>
      <c r="P5664" s="6"/>
    </row>
    <row r="5665" spans="1:16" ht="14.4" x14ac:dyDescent="0.25">
      <c r="A5665" s="6">
        <v>6611</v>
      </c>
      <c r="B5665" s="6">
        <v>47040</v>
      </c>
      <c r="C5665" s="19">
        <v>40406</v>
      </c>
      <c r="D5665" s="6" t="s">
        <v>17</v>
      </c>
      <c r="E5665" s="6">
        <f>IF((ISBLANK($B$1)),"",Sheet1!Q5677)</f>
        <v>5300</v>
      </c>
      <c r="F5665" s="20" t="s">
        <v>26</v>
      </c>
      <c r="G5665" s="53">
        <f t="shared" si="89"/>
        <v>0.85788348675402637</v>
      </c>
      <c r="H5665" s="35"/>
      <c r="P5665" s="6"/>
    </row>
    <row r="5666" spans="1:16" ht="14.4" x14ac:dyDescent="0.25">
      <c r="A5666" s="6">
        <v>6792</v>
      </c>
      <c r="B5666" s="6">
        <v>48391</v>
      </c>
      <c r="C5666" s="19">
        <v>40480</v>
      </c>
      <c r="D5666" s="6" t="s">
        <v>28</v>
      </c>
      <c r="E5666" s="6">
        <f>IF((ISBLANK($B$1)),"",Sheet1!Q5678)</f>
        <v>5650</v>
      </c>
      <c r="F5666" s="20" t="s">
        <v>26</v>
      </c>
      <c r="G5666" s="53">
        <f t="shared" si="89"/>
        <v>1.3412174822023666</v>
      </c>
      <c r="H5666" s="35"/>
      <c r="P5666" s="6"/>
    </row>
    <row r="5667" spans="1:16" ht="14.4" x14ac:dyDescent="0.25">
      <c r="A5667" s="6">
        <v>7255</v>
      </c>
      <c r="B5667" s="6">
        <v>51780</v>
      </c>
      <c r="C5667" s="19">
        <v>40383</v>
      </c>
      <c r="D5667" s="6" t="s">
        <v>25</v>
      </c>
      <c r="E5667" s="6">
        <f>IF((ISBLANK($B$1)),"",Sheet1!Q5679)</f>
        <v>4700</v>
      </c>
      <c r="F5667" s="20" t="s">
        <v>26</v>
      </c>
      <c r="G5667" s="53">
        <f t="shared" si="89"/>
        <v>2.9310923128300338E-2</v>
      </c>
      <c r="H5667" s="35"/>
      <c r="P5667" s="6"/>
    </row>
    <row r="5668" spans="1:16" ht="14.4" x14ac:dyDescent="0.25">
      <c r="A5668" s="6">
        <v>7256</v>
      </c>
      <c r="B5668" s="6">
        <v>51780</v>
      </c>
      <c r="C5668" s="19">
        <v>40383</v>
      </c>
      <c r="D5668" s="6" t="s">
        <v>25</v>
      </c>
      <c r="E5668" s="6">
        <f>IF((ISBLANK($B$1)),"",Sheet1!Q5680)</f>
        <v>3950</v>
      </c>
      <c r="F5668" s="20" t="s">
        <v>26</v>
      </c>
      <c r="G5668" s="53">
        <f t="shared" si="89"/>
        <v>-1.0064047814038573</v>
      </c>
      <c r="H5668" s="35"/>
      <c r="P5668" s="6"/>
    </row>
    <row r="5669" spans="1:16" ht="14.4" x14ac:dyDescent="0.25">
      <c r="A5669" s="6">
        <v>7257</v>
      </c>
      <c r="B5669" s="6">
        <v>51780</v>
      </c>
      <c r="C5669" s="19">
        <v>40383</v>
      </c>
      <c r="D5669" s="6" t="s">
        <v>25</v>
      </c>
      <c r="E5669" s="6">
        <f>IF((ISBLANK($B$1)),"",Sheet1!Q5681)</f>
        <v>5600</v>
      </c>
      <c r="F5669" s="20" t="s">
        <v>26</v>
      </c>
      <c r="G5669" s="53">
        <f t="shared" si="89"/>
        <v>1.2721697685668893</v>
      </c>
      <c r="H5669" s="35"/>
      <c r="P5669" s="6"/>
    </row>
    <row r="5670" spans="1:16" ht="14.4" x14ac:dyDescent="0.25">
      <c r="A5670" s="6">
        <v>7473</v>
      </c>
      <c r="B5670" s="6">
        <v>53350</v>
      </c>
      <c r="C5670" s="19">
        <v>39978</v>
      </c>
      <c r="D5670" s="6" t="s">
        <v>28</v>
      </c>
      <c r="E5670" s="6">
        <f>IF((ISBLANK($B$1)),"",Sheet1!Q5682)</f>
        <v>4600</v>
      </c>
      <c r="F5670" s="20" t="s">
        <v>26</v>
      </c>
      <c r="G5670" s="53">
        <f t="shared" si="89"/>
        <v>-0.108784504142654</v>
      </c>
      <c r="H5670" s="35"/>
      <c r="P5670" s="6"/>
    </row>
    <row r="5671" spans="1:16" ht="14.4" x14ac:dyDescent="0.25">
      <c r="A5671" s="6">
        <v>7773</v>
      </c>
      <c r="B5671" s="6">
        <v>55648</v>
      </c>
      <c r="C5671" s="19">
        <v>40065</v>
      </c>
      <c r="D5671" s="6" t="s">
        <v>30</v>
      </c>
      <c r="E5671" s="6">
        <f>IF((ISBLANK($B$1)),"",Sheet1!Q5683)</f>
        <v>3650</v>
      </c>
      <c r="F5671" s="20" t="s">
        <v>26</v>
      </c>
      <c r="G5671" s="53">
        <f t="shared" si="89"/>
        <v>-1.4206910632167202</v>
      </c>
      <c r="H5671" s="35"/>
      <c r="P5671" s="6"/>
    </row>
    <row r="5672" spans="1:16" ht="14.4" x14ac:dyDescent="0.25">
      <c r="A5672" s="6">
        <v>7783</v>
      </c>
      <c r="B5672" s="6">
        <v>55686</v>
      </c>
      <c r="C5672" s="19">
        <v>40627</v>
      </c>
      <c r="D5672" s="6" t="s">
        <v>30</v>
      </c>
      <c r="E5672" s="6">
        <f>IF((ISBLANK($B$1)),"",Sheet1!Q5684)</f>
        <v>4700</v>
      </c>
      <c r="F5672" s="20" t="s">
        <v>27</v>
      </c>
      <c r="G5672" s="53">
        <f t="shared" si="89"/>
        <v>2.9310923128300338E-2</v>
      </c>
      <c r="H5672" s="35"/>
      <c r="P5672" s="6"/>
    </row>
    <row r="5673" spans="1:16" ht="14.4" x14ac:dyDescent="0.25">
      <c r="A5673" s="6">
        <v>7784</v>
      </c>
      <c r="B5673" s="6">
        <v>55686</v>
      </c>
      <c r="C5673" s="19">
        <v>40627</v>
      </c>
      <c r="D5673" s="6" t="s">
        <v>30</v>
      </c>
      <c r="E5673" s="6">
        <f>IF((ISBLANK($B$1)),"",Sheet1!Q5685)</f>
        <v>4500</v>
      </c>
      <c r="F5673" s="20" t="s">
        <v>26</v>
      </c>
      <c r="G5673" s="53">
        <f t="shared" si="89"/>
        <v>-0.24687993141360834</v>
      </c>
      <c r="H5673" s="35"/>
      <c r="P5673" s="6"/>
    </row>
    <row r="5674" spans="1:16" ht="14.4" x14ac:dyDescent="0.25">
      <c r="A5674" s="6">
        <v>7785</v>
      </c>
      <c r="B5674" s="6">
        <v>55686</v>
      </c>
      <c r="C5674" s="19">
        <v>40627</v>
      </c>
      <c r="D5674" s="6" t="s">
        <v>30</v>
      </c>
      <c r="E5674" s="6">
        <f>IF((ISBLANK($B$1)),"",Sheet1!Q5686)</f>
        <v>3500</v>
      </c>
      <c r="F5674" s="20" t="s">
        <v>26</v>
      </c>
      <c r="G5674" s="53">
        <f t="shared" si="89"/>
        <v>-1.6278342041231517</v>
      </c>
      <c r="H5674" s="35"/>
      <c r="P5674" s="6"/>
    </row>
    <row r="5675" spans="1:16" ht="14.4" x14ac:dyDescent="0.25">
      <c r="A5675" s="6">
        <v>7807</v>
      </c>
      <c r="B5675" s="6">
        <v>55847</v>
      </c>
      <c r="C5675" s="19">
        <v>40014</v>
      </c>
      <c r="D5675" s="6" t="s">
        <v>28</v>
      </c>
      <c r="E5675" s="6">
        <f>IF((ISBLANK($B$1)),"",Sheet1!Q5687)</f>
        <v>4450</v>
      </c>
      <c r="F5675" s="20" t="s">
        <v>26</v>
      </c>
      <c r="G5675" s="53">
        <f t="shared" si="89"/>
        <v>-0.31592764504908549</v>
      </c>
      <c r="H5675" s="35"/>
      <c r="P5675" s="6"/>
    </row>
    <row r="5676" spans="1:16" ht="14.4" x14ac:dyDescent="0.25">
      <c r="A5676" s="6">
        <v>7808</v>
      </c>
      <c r="B5676" s="6">
        <v>55847</v>
      </c>
      <c r="C5676" s="19">
        <v>40014</v>
      </c>
      <c r="D5676" s="6" t="s">
        <v>28</v>
      </c>
      <c r="E5676" s="6">
        <f>IF((ISBLANK($B$1)),"",Sheet1!Q5688)</f>
        <v>5650</v>
      </c>
      <c r="F5676" s="20" t="s">
        <v>26</v>
      </c>
      <c r="G5676" s="53">
        <f t="shared" si="89"/>
        <v>1.3412174822023666</v>
      </c>
      <c r="H5676" s="35"/>
      <c r="P5676" s="6"/>
    </row>
    <row r="5677" spans="1:16" ht="14.4" x14ac:dyDescent="0.25">
      <c r="A5677" s="6">
        <v>7843</v>
      </c>
      <c r="B5677" s="6">
        <v>56099</v>
      </c>
      <c r="C5677" s="19">
        <v>40456</v>
      </c>
      <c r="D5677" s="6" t="s">
        <v>25</v>
      </c>
      <c r="E5677" s="6">
        <f>IF((ISBLANK($B$1)),"",Sheet1!Q5689)</f>
        <v>3700</v>
      </c>
      <c r="F5677" s="20" t="s">
        <v>26</v>
      </c>
      <c r="G5677" s="53">
        <f t="shared" si="89"/>
        <v>-1.351643349581243</v>
      </c>
      <c r="H5677" s="35"/>
      <c r="P5677" s="6"/>
    </row>
    <row r="5678" spans="1:16" ht="14.4" x14ac:dyDescent="0.25">
      <c r="A5678" s="6">
        <v>7859</v>
      </c>
      <c r="B5678" s="6">
        <v>56197</v>
      </c>
      <c r="C5678" s="19">
        <v>39944</v>
      </c>
      <c r="D5678" s="6" t="s">
        <v>17</v>
      </c>
      <c r="E5678" s="6">
        <f>IF((ISBLANK($B$1)),"",Sheet1!Q5690)</f>
        <v>3950</v>
      </c>
      <c r="F5678" s="20" t="s">
        <v>29</v>
      </c>
      <c r="G5678" s="53">
        <f t="shared" si="89"/>
        <v>-1.0064047814038573</v>
      </c>
      <c r="H5678" s="35"/>
      <c r="P5678" s="6"/>
    </row>
    <row r="5679" spans="1:16" ht="14.4" x14ac:dyDescent="0.25">
      <c r="A5679" s="6">
        <v>7860</v>
      </c>
      <c r="B5679" s="6">
        <v>56197</v>
      </c>
      <c r="C5679" s="19">
        <v>39944</v>
      </c>
      <c r="D5679" s="6" t="s">
        <v>17</v>
      </c>
      <c r="E5679" s="6">
        <f>IF((ISBLANK($B$1)),"",Sheet1!Q5691)</f>
        <v>5650</v>
      </c>
      <c r="F5679" s="20" t="s">
        <v>29</v>
      </c>
      <c r="G5679" s="53">
        <f t="shared" si="89"/>
        <v>1.3412174822023666</v>
      </c>
      <c r="H5679" s="35"/>
      <c r="P5679" s="6"/>
    </row>
    <row r="5680" spans="1:16" ht="14.4" x14ac:dyDescent="0.25">
      <c r="A5680" s="6">
        <v>7905</v>
      </c>
      <c r="B5680" s="6">
        <v>56548</v>
      </c>
      <c r="C5680" s="19">
        <v>41157</v>
      </c>
      <c r="D5680" s="6" t="s">
        <v>16</v>
      </c>
      <c r="E5680" s="6">
        <f>IF((ISBLANK($B$1)),"",Sheet1!Q5692)</f>
        <v>3750</v>
      </c>
      <c r="F5680" s="20" t="s">
        <v>29</v>
      </c>
      <c r="G5680" s="53">
        <f t="shared" si="89"/>
        <v>-1.282595635945766</v>
      </c>
      <c r="H5680" s="35"/>
      <c r="P5680" s="6"/>
    </row>
    <row r="5681" spans="1:16" ht="14.4" x14ac:dyDescent="0.25">
      <c r="A5681" s="6">
        <v>8291</v>
      </c>
      <c r="B5681" s="6">
        <v>59232</v>
      </c>
      <c r="C5681" s="19">
        <v>39818</v>
      </c>
      <c r="D5681" s="6" t="s">
        <v>17</v>
      </c>
      <c r="E5681" s="6">
        <f>IF((ISBLANK($B$1)),"",Sheet1!Q5693)</f>
        <v>4550</v>
      </c>
      <c r="F5681" s="20" t="s">
        <v>26</v>
      </c>
      <c r="G5681" s="53">
        <f t="shared" si="89"/>
        <v>-0.17783221777813119</v>
      </c>
      <c r="H5681" s="35"/>
      <c r="P5681" s="6"/>
    </row>
    <row r="5682" spans="1:16" ht="14.4" x14ac:dyDescent="0.25">
      <c r="A5682" s="6">
        <v>8390</v>
      </c>
      <c r="B5682" s="6">
        <v>59939</v>
      </c>
      <c r="C5682" s="19">
        <v>40422</v>
      </c>
      <c r="D5682" s="6" t="s">
        <v>16</v>
      </c>
      <c r="E5682" s="6">
        <f>IF((ISBLANK($B$1)),"",Sheet1!Q5694)</f>
        <v>5500</v>
      </c>
      <c r="F5682" s="20" t="s">
        <v>26</v>
      </c>
      <c r="G5682" s="53">
        <f t="shared" si="89"/>
        <v>1.1340743412959351</v>
      </c>
      <c r="H5682" s="35"/>
      <c r="P5682" s="6"/>
    </row>
    <row r="5683" spans="1:16" ht="14.4" x14ac:dyDescent="0.25">
      <c r="A5683" s="6">
        <v>8398</v>
      </c>
      <c r="B5683" s="6">
        <v>59973</v>
      </c>
      <c r="C5683" s="19">
        <v>40862</v>
      </c>
      <c r="D5683" s="6" t="s">
        <v>25</v>
      </c>
      <c r="E5683" s="6">
        <f>IF((ISBLANK($B$1)),"",Sheet1!Q5695)</f>
        <v>4850</v>
      </c>
      <c r="F5683" s="20" t="s">
        <v>27</v>
      </c>
      <c r="G5683" s="53">
        <f t="shared" si="89"/>
        <v>0.23645406403473185</v>
      </c>
      <c r="H5683" s="35"/>
      <c r="P5683" s="6"/>
    </row>
    <row r="5684" spans="1:16" ht="14.4" x14ac:dyDescent="0.25">
      <c r="A5684" s="6">
        <v>8399</v>
      </c>
      <c r="B5684" s="6">
        <v>59973</v>
      </c>
      <c r="C5684" s="19">
        <v>40862</v>
      </c>
      <c r="D5684" s="6" t="s">
        <v>25</v>
      </c>
      <c r="E5684" s="6">
        <f>IF((ISBLANK($B$1)),"",Sheet1!Q5696)</f>
        <v>4900</v>
      </c>
      <c r="F5684" s="20" t="s">
        <v>29</v>
      </c>
      <c r="G5684" s="53">
        <f t="shared" si="89"/>
        <v>0.30550177767020903</v>
      </c>
      <c r="H5684" s="35"/>
      <c r="P5684" s="6"/>
    </row>
    <row r="5685" spans="1:16" ht="14.4" x14ac:dyDescent="0.25">
      <c r="A5685" s="6">
        <v>370</v>
      </c>
      <c r="B5685" s="6">
        <v>2563</v>
      </c>
      <c r="C5685" s="19">
        <v>40500</v>
      </c>
      <c r="D5685" s="6" t="s">
        <v>28</v>
      </c>
      <c r="E5685" s="6">
        <f>IF((ISBLANK($B$1)),"",Sheet1!Q5697)</f>
        <v>4000</v>
      </c>
      <c r="F5685" s="20" t="s">
        <v>26</v>
      </c>
      <c r="G5685" s="53">
        <f t="shared" si="89"/>
        <v>-0.93735706776838001</v>
      </c>
      <c r="H5685" s="35"/>
      <c r="P5685" s="6"/>
    </row>
    <row r="5686" spans="1:16" ht="14.4" x14ac:dyDescent="0.25">
      <c r="A5686" s="6">
        <v>371</v>
      </c>
      <c r="B5686" s="6">
        <v>2563</v>
      </c>
      <c r="C5686" s="19">
        <v>40500</v>
      </c>
      <c r="D5686" s="6" t="s">
        <v>28</v>
      </c>
      <c r="E5686" s="6">
        <f>IF((ISBLANK($B$1)),"",Sheet1!Q5698)</f>
        <v>5050</v>
      </c>
      <c r="F5686" s="20" t="s">
        <v>26</v>
      </c>
      <c r="G5686" s="53">
        <f t="shared" si="89"/>
        <v>0.51264491857664052</v>
      </c>
      <c r="H5686" s="35"/>
      <c r="P5686" s="6"/>
    </row>
    <row r="5687" spans="1:16" ht="14.4" x14ac:dyDescent="0.25">
      <c r="A5687" s="6">
        <v>408</v>
      </c>
      <c r="B5687" s="6">
        <v>2759</v>
      </c>
      <c r="C5687" s="19">
        <v>40506</v>
      </c>
      <c r="D5687" s="6" t="s">
        <v>28</v>
      </c>
      <c r="E5687" s="6">
        <f>IF((ISBLANK($B$1)),"",Sheet1!Q5699)</f>
        <v>4650</v>
      </c>
      <c r="F5687" s="20" t="s">
        <v>27</v>
      </c>
      <c r="G5687" s="53">
        <f t="shared" si="89"/>
        <v>-3.9736790507176829E-2</v>
      </c>
      <c r="H5687" s="35"/>
      <c r="P5687" s="6"/>
    </row>
    <row r="5688" spans="1:16" ht="14.4" x14ac:dyDescent="0.25">
      <c r="A5688" s="6">
        <v>748</v>
      </c>
      <c r="B5688" s="6">
        <v>5350</v>
      </c>
      <c r="C5688" s="19">
        <v>40460</v>
      </c>
      <c r="D5688" s="6" t="s">
        <v>25</v>
      </c>
      <c r="E5688" s="6">
        <f>IF((ISBLANK($B$1)),"",Sheet1!Q5700)</f>
        <v>5900</v>
      </c>
      <c r="F5688" s="20" t="s">
        <v>26</v>
      </c>
      <c r="G5688" s="53">
        <f t="shared" si="89"/>
        <v>1.6864560503797523</v>
      </c>
      <c r="H5688" s="35"/>
      <c r="P5688" s="6"/>
    </row>
    <row r="5689" spans="1:16" ht="14.4" x14ac:dyDescent="0.25">
      <c r="A5689" s="6">
        <v>1361</v>
      </c>
      <c r="B5689" s="6">
        <v>9922</v>
      </c>
      <c r="C5689" s="19">
        <v>40636</v>
      </c>
      <c r="D5689" s="6" t="s">
        <v>28</v>
      </c>
      <c r="E5689" s="6">
        <f>IF((ISBLANK($B$1)),"",Sheet1!Q5701)</f>
        <v>4700</v>
      </c>
      <c r="F5689" s="20" t="s">
        <v>27</v>
      </c>
      <c r="G5689" s="53">
        <f t="shared" si="89"/>
        <v>2.9310923128300338E-2</v>
      </c>
      <c r="H5689" s="35"/>
      <c r="P5689" s="6"/>
    </row>
    <row r="5690" spans="1:16" ht="14.4" x14ac:dyDescent="0.25">
      <c r="A5690" s="6">
        <v>1362</v>
      </c>
      <c r="B5690" s="6">
        <v>9922</v>
      </c>
      <c r="C5690" s="19">
        <v>40636</v>
      </c>
      <c r="D5690" s="6" t="s">
        <v>28</v>
      </c>
      <c r="E5690" s="6">
        <f>IF((ISBLANK($B$1)),"",Sheet1!Q5702)</f>
        <v>4450</v>
      </c>
      <c r="F5690" s="20" t="s">
        <v>27</v>
      </c>
      <c r="G5690" s="53">
        <f t="shared" si="89"/>
        <v>-0.31592764504908549</v>
      </c>
      <c r="H5690" s="35"/>
      <c r="P5690" s="6"/>
    </row>
    <row r="5691" spans="1:16" ht="14.4" x14ac:dyDescent="0.25">
      <c r="A5691" s="6">
        <v>1627</v>
      </c>
      <c r="B5691" s="6">
        <v>11777</v>
      </c>
      <c r="C5691" s="19">
        <v>40172</v>
      </c>
      <c r="D5691" s="6" t="s">
        <v>25</v>
      </c>
      <c r="E5691" s="6">
        <f>IF((ISBLANK($B$1)),"",Sheet1!Q5703)</f>
        <v>5350</v>
      </c>
      <c r="F5691" s="20" t="s">
        <v>26</v>
      </c>
      <c r="G5691" s="53">
        <f t="shared" si="89"/>
        <v>0.92693120038950361</v>
      </c>
      <c r="H5691" s="35"/>
      <c r="P5691" s="6"/>
    </row>
    <row r="5692" spans="1:16" ht="14.4" x14ac:dyDescent="0.25">
      <c r="A5692" s="6">
        <v>1728</v>
      </c>
      <c r="B5692" s="6">
        <v>12420</v>
      </c>
      <c r="C5692" s="19">
        <v>40538</v>
      </c>
      <c r="D5692" s="6" t="s">
        <v>16</v>
      </c>
      <c r="E5692" s="6">
        <f>IF((ISBLANK($B$1)),"",Sheet1!Q5704)</f>
        <v>5100</v>
      </c>
      <c r="F5692" s="20" t="s">
        <v>26</v>
      </c>
      <c r="G5692" s="53">
        <f t="shared" si="89"/>
        <v>0.58169263221211776</v>
      </c>
      <c r="H5692" s="35"/>
      <c r="P5692" s="6"/>
    </row>
    <row r="5693" spans="1:16" ht="14.4" x14ac:dyDescent="0.25">
      <c r="A5693" s="6">
        <v>1729</v>
      </c>
      <c r="B5693" s="6">
        <v>12420</v>
      </c>
      <c r="C5693" s="19">
        <v>40538</v>
      </c>
      <c r="D5693" s="6" t="s">
        <v>16</v>
      </c>
      <c r="E5693" s="6">
        <f>IF((ISBLANK($B$1)),"",Sheet1!Q5705)</f>
        <v>3450</v>
      </c>
      <c r="F5693" s="20" t="s">
        <v>26</v>
      </c>
      <c r="G5693" s="53">
        <f t="shared" si="89"/>
        <v>-1.696881917758629</v>
      </c>
      <c r="H5693" s="35"/>
      <c r="P5693" s="6"/>
    </row>
    <row r="5694" spans="1:16" ht="14.4" x14ac:dyDescent="0.25">
      <c r="A5694" s="6">
        <v>1757</v>
      </c>
      <c r="B5694" s="6">
        <v>12611</v>
      </c>
      <c r="C5694" s="19">
        <v>40831</v>
      </c>
      <c r="D5694" s="6" t="s">
        <v>16</v>
      </c>
      <c r="E5694" s="6">
        <f>IF((ISBLANK($B$1)),"",Sheet1!Q5706)</f>
        <v>4050</v>
      </c>
      <c r="F5694" s="20" t="s">
        <v>26</v>
      </c>
      <c r="G5694" s="53">
        <f t="shared" si="89"/>
        <v>-0.86830935413290289</v>
      </c>
      <c r="H5694" s="35"/>
      <c r="P5694" s="6"/>
    </row>
    <row r="5695" spans="1:16" ht="14.4" x14ac:dyDescent="0.25">
      <c r="A5695" s="6">
        <v>1769</v>
      </c>
      <c r="B5695" s="6">
        <v>12676</v>
      </c>
      <c r="C5695" s="19">
        <v>39828</v>
      </c>
      <c r="D5695" s="6" t="s">
        <v>17</v>
      </c>
      <c r="E5695" s="6">
        <f>IF((ISBLANK($B$1)),"",Sheet1!Q5707)</f>
        <v>4650</v>
      </c>
      <c r="F5695" s="20" t="s">
        <v>29</v>
      </c>
      <c r="G5695" s="53">
        <f t="shared" si="89"/>
        <v>-3.9736790507176829E-2</v>
      </c>
      <c r="H5695" s="35"/>
      <c r="P5695" s="6"/>
    </row>
    <row r="5696" spans="1:16" ht="14.4" x14ac:dyDescent="0.25">
      <c r="A5696" s="6">
        <v>1798</v>
      </c>
      <c r="B5696" s="6">
        <v>12871</v>
      </c>
      <c r="C5696" s="19">
        <v>40820</v>
      </c>
      <c r="D5696" s="6" t="s">
        <v>28</v>
      </c>
      <c r="E5696" s="6">
        <f>IF((ISBLANK($B$1)),"",Sheet1!Q5708)</f>
        <v>5700</v>
      </c>
      <c r="F5696" s="20" t="s">
        <v>26</v>
      </c>
      <c r="G5696" s="53">
        <f t="shared" si="89"/>
        <v>1.4102651958378438</v>
      </c>
      <c r="H5696" s="35"/>
      <c r="P5696" s="6"/>
    </row>
    <row r="5697" spans="1:16" ht="14.4" x14ac:dyDescent="0.25">
      <c r="A5697" s="6">
        <v>2103</v>
      </c>
      <c r="B5697" s="6">
        <v>15040</v>
      </c>
      <c r="C5697" s="19">
        <v>40151</v>
      </c>
      <c r="D5697" s="6" t="s">
        <v>25</v>
      </c>
      <c r="E5697" s="6">
        <f>IF((ISBLANK($B$1)),"",Sheet1!Q5709)</f>
        <v>5800</v>
      </c>
      <c r="F5697" s="20" t="s">
        <v>26</v>
      </c>
      <c r="G5697" s="53">
        <f t="shared" si="89"/>
        <v>1.5483606231087981</v>
      </c>
      <c r="H5697" s="35"/>
      <c r="P5697" s="6"/>
    </row>
    <row r="5698" spans="1:16" ht="14.4" x14ac:dyDescent="0.25">
      <c r="A5698" s="6">
        <v>2159</v>
      </c>
      <c r="B5698" s="6">
        <v>15491</v>
      </c>
      <c r="C5698" s="19">
        <v>40926</v>
      </c>
      <c r="D5698" s="6" t="s">
        <v>16</v>
      </c>
      <c r="E5698" s="6">
        <f>IF((ISBLANK($B$1)),"",Sheet1!Q5710)</f>
        <v>3650</v>
      </c>
      <c r="F5698" s="20" t="s">
        <v>27</v>
      </c>
      <c r="G5698" s="53">
        <f t="shared" si="89"/>
        <v>-1.4206910632167202</v>
      </c>
      <c r="H5698" s="35"/>
      <c r="P5698" s="6"/>
    </row>
    <row r="5699" spans="1:16" ht="14.4" x14ac:dyDescent="0.25">
      <c r="A5699" s="6">
        <v>2359</v>
      </c>
      <c r="B5699" s="6">
        <v>17028</v>
      </c>
      <c r="C5699" s="19">
        <v>40101</v>
      </c>
      <c r="D5699" s="6" t="s">
        <v>17</v>
      </c>
      <c r="E5699" s="6">
        <f>IF((ISBLANK($B$1)),"",Sheet1!Q5711)</f>
        <v>4350</v>
      </c>
      <c r="F5699" s="20" t="s">
        <v>26</v>
      </c>
      <c r="G5699" s="53">
        <f t="shared" si="89"/>
        <v>-0.45402307232003986</v>
      </c>
      <c r="H5699" s="35"/>
      <c r="P5699" s="6"/>
    </row>
    <row r="5700" spans="1:16" ht="14.4" x14ac:dyDescent="0.25">
      <c r="A5700" s="6">
        <v>2458</v>
      </c>
      <c r="B5700" s="6">
        <v>17859</v>
      </c>
      <c r="C5700" s="19">
        <v>40324</v>
      </c>
      <c r="D5700" s="6" t="s">
        <v>30</v>
      </c>
      <c r="E5700" s="6">
        <f>IF((ISBLANK($B$1)),"",Sheet1!Q5712)</f>
        <v>3750</v>
      </c>
      <c r="F5700" s="20" t="s">
        <v>27</v>
      </c>
      <c r="G5700" s="53">
        <f t="shared" si="89"/>
        <v>-1.282595635945766</v>
      </c>
      <c r="H5700" s="35"/>
      <c r="P5700" s="6"/>
    </row>
    <row r="5701" spans="1:16" ht="14.4" x14ac:dyDescent="0.25">
      <c r="A5701" s="6">
        <v>2524</v>
      </c>
      <c r="B5701" s="6">
        <v>18340</v>
      </c>
      <c r="C5701" s="19">
        <v>40711</v>
      </c>
      <c r="D5701" s="6" t="s">
        <v>16</v>
      </c>
      <c r="E5701" s="6">
        <f>IF((ISBLANK($B$1)),"",Sheet1!Q5713)</f>
        <v>4400</v>
      </c>
      <c r="F5701" s="20" t="s">
        <v>26</v>
      </c>
      <c r="G5701" s="53">
        <f t="shared" si="89"/>
        <v>-0.38497535868456267</v>
      </c>
      <c r="H5701" s="35"/>
      <c r="P5701" s="6"/>
    </row>
    <row r="5702" spans="1:16" ht="14.4" x14ac:dyDescent="0.25">
      <c r="A5702" s="6">
        <v>2525</v>
      </c>
      <c r="B5702" s="6">
        <v>18340</v>
      </c>
      <c r="C5702" s="19">
        <v>40711</v>
      </c>
      <c r="D5702" s="6" t="s">
        <v>16</v>
      </c>
      <c r="E5702" s="6">
        <f>IF((ISBLANK($B$1)),"",Sheet1!Q5714)</f>
        <v>4800</v>
      </c>
      <c r="F5702" s="20" t="s">
        <v>26</v>
      </c>
      <c r="G5702" s="53">
        <f t="shared" si="89"/>
        <v>0.16740635039925467</v>
      </c>
      <c r="H5702" s="35"/>
      <c r="P5702" s="6"/>
    </row>
    <row r="5703" spans="1:16" ht="14.4" x14ac:dyDescent="0.25">
      <c r="A5703" s="6">
        <v>2866</v>
      </c>
      <c r="B5703" s="6">
        <v>20704</v>
      </c>
      <c r="C5703" s="19">
        <v>40219</v>
      </c>
      <c r="D5703" s="6" t="s">
        <v>25</v>
      </c>
      <c r="E5703" s="6">
        <f>IF((ISBLANK($B$1)),"",Sheet1!Q5715)</f>
        <v>3450</v>
      </c>
      <c r="F5703" s="20" t="s">
        <v>26</v>
      </c>
      <c r="G5703" s="53">
        <f t="shared" si="89"/>
        <v>-1.696881917758629</v>
      </c>
      <c r="H5703" s="35"/>
      <c r="P5703" s="6"/>
    </row>
    <row r="5704" spans="1:16" ht="14.4" x14ac:dyDescent="0.25">
      <c r="A5704" s="6">
        <v>2867</v>
      </c>
      <c r="B5704" s="6">
        <v>20704</v>
      </c>
      <c r="C5704" s="19">
        <v>40219</v>
      </c>
      <c r="D5704" s="6" t="s">
        <v>25</v>
      </c>
      <c r="E5704" s="6">
        <f>IF((ISBLANK($B$1)),"",Sheet1!Q5716)</f>
        <v>3650</v>
      </c>
      <c r="F5704" s="20" t="s">
        <v>26</v>
      </c>
      <c r="G5704" s="53">
        <f t="shared" ref="G5704:G5767" si="90">STANDARDIZE(E5704,$L$26,$L$35)</f>
        <v>-1.4206910632167202</v>
      </c>
      <c r="H5704" s="35"/>
      <c r="P5704" s="6"/>
    </row>
    <row r="5705" spans="1:16" ht="14.4" x14ac:dyDescent="0.25">
      <c r="A5705" s="6">
        <v>2868</v>
      </c>
      <c r="B5705" s="6">
        <v>20704</v>
      </c>
      <c r="C5705" s="19">
        <v>40219</v>
      </c>
      <c r="D5705" s="6" t="s">
        <v>25</v>
      </c>
      <c r="E5705" s="6">
        <f>IF((ISBLANK($B$1)),"",Sheet1!Q5717)</f>
        <v>5300</v>
      </c>
      <c r="F5705" s="20" t="s">
        <v>26</v>
      </c>
      <c r="G5705" s="53">
        <f t="shared" si="90"/>
        <v>0.85788348675402637</v>
      </c>
      <c r="H5705" s="35"/>
      <c r="P5705" s="6"/>
    </row>
    <row r="5706" spans="1:16" ht="14.4" x14ac:dyDescent="0.25">
      <c r="A5706" s="6">
        <v>2972</v>
      </c>
      <c r="B5706" s="6">
        <v>21477</v>
      </c>
      <c r="C5706" s="19">
        <v>40684</v>
      </c>
      <c r="D5706" s="6" t="s">
        <v>25</v>
      </c>
      <c r="E5706" s="6">
        <f>IF((ISBLANK($B$1)),"",Sheet1!Q5718)</f>
        <v>3750</v>
      </c>
      <c r="F5706" s="20" t="s">
        <v>26</v>
      </c>
      <c r="G5706" s="53">
        <f t="shared" si="90"/>
        <v>-1.282595635945766</v>
      </c>
      <c r="H5706" s="35"/>
      <c r="P5706" s="6"/>
    </row>
    <row r="5707" spans="1:16" ht="14.4" x14ac:dyDescent="0.25">
      <c r="A5707" s="6">
        <v>2973</v>
      </c>
      <c r="B5707" s="6">
        <v>21477</v>
      </c>
      <c r="C5707" s="19">
        <v>40684</v>
      </c>
      <c r="D5707" s="6" t="s">
        <v>25</v>
      </c>
      <c r="E5707" s="6">
        <f>IF((ISBLANK($B$1)),"",Sheet1!Q5719)</f>
        <v>5400</v>
      </c>
      <c r="F5707" s="20" t="s">
        <v>26</v>
      </c>
      <c r="G5707" s="53">
        <f t="shared" si="90"/>
        <v>0.99597891402498073</v>
      </c>
      <c r="H5707" s="35"/>
      <c r="P5707" s="6"/>
    </row>
    <row r="5708" spans="1:16" ht="14.4" x14ac:dyDescent="0.25">
      <c r="A5708" s="6">
        <v>2993</v>
      </c>
      <c r="B5708" s="6">
        <v>21602</v>
      </c>
      <c r="C5708" s="19">
        <v>39995</v>
      </c>
      <c r="D5708" s="6" t="s">
        <v>30</v>
      </c>
      <c r="E5708" s="6">
        <f>IF((ISBLANK($B$1)),"",Sheet1!Q5720)</f>
        <v>3700</v>
      </c>
      <c r="F5708" s="20" t="s">
        <v>29</v>
      </c>
      <c r="G5708" s="53">
        <f t="shared" si="90"/>
        <v>-1.351643349581243</v>
      </c>
      <c r="H5708" s="35"/>
      <c r="P5708" s="6"/>
    </row>
    <row r="5709" spans="1:16" ht="14.4" x14ac:dyDescent="0.25">
      <c r="A5709" s="6">
        <v>3616</v>
      </c>
      <c r="B5709" s="6">
        <v>25828</v>
      </c>
      <c r="C5709" s="19">
        <v>40505</v>
      </c>
      <c r="D5709" s="6" t="s">
        <v>28</v>
      </c>
      <c r="E5709" s="6">
        <f>IF((ISBLANK($B$1)),"",Sheet1!Q5721)</f>
        <v>4850</v>
      </c>
      <c r="F5709" s="20" t="s">
        <v>26</v>
      </c>
      <c r="G5709" s="53">
        <f t="shared" si="90"/>
        <v>0.23645406403473185</v>
      </c>
      <c r="H5709" s="35"/>
      <c r="P5709" s="6"/>
    </row>
    <row r="5710" spans="1:16" ht="14.4" x14ac:dyDescent="0.25">
      <c r="A5710" s="6">
        <v>3617</v>
      </c>
      <c r="B5710" s="6">
        <v>25828</v>
      </c>
      <c r="C5710" s="19">
        <v>40505</v>
      </c>
      <c r="D5710" s="6" t="s">
        <v>28</v>
      </c>
      <c r="E5710" s="6">
        <f>IF((ISBLANK($B$1)),"",Sheet1!Q5722)</f>
        <v>4950</v>
      </c>
      <c r="F5710" s="20" t="s">
        <v>29</v>
      </c>
      <c r="G5710" s="53">
        <f t="shared" si="90"/>
        <v>0.37454949130568621</v>
      </c>
      <c r="H5710" s="35"/>
      <c r="P5710" s="6"/>
    </row>
    <row r="5711" spans="1:16" ht="14.4" x14ac:dyDescent="0.25">
      <c r="A5711" s="6">
        <v>3746</v>
      </c>
      <c r="B5711" s="6">
        <v>26758</v>
      </c>
      <c r="C5711" s="19">
        <v>39956</v>
      </c>
      <c r="D5711" s="6" t="s">
        <v>28</v>
      </c>
      <c r="E5711" s="6">
        <f>IF((ISBLANK($B$1)),"",Sheet1!Q5723)</f>
        <v>5700</v>
      </c>
      <c r="F5711" s="20" t="s">
        <v>27</v>
      </c>
      <c r="G5711" s="53">
        <f t="shared" si="90"/>
        <v>1.4102651958378438</v>
      </c>
      <c r="H5711" s="35"/>
      <c r="P5711" s="6"/>
    </row>
    <row r="5712" spans="1:16" ht="14.4" x14ac:dyDescent="0.25">
      <c r="A5712" s="6">
        <v>3747</v>
      </c>
      <c r="B5712" s="6">
        <v>26758</v>
      </c>
      <c r="C5712" s="19">
        <v>39956</v>
      </c>
      <c r="D5712" s="6" t="s">
        <v>28</v>
      </c>
      <c r="E5712" s="6">
        <f>IF((ISBLANK($B$1)),"",Sheet1!Q5724)</f>
        <v>5250</v>
      </c>
      <c r="F5712" s="20" t="s">
        <v>26</v>
      </c>
      <c r="G5712" s="53">
        <f t="shared" si="90"/>
        <v>0.78883577311854924</v>
      </c>
      <c r="H5712" s="35"/>
      <c r="P5712" s="6"/>
    </row>
    <row r="5713" spans="1:16" ht="14.4" x14ac:dyDescent="0.25">
      <c r="A5713" s="6">
        <v>3966</v>
      </c>
      <c r="B5713" s="6">
        <v>28291</v>
      </c>
      <c r="C5713" s="19">
        <v>39876</v>
      </c>
      <c r="D5713" s="6" t="s">
        <v>30</v>
      </c>
      <c r="E5713" s="6">
        <f>IF((ISBLANK($B$1)),"",Sheet1!Q5725)</f>
        <v>4100</v>
      </c>
      <c r="F5713" s="20" t="s">
        <v>29</v>
      </c>
      <c r="G5713" s="53">
        <f t="shared" si="90"/>
        <v>-0.79926164049742576</v>
      </c>
      <c r="H5713" s="35"/>
      <c r="P5713" s="6"/>
    </row>
    <row r="5714" spans="1:16" ht="14.4" x14ac:dyDescent="0.25">
      <c r="A5714" s="6">
        <v>3986</v>
      </c>
      <c r="B5714" s="6">
        <v>28455</v>
      </c>
      <c r="C5714" s="19">
        <v>40328</v>
      </c>
      <c r="D5714" s="6" t="s">
        <v>16</v>
      </c>
      <c r="E5714" s="6">
        <f>IF((ISBLANK($B$1)),"",Sheet1!Q5726)</f>
        <v>4000</v>
      </c>
      <c r="F5714" s="20" t="s">
        <v>27</v>
      </c>
      <c r="G5714" s="53">
        <f t="shared" si="90"/>
        <v>-0.93735706776838001</v>
      </c>
      <c r="H5714" s="35"/>
      <c r="P5714" s="6"/>
    </row>
    <row r="5715" spans="1:16" ht="14.4" x14ac:dyDescent="0.25">
      <c r="A5715" s="6">
        <v>3987</v>
      </c>
      <c r="B5715" s="6">
        <v>28455</v>
      </c>
      <c r="C5715" s="19">
        <v>40328</v>
      </c>
      <c r="D5715" s="6" t="s">
        <v>16</v>
      </c>
      <c r="E5715" s="6">
        <f>IF((ISBLANK($B$1)),"",Sheet1!Q5727)</f>
        <v>5250</v>
      </c>
      <c r="F5715" s="20" t="s">
        <v>27</v>
      </c>
      <c r="G5715" s="53">
        <f t="shared" si="90"/>
        <v>0.78883577311854924</v>
      </c>
      <c r="H5715" s="35"/>
      <c r="P5715" s="6"/>
    </row>
    <row r="5716" spans="1:16" ht="14.4" x14ac:dyDescent="0.25">
      <c r="A5716" s="6">
        <v>4069</v>
      </c>
      <c r="B5716" s="6">
        <v>28963</v>
      </c>
      <c r="C5716" s="19">
        <v>40881</v>
      </c>
      <c r="D5716" s="6" t="s">
        <v>28</v>
      </c>
      <c r="E5716" s="6">
        <f>IF((ISBLANK($B$1)),"",Sheet1!Q5728)</f>
        <v>5250</v>
      </c>
      <c r="F5716" s="20" t="s">
        <v>27</v>
      </c>
      <c r="G5716" s="53">
        <f t="shared" si="90"/>
        <v>0.78883577311854924</v>
      </c>
      <c r="H5716" s="35"/>
      <c r="P5716" s="6"/>
    </row>
    <row r="5717" spans="1:16" ht="14.4" x14ac:dyDescent="0.25">
      <c r="A5717" s="6">
        <v>4100</v>
      </c>
      <c r="B5717" s="6">
        <v>29216</v>
      </c>
      <c r="C5717" s="19">
        <v>41272</v>
      </c>
      <c r="D5717" s="6" t="s">
        <v>30</v>
      </c>
      <c r="E5717" s="6">
        <f>IF((ISBLANK($B$1)),"",Sheet1!Q5729)</f>
        <v>5700</v>
      </c>
      <c r="F5717" s="20" t="s">
        <v>27</v>
      </c>
      <c r="G5717" s="53">
        <f t="shared" si="90"/>
        <v>1.4102651958378438</v>
      </c>
      <c r="H5717" s="35"/>
      <c r="P5717" s="6"/>
    </row>
    <row r="5718" spans="1:16" ht="14.4" x14ac:dyDescent="0.25">
      <c r="A5718" s="6">
        <v>4101</v>
      </c>
      <c r="B5718" s="6">
        <v>29216</v>
      </c>
      <c r="C5718" s="19">
        <v>41272</v>
      </c>
      <c r="D5718" s="6" t="s">
        <v>30</v>
      </c>
      <c r="E5718" s="6">
        <f>IF((ISBLANK($B$1)),"",Sheet1!Q5730)</f>
        <v>4250</v>
      </c>
      <c r="F5718" s="20" t="s">
        <v>29</v>
      </c>
      <c r="G5718" s="53">
        <f t="shared" si="90"/>
        <v>-0.59211849959099416</v>
      </c>
      <c r="H5718" s="35"/>
      <c r="P5718" s="6"/>
    </row>
    <row r="5719" spans="1:16" ht="14.4" x14ac:dyDescent="0.25">
      <c r="A5719" s="6">
        <v>4274</v>
      </c>
      <c r="B5719" s="6">
        <v>30405</v>
      </c>
      <c r="C5719" s="19">
        <v>41027</v>
      </c>
      <c r="D5719" s="6" t="s">
        <v>25</v>
      </c>
      <c r="E5719" s="6">
        <f>IF((ISBLANK($B$1)),"",Sheet1!Q5731)</f>
        <v>3750</v>
      </c>
      <c r="F5719" s="20" t="s">
        <v>29</v>
      </c>
      <c r="G5719" s="53">
        <f t="shared" si="90"/>
        <v>-1.282595635945766</v>
      </c>
      <c r="H5719" s="35"/>
      <c r="P5719" s="6"/>
    </row>
    <row r="5720" spans="1:16" ht="14.4" x14ac:dyDescent="0.25">
      <c r="A5720" s="6">
        <v>4348</v>
      </c>
      <c r="B5720" s="6">
        <v>30976</v>
      </c>
      <c r="C5720" s="19">
        <v>41206</v>
      </c>
      <c r="D5720" s="6" t="s">
        <v>17</v>
      </c>
      <c r="E5720" s="6">
        <f>IF((ISBLANK($B$1)),"",Sheet1!Q5732)</f>
        <v>3900</v>
      </c>
      <c r="F5720" s="20" t="s">
        <v>27</v>
      </c>
      <c r="G5720" s="53">
        <f t="shared" si="90"/>
        <v>-1.0754524950393345</v>
      </c>
      <c r="H5720" s="35"/>
      <c r="P5720" s="6"/>
    </row>
    <row r="5721" spans="1:16" ht="14.4" x14ac:dyDescent="0.25">
      <c r="A5721" s="6">
        <v>4667</v>
      </c>
      <c r="B5721" s="6">
        <v>33220</v>
      </c>
      <c r="C5721" s="19">
        <v>39918</v>
      </c>
      <c r="D5721" s="6" t="s">
        <v>28</v>
      </c>
      <c r="E5721" s="6">
        <f>IF((ISBLANK($B$1)),"",Sheet1!Q5733)</f>
        <v>5850</v>
      </c>
      <c r="F5721" s="20" t="s">
        <v>26</v>
      </c>
      <c r="G5721" s="53">
        <f t="shared" si="90"/>
        <v>1.6174083367442753</v>
      </c>
      <c r="H5721" s="35"/>
      <c r="P5721" s="6"/>
    </row>
    <row r="5722" spans="1:16" ht="14.4" x14ac:dyDescent="0.25">
      <c r="A5722" s="6">
        <v>4668</v>
      </c>
      <c r="B5722" s="6">
        <v>33220</v>
      </c>
      <c r="C5722" s="19">
        <v>39918</v>
      </c>
      <c r="D5722" s="6" t="s">
        <v>28</v>
      </c>
      <c r="E5722" s="6">
        <f>IF((ISBLANK($B$1)),"",Sheet1!Q5734)</f>
        <v>5400</v>
      </c>
      <c r="F5722" s="20" t="s">
        <v>29</v>
      </c>
      <c r="G5722" s="53">
        <f t="shared" si="90"/>
        <v>0.99597891402498073</v>
      </c>
      <c r="H5722" s="35"/>
      <c r="P5722" s="6"/>
    </row>
    <row r="5723" spans="1:16" ht="14.4" x14ac:dyDescent="0.25">
      <c r="A5723" s="6">
        <v>4736</v>
      </c>
      <c r="B5723" s="6">
        <v>33701</v>
      </c>
      <c r="C5723" s="19">
        <v>40087</v>
      </c>
      <c r="D5723" s="6" t="s">
        <v>16</v>
      </c>
      <c r="E5723" s="6">
        <f>IF((ISBLANK($B$1)),"",Sheet1!Q5735)</f>
        <v>5150</v>
      </c>
      <c r="F5723" s="20" t="s">
        <v>26</v>
      </c>
      <c r="G5723" s="53">
        <f t="shared" si="90"/>
        <v>0.65074034584759488</v>
      </c>
      <c r="H5723" s="35"/>
      <c r="P5723" s="6"/>
    </row>
    <row r="5724" spans="1:16" ht="14.4" x14ac:dyDescent="0.25">
      <c r="A5724" s="6">
        <v>4752</v>
      </c>
      <c r="B5724" s="6">
        <v>33793</v>
      </c>
      <c r="C5724" s="19">
        <v>41087</v>
      </c>
      <c r="D5724" s="6" t="s">
        <v>30</v>
      </c>
      <c r="E5724" s="6">
        <f>IF((ISBLANK($B$1)),"",Sheet1!Q5736)</f>
        <v>4250</v>
      </c>
      <c r="F5724" s="20" t="s">
        <v>26</v>
      </c>
      <c r="G5724" s="53">
        <f t="shared" si="90"/>
        <v>-0.59211849959099416</v>
      </c>
      <c r="H5724" s="35"/>
      <c r="P5724" s="6"/>
    </row>
    <row r="5725" spans="1:16" ht="14.4" x14ac:dyDescent="0.25">
      <c r="A5725" s="6">
        <v>4850</v>
      </c>
      <c r="B5725" s="6">
        <v>34499</v>
      </c>
      <c r="C5725" s="19">
        <v>40377</v>
      </c>
      <c r="D5725" s="6" t="s">
        <v>16</v>
      </c>
      <c r="E5725" s="6">
        <f>IF((ISBLANK($B$1)),"",Sheet1!Q5737)</f>
        <v>3500</v>
      </c>
      <c r="F5725" s="20" t="s">
        <v>29</v>
      </c>
      <c r="G5725" s="53">
        <f t="shared" si="90"/>
        <v>-1.6278342041231517</v>
      </c>
      <c r="H5725" s="35"/>
      <c r="P5725" s="6"/>
    </row>
    <row r="5726" spans="1:16" ht="14.4" x14ac:dyDescent="0.25">
      <c r="A5726" s="6">
        <v>4920</v>
      </c>
      <c r="B5726" s="6">
        <v>35040</v>
      </c>
      <c r="C5726" s="19">
        <v>41017</v>
      </c>
      <c r="D5726" s="6" t="s">
        <v>28</v>
      </c>
      <c r="E5726" s="6">
        <f>IF((ISBLANK($B$1)),"",Sheet1!Q5738)</f>
        <v>5600</v>
      </c>
      <c r="F5726" s="20" t="s">
        <v>26</v>
      </c>
      <c r="G5726" s="53">
        <f t="shared" si="90"/>
        <v>1.2721697685668893</v>
      </c>
      <c r="H5726" s="35"/>
      <c r="P5726" s="6"/>
    </row>
    <row r="5727" spans="1:16" ht="14.4" x14ac:dyDescent="0.25">
      <c r="A5727" s="6">
        <v>4951</v>
      </c>
      <c r="B5727" s="6">
        <v>35238</v>
      </c>
      <c r="C5727" s="19">
        <v>40661</v>
      </c>
      <c r="D5727" s="6" t="s">
        <v>25</v>
      </c>
      <c r="E5727" s="6">
        <f>IF((ISBLANK($B$1)),"",Sheet1!Q5739)</f>
        <v>4750</v>
      </c>
      <c r="F5727" s="20" t="s">
        <v>27</v>
      </c>
      <c r="G5727" s="53">
        <f t="shared" si="90"/>
        <v>9.8358636763777513E-2</v>
      </c>
      <c r="H5727" s="35"/>
      <c r="P5727" s="6"/>
    </row>
    <row r="5728" spans="1:16" ht="14.4" x14ac:dyDescent="0.25">
      <c r="A5728" s="6">
        <v>4976</v>
      </c>
      <c r="B5728" s="6">
        <v>35399</v>
      </c>
      <c r="C5728" s="19">
        <v>40564</v>
      </c>
      <c r="D5728" s="6" t="s">
        <v>25</v>
      </c>
      <c r="E5728" s="6">
        <f>IF((ISBLANK($B$1)),"",Sheet1!Q5740)</f>
        <v>5300</v>
      </c>
      <c r="F5728" s="20" t="s">
        <v>26</v>
      </c>
      <c r="G5728" s="53">
        <f t="shared" si="90"/>
        <v>0.85788348675402637</v>
      </c>
      <c r="H5728" s="35"/>
      <c r="P5728" s="6"/>
    </row>
    <row r="5729" spans="1:16" ht="14.4" x14ac:dyDescent="0.25">
      <c r="A5729" s="6">
        <v>5039</v>
      </c>
      <c r="B5729" s="6">
        <v>35910</v>
      </c>
      <c r="C5729" s="19">
        <v>40506</v>
      </c>
      <c r="D5729" s="6" t="s">
        <v>17</v>
      </c>
      <c r="E5729" s="6">
        <f>IF((ISBLANK($B$1)),"",Sheet1!Q5741)</f>
        <v>4800</v>
      </c>
      <c r="F5729" s="20" t="s">
        <v>27</v>
      </c>
      <c r="G5729" s="53">
        <f t="shared" si="90"/>
        <v>0.16740635039925467</v>
      </c>
      <c r="H5729" s="35"/>
      <c r="P5729" s="6"/>
    </row>
    <row r="5730" spans="1:16" ht="14.4" x14ac:dyDescent="0.25">
      <c r="A5730" s="6">
        <v>5040</v>
      </c>
      <c r="B5730" s="6">
        <v>35910</v>
      </c>
      <c r="C5730" s="19">
        <v>40506</v>
      </c>
      <c r="D5730" s="6" t="s">
        <v>17</v>
      </c>
      <c r="E5730" s="6">
        <f>IF((ISBLANK($B$1)),"",Sheet1!Q5742)</f>
        <v>4650</v>
      </c>
      <c r="F5730" s="20" t="s">
        <v>26</v>
      </c>
      <c r="G5730" s="53">
        <f t="shared" si="90"/>
        <v>-3.9736790507176829E-2</v>
      </c>
      <c r="H5730" s="35"/>
      <c r="P5730" s="6"/>
    </row>
    <row r="5731" spans="1:16" ht="14.4" x14ac:dyDescent="0.25">
      <c r="A5731" s="6">
        <v>5041</v>
      </c>
      <c r="B5731" s="6">
        <v>35910</v>
      </c>
      <c r="C5731" s="19">
        <v>40506</v>
      </c>
      <c r="D5731" s="6" t="s">
        <v>17</v>
      </c>
      <c r="E5731" s="6">
        <f>IF((ISBLANK($B$1)),"",Sheet1!Q5743)</f>
        <v>5200</v>
      </c>
      <c r="F5731" s="20" t="s">
        <v>27</v>
      </c>
      <c r="G5731" s="53">
        <f t="shared" si="90"/>
        <v>0.71978805948307201</v>
      </c>
      <c r="H5731" s="35"/>
      <c r="P5731" s="6"/>
    </row>
    <row r="5732" spans="1:16" ht="14.4" x14ac:dyDescent="0.25">
      <c r="A5732" s="6">
        <v>5363</v>
      </c>
      <c r="B5732" s="6">
        <v>38118</v>
      </c>
      <c r="C5732" s="19">
        <v>40651</v>
      </c>
      <c r="D5732" s="6" t="s">
        <v>28</v>
      </c>
      <c r="E5732" s="6">
        <f>IF((ISBLANK($B$1)),"",Sheet1!Q5744)</f>
        <v>3750</v>
      </c>
      <c r="F5732" s="20" t="s">
        <v>27</v>
      </c>
      <c r="G5732" s="53">
        <f t="shared" si="90"/>
        <v>-1.282595635945766</v>
      </c>
      <c r="H5732" s="35"/>
      <c r="P5732" s="6"/>
    </row>
    <row r="5733" spans="1:16" ht="14.4" x14ac:dyDescent="0.25">
      <c r="A5733" s="6">
        <v>6050</v>
      </c>
      <c r="B5733" s="6">
        <v>42886</v>
      </c>
      <c r="C5733" s="19">
        <v>40916</v>
      </c>
      <c r="D5733" s="6" t="s">
        <v>16</v>
      </c>
      <c r="E5733" s="6">
        <f>IF((ISBLANK($B$1)),"",Sheet1!Q5745)</f>
        <v>5500</v>
      </c>
      <c r="F5733" s="20" t="s">
        <v>26</v>
      </c>
      <c r="G5733" s="53">
        <f t="shared" si="90"/>
        <v>1.1340743412959351</v>
      </c>
      <c r="H5733" s="35"/>
      <c r="P5733" s="6"/>
    </row>
    <row r="5734" spans="1:16" ht="14.4" x14ac:dyDescent="0.25">
      <c r="A5734" s="6">
        <v>6158</v>
      </c>
      <c r="B5734" s="6">
        <v>43620</v>
      </c>
      <c r="C5734" s="19">
        <v>39830</v>
      </c>
      <c r="D5734" s="6" t="s">
        <v>16</v>
      </c>
      <c r="E5734" s="6">
        <f>IF((ISBLANK($B$1)),"",Sheet1!Q5746)</f>
        <v>4050</v>
      </c>
      <c r="F5734" s="20" t="s">
        <v>26</v>
      </c>
      <c r="G5734" s="53">
        <f t="shared" si="90"/>
        <v>-0.86830935413290289</v>
      </c>
      <c r="H5734" s="35"/>
      <c r="P5734" s="6"/>
    </row>
    <row r="5735" spans="1:16" ht="14.4" x14ac:dyDescent="0.25">
      <c r="A5735" s="6">
        <v>6159</v>
      </c>
      <c r="B5735" s="6">
        <v>43620</v>
      </c>
      <c r="C5735" s="19">
        <v>39830</v>
      </c>
      <c r="D5735" s="6" t="s">
        <v>16</v>
      </c>
      <c r="E5735" s="6">
        <f>IF((ISBLANK($B$1)),"",Sheet1!Q5747)</f>
        <v>3950</v>
      </c>
      <c r="F5735" s="20" t="s">
        <v>26</v>
      </c>
      <c r="G5735" s="53">
        <f t="shared" si="90"/>
        <v>-1.0064047814038573</v>
      </c>
      <c r="H5735" s="35"/>
      <c r="P5735" s="6"/>
    </row>
    <row r="5736" spans="1:16" ht="14.4" x14ac:dyDescent="0.25">
      <c r="A5736" s="6">
        <v>6203</v>
      </c>
      <c r="B5736" s="6">
        <v>43936</v>
      </c>
      <c r="C5736" s="19">
        <v>40250</v>
      </c>
      <c r="D5736" s="6" t="s">
        <v>30</v>
      </c>
      <c r="E5736" s="6">
        <f>IF((ISBLANK($B$1)),"",Sheet1!Q5748)</f>
        <v>5500</v>
      </c>
      <c r="F5736" s="20" t="s">
        <v>26</v>
      </c>
      <c r="G5736" s="53">
        <f t="shared" si="90"/>
        <v>1.1340743412959351</v>
      </c>
      <c r="H5736" s="35"/>
      <c r="P5736" s="6"/>
    </row>
    <row r="5737" spans="1:16" ht="14.4" x14ac:dyDescent="0.25">
      <c r="A5737" s="6">
        <v>6463</v>
      </c>
      <c r="B5737" s="6">
        <v>46018</v>
      </c>
      <c r="C5737" s="19">
        <v>40036</v>
      </c>
      <c r="D5737" s="6" t="s">
        <v>16</v>
      </c>
      <c r="E5737" s="6">
        <f>IF((ISBLANK($B$1)),"",Sheet1!Q5749)</f>
        <v>4950</v>
      </c>
      <c r="F5737" s="20" t="s">
        <v>27</v>
      </c>
      <c r="G5737" s="53">
        <f t="shared" si="90"/>
        <v>0.37454949130568621</v>
      </c>
      <c r="H5737" s="35"/>
      <c r="P5737" s="6"/>
    </row>
    <row r="5738" spans="1:16" ht="14.4" x14ac:dyDescent="0.25">
      <c r="A5738" s="6">
        <v>6786</v>
      </c>
      <c r="B5738" s="6">
        <v>48327</v>
      </c>
      <c r="C5738" s="19">
        <v>40035</v>
      </c>
      <c r="D5738" s="6" t="s">
        <v>28</v>
      </c>
      <c r="E5738" s="6">
        <f>IF((ISBLANK($B$1)),"",Sheet1!Q5750)</f>
        <v>4100</v>
      </c>
      <c r="F5738" s="20" t="s">
        <v>27</v>
      </c>
      <c r="G5738" s="53">
        <f t="shared" si="90"/>
        <v>-0.79926164049742576</v>
      </c>
      <c r="H5738" s="35"/>
      <c r="P5738" s="6"/>
    </row>
    <row r="5739" spans="1:16" ht="14.4" x14ac:dyDescent="0.25">
      <c r="A5739" s="6">
        <v>6796</v>
      </c>
      <c r="B5739" s="6">
        <v>48448</v>
      </c>
      <c r="C5739" s="19">
        <v>41229</v>
      </c>
      <c r="D5739" s="6" t="s">
        <v>25</v>
      </c>
      <c r="E5739" s="6">
        <f>IF((ISBLANK($B$1)),"",Sheet1!Q5751)</f>
        <v>4400</v>
      </c>
      <c r="F5739" s="20" t="s">
        <v>27</v>
      </c>
      <c r="G5739" s="53">
        <f t="shared" si="90"/>
        <v>-0.38497535868456267</v>
      </c>
      <c r="H5739" s="35"/>
      <c r="P5739" s="6"/>
    </row>
    <row r="5740" spans="1:16" ht="14.4" x14ac:dyDescent="0.25">
      <c r="A5740" s="6">
        <v>6818</v>
      </c>
      <c r="B5740" s="6">
        <v>48544</v>
      </c>
      <c r="C5740" s="19">
        <v>40679</v>
      </c>
      <c r="D5740" s="6" t="s">
        <v>17</v>
      </c>
      <c r="E5740" s="6">
        <f>IF((ISBLANK($B$1)),"",Sheet1!Q5752)</f>
        <v>5600</v>
      </c>
      <c r="F5740" s="20" t="s">
        <v>27</v>
      </c>
      <c r="G5740" s="53">
        <f t="shared" si="90"/>
        <v>1.2721697685668893</v>
      </c>
      <c r="H5740" s="35"/>
      <c r="P5740" s="6"/>
    </row>
    <row r="5741" spans="1:16" ht="14.4" x14ac:dyDescent="0.25">
      <c r="A5741" s="6">
        <v>6862</v>
      </c>
      <c r="B5741" s="6">
        <v>48900</v>
      </c>
      <c r="C5741" s="19">
        <v>39894</v>
      </c>
      <c r="D5741" s="6" t="s">
        <v>28</v>
      </c>
      <c r="E5741" s="6">
        <f>IF((ISBLANK($B$1)),"",Sheet1!Q5753)</f>
        <v>4750</v>
      </c>
      <c r="F5741" s="20" t="s">
        <v>26</v>
      </c>
      <c r="G5741" s="53">
        <f t="shared" si="90"/>
        <v>9.8358636763777513E-2</v>
      </c>
      <c r="H5741" s="35"/>
      <c r="P5741" s="6"/>
    </row>
    <row r="5742" spans="1:16" ht="14.4" x14ac:dyDescent="0.25">
      <c r="A5742" s="6">
        <v>6863</v>
      </c>
      <c r="B5742" s="6">
        <v>48900</v>
      </c>
      <c r="C5742" s="19">
        <v>39894</v>
      </c>
      <c r="D5742" s="6" t="s">
        <v>28</v>
      </c>
      <c r="E5742" s="6">
        <f>IF((ISBLANK($B$1)),"",Sheet1!Q5754)</f>
        <v>5500</v>
      </c>
      <c r="F5742" s="20" t="s">
        <v>26</v>
      </c>
      <c r="G5742" s="53">
        <f t="shared" si="90"/>
        <v>1.1340743412959351</v>
      </c>
      <c r="H5742" s="35"/>
      <c r="P5742" s="6"/>
    </row>
    <row r="5743" spans="1:16" ht="14.4" x14ac:dyDescent="0.25">
      <c r="A5743" s="6">
        <v>6913</v>
      </c>
      <c r="B5743" s="6">
        <v>49319</v>
      </c>
      <c r="C5743" s="19">
        <v>40780</v>
      </c>
      <c r="D5743" s="6" t="s">
        <v>25</v>
      </c>
      <c r="E5743" s="6">
        <f>IF((ISBLANK($B$1)),"",Sheet1!Q5755)</f>
        <v>4050</v>
      </c>
      <c r="F5743" s="20" t="s">
        <v>27</v>
      </c>
      <c r="G5743" s="53">
        <f t="shared" si="90"/>
        <v>-0.86830935413290289</v>
      </c>
      <c r="H5743" s="35"/>
      <c r="P5743" s="6"/>
    </row>
    <row r="5744" spans="1:16" ht="14.4" x14ac:dyDescent="0.25">
      <c r="A5744" s="6">
        <v>6914</v>
      </c>
      <c r="B5744" s="6">
        <v>49319</v>
      </c>
      <c r="C5744" s="19">
        <v>40780</v>
      </c>
      <c r="D5744" s="6" t="s">
        <v>25</v>
      </c>
      <c r="E5744" s="6">
        <f>IF((ISBLANK($B$1)),"",Sheet1!Q5756)</f>
        <v>5400</v>
      </c>
      <c r="F5744" s="20" t="s">
        <v>26</v>
      </c>
      <c r="G5744" s="53">
        <f t="shared" si="90"/>
        <v>0.99597891402498073</v>
      </c>
      <c r="H5744" s="35"/>
      <c r="P5744" s="6"/>
    </row>
    <row r="5745" spans="1:16" ht="14.4" x14ac:dyDescent="0.25">
      <c r="A5745" s="6">
        <v>6950</v>
      </c>
      <c r="B5745" s="6">
        <v>49638</v>
      </c>
      <c r="C5745" s="19">
        <v>40397</v>
      </c>
      <c r="D5745" s="6" t="s">
        <v>16</v>
      </c>
      <c r="E5745" s="6">
        <f>IF((ISBLANK($B$1)),"",Sheet1!Q5757)</f>
        <v>4250</v>
      </c>
      <c r="F5745" s="20" t="s">
        <v>27</v>
      </c>
      <c r="G5745" s="53">
        <f t="shared" si="90"/>
        <v>-0.59211849959099416</v>
      </c>
      <c r="H5745" s="35"/>
      <c r="P5745" s="6"/>
    </row>
    <row r="5746" spans="1:16" ht="14.4" x14ac:dyDescent="0.25">
      <c r="A5746" s="6">
        <v>7016</v>
      </c>
      <c r="B5746" s="6">
        <v>50055</v>
      </c>
      <c r="C5746" s="19">
        <v>41200</v>
      </c>
      <c r="D5746" s="6" t="s">
        <v>16</v>
      </c>
      <c r="E5746" s="6">
        <f>IF((ISBLANK($B$1)),"",Sheet1!Q5758)</f>
        <v>3450</v>
      </c>
      <c r="F5746" s="20" t="s">
        <v>26</v>
      </c>
      <c r="G5746" s="53">
        <f t="shared" si="90"/>
        <v>-1.696881917758629</v>
      </c>
      <c r="H5746" s="35"/>
      <c r="P5746" s="6"/>
    </row>
    <row r="5747" spans="1:16" ht="14.4" x14ac:dyDescent="0.25">
      <c r="A5747" s="6">
        <v>7017</v>
      </c>
      <c r="B5747" s="6">
        <v>50055</v>
      </c>
      <c r="C5747" s="19">
        <v>41200</v>
      </c>
      <c r="D5747" s="6" t="s">
        <v>16</v>
      </c>
      <c r="E5747" s="6">
        <f>IF((ISBLANK($B$1)),"",Sheet1!Q5759)</f>
        <v>3950</v>
      </c>
      <c r="F5747" s="20" t="s">
        <v>26</v>
      </c>
      <c r="G5747" s="53">
        <f t="shared" si="90"/>
        <v>-1.0064047814038573</v>
      </c>
      <c r="H5747" s="35"/>
      <c r="P5747" s="6"/>
    </row>
    <row r="5748" spans="1:16" ht="14.4" x14ac:dyDescent="0.25">
      <c r="A5748" s="6">
        <v>7197</v>
      </c>
      <c r="B5748" s="6">
        <v>51360</v>
      </c>
      <c r="C5748" s="19">
        <v>40714</v>
      </c>
      <c r="D5748" s="6" t="s">
        <v>16</v>
      </c>
      <c r="E5748" s="6">
        <f>IF((ISBLANK($B$1)),"",Sheet1!Q5760)</f>
        <v>4000</v>
      </c>
      <c r="F5748" s="20" t="s">
        <v>26</v>
      </c>
      <c r="G5748" s="53">
        <f t="shared" si="90"/>
        <v>-0.93735706776838001</v>
      </c>
      <c r="H5748" s="35"/>
      <c r="P5748" s="6"/>
    </row>
    <row r="5749" spans="1:16" ht="14.4" x14ac:dyDescent="0.25">
      <c r="A5749" s="6">
        <v>7389</v>
      </c>
      <c r="B5749" s="6">
        <v>52672</v>
      </c>
      <c r="C5749" s="19">
        <v>40551</v>
      </c>
      <c r="D5749" s="6" t="s">
        <v>25</v>
      </c>
      <c r="E5749" s="6">
        <f>IF((ISBLANK($B$1)),"",Sheet1!Q5761)</f>
        <v>4850</v>
      </c>
      <c r="F5749" s="20" t="s">
        <v>27</v>
      </c>
      <c r="G5749" s="53">
        <f t="shared" si="90"/>
        <v>0.23645406403473185</v>
      </c>
      <c r="H5749" s="35"/>
      <c r="P5749" s="6"/>
    </row>
    <row r="5750" spans="1:16" ht="14.4" x14ac:dyDescent="0.25">
      <c r="A5750" s="6">
        <v>7409</v>
      </c>
      <c r="B5750" s="6">
        <v>52867</v>
      </c>
      <c r="C5750" s="19">
        <v>40038</v>
      </c>
      <c r="D5750" s="6" t="s">
        <v>17</v>
      </c>
      <c r="E5750" s="6">
        <f>IF((ISBLANK($B$1)),"",Sheet1!Q5762)</f>
        <v>4150</v>
      </c>
      <c r="F5750" s="20" t="s">
        <v>29</v>
      </c>
      <c r="G5750" s="53">
        <f t="shared" si="90"/>
        <v>-0.73021392686194853</v>
      </c>
      <c r="H5750" s="35"/>
      <c r="P5750" s="6"/>
    </row>
    <row r="5751" spans="1:16" ht="14.4" x14ac:dyDescent="0.25">
      <c r="A5751" s="6">
        <v>7572</v>
      </c>
      <c r="B5751" s="6">
        <v>54176</v>
      </c>
      <c r="C5751" s="19">
        <v>40721</v>
      </c>
      <c r="D5751" s="6" t="s">
        <v>28</v>
      </c>
      <c r="E5751" s="6">
        <f>IF((ISBLANK($B$1)),"",Sheet1!Q5763)</f>
        <v>5050</v>
      </c>
      <c r="F5751" s="20" t="s">
        <v>27</v>
      </c>
      <c r="G5751" s="53">
        <f t="shared" si="90"/>
        <v>0.51264491857664052</v>
      </c>
      <c r="H5751" s="35"/>
      <c r="P5751" s="6"/>
    </row>
    <row r="5752" spans="1:16" ht="14.4" x14ac:dyDescent="0.25">
      <c r="A5752" s="6">
        <v>7695</v>
      </c>
      <c r="B5752" s="6">
        <v>55171</v>
      </c>
      <c r="C5752" s="19">
        <v>41208</v>
      </c>
      <c r="D5752" s="6" t="s">
        <v>17</v>
      </c>
      <c r="E5752" s="6">
        <f>IF((ISBLANK($B$1)),"",Sheet1!Q5764)</f>
        <v>4850</v>
      </c>
      <c r="F5752" s="20" t="s">
        <v>27</v>
      </c>
      <c r="G5752" s="53">
        <f t="shared" si="90"/>
        <v>0.23645406403473185</v>
      </c>
      <c r="H5752" s="35"/>
      <c r="P5752" s="6"/>
    </row>
    <row r="5753" spans="1:16" ht="14.4" x14ac:dyDescent="0.25">
      <c r="A5753" s="6">
        <v>7696</v>
      </c>
      <c r="B5753" s="6">
        <v>55171</v>
      </c>
      <c r="C5753" s="19">
        <v>41208</v>
      </c>
      <c r="D5753" s="6" t="s">
        <v>17</v>
      </c>
      <c r="E5753" s="6">
        <f>IF((ISBLANK($B$1)),"",Sheet1!Q5765)</f>
        <v>5550</v>
      </c>
      <c r="F5753" s="20" t="s">
        <v>26</v>
      </c>
      <c r="G5753" s="53">
        <f t="shared" si="90"/>
        <v>1.2031220549314123</v>
      </c>
      <c r="H5753" s="35"/>
      <c r="P5753" s="6"/>
    </row>
    <row r="5754" spans="1:16" ht="14.4" x14ac:dyDescent="0.25">
      <c r="A5754" s="6">
        <v>7781</v>
      </c>
      <c r="B5754" s="6">
        <v>55683</v>
      </c>
      <c r="C5754" s="19">
        <v>41105</v>
      </c>
      <c r="D5754" s="6" t="s">
        <v>17</v>
      </c>
      <c r="E5754" s="6">
        <f>IF((ISBLANK($B$1)),"",Sheet1!Q5766)</f>
        <v>5900</v>
      </c>
      <c r="F5754" s="20" t="s">
        <v>26</v>
      </c>
      <c r="G5754" s="53">
        <f t="shared" si="90"/>
        <v>1.6864560503797523</v>
      </c>
      <c r="H5754" s="35"/>
      <c r="P5754" s="6"/>
    </row>
    <row r="5755" spans="1:16" ht="14.4" x14ac:dyDescent="0.25">
      <c r="A5755" s="6">
        <v>8135</v>
      </c>
      <c r="B5755" s="6">
        <v>58147</v>
      </c>
      <c r="C5755" s="19">
        <v>39951</v>
      </c>
      <c r="D5755" s="6" t="s">
        <v>17</v>
      </c>
      <c r="E5755" s="6">
        <f>IF((ISBLANK($B$1)),"",Sheet1!Q5767)</f>
        <v>5450</v>
      </c>
      <c r="F5755" s="20" t="s">
        <v>26</v>
      </c>
      <c r="G5755" s="53">
        <f t="shared" si="90"/>
        <v>1.0650266276604579</v>
      </c>
      <c r="H5755" s="35"/>
      <c r="P5755" s="6"/>
    </row>
    <row r="5756" spans="1:16" ht="14.4" x14ac:dyDescent="0.25">
      <c r="A5756" s="6">
        <v>8220</v>
      </c>
      <c r="B5756" s="6">
        <v>58784</v>
      </c>
      <c r="C5756" s="19">
        <v>39831</v>
      </c>
      <c r="D5756" s="6" t="s">
        <v>16</v>
      </c>
      <c r="E5756" s="6">
        <f>IF((ISBLANK($B$1)),"",Sheet1!Q5768)</f>
        <v>4000</v>
      </c>
      <c r="F5756" s="20" t="s">
        <v>26</v>
      </c>
      <c r="G5756" s="53">
        <f t="shared" si="90"/>
        <v>-0.93735706776838001</v>
      </c>
      <c r="H5756" s="35"/>
      <c r="P5756" s="6"/>
    </row>
    <row r="5757" spans="1:16" ht="14.4" x14ac:dyDescent="0.25">
      <c r="A5757" s="6">
        <v>8221</v>
      </c>
      <c r="B5757" s="6">
        <v>58784</v>
      </c>
      <c r="C5757" s="19">
        <v>39831</v>
      </c>
      <c r="D5757" s="6" t="s">
        <v>16</v>
      </c>
      <c r="E5757" s="6">
        <f>IF((ISBLANK($B$1)),"",Sheet1!Q5769)</f>
        <v>4850</v>
      </c>
      <c r="F5757" s="20" t="s">
        <v>26</v>
      </c>
      <c r="G5757" s="53">
        <f t="shared" si="90"/>
        <v>0.23645406403473185</v>
      </c>
      <c r="H5757" s="35"/>
      <c r="P5757" s="6"/>
    </row>
    <row r="5758" spans="1:16" ht="14.4" x14ac:dyDescent="0.25">
      <c r="A5758" s="6">
        <v>8222</v>
      </c>
      <c r="B5758" s="6">
        <v>58784</v>
      </c>
      <c r="C5758" s="19">
        <v>39831</v>
      </c>
      <c r="D5758" s="6" t="s">
        <v>16</v>
      </c>
      <c r="E5758" s="6">
        <f>IF((ISBLANK($B$1)),"",Sheet1!Q5770)</f>
        <v>4250</v>
      </c>
      <c r="F5758" s="20" t="s">
        <v>26</v>
      </c>
      <c r="G5758" s="53">
        <f t="shared" si="90"/>
        <v>-0.59211849959099416</v>
      </c>
      <c r="H5758" s="35"/>
      <c r="P5758" s="6"/>
    </row>
    <row r="5759" spans="1:16" ht="14.4" x14ac:dyDescent="0.25">
      <c r="A5759" s="6">
        <v>8320</v>
      </c>
      <c r="B5759" s="6">
        <v>59456</v>
      </c>
      <c r="C5759" s="19">
        <v>40916</v>
      </c>
      <c r="D5759" s="6" t="s">
        <v>25</v>
      </c>
      <c r="E5759" s="6">
        <f>IF((ISBLANK($B$1)),"",Sheet1!Q5771)</f>
        <v>4900</v>
      </c>
      <c r="F5759" s="20" t="s">
        <v>26</v>
      </c>
      <c r="G5759" s="53">
        <f t="shared" si="90"/>
        <v>0.30550177767020903</v>
      </c>
      <c r="H5759" s="35"/>
      <c r="P5759" s="6"/>
    </row>
    <row r="5760" spans="1:16" ht="14.4" x14ac:dyDescent="0.25">
      <c r="A5760" s="6">
        <v>8340</v>
      </c>
      <c r="B5760" s="6">
        <v>59591</v>
      </c>
      <c r="C5760" s="19">
        <v>40095</v>
      </c>
      <c r="D5760" s="6" t="s">
        <v>28</v>
      </c>
      <c r="E5760" s="6">
        <f>IF((ISBLANK($B$1)),"",Sheet1!Q5772)</f>
        <v>5100</v>
      </c>
      <c r="F5760" s="20" t="s">
        <v>27</v>
      </c>
      <c r="G5760" s="53">
        <f t="shared" si="90"/>
        <v>0.58169263221211776</v>
      </c>
      <c r="H5760" s="35"/>
      <c r="P5760" s="6"/>
    </row>
    <row r="5761" spans="1:16" ht="14.4" x14ac:dyDescent="0.25">
      <c r="A5761" s="6">
        <v>8341</v>
      </c>
      <c r="B5761" s="6">
        <v>59591</v>
      </c>
      <c r="C5761" s="19">
        <v>40095</v>
      </c>
      <c r="D5761" s="6" t="s">
        <v>28</v>
      </c>
      <c r="E5761" s="6">
        <f>IF((ISBLANK($B$1)),"",Sheet1!Q5773)</f>
        <v>4850</v>
      </c>
      <c r="F5761" s="20" t="s">
        <v>26</v>
      </c>
      <c r="G5761" s="53">
        <f t="shared" si="90"/>
        <v>0.23645406403473185</v>
      </c>
      <c r="H5761" s="35"/>
      <c r="P5761" s="6"/>
    </row>
    <row r="5762" spans="1:16" ht="14.4" x14ac:dyDescent="0.25">
      <c r="A5762" s="6">
        <v>8381</v>
      </c>
      <c r="B5762" s="6">
        <v>59879</v>
      </c>
      <c r="C5762" s="19">
        <v>39881</v>
      </c>
      <c r="D5762" s="6" t="s">
        <v>28</v>
      </c>
      <c r="E5762" s="6">
        <f>IF((ISBLANK($B$1)),"",Sheet1!Q5774)</f>
        <v>5050</v>
      </c>
      <c r="F5762" s="20" t="s">
        <v>27</v>
      </c>
      <c r="G5762" s="53">
        <f t="shared" si="90"/>
        <v>0.51264491857664052</v>
      </c>
      <c r="H5762" s="35"/>
      <c r="P5762" s="6"/>
    </row>
    <row r="5763" spans="1:16" ht="14.4" x14ac:dyDescent="0.25">
      <c r="A5763" s="6">
        <v>6</v>
      </c>
      <c r="B5763" s="6">
        <v>32</v>
      </c>
      <c r="C5763" s="19">
        <v>40739</v>
      </c>
      <c r="D5763" s="6" t="s">
        <v>17</v>
      </c>
      <c r="E5763" s="6">
        <f>IF((ISBLANK($B$1)),"",Sheet1!Q5775)</f>
        <v>4150</v>
      </c>
      <c r="F5763" s="20" t="s">
        <v>27</v>
      </c>
      <c r="G5763" s="53">
        <f t="shared" si="90"/>
        <v>-0.73021392686194853</v>
      </c>
      <c r="H5763" s="35"/>
      <c r="P5763" s="6"/>
    </row>
    <row r="5764" spans="1:16" ht="14.4" x14ac:dyDescent="0.25">
      <c r="A5764" s="6">
        <v>12</v>
      </c>
      <c r="B5764" s="6">
        <v>69</v>
      </c>
      <c r="C5764" s="19">
        <v>39967</v>
      </c>
      <c r="D5764" s="6" t="s">
        <v>28</v>
      </c>
      <c r="E5764" s="6">
        <f>IF((ISBLANK($B$1)),"",Sheet1!Q5776)</f>
        <v>5500</v>
      </c>
      <c r="F5764" s="20" t="s">
        <v>29</v>
      </c>
      <c r="G5764" s="53">
        <f t="shared" si="90"/>
        <v>1.1340743412959351</v>
      </c>
      <c r="H5764" s="35"/>
      <c r="P5764" s="6"/>
    </row>
    <row r="5765" spans="1:16" ht="14.4" x14ac:dyDescent="0.25">
      <c r="A5765" s="6">
        <v>13</v>
      </c>
      <c r="B5765" s="6">
        <v>69</v>
      </c>
      <c r="C5765" s="19">
        <v>39967</v>
      </c>
      <c r="D5765" s="6" t="s">
        <v>28</v>
      </c>
      <c r="E5765" s="6">
        <f>IF((ISBLANK($B$1)),"",Sheet1!Q5777)</f>
        <v>4800</v>
      </c>
      <c r="F5765" s="20" t="s">
        <v>26</v>
      </c>
      <c r="G5765" s="53">
        <f t="shared" si="90"/>
        <v>0.16740635039925467</v>
      </c>
      <c r="H5765" s="35"/>
      <c r="P5765" s="6"/>
    </row>
    <row r="5766" spans="1:16" ht="14.4" x14ac:dyDescent="0.25">
      <c r="A5766" s="6">
        <v>56</v>
      </c>
      <c r="B5766" s="6">
        <v>324</v>
      </c>
      <c r="C5766" s="19">
        <v>40987</v>
      </c>
      <c r="D5766" s="6" t="s">
        <v>30</v>
      </c>
      <c r="E5766" s="6">
        <f>IF((ISBLANK($B$1)),"",Sheet1!Q5778)</f>
        <v>4650</v>
      </c>
      <c r="F5766" s="20" t="s">
        <v>27</v>
      </c>
      <c r="G5766" s="53">
        <f t="shared" si="90"/>
        <v>-3.9736790507176829E-2</v>
      </c>
      <c r="H5766" s="35"/>
      <c r="P5766" s="6"/>
    </row>
    <row r="5767" spans="1:16" ht="14.4" x14ac:dyDescent="0.25">
      <c r="A5767" s="6">
        <v>200</v>
      </c>
      <c r="B5767" s="6">
        <v>1317</v>
      </c>
      <c r="C5767" s="19">
        <v>40681</v>
      </c>
      <c r="D5767" s="6" t="s">
        <v>17</v>
      </c>
      <c r="E5767" s="6">
        <f>IF((ISBLANK($B$1)),"",Sheet1!Q5779)</f>
        <v>5600</v>
      </c>
      <c r="F5767" s="20" t="s">
        <v>26</v>
      </c>
      <c r="G5767" s="53">
        <f t="shared" si="90"/>
        <v>1.2721697685668893</v>
      </c>
      <c r="H5767" s="35"/>
      <c r="P5767" s="6"/>
    </row>
    <row r="5768" spans="1:16" ht="14.4" x14ac:dyDescent="0.25">
      <c r="A5768" s="6">
        <v>201</v>
      </c>
      <c r="B5768" s="6">
        <v>1317</v>
      </c>
      <c r="C5768" s="19">
        <v>40681</v>
      </c>
      <c r="D5768" s="6" t="s">
        <v>17</v>
      </c>
      <c r="E5768" s="6">
        <f>IF((ISBLANK($B$1)),"",Sheet1!Q5780)</f>
        <v>5400</v>
      </c>
      <c r="F5768" s="20" t="s">
        <v>26</v>
      </c>
      <c r="G5768" s="53">
        <f t="shared" ref="G5768:G5831" si="91">STANDARDIZE(E5768,$L$26,$L$35)</f>
        <v>0.99597891402498073</v>
      </c>
      <c r="H5768" s="35"/>
      <c r="P5768" s="6"/>
    </row>
    <row r="5769" spans="1:16" ht="14.4" x14ac:dyDescent="0.25">
      <c r="A5769" s="6">
        <v>202</v>
      </c>
      <c r="B5769" s="6">
        <v>1317</v>
      </c>
      <c r="C5769" s="19">
        <v>40681</v>
      </c>
      <c r="D5769" s="6" t="s">
        <v>17</v>
      </c>
      <c r="E5769" s="6">
        <f>IF((ISBLANK($B$1)),"",Sheet1!Q5781)</f>
        <v>4850</v>
      </c>
      <c r="F5769" s="20" t="s">
        <v>26</v>
      </c>
      <c r="G5769" s="53">
        <f t="shared" si="91"/>
        <v>0.23645406403473185</v>
      </c>
      <c r="H5769" s="35"/>
      <c r="P5769" s="6"/>
    </row>
    <row r="5770" spans="1:16" ht="14.4" x14ac:dyDescent="0.25">
      <c r="A5770" s="6">
        <v>239</v>
      </c>
      <c r="B5770" s="6">
        <v>1604</v>
      </c>
      <c r="C5770" s="19">
        <v>40375</v>
      </c>
      <c r="D5770" s="6" t="s">
        <v>25</v>
      </c>
      <c r="E5770" s="6">
        <f>IF((ISBLANK($B$1)),"",Sheet1!Q5782)</f>
        <v>5750</v>
      </c>
      <c r="F5770" s="20" t="s">
        <v>29</v>
      </c>
      <c r="G5770" s="53">
        <f t="shared" si="91"/>
        <v>1.4793129094733208</v>
      </c>
      <c r="H5770" s="35"/>
      <c r="P5770" s="6"/>
    </row>
    <row r="5771" spans="1:16" ht="14.4" x14ac:dyDescent="0.25">
      <c r="A5771" s="6">
        <v>306</v>
      </c>
      <c r="B5771" s="6">
        <v>2144</v>
      </c>
      <c r="C5771" s="19">
        <v>39900</v>
      </c>
      <c r="D5771" s="6" t="s">
        <v>16</v>
      </c>
      <c r="E5771" s="6">
        <f>IF((ISBLANK($B$1)),"",Sheet1!Q5783)</f>
        <v>5400</v>
      </c>
      <c r="F5771" s="20" t="s">
        <v>27</v>
      </c>
      <c r="G5771" s="53">
        <f t="shared" si="91"/>
        <v>0.99597891402498073</v>
      </c>
      <c r="H5771" s="35"/>
      <c r="P5771" s="6"/>
    </row>
    <row r="5772" spans="1:16" ht="14.4" x14ac:dyDescent="0.25">
      <c r="A5772" s="6">
        <v>407</v>
      </c>
      <c r="B5772" s="6">
        <v>2757</v>
      </c>
      <c r="C5772" s="19">
        <v>40743</v>
      </c>
      <c r="D5772" s="6" t="s">
        <v>17</v>
      </c>
      <c r="E5772" s="6">
        <f>IF((ISBLANK($B$1)),"",Sheet1!Q5784)</f>
        <v>5500</v>
      </c>
      <c r="F5772" s="20" t="s">
        <v>26</v>
      </c>
      <c r="G5772" s="53">
        <f t="shared" si="91"/>
        <v>1.1340743412959351</v>
      </c>
      <c r="H5772" s="35"/>
      <c r="P5772" s="6"/>
    </row>
    <row r="5773" spans="1:16" ht="14.4" x14ac:dyDescent="0.25">
      <c r="A5773" s="6">
        <v>445</v>
      </c>
      <c r="B5773" s="6">
        <v>3012</v>
      </c>
      <c r="C5773" s="19">
        <v>40302</v>
      </c>
      <c r="D5773" s="6" t="s">
        <v>30</v>
      </c>
      <c r="E5773" s="6">
        <f>IF((ISBLANK($B$1)),"",Sheet1!Q5785)</f>
        <v>5450</v>
      </c>
      <c r="F5773" s="20" t="s">
        <v>26</v>
      </c>
      <c r="G5773" s="53">
        <f t="shared" si="91"/>
        <v>1.0650266276604579</v>
      </c>
      <c r="H5773" s="35"/>
      <c r="P5773" s="6"/>
    </row>
    <row r="5774" spans="1:16" ht="14.4" x14ac:dyDescent="0.25">
      <c r="A5774" s="6">
        <v>465</v>
      </c>
      <c r="B5774" s="6">
        <v>3169</v>
      </c>
      <c r="C5774" s="19">
        <v>40532</v>
      </c>
      <c r="D5774" s="6" t="s">
        <v>16</v>
      </c>
      <c r="E5774" s="6">
        <f>IF((ISBLANK($B$1)),"",Sheet1!Q5786)</f>
        <v>3750</v>
      </c>
      <c r="F5774" s="20" t="s">
        <v>26</v>
      </c>
      <c r="G5774" s="53">
        <f t="shared" si="91"/>
        <v>-1.282595635945766</v>
      </c>
      <c r="H5774" s="35"/>
      <c r="P5774" s="6"/>
    </row>
    <row r="5775" spans="1:16" ht="14.4" x14ac:dyDescent="0.25">
      <c r="A5775" s="6">
        <v>479</v>
      </c>
      <c r="B5775" s="6">
        <v>3331</v>
      </c>
      <c r="C5775" s="19">
        <v>40318</v>
      </c>
      <c r="D5775" s="6" t="s">
        <v>17</v>
      </c>
      <c r="E5775" s="6">
        <f>IF((ISBLANK($B$1)),"",Sheet1!Q5787)</f>
        <v>4950</v>
      </c>
      <c r="F5775" s="20" t="s">
        <v>26</v>
      </c>
      <c r="G5775" s="53">
        <f t="shared" si="91"/>
        <v>0.37454949130568621</v>
      </c>
      <c r="H5775" s="35"/>
      <c r="P5775" s="6"/>
    </row>
    <row r="5776" spans="1:16" ht="14.4" x14ac:dyDescent="0.25">
      <c r="A5776" s="6">
        <v>538</v>
      </c>
      <c r="B5776" s="6">
        <v>3650</v>
      </c>
      <c r="C5776" s="19">
        <v>41056</v>
      </c>
      <c r="D5776" s="6" t="s">
        <v>28</v>
      </c>
      <c r="E5776" s="6">
        <f>IF((ISBLANK($B$1)),"",Sheet1!Q5788)</f>
        <v>5200</v>
      </c>
      <c r="F5776" s="20" t="s">
        <v>26</v>
      </c>
      <c r="G5776" s="53">
        <f t="shared" si="91"/>
        <v>0.71978805948307201</v>
      </c>
      <c r="H5776" s="35"/>
      <c r="P5776" s="6"/>
    </row>
    <row r="5777" spans="1:16" ht="14.4" x14ac:dyDescent="0.25">
      <c r="A5777" s="6">
        <v>539</v>
      </c>
      <c r="B5777" s="6">
        <v>3650</v>
      </c>
      <c r="C5777" s="19">
        <v>41056</v>
      </c>
      <c r="D5777" s="6" t="s">
        <v>28</v>
      </c>
      <c r="E5777" s="6">
        <f>IF((ISBLANK($B$1)),"",Sheet1!Q5789)</f>
        <v>4600</v>
      </c>
      <c r="F5777" s="20" t="s">
        <v>29</v>
      </c>
      <c r="G5777" s="53">
        <f t="shared" si="91"/>
        <v>-0.108784504142654</v>
      </c>
      <c r="H5777" s="35"/>
      <c r="P5777" s="6"/>
    </row>
    <row r="5778" spans="1:16" ht="14.4" x14ac:dyDescent="0.25">
      <c r="A5778" s="6">
        <v>560</v>
      </c>
      <c r="B5778" s="6">
        <v>3783</v>
      </c>
      <c r="C5778" s="19">
        <v>40517</v>
      </c>
      <c r="D5778" s="6" t="s">
        <v>28</v>
      </c>
      <c r="E5778" s="6">
        <f>IF((ISBLANK($B$1)),"",Sheet1!Q5790)</f>
        <v>3950</v>
      </c>
      <c r="F5778" s="20" t="s">
        <v>27</v>
      </c>
      <c r="G5778" s="53">
        <f t="shared" si="91"/>
        <v>-1.0064047814038573</v>
      </c>
      <c r="H5778" s="35"/>
      <c r="P5778" s="6"/>
    </row>
    <row r="5779" spans="1:16" ht="14.4" x14ac:dyDescent="0.25">
      <c r="A5779" s="6">
        <v>561</v>
      </c>
      <c r="B5779" s="6">
        <v>3783</v>
      </c>
      <c r="C5779" s="19">
        <v>40517</v>
      </c>
      <c r="D5779" s="6" t="s">
        <v>28</v>
      </c>
      <c r="E5779" s="6">
        <f>IF((ISBLANK($B$1)),"",Sheet1!Q5791)</f>
        <v>5400</v>
      </c>
      <c r="F5779" s="20" t="s">
        <v>26</v>
      </c>
      <c r="G5779" s="53">
        <f t="shared" si="91"/>
        <v>0.99597891402498073</v>
      </c>
      <c r="H5779" s="35"/>
      <c r="P5779" s="6"/>
    </row>
    <row r="5780" spans="1:16" ht="14.4" x14ac:dyDescent="0.25">
      <c r="A5780" s="6">
        <v>652</v>
      </c>
      <c r="B5780" s="6">
        <v>4583</v>
      </c>
      <c r="C5780" s="19">
        <v>40080</v>
      </c>
      <c r="D5780" s="6" t="s">
        <v>16</v>
      </c>
      <c r="E5780" s="6">
        <f>IF((ISBLANK($B$1)),"",Sheet1!Q5792)</f>
        <v>5600</v>
      </c>
      <c r="F5780" s="20" t="s">
        <v>29</v>
      </c>
      <c r="G5780" s="53">
        <f t="shared" si="91"/>
        <v>1.2721697685668893</v>
      </c>
      <c r="H5780" s="35"/>
      <c r="P5780" s="6"/>
    </row>
    <row r="5781" spans="1:16" ht="14.4" x14ac:dyDescent="0.25">
      <c r="A5781" s="6">
        <v>668</v>
      </c>
      <c r="B5781" s="6">
        <v>4675</v>
      </c>
      <c r="C5781" s="19">
        <v>40506</v>
      </c>
      <c r="D5781" s="6" t="s">
        <v>28</v>
      </c>
      <c r="E5781" s="6">
        <f>IF((ISBLANK($B$1)),"",Sheet1!Q5793)</f>
        <v>3600</v>
      </c>
      <c r="F5781" s="20" t="s">
        <v>26</v>
      </c>
      <c r="G5781" s="53">
        <f t="shared" si="91"/>
        <v>-1.4897387768521975</v>
      </c>
      <c r="H5781" s="35"/>
      <c r="P5781" s="6"/>
    </row>
    <row r="5782" spans="1:16" ht="14.4" x14ac:dyDescent="0.25">
      <c r="A5782" s="6">
        <v>684</v>
      </c>
      <c r="B5782" s="6">
        <v>4772</v>
      </c>
      <c r="C5782" s="19">
        <v>40069</v>
      </c>
      <c r="D5782" s="6" t="s">
        <v>30</v>
      </c>
      <c r="E5782" s="6">
        <f>IF((ISBLANK($B$1)),"",Sheet1!Q5794)</f>
        <v>4800</v>
      </c>
      <c r="F5782" s="20" t="s">
        <v>27</v>
      </c>
      <c r="G5782" s="53">
        <f t="shared" si="91"/>
        <v>0.16740635039925467</v>
      </c>
      <c r="H5782" s="35"/>
      <c r="P5782" s="6"/>
    </row>
    <row r="5783" spans="1:16" ht="14.4" x14ac:dyDescent="0.25">
      <c r="A5783" s="6">
        <v>725</v>
      </c>
      <c r="B5783" s="6">
        <v>5217</v>
      </c>
      <c r="C5783" s="19">
        <v>40828</v>
      </c>
      <c r="D5783" s="6" t="s">
        <v>17</v>
      </c>
      <c r="E5783" s="6">
        <f>IF((ISBLANK($B$1)),"",Sheet1!Q5795)</f>
        <v>3800</v>
      </c>
      <c r="F5783" s="20" t="s">
        <v>26</v>
      </c>
      <c r="G5783" s="53">
        <f t="shared" si="91"/>
        <v>-1.2135479223102887</v>
      </c>
      <c r="H5783" s="35"/>
      <c r="P5783" s="6"/>
    </row>
    <row r="5784" spans="1:16" ht="14.4" x14ac:dyDescent="0.25">
      <c r="A5784" s="6">
        <v>726</v>
      </c>
      <c r="B5784" s="6">
        <v>5217</v>
      </c>
      <c r="C5784" s="19">
        <v>40828</v>
      </c>
      <c r="D5784" s="6" t="s">
        <v>17</v>
      </c>
      <c r="E5784" s="6">
        <f>IF((ISBLANK($B$1)),"",Sheet1!Q5796)</f>
        <v>3950</v>
      </c>
      <c r="F5784" s="20" t="s">
        <v>26</v>
      </c>
      <c r="G5784" s="53">
        <f t="shared" si="91"/>
        <v>-1.0064047814038573</v>
      </c>
      <c r="H5784" s="35"/>
      <c r="P5784" s="6"/>
    </row>
    <row r="5785" spans="1:16" ht="14.4" x14ac:dyDescent="0.25">
      <c r="A5785" s="6">
        <v>804</v>
      </c>
      <c r="B5785" s="6">
        <v>5765</v>
      </c>
      <c r="C5785" s="19">
        <v>40161</v>
      </c>
      <c r="D5785" s="6" t="s">
        <v>25</v>
      </c>
      <c r="E5785" s="6">
        <f>IF((ISBLANK($B$1)),"",Sheet1!Q5797)</f>
        <v>4550</v>
      </c>
      <c r="F5785" s="20" t="s">
        <v>26</v>
      </c>
      <c r="G5785" s="53">
        <f t="shared" si="91"/>
        <v>-0.17783221777813119</v>
      </c>
      <c r="H5785" s="35"/>
      <c r="P5785" s="6"/>
    </row>
    <row r="5786" spans="1:16" ht="14.4" x14ac:dyDescent="0.25">
      <c r="A5786" s="6">
        <v>884</v>
      </c>
      <c r="B5786" s="6">
        <v>6339</v>
      </c>
      <c r="C5786" s="19">
        <v>41254</v>
      </c>
      <c r="D5786" s="6" t="s">
        <v>30</v>
      </c>
      <c r="E5786" s="6">
        <f>IF((ISBLANK($B$1)),"",Sheet1!Q5798)</f>
        <v>4400</v>
      </c>
      <c r="F5786" s="20" t="s">
        <v>26</v>
      </c>
      <c r="G5786" s="53">
        <f t="shared" si="91"/>
        <v>-0.38497535868456267</v>
      </c>
      <c r="H5786" s="35"/>
      <c r="P5786" s="6"/>
    </row>
    <row r="5787" spans="1:16" ht="14.4" x14ac:dyDescent="0.25">
      <c r="A5787" s="6">
        <v>942</v>
      </c>
      <c r="B5787" s="6">
        <v>6848</v>
      </c>
      <c r="C5787" s="19">
        <v>40434</v>
      </c>
      <c r="D5787" s="6" t="s">
        <v>17</v>
      </c>
      <c r="E5787" s="6">
        <f>IF((ISBLANK($B$1)),"",Sheet1!Q5799)</f>
        <v>4500</v>
      </c>
      <c r="F5787" s="20" t="s">
        <v>26</v>
      </c>
      <c r="G5787" s="53">
        <f t="shared" si="91"/>
        <v>-0.24687993141360834</v>
      </c>
      <c r="H5787" s="35"/>
      <c r="P5787" s="6"/>
    </row>
    <row r="5788" spans="1:16" ht="14.4" x14ac:dyDescent="0.25">
      <c r="A5788" s="6">
        <v>1054</v>
      </c>
      <c r="B5788" s="6">
        <v>7782</v>
      </c>
      <c r="C5788" s="19">
        <v>39996</v>
      </c>
      <c r="D5788" s="6" t="s">
        <v>30</v>
      </c>
      <c r="E5788" s="6">
        <f>IF((ISBLANK($B$1)),"",Sheet1!Q5800)</f>
        <v>4400</v>
      </c>
      <c r="F5788" s="20" t="s">
        <v>26</v>
      </c>
      <c r="G5788" s="53">
        <f t="shared" si="91"/>
        <v>-0.38497535868456267</v>
      </c>
      <c r="H5788" s="35"/>
      <c r="P5788" s="6"/>
    </row>
    <row r="5789" spans="1:16" ht="14.4" x14ac:dyDescent="0.25">
      <c r="A5789" s="6">
        <v>1082</v>
      </c>
      <c r="B5789" s="6">
        <v>7941</v>
      </c>
      <c r="C5789" s="19">
        <v>40991</v>
      </c>
      <c r="D5789" s="6" t="s">
        <v>25</v>
      </c>
      <c r="E5789" s="6">
        <f>IF((ISBLANK($B$1)),"",Sheet1!Q5801)</f>
        <v>5900</v>
      </c>
      <c r="F5789" s="20" t="s">
        <v>26</v>
      </c>
      <c r="G5789" s="53">
        <f t="shared" si="91"/>
        <v>1.6864560503797523</v>
      </c>
      <c r="H5789" s="35"/>
      <c r="P5789" s="6"/>
    </row>
    <row r="5790" spans="1:16" ht="14.4" x14ac:dyDescent="0.25">
      <c r="A5790" s="6">
        <v>1093</v>
      </c>
      <c r="B5790" s="6">
        <v>8034</v>
      </c>
      <c r="C5790" s="19">
        <v>40927</v>
      </c>
      <c r="D5790" s="6" t="s">
        <v>17</v>
      </c>
      <c r="E5790" s="6">
        <f>IF((ISBLANK($B$1)),"",Sheet1!Q5802)</f>
        <v>4950</v>
      </c>
      <c r="F5790" s="20" t="s">
        <v>26</v>
      </c>
      <c r="G5790" s="53">
        <f t="shared" si="91"/>
        <v>0.37454949130568621</v>
      </c>
      <c r="H5790" s="35"/>
      <c r="P5790" s="6"/>
    </row>
    <row r="5791" spans="1:16" ht="14.4" x14ac:dyDescent="0.25">
      <c r="A5791" s="6">
        <v>1094</v>
      </c>
      <c r="B5791" s="6">
        <v>8034</v>
      </c>
      <c r="C5791" s="19">
        <v>40927</v>
      </c>
      <c r="D5791" s="6" t="s">
        <v>17</v>
      </c>
      <c r="E5791" s="6">
        <f>IF((ISBLANK($B$1)),"",Sheet1!Q5803)</f>
        <v>4050</v>
      </c>
      <c r="F5791" s="20" t="s">
        <v>26</v>
      </c>
      <c r="G5791" s="53">
        <f t="shared" si="91"/>
        <v>-0.86830935413290289</v>
      </c>
      <c r="H5791" s="35"/>
      <c r="P5791" s="6"/>
    </row>
    <row r="5792" spans="1:16" ht="14.4" x14ac:dyDescent="0.25">
      <c r="A5792" s="6">
        <v>1095</v>
      </c>
      <c r="B5792" s="6">
        <v>8034</v>
      </c>
      <c r="C5792" s="19">
        <v>40927</v>
      </c>
      <c r="D5792" s="6" t="s">
        <v>17</v>
      </c>
      <c r="E5792" s="6">
        <f>IF((ISBLANK($B$1)),"",Sheet1!Q5804)</f>
        <v>5200</v>
      </c>
      <c r="F5792" s="20" t="s">
        <v>29</v>
      </c>
      <c r="G5792" s="53">
        <f t="shared" si="91"/>
        <v>0.71978805948307201</v>
      </c>
      <c r="H5792" s="35"/>
      <c r="P5792" s="6"/>
    </row>
    <row r="5793" spans="1:16" ht="14.4" x14ac:dyDescent="0.25">
      <c r="A5793" s="6">
        <v>1110</v>
      </c>
      <c r="B5793" s="6">
        <v>8135</v>
      </c>
      <c r="C5793" s="19">
        <v>40720</v>
      </c>
      <c r="D5793" s="6" t="s">
        <v>28</v>
      </c>
      <c r="E5793" s="6">
        <f>IF((ISBLANK($B$1)),"",Sheet1!Q5805)</f>
        <v>4200</v>
      </c>
      <c r="F5793" s="20" t="s">
        <v>27</v>
      </c>
      <c r="G5793" s="53">
        <f t="shared" si="91"/>
        <v>-0.6611662132264714</v>
      </c>
      <c r="H5793" s="35"/>
      <c r="P5793" s="6"/>
    </row>
    <row r="5794" spans="1:16" ht="14.4" x14ac:dyDescent="0.25">
      <c r="A5794" s="6">
        <v>1290</v>
      </c>
      <c r="B5794" s="6">
        <v>9473</v>
      </c>
      <c r="C5794" s="19">
        <v>41193</v>
      </c>
      <c r="D5794" s="6" t="s">
        <v>28</v>
      </c>
      <c r="E5794" s="6">
        <f>IF((ISBLANK($B$1)),"",Sheet1!Q5806)</f>
        <v>3550</v>
      </c>
      <c r="F5794" s="20" t="s">
        <v>26</v>
      </c>
      <c r="G5794" s="53">
        <f t="shared" si="91"/>
        <v>-1.5587864904876745</v>
      </c>
      <c r="H5794" s="35"/>
      <c r="P5794" s="6"/>
    </row>
    <row r="5795" spans="1:16" ht="14.4" x14ac:dyDescent="0.25">
      <c r="A5795" s="6">
        <v>1291</v>
      </c>
      <c r="B5795" s="6">
        <v>9473</v>
      </c>
      <c r="C5795" s="19">
        <v>41193</v>
      </c>
      <c r="D5795" s="6" t="s">
        <v>28</v>
      </c>
      <c r="E5795" s="6">
        <f>IF((ISBLANK($B$1)),"",Sheet1!Q5807)</f>
        <v>5100</v>
      </c>
      <c r="F5795" s="20" t="s">
        <v>26</v>
      </c>
      <c r="G5795" s="53">
        <f t="shared" si="91"/>
        <v>0.58169263221211776</v>
      </c>
      <c r="H5795" s="35"/>
      <c r="P5795" s="6"/>
    </row>
    <row r="5796" spans="1:16" ht="14.4" x14ac:dyDescent="0.25">
      <c r="A5796" s="6">
        <v>1292</v>
      </c>
      <c r="B5796" s="6">
        <v>9473</v>
      </c>
      <c r="C5796" s="19">
        <v>41193</v>
      </c>
      <c r="D5796" s="6" t="s">
        <v>28</v>
      </c>
      <c r="E5796" s="6">
        <f>IF((ISBLANK($B$1)),"",Sheet1!Q5808)</f>
        <v>4950</v>
      </c>
      <c r="F5796" s="20" t="s">
        <v>26</v>
      </c>
      <c r="G5796" s="53">
        <f t="shared" si="91"/>
        <v>0.37454949130568621</v>
      </c>
      <c r="H5796" s="35"/>
      <c r="P5796" s="6"/>
    </row>
    <row r="5797" spans="1:16" ht="14.4" x14ac:dyDescent="0.25">
      <c r="A5797" s="6">
        <v>1404</v>
      </c>
      <c r="B5797" s="6">
        <v>10210</v>
      </c>
      <c r="C5797" s="19">
        <v>40717</v>
      </c>
      <c r="D5797" s="6" t="s">
        <v>28</v>
      </c>
      <c r="E5797" s="6">
        <f>IF((ISBLANK($B$1)),"",Sheet1!Q5809)</f>
        <v>3900</v>
      </c>
      <c r="F5797" s="20" t="s">
        <v>27</v>
      </c>
      <c r="G5797" s="53">
        <f t="shared" si="91"/>
        <v>-1.0754524950393345</v>
      </c>
      <c r="H5797" s="35"/>
      <c r="P5797" s="6"/>
    </row>
    <row r="5798" spans="1:16" ht="14.4" x14ac:dyDescent="0.25">
      <c r="A5798" s="6">
        <v>1421</v>
      </c>
      <c r="B5798" s="6">
        <v>10308</v>
      </c>
      <c r="C5798" s="19">
        <v>40653</v>
      </c>
      <c r="D5798" s="6" t="s">
        <v>17</v>
      </c>
      <c r="E5798" s="6">
        <f>IF((ISBLANK($B$1)),"",Sheet1!Q5810)</f>
        <v>5400</v>
      </c>
      <c r="F5798" s="20" t="s">
        <v>27</v>
      </c>
      <c r="G5798" s="53">
        <f t="shared" si="91"/>
        <v>0.99597891402498073</v>
      </c>
      <c r="H5798" s="35"/>
      <c r="P5798" s="6"/>
    </row>
    <row r="5799" spans="1:16" ht="14.4" x14ac:dyDescent="0.25">
      <c r="A5799" s="6">
        <v>1516</v>
      </c>
      <c r="B5799" s="6">
        <v>10951</v>
      </c>
      <c r="C5799" s="19">
        <v>41219</v>
      </c>
      <c r="D5799" s="6" t="s">
        <v>28</v>
      </c>
      <c r="E5799" s="6">
        <f>IF((ISBLANK($B$1)),"",Sheet1!Q5811)</f>
        <v>4100</v>
      </c>
      <c r="F5799" s="20" t="s">
        <v>29</v>
      </c>
      <c r="G5799" s="53">
        <f t="shared" si="91"/>
        <v>-0.79926164049742576</v>
      </c>
      <c r="H5799" s="35"/>
      <c r="P5799" s="6"/>
    </row>
    <row r="5800" spans="1:16" ht="14.4" x14ac:dyDescent="0.25">
      <c r="A5800" s="6">
        <v>1687</v>
      </c>
      <c r="B5800" s="6">
        <v>12194</v>
      </c>
      <c r="C5800" s="19">
        <v>40603</v>
      </c>
      <c r="D5800" s="6" t="s">
        <v>30</v>
      </c>
      <c r="E5800" s="6">
        <f>IF((ISBLANK($B$1)),"",Sheet1!Q5812)</f>
        <v>4350</v>
      </c>
      <c r="F5800" s="20" t="s">
        <v>27</v>
      </c>
      <c r="G5800" s="53">
        <f t="shared" si="91"/>
        <v>-0.45402307232003986</v>
      </c>
      <c r="H5800" s="35"/>
      <c r="P5800" s="6"/>
    </row>
    <row r="5801" spans="1:16" ht="14.4" x14ac:dyDescent="0.25">
      <c r="A5801" s="6">
        <v>1766</v>
      </c>
      <c r="B5801" s="6">
        <v>12642</v>
      </c>
      <c r="C5801" s="19">
        <v>39930</v>
      </c>
      <c r="D5801" s="6" t="s">
        <v>30</v>
      </c>
      <c r="E5801" s="6">
        <f>IF((ISBLANK($B$1)),"",Sheet1!Q5813)</f>
        <v>3900</v>
      </c>
      <c r="F5801" s="20" t="s">
        <v>26</v>
      </c>
      <c r="G5801" s="53">
        <f t="shared" si="91"/>
        <v>-1.0754524950393345</v>
      </c>
      <c r="H5801" s="35"/>
      <c r="P5801" s="6"/>
    </row>
    <row r="5802" spans="1:16" ht="14.4" x14ac:dyDescent="0.25">
      <c r="A5802" s="6">
        <v>1767</v>
      </c>
      <c r="B5802" s="6">
        <v>12642</v>
      </c>
      <c r="C5802" s="19">
        <v>39930</v>
      </c>
      <c r="D5802" s="6" t="s">
        <v>30</v>
      </c>
      <c r="E5802" s="6">
        <f>IF((ISBLANK($B$1)),"",Sheet1!Q5814)</f>
        <v>4100</v>
      </c>
      <c r="F5802" s="20" t="s">
        <v>27</v>
      </c>
      <c r="G5802" s="53">
        <f t="shared" si="91"/>
        <v>-0.79926164049742576</v>
      </c>
      <c r="H5802" s="35"/>
      <c r="P5802" s="6"/>
    </row>
    <row r="5803" spans="1:16" ht="14.4" x14ac:dyDescent="0.25">
      <c r="A5803" s="6">
        <v>1884</v>
      </c>
      <c r="B5803" s="6">
        <v>13542</v>
      </c>
      <c r="C5803" s="19">
        <v>39880</v>
      </c>
      <c r="D5803" s="6" t="s">
        <v>25</v>
      </c>
      <c r="E5803" s="6">
        <f>IF((ISBLANK($B$1)),"",Sheet1!Q5815)</f>
        <v>3950</v>
      </c>
      <c r="F5803" s="20" t="s">
        <v>29</v>
      </c>
      <c r="G5803" s="53">
        <f t="shared" si="91"/>
        <v>-1.0064047814038573</v>
      </c>
      <c r="H5803" s="35"/>
      <c r="P5803" s="6"/>
    </row>
    <row r="5804" spans="1:16" ht="14.4" x14ac:dyDescent="0.25">
      <c r="A5804" s="6">
        <v>1885</v>
      </c>
      <c r="B5804" s="6">
        <v>13542</v>
      </c>
      <c r="C5804" s="19">
        <v>39880</v>
      </c>
      <c r="D5804" s="6" t="s">
        <v>25</v>
      </c>
      <c r="E5804" s="6">
        <f>IF((ISBLANK($B$1)),"",Sheet1!Q5816)</f>
        <v>5050</v>
      </c>
      <c r="F5804" s="20" t="s">
        <v>26</v>
      </c>
      <c r="G5804" s="53">
        <f t="shared" si="91"/>
        <v>0.51264491857664052</v>
      </c>
      <c r="H5804" s="35"/>
      <c r="P5804" s="6"/>
    </row>
    <row r="5805" spans="1:16" ht="14.4" x14ac:dyDescent="0.25">
      <c r="A5805" s="6">
        <v>1954</v>
      </c>
      <c r="B5805" s="6">
        <v>13988</v>
      </c>
      <c r="C5805" s="19">
        <v>41122</v>
      </c>
      <c r="D5805" s="6" t="s">
        <v>28</v>
      </c>
      <c r="E5805" s="6">
        <f>IF((ISBLANK($B$1)),"",Sheet1!Q5817)</f>
        <v>5100</v>
      </c>
      <c r="F5805" s="20" t="s">
        <v>29</v>
      </c>
      <c r="G5805" s="53">
        <f t="shared" si="91"/>
        <v>0.58169263221211776</v>
      </c>
      <c r="H5805" s="35"/>
      <c r="P5805" s="6"/>
    </row>
    <row r="5806" spans="1:16" ht="14.4" x14ac:dyDescent="0.25">
      <c r="A5806" s="6">
        <v>1955</v>
      </c>
      <c r="B5806" s="6">
        <v>13988</v>
      </c>
      <c r="C5806" s="19">
        <v>41122</v>
      </c>
      <c r="D5806" s="6" t="s">
        <v>28</v>
      </c>
      <c r="E5806" s="6">
        <f>IF((ISBLANK($B$1)),"",Sheet1!Q5818)</f>
        <v>5350</v>
      </c>
      <c r="F5806" s="20" t="s">
        <v>26</v>
      </c>
      <c r="G5806" s="53">
        <f t="shared" si="91"/>
        <v>0.92693120038950361</v>
      </c>
      <c r="H5806" s="35"/>
      <c r="P5806" s="6"/>
    </row>
    <row r="5807" spans="1:16" ht="14.4" x14ac:dyDescent="0.25">
      <c r="A5807" s="6">
        <v>1956</v>
      </c>
      <c r="B5807" s="6">
        <v>13988</v>
      </c>
      <c r="C5807" s="19">
        <v>41122</v>
      </c>
      <c r="D5807" s="6" t="s">
        <v>28</v>
      </c>
      <c r="E5807" s="6">
        <f>IF((ISBLANK($B$1)),"",Sheet1!Q5819)</f>
        <v>4300</v>
      </c>
      <c r="F5807" s="20" t="s">
        <v>26</v>
      </c>
      <c r="G5807" s="53">
        <f t="shared" si="91"/>
        <v>-0.52307078595551704</v>
      </c>
      <c r="H5807" s="35"/>
      <c r="P5807" s="6"/>
    </row>
    <row r="5808" spans="1:16" ht="14.4" x14ac:dyDescent="0.25">
      <c r="A5808" s="6">
        <v>1996</v>
      </c>
      <c r="B5808" s="6">
        <v>14241</v>
      </c>
      <c r="C5808" s="19">
        <v>41074</v>
      </c>
      <c r="D5808" s="6" t="s">
        <v>30</v>
      </c>
      <c r="E5808" s="6">
        <f>IF((ISBLANK($B$1)),"",Sheet1!Q5820)</f>
        <v>4500</v>
      </c>
      <c r="F5808" s="20" t="s">
        <v>26</v>
      </c>
      <c r="G5808" s="53">
        <f t="shared" si="91"/>
        <v>-0.24687993141360834</v>
      </c>
      <c r="H5808" s="35"/>
      <c r="P5808" s="6"/>
    </row>
    <row r="5809" spans="1:16" ht="14.4" x14ac:dyDescent="0.25">
      <c r="A5809" s="6">
        <v>1997</v>
      </c>
      <c r="B5809" s="6">
        <v>14242</v>
      </c>
      <c r="C5809" s="19">
        <v>40671</v>
      </c>
      <c r="D5809" s="6" t="s">
        <v>17</v>
      </c>
      <c r="E5809" s="6">
        <f>IF((ISBLANK($B$1)),"",Sheet1!Q5821)</f>
        <v>5150</v>
      </c>
      <c r="F5809" s="20" t="s">
        <v>27</v>
      </c>
      <c r="G5809" s="53">
        <f t="shared" si="91"/>
        <v>0.65074034584759488</v>
      </c>
      <c r="H5809" s="35"/>
      <c r="P5809" s="6"/>
    </row>
    <row r="5810" spans="1:16" ht="14.4" x14ac:dyDescent="0.25">
      <c r="A5810" s="6">
        <v>2085</v>
      </c>
      <c r="B5810" s="6">
        <v>14913</v>
      </c>
      <c r="C5810" s="19">
        <v>39858</v>
      </c>
      <c r="D5810" s="6" t="s">
        <v>17</v>
      </c>
      <c r="E5810" s="6">
        <f>IF((ISBLANK($B$1)),"",Sheet1!Q5822)</f>
        <v>5750</v>
      </c>
      <c r="F5810" s="20" t="s">
        <v>26</v>
      </c>
      <c r="G5810" s="53">
        <f t="shared" si="91"/>
        <v>1.4793129094733208</v>
      </c>
      <c r="H5810" s="35"/>
      <c r="P5810" s="6"/>
    </row>
    <row r="5811" spans="1:16" ht="14.4" x14ac:dyDescent="0.25">
      <c r="A5811" s="6">
        <v>2089</v>
      </c>
      <c r="B5811" s="6">
        <v>14951</v>
      </c>
      <c r="C5811" s="19">
        <v>40680</v>
      </c>
      <c r="D5811" s="6" t="s">
        <v>16</v>
      </c>
      <c r="E5811" s="6">
        <f>IF((ISBLANK($B$1)),"",Sheet1!Q5823)</f>
        <v>5100</v>
      </c>
      <c r="F5811" s="20" t="s">
        <v>27</v>
      </c>
      <c r="G5811" s="53">
        <f t="shared" si="91"/>
        <v>0.58169263221211776</v>
      </c>
      <c r="H5811" s="35"/>
      <c r="P5811" s="6"/>
    </row>
    <row r="5812" spans="1:16" ht="14.4" x14ac:dyDescent="0.25">
      <c r="A5812" s="6">
        <v>2090</v>
      </c>
      <c r="B5812" s="6">
        <v>14951</v>
      </c>
      <c r="C5812" s="19">
        <v>40680</v>
      </c>
      <c r="D5812" s="6" t="s">
        <v>16</v>
      </c>
      <c r="E5812" s="6">
        <f>IF((ISBLANK($B$1)),"",Sheet1!Q5824)</f>
        <v>4700</v>
      </c>
      <c r="F5812" s="20" t="s">
        <v>26</v>
      </c>
      <c r="G5812" s="53">
        <f t="shared" si="91"/>
        <v>2.9310923128300338E-2</v>
      </c>
      <c r="H5812" s="35"/>
      <c r="P5812" s="6"/>
    </row>
    <row r="5813" spans="1:16" ht="14.4" x14ac:dyDescent="0.25">
      <c r="A5813" s="6">
        <v>2097</v>
      </c>
      <c r="B5813" s="6">
        <v>14983</v>
      </c>
      <c r="C5813" s="19">
        <v>39855</v>
      </c>
      <c r="D5813" s="6" t="s">
        <v>17</v>
      </c>
      <c r="E5813" s="6">
        <f>IF((ISBLANK($B$1)),"",Sheet1!Q5825)</f>
        <v>5800</v>
      </c>
      <c r="F5813" s="20" t="s">
        <v>27</v>
      </c>
      <c r="G5813" s="53">
        <f t="shared" si="91"/>
        <v>1.5483606231087981</v>
      </c>
      <c r="H5813" s="35"/>
      <c r="P5813" s="6"/>
    </row>
    <row r="5814" spans="1:16" ht="14.4" x14ac:dyDescent="0.25">
      <c r="A5814" s="6">
        <v>2098</v>
      </c>
      <c r="B5814" s="6">
        <v>14983</v>
      </c>
      <c r="C5814" s="19">
        <v>39855</v>
      </c>
      <c r="D5814" s="6" t="s">
        <v>17</v>
      </c>
      <c r="E5814" s="6">
        <f>IF((ISBLANK($B$1)),"",Sheet1!Q5826)</f>
        <v>4300</v>
      </c>
      <c r="F5814" s="20" t="s">
        <v>27</v>
      </c>
      <c r="G5814" s="53">
        <f t="shared" si="91"/>
        <v>-0.52307078595551704</v>
      </c>
      <c r="H5814" s="35"/>
      <c r="P5814" s="6"/>
    </row>
    <row r="5815" spans="1:16" ht="14.4" x14ac:dyDescent="0.25">
      <c r="A5815" s="6">
        <v>2160</v>
      </c>
      <c r="B5815" s="6">
        <v>15524</v>
      </c>
      <c r="C5815" s="19">
        <v>41040</v>
      </c>
      <c r="D5815" s="6" t="s">
        <v>16</v>
      </c>
      <c r="E5815" s="6">
        <f>IF((ISBLANK($B$1)),"",Sheet1!Q5827)</f>
        <v>4750</v>
      </c>
      <c r="F5815" s="20" t="s">
        <v>26</v>
      </c>
      <c r="G5815" s="53">
        <f t="shared" si="91"/>
        <v>9.8358636763777513E-2</v>
      </c>
      <c r="H5815" s="35"/>
      <c r="P5815" s="6"/>
    </row>
    <row r="5816" spans="1:16" ht="14.4" x14ac:dyDescent="0.25">
      <c r="A5816" s="6">
        <v>2180</v>
      </c>
      <c r="B5816" s="6">
        <v>15714</v>
      </c>
      <c r="C5816" s="19">
        <v>40729</v>
      </c>
      <c r="D5816" s="6" t="s">
        <v>17</v>
      </c>
      <c r="E5816" s="6">
        <f>IF((ISBLANK($B$1)),"",Sheet1!Q5828)</f>
        <v>5900</v>
      </c>
      <c r="F5816" s="20" t="s">
        <v>26</v>
      </c>
      <c r="G5816" s="53">
        <f t="shared" si="91"/>
        <v>1.6864560503797523</v>
      </c>
      <c r="H5816" s="35"/>
      <c r="P5816" s="6"/>
    </row>
    <row r="5817" spans="1:16" ht="14.4" x14ac:dyDescent="0.25">
      <c r="A5817" s="6">
        <v>2382</v>
      </c>
      <c r="B5817" s="6">
        <v>17282</v>
      </c>
      <c r="C5817" s="19">
        <v>40135</v>
      </c>
      <c r="D5817" s="6" t="s">
        <v>25</v>
      </c>
      <c r="E5817" s="6">
        <f>IF((ISBLANK($B$1)),"",Sheet1!Q5829)</f>
        <v>5250</v>
      </c>
      <c r="F5817" s="20" t="s">
        <v>26</v>
      </c>
      <c r="G5817" s="53">
        <f t="shared" si="91"/>
        <v>0.78883577311854924</v>
      </c>
      <c r="H5817" s="35"/>
      <c r="P5817" s="6"/>
    </row>
    <row r="5818" spans="1:16" ht="14.4" x14ac:dyDescent="0.25">
      <c r="A5818" s="6">
        <v>2398</v>
      </c>
      <c r="B5818" s="6">
        <v>17381</v>
      </c>
      <c r="C5818" s="19">
        <v>40404</v>
      </c>
      <c r="D5818" s="6" t="s">
        <v>17</v>
      </c>
      <c r="E5818" s="6">
        <f>IF((ISBLANK($B$1)),"",Sheet1!Q5830)</f>
        <v>4800</v>
      </c>
      <c r="F5818" s="20" t="s">
        <v>26</v>
      </c>
      <c r="G5818" s="53">
        <f t="shared" si="91"/>
        <v>0.16740635039925467</v>
      </c>
      <c r="H5818" s="35"/>
      <c r="P5818" s="6"/>
    </row>
    <row r="5819" spans="1:16" ht="14.4" x14ac:dyDescent="0.25">
      <c r="A5819" s="6">
        <v>2460</v>
      </c>
      <c r="B5819" s="6">
        <v>17862</v>
      </c>
      <c r="C5819" s="19">
        <v>41036</v>
      </c>
      <c r="D5819" s="6" t="s">
        <v>28</v>
      </c>
      <c r="E5819" s="6">
        <f>IF((ISBLANK($B$1)),"",Sheet1!Q5831)</f>
        <v>3450</v>
      </c>
      <c r="F5819" s="20" t="s">
        <v>27</v>
      </c>
      <c r="G5819" s="53">
        <f t="shared" si="91"/>
        <v>-1.696881917758629</v>
      </c>
      <c r="H5819" s="35"/>
      <c r="P5819" s="6"/>
    </row>
    <row r="5820" spans="1:16" ht="14.4" x14ac:dyDescent="0.25">
      <c r="A5820" s="6">
        <v>2461</v>
      </c>
      <c r="B5820" s="6">
        <v>17862</v>
      </c>
      <c r="C5820" s="19">
        <v>41036</v>
      </c>
      <c r="D5820" s="6" t="s">
        <v>28</v>
      </c>
      <c r="E5820" s="6">
        <f>IF((ISBLANK($B$1)),"",Sheet1!Q5832)</f>
        <v>4950</v>
      </c>
      <c r="F5820" s="20" t="s">
        <v>26</v>
      </c>
      <c r="G5820" s="53">
        <f t="shared" si="91"/>
        <v>0.37454949130568621</v>
      </c>
      <c r="H5820" s="35"/>
      <c r="P5820" s="6"/>
    </row>
    <row r="5821" spans="1:16" ht="14.4" x14ac:dyDescent="0.25">
      <c r="A5821" s="6">
        <v>2464</v>
      </c>
      <c r="B5821" s="6">
        <v>17927</v>
      </c>
      <c r="C5821" s="19">
        <v>40034</v>
      </c>
      <c r="D5821" s="6" t="s">
        <v>16</v>
      </c>
      <c r="E5821" s="6">
        <f>IF((ISBLANK($B$1)),"",Sheet1!Q5833)</f>
        <v>5500</v>
      </c>
      <c r="F5821" s="20" t="s">
        <v>27</v>
      </c>
      <c r="G5821" s="53">
        <f t="shared" si="91"/>
        <v>1.1340743412959351</v>
      </c>
      <c r="H5821" s="35"/>
      <c r="P5821" s="6"/>
    </row>
    <row r="5822" spans="1:16" ht="14.4" x14ac:dyDescent="0.25">
      <c r="A5822" s="6">
        <v>2477</v>
      </c>
      <c r="B5822" s="6">
        <v>17988</v>
      </c>
      <c r="C5822" s="19">
        <v>40443</v>
      </c>
      <c r="D5822" s="6" t="s">
        <v>25</v>
      </c>
      <c r="E5822" s="6">
        <f>IF((ISBLANK($B$1)),"",Sheet1!Q5834)</f>
        <v>5700</v>
      </c>
      <c r="F5822" s="20" t="s">
        <v>27</v>
      </c>
      <c r="G5822" s="53">
        <f t="shared" si="91"/>
        <v>1.4102651958378438</v>
      </c>
      <c r="H5822" s="35"/>
      <c r="P5822" s="6"/>
    </row>
    <row r="5823" spans="1:16" ht="14.4" x14ac:dyDescent="0.25">
      <c r="A5823" s="6">
        <v>2481</v>
      </c>
      <c r="B5823" s="6">
        <v>18049</v>
      </c>
      <c r="C5823" s="19">
        <v>40038</v>
      </c>
      <c r="D5823" s="6" t="s">
        <v>16</v>
      </c>
      <c r="E5823" s="6">
        <f>IF((ISBLANK($B$1)),"",Sheet1!Q5835)</f>
        <v>3900</v>
      </c>
      <c r="F5823" s="20" t="s">
        <v>26</v>
      </c>
      <c r="G5823" s="53">
        <f t="shared" si="91"/>
        <v>-1.0754524950393345</v>
      </c>
      <c r="H5823" s="35"/>
      <c r="P5823" s="6"/>
    </row>
    <row r="5824" spans="1:16" ht="14.4" x14ac:dyDescent="0.25">
      <c r="A5824" s="6">
        <v>2518</v>
      </c>
      <c r="B5824" s="6">
        <v>18307</v>
      </c>
      <c r="C5824" s="19">
        <v>40211</v>
      </c>
      <c r="D5824" s="6" t="s">
        <v>25</v>
      </c>
      <c r="E5824" s="6">
        <f>IF((ISBLANK($B$1)),"",Sheet1!Q5836)</f>
        <v>4550</v>
      </c>
      <c r="F5824" s="20" t="s">
        <v>26</v>
      </c>
      <c r="G5824" s="53">
        <f t="shared" si="91"/>
        <v>-0.17783221777813119</v>
      </c>
      <c r="H5824" s="35"/>
      <c r="P5824" s="6"/>
    </row>
    <row r="5825" spans="1:16" ht="14.4" x14ac:dyDescent="0.25">
      <c r="A5825" s="6">
        <v>2519</v>
      </c>
      <c r="B5825" s="6">
        <v>18307</v>
      </c>
      <c r="C5825" s="19">
        <v>40211</v>
      </c>
      <c r="D5825" s="6" t="s">
        <v>25</v>
      </c>
      <c r="E5825" s="6">
        <f>IF((ISBLANK($B$1)),"",Sheet1!Q5837)</f>
        <v>5100</v>
      </c>
      <c r="F5825" s="20" t="s">
        <v>26</v>
      </c>
      <c r="G5825" s="53">
        <f t="shared" si="91"/>
        <v>0.58169263221211776</v>
      </c>
      <c r="H5825" s="35"/>
      <c r="P5825" s="6"/>
    </row>
    <row r="5826" spans="1:16" ht="14.4" x14ac:dyDescent="0.25">
      <c r="A5826" s="6">
        <v>2530</v>
      </c>
      <c r="B5826" s="6">
        <v>18370</v>
      </c>
      <c r="C5826" s="19">
        <v>40556</v>
      </c>
      <c r="D5826" s="6" t="s">
        <v>25</v>
      </c>
      <c r="E5826" s="6">
        <f>IF((ISBLANK($B$1)),"",Sheet1!Q5838)</f>
        <v>5450</v>
      </c>
      <c r="F5826" s="20" t="s">
        <v>27</v>
      </c>
      <c r="G5826" s="53">
        <f t="shared" si="91"/>
        <v>1.0650266276604579</v>
      </c>
      <c r="H5826" s="35"/>
      <c r="P5826" s="6"/>
    </row>
    <row r="5827" spans="1:16" ht="14.4" x14ac:dyDescent="0.25">
      <c r="A5827" s="6">
        <v>2531</v>
      </c>
      <c r="B5827" s="6">
        <v>18371</v>
      </c>
      <c r="C5827" s="19">
        <v>40074</v>
      </c>
      <c r="D5827" s="6" t="s">
        <v>16</v>
      </c>
      <c r="E5827" s="6">
        <f>IF((ISBLANK($B$1)),"",Sheet1!Q5839)</f>
        <v>4900</v>
      </c>
      <c r="F5827" s="20" t="s">
        <v>26</v>
      </c>
      <c r="G5827" s="53">
        <f t="shared" si="91"/>
        <v>0.30550177767020903</v>
      </c>
      <c r="H5827" s="35"/>
      <c r="P5827" s="6"/>
    </row>
    <row r="5828" spans="1:16" ht="14.4" x14ac:dyDescent="0.25">
      <c r="A5828" s="6">
        <v>2720</v>
      </c>
      <c r="B5828" s="6">
        <v>19649</v>
      </c>
      <c r="C5828" s="19">
        <v>40667</v>
      </c>
      <c r="D5828" s="6" t="s">
        <v>17</v>
      </c>
      <c r="E5828" s="6">
        <f>IF((ISBLANK($B$1)),"",Sheet1!Q5840)</f>
        <v>4650</v>
      </c>
      <c r="F5828" s="20" t="s">
        <v>26</v>
      </c>
      <c r="G5828" s="53">
        <f t="shared" si="91"/>
        <v>-3.9736790507176829E-2</v>
      </c>
      <c r="H5828" s="35"/>
      <c r="P5828" s="6"/>
    </row>
    <row r="5829" spans="1:16" ht="14.4" x14ac:dyDescent="0.25">
      <c r="A5829" s="6">
        <v>2721</v>
      </c>
      <c r="B5829" s="6">
        <v>19649</v>
      </c>
      <c r="C5829" s="19">
        <v>40667</v>
      </c>
      <c r="D5829" s="6" t="s">
        <v>17</v>
      </c>
      <c r="E5829" s="6">
        <f>IF((ISBLANK($B$1)),"",Sheet1!Q5841)</f>
        <v>5200</v>
      </c>
      <c r="F5829" s="20" t="s">
        <v>29</v>
      </c>
      <c r="G5829" s="53">
        <f t="shared" si="91"/>
        <v>0.71978805948307201</v>
      </c>
      <c r="H5829" s="35"/>
      <c r="P5829" s="6"/>
    </row>
    <row r="5830" spans="1:16" ht="14.4" x14ac:dyDescent="0.25">
      <c r="A5830" s="6">
        <v>2738</v>
      </c>
      <c r="B5830" s="6">
        <v>19748</v>
      </c>
      <c r="C5830" s="19">
        <v>40394</v>
      </c>
      <c r="D5830" s="6" t="s">
        <v>28</v>
      </c>
      <c r="E5830" s="6">
        <f>IF((ISBLANK($B$1)),"",Sheet1!Q5842)</f>
        <v>3700</v>
      </c>
      <c r="F5830" s="20" t="s">
        <v>26</v>
      </c>
      <c r="G5830" s="53">
        <f t="shared" si="91"/>
        <v>-1.351643349581243</v>
      </c>
      <c r="H5830" s="35"/>
      <c r="P5830" s="6"/>
    </row>
    <row r="5831" spans="1:16" ht="14.4" x14ac:dyDescent="0.25">
      <c r="A5831" s="6">
        <v>2762</v>
      </c>
      <c r="B5831" s="6">
        <v>19974</v>
      </c>
      <c r="C5831" s="19">
        <v>40485</v>
      </c>
      <c r="D5831" s="6" t="s">
        <v>17</v>
      </c>
      <c r="E5831" s="6">
        <f>IF((ISBLANK($B$1)),"",Sheet1!Q5843)</f>
        <v>4100</v>
      </c>
      <c r="F5831" s="20" t="s">
        <v>26</v>
      </c>
      <c r="G5831" s="53">
        <f t="shared" si="91"/>
        <v>-0.79926164049742576</v>
      </c>
      <c r="H5831" s="35"/>
      <c r="P5831" s="6"/>
    </row>
    <row r="5832" spans="1:16" ht="14.4" x14ac:dyDescent="0.25">
      <c r="A5832" s="6">
        <v>2763</v>
      </c>
      <c r="B5832" s="6">
        <v>19974</v>
      </c>
      <c r="C5832" s="19">
        <v>40485</v>
      </c>
      <c r="D5832" s="6" t="s">
        <v>17</v>
      </c>
      <c r="E5832" s="6">
        <f>IF((ISBLANK($B$1)),"",Sheet1!Q5844)</f>
        <v>4500</v>
      </c>
      <c r="F5832" s="20" t="s">
        <v>26</v>
      </c>
      <c r="G5832" s="53">
        <f t="shared" ref="G5832:G5895" si="92">STANDARDIZE(E5832,$L$26,$L$35)</f>
        <v>-0.24687993141360834</v>
      </c>
      <c r="H5832" s="35"/>
      <c r="P5832" s="6"/>
    </row>
    <row r="5833" spans="1:16" ht="14.4" x14ac:dyDescent="0.25">
      <c r="A5833" s="6">
        <v>2769</v>
      </c>
      <c r="B5833" s="6">
        <v>20032</v>
      </c>
      <c r="C5833" s="19">
        <v>41218</v>
      </c>
      <c r="D5833" s="6" t="s">
        <v>16</v>
      </c>
      <c r="E5833" s="6">
        <f>IF((ISBLANK($B$1)),"",Sheet1!Q5845)</f>
        <v>3800</v>
      </c>
      <c r="F5833" s="20" t="s">
        <v>27</v>
      </c>
      <c r="G5833" s="53">
        <f t="shared" si="92"/>
        <v>-1.2135479223102887</v>
      </c>
      <c r="H5833" s="35"/>
      <c r="P5833" s="6"/>
    </row>
    <row r="5834" spans="1:16" ht="14.4" x14ac:dyDescent="0.25">
      <c r="A5834" s="6">
        <v>3164</v>
      </c>
      <c r="B5834" s="6">
        <v>22727</v>
      </c>
      <c r="C5834" s="19">
        <v>40727</v>
      </c>
      <c r="D5834" s="6" t="s">
        <v>28</v>
      </c>
      <c r="E5834" s="6">
        <f>IF((ISBLANK($B$1)),"",Sheet1!Q5846)</f>
        <v>5650</v>
      </c>
      <c r="F5834" s="20" t="s">
        <v>26</v>
      </c>
      <c r="G5834" s="53">
        <f t="shared" si="92"/>
        <v>1.3412174822023666</v>
      </c>
      <c r="H5834" s="35"/>
      <c r="P5834" s="6"/>
    </row>
    <row r="5835" spans="1:16" ht="14.4" x14ac:dyDescent="0.25">
      <c r="A5835" s="6">
        <v>3203</v>
      </c>
      <c r="B5835" s="6">
        <v>22978</v>
      </c>
      <c r="C5835" s="19">
        <v>39905</v>
      </c>
      <c r="D5835" s="6" t="s">
        <v>16</v>
      </c>
      <c r="E5835" s="6">
        <f>IF((ISBLANK($B$1)),"",Sheet1!Q5847)</f>
        <v>4800</v>
      </c>
      <c r="F5835" s="20" t="s">
        <v>29</v>
      </c>
      <c r="G5835" s="53">
        <f t="shared" si="92"/>
        <v>0.16740635039925467</v>
      </c>
      <c r="H5835" s="35"/>
      <c r="P5835" s="6"/>
    </row>
    <row r="5836" spans="1:16" ht="14.4" x14ac:dyDescent="0.25">
      <c r="A5836" s="6">
        <v>3224</v>
      </c>
      <c r="B5836" s="6">
        <v>23140</v>
      </c>
      <c r="C5836" s="19">
        <v>40947</v>
      </c>
      <c r="D5836" s="6" t="s">
        <v>17</v>
      </c>
      <c r="E5836" s="6">
        <f>IF((ISBLANK($B$1)),"",Sheet1!Q5848)</f>
        <v>4300</v>
      </c>
      <c r="F5836" s="20" t="s">
        <v>29</v>
      </c>
      <c r="G5836" s="53">
        <f t="shared" si="92"/>
        <v>-0.52307078595551704</v>
      </c>
      <c r="H5836" s="35"/>
      <c r="P5836" s="6"/>
    </row>
    <row r="5837" spans="1:16" ht="14.4" x14ac:dyDescent="0.25">
      <c r="A5837" s="6">
        <v>3225</v>
      </c>
      <c r="B5837" s="6">
        <v>23140</v>
      </c>
      <c r="C5837" s="19">
        <v>40947</v>
      </c>
      <c r="D5837" s="6" t="s">
        <v>17</v>
      </c>
      <c r="E5837" s="6">
        <f>IF((ISBLANK($B$1)),"",Sheet1!Q5849)</f>
        <v>4200</v>
      </c>
      <c r="F5837" s="20" t="s">
        <v>26</v>
      </c>
      <c r="G5837" s="53">
        <f t="shared" si="92"/>
        <v>-0.6611662132264714</v>
      </c>
      <c r="H5837" s="35"/>
      <c r="P5837" s="6"/>
    </row>
    <row r="5838" spans="1:16" ht="14.4" x14ac:dyDescent="0.25">
      <c r="A5838" s="6">
        <v>3302</v>
      </c>
      <c r="B5838" s="6">
        <v>23586</v>
      </c>
      <c r="C5838" s="19">
        <v>40192</v>
      </c>
      <c r="D5838" s="6" t="s">
        <v>16</v>
      </c>
      <c r="E5838" s="6">
        <f>IF((ISBLANK($B$1)),"",Sheet1!Q5850)</f>
        <v>5000</v>
      </c>
      <c r="F5838" s="20" t="s">
        <v>26</v>
      </c>
      <c r="G5838" s="53">
        <f t="shared" si="92"/>
        <v>0.44359720494116334</v>
      </c>
      <c r="H5838" s="35"/>
      <c r="P5838" s="6"/>
    </row>
    <row r="5839" spans="1:16" ht="14.4" x14ac:dyDescent="0.25">
      <c r="A5839" s="6">
        <v>3309</v>
      </c>
      <c r="B5839" s="6">
        <v>23648</v>
      </c>
      <c r="C5839" s="19">
        <v>41176</v>
      </c>
      <c r="D5839" s="6" t="s">
        <v>30</v>
      </c>
      <c r="E5839" s="6">
        <f>IF((ISBLANK($B$1)),"",Sheet1!Q5851)</f>
        <v>5600</v>
      </c>
      <c r="F5839" s="20" t="s">
        <v>27</v>
      </c>
      <c r="G5839" s="53">
        <f t="shared" si="92"/>
        <v>1.2721697685668893</v>
      </c>
      <c r="H5839" s="35"/>
      <c r="P5839" s="6"/>
    </row>
    <row r="5840" spans="1:16" ht="14.4" x14ac:dyDescent="0.25">
      <c r="A5840" s="6">
        <v>3310</v>
      </c>
      <c r="B5840" s="6">
        <v>23648</v>
      </c>
      <c r="C5840" s="19">
        <v>41176</v>
      </c>
      <c r="D5840" s="6" t="s">
        <v>30</v>
      </c>
      <c r="E5840" s="6">
        <f>IF((ISBLANK($B$1)),"",Sheet1!Q5852)</f>
        <v>3600</v>
      </c>
      <c r="F5840" s="20" t="s">
        <v>26</v>
      </c>
      <c r="G5840" s="53">
        <f t="shared" si="92"/>
        <v>-1.4897387768521975</v>
      </c>
      <c r="H5840" s="35"/>
      <c r="P5840" s="6"/>
    </row>
    <row r="5841" spans="1:16" ht="14.4" x14ac:dyDescent="0.25">
      <c r="A5841" s="6">
        <v>3497</v>
      </c>
      <c r="B5841" s="6">
        <v>24931</v>
      </c>
      <c r="C5841" s="19">
        <v>40854</v>
      </c>
      <c r="D5841" s="6" t="s">
        <v>25</v>
      </c>
      <c r="E5841" s="6">
        <f>IF((ISBLANK($B$1)),"",Sheet1!Q5853)</f>
        <v>3850</v>
      </c>
      <c r="F5841" s="20" t="s">
        <v>26</v>
      </c>
      <c r="G5841" s="53">
        <f t="shared" si="92"/>
        <v>-1.1445002086748115</v>
      </c>
      <c r="H5841" s="35"/>
      <c r="P5841" s="6"/>
    </row>
    <row r="5842" spans="1:16" ht="14.4" x14ac:dyDescent="0.25">
      <c r="A5842" s="6">
        <v>3566</v>
      </c>
      <c r="B5842" s="6">
        <v>25443</v>
      </c>
      <c r="C5842" s="19">
        <v>41174</v>
      </c>
      <c r="D5842" s="6" t="s">
        <v>16</v>
      </c>
      <c r="E5842" s="6">
        <f>IF((ISBLANK($B$1)),"",Sheet1!Q5854)</f>
        <v>5050</v>
      </c>
      <c r="F5842" s="20" t="s">
        <v>27</v>
      </c>
      <c r="G5842" s="53">
        <f t="shared" si="92"/>
        <v>0.51264491857664052</v>
      </c>
      <c r="H5842" s="35"/>
      <c r="P5842" s="6"/>
    </row>
    <row r="5843" spans="1:16" ht="14.4" x14ac:dyDescent="0.25">
      <c r="A5843" s="6">
        <v>3632</v>
      </c>
      <c r="B5843" s="6">
        <v>25953</v>
      </c>
      <c r="C5843" s="19">
        <v>40083</v>
      </c>
      <c r="D5843" s="6" t="s">
        <v>30</v>
      </c>
      <c r="E5843" s="6">
        <f>IF((ISBLANK($B$1)),"",Sheet1!Q5855)</f>
        <v>4750</v>
      </c>
      <c r="F5843" s="20" t="s">
        <v>26</v>
      </c>
      <c r="G5843" s="53">
        <f t="shared" si="92"/>
        <v>9.8358636763777513E-2</v>
      </c>
      <c r="H5843" s="35"/>
      <c r="P5843" s="6"/>
    </row>
    <row r="5844" spans="1:16" ht="14.4" x14ac:dyDescent="0.25">
      <c r="A5844" s="6">
        <v>3633</v>
      </c>
      <c r="B5844" s="6">
        <v>25953</v>
      </c>
      <c r="C5844" s="19">
        <v>40083</v>
      </c>
      <c r="D5844" s="6" t="s">
        <v>30</v>
      </c>
      <c r="E5844" s="6">
        <f>IF((ISBLANK($B$1)),"",Sheet1!Q5856)</f>
        <v>4350</v>
      </c>
      <c r="F5844" s="20" t="s">
        <v>27</v>
      </c>
      <c r="G5844" s="53">
        <f t="shared" si="92"/>
        <v>-0.45402307232003986</v>
      </c>
      <c r="H5844" s="35"/>
      <c r="P5844" s="6"/>
    </row>
    <row r="5845" spans="1:16" ht="14.4" x14ac:dyDescent="0.25">
      <c r="A5845" s="6">
        <v>3650</v>
      </c>
      <c r="B5845" s="6">
        <v>26144</v>
      </c>
      <c r="C5845" s="19">
        <v>40842</v>
      </c>
      <c r="D5845" s="6" t="s">
        <v>17</v>
      </c>
      <c r="E5845" s="6">
        <f>IF((ISBLANK($B$1)),"",Sheet1!Q5857)</f>
        <v>4800</v>
      </c>
      <c r="F5845" s="20" t="s">
        <v>26</v>
      </c>
      <c r="G5845" s="53">
        <f t="shared" si="92"/>
        <v>0.16740635039925467</v>
      </c>
      <c r="H5845" s="35"/>
      <c r="P5845" s="6"/>
    </row>
    <row r="5846" spans="1:16" ht="14.4" x14ac:dyDescent="0.25">
      <c r="A5846" s="6">
        <v>3702</v>
      </c>
      <c r="B5846" s="6">
        <v>26439</v>
      </c>
      <c r="C5846" s="19">
        <v>40801</v>
      </c>
      <c r="D5846" s="6" t="s">
        <v>16</v>
      </c>
      <c r="E5846" s="6">
        <f>IF((ISBLANK($B$1)),"",Sheet1!Q5858)</f>
        <v>5300</v>
      </c>
      <c r="F5846" s="20" t="s">
        <v>27</v>
      </c>
      <c r="G5846" s="53">
        <f t="shared" si="92"/>
        <v>0.85788348675402637</v>
      </c>
      <c r="H5846" s="35"/>
      <c r="P5846" s="6"/>
    </row>
    <row r="5847" spans="1:16" ht="14.4" x14ac:dyDescent="0.25">
      <c r="A5847" s="6">
        <v>3703</v>
      </c>
      <c r="B5847" s="6">
        <v>26439</v>
      </c>
      <c r="C5847" s="19">
        <v>40801</v>
      </c>
      <c r="D5847" s="6" t="s">
        <v>16</v>
      </c>
      <c r="E5847" s="6">
        <f>IF((ISBLANK($B$1)),"",Sheet1!Q5859)</f>
        <v>5250</v>
      </c>
      <c r="F5847" s="20" t="s">
        <v>26</v>
      </c>
      <c r="G5847" s="53">
        <f t="shared" si="92"/>
        <v>0.78883577311854924</v>
      </c>
      <c r="H5847" s="35"/>
      <c r="P5847" s="6"/>
    </row>
    <row r="5848" spans="1:16" ht="14.4" x14ac:dyDescent="0.25">
      <c r="A5848" s="6">
        <v>3704</v>
      </c>
      <c r="B5848" s="6">
        <v>26439</v>
      </c>
      <c r="C5848" s="19">
        <v>40801</v>
      </c>
      <c r="D5848" s="6" t="s">
        <v>16</v>
      </c>
      <c r="E5848" s="6">
        <f>IF((ISBLANK($B$1)),"",Sheet1!Q5860)</f>
        <v>4550</v>
      </c>
      <c r="F5848" s="20" t="s">
        <v>27</v>
      </c>
      <c r="G5848" s="53">
        <f t="shared" si="92"/>
        <v>-0.17783221777813119</v>
      </c>
      <c r="H5848" s="35"/>
      <c r="P5848" s="6"/>
    </row>
    <row r="5849" spans="1:16" ht="14.4" x14ac:dyDescent="0.25">
      <c r="A5849" s="6">
        <v>3707</v>
      </c>
      <c r="B5849" s="6">
        <v>26466</v>
      </c>
      <c r="C5849" s="19">
        <v>39975</v>
      </c>
      <c r="D5849" s="6" t="s">
        <v>30</v>
      </c>
      <c r="E5849" s="6">
        <f>IF((ISBLANK($B$1)),"",Sheet1!Q5861)</f>
        <v>4850</v>
      </c>
      <c r="F5849" s="20" t="s">
        <v>27</v>
      </c>
      <c r="G5849" s="53">
        <f t="shared" si="92"/>
        <v>0.23645406403473185</v>
      </c>
      <c r="H5849" s="35"/>
      <c r="P5849" s="6"/>
    </row>
    <row r="5850" spans="1:16" ht="14.4" x14ac:dyDescent="0.25">
      <c r="A5850" s="6">
        <v>3937</v>
      </c>
      <c r="B5850" s="6">
        <v>28037</v>
      </c>
      <c r="C5850" s="19">
        <v>40159</v>
      </c>
      <c r="D5850" s="6" t="s">
        <v>17</v>
      </c>
      <c r="E5850" s="6">
        <f>IF((ISBLANK($B$1)),"",Sheet1!Q5862)</f>
        <v>4950</v>
      </c>
      <c r="F5850" s="20" t="s">
        <v>26</v>
      </c>
      <c r="G5850" s="53">
        <f t="shared" si="92"/>
        <v>0.37454949130568621</v>
      </c>
      <c r="H5850" s="35"/>
      <c r="P5850" s="6"/>
    </row>
    <row r="5851" spans="1:16" ht="14.4" x14ac:dyDescent="0.25">
      <c r="A5851" s="6">
        <v>3967</v>
      </c>
      <c r="B5851" s="6">
        <v>28294</v>
      </c>
      <c r="C5851" s="19">
        <v>41051</v>
      </c>
      <c r="D5851" s="6" t="s">
        <v>17</v>
      </c>
      <c r="E5851" s="6">
        <f>IF((ISBLANK($B$1)),"",Sheet1!Q5863)</f>
        <v>5750</v>
      </c>
      <c r="F5851" s="20" t="s">
        <v>26</v>
      </c>
      <c r="G5851" s="53">
        <f t="shared" si="92"/>
        <v>1.4793129094733208</v>
      </c>
      <c r="H5851" s="35"/>
      <c r="P5851" s="6"/>
    </row>
    <row r="5852" spans="1:16" ht="14.4" x14ac:dyDescent="0.25">
      <c r="A5852" s="6">
        <v>3984</v>
      </c>
      <c r="B5852" s="6">
        <v>28453</v>
      </c>
      <c r="C5852" s="19">
        <v>41271</v>
      </c>
      <c r="D5852" s="6" t="s">
        <v>30</v>
      </c>
      <c r="E5852" s="6">
        <f>IF((ISBLANK($B$1)),"",Sheet1!Q5864)</f>
        <v>4700</v>
      </c>
      <c r="F5852" s="20" t="s">
        <v>26</v>
      </c>
      <c r="G5852" s="53">
        <f t="shared" si="92"/>
        <v>2.9310923128300338E-2</v>
      </c>
      <c r="H5852" s="35"/>
      <c r="P5852" s="6"/>
    </row>
    <row r="5853" spans="1:16" ht="14.4" x14ac:dyDescent="0.25">
      <c r="A5853" s="6">
        <v>3993</v>
      </c>
      <c r="B5853" s="6">
        <v>28512</v>
      </c>
      <c r="C5853" s="19">
        <v>40295</v>
      </c>
      <c r="D5853" s="6" t="s">
        <v>16</v>
      </c>
      <c r="E5853" s="6">
        <f>IF((ISBLANK($B$1)),"",Sheet1!Q5865)</f>
        <v>3950</v>
      </c>
      <c r="F5853" s="20" t="s">
        <v>27</v>
      </c>
      <c r="G5853" s="53">
        <f t="shared" si="92"/>
        <v>-1.0064047814038573</v>
      </c>
      <c r="H5853" s="35"/>
      <c r="P5853" s="6"/>
    </row>
    <row r="5854" spans="1:16" ht="14.4" x14ac:dyDescent="0.25">
      <c r="A5854" s="6">
        <v>3994</v>
      </c>
      <c r="B5854" s="6">
        <v>28512</v>
      </c>
      <c r="C5854" s="19">
        <v>40295</v>
      </c>
      <c r="D5854" s="6" t="s">
        <v>16</v>
      </c>
      <c r="E5854" s="6">
        <f>IF((ISBLANK($B$1)),"",Sheet1!Q5866)</f>
        <v>3900</v>
      </c>
      <c r="F5854" s="20" t="s">
        <v>26</v>
      </c>
      <c r="G5854" s="53">
        <f t="shared" si="92"/>
        <v>-1.0754524950393345</v>
      </c>
      <c r="H5854" s="35"/>
      <c r="P5854" s="6"/>
    </row>
    <row r="5855" spans="1:16" ht="14.4" x14ac:dyDescent="0.25">
      <c r="A5855" s="6">
        <v>3995</v>
      </c>
      <c r="B5855" s="6">
        <v>28512</v>
      </c>
      <c r="C5855" s="19">
        <v>40295</v>
      </c>
      <c r="D5855" s="6" t="s">
        <v>16</v>
      </c>
      <c r="E5855" s="6">
        <f>IF((ISBLANK($B$1)),"",Sheet1!Q5867)</f>
        <v>4300</v>
      </c>
      <c r="F5855" s="20" t="s">
        <v>26</v>
      </c>
      <c r="G5855" s="53">
        <f t="shared" si="92"/>
        <v>-0.52307078595551704</v>
      </c>
      <c r="H5855" s="35"/>
      <c r="P5855" s="6"/>
    </row>
    <row r="5856" spans="1:16" ht="14.4" x14ac:dyDescent="0.25">
      <c r="A5856" s="6">
        <v>4011</v>
      </c>
      <c r="B5856" s="6">
        <v>28641</v>
      </c>
      <c r="C5856" s="19">
        <v>40828</v>
      </c>
      <c r="D5856" s="6" t="s">
        <v>28</v>
      </c>
      <c r="E5856" s="6">
        <f>IF((ISBLANK($B$1)),"",Sheet1!Q5868)</f>
        <v>5050</v>
      </c>
      <c r="F5856" s="20" t="s">
        <v>27</v>
      </c>
      <c r="G5856" s="53">
        <f t="shared" si="92"/>
        <v>0.51264491857664052</v>
      </c>
      <c r="H5856" s="35"/>
      <c r="P5856" s="6"/>
    </row>
    <row r="5857" spans="1:16" ht="14.4" x14ac:dyDescent="0.25">
      <c r="A5857" s="6">
        <v>4045</v>
      </c>
      <c r="B5857" s="6">
        <v>28867</v>
      </c>
      <c r="C5857" s="19">
        <v>40746</v>
      </c>
      <c r="D5857" s="6" t="s">
        <v>16</v>
      </c>
      <c r="E5857" s="6">
        <f>IF((ISBLANK($B$1)),"",Sheet1!Q5869)</f>
        <v>5550</v>
      </c>
      <c r="F5857" s="20" t="s">
        <v>27</v>
      </c>
      <c r="G5857" s="53">
        <f t="shared" si="92"/>
        <v>1.2031220549314123</v>
      </c>
      <c r="H5857" s="35"/>
      <c r="P5857" s="6"/>
    </row>
    <row r="5858" spans="1:16" ht="14.4" x14ac:dyDescent="0.25">
      <c r="A5858" s="6">
        <v>4046</v>
      </c>
      <c r="B5858" s="6">
        <v>28867</v>
      </c>
      <c r="C5858" s="19">
        <v>40746</v>
      </c>
      <c r="D5858" s="6" t="s">
        <v>16</v>
      </c>
      <c r="E5858" s="6">
        <f>IF((ISBLANK($B$1)),"",Sheet1!Q5870)</f>
        <v>3700</v>
      </c>
      <c r="F5858" s="20" t="s">
        <v>26</v>
      </c>
      <c r="G5858" s="53">
        <f t="shared" si="92"/>
        <v>-1.351643349581243</v>
      </c>
      <c r="H5858" s="35"/>
      <c r="P5858" s="6"/>
    </row>
    <row r="5859" spans="1:16" ht="14.4" x14ac:dyDescent="0.25">
      <c r="A5859" s="6">
        <v>4047</v>
      </c>
      <c r="B5859" s="6">
        <v>28867</v>
      </c>
      <c r="C5859" s="19">
        <v>40746</v>
      </c>
      <c r="D5859" s="6" t="s">
        <v>16</v>
      </c>
      <c r="E5859" s="6">
        <f>IF((ISBLANK($B$1)),"",Sheet1!Q5871)</f>
        <v>4700</v>
      </c>
      <c r="F5859" s="20" t="s">
        <v>27</v>
      </c>
      <c r="G5859" s="53">
        <f t="shared" si="92"/>
        <v>2.9310923128300338E-2</v>
      </c>
      <c r="H5859" s="35"/>
      <c r="P5859" s="6"/>
    </row>
    <row r="5860" spans="1:16" ht="14.4" x14ac:dyDescent="0.25">
      <c r="A5860" s="6">
        <v>4055</v>
      </c>
      <c r="B5860" s="6">
        <v>28899</v>
      </c>
      <c r="C5860" s="19">
        <v>41074</v>
      </c>
      <c r="D5860" s="6" t="s">
        <v>25</v>
      </c>
      <c r="E5860" s="6">
        <f>IF((ISBLANK($B$1)),"",Sheet1!Q5872)</f>
        <v>4750</v>
      </c>
      <c r="F5860" s="20" t="s">
        <v>27</v>
      </c>
      <c r="G5860" s="53">
        <f t="shared" si="92"/>
        <v>9.8358636763777513E-2</v>
      </c>
      <c r="H5860" s="35"/>
      <c r="P5860" s="6"/>
    </row>
    <row r="5861" spans="1:16" ht="14.4" x14ac:dyDescent="0.25">
      <c r="A5861" s="6">
        <v>4264</v>
      </c>
      <c r="B5861" s="6">
        <v>30343</v>
      </c>
      <c r="C5861" s="19">
        <v>41050</v>
      </c>
      <c r="D5861" s="6" t="s">
        <v>30</v>
      </c>
      <c r="E5861" s="6">
        <f>IF((ISBLANK($B$1)),"",Sheet1!Q5873)</f>
        <v>3800</v>
      </c>
      <c r="F5861" s="20" t="s">
        <v>27</v>
      </c>
      <c r="G5861" s="53">
        <f t="shared" si="92"/>
        <v>-1.2135479223102887</v>
      </c>
      <c r="H5861" s="35"/>
      <c r="P5861" s="6"/>
    </row>
    <row r="5862" spans="1:16" ht="14.4" x14ac:dyDescent="0.25">
      <c r="A5862" s="6">
        <v>4303</v>
      </c>
      <c r="B5862" s="6">
        <v>30657</v>
      </c>
      <c r="C5862" s="19">
        <v>40673</v>
      </c>
      <c r="D5862" s="6" t="s">
        <v>17</v>
      </c>
      <c r="E5862" s="6">
        <f>IF((ISBLANK($B$1)),"",Sheet1!Q5874)</f>
        <v>3700</v>
      </c>
      <c r="F5862" s="20" t="s">
        <v>27</v>
      </c>
      <c r="G5862" s="53">
        <f t="shared" si="92"/>
        <v>-1.351643349581243</v>
      </c>
      <c r="H5862" s="35"/>
      <c r="P5862" s="6"/>
    </row>
    <row r="5863" spans="1:16" ht="14.4" x14ac:dyDescent="0.25">
      <c r="A5863" s="6">
        <v>4304</v>
      </c>
      <c r="B5863" s="6">
        <v>30657</v>
      </c>
      <c r="C5863" s="19">
        <v>40673</v>
      </c>
      <c r="D5863" s="6" t="s">
        <v>17</v>
      </c>
      <c r="E5863" s="6">
        <f>IF((ISBLANK($B$1)),"",Sheet1!Q5875)</f>
        <v>3800</v>
      </c>
      <c r="F5863" s="20" t="s">
        <v>27</v>
      </c>
      <c r="G5863" s="53">
        <f t="shared" si="92"/>
        <v>-1.2135479223102887</v>
      </c>
      <c r="H5863" s="35"/>
      <c r="P5863" s="6"/>
    </row>
    <row r="5864" spans="1:16" ht="14.4" x14ac:dyDescent="0.25">
      <c r="A5864" s="6">
        <v>4399</v>
      </c>
      <c r="B5864" s="6">
        <v>31330</v>
      </c>
      <c r="C5864" s="19">
        <v>40330</v>
      </c>
      <c r="D5864" s="6" t="s">
        <v>17</v>
      </c>
      <c r="E5864" s="6">
        <f>IF((ISBLANK($B$1)),"",Sheet1!Q5876)</f>
        <v>3500</v>
      </c>
      <c r="F5864" s="20" t="s">
        <v>26</v>
      </c>
      <c r="G5864" s="53">
        <f t="shared" si="92"/>
        <v>-1.6278342041231517</v>
      </c>
      <c r="H5864" s="35"/>
      <c r="P5864" s="6"/>
    </row>
    <row r="5865" spans="1:16" ht="14.4" x14ac:dyDescent="0.25">
      <c r="A5865" s="6">
        <v>4400</v>
      </c>
      <c r="B5865" s="6">
        <v>31330</v>
      </c>
      <c r="C5865" s="19">
        <v>40330</v>
      </c>
      <c r="D5865" s="6" t="s">
        <v>17</v>
      </c>
      <c r="E5865" s="6">
        <f>IF((ISBLANK($B$1)),"",Sheet1!Q5877)</f>
        <v>5300</v>
      </c>
      <c r="F5865" s="20" t="s">
        <v>26</v>
      </c>
      <c r="G5865" s="53">
        <f t="shared" si="92"/>
        <v>0.85788348675402637</v>
      </c>
      <c r="H5865" s="35"/>
      <c r="P5865" s="6"/>
    </row>
    <row r="5866" spans="1:16" ht="14.4" x14ac:dyDescent="0.25">
      <c r="A5866" s="6">
        <v>4428</v>
      </c>
      <c r="B5866" s="6">
        <v>31556</v>
      </c>
      <c r="C5866" s="19">
        <v>40751</v>
      </c>
      <c r="D5866" s="6" t="s">
        <v>30</v>
      </c>
      <c r="E5866" s="6">
        <f>IF((ISBLANK($B$1)),"",Sheet1!Q5878)</f>
        <v>5150</v>
      </c>
      <c r="F5866" s="20" t="s">
        <v>29</v>
      </c>
      <c r="G5866" s="53">
        <f t="shared" si="92"/>
        <v>0.65074034584759488</v>
      </c>
      <c r="H5866" s="35"/>
      <c r="P5866" s="6"/>
    </row>
    <row r="5867" spans="1:16" ht="14.4" x14ac:dyDescent="0.25">
      <c r="A5867" s="6">
        <v>4441</v>
      </c>
      <c r="B5867" s="6">
        <v>31648</v>
      </c>
      <c r="C5867" s="19">
        <v>40775</v>
      </c>
      <c r="D5867" s="6" t="s">
        <v>17</v>
      </c>
      <c r="E5867" s="6">
        <f>IF((ISBLANK($B$1)),"",Sheet1!Q5879)</f>
        <v>3800</v>
      </c>
      <c r="F5867" s="20" t="s">
        <v>27</v>
      </c>
      <c r="G5867" s="53">
        <f t="shared" si="92"/>
        <v>-1.2135479223102887</v>
      </c>
      <c r="H5867" s="35"/>
      <c r="P5867" s="6"/>
    </row>
    <row r="5868" spans="1:16" ht="14.4" x14ac:dyDescent="0.25">
      <c r="A5868" s="6">
        <v>4442</v>
      </c>
      <c r="B5868" s="6">
        <v>31648</v>
      </c>
      <c r="C5868" s="19">
        <v>40775</v>
      </c>
      <c r="D5868" s="6" t="s">
        <v>17</v>
      </c>
      <c r="E5868" s="6">
        <f>IF((ISBLANK($B$1)),"",Sheet1!Q5880)</f>
        <v>3900</v>
      </c>
      <c r="F5868" s="20" t="s">
        <v>26</v>
      </c>
      <c r="G5868" s="53">
        <f t="shared" si="92"/>
        <v>-1.0754524950393345</v>
      </c>
      <c r="H5868" s="35"/>
      <c r="P5868" s="6"/>
    </row>
    <row r="5869" spans="1:16" ht="14.4" x14ac:dyDescent="0.25">
      <c r="A5869" s="6">
        <v>4510</v>
      </c>
      <c r="B5869" s="6">
        <v>32100</v>
      </c>
      <c r="C5869" s="19">
        <v>41052</v>
      </c>
      <c r="D5869" s="6" t="s">
        <v>16</v>
      </c>
      <c r="E5869" s="6">
        <f>IF((ISBLANK($B$1)),"",Sheet1!Q5881)</f>
        <v>4850</v>
      </c>
      <c r="F5869" s="20" t="s">
        <v>27</v>
      </c>
      <c r="G5869" s="53">
        <f t="shared" si="92"/>
        <v>0.23645406403473185</v>
      </c>
      <c r="H5869" s="35"/>
      <c r="P5869" s="6"/>
    </row>
    <row r="5870" spans="1:16" ht="14.4" x14ac:dyDescent="0.25">
      <c r="A5870" s="6">
        <v>4593</v>
      </c>
      <c r="B5870" s="6">
        <v>32675</v>
      </c>
      <c r="C5870" s="19">
        <v>40120</v>
      </c>
      <c r="D5870" s="6" t="s">
        <v>17</v>
      </c>
      <c r="E5870" s="6">
        <f>IF((ISBLANK($B$1)),"",Sheet1!Q5882)</f>
        <v>4400</v>
      </c>
      <c r="F5870" s="20" t="s">
        <v>29</v>
      </c>
      <c r="G5870" s="53">
        <f t="shared" si="92"/>
        <v>-0.38497535868456267</v>
      </c>
      <c r="H5870" s="35"/>
      <c r="P5870" s="6"/>
    </row>
    <row r="5871" spans="1:16" ht="14.4" x14ac:dyDescent="0.25">
      <c r="A5871" s="6">
        <v>4605</v>
      </c>
      <c r="B5871" s="6">
        <v>32804</v>
      </c>
      <c r="C5871" s="19">
        <v>41161</v>
      </c>
      <c r="D5871" s="6" t="s">
        <v>16</v>
      </c>
      <c r="E5871" s="6">
        <f>IF((ISBLANK($B$1)),"",Sheet1!Q5883)</f>
        <v>5850</v>
      </c>
      <c r="F5871" s="20" t="s">
        <v>26</v>
      </c>
      <c r="G5871" s="53">
        <f t="shared" si="92"/>
        <v>1.6174083367442753</v>
      </c>
      <c r="H5871" s="35"/>
      <c r="P5871" s="6"/>
    </row>
    <row r="5872" spans="1:16" ht="14.4" x14ac:dyDescent="0.25">
      <c r="A5872" s="6">
        <v>4606</v>
      </c>
      <c r="B5872" s="6">
        <v>32804</v>
      </c>
      <c r="C5872" s="19">
        <v>41161</v>
      </c>
      <c r="D5872" s="6" t="s">
        <v>16</v>
      </c>
      <c r="E5872" s="6">
        <f>IF((ISBLANK($B$1)),"",Sheet1!Q5884)</f>
        <v>4400</v>
      </c>
      <c r="F5872" s="20" t="s">
        <v>26</v>
      </c>
      <c r="G5872" s="53">
        <f t="shared" si="92"/>
        <v>-0.38497535868456267</v>
      </c>
      <c r="H5872" s="35"/>
      <c r="P5872" s="6"/>
    </row>
    <row r="5873" spans="1:16" ht="14.4" x14ac:dyDescent="0.25">
      <c r="A5873" s="6">
        <v>4608</v>
      </c>
      <c r="B5873" s="6">
        <v>32806</v>
      </c>
      <c r="C5873" s="19">
        <v>40715</v>
      </c>
      <c r="D5873" s="6" t="s">
        <v>17</v>
      </c>
      <c r="E5873" s="6">
        <f>IF((ISBLANK($B$1)),"",Sheet1!Q5885)</f>
        <v>5800</v>
      </c>
      <c r="F5873" s="20" t="s">
        <v>26</v>
      </c>
      <c r="G5873" s="53">
        <f t="shared" si="92"/>
        <v>1.5483606231087981</v>
      </c>
      <c r="H5873" s="35"/>
      <c r="P5873" s="6"/>
    </row>
    <row r="5874" spans="1:16" ht="14.4" x14ac:dyDescent="0.25">
      <c r="A5874" s="6">
        <v>4609</v>
      </c>
      <c r="B5874" s="6">
        <v>32806</v>
      </c>
      <c r="C5874" s="19">
        <v>40715</v>
      </c>
      <c r="D5874" s="6" t="s">
        <v>17</v>
      </c>
      <c r="E5874" s="6">
        <f>IF((ISBLANK($B$1)),"",Sheet1!Q5886)</f>
        <v>5050</v>
      </c>
      <c r="F5874" s="20" t="s">
        <v>26</v>
      </c>
      <c r="G5874" s="53">
        <f t="shared" si="92"/>
        <v>0.51264491857664052</v>
      </c>
      <c r="H5874" s="35"/>
      <c r="P5874" s="6"/>
    </row>
    <row r="5875" spans="1:16" ht="14.4" x14ac:dyDescent="0.25">
      <c r="A5875" s="6">
        <v>4635</v>
      </c>
      <c r="B5875" s="6">
        <v>32996</v>
      </c>
      <c r="C5875" s="19">
        <v>40529</v>
      </c>
      <c r="D5875" s="6" t="s">
        <v>30</v>
      </c>
      <c r="E5875" s="6">
        <f>IF((ISBLANK($B$1)),"",Sheet1!Q5887)</f>
        <v>4150</v>
      </c>
      <c r="F5875" s="20" t="s">
        <v>29</v>
      </c>
      <c r="G5875" s="53">
        <f t="shared" si="92"/>
        <v>-0.73021392686194853</v>
      </c>
      <c r="H5875" s="35"/>
      <c r="P5875" s="6"/>
    </row>
    <row r="5876" spans="1:16" ht="14.4" x14ac:dyDescent="0.25">
      <c r="A5876" s="6">
        <v>4636</v>
      </c>
      <c r="B5876" s="6">
        <v>32996</v>
      </c>
      <c r="C5876" s="19">
        <v>40529</v>
      </c>
      <c r="D5876" s="6" t="s">
        <v>30</v>
      </c>
      <c r="E5876" s="6">
        <f>IF((ISBLANK($B$1)),"",Sheet1!Q5888)</f>
        <v>3500</v>
      </c>
      <c r="F5876" s="20" t="s">
        <v>27</v>
      </c>
      <c r="G5876" s="53">
        <f t="shared" si="92"/>
        <v>-1.6278342041231517</v>
      </c>
      <c r="H5876" s="35"/>
      <c r="P5876" s="6"/>
    </row>
    <row r="5877" spans="1:16" ht="14.4" x14ac:dyDescent="0.25">
      <c r="A5877" s="6">
        <v>4657</v>
      </c>
      <c r="B5877" s="6">
        <v>33184</v>
      </c>
      <c r="C5877" s="19">
        <v>40952</v>
      </c>
      <c r="D5877" s="6" t="s">
        <v>28</v>
      </c>
      <c r="E5877" s="6">
        <f>IF((ISBLANK($B$1)),"",Sheet1!Q5889)</f>
        <v>5000</v>
      </c>
      <c r="F5877" s="20" t="s">
        <v>26</v>
      </c>
      <c r="G5877" s="53">
        <f t="shared" si="92"/>
        <v>0.44359720494116334</v>
      </c>
      <c r="H5877" s="35"/>
      <c r="P5877" s="6"/>
    </row>
    <row r="5878" spans="1:16" ht="14.4" x14ac:dyDescent="0.25">
      <c r="A5878" s="6">
        <v>4658</v>
      </c>
      <c r="B5878" s="6">
        <v>33184</v>
      </c>
      <c r="C5878" s="19">
        <v>40952</v>
      </c>
      <c r="D5878" s="6" t="s">
        <v>28</v>
      </c>
      <c r="E5878" s="6">
        <f>IF((ISBLANK($B$1)),"",Sheet1!Q5890)</f>
        <v>3450</v>
      </c>
      <c r="F5878" s="20" t="s">
        <v>26</v>
      </c>
      <c r="G5878" s="53">
        <f t="shared" si="92"/>
        <v>-1.696881917758629</v>
      </c>
      <c r="H5878" s="35"/>
      <c r="P5878" s="6"/>
    </row>
    <row r="5879" spans="1:16" ht="14.4" x14ac:dyDescent="0.25">
      <c r="A5879" s="6">
        <v>4742</v>
      </c>
      <c r="B5879" s="6">
        <v>33731</v>
      </c>
      <c r="C5879" s="19">
        <v>41190</v>
      </c>
      <c r="D5879" s="6" t="s">
        <v>17</v>
      </c>
      <c r="E5879" s="6">
        <f>IF((ISBLANK($B$1)),"",Sheet1!Q5891)</f>
        <v>4750</v>
      </c>
      <c r="F5879" s="20" t="s">
        <v>29</v>
      </c>
      <c r="G5879" s="53">
        <f t="shared" si="92"/>
        <v>9.8358636763777513E-2</v>
      </c>
      <c r="H5879" s="35"/>
      <c r="P5879" s="6"/>
    </row>
    <row r="5880" spans="1:16" ht="14.4" x14ac:dyDescent="0.25">
      <c r="A5880" s="6">
        <v>4743</v>
      </c>
      <c r="B5880" s="6">
        <v>33731</v>
      </c>
      <c r="C5880" s="19">
        <v>41190</v>
      </c>
      <c r="D5880" s="6" t="s">
        <v>17</v>
      </c>
      <c r="E5880" s="6">
        <f>IF((ISBLANK($B$1)),"",Sheet1!Q5892)</f>
        <v>5000</v>
      </c>
      <c r="F5880" s="20" t="s">
        <v>26</v>
      </c>
      <c r="G5880" s="53">
        <f t="shared" si="92"/>
        <v>0.44359720494116334</v>
      </c>
      <c r="H5880" s="35"/>
      <c r="P5880" s="6"/>
    </row>
    <row r="5881" spans="1:16" ht="14.4" x14ac:dyDescent="0.25">
      <c r="A5881" s="6">
        <v>4744</v>
      </c>
      <c r="B5881" s="6">
        <v>33731</v>
      </c>
      <c r="C5881" s="19">
        <v>41190</v>
      </c>
      <c r="D5881" s="6" t="s">
        <v>17</v>
      </c>
      <c r="E5881" s="6">
        <f>IF((ISBLANK($B$1)),"",Sheet1!Q5893)</f>
        <v>4000</v>
      </c>
      <c r="F5881" s="20" t="s">
        <v>26</v>
      </c>
      <c r="G5881" s="53">
        <f t="shared" si="92"/>
        <v>-0.93735706776838001</v>
      </c>
      <c r="H5881" s="35"/>
      <c r="P5881" s="6"/>
    </row>
    <row r="5882" spans="1:16" ht="14.4" x14ac:dyDescent="0.25">
      <c r="A5882" s="6">
        <v>4799</v>
      </c>
      <c r="B5882" s="6">
        <v>34112</v>
      </c>
      <c r="C5882" s="19">
        <v>40787</v>
      </c>
      <c r="D5882" s="6" t="s">
        <v>30</v>
      </c>
      <c r="E5882" s="6">
        <f>IF((ISBLANK($B$1)),"",Sheet1!Q5894)</f>
        <v>4050</v>
      </c>
      <c r="F5882" s="20" t="s">
        <v>27</v>
      </c>
      <c r="G5882" s="53">
        <f t="shared" si="92"/>
        <v>-0.86830935413290289</v>
      </c>
      <c r="H5882" s="35"/>
      <c r="P5882" s="6"/>
    </row>
    <row r="5883" spans="1:16" ht="14.4" x14ac:dyDescent="0.25">
      <c r="A5883" s="6">
        <v>4896</v>
      </c>
      <c r="B5883" s="6">
        <v>34849</v>
      </c>
      <c r="C5883" s="19">
        <v>40463</v>
      </c>
      <c r="D5883" s="6" t="s">
        <v>30</v>
      </c>
      <c r="E5883" s="6">
        <f>IF((ISBLANK($B$1)),"",Sheet1!Q5895)</f>
        <v>3550</v>
      </c>
      <c r="F5883" s="20" t="s">
        <v>26</v>
      </c>
      <c r="G5883" s="53">
        <f t="shared" si="92"/>
        <v>-1.5587864904876745</v>
      </c>
      <c r="H5883" s="35"/>
      <c r="P5883" s="6"/>
    </row>
    <row r="5884" spans="1:16" ht="14.4" x14ac:dyDescent="0.25">
      <c r="A5884" s="6">
        <v>4897</v>
      </c>
      <c r="B5884" s="6">
        <v>34849</v>
      </c>
      <c r="C5884" s="19">
        <v>40463</v>
      </c>
      <c r="D5884" s="6" t="s">
        <v>30</v>
      </c>
      <c r="E5884" s="6">
        <f>IF((ISBLANK($B$1)),"",Sheet1!Q5896)</f>
        <v>4500</v>
      </c>
      <c r="F5884" s="20" t="s">
        <v>26</v>
      </c>
      <c r="G5884" s="53">
        <f t="shared" si="92"/>
        <v>-0.24687993141360834</v>
      </c>
      <c r="H5884" s="35"/>
      <c r="P5884" s="6"/>
    </row>
    <row r="5885" spans="1:16" ht="14.4" x14ac:dyDescent="0.25">
      <c r="A5885" s="6">
        <v>4898</v>
      </c>
      <c r="B5885" s="6">
        <v>34849</v>
      </c>
      <c r="C5885" s="19">
        <v>40463</v>
      </c>
      <c r="D5885" s="6" t="s">
        <v>30</v>
      </c>
      <c r="E5885" s="6">
        <f>IF((ISBLANK($B$1)),"",Sheet1!Q5897)</f>
        <v>3550</v>
      </c>
      <c r="F5885" s="20" t="s">
        <v>26</v>
      </c>
      <c r="G5885" s="53">
        <f t="shared" si="92"/>
        <v>-1.5587864904876745</v>
      </c>
      <c r="H5885" s="35"/>
      <c r="P5885" s="6"/>
    </row>
    <row r="5886" spans="1:16" ht="14.4" x14ac:dyDescent="0.25">
      <c r="A5886" s="6">
        <v>5337</v>
      </c>
      <c r="B5886" s="6">
        <v>37923</v>
      </c>
      <c r="C5886" s="19">
        <v>40264</v>
      </c>
      <c r="D5886" s="6" t="s">
        <v>28</v>
      </c>
      <c r="E5886" s="6">
        <f>IF((ISBLANK($B$1)),"",Sheet1!Q5898)</f>
        <v>4850</v>
      </c>
      <c r="F5886" s="20" t="s">
        <v>26</v>
      </c>
      <c r="G5886" s="53">
        <f t="shared" si="92"/>
        <v>0.23645406403473185</v>
      </c>
      <c r="H5886" s="35"/>
      <c r="P5886" s="6"/>
    </row>
    <row r="5887" spans="1:16" ht="14.4" x14ac:dyDescent="0.25">
      <c r="A5887" s="6">
        <v>5376</v>
      </c>
      <c r="B5887" s="6">
        <v>38215</v>
      </c>
      <c r="C5887" s="19">
        <v>40180</v>
      </c>
      <c r="D5887" s="6" t="s">
        <v>30</v>
      </c>
      <c r="E5887" s="6">
        <f>IF((ISBLANK($B$1)),"",Sheet1!Q5899)</f>
        <v>5500</v>
      </c>
      <c r="F5887" s="20" t="s">
        <v>27</v>
      </c>
      <c r="G5887" s="53">
        <f t="shared" si="92"/>
        <v>1.1340743412959351</v>
      </c>
      <c r="H5887" s="35"/>
      <c r="P5887" s="6"/>
    </row>
    <row r="5888" spans="1:16" ht="14.4" x14ac:dyDescent="0.25">
      <c r="A5888" s="6">
        <v>5377</v>
      </c>
      <c r="B5888" s="6">
        <v>38215</v>
      </c>
      <c r="C5888" s="19">
        <v>40180</v>
      </c>
      <c r="D5888" s="6" t="s">
        <v>30</v>
      </c>
      <c r="E5888" s="6">
        <f>IF((ISBLANK($B$1)),"",Sheet1!Q5900)</f>
        <v>5300</v>
      </c>
      <c r="F5888" s="20" t="s">
        <v>26</v>
      </c>
      <c r="G5888" s="53">
        <f t="shared" si="92"/>
        <v>0.85788348675402637</v>
      </c>
      <c r="H5888" s="35"/>
      <c r="P5888" s="6"/>
    </row>
    <row r="5889" spans="1:16" ht="14.4" x14ac:dyDescent="0.25">
      <c r="A5889" s="6">
        <v>5445</v>
      </c>
      <c r="B5889" s="6">
        <v>38659</v>
      </c>
      <c r="C5889" s="19">
        <v>40267</v>
      </c>
      <c r="D5889" s="6" t="s">
        <v>25</v>
      </c>
      <c r="E5889" s="6">
        <f>IF((ISBLANK($B$1)),"",Sheet1!Q5901)</f>
        <v>5800</v>
      </c>
      <c r="F5889" s="20" t="s">
        <v>27</v>
      </c>
      <c r="G5889" s="53">
        <f t="shared" si="92"/>
        <v>1.5483606231087981</v>
      </c>
      <c r="H5889" s="35"/>
      <c r="P5889" s="6"/>
    </row>
    <row r="5890" spans="1:16" ht="14.4" x14ac:dyDescent="0.25">
      <c r="A5890" s="6">
        <v>5446</v>
      </c>
      <c r="B5890" s="6">
        <v>38659</v>
      </c>
      <c r="C5890" s="19">
        <v>40267</v>
      </c>
      <c r="D5890" s="6" t="s">
        <v>25</v>
      </c>
      <c r="E5890" s="6">
        <f>IF((ISBLANK($B$1)),"",Sheet1!Q5902)</f>
        <v>5000</v>
      </c>
      <c r="F5890" s="20" t="s">
        <v>29</v>
      </c>
      <c r="G5890" s="53">
        <f t="shared" si="92"/>
        <v>0.44359720494116334</v>
      </c>
      <c r="H5890" s="35"/>
      <c r="P5890" s="6"/>
    </row>
    <row r="5891" spans="1:16" ht="14.4" x14ac:dyDescent="0.25">
      <c r="A5891" s="6">
        <v>5499</v>
      </c>
      <c r="B5891" s="6">
        <v>38982</v>
      </c>
      <c r="C5891" s="19">
        <v>40011</v>
      </c>
      <c r="D5891" s="6" t="s">
        <v>28</v>
      </c>
      <c r="E5891" s="6">
        <f>IF((ISBLANK($B$1)),"",Sheet1!Q5903)</f>
        <v>5550</v>
      </c>
      <c r="F5891" s="20" t="s">
        <v>27</v>
      </c>
      <c r="G5891" s="53">
        <f t="shared" si="92"/>
        <v>1.2031220549314123</v>
      </c>
      <c r="H5891" s="35"/>
      <c r="P5891" s="6"/>
    </row>
    <row r="5892" spans="1:16" ht="14.4" x14ac:dyDescent="0.25">
      <c r="A5892" s="6">
        <v>5642</v>
      </c>
      <c r="B5892" s="6">
        <v>39908</v>
      </c>
      <c r="C5892" s="19">
        <v>39943</v>
      </c>
      <c r="D5892" s="6" t="s">
        <v>25</v>
      </c>
      <c r="E5892" s="6">
        <f>IF((ISBLANK($B$1)),"",Sheet1!Q5904)</f>
        <v>4550</v>
      </c>
      <c r="F5892" s="20" t="s">
        <v>26</v>
      </c>
      <c r="G5892" s="53">
        <f t="shared" si="92"/>
        <v>-0.17783221777813119</v>
      </c>
      <c r="H5892" s="35"/>
      <c r="P5892" s="6"/>
    </row>
    <row r="5893" spans="1:16" ht="14.4" x14ac:dyDescent="0.25">
      <c r="A5893" s="6">
        <v>5690</v>
      </c>
      <c r="B5893" s="6">
        <v>40225</v>
      </c>
      <c r="C5893" s="19">
        <v>40552</v>
      </c>
      <c r="D5893" s="6" t="s">
        <v>25</v>
      </c>
      <c r="E5893" s="6">
        <f>IF((ISBLANK($B$1)),"",Sheet1!Q5905)</f>
        <v>5900</v>
      </c>
      <c r="F5893" s="20" t="s">
        <v>26</v>
      </c>
      <c r="G5893" s="53">
        <f t="shared" si="92"/>
        <v>1.6864560503797523</v>
      </c>
      <c r="H5893" s="35"/>
      <c r="P5893" s="6"/>
    </row>
    <row r="5894" spans="1:16" ht="14.4" x14ac:dyDescent="0.25">
      <c r="A5894" s="6">
        <v>5691</v>
      </c>
      <c r="B5894" s="6">
        <v>40225</v>
      </c>
      <c r="C5894" s="19">
        <v>40552</v>
      </c>
      <c r="D5894" s="6" t="s">
        <v>25</v>
      </c>
      <c r="E5894" s="6">
        <f>IF((ISBLANK($B$1)),"",Sheet1!Q5906)</f>
        <v>5650</v>
      </c>
      <c r="F5894" s="20" t="s">
        <v>29</v>
      </c>
      <c r="G5894" s="53">
        <f t="shared" si="92"/>
        <v>1.3412174822023666</v>
      </c>
      <c r="H5894" s="35"/>
      <c r="P5894" s="6"/>
    </row>
    <row r="5895" spans="1:16" ht="14.4" x14ac:dyDescent="0.25">
      <c r="A5895" s="6">
        <v>5718</v>
      </c>
      <c r="B5895" s="6">
        <v>40512</v>
      </c>
      <c r="C5895" s="19">
        <v>40438</v>
      </c>
      <c r="D5895" s="6" t="s">
        <v>16</v>
      </c>
      <c r="E5895" s="6">
        <f>IF((ISBLANK($B$1)),"",Sheet1!Q5907)</f>
        <v>5450</v>
      </c>
      <c r="F5895" s="20" t="s">
        <v>26</v>
      </c>
      <c r="G5895" s="53">
        <f t="shared" si="92"/>
        <v>1.0650266276604579</v>
      </c>
      <c r="H5895" s="35"/>
      <c r="P5895" s="6"/>
    </row>
    <row r="5896" spans="1:16" ht="14.4" x14ac:dyDescent="0.25">
      <c r="A5896" s="6">
        <v>5869</v>
      </c>
      <c r="B5896" s="6">
        <v>41636</v>
      </c>
      <c r="C5896" s="19">
        <v>40039</v>
      </c>
      <c r="D5896" s="6" t="s">
        <v>30</v>
      </c>
      <c r="E5896" s="6">
        <f>IF((ISBLANK($B$1)),"",Sheet1!Q5908)</f>
        <v>5750</v>
      </c>
      <c r="F5896" s="20" t="s">
        <v>29</v>
      </c>
      <c r="G5896" s="53">
        <f t="shared" ref="G5896:G5959" si="93">STANDARDIZE(E5896,$L$26,$L$35)</f>
        <v>1.4793129094733208</v>
      </c>
      <c r="H5896" s="35"/>
      <c r="P5896" s="6"/>
    </row>
    <row r="5897" spans="1:16" ht="14.4" x14ac:dyDescent="0.25">
      <c r="A5897" s="6">
        <v>5870</v>
      </c>
      <c r="B5897" s="6">
        <v>41636</v>
      </c>
      <c r="C5897" s="19">
        <v>40039</v>
      </c>
      <c r="D5897" s="6" t="s">
        <v>30</v>
      </c>
      <c r="E5897" s="6">
        <f>IF((ISBLANK($B$1)),"",Sheet1!Q5909)</f>
        <v>4650</v>
      </c>
      <c r="F5897" s="20" t="s">
        <v>26</v>
      </c>
      <c r="G5897" s="53">
        <f t="shared" si="93"/>
        <v>-3.9736790507176829E-2</v>
      </c>
      <c r="H5897" s="35"/>
      <c r="P5897" s="6"/>
    </row>
    <row r="5898" spans="1:16" ht="14.4" x14ac:dyDescent="0.25">
      <c r="A5898" s="6">
        <v>5871</v>
      </c>
      <c r="B5898" s="6">
        <v>41636</v>
      </c>
      <c r="C5898" s="19">
        <v>40039</v>
      </c>
      <c r="D5898" s="6" t="s">
        <v>30</v>
      </c>
      <c r="E5898" s="6">
        <f>IF((ISBLANK($B$1)),"",Sheet1!Q5910)</f>
        <v>4750</v>
      </c>
      <c r="F5898" s="20" t="s">
        <v>27</v>
      </c>
      <c r="G5898" s="53">
        <f t="shared" si="93"/>
        <v>9.8358636763777513E-2</v>
      </c>
      <c r="H5898" s="35"/>
      <c r="P5898" s="6"/>
    </row>
    <row r="5899" spans="1:16" ht="14.4" x14ac:dyDescent="0.25">
      <c r="A5899" s="6">
        <v>5894</v>
      </c>
      <c r="B5899" s="6">
        <v>41799</v>
      </c>
      <c r="C5899" s="19">
        <v>39987</v>
      </c>
      <c r="D5899" s="6" t="s">
        <v>17</v>
      </c>
      <c r="E5899" s="6">
        <f>IF((ISBLANK($B$1)),"",Sheet1!Q5911)</f>
        <v>4450</v>
      </c>
      <c r="F5899" s="20" t="s">
        <v>27</v>
      </c>
      <c r="G5899" s="53">
        <f t="shared" si="93"/>
        <v>-0.31592764504908549</v>
      </c>
      <c r="H5899" s="35"/>
      <c r="P5899" s="6"/>
    </row>
    <row r="5900" spans="1:16" ht="14.4" x14ac:dyDescent="0.25">
      <c r="A5900" s="6">
        <v>5904</v>
      </c>
      <c r="B5900" s="6">
        <v>41857</v>
      </c>
      <c r="C5900" s="19">
        <v>40669</v>
      </c>
      <c r="D5900" s="6" t="s">
        <v>25</v>
      </c>
      <c r="E5900" s="6">
        <f>IF((ISBLANK($B$1)),"",Sheet1!Q5912)</f>
        <v>5650</v>
      </c>
      <c r="F5900" s="20" t="s">
        <v>29</v>
      </c>
      <c r="G5900" s="53">
        <f t="shared" si="93"/>
        <v>1.3412174822023666</v>
      </c>
      <c r="H5900" s="35"/>
      <c r="P5900" s="6"/>
    </row>
    <row r="5901" spans="1:16" ht="14.4" x14ac:dyDescent="0.25">
      <c r="A5901" s="6">
        <v>5970</v>
      </c>
      <c r="B5901" s="6">
        <v>42342</v>
      </c>
      <c r="C5901" s="19">
        <v>40060</v>
      </c>
      <c r="D5901" s="6" t="s">
        <v>28</v>
      </c>
      <c r="E5901" s="6">
        <f>IF((ISBLANK($B$1)),"",Sheet1!Q5913)</f>
        <v>5550</v>
      </c>
      <c r="F5901" s="20" t="s">
        <v>29</v>
      </c>
      <c r="G5901" s="53">
        <f t="shared" si="93"/>
        <v>1.2031220549314123</v>
      </c>
      <c r="H5901" s="35"/>
      <c r="P5901" s="6"/>
    </row>
    <row r="5902" spans="1:16" ht="14.4" x14ac:dyDescent="0.25">
      <c r="A5902" s="6">
        <v>5977</v>
      </c>
      <c r="B5902" s="6">
        <v>42374</v>
      </c>
      <c r="C5902" s="19">
        <v>41107</v>
      </c>
      <c r="D5902" s="6" t="s">
        <v>30</v>
      </c>
      <c r="E5902" s="6">
        <f>IF((ISBLANK($B$1)),"",Sheet1!Q5914)</f>
        <v>4450</v>
      </c>
      <c r="F5902" s="20" t="s">
        <v>27</v>
      </c>
      <c r="G5902" s="53">
        <f t="shared" si="93"/>
        <v>-0.31592764504908549</v>
      </c>
      <c r="H5902" s="35"/>
      <c r="P5902" s="6"/>
    </row>
    <row r="5903" spans="1:16" ht="14.4" x14ac:dyDescent="0.25">
      <c r="A5903" s="6">
        <v>5978</v>
      </c>
      <c r="B5903" s="6">
        <v>42374</v>
      </c>
      <c r="C5903" s="19">
        <v>41107</v>
      </c>
      <c r="D5903" s="6" t="s">
        <v>30</v>
      </c>
      <c r="E5903" s="6">
        <f>IF((ISBLANK($B$1)),"",Sheet1!Q5915)</f>
        <v>5750</v>
      </c>
      <c r="F5903" s="20" t="s">
        <v>26</v>
      </c>
      <c r="G5903" s="53">
        <f t="shared" si="93"/>
        <v>1.4793129094733208</v>
      </c>
      <c r="H5903" s="35"/>
      <c r="P5903" s="6"/>
    </row>
    <row r="5904" spans="1:16" ht="14.4" x14ac:dyDescent="0.25">
      <c r="A5904" s="6">
        <v>5979</v>
      </c>
      <c r="B5904" s="6">
        <v>42374</v>
      </c>
      <c r="C5904" s="19">
        <v>41107</v>
      </c>
      <c r="D5904" s="6" t="s">
        <v>30</v>
      </c>
      <c r="E5904" s="6">
        <f>IF((ISBLANK($B$1)),"",Sheet1!Q5916)</f>
        <v>3950</v>
      </c>
      <c r="F5904" s="20" t="s">
        <v>26</v>
      </c>
      <c r="G5904" s="53">
        <f t="shared" si="93"/>
        <v>-1.0064047814038573</v>
      </c>
      <c r="H5904" s="35"/>
      <c r="P5904" s="6"/>
    </row>
    <row r="5905" spans="1:16" ht="14.4" x14ac:dyDescent="0.25">
      <c r="A5905" s="6">
        <v>6016</v>
      </c>
      <c r="B5905" s="6">
        <v>42631</v>
      </c>
      <c r="C5905" s="19">
        <v>39942</v>
      </c>
      <c r="D5905" s="6" t="s">
        <v>17</v>
      </c>
      <c r="E5905" s="6">
        <f>IF((ISBLANK($B$1)),"",Sheet1!Q5917)</f>
        <v>5450</v>
      </c>
      <c r="F5905" s="20" t="s">
        <v>27</v>
      </c>
      <c r="G5905" s="53">
        <f t="shared" si="93"/>
        <v>1.0650266276604579</v>
      </c>
      <c r="H5905" s="35"/>
      <c r="P5905" s="6"/>
    </row>
    <row r="5906" spans="1:16" ht="14.4" x14ac:dyDescent="0.25">
      <c r="A5906" s="6">
        <v>6017</v>
      </c>
      <c r="B5906" s="6">
        <v>42631</v>
      </c>
      <c r="C5906" s="19">
        <v>39942</v>
      </c>
      <c r="D5906" s="6" t="s">
        <v>17</v>
      </c>
      <c r="E5906" s="6">
        <f>IF((ISBLANK($B$1)),"",Sheet1!Q5918)</f>
        <v>4300</v>
      </c>
      <c r="F5906" s="20" t="s">
        <v>26</v>
      </c>
      <c r="G5906" s="53">
        <f t="shared" si="93"/>
        <v>-0.52307078595551704</v>
      </c>
      <c r="H5906" s="35"/>
      <c r="P5906" s="6"/>
    </row>
    <row r="5907" spans="1:16" ht="14.4" x14ac:dyDescent="0.25">
      <c r="A5907" s="6">
        <v>6018</v>
      </c>
      <c r="B5907" s="6">
        <v>42631</v>
      </c>
      <c r="C5907" s="19">
        <v>39942</v>
      </c>
      <c r="D5907" s="6" t="s">
        <v>17</v>
      </c>
      <c r="E5907" s="6">
        <f>IF((ISBLANK($B$1)),"",Sheet1!Q5919)</f>
        <v>5600</v>
      </c>
      <c r="F5907" s="20" t="s">
        <v>26</v>
      </c>
      <c r="G5907" s="53">
        <f t="shared" si="93"/>
        <v>1.2721697685668893</v>
      </c>
      <c r="H5907" s="35"/>
      <c r="P5907" s="6"/>
    </row>
    <row r="5908" spans="1:16" ht="14.4" x14ac:dyDescent="0.25">
      <c r="A5908" s="6">
        <v>6019</v>
      </c>
      <c r="B5908" s="6">
        <v>42631</v>
      </c>
      <c r="C5908" s="19">
        <v>39942</v>
      </c>
      <c r="D5908" s="6" t="s">
        <v>17</v>
      </c>
      <c r="E5908" s="6">
        <f>IF((ISBLANK($B$1)),"",Sheet1!Q5920)</f>
        <v>4500</v>
      </c>
      <c r="F5908" s="20" t="s">
        <v>27</v>
      </c>
      <c r="G5908" s="53">
        <f t="shared" si="93"/>
        <v>-0.24687993141360834</v>
      </c>
      <c r="H5908" s="35"/>
      <c r="P5908" s="6"/>
    </row>
    <row r="5909" spans="1:16" ht="14.4" x14ac:dyDescent="0.25">
      <c r="A5909" s="6">
        <v>6066</v>
      </c>
      <c r="B5909" s="6">
        <v>42979</v>
      </c>
      <c r="C5909" s="19">
        <v>40664</v>
      </c>
      <c r="D5909" s="6" t="s">
        <v>28</v>
      </c>
      <c r="E5909" s="6">
        <f>IF((ISBLANK($B$1)),"",Sheet1!Q5921)</f>
        <v>4850</v>
      </c>
      <c r="F5909" s="20" t="s">
        <v>29</v>
      </c>
      <c r="G5909" s="53">
        <f t="shared" si="93"/>
        <v>0.23645406403473185</v>
      </c>
      <c r="H5909" s="35"/>
      <c r="P5909" s="6"/>
    </row>
    <row r="5910" spans="1:16" ht="14.4" x14ac:dyDescent="0.25">
      <c r="A5910" s="6">
        <v>6077</v>
      </c>
      <c r="B5910" s="6">
        <v>43045</v>
      </c>
      <c r="C5910" s="19">
        <v>41074</v>
      </c>
      <c r="D5910" s="6" t="s">
        <v>16</v>
      </c>
      <c r="E5910" s="6">
        <f>IF((ISBLANK($B$1)),"",Sheet1!Q5922)</f>
        <v>5750</v>
      </c>
      <c r="F5910" s="20" t="s">
        <v>29</v>
      </c>
      <c r="G5910" s="53">
        <f t="shared" si="93"/>
        <v>1.4793129094733208</v>
      </c>
      <c r="H5910" s="35"/>
      <c r="P5910" s="6"/>
    </row>
    <row r="5911" spans="1:16" ht="14.4" x14ac:dyDescent="0.25">
      <c r="A5911" s="6">
        <v>6078</v>
      </c>
      <c r="B5911" s="6">
        <v>43045</v>
      </c>
      <c r="C5911" s="19">
        <v>41074</v>
      </c>
      <c r="D5911" s="6" t="s">
        <v>16</v>
      </c>
      <c r="E5911" s="6">
        <f>IF((ISBLANK($B$1)),"",Sheet1!Q5923)</f>
        <v>4000</v>
      </c>
      <c r="F5911" s="20" t="s">
        <v>29</v>
      </c>
      <c r="G5911" s="53">
        <f t="shared" si="93"/>
        <v>-0.93735706776838001</v>
      </c>
      <c r="H5911" s="35"/>
      <c r="P5911" s="6"/>
    </row>
    <row r="5912" spans="1:16" ht="14.4" x14ac:dyDescent="0.25">
      <c r="A5912" s="6">
        <v>6085</v>
      </c>
      <c r="B5912" s="6">
        <v>43110</v>
      </c>
      <c r="C5912" s="19">
        <v>40580</v>
      </c>
      <c r="D5912" s="6" t="s">
        <v>17</v>
      </c>
      <c r="E5912" s="6">
        <f>IF((ISBLANK($B$1)),"",Sheet1!Q5924)</f>
        <v>3550</v>
      </c>
      <c r="F5912" s="20" t="s">
        <v>26</v>
      </c>
      <c r="G5912" s="53">
        <f t="shared" si="93"/>
        <v>-1.5587864904876745</v>
      </c>
      <c r="H5912" s="35"/>
      <c r="P5912" s="6"/>
    </row>
    <row r="5913" spans="1:16" ht="14.4" x14ac:dyDescent="0.25">
      <c r="A5913" s="6">
        <v>6086</v>
      </c>
      <c r="B5913" s="6">
        <v>43110</v>
      </c>
      <c r="C5913" s="19">
        <v>40580</v>
      </c>
      <c r="D5913" s="6" t="s">
        <v>17</v>
      </c>
      <c r="E5913" s="6">
        <f>IF((ISBLANK($B$1)),"",Sheet1!Q5925)</f>
        <v>3450</v>
      </c>
      <c r="F5913" s="20" t="s">
        <v>27</v>
      </c>
      <c r="G5913" s="53">
        <f t="shared" si="93"/>
        <v>-1.696881917758629</v>
      </c>
      <c r="H5913" s="35"/>
      <c r="P5913" s="6"/>
    </row>
    <row r="5914" spans="1:16" ht="14.4" x14ac:dyDescent="0.25">
      <c r="A5914" s="6">
        <v>6104</v>
      </c>
      <c r="B5914" s="6">
        <v>43239</v>
      </c>
      <c r="C5914" s="19">
        <v>40618</v>
      </c>
      <c r="D5914" s="6" t="s">
        <v>28</v>
      </c>
      <c r="E5914" s="6">
        <f>IF((ISBLANK($B$1)),"",Sheet1!Q5926)</f>
        <v>4100</v>
      </c>
      <c r="F5914" s="20" t="s">
        <v>26</v>
      </c>
      <c r="G5914" s="53">
        <f t="shared" si="93"/>
        <v>-0.79926164049742576</v>
      </c>
      <c r="H5914" s="35"/>
      <c r="P5914" s="6"/>
    </row>
    <row r="5915" spans="1:16" ht="14.4" x14ac:dyDescent="0.25">
      <c r="A5915" s="6">
        <v>6313</v>
      </c>
      <c r="B5915" s="6">
        <v>44678</v>
      </c>
      <c r="C5915" s="19">
        <v>41195</v>
      </c>
      <c r="D5915" s="6" t="s">
        <v>25</v>
      </c>
      <c r="E5915" s="6">
        <f>IF((ISBLANK($B$1)),"",Sheet1!Q5927)</f>
        <v>5200</v>
      </c>
      <c r="F5915" s="20" t="s">
        <v>29</v>
      </c>
      <c r="G5915" s="53">
        <f t="shared" si="93"/>
        <v>0.71978805948307201</v>
      </c>
      <c r="H5915" s="35"/>
      <c r="P5915" s="6"/>
    </row>
    <row r="5916" spans="1:16" ht="14.4" x14ac:dyDescent="0.25">
      <c r="A5916" s="6">
        <v>6314</v>
      </c>
      <c r="B5916" s="6">
        <v>44678</v>
      </c>
      <c r="C5916" s="19">
        <v>41195</v>
      </c>
      <c r="D5916" s="6" t="s">
        <v>25</v>
      </c>
      <c r="E5916" s="6">
        <f>IF((ISBLANK($B$1)),"",Sheet1!Q5928)</f>
        <v>3600</v>
      </c>
      <c r="F5916" s="20" t="s">
        <v>26</v>
      </c>
      <c r="G5916" s="53">
        <f t="shared" si="93"/>
        <v>-1.4897387768521975</v>
      </c>
      <c r="H5916" s="35"/>
      <c r="P5916" s="6"/>
    </row>
    <row r="5917" spans="1:16" ht="14.4" x14ac:dyDescent="0.25">
      <c r="A5917" s="6">
        <v>6326</v>
      </c>
      <c r="B5917" s="6">
        <v>44805</v>
      </c>
      <c r="C5917" s="19">
        <v>41166</v>
      </c>
      <c r="D5917" s="6" t="s">
        <v>17</v>
      </c>
      <c r="E5917" s="6">
        <f>IF((ISBLANK($B$1)),"",Sheet1!Q5929)</f>
        <v>5400</v>
      </c>
      <c r="F5917" s="20" t="s">
        <v>26</v>
      </c>
      <c r="G5917" s="53">
        <f t="shared" si="93"/>
        <v>0.99597891402498073</v>
      </c>
      <c r="H5917" s="35"/>
      <c r="P5917" s="6"/>
    </row>
    <row r="5918" spans="1:16" ht="14.4" x14ac:dyDescent="0.25">
      <c r="A5918" s="6">
        <v>6335</v>
      </c>
      <c r="B5918" s="6">
        <v>44897</v>
      </c>
      <c r="C5918" s="19">
        <v>40246</v>
      </c>
      <c r="D5918" s="6" t="s">
        <v>17</v>
      </c>
      <c r="E5918" s="6">
        <f>IF((ISBLANK($B$1)),"",Sheet1!Q5930)</f>
        <v>3950</v>
      </c>
      <c r="F5918" s="20" t="s">
        <v>26</v>
      </c>
      <c r="G5918" s="53">
        <f t="shared" si="93"/>
        <v>-1.0064047814038573</v>
      </c>
      <c r="H5918" s="35"/>
      <c r="P5918" s="6"/>
    </row>
    <row r="5919" spans="1:16" ht="14.4" x14ac:dyDescent="0.25">
      <c r="A5919" s="6">
        <v>6610</v>
      </c>
      <c r="B5919" s="6">
        <v>47015</v>
      </c>
      <c r="C5919" s="19">
        <v>40587</v>
      </c>
      <c r="D5919" s="6" t="s">
        <v>28</v>
      </c>
      <c r="E5919" s="6">
        <f>IF((ISBLANK($B$1)),"",Sheet1!Q5931)</f>
        <v>4350</v>
      </c>
      <c r="F5919" s="20" t="s">
        <v>29</v>
      </c>
      <c r="G5919" s="53">
        <f t="shared" si="93"/>
        <v>-0.45402307232003986</v>
      </c>
      <c r="H5919" s="35"/>
      <c r="P5919" s="6"/>
    </row>
    <row r="5920" spans="1:16" ht="14.4" x14ac:dyDescent="0.25">
      <c r="A5920" s="6">
        <v>6636</v>
      </c>
      <c r="B5920" s="6">
        <v>47175</v>
      </c>
      <c r="C5920" s="19">
        <v>40293</v>
      </c>
      <c r="D5920" s="6" t="s">
        <v>28</v>
      </c>
      <c r="E5920" s="6">
        <f>IF((ISBLANK($B$1)),"",Sheet1!Q5932)</f>
        <v>5400</v>
      </c>
      <c r="F5920" s="20" t="s">
        <v>26</v>
      </c>
      <c r="G5920" s="53">
        <f t="shared" si="93"/>
        <v>0.99597891402498073</v>
      </c>
      <c r="H5920" s="35"/>
      <c r="P5920" s="6"/>
    </row>
    <row r="5921" spans="1:16" ht="14.4" x14ac:dyDescent="0.25">
      <c r="A5921" s="6">
        <v>6638</v>
      </c>
      <c r="B5921" s="6">
        <v>47203</v>
      </c>
      <c r="C5921" s="19">
        <v>40165</v>
      </c>
      <c r="D5921" s="6" t="s">
        <v>30</v>
      </c>
      <c r="E5921" s="6">
        <f>IF((ISBLANK($B$1)),"",Sheet1!Q5933)</f>
        <v>3800</v>
      </c>
      <c r="F5921" s="20" t="s">
        <v>27</v>
      </c>
      <c r="G5921" s="53">
        <f t="shared" si="93"/>
        <v>-1.2135479223102887</v>
      </c>
      <c r="H5921" s="35"/>
      <c r="P5921" s="6"/>
    </row>
    <row r="5922" spans="1:16" ht="14.4" x14ac:dyDescent="0.25">
      <c r="A5922" s="6">
        <v>6639</v>
      </c>
      <c r="B5922" s="6">
        <v>47203</v>
      </c>
      <c r="C5922" s="19">
        <v>40165</v>
      </c>
      <c r="D5922" s="6" t="s">
        <v>30</v>
      </c>
      <c r="E5922" s="6">
        <f>IF((ISBLANK($B$1)),"",Sheet1!Q5934)</f>
        <v>5600</v>
      </c>
      <c r="F5922" s="20" t="s">
        <v>26</v>
      </c>
      <c r="G5922" s="53">
        <f t="shared" si="93"/>
        <v>1.2721697685668893</v>
      </c>
      <c r="H5922" s="35"/>
      <c r="P5922" s="6"/>
    </row>
    <row r="5923" spans="1:16" ht="14.4" x14ac:dyDescent="0.25">
      <c r="A5923" s="6">
        <v>6646</v>
      </c>
      <c r="B5923" s="6">
        <v>47270</v>
      </c>
      <c r="C5923" s="19">
        <v>40392</v>
      </c>
      <c r="D5923" s="6" t="s">
        <v>30</v>
      </c>
      <c r="E5923" s="6">
        <f>IF((ISBLANK($B$1)),"",Sheet1!Q5935)</f>
        <v>5400</v>
      </c>
      <c r="F5923" s="20" t="s">
        <v>26</v>
      </c>
      <c r="G5923" s="53">
        <f t="shared" si="93"/>
        <v>0.99597891402498073</v>
      </c>
      <c r="H5923" s="35"/>
      <c r="P5923" s="6"/>
    </row>
    <row r="5924" spans="1:16" ht="14.4" x14ac:dyDescent="0.25">
      <c r="A5924" s="6">
        <v>6647</v>
      </c>
      <c r="B5924" s="6">
        <v>47270</v>
      </c>
      <c r="C5924" s="19">
        <v>40392</v>
      </c>
      <c r="D5924" s="6" t="s">
        <v>30</v>
      </c>
      <c r="E5924" s="6">
        <f>IF((ISBLANK($B$1)),"",Sheet1!Q5936)</f>
        <v>3850</v>
      </c>
      <c r="F5924" s="20" t="s">
        <v>26</v>
      </c>
      <c r="G5924" s="53">
        <f t="shared" si="93"/>
        <v>-1.1445002086748115</v>
      </c>
      <c r="H5924" s="35"/>
      <c r="P5924" s="6"/>
    </row>
    <row r="5925" spans="1:16" ht="14.4" x14ac:dyDescent="0.25">
      <c r="A5925" s="6">
        <v>6648</v>
      </c>
      <c r="B5925" s="6">
        <v>47270</v>
      </c>
      <c r="C5925" s="19">
        <v>40392</v>
      </c>
      <c r="D5925" s="6" t="s">
        <v>30</v>
      </c>
      <c r="E5925" s="6">
        <f>IF((ISBLANK($B$1)),"",Sheet1!Q5937)</f>
        <v>4350</v>
      </c>
      <c r="F5925" s="20" t="s">
        <v>27</v>
      </c>
      <c r="G5925" s="53">
        <f t="shared" si="93"/>
        <v>-0.45402307232003986</v>
      </c>
      <c r="H5925" s="35"/>
      <c r="P5925" s="6"/>
    </row>
    <row r="5926" spans="1:16" ht="14.4" x14ac:dyDescent="0.25">
      <c r="A5926" s="6">
        <v>6680</v>
      </c>
      <c r="B5926" s="6">
        <v>47524</v>
      </c>
      <c r="C5926" s="19">
        <v>40283</v>
      </c>
      <c r="D5926" s="6" t="s">
        <v>16</v>
      </c>
      <c r="E5926" s="6">
        <f>IF((ISBLANK($B$1)),"",Sheet1!Q5938)</f>
        <v>5400</v>
      </c>
      <c r="F5926" s="20" t="s">
        <v>26</v>
      </c>
      <c r="G5926" s="53">
        <f t="shared" si="93"/>
        <v>0.99597891402498073</v>
      </c>
      <c r="H5926" s="35"/>
      <c r="P5926" s="6"/>
    </row>
    <row r="5927" spans="1:16" ht="14.4" x14ac:dyDescent="0.25">
      <c r="A5927" s="6">
        <v>6748</v>
      </c>
      <c r="B5927" s="6">
        <v>48035</v>
      </c>
      <c r="C5927" s="19">
        <v>39903</v>
      </c>
      <c r="D5927" s="6" t="s">
        <v>30</v>
      </c>
      <c r="E5927" s="6">
        <f>IF((ISBLANK($B$1)),"",Sheet1!Q5939)</f>
        <v>3800</v>
      </c>
      <c r="F5927" s="20" t="s">
        <v>27</v>
      </c>
      <c r="G5927" s="53">
        <f t="shared" si="93"/>
        <v>-1.2135479223102887</v>
      </c>
      <c r="H5927" s="35"/>
      <c r="P5927" s="6"/>
    </row>
    <row r="5928" spans="1:16" ht="14.4" x14ac:dyDescent="0.25">
      <c r="A5928" s="6">
        <v>6752</v>
      </c>
      <c r="B5928" s="6">
        <v>48096</v>
      </c>
      <c r="C5928" s="19">
        <v>39976</v>
      </c>
      <c r="D5928" s="6" t="s">
        <v>17</v>
      </c>
      <c r="E5928" s="6">
        <f>IF((ISBLANK($B$1)),"",Sheet1!Q5940)</f>
        <v>3550</v>
      </c>
      <c r="F5928" s="20" t="s">
        <v>26</v>
      </c>
      <c r="G5928" s="53">
        <f t="shared" si="93"/>
        <v>-1.5587864904876745</v>
      </c>
      <c r="H5928" s="35"/>
      <c r="P5928" s="6"/>
    </row>
    <row r="5929" spans="1:16" ht="14.4" x14ac:dyDescent="0.25">
      <c r="A5929" s="6">
        <v>6753</v>
      </c>
      <c r="B5929" s="6">
        <v>48096</v>
      </c>
      <c r="C5929" s="19">
        <v>39976</v>
      </c>
      <c r="D5929" s="6" t="s">
        <v>17</v>
      </c>
      <c r="E5929" s="6">
        <f>IF((ISBLANK($B$1)),"",Sheet1!Q5941)</f>
        <v>4500</v>
      </c>
      <c r="F5929" s="20" t="s">
        <v>26</v>
      </c>
      <c r="G5929" s="53">
        <f t="shared" si="93"/>
        <v>-0.24687993141360834</v>
      </c>
      <c r="H5929" s="35"/>
      <c r="P5929" s="6"/>
    </row>
    <row r="5930" spans="1:16" ht="14.4" x14ac:dyDescent="0.25">
      <c r="A5930" s="6">
        <v>6859</v>
      </c>
      <c r="B5930" s="6">
        <v>48868</v>
      </c>
      <c r="C5930" s="19">
        <v>41073</v>
      </c>
      <c r="D5930" s="6" t="s">
        <v>28</v>
      </c>
      <c r="E5930" s="6">
        <f>IF((ISBLANK($B$1)),"",Sheet1!Q5942)</f>
        <v>5750</v>
      </c>
      <c r="F5930" s="20" t="s">
        <v>26</v>
      </c>
      <c r="G5930" s="53">
        <f t="shared" si="93"/>
        <v>1.4793129094733208</v>
      </c>
      <c r="H5930" s="35"/>
      <c r="P5930" s="6"/>
    </row>
    <row r="5931" spans="1:16" ht="14.4" x14ac:dyDescent="0.25">
      <c r="A5931" s="6">
        <v>6860</v>
      </c>
      <c r="B5931" s="6">
        <v>48868</v>
      </c>
      <c r="C5931" s="19">
        <v>41073</v>
      </c>
      <c r="D5931" s="6" t="s">
        <v>28</v>
      </c>
      <c r="E5931" s="6">
        <f>IF((ISBLANK($B$1)),"",Sheet1!Q5943)</f>
        <v>5550</v>
      </c>
      <c r="F5931" s="20" t="s">
        <v>27</v>
      </c>
      <c r="G5931" s="53">
        <f t="shared" si="93"/>
        <v>1.2031220549314123</v>
      </c>
      <c r="H5931" s="35"/>
      <c r="P5931" s="6"/>
    </row>
    <row r="5932" spans="1:16" ht="14.4" x14ac:dyDescent="0.25">
      <c r="A5932" s="6">
        <v>6955</v>
      </c>
      <c r="B5932" s="6">
        <v>49760</v>
      </c>
      <c r="C5932" s="19">
        <v>40817</v>
      </c>
      <c r="D5932" s="6" t="s">
        <v>16</v>
      </c>
      <c r="E5932" s="6">
        <f>IF((ISBLANK($B$1)),"",Sheet1!Q5944)</f>
        <v>3550</v>
      </c>
      <c r="F5932" s="20" t="s">
        <v>29</v>
      </c>
      <c r="G5932" s="53">
        <f t="shared" si="93"/>
        <v>-1.5587864904876745</v>
      </c>
      <c r="H5932" s="35"/>
      <c r="P5932" s="6"/>
    </row>
    <row r="5933" spans="1:16" ht="14.4" x14ac:dyDescent="0.25">
      <c r="A5933" s="6">
        <v>6956</v>
      </c>
      <c r="B5933" s="6">
        <v>49760</v>
      </c>
      <c r="C5933" s="19">
        <v>40817</v>
      </c>
      <c r="D5933" s="6" t="s">
        <v>16</v>
      </c>
      <c r="E5933" s="6">
        <f>IF((ISBLANK($B$1)),"",Sheet1!Q5945)</f>
        <v>4050</v>
      </c>
      <c r="F5933" s="20" t="s">
        <v>27</v>
      </c>
      <c r="G5933" s="53">
        <f t="shared" si="93"/>
        <v>-0.86830935413290289</v>
      </c>
      <c r="H5933" s="35"/>
      <c r="P5933" s="6"/>
    </row>
    <row r="5934" spans="1:16" ht="14.4" x14ac:dyDescent="0.25">
      <c r="A5934" s="6">
        <v>6957</v>
      </c>
      <c r="B5934" s="6">
        <v>49760</v>
      </c>
      <c r="C5934" s="19">
        <v>40817</v>
      </c>
      <c r="D5934" s="6" t="s">
        <v>16</v>
      </c>
      <c r="E5934" s="6">
        <f>IF((ISBLANK($B$1)),"",Sheet1!Q5946)</f>
        <v>5300</v>
      </c>
      <c r="F5934" s="20" t="s">
        <v>26</v>
      </c>
      <c r="G5934" s="53">
        <f t="shared" si="93"/>
        <v>0.85788348675402637</v>
      </c>
      <c r="H5934" s="35"/>
      <c r="P5934" s="6"/>
    </row>
    <row r="5935" spans="1:16" ht="14.4" x14ac:dyDescent="0.25">
      <c r="A5935" s="6">
        <v>6975</v>
      </c>
      <c r="B5935" s="6">
        <v>49830</v>
      </c>
      <c r="C5935" s="19">
        <v>40003</v>
      </c>
      <c r="D5935" s="6" t="s">
        <v>30</v>
      </c>
      <c r="E5935" s="6">
        <f>IF((ISBLANK($B$1)),"",Sheet1!Q5947)</f>
        <v>4950</v>
      </c>
      <c r="F5935" s="20" t="s">
        <v>26</v>
      </c>
      <c r="G5935" s="53">
        <f t="shared" si="93"/>
        <v>0.37454949130568621</v>
      </c>
      <c r="H5935" s="35"/>
      <c r="P5935" s="6"/>
    </row>
    <row r="5936" spans="1:16" ht="14.4" x14ac:dyDescent="0.25">
      <c r="A5936" s="6">
        <v>7027</v>
      </c>
      <c r="B5936" s="6">
        <v>50147</v>
      </c>
      <c r="C5936" s="19">
        <v>40094</v>
      </c>
      <c r="D5936" s="6" t="s">
        <v>16</v>
      </c>
      <c r="E5936" s="6">
        <f>IF((ISBLANK($B$1)),"",Sheet1!Q5948)</f>
        <v>5500</v>
      </c>
      <c r="F5936" s="20" t="s">
        <v>26</v>
      </c>
      <c r="G5936" s="53">
        <f t="shared" si="93"/>
        <v>1.1340743412959351</v>
      </c>
      <c r="H5936" s="35"/>
      <c r="P5936" s="6"/>
    </row>
    <row r="5937" spans="1:16" ht="14.4" x14ac:dyDescent="0.25">
      <c r="A5937" s="6">
        <v>7028</v>
      </c>
      <c r="B5937" s="6">
        <v>50147</v>
      </c>
      <c r="C5937" s="19">
        <v>40094</v>
      </c>
      <c r="D5937" s="6" t="s">
        <v>16</v>
      </c>
      <c r="E5937" s="6">
        <f>IF((ISBLANK($B$1)),"",Sheet1!Q5949)</f>
        <v>4050</v>
      </c>
      <c r="F5937" s="20" t="s">
        <v>26</v>
      </c>
      <c r="G5937" s="53">
        <f t="shared" si="93"/>
        <v>-0.86830935413290289</v>
      </c>
      <c r="H5937" s="35"/>
      <c r="P5937" s="6"/>
    </row>
    <row r="5938" spans="1:16" ht="14.4" x14ac:dyDescent="0.25">
      <c r="A5938" s="6">
        <v>7044</v>
      </c>
      <c r="B5938" s="6">
        <v>50304</v>
      </c>
      <c r="C5938" s="19">
        <v>40209</v>
      </c>
      <c r="D5938" s="6" t="s">
        <v>30</v>
      </c>
      <c r="E5938" s="6">
        <f>IF((ISBLANK($B$1)),"",Sheet1!Q5950)</f>
        <v>4500</v>
      </c>
      <c r="F5938" s="20" t="s">
        <v>26</v>
      </c>
      <c r="G5938" s="53">
        <f t="shared" si="93"/>
        <v>-0.24687993141360834</v>
      </c>
      <c r="H5938" s="35"/>
      <c r="P5938" s="6"/>
    </row>
    <row r="5939" spans="1:16" ht="14.4" x14ac:dyDescent="0.25">
      <c r="A5939" s="6">
        <v>7045</v>
      </c>
      <c r="B5939" s="6">
        <v>50304</v>
      </c>
      <c r="C5939" s="19">
        <v>40209</v>
      </c>
      <c r="D5939" s="6" t="s">
        <v>30</v>
      </c>
      <c r="E5939" s="6">
        <f>IF((ISBLANK($B$1)),"",Sheet1!Q5951)</f>
        <v>3550</v>
      </c>
      <c r="F5939" s="20" t="s">
        <v>29</v>
      </c>
      <c r="G5939" s="53">
        <f t="shared" si="93"/>
        <v>-1.5587864904876745</v>
      </c>
      <c r="H5939" s="35"/>
      <c r="P5939" s="6"/>
    </row>
    <row r="5940" spans="1:16" ht="14.4" x14ac:dyDescent="0.25">
      <c r="A5940" s="6">
        <v>7112</v>
      </c>
      <c r="B5940" s="6">
        <v>50756</v>
      </c>
      <c r="C5940" s="19">
        <v>40430</v>
      </c>
      <c r="D5940" s="6" t="s">
        <v>28</v>
      </c>
      <c r="E5940" s="6">
        <f>IF((ISBLANK($B$1)),"",Sheet1!Q5952)</f>
        <v>4350</v>
      </c>
      <c r="F5940" s="20" t="s">
        <v>27</v>
      </c>
      <c r="G5940" s="53">
        <f t="shared" si="93"/>
        <v>-0.45402307232003986</v>
      </c>
      <c r="H5940" s="35"/>
      <c r="P5940" s="6"/>
    </row>
    <row r="5941" spans="1:16" ht="14.4" x14ac:dyDescent="0.25">
      <c r="A5941" s="6">
        <v>7113</v>
      </c>
      <c r="B5941" s="6">
        <v>50756</v>
      </c>
      <c r="C5941" s="19">
        <v>40430</v>
      </c>
      <c r="D5941" s="6" t="s">
        <v>28</v>
      </c>
      <c r="E5941" s="6">
        <f>IF((ISBLANK($B$1)),"",Sheet1!Q5953)</f>
        <v>3500</v>
      </c>
      <c r="F5941" s="20" t="s">
        <v>26</v>
      </c>
      <c r="G5941" s="53">
        <f t="shared" si="93"/>
        <v>-1.6278342041231517</v>
      </c>
      <c r="H5941" s="35"/>
      <c r="P5941" s="6"/>
    </row>
    <row r="5942" spans="1:16" ht="14.4" x14ac:dyDescent="0.25">
      <c r="A5942" s="6">
        <v>7173</v>
      </c>
      <c r="B5942" s="6">
        <v>51201</v>
      </c>
      <c r="C5942" s="19">
        <v>40893</v>
      </c>
      <c r="D5942" s="6" t="s">
        <v>17</v>
      </c>
      <c r="E5942" s="6">
        <f>IF((ISBLANK($B$1)),"",Sheet1!Q5954)</f>
        <v>5500</v>
      </c>
      <c r="F5942" s="20" t="s">
        <v>26</v>
      </c>
      <c r="G5942" s="53">
        <f t="shared" si="93"/>
        <v>1.1340743412959351</v>
      </c>
      <c r="H5942" s="35"/>
      <c r="P5942" s="6"/>
    </row>
    <row r="5943" spans="1:16" ht="14.4" x14ac:dyDescent="0.25">
      <c r="A5943" s="6">
        <v>7227</v>
      </c>
      <c r="B5943" s="6">
        <v>51554</v>
      </c>
      <c r="C5943" s="19">
        <v>39898</v>
      </c>
      <c r="D5943" s="6" t="s">
        <v>16</v>
      </c>
      <c r="E5943" s="6">
        <f>IF((ISBLANK($B$1)),"",Sheet1!Q5955)</f>
        <v>3750</v>
      </c>
      <c r="F5943" s="20" t="s">
        <v>26</v>
      </c>
      <c r="G5943" s="53">
        <f t="shared" si="93"/>
        <v>-1.282595635945766</v>
      </c>
      <c r="H5943" s="35"/>
      <c r="P5943" s="6"/>
    </row>
    <row r="5944" spans="1:16" ht="14.4" x14ac:dyDescent="0.25">
      <c r="A5944" s="6">
        <v>7228</v>
      </c>
      <c r="B5944" s="6">
        <v>51554</v>
      </c>
      <c r="C5944" s="19">
        <v>39898</v>
      </c>
      <c r="D5944" s="6" t="s">
        <v>16</v>
      </c>
      <c r="E5944" s="6">
        <f>IF((ISBLANK($B$1)),"",Sheet1!Q5956)</f>
        <v>4850</v>
      </c>
      <c r="F5944" s="20" t="s">
        <v>26</v>
      </c>
      <c r="G5944" s="53">
        <f t="shared" si="93"/>
        <v>0.23645406403473185</v>
      </c>
      <c r="H5944" s="35"/>
      <c r="P5944" s="6"/>
    </row>
    <row r="5945" spans="1:16" ht="14.4" x14ac:dyDescent="0.25">
      <c r="A5945" s="6">
        <v>7325</v>
      </c>
      <c r="B5945" s="6">
        <v>52197</v>
      </c>
      <c r="C5945" s="19">
        <v>41125</v>
      </c>
      <c r="D5945" s="6" t="s">
        <v>30</v>
      </c>
      <c r="E5945" s="6">
        <f>IF((ISBLANK($B$1)),"",Sheet1!Q5957)</f>
        <v>4550</v>
      </c>
      <c r="F5945" s="20" t="s">
        <v>26</v>
      </c>
      <c r="G5945" s="53">
        <f t="shared" si="93"/>
        <v>-0.17783221777813119</v>
      </c>
      <c r="H5945" s="35"/>
      <c r="P5945" s="6"/>
    </row>
    <row r="5946" spans="1:16" ht="14.4" x14ac:dyDescent="0.25">
      <c r="A5946" s="6">
        <v>7326</v>
      </c>
      <c r="B5946" s="6">
        <v>52197</v>
      </c>
      <c r="C5946" s="19">
        <v>41125</v>
      </c>
      <c r="D5946" s="6" t="s">
        <v>30</v>
      </c>
      <c r="E5946" s="6">
        <f>IF((ISBLANK($B$1)),"",Sheet1!Q5958)</f>
        <v>3700</v>
      </c>
      <c r="F5946" s="20" t="s">
        <v>26</v>
      </c>
      <c r="G5946" s="53">
        <f t="shared" si="93"/>
        <v>-1.351643349581243</v>
      </c>
      <c r="H5946" s="35"/>
      <c r="P5946" s="6"/>
    </row>
    <row r="5947" spans="1:16" ht="14.4" x14ac:dyDescent="0.25">
      <c r="A5947" s="6">
        <v>7380</v>
      </c>
      <c r="B5947" s="6">
        <v>52615</v>
      </c>
      <c r="C5947" s="19">
        <v>40105</v>
      </c>
      <c r="D5947" s="6" t="s">
        <v>25</v>
      </c>
      <c r="E5947" s="6">
        <f>IF((ISBLANK($B$1)),"",Sheet1!Q5959)</f>
        <v>3600</v>
      </c>
      <c r="F5947" s="20" t="s">
        <v>26</v>
      </c>
      <c r="G5947" s="53">
        <f t="shared" si="93"/>
        <v>-1.4897387768521975</v>
      </c>
      <c r="H5947" s="35"/>
      <c r="P5947" s="6"/>
    </row>
    <row r="5948" spans="1:16" ht="14.4" x14ac:dyDescent="0.25">
      <c r="A5948" s="6">
        <v>7381</v>
      </c>
      <c r="B5948" s="6">
        <v>52615</v>
      </c>
      <c r="C5948" s="19">
        <v>40105</v>
      </c>
      <c r="D5948" s="6" t="s">
        <v>25</v>
      </c>
      <c r="E5948" s="6">
        <f>IF((ISBLANK($B$1)),"",Sheet1!Q5960)</f>
        <v>4300</v>
      </c>
      <c r="F5948" s="20" t="s">
        <v>26</v>
      </c>
      <c r="G5948" s="53">
        <f t="shared" si="93"/>
        <v>-0.52307078595551704</v>
      </c>
      <c r="H5948" s="35"/>
      <c r="P5948" s="6"/>
    </row>
    <row r="5949" spans="1:16" ht="14.4" x14ac:dyDescent="0.25">
      <c r="A5949" s="6">
        <v>7395</v>
      </c>
      <c r="B5949" s="6">
        <v>52678</v>
      </c>
      <c r="C5949" s="19">
        <v>41119</v>
      </c>
      <c r="D5949" s="6" t="s">
        <v>17</v>
      </c>
      <c r="E5949" s="6">
        <f>IF((ISBLANK($B$1)),"",Sheet1!Q5961)</f>
        <v>3550</v>
      </c>
      <c r="F5949" s="20" t="s">
        <v>26</v>
      </c>
      <c r="G5949" s="53">
        <f t="shared" si="93"/>
        <v>-1.5587864904876745</v>
      </c>
      <c r="H5949" s="35"/>
      <c r="P5949" s="6"/>
    </row>
    <row r="5950" spans="1:16" ht="14.4" x14ac:dyDescent="0.25">
      <c r="A5950" s="6">
        <v>7770</v>
      </c>
      <c r="B5950" s="6">
        <v>55621</v>
      </c>
      <c r="C5950" s="19">
        <v>40617</v>
      </c>
      <c r="D5950" s="6" t="s">
        <v>25</v>
      </c>
      <c r="E5950" s="6">
        <f>IF((ISBLANK($B$1)),"",Sheet1!Q5962)</f>
        <v>5900</v>
      </c>
      <c r="F5950" s="20" t="s">
        <v>29</v>
      </c>
      <c r="G5950" s="53">
        <f t="shared" si="93"/>
        <v>1.6864560503797523</v>
      </c>
      <c r="H5950" s="35"/>
      <c r="P5950" s="6"/>
    </row>
    <row r="5951" spans="1:16" ht="14.4" x14ac:dyDescent="0.25">
      <c r="A5951" s="6">
        <v>7771</v>
      </c>
      <c r="B5951" s="6">
        <v>55621</v>
      </c>
      <c r="C5951" s="19">
        <v>40617</v>
      </c>
      <c r="D5951" s="6" t="s">
        <v>25</v>
      </c>
      <c r="E5951" s="6">
        <f>IF((ISBLANK($B$1)),"",Sheet1!Q5963)</f>
        <v>5750</v>
      </c>
      <c r="F5951" s="20" t="s">
        <v>26</v>
      </c>
      <c r="G5951" s="53">
        <f t="shared" si="93"/>
        <v>1.4793129094733208</v>
      </c>
      <c r="H5951" s="35"/>
      <c r="P5951" s="6"/>
    </row>
    <row r="5952" spans="1:16" ht="14.4" x14ac:dyDescent="0.25">
      <c r="A5952" s="6">
        <v>7891</v>
      </c>
      <c r="B5952" s="6">
        <v>56423</v>
      </c>
      <c r="C5952" s="19">
        <v>40902</v>
      </c>
      <c r="D5952" s="6" t="s">
        <v>28</v>
      </c>
      <c r="E5952" s="6">
        <f>IF((ISBLANK($B$1)),"",Sheet1!Q5964)</f>
        <v>5450</v>
      </c>
      <c r="F5952" s="20" t="s">
        <v>26</v>
      </c>
      <c r="G5952" s="53">
        <f t="shared" si="93"/>
        <v>1.0650266276604579</v>
      </c>
      <c r="H5952" s="35"/>
      <c r="P5952" s="6"/>
    </row>
    <row r="5953" spans="1:16" ht="14.4" x14ac:dyDescent="0.25">
      <c r="A5953" s="6">
        <v>7892</v>
      </c>
      <c r="B5953" s="6">
        <v>56423</v>
      </c>
      <c r="C5953" s="19">
        <v>40902</v>
      </c>
      <c r="D5953" s="6" t="s">
        <v>28</v>
      </c>
      <c r="E5953" s="6">
        <f>IF((ISBLANK($B$1)),"",Sheet1!Q5965)</f>
        <v>3600</v>
      </c>
      <c r="F5953" s="20" t="s">
        <v>26</v>
      </c>
      <c r="G5953" s="53">
        <f t="shared" si="93"/>
        <v>-1.4897387768521975</v>
      </c>
      <c r="H5953" s="35"/>
      <c r="P5953" s="6"/>
    </row>
    <row r="5954" spans="1:16" ht="14.4" x14ac:dyDescent="0.25">
      <c r="A5954" s="6">
        <v>7923</v>
      </c>
      <c r="B5954" s="6">
        <v>56644</v>
      </c>
      <c r="C5954" s="19">
        <v>41241</v>
      </c>
      <c r="D5954" s="6" t="s">
        <v>28</v>
      </c>
      <c r="E5954" s="6">
        <f>IF((ISBLANK($B$1)),"",Sheet1!Q5966)</f>
        <v>5200</v>
      </c>
      <c r="F5954" s="20" t="s">
        <v>26</v>
      </c>
      <c r="G5954" s="53">
        <f t="shared" si="93"/>
        <v>0.71978805948307201</v>
      </c>
      <c r="H5954" s="35"/>
      <c r="P5954" s="6"/>
    </row>
    <row r="5955" spans="1:16" ht="14.4" x14ac:dyDescent="0.25">
      <c r="A5955" s="6">
        <v>8016</v>
      </c>
      <c r="B5955" s="6">
        <v>57280</v>
      </c>
      <c r="C5955" s="19">
        <v>40939</v>
      </c>
      <c r="D5955" s="6" t="s">
        <v>16</v>
      </c>
      <c r="E5955" s="6">
        <f>IF((ISBLANK($B$1)),"",Sheet1!Q5967)</f>
        <v>5600</v>
      </c>
      <c r="F5955" s="20" t="s">
        <v>26</v>
      </c>
      <c r="G5955" s="53">
        <f t="shared" si="93"/>
        <v>1.2721697685668893</v>
      </c>
      <c r="H5955" s="35"/>
      <c r="P5955" s="6"/>
    </row>
    <row r="5956" spans="1:16" ht="14.4" x14ac:dyDescent="0.25">
      <c r="A5956" s="6">
        <v>8052</v>
      </c>
      <c r="B5956" s="6">
        <v>57478</v>
      </c>
      <c r="C5956" s="19">
        <v>40454</v>
      </c>
      <c r="D5956" s="6" t="s">
        <v>30</v>
      </c>
      <c r="E5956" s="6">
        <f>IF((ISBLANK($B$1)),"",Sheet1!Q5968)</f>
        <v>5200</v>
      </c>
      <c r="F5956" s="20" t="s">
        <v>26</v>
      </c>
      <c r="G5956" s="53">
        <f t="shared" si="93"/>
        <v>0.71978805948307201</v>
      </c>
      <c r="H5956" s="35"/>
      <c r="P5956" s="6"/>
    </row>
    <row r="5957" spans="1:16" ht="14.4" x14ac:dyDescent="0.25">
      <c r="A5957" s="6">
        <v>8059</v>
      </c>
      <c r="B5957" s="6">
        <v>57510</v>
      </c>
      <c r="C5957" s="19">
        <v>40887</v>
      </c>
      <c r="D5957" s="6" t="s">
        <v>28</v>
      </c>
      <c r="E5957" s="6">
        <f>IF((ISBLANK($B$1)),"",Sheet1!Q5969)</f>
        <v>3700</v>
      </c>
      <c r="F5957" s="20" t="s">
        <v>26</v>
      </c>
      <c r="G5957" s="53">
        <f t="shared" si="93"/>
        <v>-1.351643349581243</v>
      </c>
      <c r="H5957" s="35"/>
      <c r="P5957" s="6"/>
    </row>
    <row r="5958" spans="1:16" ht="14.4" x14ac:dyDescent="0.25">
      <c r="A5958" s="6">
        <v>8098</v>
      </c>
      <c r="B5958" s="6">
        <v>57767</v>
      </c>
      <c r="C5958" s="19">
        <v>41010</v>
      </c>
      <c r="D5958" s="6" t="s">
        <v>30</v>
      </c>
      <c r="E5958" s="6">
        <f>IF((ISBLANK($B$1)),"",Sheet1!Q5970)</f>
        <v>5100</v>
      </c>
      <c r="F5958" s="20" t="s">
        <v>27</v>
      </c>
      <c r="G5958" s="53">
        <f t="shared" si="93"/>
        <v>0.58169263221211776</v>
      </c>
      <c r="H5958" s="35"/>
      <c r="P5958" s="6"/>
    </row>
    <row r="5959" spans="1:16" ht="14.4" x14ac:dyDescent="0.25">
      <c r="A5959" s="6">
        <v>8101</v>
      </c>
      <c r="B5959" s="6">
        <v>57799</v>
      </c>
      <c r="C5959" s="19">
        <v>40786</v>
      </c>
      <c r="D5959" s="6" t="s">
        <v>17</v>
      </c>
      <c r="E5959" s="6">
        <f>IF((ISBLANK($B$1)),"",Sheet1!Q5971)</f>
        <v>4650</v>
      </c>
      <c r="F5959" s="20" t="s">
        <v>27</v>
      </c>
      <c r="G5959" s="53">
        <f t="shared" si="93"/>
        <v>-3.9736790507176829E-2</v>
      </c>
      <c r="H5959" s="35"/>
      <c r="P5959" s="6"/>
    </row>
    <row r="5960" spans="1:16" ht="14.4" x14ac:dyDescent="0.25">
      <c r="A5960" s="6">
        <v>8192</v>
      </c>
      <c r="B5960" s="6">
        <v>58595</v>
      </c>
      <c r="C5960" s="19">
        <v>40419</v>
      </c>
      <c r="D5960" s="6" t="s">
        <v>17</v>
      </c>
      <c r="E5960" s="6">
        <f>IF((ISBLANK($B$1)),"",Sheet1!Q5972)</f>
        <v>5450</v>
      </c>
      <c r="F5960" s="20" t="s">
        <v>29</v>
      </c>
      <c r="G5960" s="53">
        <f t="shared" ref="G5960:G6023" si="94">STANDARDIZE(E5960,$L$26,$L$35)</f>
        <v>1.0650266276604579</v>
      </c>
      <c r="H5960" s="35"/>
      <c r="P5960" s="6"/>
    </row>
    <row r="5961" spans="1:16" ht="14.4" x14ac:dyDescent="0.25">
      <c r="A5961" s="6">
        <v>8217</v>
      </c>
      <c r="B5961" s="6">
        <v>58755</v>
      </c>
      <c r="C5961" s="19">
        <v>40880</v>
      </c>
      <c r="D5961" s="6" t="s">
        <v>25</v>
      </c>
      <c r="E5961" s="6">
        <f>IF((ISBLANK($B$1)),"",Sheet1!Q5973)</f>
        <v>3750</v>
      </c>
      <c r="F5961" s="20" t="s">
        <v>26</v>
      </c>
      <c r="G5961" s="53">
        <f t="shared" si="94"/>
        <v>-1.282595635945766</v>
      </c>
      <c r="H5961" s="35"/>
      <c r="P5961" s="6"/>
    </row>
    <row r="5962" spans="1:16" ht="14.4" x14ac:dyDescent="0.25">
      <c r="A5962" s="6">
        <v>8218</v>
      </c>
      <c r="B5962" s="6">
        <v>58755</v>
      </c>
      <c r="C5962" s="19">
        <v>40880</v>
      </c>
      <c r="D5962" s="6" t="s">
        <v>25</v>
      </c>
      <c r="E5962" s="6">
        <f>IF((ISBLANK($B$1)),"",Sheet1!Q5974)</f>
        <v>4300</v>
      </c>
      <c r="F5962" s="20" t="s">
        <v>26</v>
      </c>
      <c r="G5962" s="53">
        <f t="shared" si="94"/>
        <v>-0.52307078595551704</v>
      </c>
      <c r="H5962" s="35"/>
      <c r="P5962" s="6"/>
    </row>
    <row r="5963" spans="1:16" ht="14.4" x14ac:dyDescent="0.25">
      <c r="A5963" s="6">
        <v>8250</v>
      </c>
      <c r="B5963" s="6">
        <v>59008</v>
      </c>
      <c r="C5963" s="19">
        <v>40450</v>
      </c>
      <c r="D5963" s="6" t="s">
        <v>30</v>
      </c>
      <c r="E5963" s="6">
        <f>IF((ISBLANK($B$1)),"",Sheet1!Q5975)</f>
        <v>5350</v>
      </c>
      <c r="F5963" s="20" t="s">
        <v>27</v>
      </c>
      <c r="G5963" s="53">
        <f t="shared" si="94"/>
        <v>0.92693120038950361</v>
      </c>
      <c r="H5963" s="35"/>
      <c r="P5963" s="6"/>
    </row>
    <row r="5964" spans="1:16" ht="14.4" x14ac:dyDescent="0.25">
      <c r="A5964" s="6">
        <v>8287</v>
      </c>
      <c r="B5964" s="6">
        <v>59205</v>
      </c>
      <c r="C5964" s="19">
        <v>40847</v>
      </c>
      <c r="D5964" s="6" t="s">
        <v>30</v>
      </c>
      <c r="E5964" s="6">
        <f>IF((ISBLANK($B$1)),"",Sheet1!Q5976)</f>
        <v>3950</v>
      </c>
      <c r="F5964" s="20" t="s">
        <v>26</v>
      </c>
      <c r="G5964" s="53">
        <f t="shared" si="94"/>
        <v>-1.0064047814038573</v>
      </c>
      <c r="H5964" s="35"/>
      <c r="P5964" s="6"/>
    </row>
    <row r="5965" spans="1:16" ht="14.4" x14ac:dyDescent="0.25">
      <c r="A5965" s="6">
        <v>8288</v>
      </c>
      <c r="B5965" s="6">
        <v>59205</v>
      </c>
      <c r="C5965" s="19">
        <v>40847</v>
      </c>
      <c r="D5965" s="6" t="s">
        <v>30</v>
      </c>
      <c r="E5965" s="6">
        <f>IF((ISBLANK($B$1)),"",Sheet1!Q5977)</f>
        <v>5150</v>
      </c>
      <c r="F5965" s="20" t="s">
        <v>26</v>
      </c>
      <c r="G5965" s="53">
        <f t="shared" si="94"/>
        <v>0.65074034584759488</v>
      </c>
      <c r="H5965" s="35"/>
      <c r="P5965" s="6"/>
    </row>
    <row r="5966" spans="1:16" ht="14.4" x14ac:dyDescent="0.25">
      <c r="A5966" s="6">
        <v>8322</v>
      </c>
      <c r="B5966" s="6">
        <v>59491</v>
      </c>
      <c r="C5966" s="19">
        <v>40992</v>
      </c>
      <c r="D5966" s="6" t="s">
        <v>17</v>
      </c>
      <c r="E5966" s="6">
        <f>IF((ISBLANK($B$1)),"",Sheet1!Q5978)</f>
        <v>3800</v>
      </c>
      <c r="F5966" s="20" t="s">
        <v>26</v>
      </c>
      <c r="G5966" s="53">
        <f t="shared" si="94"/>
        <v>-1.2135479223102887</v>
      </c>
      <c r="H5966" s="35"/>
      <c r="P5966" s="6"/>
    </row>
    <row r="5967" spans="1:16" ht="14.4" x14ac:dyDescent="0.25">
      <c r="A5967" s="6">
        <v>8323</v>
      </c>
      <c r="B5967" s="6">
        <v>59491</v>
      </c>
      <c r="C5967" s="19">
        <v>40992</v>
      </c>
      <c r="D5967" s="6" t="s">
        <v>17</v>
      </c>
      <c r="E5967" s="6">
        <f>IF((ISBLANK($B$1)),"",Sheet1!Q5979)</f>
        <v>3700</v>
      </c>
      <c r="F5967" s="20" t="s">
        <v>26</v>
      </c>
      <c r="G5967" s="53">
        <f t="shared" si="94"/>
        <v>-1.351643349581243</v>
      </c>
      <c r="H5967" s="35"/>
      <c r="P5967" s="6"/>
    </row>
    <row r="5968" spans="1:16" ht="14.4" x14ac:dyDescent="0.25">
      <c r="A5968" s="6">
        <v>8324</v>
      </c>
      <c r="B5968" s="6">
        <v>59491</v>
      </c>
      <c r="C5968" s="19">
        <v>40992</v>
      </c>
      <c r="D5968" s="6" t="s">
        <v>17</v>
      </c>
      <c r="E5968" s="6">
        <f>IF((ISBLANK($B$1)),"",Sheet1!Q5980)</f>
        <v>5700</v>
      </c>
      <c r="F5968" s="20" t="s">
        <v>29</v>
      </c>
      <c r="G5968" s="53">
        <f t="shared" si="94"/>
        <v>1.4102651958378438</v>
      </c>
      <c r="H5968" s="35"/>
      <c r="P5968" s="6"/>
    </row>
    <row r="5969" spans="1:16" ht="14.4" x14ac:dyDescent="0.25">
      <c r="A5969" s="6">
        <v>8361</v>
      </c>
      <c r="B5969" s="6">
        <v>59776</v>
      </c>
      <c r="C5969" s="19">
        <v>39881</v>
      </c>
      <c r="D5969" s="6" t="s">
        <v>25</v>
      </c>
      <c r="E5969" s="6">
        <f>IF((ISBLANK($B$1)),"",Sheet1!Q5981)</f>
        <v>5150</v>
      </c>
      <c r="F5969" s="20" t="s">
        <v>26</v>
      </c>
      <c r="G5969" s="53">
        <f t="shared" si="94"/>
        <v>0.65074034584759488</v>
      </c>
      <c r="H5969" s="35"/>
      <c r="P5969" s="6"/>
    </row>
    <row r="5970" spans="1:16" ht="14.4" x14ac:dyDescent="0.25">
      <c r="A5970" s="6">
        <v>8362</v>
      </c>
      <c r="B5970" s="6">
        <v>59776</v>
      </c>
      <c r="C5970" s="19">
        <v>39881</v>
      </c>
      <c r="D5970" s="6" t="s">
        <v>25</v>
      </c>
      <c r="E5970" s="6">
        <f>IF((ISBLANK($B$1)),"",Sheet1!Q5982)</f>
        <v>5050</v>
      </c>
      <c r="F5970" s="20" t="s">
        <v>27</v>
      </c>
      <c r="G5970" s="53">
        <f t="shared" si="94"/>
        <v>0.51264491857664052</v>
      </c>
      <c r="H5970" s="35"/>
      <c r="P5970" s="6"/>
    </row>
    <row r="5971" spans="1:16" ht="14.4" x14ac:dyDescent="0.25">
      <c r="A5971" s="6">
        <v>8372</v>
      </c>
      <c r="B5971" s="6">
        <v>59809</v>
      </c>
      <c r="C5971" s="19">
        <v>40610</v>
      </c>
      <c r="D5971" s="6" t="s">
        <v>28</v>
      </c>
      <c r="E5971" s="6">
        <f>IF((ISBLANK($B$1)),"",Sheet1!Q5983)</f>
        <v>4000</v>
      </c>
      <c r="F5971" s="20" t="s">
        <v>26</v>
      </c>
      <c r="G5971" s="53">
        <f t="shared" si="94"/>
        <v>-0.93735706776838001</v>
      </c>
      <c r="H5971" s="35"/>
      <c r="P5971" s="6"/>
    </row>
    <row r="5972" spans="1:16" ht="14.4" x14ac:dyDescent="0.25">
      <c r="A5972" s="6">
        <v>8373</v>
      </c>
      <c r="B5972" s="6">
        <v>59809</v>
      </c>
      <c r="C5972" s="19">
        <v>40610</v>
      </c>
      <c r="D5972" s="6" t="s">
        <v>28</v>
      </c>
      <c r="E5972" s="6">
        <f>IF((ISBLANK($B$1)),"",Sheet1!Q5984)</f>
        <v>4200</v>
      </c>
      <c r="F5972" s="20" t="s">
        <v>27</v>
      </c>
      <c r="G5972" s="53">
        <f t="shared" si="94"/>
        <v>-0.6611662132264714</v>
      </c>
      <c r="H5972" s="35"/>
      <c r="P5972" s="6"/>
    </row>
    <row r="5973" spans="1:16" ht="14.4" x14ac:dyDescent="0.25">
      <c r="A5973" s="6">
        <v>8392</v>
      </c>
      <c r="B5973" s="6">
        <v>59943</v>
      </c>
      <c r="C5973" s="19">
        <v>40338</v>
      </c>
      <c r="D5973" s="6" t="s">
        <v>30</v>
      </c>
      <c r="E5973" s="6">
        <f>IF((ISBLANK($B$1)),"",Sheet1!Q5985)</f>
        <v>5550</v>
      </c>
      <c r="F5973" s="20" t="s">
        <v>26</v>
      </c>
      <c r="G5973" s="53">
        <f t="shared" si="94"/>
        <v>1.2031220549314123</v>
      </c>
      <c r="H5973" s="35"/>
      <c r="P5973" s="6"/>
    </row>
    <row r="5974" spans="1:16" ht="14.4" x14ac:dyDescent="0.25">
      <c r="A5974" s="6">
        <v>48</v>
      </c>
      <c r="B5974" s="6">
        <v>292</v>
      </c>
      <c r="C5974" s="19">
        <v>40920</v>
      </c>
      <c r="D5974" s="6" t="s">
        <v>17</v>
      </c>
      <c r="E5974" s="6">
        <f>IF((ISBLANK($B$1)),"",Sheet1!Q5986)</f>
        <v>5550</v>
      </c>
      <c r="F5974" s="20" t="s">
        <v>26</v>
      </c>
      <c r="G5974" s="53">
        <f t="shared" si="94"/>
        <v>1.2031220549314123</v>
      </c>
      <c r="H5974" s="35"/>
      <c r="P5974" s="6"/>
    </row>
    <row r="5975" spans="1:16" ht="14.4" x14ac:dyDescent="0.25">
      <c r="A5975" s="6">
        <v>417</v>
      </c>
      <c r="B5975" s="6">
        <v>2817</v>
      </c>
      <c r="C5975" s="19">
        <v>39921</v>
      </c>
      <c r="D5975" s="6" t="s">
        <v>16</v>
      </c>
      <c r="E5975" s="6">
        <f>IF((ISBLANK($B$1)),"",Sheet1!Q5987)</f>
        <v>4100</v>
      </c>
      <c r="F5975" s="20" t="s">
        <v>27</v>
      </c>
      <c r="G5975" s="53">
        <f t="shared" si="94"/>
        <v>-0.79926164049742576</v>
      </c>
      <c r="H5975" s="35"/>
      <c r="P5975" s="6"/>
    </row>
    <row r="5976" spans="1:16" ht="14.4" x14ac:dyDescent="0.25">
      <c r="A5976" s="6">
        <v>418</v>
      </c>
      <c r="B5976" s="6">
        <v>2817</v>
      </c>
      <c r="C5976" s="19">
        <v>39921</v>
      </c>
      <c r="D5976" s="6" t="s">
        <v>16</v>
      </c>
      <c r="E5976" s="6">
        <f>IF((ISBLANK($B$1)),"",Sheet1!Q5988)</f>
        <v>5400</v>
      </c>
      <c r="F5976" s="20" t="s">
        <v>29</v>
      </c>
      <c r="G5976" s="53">
        <f t="shared" si="94"/>
        <v>0.99597891402498073</v>
      </c>
      <c r="H5976" s="35"/>
      <c r="P5976" s="6"/>
    </row>
    <row r="5977" spans="1:16" ht="14.4" x14ac:dyDescent="0.25">
      <c r="A5977" s="6">
        <v>426</v>
      </c>
      <c r="B5977" s="6">
        <v>2852</v>
      </c>
      <c r="C5977" s="19">
        <v>40193</v>
      </c>
      <c r="D5977" s="6" t="s">
        <v>30</v>
      </c>
      <c r="E5977" s="6">
        <f>IF((ISBLANK($B$1)),"",Sheet1!Q5989)</f>
        <v>3900</v>
      </c>
      <c r="F5977" s="20" t="s">
        <v>26</v>
      </c>
      <c r="G5977" s="53">
        <f t="shared" si="94"/>
        <v>-1.0754524950393345</v>
      </c>
      <c r="H5977" s="35"/>
      <c r="P5977" s="6"/>
    </row>
    <row r="5978" spans="1:16" ht="14.4" x14ac:dyDescent="0.25">
      <c r="A5978" s="6">
        <v>427</v>
      </c>
      <c r="B5978" s="6">
        <v>2852</v>
      </c>
      <c r="C5978" s="19">
        <v>40193</v>
      </c>
      <c r="D5978" s="6" t="s">
        <v>30</v>
      </c>
      <c r="E5978" s="6">
        <f>IF((ISBLANK($B$1)),"",Sheet1!Q5990)</f>
        <v>5500</v>
      </c>
      <c r="F5978" s="20" t="s">
        <v>27</v>
      </c>
      <c r="G5978" s="53">
        <f t="shared" si="94"/>
        <v>1.1340743412959351</v>
      </c>
      <c r="H5978" s="35"/>
      <c r="P5978" s="6"/>
    </row>
    <row r="5979" spans="1:16" ht="14.4" x14ac:dyDescent="0.25">
      <c r="A5979" s="6">
        <v>626</v>
      </c>
      <c r="B5979" s="6">
        <v>4359</v>
      </c>
      <c r="C5979" s="19">
        <v>40239</v>
      </c>
      <c r="D5979" s="6" t="s">
        <v>30</v>
      </c>
      <c r="E5979" s="6">
        <f>IF((ISBLANK($B$1)),"",Sheet1!Q5991)</f>
        <v>4450</v>
      </c>
      <c r="F5979" s="20" t="s">
        <v>26</v>
      </c>
      <c r="G5979" s="53">
        <f t="shared" si="94"/>
        <v>-0.31592764504908549</v>
      </c>
      <c r="H5979" s="35"/>
      <c r="P5979" s="6"/>
    </row>
    <row r="5980" spans="1:16" ht="14.4" x14ac:dyDescent="0.25">
      <c r="A5980" s="6">
        <v>1136</v>
      </c>
      <c r="B5980" s="6">
        <v>8293</v>
      </c>
      <c r="C5980" s="19">
        <v>41131</v>
      </c>
      <c r="D5980" s="6" t="s">
        <v>25</v>
      </c>
      <c r="E5980" s="6">
        <f>IF((ISBLANK($B$1)),"",Sheet1!Q5992)</f>
        <v>4500</v>
      </c>
      <c r="F5980" s="20" t="s">
        <v>26</v>
      </c>
      <c r="G5980" s="53">
        <f t="shared" si="94"/>
        <v>-0.24687993141360834</v>
      </c>
      <c r="H5980" s="35"/>
      <c r="P5980" s="6"/>
    </row>
    <row r="5981" spans="1:16" ht="14.4" x14ac:dyDescent="0.25">
      <c r="A5981" s="6">
        <v>1254</v>
      </c>
      <c r="B5981" s="6">
        <v>9095</v>
      </c>
      <c r="C5981" s="19">
        <v>40704</v>
      </c>
      <c r="D5981" s="6" t="s">
        <v>17</v>
      </c>
      <c r="E5981" s="6">
        <f>IF((ISBLANK($B$1)),"",Sheet1!Q5993)</f>
        <v>4550</v>
      </c>
      <c r="F5981" s="20" t="s">
        <v>26</v>
      </c>
      <c r="G5981" s="53">
        <f t="shared" si="94"/>
        <v>-0.17783221777813119</v>
      </c>
      <c r="H5981" s="35"/>
      <c r="P5981" s="6"/>
    </row>
    <row r="5982" spans="1:16" ht="14.4" x14ac:dyDescent="0.25">
      <c r="A5982" s="6">
        <v>1276</v>
      </c>
      <c r="B5982" s="6">
        <v>9254</v>
      </c>
      <c r="C5982" s="19">
        <v>40312</v>
      </c>
      <c r="D5982" s="6" t="s">
        <v>16</v>
      </c>
      <c r="E5982" s="6">
        <f>IF((ISBLANK($B$1)),"",Sheet1!Q5994)</f>
        <v>4600</v>
      </c>
      <c r="F5982" s="20" t="s">
        <v>26</v>
      </c>
      <c r="G5982" s="53">
        <f t="shared" si="94"/>
        <v>-0.108784504142654</v>
      </c>
      <c r="H5982" s="35"/>
      <c r="P5982" s="6"/>
    </row>
    <row r="5983" spans="1:16" ht="14.4" x14ac:dyDescent="0.25">
      <c r="A5983" s="6">
        <v>1346</v>
      </c>
      <c r="B5983" s="6">
        <v>9829</v>
      </c>
      <c r="C5983" s="19">
        <v>40885</v>
      </c>
      <c r="D5983" s="6" t="s">
        <v>30</v>
      </c>
      <c r="E5983" s="6">
        <f>IF((ISBLANK($B$1)),"",Sheet1!Q5995)</f>
        <v>4550</v>
      </c>
      <c r="F5983" s="20" t="s">
        <v>26</v>
      </c>
      <c r="G5983" s="53">
        <f t="shared" si="94"/>
        <v>-0.17783221777813119</v>
      </c>
      <c r="H5983" s="35"/>
      <c r="P5983" s="6"/>
    </row>
    <row r="5984" spans="1:16" ht="14.4" x14ac:dyDescent="0.25">
      <c r="A5984" s="6">
        <v>1347</v>
      </c>
      <c r="B5984" s="6">
        <v>9829</v>
      </c>
      <c r="C5984" s="19">
        <v>40885</v>
      </c>
      <c r="D5984" s="6" t="s">
        <v>30</v>
      </c>
      <c r="E5984" s="6">
        <f>IF((ISBLANK($B$1)),"",Sheet1!Q5996)</f>
        <v>3600</v>
      </c>
      <c r="F5984" s="20" t="s">
        <v>26</v>
      </c>
      <c r="G5984" s="53">
        <f t="shared" si="94"/>
        <v>-1.4897387768521975</v>
      </c>
      <c r="H5984" s="35"/>
      <c r="P5984" s="6"/>
    </row>
    <row r="5985" spans="1:16" ht="14.4" x14ac:dyDescent="0.25">
      <c r="A5985" s="6">
        <v>1460</v>
      </c>
      <c r="B5985" s="6">
        <v>10528</v>
      </c>
      <c r="C5985" s="19">
        <v>40069</v>
      </c>
      <c r="D5985" s="6" t="s">
        <v>16</v>
      </c>
      <c r="E5985" s="6">
        <f>IF((ISBLANK($B$1)),"",Sheet1!Q5997)</f>
        <v>5750</v>
      </c>
      <c r="F5985" s="20" t="s">
        <v>26</v>
      </c>
      <c r="G5985" s="53">
        <f t="shared" si="94"/>
        <v>1.4793129094733208</v>
      </c>
      <c r="H5985" s="35"/>
      <c r="P5985" s="6"/>
    </row>
    <row r="5986" spans="1:16" ht="14.4" x14ac:dyDescent="0.25">
      <c r="A5986" s="6">
        <v>1492</v>
      </c>
      <c r="B5986" s="6">
        <v>10754</v>
      </c>
      <c r="C5986" s="19">
        <v>40254</v>
      </c>
      <c r="D5986" s="6" t="s">
        <v>25</v>
      </c>
      <c r="E5986" s="6">
        <f>IF((ISBLANK($B$1)),"",Sheet1!Q5998)</f>
        <v>3750</v>
      </c>
      <c r="F5986" s="20" t="s">
        <v>26</v>
      </c>
      <c r="G5986" s="53">
        <f t="shared" si="94"/>
        <v>-1.282595635945766</v>
      </c>
      <c r="H5986" s="35"/>
      <c r="P5986" s="6"/>
    </row>
    <row r="5987" spans="1:16" ht="14.4" x14ac:dyDescent="0.25">
      <c r="A5987" s="6">
        <v>1541</v>
      </c>
      <c r="B5987" s="6">
        <v>11109</v>
      </c>
      <c r="C5987" s="19">
        <v>40617</v>
      </c>
      <c r="D5987" s="6" t="s">
        <v>16</v>
      </c>
      <c r="E5987" s="6">
        <f>IF((ISBLANK($B$1)),"",Sheet1!Q5999)</f>
        <v>4300</v>
      </c>
      <c r="F5987" s="20" t="s">
        <v>26</v>
      </c>
      <c r="G5987" s="53">
        <f t="shared" si="94"/>
        <v>-0.52307078595551704</v>
      </c>
      <c r="H5987" s="35"/>
      <c r="P5987" s="6"/>
    </row>
    <row r="5988" spans="1:16" ht="14.4" x14ac:dyDescent="0.25">
      <c r="A5988" s="6">
        <v>1581</v>
      </c>
      <c r="B5988" s="6">
        <v>11426</v>
      </c>
      <c r="C5988" s="19">
        <v>39940</v>
      </c>
      <c r="D5988" s="6" t="s">
        <v>16</v>
      </c>
      <c r="E5988" s="6">
        <f>IF((ISBLANK($B$1)),"",Sheet1!Q6000)</f>
        <v>4350</v>
      </c>
      <c r="F5988" s="20" t="s">
        <v>27</v>
      </c>
      <c r="G5988" s="53">
        <f t="shared" si="94"/>
        <v>-0.45402307232003986</v>
      </c>
      <c r="H5988" s="35"/>
      <c r="P5988" s="6"/>
    </row>
    <row r="5989" spans="1:16" ht="14.4" x14ac:dyDescent="0.25">
      <c r="A5989" s="6">
        <v>1797</v>
      </c>
      <c r="B5989" s="6">
        <v>12869</v>
      </c>
      <c r="C5989" s="19">
        <v>39838</v>
      </c>
      <c r="D5989" s="6" t="s">
        <v>28</v>
      </c>
      <c r="E5989" s="6">
        <f>IF((ISBLANK($B$1)),"",Sheet1!Q6001)</f>
        <v>4150</v>
      </c>
      <c r="F5989" s="20" t="s">
        <v>27</v>
      </c>
      <c r="G5989" s="53">
        <f t="shared" si="94"/>
        <v>-0.73021392686194853</v>
      </c>
      <c r="H5989" s="35"/>
      <c r="P5989" s="6"/>
    </row>
    <row r="5990" spans="1:16" ht="14.4" x14ac:dyDescent="0.25">
      <c r="A5990" s="6">
        <v>1825</v>
      </c>
      <c r="B5990" s="6">
        <v>13094</v>
      </c>
      <c r="C5990" s="19">
        <v>40408</v>
      </c>
      <c r="D5990" s="6" t="s">
        <v>28</v>
      </c>
      <c r="E5990" s="6">
        <f>IF((ISBLANK($B$1)),"",Sheet1!Q6002)</f>
        <v>3750</v>
      </c>
      <c r="F5990" s="20" t="s">
        <v>26</v>
      </c>
      <c r="G5990" s="53">
        <f t="shared" si="94"/>
        <v>-1.282595635945766</v>
      </c>
      <c r="H5990" s="35"/>
      <c r="P5990" s="6"/>
    </row>
    <row r="5991" spans="1:16" ht="14.4" x14ac:dyDescent="0.25">
      <c r="A5991" s="6">
        <v>2001</v>
      </c>
      <c r="B5991" s="6">
        <v>14274</v>
      </c>
      <c r="C5991" s="19">
        <v>39819</v>
      </c>
      <c r="D5991" s="6" t="s">
        <v>28</v>
      </c>
      <c r="E5991" s="6">
        <f>IF((ISBLANK($B$1)),"",Sheet1!Q6003)</f>
        <v>4550</v>
      </c>
      <c r="F5991" s="20" t="s">
        <v>29</v>
      </c>
      <c r="G5991" s="53">
        <f t="shared" si="94"/>
        <v>-0.17783221777813119</v>
      </c>
      <c r="H5991" s="35"/>
      <c r="P5991" s="6"/>
    </row>
    <row r="5992" spans="1:16" ht="14.4" x14ac:dyDescent="0.25">
      <c r="A5992" s="6">
        <v>2002</v>
      </c>
      <c r="B5992" s="6">
        <v>14274</v>
      </c>
      <c r="C5992" s="19">
        <v>39819</v>
      </c>
      <c r="D5992" s="6" t="s">
        <v>28</v>
      </c>
      <c r="E5992" s="6">
        <f>IF((ISBLANK($B$1)),"",Sheet1!Q6004)</f>
        <v>5700</v>
      </c>
      <c r="F5992" s="20" t="s">
        <v>26</v>
      </c>
      <c r="G5992" s="53">
        <f t="shared" si="94"/>
        <v>1.4102651958378438</v>
      </c>
      <c r="H5992" s="35"/>
      <c r="P5992" s="6"/>
    </row>
    <row r="5993" spans="1:16" ht="14.4" x14ac:dyDescent="0.25">
      <c r="A5993" s="6">
        <v>2003</v>
      </c>
      <c r="B5993" s="6">
        <v>14274</v>
      </c>
      <c r="C5993" s="19">
        <v>39819</v>
      </c>
      <c r="D5993" s="6" t="s">
        <v>28</v>
      </c>
      <c r="E5993" s="6">
        <f>IF((ISBLANK($B$1)),"",Sheet1!Q6005)</f>
        <v>3500</v>
      </c>
      <c r="F5993" s="20" t="s">
        <v>27</v>
      </c>
      <c r="G5993" s="53">
        <f t="shared" si="94"/>
        <v>-1.6278342041231517</v>
      </c>
      <c r="H5993" s="35"/>
      <c r="P5993" s="6"/>
    </row>
    <row r="5994" spans="1:16" ht="14.4" x14ac:dyDescent="0.25">
      <c r="A5994" s="6">
        <v>2039</v>
      </c>
      <c r="B5994" s="6">
        <v>14530</v>
      </c>
      <c r="C5994" s="19">
        <v>39909</v>
      </c>
      <c r="D5994" s="6" t="s">
        <v>17</v>
      </c>
      <c r="E5994" s="6">
        <f>IF((ISBLANK($B$1)),"",Sheet1!Q6006)</f>
        <v>4250</v>
      </c>
      <c r="F5994" s="20" t="s">
        <v>26</v>
      </c>
      <c r="G5994" s="53">
        <f t="shared" si="94"/>
        <v>-0.59211849959099416</v>
      </c>
      <c r="H5994" s="35"/>
      <c r="P5994" s="6"/>
    </row>
    <row r="5995" spans="1:16" ht="14.4" x14ac:dyDescent="0.25">
      <c r="A5995" s="6">
        <v>2040</v>
      </c>
      <c r="B5995" s="6">
        <v>14530</v>
      </c>
      <c r="C5995" s="19">
        <v>39909</v>
      </c>
      <c r="D5995" s="6" t="s">
        <v>17</v>
      </c>
      <c r="E5995" s="6">
        <f>IF((ISBLANK($B$1)),"",Sheet1!Q6007)</f>
        <v>5850</v>
      </c>
      <c r="F5995" s="20" t="s">
        <v>26</v>
      </c>
      <c r="G5995" s="53">
        <f t="shared" si="94"/>
        <v>1.6174083367442753</v>
      </c>
      <c r="H5995" s="35"/>
      <c r="P5995" s="6"/>
    </row>
    <row r="5996" spans="1:16" ht="14.4" x14ac:dyDescent="0.25">
      <c r="A5996" s="6">
        <v>2041</v>
      </c>
      <c r="B5996" s="6">
        <v>14530</v>
      </c>
      <c r="C5996" s="19">
        <v>39909</v>
      </c>
      <c r="D5996" s="6" t="s">
        <v>17</v>
      </c>
      <c r="E5996" s="6">
        <f>IF((ISBLANK($B$1)),"",Sheet1!Q6008)</f>
        <v>5600</v>
      </c>
      <c r="F5996" s="20" t="s">
        <v>27</v>
      </c>
      <c r="G5996" s="53">
        <f t="shared" si="94"/>
        <v>1.2721697685668893</v>
      </c>
      <c r="H5996" s="35"/>
      <c r="P5996" s="6"/>
    </row>
    <row r="5997" spans="1:16" ht="14.4" x14ac:dyDescent="0.25">
      <c r="A5997" s="6">
        <v>2157</v>
      </c>
      <c r="B5997" s="6">
        <v>15462</v>
      </c>
      <c r="C5997" s="19">
        <v>40600</v>
      </c>
      <c r="D5997" s="6" t="s">
        <v>30</v>
      </c>
      <c r="E5997" s="6">
        <f>IF((ISBLANK($B$1)),"",Sheet1!Q6009)</f>
        <v>4400</v>
      </c>
      <c r="F5997" s="20" t="s">
        <v>26</v>
      </c>
      <c r="G5997" s="53">
        <f t="shared" si="94"/>
        <v>-0.38497535868456267</v>
      </c>
      <c r="H5997" s="35"/>
      <c r="P5997" s="6"/>
    </row>
    <row r="5998" spans="1:16" ht="14.4" x14ac:dyDescent="0.25">
      <c r="A5998" s="6">
        <v>2181</v>
      </c>
      <c r="B5998" s="6">
        <v>15715</v>
      </c>
      <c r="C5998" s="19">
        <v>41197</v>
      </c>
      <c r="D5998" s="6" t="s">
        <v>30</v>
      </c>
      <c r="E5998" s="6">
        <f>IF((ISBLANK($B$1)),"",Sheet1!Q6010)</f>
        <v>5550</v>
      </c>
      <c r="F5998" s="20" t="s">
        <v>26</v>
      </c>
      <c r="G5998" s="53">
        <f t="shared" si="94"/>
        <v>1.2031220549314123</v>
      </c>
      <c r="H5998" s="35"/>
      <c r="P5998" s="6"/>
    </row>
    <row r="5999" spans="1:16" ht="14.4" x14ac:dyDescent="0.25">
      <c r="A5999" s="6">
        <v>2231</v>
      </c>
      <c r="B5999" s="6">
        <v>16128</v>
      </c>
      <c r="C5999" s="19">
        <v>40671</v>
      </c>
      <c r="D5999" s="6" t="s">
        <v>17</v>
      </c>
      <c r="E5999" s="6">
        <f>IF((ISBLANK($B$1)),"",Sheet1!Q6011)</f>
        <v>5700</v>
      </c>
      <c r="F5999" s="20" t="s">
        <v>29</v>
      </c>
      <c r="G5999" s="53">
        <f t="shared" si="94"/>
        <v>1.4102651958378438</v>
      </c>
      <c r="H5999" s="35"/>
      <c r="P5999" s="6"/>
    </row>
    <row r="6000" spans="1:16" ht="14.4" x14ac:dyDescent="0.25">
      <c r="A6000" s="6">
        <v>2300</v>
      </c>
      <c r="B6000" s="6">
        <v>16579</v>
      </c>
      <c r="C6000" s="19">
        <v>40524</v>
      </c>
      <c r="D6000" s="6" t="s">
        <v>28</v>
      </c>
      <c r="E6000" s="6">
        <f>IF((ISBLANK($B$1)),"",Sheet1!Q6012)</f>
        <v>5050</v>
      </c>
      <c r="F6000" s="20" t="s">
        <v>26</v>
      </c>
      <c r="G6000" s="53">
        <f t="shared" si="94"/>
        <v>0.51264491857664052</v>
      </c>
      <c r="H6000" s="35"/>
      <c r="P6000" s="6"/>
    </row>
    <row r="6001" spans="1:16" ht="14.4" x14ac:dyDescent="0.25">
      <c r="A6001" s="6">
        <v>2301</v>
      </c>
      <c r="B6001" s="6">
        <v>16579</v>
      </c>
      <c r="C6001" s="19">
        <v>40524</v>
      </c>
      <c r="D6001" s="6" t="s">
        <v>28</v>
      </c>
      <c r="E6001" s="6">
        <f>IF((ISBLANK($B$1)),"",Sheet1!Q6013)</f>
        <v>4550</v>
      </c>
      <c r="F6001" s="20" t="s">
        <v>26</v>
      </c>
      <c r="G6001" s="53">
        <f t="shared" si="94"/>
        <v>-0.17783221777813119</v>
      </c>
      <c r="H6001" s="35"/>
      <c r="P6001" s="6"/>
    </row>
    <row r="6002" spans="1:16" ht="14.4" x14ac:dyDescent="0.25">
      <c r="A6002" s="6">
        <v>2348</v>
      </c>
      <c r="B6002" s="6">
        <v>16935</v>
      </c>
      <c r="C6002" s="19">
        <v>41258</v>
      </c>
      <c r="D6002" s="6" t="s">
        <v>28</v>
      </c>
      <c r="E6002" s="6">
        <f>IF((ISBLANK($B$1)),"",Sheet1!Q6014)</f>
        <v>3550</v>
      </c>
      <c r="F6002" s="20" t="s">
        <v>26</v>
      </c>
      <c r="G6002" s="53">
        <f t="shared" si="94"/>
        <v>-1.5587864904876745</v>
      </c>
      <c r="H6002" s="35"/>
      <c r="P6002" s="6"/>
    </row>
    <row r="6003" spans="1:16" ht="14.4" x14ac:dyDescent="0.25">
      <c r="A6003" s="6">
        <v>2349</v>
      </c>
      <c r="B6003" s="6">
        <v>16935</v>
      </c>
      <c r="C6003" s="19">
        <v>41258</v>
      </c>
      <c r="D6003" s="6" t="s">
        <v>28</v>
      </c>
      <c r="E6003" s="6">
        <f>IF((ISBLANK($B$1)),"",Sheet1!Q6015)</f>
        <v>5550</v>
      </c>
      <c r="F6003" s="20" t="s">
        <v>26</v>
      </c>
      <c r="G6003" s="53">
        <f t="shared" si="94"/>
        <v>1.2031220549314123</v>
      </c>
      <c r="H6003" s="35"/>
      <c r="P6003" s="6"/>
    </row>
    <row r="6004" spans="1:16" ht="14.4" x14ac:dyDescent="0.25">
      <c r="A6004" s="6">
        <v>2620</v>
      </c>
      <c r="B6004" s="6">
        <v>18946</v>
      </c>
      <c r="C6004" s="19">
        <v>40302</v>
      </c>
      <c r="D6004" s="6" t="s">
        <v>30</v>
      </c>
      <c r="E6004" s="6">
        <f>IF((ISBLANK($B$1)),"",Sheet1!Q6016)</f>
        <v>5000</v>
      </c>
      <c r="F6004" s="20" t="s">
        <v>26</v>
      </c>
      <c r="G6004" s="53">
        <f t="shared" si="94"/>
        <v>0.44359720494116334</v>
      </c>
      <c r="H6004" s="35"/>
      <c r="P6004" s="6"/>
    </row>
    <row r="6005" spans="1:16" ht="14.4" x14ac:dyDescent="0.25">
      <c r="A6005" s="6">
        <v>2675</v>
      </c>
      <c r="B6005" s="6">
        <v>19361</v>
      </c>
      <c r="C6005" s="19">
        <v>41175</v>
      </c>
      <c r="D6005" s="6" t="s">
        <v>25</v>
      </c>
      <c r="E6005" s="6">
        <f>IF((ISBLANK($B$1)),"",Sheet1!Q6017)</f>
        <v>4450</v>
      </c>
      <c r="F6005" s="20" t="s">
        <v>29</v>
      </c>
      <c r="G6005" s="53">
        <f t="shared" si="94"/>
        <v>-0.31592764504908549</v>
      </c>
      <c r="H6005" s="35"/>
      <c r="P6005" s="6"/>
    </row>
    <row r="6006" spans="1:16" ht="14.4" x14ac:dyDescent="0.25">
      <c r="A6006" s="6">
        <v>2813</v>
      </c>
      <c r="B6006" s="6">
        <v>20292</v>
      </c>
      <c r="C6006" s="19">
        <v>41221</v>
      </c>
      <c r="D6006" s="6" t="s">
        <v>16</v>
      </c>
      <c r="E6006" s="6">
        <f>IF((ISBLANK($B$1)),"",Sheet1!Q6018)</f>
        <v>4700</v>
      </c>
      <c r="F6006" s="20" t="s">
        <v>26</v>
      </c>
      <c r="G6006" s="53">
        <f t="shared" si="94"/>
        <v>2.9310923128300338E-2</v>
      </c>
      <c r="H6006" s="35"/>
      <c r="P6006" s="6"/>
    </row>
    <row r="6007" spans="1:16" ht="14.4" x14ac:dyDescent="0.25">
      <c r="A6007" s="6">
        <v>2814</v>
      </c>
      <c r="B6007" s="6">
        <v>20292</v>
      </c>
      <c r="C6007" s="19">
        <v>41221</v>
      </c>
      <c r="D6007" s="6" t="s">
        <v>16</v>
      </c>
      <c r="E6007" s="6">
        <f>IF((ISBLANK($B$1)),"",Sheet1!Q6019)</f>
        <v>3650</v>
      </c>
      <c r="F6007" s="20" t="s">
        <v>27</v>
      </c>
      <c r="G6007" s="53">
        <f t="shared" si="94"/>
        <v>-1.4206910632167202</v>
      </c>
      <c r="H6007" s="35"/>
      <c r="P6007" s="6"/>
    </row>
    <row r="6008" spans="1:16" ht="14.4" x14ac:dyDescent="0.25">
      <c r="A6008" s="6">
        <v>3003</v>
      </c>
      <c r="B6008" s="6">
        <v>21635</v>
      </c>
      <c r="C6008" s="19">
        <v>40149</v>
      </c>
      <c r="D6008" s="6" t="s">
        <v>25</v>
      </c>
      <c r="E6008" s="6">
        <f>IF((ISBLANK($B$1)),"",Sheet1!Q6020)</f>
        <v>3500</v>
      </c>
      <c r="F6008" s="20" t="s">
        <v>26</v>
      </c>
      <c r="G6008" s="53">
        <f t="shared" si="94"/>
        <v>-1.6278342041231517</v>
      </c>
      <c r="H6008" s="35"/>
      <c r="P6008" s="6"/>
    </row>
    <row r="6009" spans="1:16" ht="14.4" x14ac:dyDescent="0.25">
      <c r="A6009" s="6">
        <v>3045</v>
      </c>
      <c r="B6009" s="6">
        <v>21860</v>
      </c>
      <c r="C6009" s="19">
        <v>41027</v>
      </c>
      <c r="D6009" s="6" t="s">
        <v>30</v>
      </c>
      <c r="E6009" s="6">
        <f>IF((ISBLANK($B$1)),"",Sheet1!Q6021)</f>
        <v>3850</v>
      </c>
      <c r="F6009" s="20" t="s">
        <v>29</v>
      </c>
      <c r="G6009" s="53">
        <f t="shared" si="94"/>
        <v>-1.1445002086748115</v>
      </c>
      <c r="H6009" s="35"/>
      <c r="P6009" s="6"/>
    </row>
    <row r="6010" spans="1:16" ht="14.4" x14ac:dyDescent="0.25">
      <c r="A6010" s="6">
        <v>3189</v>
      </c>
      <c r="B6010" s="6">
        <v>22882</v>
      </c>
      <c r="C6010" s="19">
        <v>40434</v>
      </c>
      <c r="D6010" s="6" t="s">
        <v>30</v>
      </c>
      <c r="E6010" s="6">
        <f>IF((ISBLANK($B$1)),"",Sheet1!Q6022)</f>
        <v>3900</v>
      </c>
      <c r="F6010" s="20" t="s">
        <v>26</v>
      </c>
      <c r="G6010" s="53">
        <f t="shared" si="94"/>
        <v>-1.0754524950393345</v>
      </c>
      <c r="H6010" s="35"/>
      <c r="P6010" s="6"/>
    </row>
    <row r="6011" spans="1:16" ht="14.4" x14ac:dyDescent="0.25">
      <c r="A6011" s="6">
        <v>3480</v>
      </c>
      <c r="B6011" s="6">
        <v>24775</v>
      </c>
      <c r="C6011" s="19">
        <v>40956</v>
      </c>
      <c r="D6011" s="6" t="s">
        <v>30</v>
      </c>
      <c r="E6011" s="6">
        <f>IF((ISBLANK($B$1)),"",Sheet1!Q6023)</f>
        <v>4150</v>
      </c>
      <c r="F6011" s="20" t="s">
        <v>29</v>
      </c>
      <c r="G6011" s="53">
        <f t="shared" si="94"/>
        <v>-0.73021392686194853</v>
      </c>
      <c r="H6011" s="35"/>
      <c r="P6011" s="6"/>
    </row>
    <row r="6012" spans="1:16" ht="14.4" x14ac:dyDescent="0.25">
      <c r="A6012" s="6">
        <v>3481</v>
      </c>
      <c r="B6012" s="6">
        <v>24775</v>
      </c>
      <c r="C6012" s="19">
        <v>40956</v>
      </c>
      <c r="D6012" s="6" t="s">
        <v>30</v>
      </c>
      <c r="E6012" s="6">
        <f>IF((ISBLANK($B$1)),"",Sheet1!Q6024)</f>
        <v>3700</v>
      </c>
      <c r="F6012" s="20" t="s">
        <v>29</v>
      </c>
      <c r="G6012" s="53">
        <f t="shared" si="94"/>
        <v>-1.351643349581243</v>
      </c>
      <c r="H6012" s="35"/>
      <c r="P6012" s="6"/>
    </row>
    <row r="6013" spans="1:16" ht="14.4" x14ac:dyDescent="0.25">
      <c r="A6013" s="6">
        <v>3529</v>
      </c>
      <c r="B6013" s="6">
        <v>25120</v>
      </c>
      <c r="C6013" s="19">
        <v>39848</v>
      </c>
      <c r="D6013" s="6" t="s">
        <v>16</v>
      </c>
      <c r="E6013" s="6">
        <f>IF((ISBLANK($B$1)),"",Sheet1!Q6025)</f>
        <v>5700</v>
      </c>
      <c r="F6013" s="20" t="s">
        <v>26</v>
      </c>
      <c r="G6013" s="53">
        <f t="shared" si="94"/>
        <v>1.4102651958378438</v>
      </c>
      <c r="H6013" s="35"/>
      <c r="P6013" s="6"/>
    </row>
    <row r="6014" spans="1:16" ht="14.4" x14ac:dyDescent="0.25">
      <c r="A6014" s="6">
        <v>3530</v>
      </c>
      <c r="B6014" s="6">
        <v>25120</v>
      </c>
      <c r="C6014" s="19">
        <v>39848</v>
      </c>
      <c r="D6014" s="6" t="s">
        <v>16</v>
      </c>
      <c r="E6014" s="6">
        <f>IF((ISBLANK($B$1)),"",Sheet1!Q6026)</f>
        <v>4500</v>
      </c>
      <c r="F6014" s="20" t="s">
        <v>26</v>
      </c>
      <c r="G6014" s="53">
        <f t="shared" si="94"/>
        <v>-0.24687993141360834</v>
      </c>
      <c r="H6014" s="35"/>
      <c r="P6014" s="6"/>
    </row>
    <row r="6015" spans="1:16" ht="14.4" x14ac:dyDescent="0.25">
      <c r="A6015" s="6">
        <v>3531</v>
      </c>
      <c r="B6015" s="6">
        <v>25120</v>
      </c>
      <c r="C6015" s="19">
        <v>39848</v>
      </c>
      <c r="D6015" s="6" t="s">
        <v>16</v>
      </c>
      <c r="E6015" s="6">
        <f>IF((ISBLANK($B$1)),"",Sheet1!Q6027)</f>
        <v>3900</v>
      </c>
      <c r="F6015" s="20" t="s">
        <v>26</v>
      </c>
      <c r="G6015" s="53">
        <f t="shared" si="94"/>
        <v>-1.0754524950393345</v>
      </c>
      <c r="H6015" s="35"/>
      <c r="P6015" s="6"/>
    </row>
    <row r="6016" spans="1:16" ht="14.4" x14ac:dyDescent="0.25">
      <c r="A6016" s="6">
        <v>3563</v>
      </c>
      <c r="B6016" s="6">
        <v>25440</v>
      </c>
      <c r="C6016" s="19">
        <v>39850</v>
      </c>
      <c r="D6016" s="6" t="s">
        <v>17</v>
      </c>
      <c r="E6016" s="6">
        <f>IF((ISBLANK($B$1)),"",Sheet1!Q6028)</f>
        <v>4900</v>
      </c>
      <c r="F6016" s="20" t="s">
        <v>29</v>
      </c>
      <c r="G6016" s="53">
        <f t="shared" si="94"/>
        <v>0.30550177767020903</v>
      </c>
      <c r="H6016" s="35"/>
      <c r="P6016" s="6"/>
    </row>
    <row r="6017" spans="1:16" ht="14.4" x14ac:dyDescent="0.25">
      <c r="A6017" s="6">
        <v>3608</v>
      </c>
      <c r="B6017" s="6">
        <v>25799</v>
      </c>
      <c r="C6017" s="19">
        <v>40598</v>
      </c>
      <c r="D6017" s="6" t="s">
        <v>25</v>
      </c>
      <c r="E6017" s="6">
        <f>IF((ISBLANK($B$1)),"",Sheet1!Q6029)</f>
        <v>5300</v>
      </c>
      <c r="F6017" s="20" t="s">
        <v>26</v>
      </c>
      <c r="G6017" s="53">
        <f t="shared" si="94"/>
        <v>0.85788348675402637</v>
      </c>
      <c r="H6017" s="35"/>
      <c r="P6017" s="6"/>
    </row>
    <row r="6018" spans="1:16" ht="14.4" x14ac:dyDescent="0.25">
      <c r="A6018" s="6">
        <v>3620</v>
      </c>
      <c r="B6018" s="6">
        <v>25831</v>
      </c>
      <c r="C6018" s="19">
        <v>40070</v>
      </c>
      <c r="D6018" s="6" t="s">
        <v>16</v>
      </c>
      <c r="E6018" s="6">
        <f>IF((ISBLANK($B$1)),"",Sheet1!Q6030)</f>
        <v>3700</v>
      </c>
      <c r="F6018" s="20" t="s">
        <v>27</v>
      </c>
      <c r="G6018" s="53">
        <f t="shared" si="94"/>
        <v>-1.351643349581243</v>
      </c>
      <c r="H6018" s="35"/>
      <c r="P6018" s="6"/>
    </row>
    <row r="6019" spans="1:16" ht="14.4" x14ac:dyDescent="0.25">
      <c r="A6019" s="6">
        <v>4000</v>
      </c>
      <c r="B6019" s="6">
        <v>28545</v>
      </c>
      <c r="C6019" s="19">
        <v>40778</v>
      </c>
      <c r="D6019" s="6" t="s">
        <v>17</v>
      </c>
      <c r="E6019" s="6">
        <f>IF((ISBLANK($B$1)),"",Sheet1!Q6031)</f>
        <v>4150</v>
      </c>
      <c r="F6019" s="20" t="s">
        <v>26</v>
      </c>
      <c r="G6019" s="53">
        <f t="shared" si="94"/>
        <v>-0.73021392686194853</v>
      </c>
      <c r="H6019" s="35"/>
      <c r="P6019" s="6"/>
    </row>
    <row r="6020" spans="1:16" ht="14.4" x14ac:dyDescent="0.25">
      <c r="A6020" s="6">
        <v>4060</v>
      </c>
      <c r="B6020" s="6">
        <v>28929</v>
      </c>
      <c r="C6020" s="19">
        <v>41191</v>
      </c>
      <c r="D6020" s="6" t="s">
        <v>16</v>
      </c>
      <c r="E6020" s="6">
        <f>IF((ISBLANK($B$1)),"",Sheet1!Q6032)</f>
        <v>5250</v>
      </c>
      <c r="F6020" s="20" t="s">
        <v>26</v>
      </c>
      <c r="G6020" s="53">
        <f t="shared" si="94"/>
        <v>0.78883577311854924</v>
      </c>
      <c r="H6020" s="35"/>
      <c r="P6020" s="6"/>
    </row>
    <row r="6021" spans="1:16" ht="14.4" x14ac:dyDescent="0.25">
      <c r="A6021" s="6">
        <v>4061</v>
      </c>
      <c r="B6021" s="6">
        <v>28929</v>
      </c>
      <c r="C6021" s="19">
        <v>41191</v>
      </c>
      <c r="D6021" s="6" t="s">
        <v>16</v>
      </c>
      <c r="E6021" s="6">
        <f>IF((ISBLANK($B$1)),"",Sheet1!Q6033)</f>
        <v>5700</v>
      </c>
      <c r="F6021" s="20" t="s">
        <v>26</v>
      </c>
      <c r="G6021" s="53">
        <f t="shared" si="94"/>
        <v>1.4102651958378438</v>
      </c>
      <c r="H6021" s="35"/>
      <c r="P6021" s="6"/>
    </row>
    <row r="6022" spans="1:16" ht="14.4" x14ac:dyDescent="0.25">
      <c r="A6022" s="6">
        <v>4234</v>
      </c>
      <c r="B6022" s="6">
        <v>30083</v>
      </c>
      <c r="C6022" s="19">
        <v>39821</v>
      </c>
      <c r="D6022" s="6" t="s">
        <v>28</v>
      </c>
      <c r="E6022" s="6">
        <f>IF((ISBLANK($B$1)),"",Sheet1!Q6034)</f>
        <v>4550</v>
      </c>
      <c r="F6022" s="20" t="s">
        <v>26</v>
      </c>
      <c r="G6022" s="53">
        <f t="shared" si="94"/>
        <v>-0.17783221777813119</v>
      </c>
      <c r="H6022" s="35"/>
      <c r="P6022" s="6"/>
    </row>
    <row r="6023" spans="1:16" ht="14.4" x14ac:dyDescent="0.25">
      <c r="A6023" s="6">
        <v>4331</v>
      </c>
      <c r="B6023" s="6">
        <v>30853</v>
      </c>
      <c r="C6023" s="19">
        <v>40751</v>
      </c>
      <c r="D6023" s="6" t="s">
        <v>16</v>
      </c>
      <c r="E6023" s="6">
        <f>IF((ISBLANK($B$1)),"",Sheet1!Q6035)</f>
        <v>5400</v>
      </c>
      <c r="F6023" s="20" t="s">
        <v>26</v>
      </c>
      <c r="G6023" s="53">
        <f t="shared" si="94"/>
        <v>0.99597891402498073</v>
      </c>
      <c r="H6023" s="35"/>
      <c r="P6023" s="6"/>
    </row>
    <row r="6024" spans="1:16" ht="14.4" x14ac:dyDescent="0.25">
      <c r="A6024" s="6">
        <v>4345</v>
      </c>
      <c r="B6024" s="6">
        <v>30944</v>
      </c>
      <c r="C6024" s="19">
        <v>40716</v>
      </c>
      <c r="D6024" s="6" t="s">
        <v>30</v>
      </c>
      <c r="E6024" s="6">
        <f>IF((ISBLANK($B$1)),"",Sheet1!Q6036)</f>
        <v>5000</v>
      </c>
      <c r="F6024" s="20" t="s">
        <v>26</v>
      </c>
      <c r="G6024" s="53">
        <f t="shared" ref="G6024:G6087" si="95">STANDARDIZE(E6024,$L$26,$L$35)</f>
        <v>0.44359720494116334</v>
      </c>
      <c r="H6024" s="35"/>
      <c r="P6024" s="6"/>
    </row>
    <row r="6025" spans="1:16" ht="14.4" x14ac:dyDescent="0.25">
      <c r="A6025" s="6">
        <v>4686</v>
      </c>
      <c r="B6025" s="6">
        <v>33350</v>
      </c>
      <c r="C6025" s="19">
        <v>40015</v>
      </c>
      <c r="D6025" s="6" t="s">
        <v>28</v>
      </c>
      <c r="E6025" s="6">
        <f>IF((ISBLANK($B$1)),"",Sheet1!Q6037)</f>
        <v>3450</v>
      </c>
      <c r="F6025" s="20" t="s">
        <v>26</v>
      </c>
      <c r="G6025" s="53">
        <f t="shared" si="95"/>
        <v>-1.696881917758629</v>
      </c>
      <c r="H6025" s="35"/>
      <c r="P6025" s="6"/>
    </row>
    <row r="6026" spans="1:16" ht="14.4" x14ac:dyDescent="0.25">
      <c r="A6026" s="6">
        <v>4869</v>
      </c>
      <c r="B6026" s="6">
        <v>34660</v>
      </c>
      <c r="C6026" s="19">
        <v>40789</v>
      </c>
      <c r="D6026" s="6" t="s">
        <v>28</v>
      </c>
      <c r="E6026" s="6">
        <f>IF((ISBLANK($B$1)),"",Sheet1!Q6038)</f>
        <v>3600</v>
      </c>
      <c r="F6026" s="20" t="s">
        <v>26</v>
      </c>
      <c r="G6026" s="53">
        <f t="shared" si="95"/>
        <v>-1.4897387768521975</v>
      </c>
      <c r="H6026" s="35"/>
      <c r="P6026" s="6"/>
    </row>
    <row r="6027" spans="1:16" ht="14.4" x14ac:dyDescent="0.25">
      <c r="A6027" s="6">
        <v>4870</v>
      </c>
      <c r="B6027" s="6">
        <v>34660</v>
      </c>
      <c r="C6027" s="19">
        <v>40789</v>
      </c>
      <c r="D6027" s="6" t="s">
        <v>28</v>
      </c>
      <c r="E6027" s="6">
        <f>IF((ISBLANK($B$1)),"",Sheet1!Q6039)</f>
        <v>5200</v>
      </c>
      <c r="F6027" s="20" t="s">
        <v>29</v>
      </c>
      <c r="G6027" s="53">
        <f t="shared" si="95"/>
        <v>0.71978805948307201</v>
      </c>
      <c r="H6027" s="35"/>
      <c r="P6027" s="6"/>
    </row>
    <row r="6028" spans="1:16" ht="14.4" x14ac:dyDescent="0.25">
      <c r="A6028" s="6">
        <v>4977</v>
      </c>
      <c r="B6028" s="6">
        <v>35425</v>
      </c>
      <c r="C6028" s="19">
        <v>40265</v>
      </c>
      <c r="D6028" s="6" t="s">
        <v>28</v>
      </c>
      <c r="E6028" s="6">
        <f>IF((ISBLANK($B$1)),"",Sheet1!Q6040)</f>
        <v>4650</v>
      </c>
      <c r="F6028" s="20" t="s">
        <v>26</v>
      </c>
      <c r="G6028" s="53">
        <f t="shared" si="95"/>
        <v>-3.9736790507176829E-2</v>
      </c>
      <c r="H6028" s="35"/>
      <c r="P6028" s="6"/>
    </row>
    <row r="6029" spans="1:16" ht="14.4" x14ac:dyDescent="0.25">
      <c r="A6029" s="6">
        <v>4978</v>
      </c>
      <c r="B6029" s="6">
        <v>35425</v>
      </c>
      <c r="C6029" s="19">
        <v>40265</v>
      </c>
      <c r="D6029" s="6" t="s">
        <v>28</v>
      </c>
      <c r="E6029" s="6">
        <f>IF((ISBLANK($B$1)),"",Sheet1!Q6041)</f>
        <v>5650</v>
      </c>
      <c r="F6029" s="20" t="s">
        <v>26</v>
      </c>
      <c r="G6029" s="53">
        <f t="shared" si="95"/>
        <v>1.3412174822023666</v>
      </c>
      <c r="H6029" s="35"/>
      <c r="P6029" s="6"/>
    </row>
    <row r="6030" spans="1:16" ht="14.4" x14ac:dyDescent="0.25">
      <c r="A6030" s="6">
        <v>5251</v>
      </c>
      <c r="B6030" s="6">
        <v>37350</v>
      </c>
      <c r="C6030" s="19">
        <v>41049</v>
      </c>
      <c r="D6030" s="6" t="s">
        <v>30</v>
      </c>
      <c r="E6030" s="6">
        <f>IF((ISBLANK($B$1)),"",Sheet1!Q6042)</f>
        <v>3750</v>
      </c>
      <c r="F6030" s="20" t="s">
        <v>26</v>
      </c>
      <c r="G6030" s="53">
        <f t="shared" si="95"/>
        <v>-1.282595635945766</v>
      </c>
      <c r="H6030" s="35"/>
      <c r="P6030" s="6"/>
    </row>
    <row r="6031" spans="1:16" ht="14.4" x14ac:dyDescent="0.25">
      <c r="A6031" s="6">
        <v>5307</v>
      </c>
      <c r="B6031" s="6">
        <v>37765</v>
      </c>
      <c r="C6031" s="19">
        <v>41237</v>
      </c>
      <c r="D6031" s="6" t="s">
        <v>25</v>
      </c>
      <c r="E6031" s="6">
        <f>IF((ISBLANK($B$1)),"",Sheet1!Q6043)</f>
        <v>3750</v>
      </c>
      <c r="F6031" s="20" t="s">
        <v>26</v>
      </c>
      <c r="G6031" s="53">
        <f t="shared" si="95"/>
        <v>-1.282595635945766</v>
      </c>
      <c r="H6031" s="35"/>
      <c r="P6031" s="6"/>
    </row>
    <row r="6032" spans="1:16" ht="14.4" x14ac:dyDescent="0.25">
      <c r="A6032" s="6">
        <v>5308</v>
      </c>
      <c r="B6032" s="6">
        <v>37765</v>
      </c>
      <c r="C6032" s="19">
        <v>41237</v>
      </c>
      <c r="D6032" s="6" t="s">
        <v>25</v>
      </c>
      <c r="E6032" s="6">
        <f>IF((ISBLANK($B$1)),"",Sheet1!Q6044)</f>
        <v>4300</v>
      </c>
      <c r="F6032" s="20" t="s">
        <v>26</v>
      </c>
      <c r="G6032" s="53">
        <f t="shared" si="95"/>
        <v>-0.52307078595551704</v>
      </c>
      <c r="H6032" s="35"/>
      <c r="P6032" s="6"/>
    </row>
    <row r="6033" spans="1:16" ht="14.4" x14ac:dyDescent="0.25">
      <c r="A6033" s="6">
        <v>5309</v>
      </c>
      <c r="B6033" s="6">
        <v>37765</v>
      </c>
      <c r="C6033" s="19">
        <v>41237</v>
      </c>
      <c r="D6033" s="6" t="s">
        <v>25</v>
      </c>
      <c r="E6033" s="6">
        <f>IF((ISBLANK($B$1)),"",Sheet1!Q6045)</f>
        <v>4000</v>
      </c>
      <c r="F6033" s="20" t="s">
        <v>29</v>
      </c>
      <c r="G6033" s="53">
        <f t="shared" si="95"/>
        <v>-0.93735706776838001</v>
      </c>
      <c r="H6033" s="35"/>
      <c r="P6033" s="6"/>
    </row>
    <row r="6034" spans="1:16" ht="14.4" x14ac:dyDescent="0.25">
      <c r="A6034" s="6">
        <v>5354</v>
      </c>
      <c r="B6034" s="6">
        <v>38050</v>
      </c>
      <c r="C6034" s="19">
        <v>40477</v>
      </c>
      <c r="D6034" s="6" t="s">
        <v>28</v>
      </c>
      <c r="E6034" s="6">
        <f>IF((ISBLANK($B$1)),"",Sheet1!Q6046)</f>
        <v>4950</v>
      </c>
      <c r="F6034" s="20" t="s">
        <v>26</v>
      </c>
      <c r="G6034" s="53">
        <f t="shared" si="95"/>
        <v>0.37454949130568621</v>
      </c>
      <c r="H6034" s="35"/>
      <c r="P6034" s="6"/>
    </row>
    <row r="6035" spans="1:16" ht="14.4" x14ac:dyDescent="0.25">
      <c r="A6035" s="6">
        <v>5355</v>
      </c>
      <c r="B6035" s="6">
        <v>38050</v>
      </c>
      <c r="C6035" s="19">
        <v>40477</v>
      </c>
      <c r="D6035" s="6" t="s">
        <v>28</v>
      </c>
      <c r="E6035" s="6">
        <f>IF((ISBLANK($B$1)),"",Sheet1!Q6047)</f>
        <v>5200</v>
      </c>
      <c r="F6035" s="20" t="s">
        <v>26</v>
      </c>
      <c r="G6035" s="53">
        <f t="shared" si="95"/>
        <v>0.71978805948307201</v>
      </c>
      <c r="H6035" s="35"/>
      <c r="P6035" s="6"/>
    </row>
    <row r="6036" spans="1:16" ht="14.4" x14ac:dyDescent="0.25">
      <c r="A6036" s="6">
        <v>5356</v>
      </c>
      <c r="B6036" s="6">
        <v>38050</v>
      </c>
      <c r="C6036" s="19">
        <v>40477</v>
      </c>
      <c r="D6036" s="6" t="s">
        <v>28</v>
      </c>
      <c r="E6036" s="6">
        <f>IF((ISBLANK($B$1)),"",Sheet1!Q6048)</f>
        <v>4100</v>
      </c>
      <c r="F6036" s="20" t="s">
        <v>29</v>
      </c>
      <c r="G6036" s="53">
        <f t="shared" si="95"/>
        <v>-0.79926164049742576</v>
      </c>
      <c r="H6036" s="35"/>
      <c r="P6036" s="6"/>
    </row>
    <row r="6037" spans="1:16" ht="14.4" x14ac:dyDescent="0.25">
      <c r="A6037" s="6">
        <v>5507</v>
      </c>
      <c r="B6037" s="6">
        <v>39043</v>
      </c>
      <c r="C6037" s="19">
        <v>40534</v>
      </c>
      <c r="D6037" s="6" t="s">
        <v>28</v>
      </c>
      <c r="E6037" s="6">
        <f>IF((ISBLANK($B$1)),"",Sheet1!Q6049)</f>
        <v>4100</v>
      </c>
      <c r="F6037" s="20" t="s">
        <v>26</v>
      </c>
      <c r="G6037" s="53">
        <f t="shared" si="95"/>
        <v>-0.79926164049742576</v>
      </c>
      <c r="H6037" s="35"/>
      <c r="P6037" s="6"/>
    </row>
    <row r="6038" spans="1:16" ht="14.4" x14ac:dyDescent="0.25">
      <c r="A6038" s="6">
        <v>5508</v>
      </c>
      <c r="B6038" s="6">
        <v>39043</v>
      </c>
      <c r="C6038" s="19">
        <v>40534</v>
      </c>
      <c r="D6038" s="6" t="s">
        <v>28</v>
      </c>
      <c r="E6038" s="6">
        <f>IF((ISBLANK($B$1)),"",Sheet1!Q6050)</f>
        <v>5250</v>
      </c>
      <c r="F6038" s="20" t="s">
        <v>26</v>
      </c>
      <c r="G6038" s="53">
        <f t="shared" si="95"/>
        <v>0.78883577311854924</v>
      </c>
      <c r="H6038" s="35"/>
      <c r="P6038" s="6"/>
    </row>
    <row r="6039" spans="1:16" ht="14.4" x14ac:dyDescent="0.25">
      <c r="A6039" s="6">
        <v>5709</v>
      </c>
      <c r="B6039" s="6">
        <v>40388</v>
      </c>
      <c r="C6039" s="19">
        <v>41114</v>
      </c>
      <c r="D6039" s="6" t="s">
        <v>30</v>
      </c>
      <c r="E6039" s="6">
        <f>IF((ISBLANK($B$1)),"",Sheet1!Q6051)</f>
        <v>4250</v>
      </c>
      <c r="F6039" s="20" t="s">
        <v>26</v>
      </c>
      <c r="G6039" s="53">
        <f t="shared" si="95"/>
        <v>-0.59211849959099416</v>
      </c>
      <c r="H6039" s="35"/>
      <c r="P6039" s="6"/>
    </row>
    <row r="6040" spans="1:16" ht="14.4" x14ac:dyDescent="0.25">
      <c r="A6040" s="6">
        <v>5963</v>
      </c>
      <c r="B6040" s="6">
        <v>42309</v>
      </c>
      <c r="C6040" s="19">
        <v>40031</v>
      </c>
      <c r="D6040" s="6" t="s">
        <v>25</v>
      </c>
      <c r="E6040" s="6">
        <f>IF((ISBLANK($B$1)),"",Sheet1!Q6052)</f>
        <v>5450</v>
      </c>
      <c r="F6040" s="20" t="s">
        <v>26</v>
      </c>
      <c r="G6040" s="53">
        <f t="shared" si="95"/>
        <v>1.0650266276604579</v>
      </c>
      <c r="H6040" s="35"/>
      <c r="P6040" s="6"/>
    </row>
    <row r="6041" spans="1:16" ht="14.4" x14ac:dyDescent="0.25">
      <c r="A6041" s="6">
        <v>5964</v>
      </c>
      <c r="B6041" s="6">
        <v>42309</v>
      </c>
      <c r="C6041" s="19">
        <v>40031</v>
      </c>
      <c r="D6041" s="6" t="s">
        <v>25</v>
      </c>
      <c r="E6041" s="6">
        <f>IF((ISBLANK($B$1)),"",Sheet1!Q6053)</f>
        <v>4700</v>
      </c>
      <c r="F6041" s="20" t="s">
        <v>26</v>
      </c>
      <c r="G6041" s="53">
        <f t="shared" si="95"/>
        <v>2.9310923128300338E-2</v>
      </c>
      <c r="H6041" s="35"/>
      <c r="P6041" s="6"/>
    </row>
    <row r="6042" spans="1:16" ht="14.4" x14ac:dyDescent="0.25">
      <c r="A6042" s="6">
        <v>5965</v>
      </c>
      <c r="B6042" s="6">
        <v>42309</v>
      </c>
      <c r="C6042" s="19">
        <v>40031</v>
      </c>
      <c r="D6042" s="6" t="s">
        <v>25</v>
      </c>
      <c r="E6042" s="6">
        <f>IF((ISBLANK($B$1)),"",Sheet1!Q6054)</f>
        <v>5300</v>
      </c>
      <c r="F6042" s="20" t="s">
        <v>27</v>
      </c>
      <c r="G6042" s="53">
        <f t="shared" si="95"/>
        <v>0.85788348675402637</v>
      </c>
      <c r="H6042" s="35"/>
      <c r="P6042" s="6"/>
    </row>
    <row r="6043" spans="1:16" ht="14.4" x14ac:dyDescent="0.25">
      <c r="A6043" s="6">
        <v>6033</v>
      </c>
      <c r="B6043" s="6">
        <v>42727</v>
      </c>
      <c r="C6043" s="19">
        <v>40662</v>
      </c>
      <c r="D6043" s="6" t="s">
        <v>28</v>
      </c>
      <c r="E6043" s="6">
        <f>IF((ISBLANK($B$1)),"",Sheet1!Q6055)</f>
        <v>3950</v>
      </c>
      <c r="F6043" s="20" t="s">
        <v>29</v>
      </c>
      <c r="G6043" s="53">
        <f t="shared" si="95"/>
        <v>-1.0064047814038573</v>
      </c>
      <c r="H6043" s="35"/>
      <c r="P6043" s="6"/>
    </row>
    <row r="6044" spans="1:16" ht="14.4" x14ac:dyDescent="0.25">
      <c r="A6044" s="6">
        <v>6034</v>
      </c>
      <c r="B6044" s="6">
        <v>42727</v>
      </c>
      <c r="C6044" s="19">
        <v>40662</v>
      </c>
      <c r="D6044" s="6" t="s">
        <v>28</v>
      </c>
      <c r="E6044" s="6">
        <f>IF((ISBLANK($B$1)),"",Sheet1!Q6056)</f>
        <v>4450</v>
      </c>
      <c r="F6044" s="20" t="s">
        <v>26</v>
      </c>
      <c r="G6044" s="53">
        <f t="shared" si="95"/>
        <v>-0.31592764504908549</v>
      </c>
      <c r="H6044" s="35"/>
      <c r="P6044" s="6"/>
    </row>
    <row r="6045" spans="1:16" ht="14.4" x14ac:dyDescent="0.25">
      <c r="A6045" s="6">
        <v>6124</v>
      </c>
      <c r="B6045" s="6">
        <v>43363</v>
      </c>
      <c r="C6045" s="19">
        <v>40791</v>
      </c>
      <c r="D6045" s="6" t="s">
        <v>30</v>
      </c>
      <c r="E6045" s="6">
        <f>IF((ISBLANK($B$1)),"",Sheet1!Q6057)</f>
        <v>5150</v>
      </c>
      <c r="F6045" s="20" t="s">
        <v>29</v>
      </c>
      <c r="G6045" s="53">
        <f t="shared" si="95"/>
        <v>0.65074034584759488</v>
      </c>
      <c r="H6045" s="35"/>
      <c r="P6045" s="6"/>
    </row>
    <row r="6046" spans="1:16" ht="14.4" x14ac:dyDescent="0.25">
      <c r="A6046" s="6">
        <v>6153</v>
      </c>
      <c r="B6046" s="6">
        <v>43556</v>
      </c>
      <c r="C6046" s="19">
        <v>41112</v>
      </c>
      <c r="D6046" s="6" t="s">
        <v>25</v>
      </c>
      <c r="E6046" s="6">
        <f>IF((ISBLANK($B$1)),"",Sheet1!Q6058)</f>
        <v>4950</v>
      </c>
      <c r="F6046" s="20" t="s">
        <v>26</v>
      </c>
      <c r="G6046" s="53">
        <f t="shared" si="95"/>
        <v>0.37454949130568621</v>
      </c>
      <c r="H6046" s="35"/>
      <c r="P6046" s="6"/>
    </row>
    <row r="6047" spans="1:16" ht="14.4" x14ac:dyDescent="0.25">
      <c r="A6047" s="6">
        <v>6364</v>
      </c>
      <c r="B6047" s="6">
        <v>45156</v>
      </c>
      <c r="C6047" s="19">
        <v>40586</v>
      </c>
      <c r="D6047" s="6" t="s">
        <v>25</v>
      </c>
      <c r="E6047" s="6">
        <f>IF((ISBLANK($B$1)),"",Sheet1!Q6059)</f>
        <v>4900</v>
      </c>
      <c r="F6047" s="20" t="s">
        <v>26</v>
      </c>
      <c r="G6047" s="53">
        <f t="shared" si="95"/>
        <v>0.30550177767020903</v>
      </c>
      <c r="H6047" s="35"/>
      <c r="P6047" s="6"/>
    </row>
    <row r="6048" spans="1:16" ht="14.4" x14ac:dyDescent="0.25">
      <c r="A6048" s="6">
        <v>6365</v>
      </c>
      <c r="B6048" s="6">
        <v>45156</v>
      </c>
      <c r="C6048" s="19">
        <v>40586</v>
      </c>
      <c r="D6048" s="6" t="s">
        <v>25</v>
      </c>
      <c r="E6048" s="6">
        <f>IF((ISBLANK($B$1)),"",Sheet1!Q6060)</f>
        <v>5150</v>
      </c>
      <c r="F6048" s="20" t="s">
        <v>26</v>
      </c>
      <c r="G6048" s="53">
        <f t="shared" si="95"/>
        <v>0.65074034584759488</v>
      </c>
      <c r="H6048" s="35"/>
      <c r="P6048" s="6"/>
    </row>
    <row r="6049" spans="1:16" ht="14.4" x14ac:dyDescent="0.25">
      <c r="A6049" s="6">
        <v>6366</v>
      </c>
      <c r="B6049" s="6">
        <v>45156</v>
      </c>
      <c r="C6049" s="19">
        <v>40586</v>
      </c>
      <c r="D6049" s="6" t="s">
        <v>25</v>
      </c>
      <c r="E6049" s="6">
        <f>IF((ISBLANK($B$1)),"",Sheet1!Q6061)</f>
        <v>4100</v>
      </c>
      <c r="F6049" s="20" t="s">
        <v>26</v>
      </c>
      <c r="G6049" s="53">
        <f t="shared" si="95"/>
        <v>-0.79926164049742576</v>
      </c>
      <c r="H6049" s="35"/>
      <c r="P6049" s="6"/>
    </row>
    <row r="6050" spans="1:16" ht="14.4" x14ac:dyDescent="0.25">
      <c r="A6050" s="6">
        <v>6396</v>
      </c>
      <c r="B6050" s="6">
        <v>45410</v>
      </c>
      <c r="C6050" s="19">
        <v>40044</v>
      </c>
      <c r="D6050" s="6" t="s">
        <v>25</v>
      </c>
      <c r="E6050" s="6">
        <f>IF((ISBLANK($B$1)),"",Sheet1!Q6062)</f>
        <v>4350</v>
      </c>
      <c r="F6050" s="20" t="s">
        <v>26</v>
      </c>
      <c r="G6050" s="53">
        <f t="shared" si="95"/>
        <v>-0.45402307232003986</v>
      </c>
      <c r="H6050" s="35"/>
      <c r="P6050" s="6"/>
    </row>
    <row r="6051" spans="1:16" ht="14.4" x14ac:dyDescent="0.25">
      <c r="A6051" s="6">
        <v>6609</v>
      </c>
      <c r="B6051" s="6">
        <v>47014</v>
      </c>
      <c r="C6051" s="19">
        <v>41042</v>
      </c>
      <c r="D6051" s="6" t="s">
        <v>30</v>
      </c>
      <c r="E6051" s="6">
        <f>IF((ISBLANK($B$1)),"",Sheet1!Q6063)</f>
        <v>5050</v>
      </c>
      <c r="F6051" s="20" t="s">
        <v>29</v>
      </c>
      <c r="G6051" s="53">
        <f t="shared" si="95"/>
        <v>0.51264491857664052</v>
      </c>
      <c r="H6051" s="35"/>
      <c r="P6051" s="6"/>
    </row>
    <row r="6052" spans="1:16" ht="14.4" x14ac:dyDescent="0.25">
      <c r="A6052" s="6">
        <v>6733</v>
      </c>
      <c r="B6052" s="6">
        <v>47942</v>
      </c>
      <c r="C6052" s="19">
        <v>40236</v>
      </c>
      <c r="D6052" s="6" t="s">
        <v>16</v>
      </c>
      <c r="E6052" s="6">
        <f>IF((ISBLANK($B$1)),"",Sheet1!Q6064)</f>
        <v>4900</v>
      </c>
      <c r="F6052" s="20" t="s">
        <v>27</v>
      </c>
      <c r="G6052" s="53">
        <f t="shared" si="95"/>
        <v>0.30550177767020903</v>
      </c>
      <c r="H6052" s="35"/>
      <c r="P6052" s="6"/>
    </row>
    <row r="6053" spans="1:16" ht="14.4" x14ac:dyDescent="0.25">
      <c r="A6053" s="6">
        <v>6734</v>
      </c>
      <c r="B6053" s="6">
        <v>47942</v>
      </c>
      <c r="C6053" s="19">
        <v>40236</v>
      </c>
      <c r="D6053" s="6" t="s">
        <v>16</v>
      </c>
      <c r="E6053" s="6">
        <f>IF((ISBLANK($B$1)),"",Sheet1!Q6065)</f>
        <v>3550</v>
      </c>
      <c r="F6053" s="20" t="s">
        <v>26</v>
      </c>
      <c r="G6053" s="53">
        <f t="shared" si="95"/>
        <v>-1.5587864904876745</v>
      </c>
      <c r="H6053" s="35"/>
      <c r="P6053" s="6"/>
    </row>
    <row r="6054" spans="1:16" ht="14.4" x14ac:dyDescent="0.25">
      <c r="A6054" s="6">
        <v>6735</v>
      </c>
      <c r="B6054" s="6">
        <v>47942</v>
      </c>
      <c r="C6054" s="19">
        <v>40236</v>
      </c>
      <c r="D6054" s="6" t="s">
        <v>16</v>
      </c>
      <c r="E6054" s="6">
        <f>IF((ISBLANK($B$1)),"",Sheet1!Q6066)</f>
        <v>3850</v>
      </c>
      <c r="F6054" s="20" t="s">
        <v>27</v>
      </c>
      <c r="G6054" s="53">
        <f t="shared" si="95"/>
        <v>-1.1445002086748115</v>
      </c>
      <c r="H6054" s="35"/>
      <c r="P6054" s="6"/>
    </row>
    <row r="6055" spans="1:16" ht="14.4" x14ac:dyDescent="0.25">
      <c r="A6055" s="6">
        <v>6755</v>
      </c>
      <c r="B6055" s="6">
        <v>48128</v>
      </c>
      <c r="C6055" s="19">
        <v>41010</v>
      </c>
      <c r="D6055" s="6" t="s">
        <v>16</v>
      </c>
      <c r="E6055" s="6">
        <f>IF((ISBLANK($B$1)),"",Sheet1!Q6067)</f>
        <v>3650</v>
      </c>
      <c r="F6055" s="20" t="s">
        <v>27</v>
      </c>
      <c r="G6055" s="53">
        <f t="shared" si="95"/>
        <v>-1.4206910632167202</v>
      </c>
      <c r="H6055" s="35"/>
      <c r="P6055" s="6"/>
    </row>
    <row r="6056" spans="1:16" ht="14.4" x14ac:dyDescent="0.25">
      <c r="A6056" s="6">
        <v>6838</v>
      </c>
      <c r="B6056" s="6">
        <v>48704</v>
      </c>
      <c r="C6056" s="19">
        <v>40917</v>
      </c>
      <c r="D6056" s="6" t="s">
        <v>17</v>
      </c>
      <c r="E6056" s="6">
        <f>IF((ISBLANK($B$1)),"",Sheet1!Q6068)</f>
        <v>3950</v>
      </c>
      <c r="F6056" s="20" t="s">
        <v>27</v>
      </c>
      <c r="G6056" s="53">
        <f t="shared" si="95"/>
        <v>-1.0064047814038573</v>
      </c>
      <c r="H6056" s="35"/>
      <c r="P6056" s="6"/>
    </row>
    <row r="6057" spans="1:16" ht="14.4" x14ac:dyDescent="0.25">
      <c r="A6057" s="6">
        <v>6895</v>
      </c>
      <c r="B6057" s="6">
        <v>49155</v>
      </c>
      <c r="C6057" s="19">
        <v>40439</v>
      </c>
      <c r="D6057" s="6" t="s">
        <v>25</v>
      </c>
      <c r="E6057" s="6">
        <f>IF((ISBLANK($B$1)),"",Sheet1!Q6069)</f>
        <v>4500</v>
      </c>
      <c r="F6057" s="20" t="s">
        <v>27</v>
      </c>
      <c r="G6057" s="53">
        <f t="shared" si="95"/>
        <v>-0.24687993141360834</v>
      </c>
      <c r="H6057" s="35"/>
      <c r="P6057" s="6"/>
    </row>
    <row r="6058" spans="1:16" ht="14.4" x14ac:dyDescent="0.25">
      <c r="A6058" s="6">
        <v>6935</v>
      </c>
      <c r="B6058" s="6">
        <v>49504</v>
      </c>
      <c r="C6058" s="19">
        <v>40133</v>
      </c>
      <c r="D6058" s="6" t="s">
        <v>28</v>
      </c>
      <c r="E6058" s="6">
        <f>IF((ISBLANK($B$1)),"",Sheet1!Q6070)</f>
        <v>5650</v>
      </c>
      <c r="F6058" s="20" t="s">
        <v>27</v>
      </c>
      <c r="G6058" s="53">
        <f t="shared" si="95"/>
        <v>1.3412174822023666</v>
      </c>
      <c r="H6058" s="35"/>
      <c r="P6058" s="6"/>
    </row>
    <row r="6059" spans="1:16" ht="14.4" x14ac:dyDescent="0.25">
      <c r="A6059" s="6">
        <v>7006</v>
      </c>
      <c r="B6059" s="6">
        <v>50016</v>
      </c>
      <c r="C6059" s="19">
        <v>39908</v>
      </c>
      <c r="D6059" s="6" t="s">
        <v>17</v>
      </c>
      <c r="E6059" s="6">
        <f>IF((ISBLANK($B$1)),"",Sheet1!Q6071)</f>
        <v>4150</v>
      </c>
      <c r="F6059" s="20" t="s">
        <v>27</v>
      </c>
      <c r="G6059" s="53">
        <f t="shared" si="95"/>
        <v>-0.73021392686194853</v>
      </c>
      <c r="H6059" s="35"/>
      <c r="P6059" s="6"/>
    </row>
    <row r="6060" spans="1:16" ht="14.4" x14ac:dyDescent="0.25">
      <c r="A6060" s="6">
        <v>7024</v>
      </c>
      <c r="B6060" s="6">
        <v>50145</v>
      </c>
      <c r="C6060" s="19">
        <v>40600</v>
      </c>
      <c r="D6060" s="6" t="s">
        <v>17</v>
      </c>
      <c r="E6060" s="6">
        <f>IF((ISBLANK($B$1)),"",Sheet1!Q6072)</f>
        <v>4300</v>
      </c>
      <c r="F6060" s="20" t="s">
        <v>29</v>
      </c>
      <c r="G6060" s="53">
        <f t="shared" si="95"/>
        <v>-0.52307078595551704</v>
      </c>
      <c r="H6060" s="35"/>
      <c r="P6060" s="6"/>
    </row>
    <row r="6061" spans="1:16" ht="14.4" x14ac:dyDescent="0.25">
      <c r="A6061" s="6">
        <v>7025</v>
      </c>
      <c r="B6061" s="6">
        <v>50145</v>
      </c>
      <c r="C6061" s="19">
        <v>40600</v>
      </c>
      <c r="D6061" s="6" t="s">
        <v>17</v>
      </c>
      <c r="E6061" s="6">
        <f>IF((ISBLANK($B$1)),"",Sheet1!Q6073)</f>
        <v>3850</v>
      </c>
      <c r="F6061" s="20" t="s">
        <v>29</v>
      </c>
      <c r="G6061" s="53">
        <f t="shared" si="95"/>
        <v>-1.1445002086748115</v>
      </c>
      <c r="H6061" s="35"/>
      <c r="P6061" s="6"/>
    </row>
    <row r="6062" spans="1:16" ht="14.4" x14ac:dyDescent="0.25">
      <c r="A6062" s="6">
        <v>7080</v>
      </c>
      <c r="B6062" s="6">
        <v>50532</v>
      </c>
      <c r="C6062" s="19">
        <v>41135</v>
      </c>
      <c r="D6062" s="6" t="s">
        <v>16</v>
      </c>
      <c r="E6062" s="6">
        <f>IF((ISBLANK($B$1)),"",Sheet1!Q6074)</f>
        <v>3900</v>
      </c>
      <c r="F6062" s="20" t="s">
        <v>26</v>
      </c>
      <c r="G6062" s="53">
        <f t="shared" si="95"/>
        <v>-1.0754524950393345</v>
      </c>
      <c r="H6062" s="35"/>
      <c r="P6062" s="6"/>
    </row>
    <row r="6063" spans="1:16" ht="14.4" x14ac:dyDescent="0.25">
      <c r="A6063" s="6">
        <v>7081</v>
      </c>
      <c r="B6063" s="6">
        <v>50532</v>
      </c>
      <c r="C6063" s="19">
        <v>41135</v>
      </c>
      <c r="D6063" s="6" t="s">
        <v>16</v>
      </c>
      <c r="E6063" s="6">
        <f>IF((ISBLANK($B$1)),"",Sheet1!Q6075)</f>
        <v>4500</v>
      </c>
      <c r="F6063" s="20" t="s">
        <v>26</v>
      </c>
      <c r="G6063" s="53">
        <f t="shared" si="95"/>
        <v>-0.24687993141360834</v>
      </c>
      <c r="H6063" s="35"/>
      <c r="P6063" s="6"/>
    </row>
    <row r="6064" spans="1:16" ht="14.4" x14ac:dyDescent="0.25">
      <c r="A6064" s="6">
        <v>7182</v>
      </c>
      <c r="B6064" s="6">
        <v>51266</v>
      </c>
      <c r="C6064" s="19">
        <v>39897</v>
      </c>
      <c r="D6064" s="6" t="s">
        <v>28</v>
      </c>
      <c r="E6064" s="6">
        <f>IF((ISBLANK($B$1)),"",Sheet1!Q6076)</f>
        <v>3950</v>
      </c>
      <c r="F6064" s="20" t="s">
        <v>27</v>
      </c>
      <c r="G6064" s="53">
        <f t="shared" si="95"/>
        <v>-1.0064047814038573</v>
      </c>
      <c r="H6064" s="35"/>
      <c r="P6064" s="6"/>
    </row>
    <row r="6065" spans="1:16" ht="14.4" x14ac:dyDescent="0.25">
      <c r="A6065" s="6">
        <v>7183</v>
      </c>
      <c r="B6065" s="6">
        <v>51266</v>
      </c>
      <c r="C6065" s="19">
        <v>39897</v>
      </c>
      <c r="D6065" s="6" t="s">
        <v>28</v>
      </c>
      <c r="E6065" s="6">
        <f>IF((ISBLANK($B$1)),"",Sheet1!Q6077)</f>
        <v>4900</v>
      </c>
      <c r="F6065" s="20" t="s">
        <v>26</v>
      </c>
      <c r="G6065" s="53">
        <f t="shared" si="95"/>
        <v>0.30550177767020903</v>
      </c>
      <c r="H6065" s="35"/>
      <c r="P6065" s="6"/>
    </row>
    <row r="6066" spans="1:16" ht="14.4" x14ac:dyDescent="0.25">
      <c r="A6066" s="6">
        <v>7184</v>
      </c>
      <c r="B6066" s="6">
        <v>51266</v>
      </c>
      <c r="C6066" s="19">
        <v>39897</v>
      </c>
      <c r="D6066" s="6" t="s">
        <v>28</v>
      </c>
      <c r="E6066" s="6">
        <f>IF((ISBLANK($B$1)),"",Sheet1!Q6078)</f>
        <v>4550</v>
      </c>
      <c r="F6066" s="20" t="s">
        <v>26</v>
      </c>
      <c r="G6066" s="53">
        <f t="shared" si="95"/>
        <v>-0.17783221777813119</v>
      </c>
      <c r="H6066" s="35"/>
      <c r="P6066" s="6"/>
    </row>
    <row r="6067" spans="1:16" ht="14.4" x14ac:dyDescent="0.25">
      <c r="A6067" s="6">
        <v>7185</v>
      </c>
      <c r="B6067" s="6">
        <v>51266</v>
      </c>
      <c r="C6067" s="19">
        <v>39897</v>
      </c>
      <c r="D6067" s="6" t="s">
        <v>28</v>
      </c>
      <c r="E6067" s="6">
        <f>IF((ISBLANK($B$1)),"",Sheet1!Q6079)</f>
        <v>5700</v>
      </c>
      <c r="F6067" s="20" t="s">
        <v>26</v>
      </c>
      <c r="G6067" s="53">
        <f t="shared" si="95"/>
        <v>1.4102651958378438</v>
      </c>
      <c r="H6067" s="35"/>
      <c r="P6067" s="6"/>
    </row>
    <row r="6068" spans="1:16" ht="14.4" x14ac:dyDescent="0.25">
      <c r="A6068" s="6">
        <v>7208</v>
      </c>
      <c r="B6068" s="6">
        <v>51426</v>
      </c>
      <c r="C6068" s="19">
        <v>40513</v>
      </c>
      <c r="D6068" s="6" t="s">
        <v>16</v>
      </c>
      <c r="E6068" s="6">
        <f>IF((ISBLANK($B$1)),"",Sheet1!Q6080)</f>
        <v>5450</v>
      </c>
      <c r="F6068" s="20" t="s">
        <v>27</v>
      </c>
      <c r="G6068" s="53">
        <f t="shared" si="95"/>
        <v>1.0650266276604579</v>
      </c>
      <c r="H6068" s="35"/>
      <c r="P6068" s="6"/>
    </row>
    <row r="6069" spans="1:16" ht="14.4" x14ac:dyDescent="0.25">
      <c r="A6069" s="6">
        <v>7682</v>
      </c>
      <c r="B6069" s="6">
        <v>55045</v>
      </c>
      <c r="C6069" s="19">
        <v>40139</v>
      </c>
      <c r="D6069" s="6" t="s">
        <v>17</v>
      </c>
      <c r="E6069" s="6">
        <f>IF((ISBLANK($B$1)),"",Sheet1!Q6081)</f>
        <v>4400</v>
      </c>
      <c r="F6069" s="20" t="s">
        <v>26</v>
      </c>
      <c r="G6069" s="53">
        <f t="shared" si="95"/>
        <v>-0.38497535868456267</v>
      </c>
      <c r="H6069" s="35"/>
      <c r="P6069" s="6"/>
    </row>
    <row r="6070" spans="1:16" ht="14.4" x14ac:dyDescent="0.25">
      <c r="A6070" s="6">
        <v>7704</v>
      </c>
      <c r="B6070" s="6">
        <v>55234</v>
      </c>
      <c r="C6070" s="19">
        <v>40387</v>
      </c>
      <c r="D6070" s="6" t="s">
        <v>25</v>
      </c>
      <c r="E6070" s="6">
        <f>IF((ISBLANK($B$1)),"",Sheet1!Q6082)</f>
        <v>4000</v>
      </c>
      <c r="F6070" s="20" t="s">
        <v>27</v>
      </c>
      <c r="G6070" s="53">
        <f t="shared" si="95"/>
        <v>-0.93735706776838001</v>
      </c>
      <c r="H6070" s="35"/>
      <c r="P6070" s="6"/>
    </row>
    <row r="6071" spans="1:16" ht="14.4" x14ac:dyDescent="0.25">
      <c r="A6071" s="6">
        <v>7705</v>
      </c>
      <c r="B6071" s="6">
        <v>55234</v>
      </c>
      <c r="C6071" s="19">
        <v>40387</v>
      </c>
      <c r="D6071" s="6" t="s">
        <v>25</v>
      </c>
      <c r="E6071" s="6">
        <f>IF((ISBLANK($B$1)),"",Sheet1!Q6083)</f>
        <v>3650</v>
      </c>
      <c r="F6071" s="20" t="s">
        <v>26</v>
      </c>
      <c r="G6071" s="53">
        <f t="shared" si="95"/>
        <v>-1.4206910632167202</v>
      </c>
      <c r="H6071" s="35"/>
      <c r="P6071" s="6"/>
    </row>
    <row r="6072" spans="1:16" ht="14.4" x14ac:dyDescent="0.25">
      <c r="A6072" s="6">
        <v>7782</v>
      </c>
      <c r="B6072" s="6">
        <v>55683</v>
      </c>
      <c r="C6072" s="19">
        <v>41105</v>
      </c>
      <c r="D6072" s="6" t="s">
        <v>17</v>
      </c>
      <c r="E6072" s="6">
        <f>IF((ISBLANK($B$1)),"",Sheet1!Q6084)</f>
        <v>4550</v>
      </c>
      <c r="F6072" s="20" t="s">
        <v>29</v>
      </c>
      <c r="G6072" s="53">
        <f t="shared" si="95"/>
        <v>-0.17783221777813119</v>
      </c>
      <c r="H6072" s="35"/>
      <c r="P6072" s="6"/>
    </row>
    <row r="6073" spans="1:16" ht="14.4" x14ac:dyDescent="0.25">
      <c r="A6073" s="6">
        <v>7817</v>
      </c>
      <c r="B6073" s="6">
        <v>55906</v>
      </c>
      <c r="C6073" s="19">
        <v>40143</v>
      </c>
      <c r="D6073" s="6" t="s">
        <v>30</v>
      </c>
      <c r="E6073" s="6">
        <f>IF((ISBLANK($B$1)),"",Sheet1!Q6085)</f>
        <v>5850</v>
      </c>
      <c r="F6073" s="20" t="s">
        <v>26</v>
      </c>
      <c r="G6073" s="53">
        <f t="shared" si="95"/>
        <v>1.6174083367442753</v>
      </c>
      <c r="H6073" s="35"/>
      <c r="P6073" s="6"/>
    </row>
    <row r="6074" spans="1:16" ht="14.4" x14ac:dyDescent="0.25">
      <c r="A6074" s="6">
        <v>7818</v>
      </c>
      <c r="B6074" s="6">
        <v>55906</v>
      </c>
      <c r="C6074" s="19">
        <v>40143</v>
      </c>
      <c r="D6074" s="6" t="s">
        <v>30</v>
      </c>
      <c r="E6074" s="6">
        <f>IF((ISBLANK($B$1)),"",Sheet1!Q6086)</f>
        <v>4150</v>
      </c>
      <c r="F6074" s="20" t="s">
        <v>26</v>
      </c>
      <c r="G6074" s="53">
        <f t="shared" si="95"/>
        <v>-0.73021392686194853</v>
      </c>
      <c r="H6074" s="35"/>
      <c r="P6074" s="6"/>
    </row>
    <row r="6075" spans="1:16" ht="14.4" x14ac:dyDescent="0.25">
      <c r="A6075" s="6">
        <v>7819</v>
      </c>
      <c r="B6075" s="6">
        <v>55906</v>
      </c>
      <c r="C6075" s="19">
        <v>40143</v>
      </c>
      <c r="D6075" s="6" t="s">
        <v>30</v>
      </c>
      <c r="E6075" s="6">
        <f>IF((ISBLANK($B$1)),"",Sheet1!Q6087)</f>
        <v>5500</v>
      </c>
      <c r="F6075" s="20" t="s">
        <v>26</v>
      </c>
      <c r="G6075" s="53">
        <f t="shared" si="95"/>
        <v>1.1340743412959351</v>
      </c>
      <c r="H6075" s="35"/>
      <c r="P6075" s="6"/>
    </row>
    <row r="6076" spans="1:16" ht="14.4" x14ac:dyDescent="0.25">
      <c r="A6076" s="6">
        <v>7838</v>
      </c>
      <c r="B6076" s="6">
        <v>56032</v>
      </c>
      <c r="C6076" s="19">
        <v>40896</v>
      </c>
      <c r="D6076" s="6" t="s">
        <v>28</v>
      </c>
      <c r="E6076" s="6">
        <f>IF((ISBLANK($B$1)),"",Sheet1!Q6088)</f>
        <v>4950</v>
      </c>
      <c r="F6076" s="20" t="s">
        <v>27</v>
      </c>
      <c r="G6076" s="53">
        <f t="shared" si="95"/>
        <v>0.37454949130568621</v>
      </c>
      <c r="H6076" s="35"/>
      <c r="P6076" s="6"/>
    </row>
    <row r="6077" spans="1:16" ht="14.4" x14ac:dyDescent="0.25">
      <c r="A6077" s="6">
        <v>7839</v>
      </c>
      <c r="B6077" s="6">
        <v>56032</v>
      </c>
      <c r="C6077" s="19">
        <v>40896</v>
      </c>
      <c r="D6077" s="6" t="s">
        <v>28</v>
      </c>
      <c r="E6077" s="6">
        <f>IF((ISBLANK($B$1)),"",Sheet1!Q6089)</f>
        <v>4650</v>
      </c>
      <c r="F6077" s="20" t="s">
        <v>29</v>
      </c>
      <c r="G6077" s="53">
        <f t="shared" si="95"/>
        <v>-3.9736790507176829E-2</v>
      </c>
      <c r="H6077" s="35"/>
      <c r="P6077" s="6"/>
    </row>
    <row r="6078" spans="1:16" ht="14.4" x14ac:dyDescent="0.25">
      <c r="A6078" s="6">
        <v>7847</v>
      </c>
      <c r="B6078" s="6">
        <v>56103</v>
      </c>
      <c r="C6078" s="19">
        <v>40538</v>
      </c>
      <c r="D6078" s="6" t="s">
        <v>17</v>
      </c>
      <c r="E6078" s="6">
        <f>IF((ISBLANK($B$1)),"",Sheet1!Q6090)</f>
        <v>4600</v>
      </c>
      <c r="F6078" s="20" t="s">
        <v>27</v>
      </c>
      <c r="G6078" s="53">
        <f t="shared" si="95"/>
        <v>-0.108784504142654</v>
      </c>
      <c r="H6078" s="35"/>
      <c r="P6078" s="6"/>
    </row>
    <row r="6079" spans="1:16" ht="14.4" x14ac:dyDescent="0.25">
      <c r="A6079" s="6">
        <v>19</v>
      </c>
      <c r="B6079" s="6">
        <v>130</v>
      </c>
      <c r="C6079" s="19">
        <v>41036</v>
      </c>
      <c r="D6079" s="6" t="s">
        <v>17</v>
      </c>
      <c r="E6079" s="6">
        <f>IF((ISBLANK($B$1)),"",Sheet1!Q6091)</f>
        <v>3550</v>
      </c>
      <c r="F6079" s="20" t="s">
        <v>27</v>
      </c>
      <c r="G6079" s="53">
        <f t="shared" si="95"/>
        <v>-1.5587864904876745</v>
      </c>
      <c r="H6079" s="35"/>
      <c r="P6079" s="6"/>
    </row>
    <row r="6080" spans="1:16" ht="14.4" x14ac:dyDescent="0.25">
      <c r="A6080" s="6">
        <v>20</v>
      </c>
      <c r="B6080" s="6">
        <v>130</v>
      </c>
      <c r="C6080" s="19">
        <v>41036</v>
      </c>
      <c r="D6080" s="6" t="s">
        <v>17</v>
      </c>
      <c r="E6080" s="6">
        <f>IF((ISBLANK($B$1)),"",Sheet1!Q6092)</f>
        <v>4850</v>
      </c>
      <c r="F6080" s="20" t="s">
        <v>26</v>
      </c>
      <c r="G6080" s="53">
        <f t="shared" si="95"/>
        <v>0.23645406403473185</v>
      </c>
      <c r="H6080" s="35"/>
      <c r="P6080" s="6"/>
    </row>
    <row r="6081" spans="1:16" ht="14.4" x14ac:dyDescent="0.25">
      <c r="A6081" s="6">
        <v>21</v>
      </c>
      <c r="B6081" s="6">
        <v>130</v>
      </c>
      <c r="C6081" s="19">
        <v>41036</v>
      </c>
      <c r="D6081" s="6" t="s">
        <v>17</v>
      </c>
      <c r="E6081" s="6">
        <f>IF((ISBLANK($B$1)),"",Sheet1!Q6093)</f>
        <v>4550</v>
      </c>
      <c r="F6081" s="20" t="s">
        <v>26</v>
      </c>
      <c r="G6081" s="53">
        <f t="shared" si="95"/>
        <v>-0.17783221777813119</v>
      </c>
      <c r="H6081" s="35"/>
      <c r="P6081" s="6"/>
    </row>
    <row r="6082" spans="1:16" ht="14.4" x14ac:dyDescent="0.25">
      <c r="A6082" s="6">
        <v>126</v>
      </c>
      <c r="B6082" s="6">
        <v>805</v>
      </c>
      <c r="C6082" s="19">
        <v>40728</v>
      </c>
      <c r="D6082" s="6" t="s">
        <v>28</v>
      </c>
      <c r="E6082" s="6">
        <f>IF((ISBLANK($B$1)),"",Sheet1!Q6094)</f>
        <v>5350</v>
      </c>
      <c r="F6082" s="20" t="s">
        <v>29</v>
      </c>
      <c r="G6082" s="53">
        <f t="shared" si="95"/>
        <v>0.92693120038950361</v>
      </c>
      <c r="H6082" s="35"/>
      <c r="P6082" s="6"/>
    </row>
    <row r="6083" spans="1:16" ht="14.4" x14ac:dyDescent="0.25">
      <c r="A6083" s="6">
        <v>324</v>
      </c>
      <c r="B6083" s="6">
        <v>2240</v>
      </c>
      <c r="C6083" s="19">
        <v>40973</v>
      </c>
      <c r="D6083" s="6" t="s">
        <v>28</v>
      </c>
      <c r="E6083" s="6">
        <f>IF((ISBLANK($B$1)),"",Sheet1!Q6095)</f>
        <v>4250</v>
      </c>
      <c r="F6083" s="20" t="s">
        <v>29</v>
      </c>
      <c r="G6083" s="53">
        <f t="shared" si="95"/>
        <v>-0.59211849959099416</v>
      </c>
      <c r="H6083" s="35"/>
      <c r="P6083" s="6"/>
    </row>
    <row r="6084" spans="1:16" ht="14.4" x14ac:dyDescent="0.25">
      <c r="A6084" s="6">
        <v>325</v>
      </c>
      <c r="B6084" s="6">
        <v>2240</v>
      </c>
      <c r="C6084" s="19">
        <v>40973</v>
      </c>
      <c r="D6084" s="6" t="s">
        <v>28</v>
      </c>
      <c r="E6084" s="6">
        <f>IF((ISBLANK($B$1)),"",Sheet1!Q6096)</f>
        <v>3650</v>
      </c>
      <c r="F6084" s="20" t="s">
        <v>26</v>
      </c>
      <c r="G6084" s="53">
        <f t="shared" si="95"/>
        <v>-1.4206910632167202</v>
      </c>
      <c r="H6084" s="35"/>
      <c r="P6084" s="6"/>
    </row>
    <row r="6085" spans="1:16" ht="14.4" x14ac:dyDescent="0.25">
      <c r="A6085" s="6">
        <v>326</v>
      </c>
      <c r="B6085" s="6">
        <v>2241</v>
      </c>
      <c r="C6085" s="19">
        <v>40308</v>
      </c>
      <c r="D6085" s="6" t="s">
        <v>30</v>
      </c>
      <c r="E6085" s="6">
        <f>IF((ISBLANK($B$1)),"",Sheet1!Q6097)</f>
        <v>5300</v>
      </c>
      <c r="F6085" s="20" t="s">
        <v>26</v>
      </c>
      <c r="G6085" s="53">
        <f t="shared" si="95"/>
        <v>0.85788348675402637</v>
      </c>
      <c r="H6085" s="35"/>
      <c r="P6085" s="6"/>
    </row>
    <row r="6086" spans="1:16" ht="14.4" x14ac:dyDescent="0.25">
      <c r="A6086" s="6">
        <v>667</v>
      </c>
      <c r="B6086" s="6">
        <v>4674</v>
      </c>
      <c r="C6086" s="19">
        <v>39921</v>
      </c>
      <c r="D6086" s="6" t="s">
        <v>30</v>
      </c>
      <c r="E6086" s="6">
        <f>IF((ISBLANK($B$1)),"",Sheet1!Q6098)</f>
        <v>4550</v>
      </c>
      <c r="F6086" s="20" t="s">
        <v>29</v>
      </c>
      <c r="G6086" s="53">
        <f t="shared" si="95"/>
        <v>-0.17783221777813119</v>
      </c>
      <c r="H6086" s="35"/>
      <c r="P6086" s="6"/>
    </row>
    <row r="6087" spans="1:16" ht="14.4" x14ac:dyDescent="0.25">
      <c r="A6087" s="6">
        <v>676</v>
      </c>
      <c r="B6087" s="6">
        <v>4737</v>
      </c>
      <c r="C6087" s="19">
        <v>40247</v>
      </c>
      <c r="D6087" s="6" t="s">
        <v>28</v>
      </c>
      <c r="E6087" s="6">
        <f>IF((ISBLANK($B$1)),"",Sheet1!Q6099)</f>
        <v>5850</v>
      </c>
      <c r="F6087" s="20" t="s">
        <v>26</v>
      </c>
      <c r="G6087" s="53">
        <f t="shared" si="95"/>
        <v>1.6174083367442753</v>
      </c>
      <c r="H6087" s="35"/>
      <c r="P6087" s="6"/>
    </row>
    <row r="6088" spans="1:16" ht="14.4" x14ac:dyDescent="0.25">
      <c r="A6088" s="6">
        <v>727</v>
      </c>
      <c r="B6088" s="6">
        <v>5221</v>
      </c>
      <c r="C6088" s="19">
        <v>40702</v>
      </c>
      <c r="D6088" s="6" t="s">
        <v>28</v>
      </c>
      <c r="E6088" s="6">
        <f>IF((ISBLANK($B$1)),"",Sheet1!Q6100)</f>
        <v>5800</v>
      </c>
      <c r="F6088" s="20" t="s">
        <v>27</v>
      </c>
      <c r="G6088" s="53">
        <f t="shared" ref="G6088:G6151" si="96">STANDARDIZE(E6088,$L$26,$L$35)</f>
        <v>1.5483606231087981</v>
      </c>
      <c r="H6088" s="35"/>
      <c r="P6088" s="6"/>
    </row>
    <row r="6089" spans="1:16" ht="14.4" x14ac:dyDescent="0.25">
      <c r="A6089" s="6">
        <v>781</v>
      </c>
      <c r="B6089" s="6">
        <v>5568</v>
      </c>
      <c r="C6089" s="19">
        <v>40700</v>
      </c>
      <c r="D6089" s="6" t="s">
        <v>16</v>
      </c>
      <c r="E6089" s="6">
        <f>IF((ISBLANK($B$1)),"",Sheet1!Q6101)</f>
        <v>3800</v>
      </c>
      <c r="F6089" s="20" t="s">
        <v>29</v>
      </c>
      <c r="G6089" s="53">
        <f t="shared" si="96"/>
        <v>-1.2135479223102887</v>
      </c>
      <c r="H6089" s="35"/>
      <c r="P6089" s="6"/>
    </row>
    <row r="6090" spans="1:16" ht="14.4" x14ac:dyDescent="0.25">
      <c r="A6090" s="6">
        <v>842</v>
      </c>
      <c r="B6090" s="6">
        <v>6020</v>
      </c>
      <c r="C6090" s="19">
        <v>40077</v>
      </c>
      <c r="D6090" s="6" t="s">
        <v>16</v>
      </c>
      <c r="E6090" s="6">
        <f>IF((ISBLANK($B$1)),"",Sheet1!Q6102)</f>
        <v>4550</v>
      </c>
      <c r="F6090" s="20" t="s">
        <v>26</v>
      </c>
      <c r="G6090" s="53">
        <f t="shared" si="96"/>
        <v>-0.17783221777813119</v>
      </c>
      <c r="H6090" s="35"/>
      <c r="P6090" s="6"/>
    </row>
    <row r="6091" spans="1:16" ht="14.4" x14ac:dyDescent="0.25">
      <c r="A6091" s="6">
        <v>849</v>
      </c>
      <c r="B6091" s="6">
        <v>6112</v>
      </c>
      <c r="C6091" s="19">
        <v>40048</v>
      </c>
      <c r="D6091" s="6" t="s">
        <v>16</v>
      </c>
      <c r="E6091" s="6">
        <f>IF((ISBLANK($B$1)),"",Sheet1!Q6103)</f>
        <v>3900</v>
      </c>
      <c r="F6091" s="20" t="s">
        <v>29</v>
      </c>
      <c r="G6091" s="53">
        <f t="shared" si="96"/>
        <v>-1.0754524950393345</v>
      </c>
      <c r="H6091" s="35"/>
      <c r="P6091" s="6"/>
    </row>
    <row r="6092" spans="1:16" ht="14.4" x14ac:dyDescent="0.25">
      <c r="A6092" s="6">
        <v>850</v>
      </c>
      <c r="B6092" s="6">
        <v>6112</v>
      </c>
      <c r="C6092" s="19">
        <v>40048</v>
      </c>
      <c r="D6092" s="6" t="s">
        <v>16</v>
      </c>
      <c r="E6092" s="6">
        <f>IF((ISBLANK($B$1)),"",Sheet1!Q6104)</f>
        <v>4950</v>
      </c>
      <c r="F6092" s="20" t="s">
        <v>27</v>
      </c>
      <c r="G6092" s="53">
        <f t="shared" si="96"/>
        <v>0.37454949130568621</v>
      </c>
      <c r="H6092" s="35"/>
      <c r="P6092" s="6"/>
    </row>
    <row r="6093" spans="1:16" ht="14.4" x14ac:dyDescent="0.25">
      <c r="A6093" s="6">
        <v>871</v>
      </c>
      <c r="B6093" s="6">
        <v>6272</v>
      </c>
      <c r="C6093" s="19">
        <v>40236</v>
      </c>
      <c r="D6093" s="6" t="s">
        <v>17</v>
      </c>
      <c r="E6093" s="6">
        <f>IF((ISBLANK($B$1)),"",Sheet1!Q6105)</f>
        <v>5050</v>
      </c>
      <c r="F6093" s="20" t="s">
        <v>29</v>
      </c>
      <c r="G6093" s="53">
        <f t="shared" si="96"/>
        <v>0.51264491857664052</v>
      </c>
      <c r="H6093" s="35"/>
      <c r="P6093" s="6"/>
    </row>
    <row r="6094" spans="1:16" ht="14.4" x14ac:dyDescent="0.25">
      <c r="A6094" s="6">
        <v>872</v>
      </c>
      <c r="B6094" s="6">
        <v>6272</v>
      </c>
      <c r="C6094" s="19">
        <v>40236</v>
      </c>
      <c r="D6094" s="6" t="s">
        <v>17</v>
      </c>
      <c r="E6094" s="6">
        <f>IF((ISBLANK($B$1)),"",Sheet1!Q6106)</f>
        <v>5800</v>
      </c>
      <c r="F6094" s="20" t="s">
        <v>29</v>
      </c>
      <c r="G6094" s="53">
        <f t="shared" si="96"/>
        <v>1.5483606231087981</v>
      </c>
      <c r="H6094" s="35"/>
      <c r="P6094" s="6"/>
    </row>
    <row r="6095" spans="1:16" ht="14.4" x14ac:dyDescent="0.25">
      <c r="A6095" s="6">
        <v>873</v>
      </c>
      <c r="B6095" s="6">
        <v>6272</v>
      </c>
      <c r="C6095" s="19">
        <v>40236</v>
      </c>
      <c r="D6095" s="6" t="s">
        <v>17</v>
      </c>
      <c r="E6095" s="6">
        <f>IF((ISBLANK($B$1)),"",Sheet1!Q6107)</f>
        <v>3800</v>
      </c>
      <c r="F6095" s="20" t="s">
        <v>27</v>
      </c>
      <c r="G6095" s="53">
        <f t="shared" si="96"/>
        <v>-1.2135479223102887</v>
      </c>
      <c r="H6095" s="35"/>
      <c r="P6095" s="6"/>
    </row>
    <row r="6096" spans="1:16" ht="14.4" x14ac:dyDescent="0.25">
      <c r="A6096" s="6">
        <v>874</v>
      </c>
      <c r="B6096" s="6">
        <v>6272</v>
      </c>
      <c r="C6096" s="19">
        <v>40236</v>
      </c>
      <c r="D6096" s="6" t="s">
        <v>17</v>
      </c>
      <c r="E6096" s="6">
        <f>IF((ISBLANK($B$1)),"",Sheet1!Q6108)</f>
        <v>4950</v>
      </c>
      <c r="F6096" s="20" t="s">
        <v>29</v>
      </c>
      <c r="G6096" s="53">
        <f t="shared" si="96"/>
        <v>0.37454949130568621</v>
      </c>
      <c r="H6096" s="35"/>
      <c r="P6096" s="6"/>
    </row>
    <row r="6097" spans="1:16" ht="14.4" x14ac:dyDescent="0.25">
      <c r="A6097" s="6">
        <v>904</v>
      </c>
      <c r="B6097" s="6">
        <v>6501</v>
      </c>
      <c r="C6097" s="19">
        <v>40921</v>
      </c>
      <c r="D6097" s="6" t="s">
        <v>17</v>
      </c>
      <c r="E6097" s="6">
        <f>IF((ISBLANK($B$1)),"",Sheet1!Q6109)</f>
        <v>5150</v>
      </c>
      <c r="F6097" s="20" t="s">
        <v>26</v>
      </c>
      <c r="G6097" s="53">
        <f t="shared" si="96"/>
        <v>0.65074034584759488</v>
      </c>
      <c r="H6097" s="35"/>
      <c r="P6097" s="6"/>
    </row>
    <row r="6098" spans="1:16" ht="14.4" x14ac:dyDescent="0.25">
      <c r="A6098" s="6">
        <v>905</v>
      </c>
      <c r="B6098" s="6">
        <v>6501</v>
      </c>
      <c r="C6098" s="19">
        <v>40921</v>
      </c>
      <c r="D6098" s="6" t="s">
        <v>17</v>
      </c>
      <c r="E6098" s="6">
        <f>IF((ISBLANK($B$1)),"",Sheet1!Q6110)</f>
        <v>5700</v>
      </c>
      <c r="F6098" s="20" t="s">
        <v>27</v>
      </c>
      <c r="G6098" s="53">
        <f t="shared" si="96"/>
        <v>1.4102651958378438</v>
      </c>
      <c r="H6098" s="35"/>
      <c r="P6098" s="6"/>
    </row>
    <row r="6099" spans="1:16" ht="14.4" x14ac:dyDescent="0.25">
      <c r="A6099" s="6">
        <v>908</v>
      </c>
      <c r="B6099" s="6">
        <v>6529</v>
      </c>
      <c r="C6099" s="19">
        <v>41239</v>
      </c>
      <c r="D6099" s="6" t="s">
        <v>16</v>
      </c>
      <c r="E6099" s="6">
        <f>IF((ISBLANK($B$1)),"",Sheet1!Q6111)</f>
        <v>5150</v>
      </c>
      <c r="F6099" s="20" t="s">
        <v>26</v>
      </c>
      <c r="G6099" s="53">
        <f t="shared" si="96"/>
        <v>0.65074034584759488</v>
      </c>
      <c r="H6099" s="35"/>
      <c r="P6099" s="6"/>
    </row>
    <row r="6100" spans="1:16" ht="14.4" x14ac:dyDescent="0.25">
      <c r="A6100" s="6">
        <v>994</v>
      </c>
      <c r="B6100" s="6">
        <v>7171</v>
      </c>
      <c r="C6100" s="19">
        <v>40587</v>
      </c>
      <c r="D6100" s="6" t="s">
        <v>16</v>
      </c>
      <c r="E6100" s="6">
        <f>IF((ISBLANK($B$1)),"",Sheet1!Q6112)</f>
        <v>4800</v>
      </c>
      <c r="F6100" s="20" t="s">
        <v>27</v>
      </c>
      <c r="G6100" s="53">
        <f t="shared" si="96"/>
        <v>0.16740635039925467</v>
      </c>
      <c r="H6100" s="35"/>
      <c r="P6100" s="6"/>
    </row>
    <row r="6101" spans="1:16" ht="14.4" x14ac:dyDescent="0.25">
      <c r="A6101" s="6">
        <v>995</v>
      </c>
      <c r="B6101" s="6">
        <v>7171</v>
      </c>
      <c r="C6101" s="19">
        <v>40587</v>
      </c>
      <c r="D6101" s="6" t="s">
        <v>16</v>
      </c>
      <c r="E6101" s="6">
        <f>IF((ISBLANK($B$1)),"",Sheet1!Q6113)</f>
        <v>4250</v>
      </c>
      <c r="F6101" s="20" t="s">
        <v>27</v>
      </c>
      <c r="G6101" s="53">
        <f t="shared" si="96"/>
        <v>-0.59211849959099416</v>
      </c>
      <c r="H6101" s="35"/>
      <c r="P6101" s="6"/>
    </row>
    <row r="6102" spans="1:16" ht="14.4" x14ac:dyDescent="0.25">
      <c r="A6102" s="6">
        <v>1058</v>
      </c>
      <c r="B6102" s="6">
        <v>7815</v>
      </c>
      <c r="C6102" s="19">
        <v>39835</v>
      </c>
      <c r="D6102" s="6" t="s">
        <v>30</v>
      </c>
      <c r="E6102" s="6">
        <f>IF((ISBLANK($B$1)),"",Sheet1!Q6114)</f>
        <v>3700</v>
      </c>
      <c r="F6102" s="20" t="s">
        <v>27</v>
      </c>
      <c r="G6102" s="53">
        <f t="shared" si="96"/>
        <v>-1.351643349581243</v>
      </c>
      <c r="H6102" s="35"/>
      <c r="P6102" s="6"/>
    </row>
    <row r="6103" spans="1:16" ht="14.4" x14ac:dyDescent="0.25">
      <c r="A6103" s="6">
        <v>1360</v>
      </c>
      <c r="B6103" s="6">
        <v>9921</v>
      </c>
      <c r="C6103" s="19">
        <v>40677</v>
      </c>
      <c r="D6103" s="6" t="s">
        <v>25</v>
      </c>
      <c r="E6103" s="6">
        <f>IF((ISBLANK($B$1)),"",Sheet1!Q6115)</f>
        <v>4550</v>
      </c>
      <c r="F6103" s="20" t="s">
        <v>26</v>
      </c>
      <c r="G6103" s="53">
        <f t="shared" si="96"/>
        <v>-0.17783221777813119</v>
      </c>
      <c r="H6103" s="35"/>
      <c r="P6103" s="6"/>
    </row>
    <row r="6104" spans="1:16" ht="14.4" x14ac:dyDescent="0.25">
      <c r="A6104" s="6">
        <v>1386</v>
      </c>
      <c r="B6104" s="6">
        <v>10053</v>
      </c>
      <c r="C6104" s="19">
        <v>40918</v>
      </c>
      <c r="D6104" s="6" t="s">
        <v>17</v>
      </c>
      <c r="E6104" s="6">
        <f>IF((ISBLANK($B$1)),"",Sheet1!Q6116)</f>
        <v>4950</v>
      </c>
      <c r="F6104" s="20" t="s">
        <v>27</v>
      </c>
      <c r="G6104" s="53">
        <f t="shared" si="96"/>
        <v>0.37454949130568621</v>
      </c>
      <c r="H6104" s="35"/>
      <c r="P6104" s="6"/>
    </row>
    <row r="6105" spans="1:16" ht="14.4" x14ac:dyDescent="0.25">
      <c r="A6105" s="6">
        <v>1387</v>
      </c>
      <c r="B6105" s="6">
        <v>10053</v>
      </c>
      <c r="C6105" s="19">
        <v>40918</v>
      </c>
      <c r="D6105" s="6" t="s">
        <v>17</v>
      </c>
      <c r="E6105" s="6">
        <f>IF((ISBLANK($B$1)),"",Sheet1!Q6117)</f>
        <v>5600</v>
      </c>
      <c r="F6105" s="20" t="s">
        <v>29</v>
      </c>
      <c r="G6105" s="53">
        <f t="shared" si="96"/>
        <v>1.2721697685668893</v>
      </c>
      <c r="H6105" s="35"/>
      <c r="P6105" s="6"/>
    </row>
    <row r="6106" spans="1:16" ht="14.4" x14ac:dyDescent="0.25">
      <c r="A6106" s="6">
        <v>1422</v>
      </c>
      <c r="B6106" s="6">
        <v>10309</v>
      </c>
      <c r="C6106" s="19">
        <v>40138</v>
      </c>
      <c r="D6106" s="6" t="s">
        <v>25</v>
      </c>
      <c r="E6106" s="6">
        <f>IF((ISBLANK($B$1)),"",Sheet1!Q6118)</f>
        <v>4550</v>
      </c>
      <c r="F6106" s="20" t="s">
        <v>26</v>
      </c>
      <c r="G6106" s="53">
        <f t="shared" si="96"/>
        <v>-0.17783221777813119</v>
      </c>
      <c r="H6106" s="35"/>
      <c r="P6106" s="6"/>
    </row>
    <row r="6107" spans="1:16" ht="14.4" x14ac:dyDescent="0.25">
      <c r="A6107" s="6">
        <v>1517</v>
      </c>
      <c r="B6107" s="6">
        <v>10978</v>
      </c>
      <c r="C6107" s="19">
        <v>39904</v>
      </c>
      <c r="D6107" s="6" t="s">
        <v>30</v>
      </c>
      <c r="E6107" s="6">
        <f>IF((ISBLANK($B$1)),"",Sheet1!Q6119)</f>
        <v>3850</v>
      </c>
      <c r="F6107" s="20" t="s">
        <v>29</v>
      </c>
      <c r="G6107" s="53">
        <f t="shared" si="96"/>
        <v>-1.1445002086748115</v>
      </c>
      <c r="H6107" s="35"/>
      <c r="P6107" s="6"/>
    </row>
    <row r="6108" spans="1:16" ht="14.4" x14ac:dyDescent="0.25">
      <c r="A6108" s="6">
        <v>1518</v>
      </c>
      <c r="B6108" s="6">
        <v>10979</v>
      </c>
      <c r="C6108" s="19">
        <v>40820</v>
      </c>
      <c r="D6108" s="6" t="s">
        <v>16</v>
      </c>
      <c r="E6108" s="6">
        <f>IF((ISBLANK($B$1)),"",Sheet1!Q6120)</f>
        <v>4150</v>
      </c>
      <c r="F6108" s="20" t="s">
        <v>29</v>
      </c>
      <c r="G6108" s="53">
        <f t="shared" si="96"/>
        <v>-0.73021392686194853</v>
      </c>
      <c r="H6108" s="35"/>
      <c r="P6108" s="6"/>
    </row>
    <row r="6109" spans="1:16" ht="14.4" x14ac:dyDescent="0.25">
      <c r="A6109" s="6">
        <v>1519</v>
      </c>
      <c r="B6109" s="6">
        <v>10979</v>
      </c>
      <c r="C6109" s="19">
        <v>40820</v>
      </c>
      <c r="D6109" s="6" t="s">
        <v>16</v>
      </c>
      <c r="E6109" s="6">
        <f>IF((ISBLANK($B$1)),"",Sheet1!Q6121)</f>
        <v>3750</v>
      </c>
      <c r="F6109" s="20" t="s">
        <v>26</v>
      </c>
      <c r="G6109" s="53">
        <f t="shared" si="96"/>
        <v>-1.282595635945766</v>
      </c>
      <c r="H6109" s="35"/>
      <c r="P6109" s="6"/>
    </row>
    <row r="6110" spans="1:16" ht="14.4" x14ac:dyDescent="0.25">
      <c r="A6110" s="6">
        <v>1540</v>
      </c>
      <c r="B6110" s="6">
        <v>11108</v>
      </c>
      <c r="C6110" s="19">
        <v>41137</v>
      </c>
      <c r="D6110" s="6" t="s">
        <v>28</v>
      </c>
      <c r="E6110" s="6">
        <f>IF((ISBLANK($B$1)),"",Sheet1!Q6122)</f>
        <v>4400</v>
      </c>
      <c r="F6110" s="20" t="s">
        <v>26</v>
      </c>
      <c r="G6110" s="53">
        <f t="shared" si="96"/>
        <v>-0.38497535868456267</v>
      </c>
      <c r="H6110" s="35"/>
      <c r="P6110" s="6"/>
    </row>
    <row r="6111" spans="1:16" ht="14.4" x14ac:dyDescent="0.25">
      <c r="A6111" s="6">
        <v>1670</v>
      </c>
      <c r="B6111" s="6">
        <v>12067</v>
      </c>
      <c r="C6111" s="19">
        <v>40213</v>
      </c>
      <c r="D6111" s="6" t="s">
        <v>30</v>
      </c>
      <c r="E6111" s="6">
        <f>IF((ISBLANK($B$1)),"",Sheet1!Q6123)</f>
        <v>5650</v>
      </c>
      <c r="F6111" s="20" t="s">
        <v>26</v>
      </c>
      <c r="G6111" s="53">
        <f t="shared" si="96"/>
        <v>1.3412174822023666</v>
      </c>
      <c r="H6111" s="35"/>
      <c r="P6111" s="6"/>
    </row>
    <row r="6112" spans="1:16" ht="14.4" x14ac:dyDescent="0.25">
      <c r="A6112" s="6">
        <v>1671</v>
      </c>
      <c r="B6112" s="6">
        <v>12067</v>
      </c>
      <c r="C6112" s="19">
        <v>40213</v>
      </c>
      <c r="D6112" s="6" t="s">
        <v>30</v>
      </c>
      <c r="E6112" s="6">
        <f>IF((ISBLANK($B$1)),"",Sheet1!Q6124)</f>
        <v>3700</v>
      </c>
      <c r="F6112" s="20" t="s">
        <v>29</v>
      </c>
      <c r="G6112" s="53">
        <f t="shared" si="96"/>
        <v>-1.351643349581243</v>
      </c>
      <c r="H6112" s="35"/>
      <c r="P6112" s="6"/>
    </row>
    <row r="6113" spans="1:16" ht="14.4" x14ac:dyDescent="0.25">
      <c r="A6113" s="6">
        <v>1672</v>
      </c>
      <c r="B6113" s="6">
        <v>12067</v>
      </c>
      <c r="C6113" s="19">
        <v>40213</v>
      </c>
      <c r="D6113" s="6" t="s">
        <v>30</v>
      </c>
      <c r="E6113" s="6">
        <f>IF((ISBLANK($B$1)),"",Sheet1!Q6125)</f>
        <v>4000</v>
      </c>
      <c r="F6113" s="20" t="s">
        <v>29</v>
      </c>
      <c r="G6113" s="53">
        <f t="shared" si="96"/>
        <v>-0.93735706776838001</v>
      </c>
      <c r="H6113" s="35"/>
      <c r="P6113" s="6"/>
    </row>
    <row r="6114" spans="1:16" ht="14.4" x14ac:dyDescent="0.25">
      <c r="A6114" s="6">
        <v>1673</v>
      </c>
      <c r="B6114" s="6">
        <v>12067</v>
      </c>
      <c r="C6114" s="19">
        <v>40213</v>
      </c>
      <c r="D6114" s="6" t="s">
        <v>30</v>
      </c>
      <c r="E6114" s="6">
        <f>IF((ISBLANK($B$1)),"",Sheet1!Q6126)</f>
        <v>3850</v>
      </c>
      <c r="F6114" s="20" t="s">
        <v>26</v>
      </c>
      <c r="G6114" s="53">
        <f t="shared" si="96"/>
        <v>-1.1445002086748115</v>
      </c>
      <c r="H6114" s="35"/>
      <c r="P6114" s="6"/>
    </row>
    <row r="6115" spans="1:16" ht="14.4" x14ac:dyDescent="0.25">
      <c r="A6115" s="6">
        <v>1674</v>
      </c>
      <c r="B6115" s="6">
        <v>12067</v>
      </c>
      <c r="C6115" s="19">
        <v>40213</v>
      </c>
      <c r="D6115" s="6" t="s">
        <v>30</v>
      </c>
      <c r="E6115" s="6">
        <f>IF((ISBLANK($B$1)),"",Sheet1!Q6127)</f>
        <v>3750</v>
      </c>
      <c r="F6115" s="20" t="s">
        <v>27</v>
      </c>
      <c r="G6115" s="53">
        <f t="shared" si="96"/>
        <v>-1.282595635945766</v>
      </c>
      <c r="H6115" s="35"/>
      <c r="P6115" s="6"/>
    </row>
    <row r="6116" spans="1:16" ht="14.4" x14ac:dyDescent="0.25">
      <c r="A6116" s="6">
        <v>1788</v>
      </c>
      <c r="B6116" s="6">
        <v>12804</v>
      </c>
      <c r="C6116" s="19">
        <v>41054</v>
      </c>
      <c r="D6116" s="6" t="s">
        <v>16</v>
      </c>
      <c r="E6116" s="6">
        <f>IF((ISBLANK($B$1)),"",Sheet1!Q6128)</f>
        <v>4450</v>
      </c>
      <c r="F6116" s="20" t="s">
        <v>26</v>
      </c>
      <c r="G6116" s="53">
        <f t="shared" si="96"/>
        <v>-0.31592764504908549</v>
      </c>
      <c r="H6116" s="35"/>
      <c r="P6116" s="6"/>
    </row>
    <row r="6117" spans="1:16" ht="14.4" x14ac:dyDescent="0.25">
      <c r="A6117" s="6">
        <v>1789</v>
      </c>
      <c r="B6117" s="6">
        <v>12804</v>
      </c>
      <c r="C6117" s="19">
        <v>41054</v>
      </c>
      <c r="D6117" s="6" t="s">
        <v>16</v>
      </c>
      <c r="E6117" s="6">
        <f>IF((ISBLANK($B$1)),"",Sheet1!Q6129)</f>
        <v>5900</v>
      </c>
      <c r="F6117" s="20" t="s">
        <v>26</v>
      </c>
      <c r="G6117" s="53">
        <f t="shared" si="96"/>
        <v>1.6864560503797523</v>
      </c>
      <c r="H6117" s="35"/>
      <c r="P6117" s="6"/>
    </row>
    <row r="6118" spans="1:16" ht="14.4" x14ac:dyDescent="0.25">
      <c r="A6118" s="6">
        <v>1790</v>
      </c>
      <c r="B6118" s="6">
        <v>12804</v>
      </c>
      <c r="C6118" s="19">
        <v>41054</v>
      </c>
      <c r="D6118" s="6" t="s">
        <v>16</v>
      </c>
      <c r="E6118" s="6">
        <f>IF((ISBLANK($B$1)),"",Sheet1!Q6130)</f>
        <v>5100</v>
      </c>
      <c r="F6118" s="20" t="s">
        <v>26</v>
      </c>
      <c r="G6118" s="53">
        <f t="shared" si="96"/>
        <v>0.58169263221211776</v>
      </c>
      <c r="H6118" s="35"/>
      <c r="P6118" s="6"/>
    </row>
    <row r="6119" spans="1:16" ht="14.4" x14ac:dyDescent="0.25">
      <c r="A6119" s="6">
        <v>1892</v>
      </c>
      <c r="B6119" s="6">
        <v>13575</v>
      </c>
      <c r="C6119" s="19">
        <v>41150</v>
      </c>
      <c r="D6119" s="6" t="s">
        <v>30</v>
      </c>
      <c r="E6119" s="6">
        <f>IF((ISBLANK($B$1)),"",Sheet1!Q6131)</f>
        <v>4150</v>
      </c>
      <c r="F6119" s="20" t="s">
        <v>26</v>
      </c>
      <c r="G6119" s="53">
        <f t="shared" si="96"/>
        <v>-0.73021392686194853</v>
      </c>
      <c r="H6119" s="35"/>
      <c r="P6119" s="6"/>
    </row>
    <row r="6120" spans="1:16" ht="14.4" x14ac:dyDescent="0.25">
      <c r="A6120" s="6">
        <v>1907</v>
      </c>
      <c r="B6120" s="6">
        <v>13635</v>
      </c>
      <c r="C6120" s="19">
        <v>39934</v>
      </c>
      <c r="D6120" s="6" t="s">
        <v>30</v>
      </c>
      <c r="E6120" s="6">
        <f>IF((ISBLANK($B$1)),"",Sheet1!Q6132)</f>
        <v>4800</v>
      </c>
      <c r="F6120" s="20" t="s">
        <v>26</v>
      </c>
      <c r="G6120" s="53">
        <f t="shared" si="96"/>
        <v>0.16740635039925467</v>
      </c>
      <c r="H6120" s="35"/>
      <c r="P6120" s="6"/>
    </row>
    <row r="6121" spans="1:16" ht="14.4" x14ac:dyDescent="0.25">
      <c r="A6121" s="6">
        <v>1908</v>
      </c>
      <c r="B6121" s="6">
        <v>13635</v>
      </c>
      <c r="C6121" s="19">
        <v>39934</v>
      </c>
      <c r="D6121" s="6" t="s">
        <v>30</v>
      </c>
      <c r="E6121" s="6">
        <f>IF((ISBLANK($B$1)),"",Sheet1!Q6133)</f>
        <v>5850</v>
      </c>
      <c r="F6121" s="20" t="s">
        <v>26</v>
      </c>
      <c r="G6121" s="53">
        <f t="shared" si="96"/>
        <v>1.6174083367442753</v>
      </c>
      <c r="H6121" s="35"/>
      <c r="P6121" s="6"/>
    </row>
    <row r="6122" spans="1:16" ht="14.4" x14ac:dyDescent="0.25">
      <c r="A6122" s="6">
        <v>1998</v>
      </c>
      <c r="B6122" s="6">
        <v>14245</v>
      </c>
      <c r="C6122" s="19">
        <v>40220</v>
      </c>
      <c r="D6122" s="6" t="s">
        <v>30</v>
      </c>
      <c r="E6122" s="6">
        <f>IF((ISBLANK($B$1)),"",Sheet1!Q6134)</f>
        <v>4250</v>
      </c>
      <c r="F6122" s="20" t="s">
        <v>26</v>
      </c>
      <c r="G6122" s="53">
        <f t="shared" si="96"/>
        <v>-0.59211849959099416</v>
      </c>
      <c r="H6122" s="35"/>
      <c r="P6122" s="6"/>
    </row>
    <row r="6123" spans="1:16" ht="14.4" x14ac:dyDescent="0.25">
      <c r="A6123" s="6">
        <v>2203</v>
      </c>
      <c r="B6123" s="6">
        <v>15904</v>
      </c>
      <c r="C6123" s="19">
        <v>40113</v>
      </c>
      <c r="D6123" s="6" t="s">
        <v>28</v>
      </c>
      <c r="E6123" s="6">
        <f>IF((ISBLANK($B$1)),"",Sheet1!Q6135)</f>
        <v>5350</v>
      </c>
      <c r="F6123" s="20" t="s">
        <v>26</v>
      </c>
      <c r="G6123" s="53">
        <f t="shared" si="96"/>
        <v>0.92693120038950361</v>
      </c>
      <c r="H6123" s="35"/>
      <c r="P6123" s="6"/>
    </row>
    <row r="6124" spans="1:16" ht="14.4" x14ac:dyDescent="0.25">
      <c r="A6124" s="6">
        <v>2204</v>
      </c>
      <c r="B6124" s="6">
        <v>15904</v>
      </c>
      <c r="C6124" s="19">
        <v>40113</v>
      </c>
      <c r="D6124" s="6" t="s">
        <v>28</v>
      </c>
      <c r="E6124" s="6">
        <f>IF((ISBLANK($B$1)),"",Sheet1!Q6136)</f>
        <v>5850</v>
      </c>
      <c r="F6124" s="20" t="s">
        <v>26</v>
      </c>
      <c r="G6124" s="53">
        <f t="shared" si="96"/>
        <v>1.6174083367442753</v>
      </c>
      <c r="H6124" s="35"/>
      <c r="P6124" s="6"/>
    </row>
    <row r="6125" spans="1:16" ht="14.4" x14ac:dyDescent="0.25">
      <c r="A6125" s="6">
        <v>2279</v>
      </c>
      <c r="B6125" s="6">
        <v>16422</v>
      </c>
      <c r="C6125" s="19">
        <v>40825</v>
      </c>
      <c r="D6125" s="6" t="s">
        <v>30</v>
      </c>
      <c r="E6125" s="6">
        <f>IF((ISBLANK($B$1)),"",Sheet1!Q6137)</f>
        <v>5400</v>
      </c>
      <c r="F6125" s="20" t="s">
        <v>26</v>
      </c>
      <c r="G6125" s="53">
        <f t="shared" si="96"/>
        <v>0.99597891402498073</v>
      </c>
      <c r="H6125" s="35"/>
      <c r="P6125" s="6"/>
    </row>
    <row r="6126" spans="1:16" ht="14.4" x14ac:dyDescent="0.25">
      <c r="A6126" s="6">
        <v>2280</v>
      </c>
      <c r="B6126" s="6">
        <v>16422</v>
      </c>
      <c r="C6126" s="19">
        <v>40825</v>
      </c>
      <c r="D6126" s="6" t="s">
        <v>30</v>
      </c>
      <c r="E6126" s="6">
        <f>IF((ISBLANK($B$1)),"",Sheet1!Q6138)</f>
        <v>4200</v>
      </c>
      <c r="F6126" s="20" t="s">
        <v>26</v>
      </c>
      <c r="G6126" s="53">
        <f t="shared" si="96"/>
        <v>-0.6611662132264714</v>
      </c>
      <c r="H6126" s="35"/>
      <c r="P6126" s="6"/>
    </row>
    <row r="6127" spans="1:16" ht="14.4" x14ac:dyDescent="0.25">
      <c r="A6127" s="6">
        <v>2394</v>
      </c>
      <c r="B6127" s="6">
        <v>17345</v>
      </c>
      <c r="C6127" s="19">
        <v>40757</v>
      </c>
      <c r="D6127" s="6" t="s">
        <v>30</v>
      </c>
      <c r="E6127" s="6">
        <f>IF((ISBLANK($B$1)),"",Sheet1!Q6139)</f>
        <v>4550</v>
      </c>
      <c r="F6127" s="20" t="s">
        <v>26</v>
      </c>
      <c r="G6127" s="53">
        <f t="shared" si="96"/>
        <v>-0.17783221777813119</v>
      </c>
      <c r="H6127" s="35"/>
      <c r="P6127" s="6"/>
    </row>
    <row r="6128" spans="1:16" ht="14.4" x14ac:dyDescent="0.25">
      <c r="A6128" s="6">
        <v>2504</v>
      </c>
      <c r="B6128" s="6">
        <v>18208</v>
      </c>
      <c r="C6128" s="19">
        <v>41000</v>
      </c>
      <c r="D6128" s="6" t="s">
        <v>28</v>
      </c>
      <c r="E6128" s="6">
        <f>IF((ISBLANK($B$1)),"",Sheet1!Q6140)</f>
        <v>5100</v>
      </c>
      <c r="F6128" s="20" t="s">
        <v>26</v>
      </c>
      <c r="G6128" s="53">
        <f t="shared" si="96"/>
        <v>0.58169263221211776</v>
      </c>
      <c r="H6128" s="35"/>
      <c r="P6128" s="6"/>
    </row>
    <row r="6129" spans="1:16" ht="14.4" x14ac:dyDescent="0.25">
      <c r="A6129" s="6">
        <v>2505</v>
      </c>
      <c r="B6129" s="6">
        <v>18208</v>
      </c>
      <c r="C6129" s="19">
        <v>41000</v>
      </c>
      <c r="D6129" s="6" t="s">
        <v>28</v>
      </c>
      <c r="E6129" s="6">
        <f>IF((ISBLANK($B$1)),"",Sheet1!Q6141)</f>
        <v>5200</v>
      </c>
      <c r="F6129" s="20" t="s">
        <v>26</v>
      </c>
      <c r="G6129" s="53">
        <f t="shared" si="96"/>
        <v>0.71978805948307201</v>
      </c>
      <c r="H6129" s="35"/>
      <c r="P6129" s="6"/>
    </row>
    <row r="6130" spans="1:16" ht="14.4" x14ac:dyDescent="0.25">
      <c r="A6130" s="6">
        <v>2556</v>
      </c>
      <c r="B6130" s="6">
        <v>18500</v>
      </c>
      <c r="C6130" s="19">
        <v>40950</v>
      </c>
      <c r="D6130" s="6" t="s">
        <v>16</v>
      </c>
      <c r="E6130" s="6">
        <f>IF((ISBLANK($B$1)),"",Sheet1!Q6142)</f>
        <v>5600</v>
      </c>
      <c r="F6130" s="20" t="s">
        <v>29</v>
      </c>
      <c r="G6130" s="53">
        <f t="shared" si="96"/>
        <v>1.2721697685668893</v>
      </c>
      <c r="H6130" s="35"/>
      <c r="P6130" s="6"/>
    </row>
    <row r="6131" spans="1:16" ht="14.4" x14ac:dyDescent="0.25">
      <c r="A6131" s="6">
        <v>2557</v>
      </c>
      <c r="B6131" s="6">
        <v>18500</v>
      </c>
      <c r="C6131" s="19">
        <v>40950</v>
      </c>
      <c r="D6131" s="6" t="s">
        <v>16</v>
      </c>
      <c r="E6131" s="6">
        <f>IF((ISBLANK($B$1)),"",Sheet1!Q6143)</f>
        <v>4900</v>
      </c>
      <c r="F6131" s="20" t="s">
        <v>27</v>
      </c>
      <c r="G6131" s="53">
        <f t="shared" si="96"/>
        <v>0.30550177767020903</v>
      </c>
      <c r="H6131" s="35"/>
      <c r="P6131" s="6"/>
    </row>
    <row r="6132" spans="1:16" ht="14.4" x14ac:dyDescent="0.25">
      <c r="A6132" s="6">
        <v>2558</v>
      </c>
      <c r="B6132" s="6">
        <v>18500</v>
      </c>
      <c r="C6132" s="19">
        <v>40950</v>
      </c>
      <c r="D6132" s="6" t="s">
        <v>16</v>
      </c>
      <c r="E6132" s="6">
        <f>IF((ISBLANK($B$1)),"",Sheet1!Q6144)</f>
        <v>4900</v>
      </c>
      <c r="F6132" s="20" t="s">
        <v>26</v>
      </c>
      <c r="G6132" s="53">
        <f t="shared" si="96"/>
        <v>0.30550177767020903</v>
      </c>
      <c r="H6132" s="35"/>
      <c r="P6132" s="6"/>
    </row>
    <row r="6133" spans="1:16" ht="14.4" x14ac:dyDescent="0.25">
      <c r="A6133" s="6">
        <v>2580</v>
      </c>
      <c r="B6133" s="6">
        <v>18597</v>
      </c>
      <c r="C6133" s="19">
        <v>40447</v>
      </c>
      <c r="D6133" s="6" t="s">
        <v>16</v>
      </c>
      <c r="E6133" s="6">
        <f>IF((ISBLANK($B$1)),"",Sheet1!Q6145)</f>
        <v>5250</v>
      </c>
      <c r="F6133" s="20" t="s">
        <v>26</v>
      </c>
      <c r="G6133" s="53">
        <f t="shared" si="96"/>
        <v>0.78883577311854924</v>
      </c>
      <c r="H6133" s="35"/>
      <c r="P6133" s="6"/>
    </row>
    <row r="6134" spans="1:16" ht="14.4" x14ac:dyDescent="0.25">
      <c r="A6134" s="6">
        <v>2605</v>
      </c>
      <c r="B6134" s="6">
        <v>18822</v>
      </c>
      <c r="C6134" s="19">
        <v>40533</v>
      </c>
      <c r="D6134" s="6" t="s">
        <v>25</v>
      </c>
      <c r="E6134" s="6">
        <f>IF((ISBLANK($B$1)),"",Sheet1!Q6146)</f>
        <v>5100</v>
      </c>
      <c r="F6134" s="20" t="s">
        <v>27</v>
      </c>
      <c r="G6134" s="53">
        <f t="shared" si="96"/>
        <v>0.58169263221211776</v>
      </c>
      <c r="H6134" s="35"/>
      <c r="P6134" s="6"/>
    </row>
    <row r="6135" spans="1:16" ht="14.4" x14ac:dyDescent="0.25">
      <c r="A6135" s="6">
        <v>2661</v>
      </c>
      <c r="B6135" s="6">
        <v>19232</v>
      </c>
      <c r="C6135" s="19">
        <v>40006</v>
      </c>
      <c r="D6135" s="6" t="s">
        <v>25</v>
      </c>
      <c r="E6135" s="6">
        <f>IF((ISBLANK($B$1)),"",Sheet1!Q6147)</f>
        <v>5550</v>
      </c>
      <c r="F6135" s="20" t="s">
        <v>29</v>
      </c>
      <c r="G6135" s="53">
        <f t="shared" si="96"/>
        <v>1.2031220549314123</v>
      </c>
      <c r="H6135" s="35"/>
      <c r="P6135" s="6"/>
    </row>
    <row r="6136" spans="1:16" ht="14.4" x14ac:dyDescent="0.25">
      <c r="A6136" s="6">
        <v>2662</v>
      </c>
      <c r="B6136" s="6">
        <v>19232</v>
      </c>
      <c r="C6136" s="19">
        <v>40006</v>
      </c>
      <c r="D6136" s="6" t="s">
        <v>25</v>
      </c>
      <c r="E6136" s="6">
        <f>IF((ISBLANK($B$1)),"",Sheet1!Q6148)</f>
        <v>3650</v>
      </c>
      <c r="F6136" s="20" t="s">
        <v>26</v>
      </c>
      <c r="G6136" s="53">
        <f t="shared" si="96"/>
        <v>-1.4206910632167202</v>
      </c>
      <c r="H6136" s="35"/>
      <c r="P6136" s="6"/>
    </row>
    <row r="6137" spans="1:16" ht="14.4" x14ac:dyDescent="0.25">
      <c r="A6137" s="6">
        <v>2663</v>
      </c>
      <c r="B6137" s="6">
        <v>19232</v>
      </c>
      <c r="C6137" s="19">
        <v>40006</v>
      </c>
      <c r="D6137" s="6" t="s">
        <v>25</v>
      </c>
      <c r="E6137" s="6">
        <f>IF((ISBLANK($B$1)),"",Sheet1!Q6149)</f>
        <v>4800</v>
      </c>
      <c r="F6137" s="20" t="s">
        <v>29</v>
      </c>
      <c r="G6137" s="53">
        <f t="shared" si="96"/>
        <v>0.16740635039925467</v>
      </c>
      <c r="H6137" s="35"/>
      <c r="P6137" s="6"/>
    </row>
    <row r="6138" spans="1:16" ht="14.4" x14ac:dyDescent="0.25">
      <c r="A6138" s="6">
        <v>2676</v>
      </c>
      <c r="B6138" s="6">
        <v>19363</v>
      </c>
      <c r="C6138" s="19">
        <v>40729</v>
      </c>
      <c r="D6138" s="6" t="s">
        <v>17</v>
      </c>
      <c r="E6138" s="6">
        <f>IF((ISBLANK($B$1)),"",Sheet1!Q6150)</f>
        <v>5600</v>
      </c>
      <c r="F6138" s="20" t="s">
        <v>26</v>
      </c>
      <c r="G6138" s="53">
        <f t="shared" si="96"/>
        <v>1.2721697685668893</v>
      </c>
      <c r="H6138" s="35"/>
      <c r="P6138" s="6"/>
    </row>
    <row r="6139" spans="1:16" ht="14.4" x14ac:dyDescent="0.25">
      <c r="A6139" s="6">
        <v>2677</v>
      </c>
      <c r="B6139" s="6">
        <v>19363</v>
      </c>
      <c r="C6139" s="19">
        <v>40729</v>
      </c>
      <c r="D6139" s="6" t="s">
        <v>17</v>
      </c>
      <c r="E6139" s="6">
        <f>IF((ISBLANK($B$1)),"",Sheet1!Q6151)</f>
        <v>5450</v>
      </c>
      <c r="F6139" s="20" t="s">
        <v>26</v>
      </c>
      <c r="G6139" s="53">
        <f t="shared" si="96"/>
        <v>1.0650266276604579</v>
      </c>
      <c r="H6139" s="35"/>
      <c r="P6139" s="6"/>
    </row>
    <row r="6140" spans="1:16" ht="14.4" x14ac:dyDescent="0.25">
      <c r="A6140" s="6">
        <v>2679</v>
      </c>
      <c r="B6140" s="6">
        <v>19367</v>
      </c>
      <c r="C6140" s="19">
        <v>39923</v>
      </c>
      <c r="D6140" s="6" t="s">
        <v>17</v>
      </c>
      <c r="E6140" s="6">
        <f>IF((ISBLANK($B$1)),"",Sheet1!Q6152)</f>
        <v>4400</v>
      </c>
      <c r="F6140" s="20" t="s">
        <v>26</v>
      </c>
      <c r="G6140" s="53">
        <f t="shared" si="96"/>
        <v>-0.38497535868456267</v>
      </c>
      <c r="H6140" s="35"/>
      <c r="P6140" s="6"/>
    </row>
    <row r="6141" spans="1:16" ht="14.4" x14ac:dyDescent="0.25">
      <c r="A6141" s="6">
        <v>2755</v>
      </c>
      <c r="B6141" s="6">
        <v>19911</v>
      </c>
      <c r="C6141" s="19">
        <v>40822</v>
      </c>
      <c r="D6141" s="6" t="s">
        <v>17</v>
      </c>
      <c r="E6141" s="6">
        <f>IF((ISBLANK($B$1)),"",Sheet1!Q6153)</f>
        <v>5550</v>
      </c>
      <c r="F6141" s="20" t="s">
        <v>26</v>
      </c>
      <c r="G6141" s="53">
        <f t="shared" si="96"/>
        <v>1.2031220549314123</v>
      </c>
      <c r="H6141" s="35"/>
      <c r="P6141" s="6"/>
    </row>
    <row r="6142" spans="1:16" ht="14.4" x14ac:dyDescent="0.25">
      <c r="A6142" s="6">
        <v>2756</v>
      </c>
      <c r="B6142" s="6">
        <v>19911</v>
      </c>
      <c r="C6142" s="19">
        <v>40822</v>
      </c>
      <c r="D6142" s="6" t="s">
        <v>17</v>
      </c>
      <c r="E6142" s="6">
        <f>IF((ISBLANK($B$1)),"",Sheet1!Q6154)</f>
        <v>5300</v>
      </c>
      <c r="F6142" s="20" t="s">
        <v>29</v>
      </c>
      <c r="G6142" s="53">
        <f t="shared" si="96"/>
        <v>0.85788348675402637</v>
      </c>
      <c r="H6142" s="35"/>
      <c r="P6142" s="6"/>
    </row>
    <row r="6143" spans="1:16" ht="14.4" x14ac:dyDescent="0.25">
      <c r="A6143" s="6">
        <v>2757</v>
      </c>
      <c r="B6143" s="6">
        <v>19911</v>
      </c>
      <c r="C6143" s="19">
        <v>40822</v>
      </c>
      <c r="D6143" s="6" t="s">
        <v>17</v>
      </c>
      <c r="E6143" s="6">
        <f>IF((ISBLANK($B$1)),"",Sheet1!Q6155)</f>
        <v>5350</v>
      </c>
      <c r="F6143" s="20" t="s">
        <v>27</v>
      </c>
      <c r="G6143" s="53">
        <f t="shared" si="96"/>
        <v>0.92693120038950361</v>
      </c>
      <c r="H6143" s="35"/>
      <c r="P6143" s="6"/>
    </row>
    <row r="6144" spans="1:16" ht="14.4" x14ac:dyDescent="0.25">
      <c r="A6144" s="6">
        <v>2848</v>
      </c>
      <c r="B6144" s="6">
        <v>20517</v>
      </c>
      <c r="C6144" s="19">
        <v>40436</v>
      </c>
      <c r="D6144" s="6" t="s">
        <v>25</v>
      </c>
      <c r="E6144" s="6">
        <f>IF((ISBLANK($B$1)),"",Sheet1!Q6156)</f>
        <v>5350</v>
      </c>
      <c r="F6144" s="20" t="s">
        <v>26</v>
      </c>
      <c r="G6144" s="53">
        <f t="shared" si="96"/>
        <v>0.92693120038950361</v>
      </c>
      <c r="H6144" s="35"/>
      <c r="P6144" s="6"/>
    </row>
    <row r="6145" spans="1:16" ht="14.4" x14ac:dyDescent="0.25">
      <c r="A6145" s="6">
        <v>2995</v>
      </c>
      <c r="B6145" s="6">
        <v>21605</v>
      </c>
      <c r="C6145" s="19">
        <v>41007</v>
      </c>
      <c r="D6145" s="6" t="s">
        <v>17</v>
      </c>
      <c r="E6145" s="6">
        <f>IF((ISBLANK($B$1)),"",Sheet1!Q6157)</f>
        <v>5000</v>
      </c>
      <c r="F6145" s="20" t="s">
        <v>29</v>
      </c>
      <c r="G6145" s="53">
        <f t="shared" si="96"/>
        <v>0.44359720494116334</v>
      </c>
      <c r="H6145" s="35"/>
      <c r="P6145" s="6"/>
    </row>
    <row r="6146" spans="1:16" ht="14.4" x14ac:dyDescent="0.25">
      <c r="A6146" s="6">
        <v>2996</v>
      </c>
      <c r="B6146" s="6">
        <v>21605</v>
      </c>
      <c r="C6146" s="19">
        <v>41007</v>
      </c>
      <c r="D6146" s="6" t="s">
        <v>17</v>
      </c>
      <c r="E6146" s="6">
        <f>IF((ISBLANK($B$1)),"",Sheet1!Q6158)</f>
        <v>5700</v>
      </c>
      <c r="F6146" s="20" t="s">
        <v>29</v>
      </c>
      <c r="G6146" s="53">
        <f t="shared" si="96"/>
        <v>1.4102651958378438</v>
      </c>
      <c r="H6146" s="35"/>
      <c r="P6146" s="6"/>
    </row>
    <row r="6147" spans="1:16" ht="14.4" x14ac:dyDescent="0.25">
      <c r="A6147" s="6">
        <v>3040</v>
      </c>
      <c r="B6147" s="6">
        <v>21830</v>
      </c>
      <c r="C6147" s="19">
        <v>39824</v>
      </c>
      <c r="D6147" s="6" t="s">
        <v>25</v>
      </c>
      <c r="E6147" s="6">
        <f>IF((ISBLANK($B$1)),"",Sheet1!Q6159)</f>
        <v>4350</v>
      </c>
      <c r="F6147" s="20" t="s">
        <v>27</v>
      </c>
      <c r="G6147" s="53">
        <f t="shared" si="96"/>
        <v>-0.45402307232003986</v>
      </c>
      <c r="H6147" s="35"/>
      <c r="P6147" s="6"/>
    </row>
    <row r="6148" spans="1:16" ht="14.4" x14ac:dyDescent="0.25">
      <c r="A6148" s="6">
        <v>3086</v>
      </c>
      <c r="B6148" s="6">
        <v>22147</v>
      </c>
      <c r="C6148" s="19">
        <v>39829</v>
      </c>
      <c r="D6148" s="6" t="s">
        <v>25</v>
      </c>
      <c r="E6148" s="6">
        <f>IF((ISBLANK($B$1)),"",Sheet1!Q6160)</f>
        <v>5250</v>
      </c>
      <c r="F6148" s="20" t="s">
        <v>29</v>
      </c>
      <c r="G6148" s="53">
        <f t="shared" si="96"/>
        <v>0.78883577311854924</v>
      </c>
      <c r="H6148" s="35"/>
      <c r="P6148" s="6"/>
    </row>
    <row r="6149" spans="1:16" ht="14.4" x14ac:dyDescent="0.25">
      <c r="A6149" s="6">
        <v>3092</v>
      </c>
      <c r="B6149" s="6">
        <v>22182</v>
      </c>
      <c r="C6149" s="19">
        <v>41157</v>
      </c>
      <c r="D6149" s="6" t="s">
        <v>16</v>
      </c>
      <c r="E6149" s="6">
        <f>IF((ISBLANK($B$1)),"",Sheet1!Q6161)</f>
        <v>3600</v>
      </c>
      <c r="F6149" s="20" t="s">
        <v>26</v>
      </c>
      <c r="G6149" s="53">
        <f t="shared" si="96"/>
        <v>-1.4897387768521975</v>
      </c>
      <c r="H6149" s="35"/>
      <c r="P6149" s="6"/>
    </row>
    <row r="6150" spans="1:16" ht="14.4" x14ac:dyDescent="0.25">
      <c r="A6150" s="6">
        <v>3093</v>
      </c>
      <c r="B6150" s="6">
        <v>22182</v>
      </c>
      <c r="C6150" s="19">
        <v>41157</v>
      </c>
      <c r="D6150" s="6" t="s">
        <v>16</v>
      </c>
      <c r="E6150" s="6">
        <f>IF((ISBLANK($B$1)),"",Sheet1!Q6162)</f>
        <v>3850</v>
      </c>
      <c r="F6150" s="20" t="s">
        <v>27</v>
      </c>
      <c r="G6150" s="53">
        <f t="shared" si="96"/>
        <v>-1.1445002086748115</v>
      </c>
      <c r="H6150" s="35"/>
      <c r="P6150" s="6"/>
    </row>
    <row r="6151" spans="1:16" ht="14.4" x14ac:dyDescent="0.25">
      <c r="A6151" s="6">
        <v>3094</v>
      </c>
      <c r="B6151" s="6">
        <v>22182</v>
      </c>
      <c r="C6151" s="19">
        <v>41157</v>
      </c>
      <c r="D6151" s="6" t="s">
        <v>16</v>
      </c>
      <c r="E6151" s="6">
        <f>IF((ISBLANK($B$1)),"",Sheet1!Q6163)</f>
        <v>5800</v>
      </c>
      <c r="F6151" s="20" t="s">
        <v>29</v>
      </c>
      <c r="G6151" s="53">
        <f t="shared" si="96"/>
        <v>1.5483606231087981</v>
      </c>
      <c r="H6151" s="35"/>
      <c r="P6151" s="6"/>
    </row>
    <row r="6152" spans="1:16" ht="14.4" x14ac:dyDescent="0.25">
      <c r="A6152" s="6">
        <v>3103</v>
      </c>
      <c r="B6152" s="6">
        <v>22243</v>
      </c>
      <c r="C6152" s="19">
        <v>39828</v>
      </c>
      <c r="D6152" s="6" t="s">
        <v>30</v>
      </c>
      <c r="E6152" s="6">
        <f>IF((ISBLANK($B$1)),"",Sheet1!Q6164)</f>
        <v>3850</v>
      </c>
      <c r="F6152" s="20" t="s">
        <v>26</v>
      </c>
      <c r="G6152" s="53">
        <f t="shared" ref="G6152:G6215" si="97">STANDARDIZE(E6152,$L$26,$L$35)</f>
        <v>-1.1445002086748115</v>
      </c>
      <c r="H6152" s="35"/>
      <c r="P6152" s="6"/>
    </row>
    <row r="6153" spans="1:16" ht="14.4" x14ac:dyDescent="0.25">
      <c r="A6153" s="6">
        <v>3218</v>
      </c>
      <c r="B6153" s="6">
        <v>23104</v>
      </c>
      <c r="C6153" s="19">
        <v>40642</v>
      </c>
      <c r="D6153" s="6" t="s">
        <v>16</v>
      </c>
      <c r="E6153" s="6">
        <f>IF((ISBLANK($B$1)),"",Sheet1!Q6165)</f>
        <v>3550</v>
      </c>
      <c r="F6153" s="20" t="s">
        <v>29</v>
      </c>
      <c r="G6153" s="53">
        <f t="shared" si="97"/>
        <v>-1.5587864904876745</v>
      </c>
      <c r="H6153" s="35"/>
      <c r="P6153" s="6"/>
    </row>
    <row r="6154" spans="1:16" ht="14.4" x14ac:dyDescent="0.25">
      <c r="A6154" s="6">
        <v>3219</v>
      </c>
      <c r="B6154" s="6">
        <v>23104</v>
      </c>
      <c r="C6154" s="19">
        <v>40642</v>
      </c>
      <c r="D6154" s="6" t="s">
        <v>16</v>
      </c>
      <c r="E6154" s="6">
        <f>IF((ISBLANK($B$1)),"",Sheet1!Q6166)</f>
        <v>4600</v>
      </c>
      <c r="F6154" s="20" t="s">
        <v>26</v>
      </c>
      <c r="G6154" s="53">
        <f t="shared" si="97"/>
        <v>-0.108784504142654</v>
      </c>
      <c r="H6154" s="35"/>
      <c r="P6154" s="6"/>
    </row>
    <row r="6155" spans="1:16" ht="14.4" x14ac:dyDescent="0.25">
      <c r="A6155" s="6">
        <v>3267</v>
      </c>
      <c r="B6155" s="6">
        <v>23363</v>
      </c>
      <c r="C6155" s="19">
        <v>41058</v>
      </c>
      <c r="D6155" s="6" t="s">
        <v>25</v>
      </c>
      <c r="E6155" s="6">
        <f>IF((ISBLANK($B$1)),"",Sheet1!Q6167)</f>
        <v>5700</v>
      </c>
      <c r="F6155" s="20" t="s">
        <v>26</v>
      </c>
      <c r="G6155" s="53">
        <f t="shared" si="97"/>
        <v>1.4102651958378438</v>
      </c>
      <c r="H6155" s="35"/>
      <c r="P6155" s="6"/>
    </row>
    <row r="6156" spans="1:16" ht="14.4" x14ac:dyDescent="0.25">
      <c r="A6156" s="6">
        <v>3298</v>
      </c>
      <c r="B6156" s="6">
        <v>23559</v>
      </c>
      <c r="C6156" s="19">
        <v>40377</v>
      </c>
      <c r="D6156" s="6" t="s">
        <v>25</v>
      </c>
      <c r="E6156" s="6">
        <f>IF((ISBLANK($B$1)),"",Sheet1!Q6168)</f>
        <v>4100</v>
      </c>
      <c r="F6156" s="20" t="s">
        <v>26</v>
      </c>
      <c r="G6156" s="53">
        <f t="shared" si="97"/>
        <v>-0.79926164049742576</v>
      </c>
      <c r="H6156" s="35"/>
      <c r="P6156" s="6"/>
    </row>
    <row r="6157" spans="1:16" ht="14.4" x14ac:dyDescent="0.25">
      <c r="A6157" s="6">
        <v>3299</v>
      </c>
      <c r="B6157" s="6">
        <v>23559</v>
      </c>
      <c r="C6157" s="19">
        <v>40377</v>
      </c>
      <c r="D6157" s="6" t="s">
        <v>25</v>
      </c>
      <c r="E6157" s="6">
        <f>IF((ISBLANK($B$1)),"",Sheet1!Q6169)</f>
        <v>3850</v>
      </c>
      <c r="F6157" s="20" t="s">
        <v>27</v>
      </c>
      <c r="G6157" s="53">
        <f t="shared" si="97"/>
        <v>-1.1445002086748115</v>
      </c>
      <c r="H6157" s="35"/>
      <c r="P6157" s="6"/>
    </row>
    <row r="6158" spans="1:16" ht="14.4" x14ac:dyDescent="0.25">
      <c r="A6158" s="6">
        <v>3389</v>
      </c>
      <c r="B6158" s="6">
        <v>24160</v>
      </c>
      <c r="C6158" s="19">
        <v>40575</v>
      </c>
      <c r="D6158" s="6" t="s">
        <v>16</v>
      </c>
      <c r="E6158" s="6">
        <f>IF((ISBLANK($B$1)),"",Sheet1!Q6170)</f>
        <v>5600</v>
      </c>
      <c r="F6158" s="20" t="s">
        <v>27</v>
      </c>
      <c r="G6158" s="53">
        <f t="shared" si="97"/>
        <v>1.2721697685668893</v>
      </c>
      <c r="H6158" s="35"/>
      <c r="P6158" s="6"/>
    </row>
    <row r="6159" spans="1:16" ht="14.4" x14ac:dyDescent="0.25">
      <c r="A6159" s="6">
        <v>3392</v>
      </c>
      <c r="B6159" s="6">
        <v>24193</v>
      </c>
      <c r="C6159" s="19">
        <v>39886</v>
      </c>
      <c r="D6159" s="6" t="s">
        <v>28</v>
      </c>
      <c r="E6159" s="6">
        <f>IF((ISBLANK($B$1)),"",Sheet1!Q6171)</f>
        <v>5650</v>
      </c>
      <c r="F6159" s="20" t="s">
        <v>29</v>
      </c>
      <c r="G6159" s="53">
        <f t="shared" si="97"/>
        <v>1.3412174822023666</v>
      </c>
      <c r="H6159" s="35"/>
      <c r="P6159" s="6"/>
    </row>
    <row r="6160" spans="1:16" ht="14.4" x14ac:dyDescent="0.25">
      <c r="A6160" s="6">
        <v>3393</v>
      </c>
      <c r="B6160" s="6">
        <v>24193</v>
      </c>
      <c r="C6160" s="19">
        <v>39886</v>
      </c>
      <c r="D6160" s="6" t="s">
        <v>28</v>
      </c>
      <c r="E6160" s="6">
        <f>IF((ISBLANK($B$1)),"",Sheet1!Q6172)</f>
        <v>4600</v>
      </c>
      <c r="F6160" s="20" t="s">
        <v>26</v>
      </c>
      <c r="G6160" s="53">
        <f t="shared" si="97"/>
        <v>-0.108784504142654</v>
      </c>
      <c r="H6160" s="35"/>
      <c r="P6160" s="6"/>
    </row>
    <row r="6161" spans="1:16" ht="14.4" x14ac:dyDescent="0.25">
      <c r="A6161" s="6">
        <v>3394</v>
      </c>
      <c r="B6161" s="6">
        <v>24193</v>
      </c>
      <c r="C6161" s="19">
        <v>39886</v>
      </c>
      <c r="D6161" s="6" t="s">
        <v>28</v>
      </c>
      <c r="E6161" s="6">
        <f>IF((ISBLANK($B$1)),"",Sheet1!Q6173)</f>
        <v>4350</v>
      </c>
      <c r="F6161" s="20" t="s">
        <v>27</v>
      </c>
      <c r="G6161" s="53">
        <f t="shared" si="97"/>
        <v>-0.45402307232003986</v>
      </c>
      <c r="H6161" s="35"/>
      <c r="P6161" s="6"/>
    </row>
    <row r="6162" spans="1:16" ht="14.4" x14ac:dyDescent="0.25">
      <c r="A6162" s="6">
        <v>3409</v>
      </c>
      <c r="B6162" s="6">
        <v>24352</v>
      </c>
      <c r="C6162" s="19">
        <v>40308</v>
      </c>
      <c r="D6162" s="6" t="s">
        <v>30</v>
      </c>
      <c r="E6162" s="6">
        <f>IF((ISBLANK($B$1)),"",Sheet1!Q6174)</f>
        <v>5000</v>
      </c>
      <c r="F6162" s="20" t="s">
        <v>26</v>
      </c>
      <c r="G6162" s="53">
        <f t="shared" si="97"/>
        <v>0.44359720494116334</v>
      </c>
      <c r="H6162" s="35"/>
      <c r="P6162" s="6"/>
    </row>
    <row r="6163" spans="1:16" ht="14.4" x14ac:dyDescent="0.25">
      <c r="A6163" s="6">
        <v>3460</v>
      </c>
      <c r="B6163" s="6">
        <v>24646</v>
      </c>
      <c r="C6163" s="19">
        <v>40648</v>
      </c>
      <c r="D6163" s="6" t="s">
        <v>28</v>
      </c>
      <c r="E6163" s="6">
        <f>IF((ISBLANK($B$1)),"",Sheet1!Q6175)</f>
        <v>5700</v>
      </c>
      <c r="F6163" s="20" t="s">
        <v>26</v>
      </c>
      <c r="G6163" s="53">
        <f t="shared" si="97"/>
        <v>1.4102651958378438</v>
      </c>
      <c r="H6163" s="35"/>
      <c r="P6163" s="6"/>
    </row>
    <row r="6164" spans="1:16" ht="14.4" x14ac:dyDescent="0.25">
      <c r="A6164" s="6">
        <v>3461</v>
      </c>
      <c r="B6164" s="6">
        <v>24646</v>
      </c>
      <c r="C6164" s="19">
        <v>40648</v>
      </c>
      <c r="D6164" s="6" t="s">
        <v>28</v>
      </c>
      <c r="E6164" s="6">
        <f>IF((ISBLANK($B$1)),"",Sheet1!Q6176)</f>
        <v>4450</v>
      </c>
      <c r="F6164" s="20" t="s">
        <v>26</v>
      </c>
      <c r="G6164" s="53">
        <f t="shared" si="97"/>
        <v>-0.31592764504908549</v>
      </c>
      <c r="H6164" s="35"/>
      <c r="P6164" s="6"/>
    </row>
    <row r="6165" spans="1:16" ht="14.4" x14ac:dyDescent="0.25">
      <c r="A6165" s="6">
        <v>3508</v>
      </c>
      <c r="B6165" s="6">
        <v>24993</v>
      </c>
      <c r="C6165" s="19">
        <v>40248</v>
      </c>
      <c r="D6165" s="6" t="s">
        <v>17</v>
      </c>
      <c r="E6165" s="6">
        <f>IF((ISBLANK($B$1)),"",Sheet1!Q6177)</f>
        <v>5200</v>
      </c>
      <c r="F6165" s="20" t="s">
        <v>27</v>
      </c>
      <c r="G6165" s="53">
        <f t="shared" si="97"/>
        <v>0.71978805948307201</v>
      </c>
      <c r="H6165" s="35"/>
      <c r="P6165" s="6"/>
    </row>
    <row r="6166" spans="1:16" ht="14.4" x14ac:dyDescent="0.25">
      <c r="A6166" s="6">
        <v>3517</v>
      </c>
      <c r="B6166" s="6">
        <v>25060</v>
      </c>
      <c r="C6166" s="19">
        <v>40014</v>
      </c>
      <c r="D6166" s="6" t="s">
        <v>28</v>
      </c>
      <c r="E6166" s="6">
        <f>IF((ISBLANK($B$1)),"",Sheet1!Q6178)</f>
        <v>3700</v>
      </c>
      <c r="F6166" s="20" t="s">
        <v>26</v>
      </c>
      <c r="G6166" s="53">
        <f t="shared" si="97"/>
        <v>-1.351643349581243</v>
      </c>
      <c r="H6166" s="35"/>
      <c r="P6166" s="6"/>
    </row>
    <row r="6167" spans="1:16" ht="14.4" x14ac:dyDescent="0.25">
      <c r="A6167" s="6">
        <v>3518</v>
      </c>
      <c r="B6167" s="6">
        <v>25060</v>
      </c>
      <c r="C6167" s="19">
        <v>40014</v>
      </c>
      <c r="D6167" s="6" t="s">
        <v>28</v>
      </c>
      <c r="E6167" s="6">
        <f>IF((ISBLANK($B$1)),"",Sheet1!Q6179)</f>
        <v>3450</v>
      </c>
      <c r="F6167" s="20" t="s">
        <v>27</v>
      </c>
      <c r="G6167" s="53">
        <f t="shared" si="97"/>
        <v>-1.696881917758629</v>
      </c>
      <c r="H6167" s="35"/>
      <c r="P6167" s="6"/>
    </row>
    <row r="6168" spans="1:16" ht="14.4" x14ac:dyDescent="0.25">
      <c r="A6168" s="6">
        <v>3568</v>
      </c>
      <c r="B6168" s="6">
        <v>25447</v>
      </c>
      <c r="C6168" s="19">
        <v>41052</v>
      </c>
      <c r="D6168" s="6" t="s">
        <v>28</v>
      </c>
      <c r="E6168" s="6">
        <f>IF((ISBLANK($B$1)),"",Sheet1!Q6180)</f>
        <v>4650</v>
      </c>
      <c r="F6168" s="20" t="s">
        <v>29</v>
      </c>
      <c r="G6168" s="53">
        <f t="shared" si="97"/>
        <v>-3.9736790507176829E-2</v>
      </c>
      <c r="H6168" s="35"/>
      <c r="P6168" s="6"/>
    </row>
    <row r="6169" spans="1:16" ht="14.4" x14ac:dyDescent="0.25">
      <c r="A6169" s="6">
        <v>3569</v>
      </c>
      <c r="B6169" s="6">
        <v>25447</v>
      </c>
      <c r="C6169" s="19">
        <v>41052</v>
      </c>
      <c r="D6169" s="6" t="s">
        <v>28</v>
      </c>
      <c r="E6169" s="6">
        <f>IF((ISBLANK($B$1)),"",Sheet1!Q6181)</f>
        <v>4300</v>
      </c>
      <c r="F6169" s="20" t="s">
        <v>29</v>
      </c>
      <c r="G6169" s="53">
        <f t="shared" si="97"/>
        <v>-0.52307078595551704</v>
      </c>
      <c r="H6169" s="35"/>
      <c r="P6169" s="6"/>
    </row>
    <row r="6170" spans="1:16" ht="14.4" x14ac:dyDescent="0.25">
      <c r="A6170" s="6">
        <v>3660</v>
      </c>
      <c r="B6170" s="6">
        <v>26214</v>
      </c>
      <c r="C6170" s="19">
        <v>40867</v>
      </c>
      <c r="D6170" s="6" t="s">
        <v>16</v>
      </c>
      <c r="E6170" s="6">
        <f>IF((ISBLANK($B$1)),"",Sheet1!Q6182)</f>
        <v>4350</v>
      </c>
      <c r="F6170" s="20" t="s">
        <v>26</v>
      </c>
      <c r="G6170" s="53">
        <f t="shared" si="97"/>
        <v>-0.45402307232003986</v>
      </c>
      <c r="H6170" s="35"/>
      <c r="P6170" s="6"/>
    </row>
    <row r="6171" spans="1:16" ht="14.4" x14ac:dyDescent="0.25">
      <c r="A6171" s="6">
        <v>3661</v>
      </c>
      <c r="B6171" s="6">
        <v>26214</v>
      </c>
      <c r="C6171" s="19">
        <v>40867</v>
      </c>
      <c r="D6171" s="6" t="s">
        <v>16</v>
      </c>
      <c r="E6171" s="6">
        <f>IF((ISBLANK($B$1)),"",Sheet1!Q6183)</f>
        <v>5450</v>
      </c>
      <c r="F6171" s="20" t="s">
        <v>29</v>
      </c>
      <c r="G6171" s="53">
        <f t="shared" si="97"/>
        <v>1.0650266276604579</v>
      </c>
      <c r="H6171" s="35"/>
      <c r="P6171" s="6"/>
    </row>
    <row r="6172" spans="1:16" ht="14.4" x14ac:dyDescent="0.25">
      <c r="A6172" s="6">
        <v>3767</v>
      </c>
      <c r="B6172" s="6">
        <v>26913</v>
      </c>
      <c r="C6172" s="19">
        <v>40085</v>
      </c>
      <c r="D6172" s="6" t="s">
        <v>17</v>
      </c>
      <c r="E6172" s="6">
        <f>IF((ISBLANK($B$1)),"",Sheet1!Q6184)</f>
        <v>3950</v>
      </c>
      <c r="F6172" s="20" t="s">
        <v>27</v>
      </c>
      <c r="G6172" s="53">
        <f t="shared" si="97"/>
        <v>-1.0064047814038573</v>
      </c>
      <c r="H6172" s="35"/>
      <c r="P6172" s="6"/>
    </row>
    <row r="6173" spans="1:16" ht="14.4" x14ac:dyDescent="0.25">
      <c r="A6173" s="6">
        <v>3822</v>
      </c>
      <c r="B6173" s="6">
        <v>27265</v>
      </c>
      <c r="C6173" s="19">
        <v>41035</v>
      </c>
      <c r="D6173" s="6" t="s">
        <v>30</v>
      </c>
      <c r="E6173" s="6">
        <f>IF((ISBLANK($B$1)),"",Sheet1!Q6185)</f>
        <v>5850</v>
      </c>
      <c r="F6173" s="20" t="s">
        <v>27</v>
      </c>
      <c r="G6173" s="53">
        <f t="shared" si="97"/>
        <v>1.6174083367442753</v>
      </c>
      <c r="H6173" s="35"/>
      <c r="P6173" s="6"/>
    </row>
    <row r="6174" spans="1:16" ht="14.4" x14ac:dyDescent="0.25">
      <c r="A6174" s="6">
        <v>3823</v>
      </c>
      <c r="B6174" s="6">
        <v>27265</v>
      </c>
      <c r="C6174" s="19">
        <v>41035</v>
      </c>
      <c r="D6174" s="6" t="s">
        <v>30</v>
      </c>
      <c r="E6174" s="6">
        <f>IF((ISBLANK($B$1)),"",Sheet1!Q6186)</f>
        <v>5200</v>
      </c>
      <c r="F6174" s="20" t="s">
        <v>26</v>
      </c>
      <c r="G6174" s="53">
        <f t="shared" si="97"/>
        <v>0.71978805948307201</v>
      </c>
      <c r="H6174" s="35"/>
      <c r="P6174" s="6"/>
    </row>
    <row r="6175" spans="1:16" ht="14.4" x14ac:dyDescent="0.25">
      <c r="A6175" s="6">
        <v>3824</v>
      </c>
      <c r="B6175" s="6">
        <v>27265</v>
      </c>
      <c r="C6175" s="19">
        <v>41035</v>
      </c>
      <c r="D6175" s="6" t="s">
        <v>30</v>
      </c>
      <c r="E6175" s="6">
        <f>IF((ISBLANK($B$1)),"",Sheet1!Q6187)</f>
        <v>5850</v>
      </c>
      <c r="F6175" s="20" t="s">
        <v>29</v>
      </c>
      <c r="G6175" s="53">
        <f t="shared" si="97"/>
        <v>1.6174083367442753</v>
      </c>
      <c r="H6175" s="35"/>
      <c r="P6175" s="6"/>
    </row>
    <row r="6176" spans="1:16" ht="14.4" x14ac:dyDescent="0.25">
      <c r="A6176" s="6">
        <v>3855</v>
      </c>
      <c r="B6176" s="6">
        <v>27491</v>
      </c>
      <c r="C6176" s="19">
        <v>39912</v>
      </c>
      <c r="D6176" s="6" t="s">
        <v>28</v>
      </c>
      <c r="E6176" s="6">
        <f>IF((ISBLANK($B$1)),"",Sheet1!Q6188)</f>
        <v>3950</v>
      </c>
      <c r="F6176" s="20" t="s">
        <v>26</v>
      </c>
      <c r="G6176" s="53">
        <f t="shared" si="97"/>
        <v>-1.0064047814038573</v>
      </c>
      <c r="H6176" s="35"/>
      <c r="P6176" s="6"/>
    </row>
    <row r="6177" spans="1:16" ht="14.4" x14ac:dyDescent="0.25">
      <c r="A6177" s="6">
        <v>3856</v>
      </c>
      <c r="B6177" s="6">
        <v>27491</v>
      </c>
      <c r="C6177" s="19">
        <v>39912</v>
      </c>
      <c r="D6177" s="6" t="s">
        <v>28</v>
      </c>
      <c r="E6177" s="6">
        <f>IF((ISBLANK($B$1)),"",Sheet1!Q6189)</f>
        <v>5200</v>
      </c>
      <c r="F6177" s="20" t="s">
        <v>29</v>
      </c>
      <c r="G6177" s="53">
        <f t="shared" si="97"/>
        <v>0.71978805948307201</v>
      </c>
      <c r="H6177" s="35"/>
      <c r="P6177" s="6"/>
    </row>
    <row r="6178" spans="1:16" ht="14.4" x14ac:dyDescent="0.25">
      <c r="A6178" s="6">
        <v>3857</v>
      </c>
      <c r="B6178" s="6">
        <v>27491</v>
      </c>
      <c r="C6178" s="19">
        <v>39912</v>
      </c>
      <c r="D6178" s="6" t="s">
        <v>28</v>
      </c>
      <c r="E6178" s="6">
        <f>IF((ISBLANK($B$1)),"",Sheet1!Q6190)</f>
        <v>3500</v>
      </c>
      <c r="F6178" s="20" t="s">
        <v>26</v>
      </c>
      <c r="G6178" s="53">
        <f t="shared" si="97"/>
        <v>-1.6278342041231517</v>
      </c>
      <c r="H6178" s="35"/>
      <c r="P6178" s="6"/>
    </row>
    <row r="6179" spans="1:16" ht="14.4" x14ac:dyDescent="0.25">
      <c r="A6179" s="6">
        <v>3907</v>
      </c>
      <c r="B6179" s="6">
        <v>27845</v>
      </c>
      <c r="C6179" s="19">
        <v>40737</v>
      </c>
      <c r="D6179" s="6" t="s">
        <v>28</v>
      </c>
      <c r="E6179" s="6">
        <f>IF((ISBLANK($B$1)),"",Sheet1!Q6191)</f>
        <v>5200</v>
      </c>
      <c r="F6179" s="20" t="s">
        <v>26</v>
      </c>
      <c r="G6179" s="53">
        <f t="shared" si="97"/>
        <v>0.71978805948307201</v>
      </c>
      <c r="H6179" s="35"/>
      <c r="P6179" s="6"/>
    </row>
    <row r="6180" spans="1:16" ht="14.4" x14ac:dyDescent="0.25">
      <c r="A6180" s="6">
        <v>4243</v>
      </c>
      <c r="B6180" s="6">
        <v>30176</v>
      </c>
      <c r="C6180" s="19">
        <v>39922</v>
      </c>
      <c r="D6180" s="6" t="s">
        <v>25</v>
      </c>
      <c r="E6180" s="6">
        <f>IF((ISBLANK($B$1)),"",Sheet1!Q6192)</f>
        <v>4900</v>
      </c>
      <c r="F6180" s="20" t="s">
        <v>29</v>
      </c>
      <c r="G6180" s="53">
        <f t="shared" si="97"/>
        <v>0.30550177767020903</v>
      </c>
      <c r="H6180" s="35"/>
      <c r="P6180" s="6"/>
    </row>
    <row r="6181" spans="1:16" ht="14.4" x14ac:dyDescent="0.25">
      <c r="A6181" s="6">
        <v>4270</v>
      </c>
      <c r="B6181" s="6">
        <v>30375</v>
      </c>
      <c r="C6181" s="19">
        <v>41032</v>
      </c>
      <c r="D6181" s="6" t="s">
        <v>25</v>
      </c>
      <c r="E6181" s="6">
        <f>IF((ISBLANK($B$1)),"",Sheet1!Q6193)</f>
        <v>4400</v>
      </c>
      <c r="F6181" s="20" t="s">
        <v>26</v>
      </c>
      <c r="G6181" s="53">
        <f t="shared" si="97"/>
        <v>-0.38497535868456267</v>
      </c>
      <c r="H6181" s="35"/>
      <c r="P6181" s="6"/>
    </row>
    <row r="6182" spans="1:16" ht="14.4" x14ac:dyDescent="0.25">
      <c r="A6182" s="6">
        <v>4289</v>
      </c>
      <c r="B6182" s="6">
        <v>30565</v>
      </c>
      <c r="C6182" s="19">
        <v>40750</v>
      </c>
      <c r="D6182" s="6" t="s">
        <v>16</v>
      </c>
      <c r="E6182" s="6">
        <f>IF((ISBLANK($B$1)),"",Sheet1!Q6194)</f>
        <v>5000</v>
      </c>
      <c r="F6182" s="20" t="s">
        <v>27</v>
      </c>
      <c r="G6182" s="53">
        <f t="shared" si="97"/>
        <v>0.44359720494116334</v>
      </c>
      <c r="H6182" s="35"/>
      <c r="P6182" s="6"/>
    </row>
    <row r="6183" spans="1:16" ht="14.4" x14ac:dyDescent="0.25">
      <c r="A6183" s="6">
        <v>4291</v>
      </c>
      <c r="B6183" s="6">
        <v>30567</v>
      </c>
      <c r="C6183" s="19">
        <v>39827</v>
      </c>
      <c r="D6183" s="6" t="s">
        <v>28</v>
      </c>
      <c r="E6183" s="6">
        <f>IF((ISBLANK($B$1)),"",Sheet1!Q6195)</f>
        <v>4100</v>
      </c>
      <c r="F6183" s="20" t="s">
        <v>26</v>
      </c>
      <c r="G6183" s="53">
        <f t="shared" si="97"/>
        <v>-0.79926164049742576</v>
      </c>
      <c r="H6183" s="35"/>
      <c r="P6183" s="6"/>
    </row>
    <row r="6184" spans="1:16" ht="14.4" x14ac:dyDescent="0.25">
      <c r="A6184" s="6">
        <v>4292</v>
      </c>
      <c r="B6184" s="6">
        <v>30567</v>
      </c>
      <c r="C6184" s="19">
        <v>39827</v>
      </c>
      <c r="D6184" s="6" t="s">
        <v>28</v>
      </c>
      <c r="E6184" s="6">
        <f>IF((ISBLANK($B$1)),"",Sheet1!Q6196)</f>
        <v>3800</v>
      </c>
      <c r="F6184" s="20" t="s">
        <v>26</v>
      </c>
      <c r="G6184" s="53">
        <f t="shared" si="97"/>
        <v>-1.2135479223102887</v>
      </c>
      <c r="H6184" s="35"/>
      <c r="P6184" s="6"/>
    </row>
    <row r="6185" spans="1:16" ht="14.4" x14ac:dyDescent="0.25">
      <c r="A6185" s="6">
        <v>4293</v>
      </c>
      <c r="B6185" s="6">
        <v>30567</v>
      </c>
      <c r="C6185" s="19">
        <v>39827</v>
      </c>
      <c r="D6185" s="6" t="s">
        <v>28</v>
      </c>
      <c r="E6185" s="6">
        <f>IF((ISBLANK($B$1)),"",Sheet1!Q6197)</f>
        <v>3550</v>
      </c>
      <c r="F6185" s="20" t="s">
        <v>29</v>
      </c>
      <c r="G6185" s="53">
        <f t="shared" si="97"/>
        <v>-1.5587864904876745</v>
      </c>
      <c r="H6185" s="35"/>
      <c r="P6185" s="6"/>
    </row>
    <row r="6186" spans="1:16" ht="14.4" x14ac:dyDescent="0.25">
      <c r="A6186" s="6">
        <v>4294</v>
      </c>
      <c r="B6186" s="6">
        <v>30567</v>
      </c>
      <c r="C6186" s="19">
        <v>39827</v>
      </c>
      <c r="D6186" s="6" t="s">
        <v>28</v>
      </c>
      <c r="E6186" s="6">
        <f>IF((ISBLANK($B$1)),"",Sheet1!Q6198)</f>
        <v>4100</v>
      </c>
      <c r="F6186" s="20" t="s">
        <v>26</v>
      </c>
      <c r="G6186" s="53">
        <f t="shared" si="97"/>
        <v>-0.79926164049742576</v>
      </c>
      <c r="H6186" s="35"/>
      <c r="P6186" s="6"/>
    </row>
    <row r="6187" spans="1:16" ht="14.4" x14ac:dyDescent="0.25">
      <c r="A6187" s="6">
        <v>4431</v>
      </c>
      <c r="B6187" s="6">
        <v>31586</v>
      </c>
      <c r="C6187" s="19">
        <v>40989</v>
      </c>
      <c r="D6187" s="6" t="s">
        <v>25</v>
      </c>
      <c r="E6187" s="6">
        <f>IF((ISBLANK($B$1)),"",Sheet1!Q6199)</f>
        <v>4500</v>
      </c>
      <c r="F6187" s="20" t="s">
        <v>27</v>
      </c>
      <c r="G6187" s="53">
        <f t="shared" si="97"/>
        <v>-0.24687993141360834</v>
      </c>
      <c r="H6187" s="35"/>
      <c r="P6187" s="6"/>
    </row>
    <row r="6188" spans="1:16" ht="14.4" x14ac:dyDescent="0.25">
      <c r="A6188" s="6">
        <v>4432</v>
      </c>
      <c r="B6188" s="6">
        <v>31586</v>
      </c>
      <c r="C6188" s="19">
        <v>40989</v>
      </c>
      <c r="D6188" s="6" t="s">
        <v>25</v>
      </c>
      <c r="E6188" s="6">
        <f>IF((ISBLANK($B$1)),"",Sheet1!Q6200)</f>
        <v>4650</v>
      </c>
      <c r="F6188" s="20" t="s">
        <v>27</v>
      </c>
      <c r="G6188" s="53">
        <f t="shared" si="97"/>
        <v>-3.9736790507176829E-2</v>
      </c>
      <c r="H6188" s="35"/>
      <c r="P6188" s="6"/>
    </row>
    <row r="6189" spans="1:16" ht="14.4" x14ac:dyDescent="0.25">
      <c r="A6189" s="6">
        <v>4448</v>
      </c>
      <c r="B6189" s="6">
        <v>31687</v>
      </c>
      <c r="C6189" s="19">
        <v>40682</v>
      </c>
      <c r="D6189" s="6" t="s">
        <v>17</v>
      </c>
      <c r="E6189" s="6">
        <f>IF((ISBLANK($B$1)),"",Sheet1!Q6201)</f>
        <v>5600</v>
      </c>
      <c r="F6189" s="20" t="s">
        <v>26</v>
      </c>
      <c r="G6189" s="53">
        <f t="shared" si="97"/>
        <v>1.2721697685668893</v>
      </c>
      <c r="H6189" s="35"/>
      <c r="P6189" s="6"/>
    </row>
    <row r="6190" spans="1:16" ht="14.4" x14ac:dyDescent="0.25">
      <c r="A6190" s="6">
        <v>4470</v>
      </c>
      <c r="B6190" s="6">
        <v>31847</v>
      </c>
      <c r="C6190" s="19">
        <v>40165</v>
      </c>
      <c r="D6190" s="6" t="s">
        <v>25</v>
      </c>
      <c r="E6190" s="6">
        <f>IF((ISBLANK($B$1)),"",Sheet1!Q6202)</f>
        <v>5700</v>
      </c>
      <c r="F6190" s="20" t="s">
        <v>27</v>
      </c>
      <c r="G6190" s="53">
        <f t="shared" si="97"/>
        <v>1.4102651958378438</v>
      </c>
      <c r="H6190" s="35"/>
      <c r="P6190" s="6"/>
    </row>
    <row r="6191" spans="1:16" ht="14.4" x14ac:dyDescent="0.25">
      <c r="A6191" s="6">
        <v>4612</v>
      </c>
      <c r="B6191" s="6">
        <v>32868</v>
      </c>
      <c r="C6191" s="19">
        <v>39830</v>
      </c>
      <c r="D6191" s="6" t="s">
        <v>28</v>
      </c>
      <c r="E6191" s="6">
        <f>IF((ISBLANK($B$1)),"",Sheet1!Q6203)</f>
        <v>5350</v>
      </c>
      <c r="F6191" s="20" t="s">
        <v>26</v>
      </c>
      <c r="G6191" s="53">
        <f t="shared" si="97"/>
        <v>0.92693120038950361</v>
      </c>
      <c r="H6191" s="35"/>
      <c r="P6191" s="6"/>
    </row>
    <row r="6192" spans="1:16" ht="14.4" x14ac:dyDescent="0.25">
      <c r="A6192" s="6">
        <v>5081</v>
      </c>
      <c r="B6192" s="6">
        <v>36224</v>
      </c>
      <c r="C6192" s="19">
        <v>39936</v>
      </c>
      <c r="D6192" s="6" t="s">
        <v>16</v>
      </c>
      <c r="E6192" s="6">
        <f>IF((ISBLANK($B$1)),"",Sheet1!Q6204)</f>
        <v>4150</v>
      </c>
      <c r="F6192" s="20" t="s">
        <v>26</v>
      </c>
      <c r="G6192" s="53">
        <f t="shared" si="97"/>
        <v>-0.73021392686194853</v>
      </c>
      <c r="H6192" s="35"/>
      <c r="P6192" s="6"/>
    </row>
    <row r="6193" spans="1:16" ht="14.4" x14ac:dyDescent="0.25">
      <c r="A6193" s="6">
        <v>5157</v>
      </c>
      <c r="B6193" s="6">
        <v>36709</v>
      </c>
      <c r="C6193" s="19">
        <v>41144</v>
      </c>
      <c r="D6193" s="6" t="s">
        <v>30</v>
      </c>
      <c r="E6193" s="6">
        <f>IF((ISBLANK($B$1)),"",Sheet1!Q6205)</f>
        <v>5500</v>
      </c>
      <c r="F6193" s="20" t="s">
        <v>27</v>
      </c>
      <c r="G6193" s="53">
        <f t="shared" si="97"/>
        <v>1.1340743412959351</v>
      </c>
      <c r="H6193" s="35"/>
      <c r="P6193" s="6"/>
    </row>
    <row r="6194" spans="1:16" ht="14.4" x14ac:dyDescent="0.25">
      <c r="A6194" s="6">
        <v>5318</v>
      </c>
      <c r="B6194" s="6">
        <v>37826</v>
      </c>
      <c r="C6194" s="19">
        <v>40656</v>
      </c>
      <c r="D6194" s="6" t="s">
        <v>16</v>
      </c>
      <c r="E6194" s="6">
        <f>IF((ISBLANK($B$1)),"",Sheet1!Q6206)</f>
        <v>5650</v>
      </c>
      <c r="F6194" s="20" t="s">
        <v>26</v>
      </c>
      <c r="G6194" s="53">
        <f t="shared" si="97"/>
        <v>1.3412174822023666</v>
      </c>
      <c r="H6194" s="35"/>
      <c r="P6194" s="6"/>
    </row>
    <row r="6195" spans="1:16" ht="14.4" x14ac:dyDescent="0.25">
      <c r="A6195" s="6">
        <v>5338</v>
      </c>
      <c r="B6195" s="6">
        <v>37924</v>
      </c>
      <c r="C6195" s="19">
        <v>40146</v>
      </c>
      <c r="D6195" s="6" t="s">
        <v>17</v>
      </c>
      <c r="E6195" s="6">
        <f>IF((ISBLANK($B$1)),"",Sheet1!Q6207)</f>
        <v>5850</v>
      </c>
      <c r="F6195" s="20" t="s">
        <v>26</v>
      </c>
      <c r="G6195" s="53">
        <f t="shared" si="97"/>
        <v>1.6174083367442753</v>
      </c>
      <c r="H6195" s="35"/>
      <c r="P6195" s="6"/>
    </row>
    <row r="6196" spans="1:16" ht="14.4" x14ac:dyDescent="0.25">
      <c r="A6196" s="6">
        <v>5371</v>
      </c>
      <c r="B6196" s="6">
        <v>38182</v>
      </c>
      <c r="C6196" s="19">
        <v>41051</v>
      </c>
      <c r="D6196" s="6" t="s">
        <v>17</v>
      </c>
      <c r="E6196" s="6">
        <f>IF((ISBLANK($B$1)),"",Sheet1!Q6208)</f>
        <v>5650</v>
      </c>
      <c r="F6196" s="20" t="s">
        <v>26</v>
      </c>
      <c r="G6196" s="53">
        <f t="shared" si="97"/>
        <v>1.3412174822023666</v>
      </c>
      <c r="H6196" s="35"/>
      <c r="P6196" s="6"/>
    </row>
    <row r="6197" spans="1:16" ht="14.4" x14ac:dyDescent="0.25">
      <c r="A6197" s="6">
        <v>5604</v>
      </c>
      <c r="B6197" s="6">
        <v>39717</v>
      </c>
      <c r="C6197" s="19">
        <v>40145</v>
      </c>
      <c r="D6197" s="6" t="s">
        <v>17</v>
      </c>
      <c r="E6197" s="6">
        <f>IF((ISBLANK($B$1)),"",Sheet1!Q6209)</f>
        <v>4400</v>
      </c>
      <c r="F6197" s="20" t="s">
        <v>26</v>
      </c>
      <c r="G6197" s="53">
        <f t="shared" si="97"/>
        <v>-0.38497535868456267</v>
      </c>
      <c r="H6197" s="35"/>
      <c r="P6197" s="6"/>
    </row>
    <row r="6198" spans="1:16" ht="14.4" x14ac:dyDescent="0.25">
      <c r="A6198" s="6">
        <v>5692</v>
      </c>
      <c r="B6198" s="6">
        <v>40257</v>
      </c>
      <c r="C6198" s="19">
        <v>40411</v>
      </c>
      <c r="D6198" s="6" t="s">
        <v>28</v>
      </c>
      <c r="E6198" s="6">
        <f>IF((ISBLANK($B$1)),"",Sheet1!Q6210)</f>
        <v>4600</v>
      </c>
      <c r="F6198" s="20" t="s">
        <v>29</v>
      </c>
      <c r="G6198" s="53">
        <f t="shared" si="97"/>
        <v>-0.108784504142654</v>
      </c>
      <c r="H6198" s="35"/>
      <c r="P6198" s="6"/>
    </row>
    <row r="6199" spans="1:16" ht="14.4" x14ac:dyDescent="0.25">
      <c r="A6199" s="6">
        <v>5700</v>
      </c>
      <c r="B6199" s="6">
        <v>40321</v>
      </c>
      <c r="C6199" s="19">
        <v>40352</v>
      </c>
      <c r="D6199" s="6" t="s">
        <v>17</v>
      </c>
      <c r="E6199" s="6">
        <f>IF((ISBLANK($B$1)),"",Sheet1!Q6211)</f>
        <v>4550</v>
      </c>
      <c r="F6199" s="20" t="s">
        <v>26</v>
      </c>
      <c r="G6199" s="53">
        <f t="shared" si="97"/>
        <v>-0.17783221777813119</v>
      </c>
      <c r="H6199" s="35"/>
      <c r="P6199" s="6"/>
    </row>
    <row r="6200" spans="1:16" ht="14.4" x14ac:dyDescent="0.25">
      <c r="A6200" s="6">
        <v>5701</v>
      </c>
      <c r="B6200" s="6">
        <v>40321</v>
      </c>
      <c r="C6200" s="19">
        <v>40352</v>
      </c>
      <c r="D6200" s="6" t="s">
        <v>17</v>
      </c>
      <c r="E6200" s="6">
        <f>IF((ISBLANK($B$1)),"",Sheet1!Q6212)</f>
        <v>4300</v>
      </c>
      <c r="F6200" s="20" t="s">
        <v>26</v>
      </c>
      <c r="G6200" s="53">
        <f t="shared" si="97"/>
        <v>-0.52307078595551704</v>
      </c>
      <c r="H6200" s="35"/>
      <c r="P6200" s="6"/>
    </row>
    <row r="6201" spans="1:16" ht="14.4" x14ac:dyDescent="0.25">
      <c r="A6201" s="6">
        <v>5947</v>
      </c>
      <c r="B6201" s="6">
        <v>42214</v>
      </c>
      <c r="C6201" s="19">
        <v>40687</v>
      </c>
      <c r="D6201" s="6" t="s">
        <v>25</v>
      </c>
      <c r="E6201" s="6">
        <f>IF((ISBLANK($B$1)),"",Sheet1!Q6213)</f>
        <v>5700</v>
      </c>
      <c r="F6201" s="20" t="s">
        <v>29</v>
      </c>
      <c r="G6201" s="53">
        <f t="shared" si="97"/>
        <v>1.4102651958378438</v>
      </c>
      <c r="H6201" s="35"/>
      <c r="P6201" s="6"/>
    </row>
    <row r="6202" spans="1:16" ht="14.4" x14ac:dyDescent="0.25">
      <c r="A6202" s="6">
        <v>5948</v>
      </c>
      <c r="B6202" s="6">
        <v>42214</v>
      </c>
      <c r="C6202" s="19">
        <v>40687</v>
      </c>
      <c r="D6202" s="6" t="s">
        <v>25</v>
      </c>
      <c r="E6202" s="6">
        <f>IF((ISBLANK($B$1)),"",Sheet1!Q6214)</f>
        <v>4800</v>
      </c>
      <c r="F6202" s="20" t="s">
        <v>26</v>
      </c>
      <c r="G6202" s="53">
        <f t="shared" si="97"/>
        <v>0.16740635039925467</v>
      </c>
      <c r="H6202" s="35"/>
      <c r="P6202" s="6"/>
    </row>
    <row r="6203" spans="1:16" ht="14.4" x14ac:dyDescent="0.25">
      <c r="A6203" s="6">
        <v>6039</v>
      </c>
      <c r="B6203" s="6">
        <v>42788</v>
      </c>
      <c r="C6203" s="19">
        <v>40829</v>
      </c>
      <c r="D6203" s="6" t="s">
        <v>30</v>
      </c>
      <c r="E6203" s="6">
        <f>IF((ISBLANK($B$1)),"",Sheet1!Q6215)</f>
        <v>4700</v>
      </c>
      <c r="F6203" s="20" t="s">
        <v>26</v>
      </c>
      <c r="G6203" s="53">
        <f t="shared" si="97"/>
        <v>2.9310923128300338E-2</v>
      </c>
      <c r="H6203" s="35"/>
      <c r="P6203" s="6"/>
    </row>
    <row r="6204" spans="1:16" ht="14.4" x14ac:dyDescent="0.25">
      <c r="A6204" s="6">
        <v>6054</v>
      </c>
      <c r="B6204" s="6">
        <v>42912</v>
      </c>
      <c r="C6204" s="19">
        <v>40302</v>
      </c>
      <c r="D6204" s="6" t="s">
        <v>28</v>
      </c>
      <c r="E6204" s="6">
        <f>IF((ISBLANK($B$1)),"",Sheet1!Q6216)</f>
        <v>3600</v>
      </c>
      <c r="F6204" s="20" t="s">
        <v>26</v>
      </c>
      <c r="G6204" s="53">
        <f t="shared" si="97"/>
        <v>-1.4897387768521975</v>
      </c>
      <c r="H6204" s="35"/>
      <c r="P6204" s="6"/>
    </row>
    <row r="6205" spans="1:16" ht="14.4" x14ac:dyDescent="0.25">
      <c r="A6205" s="6">
        <v>6162</v>
      </c>
      <c r="B6205" s="6">
        <v>43653</v>
      </c>
      <c r="C6205" s="19">
        <v>41212</v>
      </c>
      <c r="D6205" s="6" t="s">
        <v>17</v>
      </c>
      <c r="E6205" s="6">
        <f>IF((ISBLANK($B$1)),"",Sheet1!Q6217)</f>
        <v>3550</v>
      </c>
      <c r="F6205" s="20" t="s">
        <v>26</v>
      </c>
      <c r="G6205" s="53">
        <f t="shared" si="97"/>
        <v>-1.5587864904876745</v>
      </c>
      <c r="H6205" s="35"/>
      <c r="P6205" s="6"/>
    </row>
    <row r="6206" spans="1:16" ht="14.4" x14ac:dyDescent="0.25">
      <c r="A6206" s="6">
        <v>6163</v>
      </c>
      <c r="B6206" s="6">
        <v>43653</v>
      </c>
      <c r="C6206" s="19">
        <v>41212</v>
      </c>
      <c r="D6206" s="6" t="s">
        <v>17</v>
      </c>
      <c r="E6206" s="6">
        <f>IF((ISBLANK($B$1)),"",Sheet1!Q6218)</f>
        <v>5350</v>
      </c>
      <c r="F6206" s="20" t="s">
        <v>26</v>
      </c>
      <c r="G6206" s="53">
        <f t="shared" si="97"/>
        <v>0.92693120038950361</v>
      </c>
      <c r="H6206" s="35"/>
      <c r="P6206" s="6"/>
    </row>
    <row r="6207" spans="1:16" ht="14.4" x14ac:dyDescent="0.25">
      <c r="A6207" s="6">
        <v>6164</v>
      </c>
      <c r="B6207" s="6">
        <v>43653</v>
      </c>
      <c r="C6207" s="19">
        <v>41212</v>
      </c>
      <c r="D6207" s="6" t="s">
        <v>17</v>
      </c>
      <c r="E6207" s="6">
        <f>IF((ISBLANK($B$1)),"",Sheet1!Q6219)</f>
        <v>3900</v>
      </c>
      <c r="F6207" s="20" t="s">
        <v>26</v>
      </c>
      <c r="G6207" s="53">
        <f t="shared" si="97"/>
        <v>-1.0754524950393345</v>
      </c>
      <c r="H6207" s="35"/>
      <c r="P6207" s="6"/>
    </row>
    <row r="6208" spans="1:16" ht="14.4" x14ac:dyDescent="0.25">
      <c r="A6208" s="6">
        <v>6343</v>
      </c>
      <c r="B6208" s="6">
        <v>44962</v>
      </c>
      <c r="C6208" s="19">
        <v>40175</v>
      </c>
      <c r="D6208" s="6" t="s">
        <v>16</v>
      </c>
      <c r="E6208" s="6">
        <f>IF((ISBLANK($B$1)),"",Sheet1!Q6220)</f>
        <v>4750</v>
      </c>
      <c r="F6208" s="20" t="s">
        <v>27</v>
      </c>
      <c r="G6208" s="53">
        <f t="shared" si="97"/>
        <v>9.8358636763777513E-2</v>
      </c>
      <c r="H6208" s="35"/>
      <c r="P6208" s="6"/>
    </row>
    <row r="6209" spans="1:16" ht="14.4" x14ac:dyDescent="0.25">
      <c r="A6209" s="6">
        <v>6397</v>
      </c>
      <c r="B6209" s="6">
        <v>45412</v>
      </c>
      <c r="C6209" s="19">
        <v>40290</v>
      </c>
      <c r="D6209" s="6" t="s">
        <v>16</v>
      </c>
      <c r="E6209" s="6">
        <f>IF((ISBLANK($B$1)),"",Sheet1!Q6221)</f>
        <v>4400</v>
      </c>
      <c r="F6209" s="20" t="s">
        <v>27</v>
      </c>
      <c r="G6209" s="53">
        <f t="shared" si="97"/>
        <v>-0.38497535868456267</v>
      </c>
      <c r="H6209" s="35"/>
      <c r="P6209" s="6"/>
    </row>
    <row r="6210" spans="1:16" ht="14.4" x14ac:dyDescent="0.25">
      <c r="A6210" s="6">
        <v>6436</v>
      </c>
      <c r="B6210" s="6">
        <v>45734</v>
      </c>
      <c r="C6210" s="19">
        <v>41107</v>
      </c>
      <c r="D6210" s="6" t="s">
        <v>30</v>
      </c>
      <c r="E6210" s="6">
        <f>IF((ISBLANK($B$1)),"",Sheet1!Q6222)</f>
        <v>5750</v>
      </c>
      <c r="F6210" s="20" t="s">
        <v>26</v>
      </c>
      <c r="G6210" s="53">
        <f t="shared" si="97"/>
        <v>1.4793129094733208</v>
      </c>
      <c r="H6210" s="35"/>
      <c r="P6210" s="6"/>
    </row>
    <row r="6211" spans="1:16" ht="14.4" x14ac:dyDescent="0.25">
      <c r="A6211" s="6">
        <v>6454</v>
      </c>
      <c r="B6211" s="6">
        <v>45959</v>
      </c>
      <c r="C6211" s="19">
        <v>40153</v>
      </c>
      <c r="D6211" s="6" t="s">
        <v>16</v>
      </c>
      <c r="E6211" s="6">
        <f>IF((ISBLANK($B$1)),"",Sheet1!Q6223)</f>
        <v>4150</v>
      </c>
      <c r="F6211" s="20" t="s">
        <v>26</v>
      </c>
      <c r="G6211" s="53">
        <f t="shared" si="97"/>
        <v>-0.73021392686194853</v>
      </c>
      <c r="H6211" s="35"/>
      <c r="P6211" s="6"/>
    </row>
    <row r="6212" spans="1:16" ht="14.4" x14ac:dyDescent="0.25">
      <c r="A6212" s="6">
        <v>6455</v>
      </c>
      <c r="B6212" s="6">
        <v>45959</v>
      </c>
      <c r="C6212" s="19">
        <v>40153</v>
      </c>
      <c r="D6212" s="6" t="s">
        <v>16</v>
      </c>
      <c r="E6212" s="6">
        <f>IF((ISBLANK($B$1)),"",Sheet1!Q6224)</f>
        <v>5150</v>
      </c>
      <c r="F6212" s="20" t="s">
        <v>27</v>
      </c>
      <c r="G6212" s="53">
        <f t="shared" si="97"/>
        <v>0.65074034584759488</v>
      </c>
      <c r="H6212" s="35"/>
      <c r="P6212" s="6"/>
    </row>
    <row r="6213" spans="1:16" ht="14.4" x14ac:dyDescent="0.25">
      <c r="A6213" s="6">
        <v>6585</v>
      </c>
      <c r="B6213" s="6">
        <v>46884</v>
      </c>
      <c r="C6213" s="19">
        <v>39830</v>
      </c>
      <c r="D6213" s="6" t="s">
        <v>16</v>
      </c>
      <c r="E6213" s="6">
        <f>IF((ISBLANK($B$1)),"",Sheet1!Q6225)</f>
        <v>4300</v>
      </c>
      <c r="F6213" s="20" t="s">
        <v>26</v>
      </c>
      <c r="G6213" s="53">
        <f t="shared" si="97"/>
        <v>-0.52307078595551704</v>
      </c>
      <c r="H6213" s="35"/>
      <c r="P6213" s="6"/>
    </row>
    <row r="6214" spans="1:16" ht="14.4" x14ac:dyDescent="0.25">
      <c r="A6214" s="6">
        <v>6586</v>
      </c>
      <c r="B6214" s="6">
        <v>46884</v>
      </c>
      <c r="C6214" s="19">
        <v>39830</v>
      </c>
      <c r="D6214" s="6" t="s">
        <v>16</v>
      </c>
      <c r="E6214" s="6">
        <f>IF((ISBLANK($B$1)),"",Sheet1!Q6226)</f>
        <v>3550</v>
      </c>
      <c r="F6214" s="20" t="s">
        <v>27</v>
      </c>
      <c r="G6214" s="53">
        <f t="shared" si="97"/>
        <v>-1.5587864904876745</v>
      </c>
      <c r="H6214" s="35"/>
      <c r="P6214" s="6"/>
    </row>
    <row r="6215" spans="1:16" ht="14.4" x14ac:dyDescent="0.25">
      <c r="A6215" s="6">
        <v>6604</v>
      </c>
      <c r="B6215" s="6">
        <v>46981</v>
      </c>
      <c r="C6215" s="19">
        <v>39851</v>
      </c>
      <c r="D6215" s="6" t="s">
        <v>16</v>
      </c>
      <c r="E6215" s="6">
        <f>IF((ISBLANK($B$1)),"",Sheet1!Q6227)</f>
        <v>5700</v>
      </c>
      <c r="F6215" s="20" t="s">
        <v>26</v>
      </c>
      <c r="G6215" s="53">
        <f t="shared" si="97"/>
        <v>1.4102651958378438</v>
      </c>
      <c r="H6215" s="35"/>
      <c r="P6215" s="6"/>
    </row>
    <row r="6216" spans="1:16" ht="14.4" x14ac:dyDescent="0.25">
      <c r="A6216" s="6">
        <v>6606</v>
      </c>
      <c r="B6216" s="6">
        <v>47010</v>
      </c>
      <c r="C6216" s="19">
        <v>40819</v>
      </c>
      <c r="D6216" s="6" t="s">
        <v>30</v>
      </c>
      <c r="E6216" s="6">
        <f>IF((ISBLANK($B$1)),"",Sheet1!Q6228)</f>
        <v>3950</v>
      </c>
      <c r="F6216" s="20" t="s">
        <v>29</v>
      </c>
      <c r="G6216" s="53">
        <f t="shared" ref="G6216:G6279" si="98">STANDARDIZE(E6216,$L$26,$L$35)</f>
        <v>-1.0064047814038573</v>
      </c>
      <c r="H6216" s="35"/>
      <c r="P6216" s="6"/>
    </row>
    <row r="6217" spans="1:16" ht="14.4" x14ac:dyDescent="0.25">
      <c r="A6217" s="6">
        <v>6702</v>
      </c>
      <c r="B6217" s="6">
        <v>47717</v>
      </c>
      <c r="C6217" s="19">
        <v>40894</v>
      </c>
      <c r="D6217" s="6" t="s">
        <v>28</v>
      </c>
      <c r="E6217" s="6">
        <f>IF((ISBLANK($B$1)),"",Sheet1!Q6229)</f>
        <v>5150</v>
      </c>
      <c r="F6217" s="20" t="s">
        <v>26</v>
      </c>
      <c r="G6217" s="53">
        <f t="shared" si="98"/>
        <v>0.65074034584759488</v>
      </c>
      <c r="H6217" s="35"/>
      <c r="P6217" s="6"/>
    </row>
    <row r="6218" spans="1:16" ht="14.4" x14ac:dyDescent="0.25">
      <c r="A6218" s="6">
        <v>6776</v>
      </c>
      <c r="B6218" s="6">
        <v>48257</v>
      </c>
      <c r="C6218" s="19">
        <v>39925</v>
      </c>
      <c r="D6218" s="6" t="s">
        <v>25</v>
      </c>
      <c r="E6218" s="6">
        <f>IF((ISBLANK($B$1)),"",Sheet1!Q6230)</f>
        <v>5650</v>
      </c>
      <c r="F6218" s="20" t="s">
        <v>26</v>
      </c>
      <c r="G6218" s="53">
        <f t="shared" si="98"/>
        <v>1.3412174822023666</v>
      </c>
      <c r="H6218" s="35"/>
      <c r="P6218" s="6"/>
    </row>
    <row r="6219" spans="1:16" ht="14.4" x14ac:dyDescent="0.25">
      <c r="A6219" s="6">
        <v>6822</v>
      </c>
      <c r="B6219" s="6">
        <v>48577</v>
      </c>
      <c r="C6219" s="19">
        <v>41098</v>
      </c>
      <c r="D6219" s="6" t="s">
        <v>16</v>
      </c>
      <c r="E6219" s="6">
        <f>IF((ISBLANK($B$1)),"",Sheet1!Q6231)</f>
        <v>3700</v>
      </c>
      <c r="F6219" s="20" t="s">
        <v>26</v>
      </c>
      <c r="G6219" s="53">
        <f t="shared" si="98"/>
        <v>-1.351643349581243</v>
      </c>
      <c r="H6219" s="35"/>
      <c r="P6219" s="6"/>
    </row>
    <row r="6220" spans="1:16" ht="14.4" x14ac:dyDescent="0.25">
      <c r="A6220" s="6">
        <v>6992</v>
      </c>
      <c r="B6220" s="6">
        <v>49953</v>
      </c>
      <c r="C6220" s="19">
        <v>40985</v>
      </c>
      <c r="D6220" s="6" t="s">
        <v>28</v>
      </c>
      <c r="E6220" s="6">
        <f>IF((ISBLANK($B$1)),"",Sheet1!Q6232)</f>
        <v>4300</v>
      </c>
      <c r="F6220" s="20" t="s">
        <v>27</v>
      </c>
      <c r="G6220" s="53">
        <f t="shared" si="98"/>
        <v>-0.52307078595551704</v>
      </c>
      <c r="H6220" s="35"/>
      <c r="P6220" s="6"/>
    </row>
    <row r="6221" spans="1:16" ht="14.4" x14ac:dyDescent="0.25">
      <c r="A6221" s="6">
        <v>6993</v>
      </c>
      <c r="B6221" s="6">
        <v>49953</v>
      </c>
      <c r="C6221" s="19">
        <v>40985</v>
      </c>
      <c r="D6221" s="6" t="s">
        <v>28</v>
      </c>
      <c r="E6221" s="6">
        <f>IF((ISBLANK($B$1)),"",Sheet1!Q6233)</f>
        <v>5200</v>
      </c>
      <c r="F6221" s="20" t="s">
        <v>26</v>
      </c>
      <c r="G6221" s="53">
        <f t="shared" si="98"/>
        <v>0.71978805948307201</v>
      </c>
      <c r="H6221" s="35"/>
      <c r="P6221" s="6"/>
    </row>
    <row r="6222" spans="1:16" ht="14.4" x14ac:dyDescent="0.25">
      <c r="A6222" s="6">
        <v>7192</v>
      </c>
      <c r="B6222" s="6">
        <v>51300</v>
      </c>
      <c r="C6222" s="19">
        <v>40831</v>
      </c>
      <c r="D6222" s="6" t="s">
        <v>16</v>
      </c>
      <c r="E6222" s="6">
        <f>IF((ISBLANK($B$1)),"",Sheet1!Q6234)</f>
        <v>5550</v>
      </c>
      <c r="F6222" s="20" t="s">
        <v>27</v>
      </c>
      <c r="G6222" s="53">
        <f t="shared" si="98"/>
        <v>1.2031220549314123</v>
      </c>
      <c r="H6222" s="35"/>
      <c r="P6222" s="6"/>
    </row>
    <row r="6223" spans="1:16" ht="14.4" x14ac:dyDescent="0.25">
      <c r="A6223" s="6">
        <v>7249</v>
      </c>
      <c r="B6223" s="6">
        <v>51687</v>
      </c>
      <c r="C6223" s="19">
        <v>40797</v>
      </c>
      <c r="D6223" s="6" t="s">
        <v>25</v>
      </c>
      <c r="E6223" s="6">
        <f>IF((ISBLANK($B$1)),"",Sheet1!Q6235)</f>
        <v>5500</v>
      </c>
      <c r="F6223" s="20" t="s">
        <v>26</v>
      </c>
      <c r="G6223" s="53">
        <f t="shared" si="98"/>
        <v>1.1340743412959351</v>
      </c>
      <c r="H6223" s="35"/>
      <c r="P6223" s="6"/>
    </row>
    <row r="6224" spans="1:16" ht="14.4" x14ac:dyDescent="0.25">
      <c r="A6224" s="6">
        <v>7288</v>
      </c>
      <c r="B6224" s="6">
        <v>51974</v>
      </c>
      <c r="C6224" s="19">
        <v>40569</v>
      </c>
      <c r="D6224" s="6" t="s">
        <v>17</v>
      </c>
      <c r="E6224" s="6">
        <f>IF((ISBLANK($B$1)),"",Sheet1!Q6236)</f>
        <v>3900</v>
      </c>
      <c r="F6224" s="20" t="s">
        <v>26</v>
      </c>
      <c r="G6224" s="53">
        <f t="shared" si="98"/>
        <v>-1.0754524950393345</v>
      </c>
      <c r="H6224" s="35"/>
      <c r="P6224" s="6"/>
    </row>
    <row r="6225" spans="1:16" ht="14.4" x14ac:dyDescent="0.25">
      <c r="A6225" s="6">
        <v>7289</v>
      </c>
      <c r="B6225" s="6">
        <v>51974</v>
      </c>
      <c r="C6225" s="19">
        <v>40569</v>
      </c>
      <c r="D6225" s="6" t="s">
        <v>17</v>
      </c>
      <c r="E6225" s="6">
        <f>IF((ISBLANK($B$1)),"",Sheet1!Q6237)</f>
        <v>3500</v>
      </c>
      <c r="F6225" s="20" t="s">
        <v>26</v>
      </c>
      <c r="G6225" s="53">
        <f t="shared" si="98"/>
        <v>-1.6278342041231517</v>
      </c>
      <c r="H6225" s="35"/>
      <c r="P6225" s="6"/>
    </row>
    <row r="6226" spans="1:16" ht="14.4" x14ac:dyDescent="0.25">
      <c r="A6226" s="6">
        <v>7394</v>
      </c>
      <c r="B6226" s="6">
        <v>52676</v>
      </c>
      <c r="C6226" s="19">
        <v>41149</v>
      </c>
      <c r="D6226" s="6" t="s">
        <v>17</v>
      </c>
      <c r="E6226" s="6">
        <f>IF((ISBLANK($B$1)),"",Sheet1!Q6238)</f>
        <v>5700</v>
      </c>
      <c r="F6226" s="20" t="s">
        <v>26</v>
      </c>
      <c r="G6226" s="53">
        <f t="shared" si="98"/>
        <v>1.4102651958378438</v>
      </c>
      <c r="H6226" s="35"/>
      <c r="P6226" s="6"/>
    </row>
    <row r="6227" spans="1:16" ht="14.4" x14ac:dyDescent="0.25">
      <c r="A6227" s="6">
        <v>7452</v>
      </c>
      <c r="B6227" s="6">
        <v>53153</v>
      </c>
      <c r="C6227" s="19">
        <v>40079</v>
      </c>
      <c r="D6227" s="6" t="s">
        <v>30</v>
      </c>
      <c r="E6227" s="6">
        <f>IF((ISBLANK($B$1)),"",Sheet1!Q6239)</f>
        <v>4850</v>
      </c>
      <c r="F6227" s="20" t="s">
        <v>26</v>
      </c>
      <c r="G6227" s="53">
        <f t="shared" si="98"/>
        <v>0.23645406403473185</v>
      </c>
      <c r="H6227" s="35"/>
      <c r="P6227" s="6"/>
    </row>
    <row r="6228" spans="1:16" ht="14.4" x14ac:dyDescent="0.25">
      <c r="A6228" s="6">
        <v>7542</v>
      </c>
      <c r="B6228" s="6">
        <v>53895</v>
      </c>
      <c r="C6228" s="19">
        <v>40790</v>
      </c>
      <c r="D6228" s="6" t="s">
        <v>28</v>
      </c>
      <c r="E6228" s="6">
        <f>IF((ISBLANK($B$1)),"",Sheet1!Q6240)</f>
        <v>4450</v>
      </c>
      <c r="F6228" s="20" t="s">
        <v>26</v>
      </c>
      <c r="G6228" s="53">
        <f t="shared" si="98"/>
        <v>-0.31592764504908549</v>
      </c>
      <c r="H6228" s="35"/>
      <c r="P6228" s="6"/>
    </row>
    <row r="6229" spans="1:16" ht="14.4" x14ac:dyDescent="0.25">
      <c r="A6229" s="6">
        <v>7615</v>
      </c>
      <c r="B6229" s="6">
        <v>54497</v>
      </c>
      <c r="C6229" s="19">
        <v>40197</v>
      </c>
      <c r="D6229" s="6" t="s">
        <v>28</v>
      </c>
      <c r="E6229" s="6">
        <f>IF((ISBLANK($B$1)),"",Sheet1!Q6241)</f>
        <v>3450</v>
      </c>
      <c r="F6229" s="20" t="s">
        <v>26</v>
      </c>
      <c r="G6229" s="53">
        <f t="shared" si="98"/>
        <v>-1.696881917758629</v>
      </c>
      <c r="H6229" s="35"/>
      <c r="P6229" s="6"/>
    </row>
    <row r="6230" spans="1:16" ht="14.4" x14ac:dyDescent="0.25">
      <c r="A6230" s="6">
        <v>7714</v>
      </c>
      <c r="B6230" s="6">
        <v>55296</v>
      </c>
      <c r="C6230" s="19">
        <v>41200</v>
      </c>
      <c r="D6230" s="6" t="s">
        <v>25</v>
      </c>
      <c r="E6230" s="6">
        <f>IF((ISBLANK($B$1)),"",Sheet1!Q6242)</f>
        <v>5000</v>
      </c>
      <c r="F6230" s="20" t="s">
        <v>26</v>
      </c>
      <c r="G6230" s="53">
        <f t="shared" si="98"/>
        <v>0.44359720494116334</v>
      </c>
      <c r="H6230" s="35"/>
      <c r="P6230" s="6"/>
    </row>
    <row r="6231" spans="1:16" ht="14.4" x14ac:dyDescent="0.25">
      <c r="A6231" s="6">
        <v>7779</v>
      </c>
      <c r="B6231" s="6">
        <v>55654</v>
      </c>
      <c r="C6231" s="19">
        <v>40440</v>
      </c>
      <c r="D6231" s="6" t="s">
        <v>17</v>
      </c>
      <c r="E6231" s="6">
        <f>IF((ISBLANK($B$1)),"",Sheet1!Q6243)</f>
        <v>3500</v>
      </c>
      <c r="F6231" s="20" t="s">
        <v>29</v>
      </c>
      <c r="G6231" s="53">
        <f t="shared" si="98"/>
        <v>-1.6278342041231517</v>
      </c>
      <c r="H6231" s="35"/>
      <c r="P6231" s="6"/>
    </row>
    <row r="6232" spans="1:16" ht="14.4" x14ac:dyDescent="0.25">
      <c r="A6232" s="6">
        <v>7884</v>
      </c>
      <c r="B6232" s="6">
        <v>56387</v>
      </c>
      <c r="C6232" s="19">
        <v>40683</v>
      </c>
      <c r="D6232" s="6" t="s">
        <v>16</v>
      </c>
      <c r="E6232" s="6">
        <f>IF((ISBLANK($B$1)),"",Sheet1!Q6244)</f>
        <v>5000</v>
      </c>
      <c r="F6232" s="20" t="s">
        <v>26</v>
      </c>
      <c r="G6232" s="53">
        <f t="shared" si="98"/>
        <v>0.44359720494116334</v>
      </c>
      <c r="H6232" s="35"/>
      <c r="P6232" s="6"/>
    </row>
    <row r="6233" spans="1:16" ht="14.4" x14ac:dyDescent="0.25">
      <c r="A6233" s="6">
        <v>7885</v>
      </c>
      <c r="B6233" s="6">
        <v>56387</v>
      </c>
      <c r="C6233" s="19">
        <v>40683</v>
      </c>
      <c r="D6233" s="6" t="s">
        <v>16</v>
      </c>
      <c r="E6233" s="6">
        <f>IF((ISBLANK($B$1)),"",Sheet1!Q6245)</f>
        <v>3850</v>
      </c>
      <c r="F6233" s="20" t="s">
        <v>26</v>
      </c>
      <c r="G6233" s="53">
        <f t="shared" si="98"/>
        <v>-1.1445002086748115</v>
      </c>
      <c r="H6233" s="35"/>
      <c r="P6233" s="6"/>
    </row>
    <row r="6234" spans="1:16" ht="14.4" x14ac:dyDescent="0.25">
      <c r="A6234" s="6">
        <v>7944</v>
      </c>
      <c r="B6234" s="6">
        <v>56743</v>
      </c>
      <c r="C6234" s="19">
        <v>40716</v>
      </c>
      <c r="D6234" s="6" t="s">
        <v>16</v>
      </c>
      <c r="E6234" s="6">
        <f>IF((ISBLANK($B$1)),"",Sheet1!Q6246)</f>
        <v>4550</v>
      </c>
      <c r="F6234" s="20" t="s">
        <v>29</v>
      </c>
      <c r="G6234" s="53">
        <f t="shared" si="98"/>
        <v>-0.17783221777813119</v>
      </c>
      <c r="H6234" s="35"/>
      <c r="P6234" s="6"/>
    </row>
    <row r="6235" spans="1:16" ht="14.4" x14ac:dyDescent="0.25">
      <c r="A6235" s="6">
        <v>7952</v>
      </c>
      <c r="B6235" s="6">
        <v>56805</v>
      </c>
      <c r="C6235" s="19">
        <v>41065</v>
      </c>
      <c r="D6235" s="6" t="s">
        <v>17</v>
      </c>
      <c r="E6235" s="6">
        <f>IF((ISBLANK($B$1)),"",Sheet1!Q6247)</f>
        <v>5300</v>
      </c>
      <c r="F6235" s="20" t="s">
        <v>26</v>
      </c>
      <c r="G6235" s="53">
        <f t="shared" si="98"/>
        <v>0.85788348675402637</v>
      </c>
      <c r="H6235" s="35"/>
      <c r="P6235" s="6"/>
    </row>
    <row r="6236" spans="1:16" ht="14.4" x14ac:dyDescent="0.25">
      <c r="A6236" s="6">
        <v>7958</v>
      </c>
      <c r="B6236" s="6">
        <v>56838</v>
      </c>
      <c r="C6236" s="19">
        <v>40753</v>
      </c>
      <c r="D6236" s="6" t="s">
        <v>30</v>
      </c>
      <c r="E6236" s="6">
        <f>IF((ISBLANK($B$1)),"",Sheet1!Q6248)</f>
        <v>5600</v>
      </c>
      <c r="F6236" s="20" t="s">
        <v>27</v>
      </c>
      <c r="G6236" s="53">
        <f t="shared" si="98"/>
        <v>1.2721697685668893</v>
      </c>
      <c r="H6236" s="35"/>
      <c r="P6236" s="6"/>
    </row>
    <row r="6237" spans="1:16" ht="14.4" x14ac:dyDescent="0.25">
      <c r="A6237" s="6">
        <v>7988</v>
      </c>
      <c r="B6237" s="6">
        <v>57095</v>
      </c>
      <c r="C6237" s="19">
        <v>40625</v>
      </c>
      <c r="D6237" s="6" t="s">
        <v>16</v>
      </c>
      <c r="E6237" s="6">
        <f>IF((ISBLANK($B$1)),"",Sheet1!Q6249)</f>
        <v>5250</v>
      </c>
      <c r="F6237" s="20" t="s">
        <v>26</v>
      </c>
      <c r="G6237" s="53">
        <f t="shared" si="98"/>
        <v>0.78883577311854924</v>
      </c>
      <c r="H6237" s="35"/>
      <c r="P6237" s="6"/>
    </row>
    <row r="6238" spans="1:16" ht="14.4" x14ac:dyDescent="0.25">
      <c r="A6238" s="6">
        <v>8019</v>
      </c>
      <c r="B6238" s="6">
        <v>57287</v>
      </c>
      <c r="C6238" s="19">
        <v>40844</v>
      </c>
      <c r="D6238" s="6" t="s">
        <v>28</v>
      </c>
      <c r="E6238" s="6">
        <f>IF((ISBLANK($B$1)),"",Sheet1!Q6250)</f>
        <v>3950</v>
      </c>
      <c r="F6238" s="20" t="s">
        <v>27</v>
      </c>
      <c r="G6238" s="53">
        <f t="shared" si="98"/>
        <v>-1.0064047814038573</v>
      </c>
      <c r="H6238" s="35"/>
      <c r="P6238" s="6"/>
    </row>
    <row r="6239" spans="1:16" ht="14.4" x14ac:dyDescent="0.25">
      <c r="A6239" s="6">
        <v>8118</v>
      </c>
      <c r="B6239" s="6">
        <v>57984</v>
      </c>
      <c r="C6239" s="19">
        <v>40453</v>
      </c>
      <c r="D6239" s="6" t="s">
        <v>17</v>
      </c>
      <c r="E6239" s="6">
        <f>IF((ISBLANK($B$1)),"",Sheet1!Q6251)</f>
        <v>3700</v>
      </c>
      <c r="F6239" s="20" t="s">
        <v>27</v>
      </c>
      <c r="G6239" s="53">
        <f t="shared" si="98"/>
        <v>-1.351643349581243</v>
      </c>
      <c r="H6239" s="35"/>
      <c r="P6239" s="6"/>
    </row>
    <row r="6240" spans="1:16" ht="14.4" x14ac:dyDescent="0.25">
      <c r="A6240" s="6">
        <v>8119</v>
      </c>
      <c r="B6240" s="6">
        <v>57984</v>
      </c>
      <c r="C6240" s="19">
        <v>40453</v>
      </c>
      <c r="D6240" s="6" t="s">
        <v>17</v>
      </c>
      <c r="E6240" s="6">
        <f>IF((ISBLANK($B$1)),"",Sheet1!Q6252)</f>
        <v>4400</v>
      </c>
      <c r="F6240" s="20" t="s">
        <v>27</v>
      </c>
      <c r="G6240" s="53">
        <f t="shared" si="98"/>
        <v>-0.38497535868456267</v>
      </c>
      <c r="H6240" s="35"/>
      <c r="P6240" s="6"/>
    </row>
    <row r="6241" spans="1:16" ht="14.4" x14ac:dyDescent="0.25">
      <c r="A6241" s="6">
        <v>8289</v>
      </c>
      <c r="B6241" s="6">
        <v>59207</v>
      </c>
      <c r="C6241" s="19">
        <v>39951</v>
      </c>
      <c r="D6241" s="6" t="s">
        <v>30</v>
      </c>
      <c r="E6241" s="6">
        <f>IF((ISBLANK($B$1)),"",Sheet1!Q6253)</f>
        <v>3550</v>
      </c>
      <c r="F6241" s="20" t="s">
        <v>26</v>
      </c>
      <c r="G6241" s="53">
        <f t="shared" si="98"/>
        <v>-1.5587864904876745</v>
      </c>
      <c r="H6241" s="35"/>
      <c r="P6241" s="6"/>
    </row>
    <row r="6242" spans="1:16" ht="14.4" x14ac:dyDescent="0.25">
      <c r="A6242" s="6">
        <v>8296</v>
      </c>
      <c r="B6242" s="6">
        <v>59238</v>
      </c>
      <c r="C6242" s="19">
        <v>40075</v>
      </c>
      <c r="D6242" s="6" t="s">
        <v>17</v>
      </c>
      <c r="E6242" s="6">
        <f>IF((ISBLANK($B$1)),"",Sheet1!Q6254)</f>
        <v>3950</v>
      </c>
      <c r="F6242" s="20" t="s">
        <v>26</v>
      </c>
      <c r="G6242" s="53">
        <f t="shared" si="98"/>
        <v>-1.0064047814038573</v>
      </c>
      <c r="H6242" s="35"/>
      <c r="P6242" s="6"/>
    </row>
    <row r="6243" spans="1:16" ht="14.4" x14ac:dyDescent="0.25">
      <c r="A6243" s="6">
        <v>8315</v>
      </c>
      <c r="B6243" s="6">
        <v>59396</v>
      </c>
      <c r="C6243" s="19">
        <v>40131</v>
      </c>
      <c r="D6243" s="6" t="s">
        <v>30</v>
      </c>
      <c r="E6243" s="6">
        <f>IF((ISBLANK($B$1)),"",Sheet1!Q6255)</f>
        <v>5450</v>
      </c>
      <c r="F6243" s="20" t="s">
        <v>27</v>
      </c>
      <c r="G6243" s="53">
        <f t="shared" si="98"/>
        <v>1.0650266276604579</v>
      </c>
      <c r="H6243" s="35"/>
      <c r="P6243" s="6"/>
    </row>
    <row r="6244" spans="1:16" ht="14.4" x14ac:dyDescent="0.25">
      <c r="A6244" s="6">
        <v>8388</v>
      </c>
      <c r="B6244" s="6">
        <v>59911</v>
      </c>
      <c r="C6244" s="19">
        <v>40895</v>
      </c>
      <c r="D6244" s="6" t="s">
        <v>28</v>
      </c>
      <c r="E6244" s="6">
        <f>IF((ISBLANK($B$1)),"",Sheet1!Q6256)</f>
        <v>3450</v>
      </c>
      <c r="F6244" s="20" t="s">
        <v>26</v>
      </c>
      <c r="G6244" s="53">
        <f t="shared" si="98"/>
        <v>-1.696881917758629</v>
      </c>
      <c r="H6244" s="35"/>
      <c r="P6244" s="6"/>
    </row>
    <row r="6245" spans="1:16" ht="14.4" x14ac:dyDescent="0.25">
      <c r="A6245" s="6">
        <v>147</v>
      </c>
      <c r="B6245" s="6">
        <v>930</v>
      </c>
      <c r="C6245" s="19">
        <v>40163</v>
      </c>
      <c r="D6245" s="6" t="s">
        <v>30</v>
      </c>
      <c r="E6245" s="6">
        <f>IF((ISBLANK($B$1)),"",Sheet1!Q6257)</f>
        <v>4500</v>
      </c>
      <c r="F6245" s="20" t="s">
        <v>29</v>
      </c>
      <c r="G6245" s="53">
        <f t="shared" si="98"/>
        <v>-0.24687993141360834</v>
      </c>
      <c r="H6245" s="35"/>
      <c r="P6245" s="6"/>
    </row>
    <row r="6246" spans="1:16" ht="14.4" x14ac:dyDescent="0.25">
      <c r="A6246" s="6">
        <v>148</v>
      </c>
      <c r="B6246" s="6">
        <v>930</v>
      </c>
      <c r="C6246" s="19">
        <v>40163</v>
      </c>
      <c r="D6246" s="6" t="s">
        <v>30</v>
      </c>
      <c r="E6246" s="6">
        <f>IF((ISBLANK($B$1)),"",Sheet1!Q6258)</f>
        <v>3950</v>
      </c>
      <c r="F6246" s="20" t="s">
        <v>26</v>
      </c>
      <c r="G6246" s="53">
        <f t="shared" si="98"/>
        <v>-1.0064047814038573</v>
      </c>
      <c r="H6246" s="35"/>
      <c r="P6246" s="6"/>
    </row>
    <row r="6247" spans="1:16" ht="14.4" x14ac:dyDescent="0.25">
      <c r="A6247" s="6">
        <v>168</v>
      </c>
      <c r="B6247" s="6">
        <v>1058</v>
      </c>
      <c r="C6247" s="19">
        <v>40293</v>
      </c>
      <c r="D6247" s="6" t="s">
        <v>16</v>
      </c>
      <c r="E6247" s="6">
        <f>IF((ISBLANK($B$1)),"",Sheet1!Q6259)</f>
        <v>3550</v>
      </c>
      <c r="F6247" s="20" t="s">
        <v>27</v>
      </c>
      <c r="G6247" s="53">
        <f t="shared" si="98"/>
        <v>-1.5587864904876745</v>
      </c>
      <c r="H6247" s="35"/>
      <c r="P6247" s="6"/>
    </row>
    <row r="6248" spans="1:16" ht="14.4" x14ac:dyDescent="0.25">
      <c r="A6248" s="6">
        <v>172</v>
      </c>
      <c r="B6248" s="6">
        <v>1088</v>
      </c>
      <c r="C6248" s="19">
        <v>41049</v>
      </c>
      <c r="D6248" s="6" t="s">
        <v>25</v>
      </c>
      <c r="E6248" s="6">
        <f>IF((ISBLANK($B$1)),"",Sheet1!Q6260)</f>
        <v>4050</v>
      </c>
      <c r="F6248" s="20" t="s">
        <v>27</v>
      </c>
      <c r="G6248" s="53">
        <f t="shared" si="98"/>
        <v>-0.86830935413290289</v>
      </c>
      <c r="H6248" s="35"/>
      <c r="P6248" s="6"/>
    </row>
    <row r="6249" spans="1:16" ht="14.4" x14ac:dyDescent="0.25">
      <c r="A6249" s="6">
        <v>225</v>
      </c>
      <c r="B6249" s="6">
        <v>1504</v>
      </c>
      <c r="C6249" s="19">
        <v>41148</v>
      </c>
      <c r="D6249" s="6" t="s">
        <v>16</v>
      </c>
      <c r="E6249" s="6">
        <f>IF((ISBLANK($B$1)),"",Sheet1!Q6261)</f>
        <v>4950</v>
      </c>
      <c r="F6249" s="20" t="s">
        <v>27</v>
      </c>
      <c r="G6249" s="53">
        <f t="shared" si="98"/>
        <v>0.37454949130568621</v>
      </c>
      <c r="H6249" s="35"/>
      <c r="P6249" s="6"/>
    </row>
    <row r="6250" spans="1:16" ht="14.4" x14ac:dyDescent="0.25">
      <c r="A6250" s="6">
        <v>258</v>
      </c>
      <c r="B6250" s="6">
        <v>1796</v>
      </c>
      <c r="C6250" s="19">
        <v>41233</v>
      </c>
      <c r="D6250" s="6" t="s">
        <v>17</v>
      </c>
      <c r="E6250" s="6">
        <f>IF((ISBLANK($B$1)),"",Sheet1!Q6262)</f>
        <v>5550</v>
      </c>
      <c r="F6250" s="20" t="s">
        <v>26</v>
      </c>
      <c r="G6250" s="53">
        <f t="shared" si="98"/>
        <v>1.2031220549314123</v>
      </c>
      <c r="H6250" s="35"/>
      <c r="P6250" s="6"/>
    </row>
    <row r="6251" spans="1:16" ht="14.4" x14ac:dyDescent="0.25">
      <c r="A6251" s="6">
        <v>292</v>
      </c>
      <c r="B6251" s="6">
        <v>2048</v>
      </c>
      <c r="C6251" s="19">
        <v>40496</v>
      </c>
      <c r="D6251" s="6" t="s">
        <v>30</v>
      </c>
      <c r="E6251" s="6">
        <f>IF((ISBLANK($B$1)),"",Sheet1!Q6263)</f>
        <v>4000</v>
      </c>
      <c r="F6251" s="20" t="s">
        <v>26</v>
      </c>
      <c r="G6251" s="53">
        <f t="shared" si="98"/>
        <v>-0.93735706776838001</v>
      </c>
      <c r="H6251" s="35"/>
      <c r="P6251" s="6"/>
    </row>
    <row r="6252" spans="1:16" ht="14.4" x14ac:dyDescent="0.25">
      <c r="A6252" s="6">
        <v>293</v>
      </c>
      <c r="B6252" s="6">
        <v>2048</v>
      </c>
      <c r="C6252" s="19">
        <v>40496</v>
      </c>
      <c r="D6252" s="6" t="s">
        <v>30</v>
      </c>
      <c r="E6252" s="6">
        <f>IF((ISBLANK($B$1)),"",Sheet1!Q6264)</f>
        <v>3850</v>
      </c>
      <c r="F6252" s="20" t="s">
        <v>26</v>
      </c>
      <c r="G6252" s="53">
        <f t="shared" si="98"/>
        <v>-1.1445002086748115</v>
      </c>
      <c r="H6252" s="35"/>
      <c r="P6252" s="6"/>
    </row>
    <row r="6253" spans="1:16" ht="14.4" x14ac:dyDescent="0.25">
      <c r="A6253" s="6">
        <v>294</v>
      </c>
      <c r="B6253" s="6">
        <v>2050</v>
      </c>
      <c r="C6253" s="19">
        <v>39965</v>
      </c>
      <c r="D6253" s="6" t="s">
        <v>28</v>
      </c>
      <c r="E6253" s="6">
        <f>IF((ISBLANK($B$1)),"",Sheet1!Q6265)</f>
        <v>4200</v>
      </c>
      <c r="F6253" s="20" t="s">
        <v>26</v>
      </c>
      <c r="G6253" s="53">
        <f t="shared" si="98"/>
        <v>-0.6611662132264714</v>
      </c>
      <c r="H6253" s="35"/>
      <c r="P6253" s="6"/>
    </row>
    <row r="6254" spans="1:16" ht="14.4" x14ac:dyDescent="0.25">
      <c r="A6254" s="6">
        <v>295</v>
      </c>
      <c r="B6254" s="6">
        <v>2050</v>
      </c>
      <c r="C6254" s="19">
        <v>39965</v>
      </c>
      <c r="D6254" s="6" t="s">
        <v>28</v>
      </c>
      <c r="E6254" s="6">
        <f>IF((ISBLANK($B$1)),"",Sheet1!Q6266)</f>
        <v>4650</v>
      </c>
      <c r="F6254" s="20" t="s">
        <v>26</v>
      </c>
      <c r="G6254" s="53">
        <f t="shared" si="98"/>
        <v>-3.9736790507176829E-2</v>
      </c>
      <c r="H6254" s="35"/>
      <c r="P6254" s="6"/>
    </row>
    <row r="6255" spans="1:16" ht="14.4" x14ac:dyDescent="0.25">
      <c r="A6255" s="6">
        <v>299</v>
      </c>
      <c r="B6255" s="6">
        <v>2054</v>
      </c>
      <c r="C6255" s="19">
        <v>41067</v>
      </c>
      <c r="D6255" s="6" t="s">
        <v>28</v>
      </c>
      <c r="E6255" s="6">
        <f>IF((ISBLANK($B$1)),"",Sheet1!Q6267)</f>
        <v>3450</v>
      </c>
      <c r="F6255" s="20" t="s">
        <v>26</v>
      </c>
      <c r="G6255" s="53">
        <f t="shared" si="98"/>
        <v>-1.696881917758629</v>
      </c>
      <c r="H6255" s="35"/>
      <c r="P6255" s="6"/>
    </row>
    <row r="6256" spans="1:16" ht="14.4" x14ac:dyDescent="0.25">
      <c r="A6256" s="6">
        <v>300</v>
      </c>
      <c r="B6256" s="6">
        <v>2054</v>
      </c>
      <c r="C6256" s="19">
        <v>41067</v>
      </c>
      <c r="D6256" s="6" t="s">
        <v>28</v>
      </c>
      <c r="E6256" s="6">
        <f>IF((ISBLANK($B$1)),"",Sheet1!Q6268)</f>
        <v>5100</v>
      </c>
      <c r="F6256" s="20" t="s">
        <v>29</v>
      </c>
      <c r="G6256" s="53">
        <f t="shared" si="98"/>
        <v>0.58169263221211776</v>
      </c>
      <c r="H6256" s="35"/>
      <c r="P6256" s="6"/>
    </row>
    <row r="6257" spans="1:16" ht="14.4" x14ac:dyDescent="0.25">
      <c r="A6257" s="6">
        <v>432</v>
      </c>
      <c r="B6257" s="6">
        <v>2885</v>
      </c>
      <c r="C6257" s="19">
        <v>41170</v>
      </c>
      <c r="D6257" s="6" t="s">
        <v>28</v>
      </c>
      <c r="E6257" s="6">
        <f>IF((ISBLANK($B$1)),"",Sheet1!Q6269)</f>
        <v>4850</v>
      </c>
      <c r="F6257" s="20" t="s">
        <v>26</v>
      </c>
      <c r="G6257" s="53">
        <f t="shared" si="98"/>
        <v>0.23645406403473185</v>
      </c>
      <c r="H6257" s="35"/>
      <c r="P6257" s="6"/>
    </row>
    <row r="6258" spans="1:16" ht="14.4" x14ac:dyDescent="0.25">
      <c r="A6258" s="6">
        <v>433</v>
      </c>
      <c r="B6258" s="6">
        <v>2885</v>
      </c>
      <c r="C6258" s="19">
        <v>41170</v>
      </c>
      <c r="D6258" s="6" t="s">
        <v>28</v>
      </c>
      <c r="E6258" s="6">
        <f>IF((ISBLANK($B$1)),"",Sheet1!Q6270)</f>
        <v>5700</v>
      </c>
      <c r="F6258" s="20" t="s">
        <v>26</v>
      </c>
      <c r="G6258" s="53">
        <f t="shared" si="98"/>
        <v>1.4102651958378438</v>
      </c>
      <c r="H6258" s="35"/>
      <c r="P6258" s="6"/>
    </row>
    <row r="6259" spans="1:16" ht="14.4" x14ac:dyDescent="0.25">
      <c r="A6259" s="6">
        <v>497</v>
      </c>
      <c r="B6259" s="6">
        <v>3458</v>
      </c>
      <c r="C6259" s="19">
        <v>40168</v>
      </c>
      <c r="D6259" s="6" t="s">
        <v>17</v>
      </c>
      <c r="E6259" s="6">
        <f>IF((ISBLANK($B$1)),"",Sheet1!Q6271)</f>
        <v>5450</v>
      </c>
      <c r="F6259" s="20" t="s">
        <v>27</v>
      </c>
      <c r="G6259" s="53">
        <f t="shared" si="98"/>
        <v>1.0650266276604579</v>
      </c>
      <c r="H6259" s="35"/>
      <c r="P6259" s="6"/>
    </row>
    <row r="6260" spans="1:16" ht="14.4" x14ac:dyDescent="0.25">
      <c r="A6260" s="6">
        <v>498</v>
      </c>
      <c r="B6260" s="6">
        <v>3458</v>
      </c>
      <c r="C6260" s="19">
        <v>40168</v>
      </c>
      <c r="D6260" s="6" t="s">
        <v>17</v>
      </c>
      <c r="E6260" s="6">
        <f>IF((ISBLANK($B$1)),"",Sheet1!Q6272)</f>
        <v>4800</v>
      </c>
      <c r="F6260" s="20" t="s">
        <v>26</v>
      </c>
      <c r="G6260" s="53">
        <f t="shared" si="98"/>
        <v>0.16740635039925467</v>
      </c>
      <c r="H6260" s="35"/>
      <c r="P6260" s="6"/>
    </row>
    <row r="6261" spans="1:16" ht="14.4" x14ac:dyDescent="0.25">
      <c r="A6261" s="6">
        <v>511</v>
      </c>
      <c r="B6261" s="6">
        <v>3522</v>
      </c>
      <c r="C6261" s="19">
        <v>40081</v>
      </c>
      <c r="D6261" s="6" t="s">
        <v>25</v>
      </c>
      <c r="E6261" s="6">
        <f>IF((ISBLANK($B$1)),"",Sheet1!Q6273)</f>
        <v>5050</v>
      </c>
      <c r="F6261" s="20" t="s">
        <v>26</v>
      </c>
      <c r="G6261" s="53">
        <f t="shared" si="98"/>
        <v>0.51264491857664052</v>
      </c>
      <c r="H6261" s="35"/>
      <c r="P6261" s="6"/>
    </row>
    <row r="6262" spans="1:16" ht="14.4" x14ac:dyDescent="0.25">
      <c r="A6262" s="6">
        <v>512</v>
      </c>
      <c r="B6262" s="6">
        <v>3522</v>
      </c>
      <c r="C6262" s="19">
        <v>40081</v>
      </c>
      <c r="D6262" s="6" t="s">
        <v>25</v>
      </c>
      <c r="E6262" s="6">
        <f>IF((ISBLANK($B$1)),"",Sheet1!Q6274)</f>
        <v>4750</v>
      </c>
      <c r="F6262" s="20" t="s">
        <v>27</v>
      </c>
      <c r="G6262" s="53">
        <f t="shared" si="98"/>
        <v>9.8358636763777513E-2</v>
      </c>
      <c r="H6262" s="35"/>
      <c r="P6262" s="6"/>
    </row>
    <row r="6263" spans="1:16" ht="14.4" x14ac:dyDescent="0.25">
      <c r="A6263" s="6">
        <v>540</v>
      </c>
      <c r="B6263" s="6">
        <v>3653</v>
      </c>
      <c r="C6263" s="19">
        <v>39898</v>
      </c>
      <c r="D6263" s="6" t="s">
        <v>30</v>
      </c>
      <c r="E6263" s="6">
        <f>IF((ISBLANK($B$1)),"",Sheet1!Q6275)</f>
        <v>5450</v>
      </c>
      <c r="F6263" s="20" t="s">
        <v>26</v>
      </c>
      <c r="G6263" s="53">
        <f t="shared" si="98"/>
        <v>1.0650266276604579</v>
      </c>
      <c r="H6263" s="35"/>
      <c r="P6263" s="6"/>
    </row>
    <row r="6264" spans="1:16" ht="14.4" x14ac:dyDescent="0.25">
      <c r="A6264" s="6">
        <v>562</v>
      </c>
      <c r="B6264" s="6">
        <v>3808</v>
      </c>
      <c r="C6264" s="19">
        <v>39926</v>
      </c>
      <c r="D6264" s="6" t="s">
        <v>30</v>
      </c>
      <c r="E6264" s="6">
        <f>IF((ISBLANK($B$1)),"",Sheet1!Q6276)</f>
        <v>3500</v>
      </c>
      <c r="F6264" s="20" t="s">
        <v>26</v>
      </c>
      <c r="G6264" s="53">
        <f t="shared" si="98"/>
        <v>-1.6278342041231517</v>
      </c>
      <c r="H6264" s="35"/>
      <c r="P6264" s="6"/>
    </row>
    <row r="6265" spans="1:16" ht="14.4" x14ac:dyDescent="0.25">
      <c r="A6265" s="6">
        <v>581</v>
      </c>
      <c r="B6265" s="6">
        <v>3970</v>
      </c>
      <c r="C6265" s="19">
        <v>40994</v>
      </c>
      <c r="D6265" s="6" t="s">
        <v>16</v>
      </c>
      <c r="E6265" s="6">
        <f>IF((ISBLANK($B$1)),"",Sheet1!Q6277)</f>
        <v>5350</v>
      </c>
      <c r="F6265" s="20" t="s">
        <v>27</v>
      </c>
      <c r="G6265" s="53">
        <f t="shared" si="98"/>
        <v>0.92693120038950361</v>
      </c>
      <c r="H6265" s="35"/>
      <c r="P6265" s="6"/>
    </row>
    <row r="6266" spans="1:16" ht="14.4" x14ac:dyDescent="0.25">
      <c r="A6266" s="6">
        <v>582</v>
      </c>
      <c r="B6266" s="6">
        <v>3970</v>
      </c>
      <c r="C6266" s="19">
        <v>40994</v>
      </c>
      <c r="D6266" s="6" t="s">
        <v>16</v>
      </c>
      <c r="E6266" s="6">
        <f>IF((ISBLANK($B$1)),"",Sheet1!Q6278)</f>
        <v>4050</v>
      </c>
      <c r="F6266" s="20" t="s">
        <v>26</v>
      </c>
      <c r="G6266" s="53">
        <f t="shared" si="98"/>
        <v>-0.86830935413290289</v>
      </c>
      <c r="H6266" s="35"/>
      <c r="P6266" s="6"/>
    </row>
    <row r="6267" spans="1:16" ht="14.4" x14ac:dyDescent="0.25">
      <c r="A6267" s="6">
        <v>678</v>
      </c>
      <c r="B6267" s="6">
        <v>4739</v>
      </c>
      <c r="C6267" s="19">
        <v>40229</v>
      </c>
      <c r="D6267" s="6" t="s">
        <v>25</v>
      </c>
      <c r="E6267" s="6">
        <f>IF((ISBLANK($B$1)),"",Sheet1!Q6279)</f>
        <v>4200</v>
      </c>
      <c r="F6267" s="20" t="s">
        <v>26</v>
      </c>
      <c r="G6267" s="53">
        <f t="shared" si="98"/>
        <v>-0.6611662132264714</v>
      </c>
      <c r="H6267" s="35"/>
      <c r="P6267" s="6"/>
    </row>
    <row r="6268" spans="1:16" ht="14.4" x14ac:dyDescent="0.25">
      <c r="A6268" s="6">
        <v>749</v>
      </c>
      <c r="B6268" s="6">
        <v>5378</v>
      </c>
      <c r="C6268" s="19">
        <v>41206</v>
      </c>
      <c r="D6268" s="6" t="s">
        <v>30</v>
      </c>
      <c r="E6268" s="6">
        <f>IF((ISBLANK($B$1)),"",Sheet1!Q6280)</f>
        <v>3700</v>
      </c>
      <c r="F6268" s="20" t="s">
        <v>29</v>
      </c>
      <c r="G6268" s="53">
        <f t="shared" si="98"/>
        <v>-1.351643349581243</v>
      </c>
      <c r="H6268" s="35"/>
      <c r="P6268" s="6"/>
    </row>
    <row r="6269" spans="1:16" ht="14.4" x14ac:dyDescent="0.25">
      <c r="A6269" s="6">
        <v>808</v>
      </c>
      <c r="B6269" s="6">
        <v>5828</v>
      </c>
      <c r="C6269" s="19">
        <v>39877</v>
      </c>
      <c r="D6269" s="6" t="s">
        <v>25</v>
      </c>
      <c r="E6269" s="6">
        <f>IF((ISBLANK($B$1)),"",Sheet1!Q6281)</f>
        <v>4450</v>
      </c>
      <c r="F6269" s="20" t="s">
        <v>29</v>
      </c>
      <c r="G6269" s="53">
        <f t="shared" si="98"/>
        <v>-0.31592764504908549</v>
      </c>
      <c r="H6269" s="35"/>
      <c r="P6269" s="6"/>
    </row>
    <row r="6270" spans="1:16" ht="14.4" x14ac:dyDescent="0.25">
      <c r="A6270" s="6">
        <v>876</v>
      </c>
      <c r="B6270" s="6">
        <v>6279</v>
      </c>
      <c r="C6270" s="19">
        <v>40207</v>
      </c>
      <c r="D6270" s="6" t="s">
        <v>30</v>
      </c>
      <c r="E6270" s="6">
        <f>IF((ISBLANK($B$1)),"",Sheet1!Q6282)</f>
        <v>5850</v>
      </c>
      <c r="F6270" s="20" t="s">
        <v>26</v>
      </c>
      <c r="G6270" s="53">
        <f t="shared" si="98"/>
        <v>1.6174083367442753</v>
      </c>
      <c r="H6270" s="35"/>
      <c r="P6270" s="6"/>
    </row>
    <row r="6271" spans="1:16" ht="14.4" x14ac:dyDescent="0.25">
      <c r="A6271" s="6">
        <v>1000</v>
      </c>
      <c r="B6271" s="6">
        <v>7267</v>
      </c>
      <c r="C6271" s="19">
        <v>41149</v>
      </c>
      <c r="D6271" s="6" t="s">
        <v>17</v>
      </c>
      <c r="E6271" s="6">
        <f>IF((ISBLANK($B$1)),"",Sheet1!Q6283)</f>
        <v>4350</v>
      </c>
      <c r="F6271" s="20" t="s">
        <v>26</v>
      </c>
      <c r="G6271" s="53">
        <f t="shared" si="98"/>
        <v>-0.45402307232003986</v>
      </c>
      <c r="H6271" s="35"/>
      <c r="P6271" s="6"/>
    </row>
    <row r="6272" spans="1:16" ht="14.4" x14ac:dyDescent="0.25">
      <c r="A6272" s="6">
        <v>1001</v>
      </c>
      <c r="B6272" s="6">
        <v>7269</v>
      </c>
      <c r="C6272" s="19">
        <v>40070</v>
      </c>
      <c r="D6272" s="6" t="s">
        <v>16</v>
      </c>
      <c r="E6272" s="6">
        <f>IF((ISBLANK($B$1)),"",Sheet1!Q6284)</f>
        <v>4850</v>
      </c>
      <c r="F6272" s="20" t="s">
        <v>27</v>
      </c>
      <c r="G6272" s="53">
        <f t="shared" si="98"/>
        <v>0.23645406403473185</v>
      </c>
      <c r="H6272" s="35"/>
      <c r="P6272" s="6"/>
    </row>
    <row r="6273" spans="1:16" ht="14.4" x14ac:dyDescent="0.25">
      <c r="A6273" s="6">
        <v>1031</v>
      </c>
      <c r="B6273" s="6">
        <v>7527</v>
      </c>
      <c r="C6273" s="19">
        <v>40158</v>
      </c>
      <c r="D6273" s="6" t="s">
        <v>16</v>
      </c>
      <c r="E6273" s="6">
        <f>IF((ISBLANK($B$1)),"",Sheet1!Q6285)</f>
        <v>5250</v>
      </c>
      <c r="F6273" s="20" t="s">
        <v>29</v>
      </c>
      <c r="G6273" s="53">
        <f t="shared" si="98"/>
        <v>0.78883577311854924</v>
      </c>
      <c r="H6273" s="35"/>
      <c r="P6273" s="6"/>
    </row>
    <row r="6274" spans="1:16" ht="14.4" x14ac:dyDescent="0.25">
      <c r="A6274" s="6">
        <v>1032</v>
      </c>
      <c r="B6274" s="6">
        <v>7527</v>
      </c>
      <c r="C6274" s="19">
        <v>40158</v>
      </c>
      <c r="D6274" s="6" t="s">
        <v>16</v>
      </c>
      <c r="E6274" s="6">
        <f>IF((ISBLANK($B$1)),"",Sheet1!Q6286)</f>
        <v>5500</v>
      </c>
      <c r="F6274" s="20" t="s">
        <v>27</v>
      </c>
      <c r="G6274" s="53">
        <f t="shared" si="98"/>
        <v>1.1340743412959351</v>
      </c>
      <c r="H6274" s="35"/>
      <c r="P6274" s="6"/>
    </row>
    <row r="6275" spans="1:16" ht="14.4" x14ac:dyDescent="0.25">
      <c r="A6275" s="6">
        <v>1170</v>
      </c>
      <c r="B6275" s="6">
        <v>8546</v>
      </c>
      <c r="C6275" s="19">
        <v>41000</v>
      </c>
      <c r="D6275" s="6" t="s">
        <v>17</v>
      </c>
      <c r="E6275" s="6">
        <f>IF((ISBLANK($B$1)),"",Sheet1!Q6287)</f>
        <v>3600</v>
      </c>
      <c r="F6275" s="20" t="s">
        <v>27</v>
      </c>
      <c r="G6275" s="53">
        <f t="shared" si="98"/>
        <v>-1.4897387768521975</v>
      </c>
      <c r="H6275" s="35"/>
      <c r="P6275" s="6"/>
    </row>
    <row r="6276" spans="1:16" ht="14.4" x14ac:dyDescent="0.25">
      <c r="A6276" s="6">
        <v>1174</v>
      </c>
      <c r="B6276" s="6">
        <v>8578</v>
      </c>
      <c r="C6276" s="19">
        <v>40788</v>
      </c>
      <c r="D6276" s="6" t="s">
        <v>17</v>
      </c>
      <c r="E6276" s="6">
        <f>IF((ISBLANK($B$1)),"",Sheet1!Q6288)</f>
        <v>5400</v>
      </c>
      <c r="F6276" s="20" t="s">
        <v>29</v>
      </c>
      <c r="G6276" s="53">
        <f t="shared" si="98"/>
        <v>0.99597891402498073</v>
      </c>
      <c r="H6276" s="35"/>
      <c r="P6276" s="6"/>
    </row>
    <row r="6277" spans="1:16" ht="14.4" x14ac:dyDescent="0.25">
      <c r="A6277" s="6">
        <v>1326</v>
      </c>
      <c r="B6277" s="6">
        <v>9669</v>
      </c>
      <c r="C6277" s="19">
        <v>39925</v>
      </c>
      <c r="D6277" s="6" t="s">
        <v>16</v>
      </c>
      <c r="E6277" s="6">
        <f>IF((ISBLANK($B$1)),"",Sheet1!Q6289)</f>
        <v>4300</v>
      </c>
      <c r="F6277" s="20" t="s">
        <v>26</v>
      </c>
      <c r="G6277" s="53">
        <f t="shared" si="98"/>
        <v>-0.52307078595551704</v>
      </c>
      <c r="H6277" s="35"/>
      <c r="P6277" s="6"/>
    </row>
    <row r="6278" spans="1:16" ht="14.4" x14ac:dyDescent="0.25">
      <c r="A6278" s="6">
        <v>1373</v>
      </c>
      <c r="B6278" s="6">
        <v>9952</v>
      </c>
      <c r="C6278" s="19">
        <v>41030</v>
      </c>
      <c r="D6278" s="6" t="s">
        <v>17</v>
      </c>
      <c r="E6278" s="6">
        <f>IF((ISBLANK($B$1)),"",Sheet1!Q6290)</f>
        <v>5750</v>
      </c>
      <c r="F6278" s="20" t="s">
        <v>26</v>
      </c>
      <c r="G6278" s="53">
        <f t="shared" si="98"/>
        <v>1.4793129094733208</v>
      </c>
      <c r="H6278" s="35"/>
      <c r="P6278" s="6"/>
    </row>
    <row r="6279" spans="1:16" ht="14.4" x14ac:dyDescent="0.25">
      <c r="A6279" s="6">
        <v>1474</v>
      </c>
      <c r="B6279" s="6">
        <v>10630</v>
      </c>
      <c r="C6279" s="19">
        <v>40213</v>
      </c>
      <c r="D6279" s="6" t="s">
        <v>16</v>
      </c>
      <c r="E6279" s="6">
        <f>IF((ISBLANK($B$1)),"",Sheet1!Q6291)</f>
        <v>5600</v>
      </c>
      <c r="F6279" s="20" t="s">
        <v>29</v>
      </c>
      <c r="G6279" s="53">
        <f t="shared" si="98"/>
        <v>1.2721697685668893</v>
      </c>
      <c r="H6279" s="35"/>
      <c r="P6279" s="6"/>
    </row>
    <row r="6280" spans="1:16" ht="14.4" x14ac:dyDescent="0.25">
      <c r="A6280" s="6">
        <v>1475</v>
      </c>
      <c r="B6280" s="6">
        <v>10657</v>
      </c>
      <c r="C6280" s="19">
        <v>40446</v>
      </c>
      <c r="D6280" s="6" t="s">
        <v>16</v>
      </c>
      <c r="E6280" s="6">
        <f>IF((ISBLANK($B$1)),"",Sheet1!Q6292)</f>
        <v>5600</v>
      </c>
      <c r="F6280" s="20" t="s">
        <v>26</v>
      </c>
      <c r="G6280" s="53">
        <f t="shared" ref="G6280:G6343" si="99">STANDARDIZE(E6280,$L$26,$L$35)</f>
        <v>1.2721697685668893</v>
      </c>
      <c r="H6280" s="35"/>
      <c r="P6280" s="6"/>
    </row>
    <row r="6281" spans="1:16" ht="14.4" x14ac:dyDescent="0.25">
      <c r="A6281" s="6">
        <v>1476</v>
      </c>
      <c r="B6281" s="6">
        <v>10657</v>
      </c>
      <c r="C6281" s="19">
        <v>40446</v>
      </c>
      <c r="D6281" s="6" t="s">
        <v>16</v>
      </c>
      <c r="E6281" s="6">
        <f>IF((ISBLANK($B$1)),"",Sheet1!Q6293)</f>
        <v>3800</v>
      </c>
      <c r="F6281" s="20" t="s">
        <v>29</v>
      </c>
      <c r="G6281" s="53">
        <f t="shared" si="99"/>
        <v>-1.2135479223102887</v>
      </c>
      <c r="H6281" s="35"/>
      <c r="P6281" s="6"/>
    </row>
    <row r="6282" spans="1:16" ht="14.4" x14ac:dyDescent="0.25">
      <c r="A6282" s="6">
        <v>1482</v>
      </c>
      <c r="B6282" s="6">
        <v>10661</v>
      </c>
      <c r="C6282" s="19">
        <v>39836</v>
      </c>
      <c r="D6282" s="6" t="s">
        <v>28</v>
      </c>
      <c r="E6282" s="6">
        <f>IF((ISBLANK($B$1)),"",Sheet1!Q6294)</f>
        <v>5500</v>
      </c>
      <c r="F6282" s="20" t="s">
        <v>26</v>
      </c>
      <c r="G6282" s="53">
        <f t="shared" si="99"/>
        <v>1.1340743412959351</v>
      </c>
      <c r="H6282" s="35"/>
      <c r="P6282" s="6"/>
    </row>
    <row r="6283" spans="1:16" ht="14.4" x14ac:dyDescent="0.25">
      <c r="A6283" s="6">
        <v>1582</v>
      </c>
      <c r="B6283" s="6">
        <v>11427</v>
      </c>
      <c r="C6283" s="19">
        <v>40506</v>
      </c>
      <c r="D6283" s="6" t="s">
        <v>16</v>
      </c>
      <c r="E6283" s="6">
        <f>IF((ISBLANK($B$1)),"",Sheet1!Q6295)</f>
        <v>4750</v>
      </c>
      <c r="F6283" s="20" t="s">
        <v>26</v>
      </c>
      <c r="G6283" s="53">
        <f t="shared" si="99"/>
        <v>9.8358636763777513E-2</v>
      </c>
      <c r="H6283" s="35"/>
      <c r="P6283" s="6"/>
    </row>
    <row r="6284" spans="1:16" ht="14.4" x14ac:dyDescent="0.25">
      <c r="A6284" s="6">
        <v>1583</v>
      </c>
      <c r="B6284" s="6">
        <v>11427</v>
      </c>
      <c r="C6284" s="19">
        <v>40506</v>
      </c>
      <c r="D6284" s="6" t="s">
        <v>16</v>
      </c>
      <c r="E6284" s="6">
        <f>IF((ISBLANK($B$1)),"",Sheet1!Q6296)</f>
        <v>4400</v>
      </c>
      <c r="F6284" s="20" t="s">
        <v>26</v>
      </c>
      <c r="G6284" s="53">
        <f t="shared" si="99"/>
        <v>-0.38497535868456267</v>
      </c>
      <c r="H6284" s="35"/>
      <c r="P6284" s="6"/>
    </row>
    <row r="6285" spans="1:16" ht="14.4" x14ac:dyDescent="0.25">
      <c r="A6285" s="6">
        <v>1667</v>
      </c>
      <c r="B6285" s="6">
        <v>12037</v>
      </c>
      <c r="C6285" s="19">
        <v>40724</v>
      </c>
      <c r="D6285" s="6" t="s">
        <v>25</v>
      </c>
      <c r="E6285" s="6">
        <f>IF((ISBLANK($B$1)),"",Sheet1!Q6297)</f>
        <v>4100</v>
      </c>
      <c r="F6285" s="20" t="s">
        <v>26</v>
      </c>
      <c r="G6285" s="53">
        <f t="shared" si="99"/>
        <v>-0.79926164049742576</v>
      </c>
      <c r="H6285" s="35"/>
      <c r="P6285" s="6"/>
    </row>
    <row r="6286" spans="1:16" ht="14.4" x14ac:dyDescent="0.25">
      <c r="A6286" s="6">
        <v>1701</v>
      </c>
      <c r="B6286" s="6">
        <v>12259</v>
      </c>
      <c r="C6286" s="19">
        <v>40223</v>
      </c>
      <c r="D6286" s="6" t="s">
        <v>17</v>
      </c>
      <c r="E6286" s="6">
        <f>IF((ISBLANK($B$1)),"",Sheet1!Q6298)</f>
        <v>5650</v>
      </c>
      <c r="F6286" s="20" t="s">
        <v>29</v>
      </c>
      <c r="G6286" s="53">
        <f t="shared" si="99"/>
        <v>1.3412174822023666</v>
      </c>
      <c r="H6286" s="35"/>
      <c r="P6286" s="6"/>
    </row>
    <row r="6287" spans="1:16" ht="14.4" x14ac:dyDescent="0.25">
      <c r="A6287" s="6">
        <v>1702</v>
      </c>
      <c r="B6287" s="6">
        <v>12259</v>
      </c>
      <c r="C6287" s="19">
        <v>40223</v>
      </c>
      <c r="D6287" s="6" t="s">
        <v>17</v>
      </c>
      <c r="E6287" s="6">
        <f>IF((ISBLANK($B$1)),"",Sheet1!Q6299)</f>
        <v>5650</v>
      </c>
      <c r="F6287" s="20" t="s">
        <v>26</v>
      </c>
      <c r="G6287" s="53">
        <f t="shared" si="99"/>
        <v>1.3412174822023666</v>
      </c>
      <c r="H6287" s="35"/>
      <c r="P6287" s="6"/>
    </row>
    <row r="6288" spans="1:16" ht="14.4" x14ac:dyDescent="0.25">
      <c r="A6288" s="6">
        <v>1801</v>
      </c>
      <c r="B6288" s="6">
        <v>12900</v>
      </c>
      <c r="C6288" s="19">
        <v>40301</v>
      </c>
      <c r="D6288" s="6" t="s">
        <v>17</v>
      </c>
      <c r="E6288" s="6">
        <f>IF((ISBLANK($B$1)),"",Sheet1!Q6300)</f>
        <v>5900</v>
      </c>
      <c r="F6288" s="20" t="s">
        <v>29</v>
      </c>
      <c r="G6288" s="53">
        <f t="shared" si="99"/>
        <v>1.6864560503797523</v>
      </c>
      <c r="H6288" s="35"/>
      <c r="P6288" s="6"/>
    </row>
    <row r="6289" spans="1:16" ht="14.4" x14ac:dyDescent="0.25">
      <c r="A6289" s="6">
        <v>1802</v>
      </c>
      <c r="B6289" s="6">
        <v>12900</v>
      </c>
      <c r="C6289" s="19">
        <v>40301</v>
      </c>
      <c r="D6289" s="6" t="s">
        <v>17</v>
      </c>
      <c r="E6289" s="6">
        <f>IF((ISBLANK($B$1)),"",Sheet1!Q6301)</f>
        <v>4300</v>
      </c>
      <c r="F6289" s="20" t="s">
        <v>27</v>
      </c>
      <c r="G6289" s="53">
        <f t="shared" si="99"/>
        <v>-0.52307078595551704</v>
      </c>
      <c r="H6289" s="35"/>
      <c r="P6289" s="6"/>
    </row>
    <row r="6290" spans="1:16" ht="14.4" x14ac:dyDescent="0.25">
      <c r="A6290" s="6">
        <v>1814</v>
      </c>
      <c r="B6290" s="6">
        <v>12999</v>
      </c>
      <c r="C6290" s="19">
        <v>40271</v>
      </c>
      <c r="D6290" s="6" t="s">
        <v>17</v>
      </c>
      <c r="E6290" s="6">
        <f>IF((ISBLANK($B$1)),"",Sheet1!Q6302)</f>
        <v>4950</v>
      </c>
      <c r="F6290" s="20" t="s">
        <v>26</v>
      </c>
      <c r="G6290" s="53">
        <f t="shared" si="99"/>
        <v>0.37454949130568621</v>
      </c>
      <c r="H6290" s="35"/>
      <c r="P6290" s="6"/>
    </row>
    <row r="6291" spans="1:16" ht="14.4" x14ac:dyDescent="0.25">
      <c r="A6291" s="6">
        <v>1902</v>
      </c>
      <c r="B6291" s="6">
        <v>13632</v>
      </c>
      <c r="C6291" s="19">
        <v>39882</v>
      </c>
      <c r="D6291" s="6" t="s">
        <v>16</v>
      </c>
      <c r="E6291" s="6">
        <f>IF((ISBLANK($B$1)),"",Sheet1!Q6303)</f>
        <v>3700</v>
      </c>
      <c r="F6291" s="20" t="s">
        <v>27</v>
      </c>
      <c r="G6291" s="53">
        <f t="shared" si="99"/>
        <v>-1.351643349581243</v>
      </c>
      <c r="H6291" s="35"/>
      <c r="P6291" s="6"/>
    </row>
    <row r="6292" spans="1:16" ht="14.4" x14ac:dyDescent="0.25">
      <c r="A6292" s="6">
        <v>1941</v>
      </c>
      <c r="B6292" s="6">
        <v>13920</v>
      </c>
      <c r="C6292" s="19">
        <v>40095</v>
      </c>
      <c r="D6292" s="6" t="s">
        <v>30</v>
      </c>
      <c r="E6292" s="6">
        <f>IF((ISBLANK($B$1)),"",Sheet1!Q6304)</f>
        <v>4650</v>
      </c>
      <c r="F6292" s="20" t="s">
        <v>26</v>
      </c>
      <c r="G6292" s="53">
        <f t="shared" si="99"/>
        <v>-3.9736790507176829E-2</v>
      </c>
      <c r="H6292" s="35"/>
      <c r="P6292" s="6"/>
    </row>
    <row r="6293" spans="1:16" ht="14.4" x14ac:dyDescent="0.25">
      <c r="A6293" s="6">
        <v>1942</v>
      </c>
      <c r="B6293" s="6">
        <v>13920</v>
      </c>
      <c r="C6293" s="19">
        <v>40095</v>
      </c>
      <c r="D6293" s="6" t="s">
        <v>30</v>
      </c>
      <c r="E6293" s="6">
        <f>IF((ISBLANK($B$1)),"",Sheet1!Q6305)</f>
        <v>4600</v>
      </c>
      <c r="F6293" s="20" t="s">
        <v>26</v>
      </c>
      <c r="G6293" s="53">
        <f t="shared" si="99"/>
        <v>-0.108784504142654</v>
      </c>
      <c r="H6293" s="35"/>
      <c r="P6293" s="6"/>
    </row>
    <row r="6294" spans="1:16" ht="14.4" x14ac:dyDescent="0.25">
      <c r="A6294" s="6">
        <v>2173</v>
      </c>
      <c r="B6294" s="6">
        <v>15651</v>
      </c>
      <c r="C6294" s="19">
        <v>41186</v>
      </c>
      <c r="D6294" s="6" t="s">
        <v>30</v>
      </c>
      <c r="E6294" s="6">
        <f>IF((ISBLANK($B$1)),"",Sheet1!Q6306)</f>
        <v>5400</v>
      </c>
      <c r="F6294" s="20" t="s">
        <v>26</v>
      </c>
      <c r="G6294" s="53">
        <f t="shared" si="99"/>
        <v>0.99597891402498073</v>
      </c>
      <c r="H6294" s="35"/>
      <c r="P6294" s="6"/>
    </row>
    <row r="6295" spans="1:16" ht="14.4" x14ac:dyDescent="0.25">
      <c r="A6295" s="6">
        <v>2174</v>
      </c>
      <c r="B6295" s="6">
        <v>15651</v>
      </c>
      <c r="C6295" s="19">
        <v>41186</v>
      </c>
      <c r="D6295" s="6" t="s">
        <v>30</v>
      </c>
      <c r="E6295" s="6">
        <f>IF((ISBLANK($B$1)),"",Sheet1!Q6307)</f>
        <v>4100</v>
      </c>
      <c r="F6295" s="20" t="s">
        <v>26</v>
      </c>
      <c r="G6295" s="53">
        <f t="shared" si="99"/>
        <v>-0.79926164049742576</v>
      </c>
      <c r="H6295" s="35"/>
      <c r="P6295" s="6"/>
    </row>
    <row r="6296" spans="1:16" ht="14.4" x14ac:dyDescent="0.25">
      <c r="A6296" s="6">
        <v>2175</v>
      </c>
      <c r="B6296" s="6">
        <v>15651</v>
      </c>
      <c r="C6296" s="19">
        <v>41186</v>
      </c>
      <c r="D6296" s="6" t="s">
        <v>30</v>
      </c>
      <c r="E6296" s="6">
        <f>IF((ISBLANK($B$1)),"",Sheet1!Q6308)</f>
        <v>3800</v>
      </c>
      <c r="F6296" s="20" t="s">
        <v>29</v>
      </c>
      <c r="G6296" s="53">
        <f t="shared" si="99"/>
        <v>-1.2135479223102887</v>
      </c>
      <c r="H6296" s="35"/>
      <c r="P6296" s="6"/>
    </row>
    <row r="6297" spans="1:16" ht="14.4" x14ac:dyDescent="0.25">
      <c r="A6297" s="6">
        <v>2251</v>
      </c>
      <c r="B6297" s="6">
        <v>16197</v>
      </c>
      <c r="C6297" s="19">
        <v>41208</v>
      </c>
      <c r="D6297" s="6" t="s">
        <v>30</v>
      </c>
      <c r="E6297" s="6">
        <f>IF((ISBLANK($B$1)),"",Sheet1!Q6309)</f>
        <v>4550</v>
      </c>
      <c r="F6297" s="20" t="s">
        <v>26</v>
      </c>
      <c r="G6297" s="53">
        <f t="shared" si="99"/>
        <v>-0.17783221777813119</v>
      </c>
      <c r="H6297" s="35"/>
      <c r="P6297" s="6"/>
    </row>
    <row r="6298" spans="1:16" ht="14.4" x14ac:dyDescent="0.25">
      <c r="A6298" s="6">
        <v>2252</v>
      </c>
      <c r="B6298" s="6">
        <v>16197</v>
      </c>
      <c r="C6298" s="19">
        <v>41208</v>
      </c>
      <c r="D6298" s="6" t="s">
        <v>30</v>
      </c>
      <c r="E6298" s="6">
        <f>IF((ISBLANK($B$1)),"",Sheet1!Q6310)</f>
        <v>4350</v>
      </c>
      <c r="F6298" s="20" t="s">
        <v>26</v>
      </c>
      <c r="G6298" s="53">
        <f t="shared" si="99"/>
        <v>-0.45402307232003986</v>
      </c>
      <c r="H6298" s="35"/>
      <c r="P6298" s="6"/>
    </row>
    <row r="6299" spans="1:16" ht="14.4" x14ac:dyDescent="0.25">
      <c r="A6299" s="6">
        <v>2325</v>
      </c>
      <c r="B6299" s="6">
        <v>16770</v>
      </c>
      <c r="C6299" s="19">
        <v>39819</v>
      </c>
      <c r="D6299" s="6" t="s">
        <v>30</v>
      </c>
      <c r="E6299" s="6">
        <f>IF((ISBLANK($B$1)),"",Sheet1!Q6311)</f>
        <v>4250</v>
      </c>
      <c r="F6299" s="20" t="s">
        <v>26</v>
      </c>
      <c r="G6299" s="53">
        <f t="shared" si="99"/>
        <v>-0.59211849959099416</v>
      </c>
      <c r="H6299" s="35"/>
      <c r="P6299" s="6"/>
    </row>
    <row r="6300" spans="1:16" ht="14.4" x14ac:dyDescent="0.25">
      <c r="A6300" s="6">
        <v>2329</v>
      </c>
      <c r="B6300" s="6">
        <v>16802</v>
      </c>
      <c r="C6300" s="19">
        <v>40653</v>
      </c>
      <c r="D6300" s="6" t="s">
        <v>16</v>
      </c>
      <c r="E6300" s="6">
        <f>IF((ISBLANK($B$1)),"",Sheet1!Q6312)</f>
        <v>5600</v>
      </c>
      <c r="F6300" s="20" t="s">
        <v>26</v>
      </c>
      <c r="G6300" s="53">
        <f t="shared" si="99"/>
        <v>1.2721697685668893</v>
      </c>
      <c r="H6300" s="35"/>
      <c r="P6300" s="6"/>
    </row>
    <row r="6301" spans="1:16" ht="14.4" x14ac:dyDescent="0.25">
      <c r="A6301" s="6">
        <v>2330</v>
      </c>
      <c r="B6301" s="6">
        <v>16802</v>
      </c>
      <c r="C6301" s="19">
        <v>40653</v>
      </c>
      <c r="D6301" s="6" t="s">
        <v>16</v>
      </c>
      <c r="E6301" s="6">
        <f>IF((ISBLANK($B$1)),"",Sheet1!Q6313)</f>
        <v>4700</v>
      </c>
      <c r="F6301" s="20" t="s">
        <v>26</v>
      </c>
      <c r="G6301" s="53">
        <f t="shared" si="99"/>
        <v>2.9310923128300338E-2</v>
      </c>
      <c r="H6301" s="35"/>
      <c r="P6301" s="6"/>
    </row>
    <row r="6302" spans="1:16" ht="14.4" x14ac:dyDescent="0.25">
      <c r="A6302" s="6">
        <v>2350</v>
      </c>
      <c r="B6302" s="6">
        <v>16961</v>
      </c>
      <c r="C6302" s="19">
        <v>39819</v>
      </c>
      <c r="D6302" s="6" t="s">
        <v>28</v>
      </c>
      <c r="E6302" s="6">
        <f>IF((ISBLANK($B$1)),"",Sheet1!Q6314)</f>
        <v>4750</v>
      </c>
      <c r="F6302" s="20" t="s">
        <v>27</v>
      </c>
      <c r="G6302" s="53">
        <f t="shared" si="99"/>
        <v>9.8358636763777513E-2</v>
      </c>
      <c r="H6302" s="35"/>
      <c r="P6302" s="6"/>
    </row>
    <row r="6303" spans="1:16" ht="14.4" x14ac:dyDescent="0.25">
      <c r="A6303" s="6">
        <v>2351</v>
      </c>
      <c r="B6303" s="6">
        <v>16961</v>
      </c>
      <c r="C6303" s="19">
        <v>39819</v>
      </c>
      <c r="D6303" s="6" t="s">
        <v>28</v>
      </c>
      <c r="E6303" s="6">
        <f>IF((ISBLANK($B$1)),"",Sheet1!Q6315)</f>
        <v>5100</v>
      </c>
      <c r="F6303" s="20" t="s">
        <v>26</v>
      </c>
      <c r="G6303" s="53">
        <f t="shared" si="99"/>
        <v>0.58169263221211776</v>
      </c>
      <c r="H6303" s="35"/>
      <c r="P6303" s="6"/>
    </row>
    <row r="6304" spans="1:16" ht="14.4" x14ac:dyDescent="0.25">
      <c r="A6304" s="6">
        <v>2418</v>
      </c>
      <c r="B6304" s="6">
        <v>17543</v>
      </c>
      <c r="C6304" s="19">
        <v>41054</v>
      </c>
      <c r="D6304" s="6" t="s">
        <v>30</v>
      </c>
      <c r="E6304" s="6">
        <f>IF((ISBLANK($B$1)),"",Sheet1!Q6316)</f>
        <v>3450</v>
      </c>
      <c r="F6304" s="20" t="s">
        <v>26</v>
      </c>
      <c r="G6304" s="53">
        <f t="shared" si="99"/>
        <v>-1.696881917758629</v>
      </c>
      <c r="H6304" s="35"/>
      <c r="P6304" s="6"/>
    </row>
    <row r="6305" spans="1:16" ht="14.4" x14ac:dyDescent="0.25">
      <c r="A6305" s="6">
        <v>2419</v>
      </c>
      <c r="B6305" s="6">
        <v>17543</v>
      </c>
      <c r="C6305" s="19">
        <v>41054</v>
      </c>
      <c r="D6305" s="6" t="s">
        <v>30</v>
      </c>
      <c r="E6305" s="6">
        <f>IF((ISBLANK($B$1)),"",Sheet1!Q6317)</f>
        <v>5150</v>
      </c>
      <c r="F6305" s="20" t="s">
        <v>26</v>
      </c>
      <c r="G6305" s="53">
        <f t="shared" si="99"/>
        <v>0.65074034584759488</v>
      </c>
      <c r="H6305" s="35"/>
      <c r="P6305" s="6"/>
    </row>
    <row r="6306" spans="1:16" ht="14.4" x14ac:dyDescent="0.25">
      <c r="A6306" s="6">
        <v>2420</v>
      </c>
      <c r="B6306" s="6">
        <v>17543</v>
      </c>
      <c r="C6306" s="19">
        <v>41054</v>
      </c>
      <c r="D6306" s="6" t="s">
        <v>30</v>
      </c>
      <c r="E6306" s="6">
        <f>IF((ISBLANK($B$1)),"",Sheet1!Q6318)</f>
        <v>4700</v>
      </c>
      <c r="F6306" s="20" t="s">
        <v>27</v>
      </c>
      <c r="G6306" s="53">
        <f t="shared" si="99"/>
        <v>2.9310923128300338E-2</v>
      </c>
      <c r="H6306" s="35"/>
      <c r="P6306" s="6"/>
    </row>
    <row r="6307" spans="1:16" ht="14.4" x14ac:dyDescent="0.25">
      <c r="A6307" s="6">
        <v>2482</v>
      </c>
      <c r="B6307" s="6">
        <v>18055</v>
      </c>
      <c r="C6307" s="19">
        <v>40213</v>
      </c>
      <c r="D6307" s="6" t="s">
        <v>30</v>
      </c>
      <c r="E6307" s="6">
        <f>IF((ISBLANK($B$1)),"",Sheet1!Q6319)</f>
        <v>3550</v>
      </c>
      <c r="F6307" s="20" t="s">
        <v>26</v>
      </c>
      <c r="G6307" s="53">
        <f t="shared" si="99"/>
        <v>-1.5587864904876745</v>
      </c>
      <c r="H6307" s="35"/>
      <c r="P6307" s="6"/>
    </row>
    <row r="6308" spans="1:16" ht="14.4" x14ac:dyDescent="0.25">
      <c r="A6308" s="6">
        <v>2840</v>
      </c>
      <c r="B6308" s="6">
        <v>20480</v>
      </c>
      <c r="C6308" s="19">
        <v>39842</v>
      </c>
      <c r="D6308" s="6" t="s">
        <v>16</v>
      </c>
      <c r="E6308" s="6">
        <f>IF((ISBLANK($B$1)),"",Sheet1!Q6320)</f>
        <v>5300</v>
      </c>
      <c r="F6308" s="20" t="s">
        <v>26</v>
      </c>
      <c r="G6308" s="53">
        <f t="shared" si="99"/>
        <v>0.85788348675402637</v>
      </c>
      <c r="H6308" s="35"/>
      <c r="P6308" s="6"/>
    </row>
    <row r="6309" spans="1:16" ht="14.4" x14ac:dyDescent="0.25">
      <c r="A6309" s="6">
        <v>2844</v>
      </c>
      <c r="B6309" s="6">
        <v>20484</v>
      </c>
      <c r="C6309" s="19">
        <v>39842</v>
      </c>
      <c r="D6309" s="6" t="s">
        <v>30</v>
      </c>
      <c r="E6309" s="6">
        <f>IF((ISBLANK($B$1)),"",Sheet1!Q6321)</f>
        <v>4100</v>
      </c>
      <c r="F6309" s="20" t="s">
        <v>27</v>
      </c>
      <c r="G6309" s="53">
        <f t="shared" si="99"/>
        <v>-0.79926164049742576</v>
      </c>
      <c r="H6309" s="35"/>
      <c r="P6309" s="6"/>
    </row>
    <row r="6310" spans="1:16" ht="14.4" x14ac:dyDescent="0.25">
      <c r="A6310" s="6">
        <v>2857</v>
      </c>
      <c r="B6310" s="6">
        <v>20579</v>
      </c>
      <c r="C6310" s="19">
        <v>41183</v>
      </c>
      <c r="D6310" s="6" t="s">
        <v>16</v>
      </c>
      <c r="E6310" s="6">
        <f>IF((ISBLANK($B$1)),"",Sheet1!Q6322)</f>
        <v>4200</v>
      </c>
      <c r="F6310" s="20" t="s">
        <v>27</v>
      </c>
      <c r="G6310" s="53">
        <f t="shared" si="99"/>
        <v>-0.6611662132264714</v>
      </c>
      <c r="H6310" s="35"/>
      <c r="P6310" s="6"/>
    </row>
    <row r="6311" spans="1:16" ht="14.4" x14ac:dyDescent="0.25">
      <c r="A6311" s="6">
        <v>2899</v>
      </c>
      <c r="B6311" s="6">
        <v>20933</v>
      </c>
      <c r="C6311" s="19">
        <v>41147</v>
      </c>
      <c r="D6311" s="6" t="s">
        <v>17</v>
      </c>
      <c r="E6311" s="6">
        <f>IF((ISBLANK($B$1)),"",Sheet1!Q6323)</f>
        <v>5650</v>
      </c>
      <c r="F6311" s="20" t="s">
        <v>27</v>
      </c>
      <c r="G6311" s="53">
        <f t="shared" si="99"/>
        <v>1.3412174822023666</v>
      </c>
      <c r="H6311" s="35"/>
      <c r="P6311" s="6"/>
    </row>
    <row r="6312" spans="1:16" ht="14.4" x14ac:dyDescent="0.25">
      <c r="A6312" s="6">
        <v>2922</v>
      </c>
      <c r="B6312" s="6">
        <v>21155</v>
      </c>
      <c r="C6312" s="19">
        <v>40579</v>
      </c>
      <c r="D6312" s="6" t="s">
        <v>17</v>
      </c>
      <c r="E6312" s="6">
        <f>IF((ISBLANK($B$1)),"",Sheet1!Q6324)</f>
        <v>3600</v>
      </c>
      <c r="F6312" s="20" t="s">
        <v>26</v>
      </c>
      <c r="G6312" s="53">
        <f t="shared" si="99"/>
        <v>-1.4897387768521975</v>
      </c>
      <c r="H6312" s="35"/>
      <c r="P6312" s="6"/>
    </row>
    <row r="6313" spans="1:16" ht="14.4" x14ac:dyDescent="0.25">
      <c r="A6313" s="6">
        <v>3017</v>
      </c>
      <c r="B6313" s="6">
        <v>21703</v>
      </c>
      <c r="C6313" s="19">
        <v>39874</v>
      </c>
      <c r="D6313" s="6" t="s">
        <v>28</v>
      </c>
      <c r="E6313" s="6">
        <f>IF((ISBLANK($B$1)),"",Sheet1!Q6325)</f>
        <v>3550</v>
      </c>
      <c r="F6313" s="20" t="s">
        <v>26</v>
      </c>
      <c r="G6313" s="53">
        <f t="shared" si="99"/>
        <v>-1.5587864904876745</v>
      </c>
      <c r="H6313" s="35"/>
      <c r="P6313" s="6"/>
    </row>
    <row r="6314" spans="1:16" ht="14.4" x14ac:dyDescent="0.25">
      <c r="A6314" s="6">
        <v>3018</v>
      </c>
      <c r="B6314" s="6">
        <v>21703</v>
      </c>
      <c r="C6314" s="19">
        <v>39874</v>
      </c>
      <c r="D6314" s="6" t="s">
        <v>28</v>
      </c>
      <c r="E6314" s="6">
        <f>IF((ISBLANK($B$1)),"",Sheet1!Q6326)</f>
        <v>4400</v>
      </c>
      <c r="F6314" s="20" t="s">
        <v>29</v>
      </c>
      <c r="G6314" s="53">
        <f t="shared" si="99"/>
        <v>-0.38497535868456267</v>
      </c>
      <c r="H6314" s="35"/>
      <c r="P6314" s="6"/>
    </row>
    <row r="6315" spans="1:16" ht="14.4" x14ac:dyDescent="0.25">
      <c r="A6315" s="6">
        <v>3019</v>
      </c>
      <c r="B6315" s="6">
        <v>21703</v>
      </c>
      <c r="C6315" s="19">
        <v>39874</v>
      </c>
      <c r="D6315" s="6" t="s">
        <v>28</v>
      </c>
      <c r="E6315" s="6">
        <f>IF((ISBLANK($B$1)),"",Sheet1!Q6327)</f>
        <v>4150</v>
      </c>
      <c r="F6315" s="20" t="s">
        <v>27</v>
      </c>
      <c r="G6315" s="53">
        <f t="shared" si="99"/>
        <v>-0.73021392686194853</v>
      </c>
      <c r="H6315" s="35"/>
      <c r="P6315" s="6"/>
    </row>
    <row r="6316" spans="1:16" ht="14.4" x14ac:dyDescent="0.25">
      <c r="A6316" s="6">
        <v>3022</v>
      </c>
      <c r="B6316" s="6">
        <v>21731</v>
      </c>
      <c r="C6316" s="19">
        <v>40873</v>
      </c>
      <c r="D6316" s="6" t="s">
        <v>25</v>
      </c>
      <c r="E6316" s="6">
        <f>IF((ISBLANK($B$1)),"",Sheet1!Q6328)</f>
        <v>4700</v>
      </c>
      <c r="F6316" s="20" t="s">
        <v>26</v>
      </c>
      <c r="G6316" s="53">
        <f t="shared" si="99"/>
        <v>2.9310923128300338E-2</v>
      </c>
      <c r="H6316" s="35"/>
      <c r="P6316" s="6"/>
    </row>
    <row r="6317" spans="1:16" ht="14.4" x14ac:dyDescent="0.25">
      <c r="A6317" s="6">
        <v>3036</v>
      </c>
      <c r="B6317" s="6">
        <v>21799</v>
      </c>
      <c r="C6317" s="19">
        <v>40652</v>
      </c>
      <c r="D6317" s="6" t="s">
        <v>28</v>
      </c>
      <c r="E6317" s="6">
        <f>IF((ISBLANK($B$1)),"",Sheet1!Q6329)</f>
        <v>5500</v>
      </c>
      <c r="F6317" s="20" t="s">
        <v>26</v>
      </c>
      <c r="G6317" s="53">
        <f t="shared" si="99"/>
        <v>1.1340743412959351</v>
      </c>
      <c r="H6317" s="35"/>
      <c r="P6317" s="6"/>
    </row>
    <row r="6318" spans="1:16" ht="14.4" x14ac:dyDescent="0.25">
      <c r="A6318" s="6">
        <v>3066</v>
      </c>
      <c r="B6318" s="6">
        <v>21985</v>
      </c>
      <c r="C6318" s="19">
        <v>40051</v>
      </c>
      <c r="D6318" s="6" t="s">
        <v>30</v>
      </c>
      <c r="E6318" s="6">
        <f>IF((ISBLANK($B$1)),"",Sheet1!Q6330)</f>
        <v>3450</v>
      </c>
      <c r="F6318" s="20" t="s">
        <v>29</v>
      </c>
      <c r="G6318" s="53">
        <f t="shared" si="99"/>
        <v>-1.696881917758629</v>
      </c>
      <c r="H6318" s="35"/>
      <c r="P6318" s="6"/>
    </row>
    <row r="6319" spans="1:16" ht="14.4" x14ac:dyDescent="0.25">
      <c r="A6319" s="6">
        <v>3067</v>
      </c>
      <c r="B6319" s="6">
        <v>21985</v>
      </c>
      <c r="C6319" s="19">
        <v>40051</v>
      </c>
      <c r="D6319" s="6" t="s">
        <v>30</v>
      </c>
      <c r="E6319" s="6">
        <f>IF((ISBLANK($B$1)),"",Sheet1!Q6331)</f>
        <v>5650</v>
      </c>
      <c r="F6319" s="20" t="s">
        <v>26</v>
      </c>
      <c r="G6319" s="53">
        <f t="shared" si="99"/>
        <v>1.3412174822023666</v>
      </c>
      <c r="H6319" s="35"/>
      <c r="P6319" s="6"/>
    </row>
    <row r="6320" spans="1:16" ht="14.4" x14ac:dyDescent="0.25">
      <c r="A6320" s="6">
        <v>3098</v>
      </c>
      <c r="B6320" s="6">
        <v>22210</v>
      </c>
      <c r="C6320" s="19">
        <v>40805</v>
      </c>
      <c r="D6320" s="6" t="s">
        <v>30</v>
      </c>
      <c r="E6320" s="6">
        <f>IF((ISBLANK($B$1)),"",Sheet1!Q6332)</f>
        <v>5250</v>
      </c>
      <c r="F6320" s="20" t="s">
        <v>26</v>
      </c>
      <c r="G6320" s="53">
        <f t="shared" si="99"/>
        <v>0.78883577311854924</v>
      </c>
      <c r="H6320" s="35"/>
      <c r="P6320" s="6"/>
    </row>
    <row r="6321" spans="1:16" ht="14.4" x14ac:dyDescent="0.25">
      <c r="A6321" s="6">
        <v>3153</v>
      </c>
      <c r="B6321" s="6">
        <v>22628</v>
      </c>
      <c r="C6321" s="19">
        <v>40115</v>
      </c>
      <c r="D6321" s="6" t="s">
        <v>16</v>
      </c>
      <c r="E6321" s="6">
        <f>IF((ISBLANK($B$1)),"",Sheet1!Q6333)</f>
        <v>4900</v>
      </c>
      <c r="F6321" s="20" t="s">
        <v>29</v>
      </c>
      <c r="G6321" s="53">
        <f t="shared" si="99"/>
        <v>0.30550177767020903</v>
      </c>
      <c r="H6321" s="35"/>
      <c r="P6321" s="6"/>
    </row>
    <row r="6322" spans="1:16" ht="14.4" x14ac:dyDescent="0.25">
      <c r="A6322" s="6">
        <v>3220</v>
      </c>
      <c r="B6322" s="6">
        <v>23106</v>
      </c>
      <c r="C6322" s="19">
        <v>40471</v>
      </c>
      <c r="D6322" s="6" t="s">
        <v>16</v>
      </c>
      <c r="E6322" s="6">
        <f>IF((ISBLANK($B$1)),"",Sheet1!Q6334)</f>
        <v>5150</v>
      </c>
      <c r="F6322" s="20" t="s">
        <v>27</v>
      </c>
      <c r="G6322" s="53">
        <f t="shared" si="99"/>
        <v>0.65074034584759488</v>
      </c>
      <c r="H6322" s="35"/>
      <c r="P6322" s="6"/>
    </row>
    <row r="6323" spans="1:16" ht="14.4" x14ac:dyDescent="0.25">
      <c r="A6323" s="6">
        <v>3262</v>
      </c>
      <c r="B6323" s="6">
        <v>23360</v>
      </c>
      <c r="C6323" s="19">
        <v>39944</v>
      </c>
      <c r="D6323" s="6" t="s">
        <v>25</v>
      </c>
      <c r="E6323" s="6">
        <f>IF((ISBLANK($B$1)),"",Sheet1!Q6335)</f>
        <v>4900</v>
      </c>
      <c r="F6323" s="20" t="s">
        <v>26</v>
      </c>
      <c r="G6323" s="53">
        <f t="shared" si="99"/>
        <v>0.30550177767020903</v>
      </c>
      <c r="H6323" s="35"/>
      <c r="P6323" s="6"/>
    </row>
    <row r="6324" spans="1:16" ht="14.4" x14ac:dyDescent="0.25">
      <c r="A6324" s="6">
        <v>3331</v>
      </c>
      <c r="B6324" s="6">
        <v>23809</v>
      </c>
      <c r="C6324" s="19">
        <v>41064</v>
      </c>
      <c r="D6324" s="6" t="s">
        <v>28</v>
      </c>
      <c r="E6324" s="6">
        <f>IF((ISBLANK($B$1)),"",Sheet1!Q6336)</f>
        <v>3750</v>
      </c>
      <c r="F6324" s="20" t="s">
        <v>26</v>
      </c>
      <c r="G6324" s="53">
        <f t="shared" si="99"/>
        <v>-1.282595635945766</v>
      </c>
      <c r="H6324" s="35"/>
      <c r="P6324" s="6"/>
    </row>
    <row r="6325" spans="1:16" ht="14.4" x14ac:dyDescent="0.25">
      <c r="A6325" s="6">
        <v>3491</v>
      </c>
      <c r="B6325" s="6">
        <v>24870</v>
      </c>
      <c r="C6325" s="19">
        <v>39927</v>
      </c>
      <c r="D6325" s="6" t="s">
        <v>25</v>
      </c>
      <c r="E6325" s="6">
        <f>IF((ISBLANK($B$1)),"",Sheet1!Q6337)</f>
        <v>5300</v>
      </c>
      <c r="F6325" s="20" t="s">
        <v>27</v>
      </c>
      <c r="G6325" s="53">
        <f t="shared" si="99"/>
        <v>0.85788348675402637</v>
      </c>
      <c r="H6325" s="35"/>
      <c r="P6325" s="6"/>
    </row>
    <row r="6326" spans="1:16" ht="14.4" x14ac:dyDescent="0.25">
      <c r="A6326" s="6">
        <v>3492</v>
      </c>
      <c r="B6326" s="6">
        <v>24870</v>
      </c>
      <c r="C6326" s="19">
        <v>39927</v>
      </c>
      <c r="D6326" s="6" t="s">
        <v>25</v>
      </c>
      <c r="E6326" s="6">
        <f>IF((ISBLANK($B$1)),"",Sheet1!Q6338)</f>
        <v>5650</v>
      </c>
      <c r="F6326" s="20" t="s">
        <v>26</v>
      </c>
      <c r="G6326" s="53">
        <f t="shared" si="99"/>
        <v>1.3412174822023666</v>
      </c>
      <c r="H6326" s="35"/>
      <c r="P6326" s="6"/>
    </row>
    <row r="6327" spans="1:16" ht="14.4" x14ac:dyDescent="0.25">
      <c r="A6327" s="6">
        <v>3606</v>
      </c>
      <c r="B6327" s="6">
        <v>25793</v>
      </c>
      <c r="C6327" s="19">
        <v>41006</v>
      </c>
      <c r="D6327" s="6" t="s">
        <v>25</v>
      </c>
      <c r="E6327" s="6">
        <f>IF((ISBLANK($B$1)),"",Sheet1!Q6339)</f>
        <v>4750</v>
      </c>
      <c r="F6327" s="20" t="s">
        <v>27</v>
      </c>
      <c r="G6327" s="53">
        <f t="shared" si="99"/>
        <v>9.8358636763777513E-2</v>
      </c>
      <c r="H6327" s="35"/>
      <c r="P6327" s="6"/>
    </row>
    <row r="6328" spans="1:16" ht="14.4" x14ac:dyDescent="0.25">
      <c r="A6328" s="6">
        <v>3724</v>
      </c>
      <c r="B6328" s="6">
        <v>26629</v>
      </c>
      <c r="C6328" s="19">
        <v>40004</v>
      </c>
      <c r="D6328" s="6" t="s">
        <v>17</v>
      </c>
      <c r="E6328" s="6">
        <f>IF((ISBLANK($B$1)),"",Sheet1!Q6340)</f>
        <v>5300</v>
      </c>
      <c r="F6328" s="20" t="s">
        <v>27</v>
      </c>
      <c r="G6328" s="53">
        <f t="shared" si="99"/>
        <v>0.85788348675402637</v>
      </c>
      <c r="H6328" s="35"/>
      <c r="P6328" s="6"/>
    </row>
    <row r="6329" spans="1:16" ht="14.4" x14ac:dyDescent="0.25">
      <c r="A6329" s="6">
        <v>3725</v>
      </c>
      <c r="B6329" s="6">
        <v>26629</v>
      </c>
      <c r="C6329" s="19">
        <v>40004</v>
      </c>
      <c r="D6329" s="6" t="s">
        <v>17</v>
      </c>
      <c r="E6329" s="6">
        <f>IF((ISBLANK($B$1)),"",Sheet1!Q6341)</f>
        <v>5000</v>
      </c>
      <c r="F6329" s="20" t="s">
        <v>26</v>
      </c>
      <c r="G6329" s="53">
        <f t="shared" si="99"/>
        <v>0.44359720494116334</v>
      </c>
      <c r="H6329" s="35"/>
      <c r="P6329" s="6"/>
    </row>
    <row r="6330" spans="1:16" ht="14.4" x14ac:dyDescent="0.25">
      <c r="A6330" s="6">
        <v>3909</v>
      </c>
      <c r="B6330" s="6">
        <v>27875</v>
      </c>
      <c r="C6330" s="19">
        <v>40263</v>
      </c>
      <c r="D6330" s="6" t="s">
        <v>25</v>
      </c>
      <c r="E6330" s="6">
        <f>IF((ISBLANK($B$1)),"",Sheet1!Q6342)</f>
        <v>3650</v>
      </c>
      <c r="F6330" s="20" t="s">
        <v>26</v>
      </c>
      <c r="G6330" s="53">
        <f t="shared" si="99"/>
        <v>-1.4206910632167202</v>
      </c>
      <c r="H6330" s="35"/>
      <c r="P6330" s="6"/>
    </row>
    <row r="6331" spans="1:16" ht="14.4" x14ac:dyDescent="0.25">
      <c r="A6331" s="6">
        <v>3911</v>
      </c>
      <c r="B6331" s="6">
        <v>27879</v>
      </c>
      <c r="C6331" s="19">
        <v>40235</v>
      </c>
      <c r="D6331" s="6" t="s">
        <v>16</v>
      </c>
      <c r="E6331" s="6">
        <f>IF((ISBLANK($B$1)),"",Sheet1!Q6343)</f>
        <v>5600</v>
      </c>
      <c r="F6331" s="20" t="s">
        <v>26</v>
      </c>
      <c r="G6331" s="53">
        <f t="shared" si="99"/>
        <v>1.2721697685668893</v>
      </c>
      <c r="H6331" s="35"/>
      <c r="P6331" s="6"/>
    </row>
    <row r="6332" spans="1:16" ht="14.4" x14ac:dyDescent="0.25">
      <c r="A6332" s="6">
        <v>3912</v>
      </c>
      <c r="B6332" s="6">
        <v>27879</v>
      </c>
      <c r="C6332" s="19">
        <v>40235</v>
      </c>
      <c r="D6332" s="6" t="s">
        <v>16</v>
      </c>
      <c r="E6332" s="6">
        <f>IF((ISBLANK($B$1)),"",Sheet1!Q6344)</f>
        <v>4900</v>
      </c>
      <c r="F6332" s="20" t="s">
        <v>29</v>
      </c>
      <c r="G6332" s="53">
        <f t="shared" si="99"/>
        <v>0.30550177767020903</v>
      </c>
      <c r="H6332" s="35"/>
      <c r="P6332" s="6"/>
    </row>
    <row r="6333" spans="1:16" ht="14.4" x14ac:dyDescent="0.25">
      <c r="A6333" s="6">
        <v>3953</v>
      </c>
      <c r="B6333" s="6">
        <v>28198</v>
      </c>
      <c r="C6333" s="19">
        <v>40947</v>
      </c>
      <c r="D6333" s="6" t="s">
        <v>16</v>
      </c>
      <c r="E6333" s="6">
        <f>IF((ISBLANK($B$1)),"",Sheet1!Q6345)</f>
        <v>5900</v>
      </c>
      <c r="F6333" s="20" t="s">
        <v>27</v>
      </c>
      <c r="G6333" s="53">
        <f t="shared" si="99"/>
        <v>1.6864560503797523</v>
      </c>
      <c r="H6333" s="35"/>
      <c r="P6333" s="6"/>
    </row>
    <row r="6334" spans="1:16" ht="14.4" x14ac:dyDescent="0.25">
      <c r="A6334" s="6">
        <v>4007</v>
      </c>
      <c r="B6334" s="6">
        <v>28583</v>
      </c>
      <c r="C6334" s="19">
        <v>40129</v>
      </c>
      <c r="D6334" s="6" t="s">
        <v>30</v>
      </c>
      <c r="E6334" s="6">
        <f>IF((ISBLANK($B$1)),"",Sheet1!Q6346)</f>
        <v>4650</v>
      </c>
      <c r="F6334" s="20" t="s">
        <v>26</v>
      </c>
      <c r="G6334" s="53">
        <f t="shared" si="99"/>
        <v>-3.9736790507176829E-2</v>
      </c>
      <c r="H6334" s="35"/>
      <c r="P6334" s="6"/>
    </row>
    <row r="6335" spans="1:16" ht="14.4" x14ac:dyDescent="0.25">
      <c r="A6335" s="6">
        <v>4021</v>
      </c>
      <c r="B6335" s="6">
        <v>28738</v>
      </c>
      <c r="C6335" s="19">
        <v>41131</v>
      </c>
      <c r="D6335" s="6" t="s">
        <v>16</v>
      </c>
      <c r="E6335" s="6">
        <f>IF((ISBLANK($B$1)),"",Sheet1!Q6347)</f>
        <v>3500</v>
      </c>
      <c r="F6335" s="20" t="s">
        <v>26</v>
      </c>
      <c r="G6335" s="53">
        <f t="shared" si="99"/>
        <v>-1.6278342041231517</v>
      </c>
      <c r="H6335" s="35"/>
      <c r="P6335" s="6"/>
    </row>
    <row r="6336" spans="1:16" ht="14.4" x14ac:dyDescent="0.25">
      <c r="A6336" s="6">
        <v>4022</v>
      </c>
      <c r="B6336" s="6">
        <v>28738</v>
      </c>
      <c r="C6336" s="19">
        <v>41131</v>
      </c>
      <c r="D6336" s="6" t="s">
        <v>16</v>
      </c>
      <c r="E6336" s="6">
        <f>IF((ISBLANK($B$1)),"",Sheet1!Q6348)</f>
        <v>3900</v>
      </c>
      <c r="F6336" s="20" t="s">
        <v>26</v>
      </c>
      <c r="G6336" s="53">
        <f t="shared" si="99"/>
        <v>-1.0754524950393345</v>
      </c>
      <c r="H6336" s="35"/>
      <c r="P6336" s="6"/>
    </row>
    <row r="6337" spans="1:16" ht="14.4" x14ac:dyDescent="0.25">
      <c r="A6337" s="6">
        <v>4083</v>
      </c>
      <c r="B6337" s="6">
        <v>29120</v>
      </c>
      <c r="C6337" s="19">
        <v>40310</v>
      </c>
      <c r="D6337" s="6" t="s">
        <v>25</v>
      </c>
      <c r="E6337" s="6">
        <f>IF((ISBLANK($B$1)),"",Sheet1!Q6349)</f>
        <v>5550</v>
      </c>
      <c r="F6337" s="20" t="s">
        <v>26</v>
      </c>
      <c r="G6337" s="53">
        <f t="shared" si="99"/>
        <v>1.2031220549314123</v>
      </c>
      <c r="H6337" s="35"/>
      <c r="P6337" s="6"/>
    </row>
    <row r="6338" spans="1:16" ht="14.4" x14ac:dyDescent="0.25">
      <c r="A6338" s="6">
        <v>4084</v>
      </c>
      <c r="B6338" s="6">
        <v>29120</v>
      </c>
      <c r="C6338" s="19">
        <v>40310</v>
      </c>
      <c r="D6338" s="6" t="s">
        <v>25</v>
      </c>
      <c r="E6338" s="6">
        <f>IF((ISBLANK($B$1)),"",Sheet1!Q6350)</f>
        <v>4450</v>
      </c>
      <c r="F6338" s="20" t="s">
        <v>29</v>
      </c>
      <c r="G6338" s="53">
        <f t="shared" si="99"/>
        <v>-0.31592764504908549</v>
      </c>
      <c r="H6338" s="35"/>
      <c r="P6338" s="6"/>
    </row>
    <row r="6339" spans="1:16" ht="14.4" x14ac:dyDescent="0.25">
      <c r="A6339" s="6">
        <v>4157</v>
      </c>
      <c r="B6339" s="6">
        <v>29504</v>
      </c>
      <c r="C6339" s="19">
        <v>40444</v>
      </c>
      <c r="D6339" s="6" t="s">
        <v>28</v>
      </c>
      <c r="E6339" s="6">
        <f>IF((ISBLANK($B$1)),"",Sheet1!Q6351)</f>
        <v>4400</v>
      </c>
      <c r="F6339" s="20" t="s">
        <v>29</v>
      </c>
      <c r="G6339" s="53">
        <f t="shared" si="99"/>
        <v>-0.38497535868456267</v>
      </c>
      <c r="H6339" s="35"/>
      <c r="P6339" s="6"/>
    </row>
    <row r="6340" spans="1:16" ht="14.4" x14ac:dyDescent="0.25">
      <c r="A6340" s="6">
        <v>4158</v>
      </c>
      <c r="B6340" s="6">
        <v>29504</v>
      </c>
      <c r="C6340" s="19">
        <v>40444</v>
      </c>
      <c r="D6340" s="6" t="s">
        <v>28</v>
      </c>
      <c r="E6340" s="6">
        <f>IF((ISBLANK($B$1)),"",Sheet1!Q6352)</f>
        <v>5100</v>
      </c>
      <c r="F6340" s="20" t="s">
        <v>26</v>
      </c>
      <c r="G6340" s="53">
        <f t="shared" si="99"/>
        <v>0.58169263221211776</v>
      </c>
      <c r="H6340" s="35"/>
      <c r="P6340" s="6"/>
    </row>
    <row r="6341" spans="1:16" ht="14.4" x14ac:dyDescent="0.25">
      <c r="A6341" s="6">
        <v>4300</v>
      </c>
      <c r="B6341" s="6">
        <v>30625</v>
      </c>
      <c r="C6341" s="19">
        <v>40217</v>
      </c>
      <c r="D6341" s="6" t="s">
        <v>30</v>
      </c>
      <c r="E6341" s="6">
        <f>IF((ISBLANK($B$1)),"",Sheet1!Q6353)</f>
        <v>5250</v>
      </c>
      <c r="F6341" s="20" t="s">
        <v>26</v>
      </c>
      <c r="G6341" s="53">
        <f t="shared" si="99"/>
        <v>0.78883577311854924</v>
      </c>
      <c r="H6341" s="35"/>
      <c r="P6341" s="6"/>
    </row>
    <row r="6342" spans="1:16" ht="14.4" x14ac:dyDescent="0.25">
      <c r="A6342" s="6">
        <v>4301</v>
      </c>
      <c r="B6342" s="6">
        <v>30625</v>
      </c>
      <c r="C6342" s="19">
        <v>40217</v>
      </c>
      <c r="D6342" s="6" t="s">
        <v>30</v>
      </c>
      <c r="E6342" s="6">
        <f>IF((ISBLANK($B$1)),"",Sheet1!Q6354)</f>
        <v>4600</v>
      </c>
      <c r="F6342" s="20" t="s">
        <v>29</v>
      </c>
      <c r="G6342" s="53">
        <f t="shared" si="99"/>
        <v>-0.108784504142654</v>
      </c>
      <c r="H6342" s="35"/>
      <c r="P6342" s="6"/>
    </row>
    <row r="6343" spans="1:16" ht="14.4" x14ac:dyDescent="0.25">
      <c r="A6343" s="6">
        <v>4376</v>
      </c>
      <c r="B6343" s="6">
        <v>31174</v>
      </c>
      <c r="C6343" s="19">
        <v>39898</v>
      </c>
      <c r="D6343" s="6" t="s">
        <v>28</v>
      </c>
      <c r="E6343" s="6">
        <f>IF((ISBLANK($B$1)),"",Sheet1!Q6355)</f>
        <v>4400</v>
      </c>
      <c r="F6343" s="20" t="s">
        <v>26</v>
      </c>
      <c r="G6343" s="53">
        <f t="shared" si="99"/>
        <v>-0.38497535868456267</v>
      </c>
      <c r="H6343" s="35"/>
      <c r="P6343" s="6"/>
    </row>
    <row r="6344" spans="1:16" ht="14.4" x14ac:dyDescent="0.25">
      <c r="A6344" s="6">
        <v>4377</v>
      </c>
      <c r="B6344" s="6">
        <v>31174</v>
      </c>
      <c r="C6344" s="19">
        <v>39898</v>
      </c>
      <c r="D6344" s="6" t="s">
        <v>28</v>
      </c>
      <c r="E6344" s="6">
        <f>IF((ISBLANK($B$1)),"",Sheet1!Q6356)</f>
        <v>4850</v>
      </c>
      <c r="F6344" s="20" t="s">
        <v>26</v>
      </c>
      <c r="G6344" s="53">
        <f t="shared" ref="G6344:G6407" si="100">STANDARDIZE(E6344,$L$26,$L$35)</f>
        <v>0.23645406403473185</v>
      </c>
      <c r="H6344" s="35"/>
      <c r="P6344" s="6"/>
    </row>
    <row r="6345" spans="1:16" ht="14.4" x14ac:dyDescent="0.25">
      <c r="A6345" s="6">
        <v>4397</v>
      </c>
      <c r="B6345" s="6">
        <v>31302</v>
      </c>
      <c r="C6345" s="19">
        <v>41122</v>
      </c>
      <c r="D6345" s="6" t="s">
        <v>17</v>
      </c>
      <c r="E6345" s="6">
        <f>IF((ISBLANK($B$1)),"",Sheet1!Q6357)</f>
        <v>5450</v>
      </c>
      <c r="F6345" s="20" t="s">
        <v>27</v>
      </c>
      <c r="G6345" s="53">
        <f t="shared" si="100"/>
        <v>1.0650266276604579</v>
      </c>
      <c r="H6345" s="35"/>
      <c r="P6345" s="6"/>
    </row>
    <row r="6346" spans="1:16" ht="14.4" x14ac:dyDescent="0.25">
      <c r="A6346" s="6">
        <v>4490</v>
      </c>
      <c r="B6346" s="6">
        <v>31973</v>
      </c>
      <c r="C6346" s="19">
        <v>40675</v>
      </c>
      <c r="D6346" s="6" t="s">
        <v>28</v>
      </c>
      <c r="E6346" s="6">
        <f>IF((ISBLANK($B$1)),"",Sheet1!Q6358)</f>
        <v>4150</v>
      </c>
      <c r="F6346" s="20" t="s">
        <v>29</v>
      </c>
      <c r="G6346" s="53">
        <f t="shared" si="100"/>
        <v>-0.73021392686194853</v>
      </c>
      <c r="H6346" s="35"/>
      <c r="P6346" s="6"/>
    </row>
    <row r="6347" spans="1:16" ht="14.4" x14ac:dyDescent="0.25">
      <c r="A6347" s="6">
        <v>4491</v>
      </c>
      <c r="B6347" s="6">
        <v>31973</v>
      </c>
      <c r="C6347" s="19">
        <v>40675</v>
      </c>
      <c r="D6347" s="6" t="s">
        <v>28</v>
      </c>
      <c r="E6347" s="6">
        <f>IF((ISBLANK($B$1)),"",Sheet1!Q6359)</f>
        <v>4200</v>
      </c>
      <c r="F6347" s="20" t="s">
        <v>26</v>
      </c>
      <c r="G6347" s="53">
        <f t="shared" si="100"/>
        <v>-0.6611662132264714</v>
      </c>
      <c r="H6347" s="35"/>
      <c r="P6347" s="6"/>
    </row>
    <row r="6348" spans="1:16" ht="14.4" x14ac:dyDescent="0.25">
      <c r="A6348" s="6">
        <v>4511</v>
      </c>
      <c r="B6348" s="6">
        <v>32101</v>
      </c>
      <c r="C6348" s="19">
        <v>40173</v>
      </c>
      <c r="D6348" s="6" t="s">
        <v>25</v>
      </c>
      <c r="E6348" s="6">
        <f>IF((ISBLANK($B$1)),"",Sheet1!Q6360)</f>
        <v>5800</v>
      </c>
      <c r="F6348" s="20" t="s">
        <v>29</v>
      </c>
      <c r="G6348" s="53">
        <f t="shared" si="100"/>
        <v>1.5483606231087981</v>
      </c>
      <c r="H6348" s="35"/>
      <c r="P6348" s="6"/>
    </row>
    <row r="6349" spans="1:16" ht="14.4" x14ac:dyDescent="0.25">
      <c r="A6349" s="6">
        <v>4625</v>
      </c>
      <c r="B6349" s="6">
        <v>32929</v>
      </c>
      <c r="C6349" s="19">
        <v>40665</v>
      </c>
      <c r="D6349" s="6" t="s">
        <v>25</v>
      </c>
      <c r="E6349" s="6">
        <f>IF((ISBLANK($B$1)),"",Sheet1!Q6361)</f>
        <v>3800</v>
      </c>
      <c r="F6349" s="20" t="s">
        <v>26</v>
      </c>
      <c r="G6349" s="53">
        <f t="shared" si="100"/>
        <v>-1.2135479223102887</v>
      </c>
      <c r="H6349" s="35"/>
      <c r="P6349" s="6"/>
    </row>
    <row r="6350" spans="1:16" ht="14.4" x14ac:dyDescent="0.25">
      <c r="A6350" s="6">
        <v>4626</v>
      </c>
      <c r="B6350" s="6">
        <v>32929</v>
      </c>
      <c r="C6350" s="19">
        <v>40665</v>
      </c>
      <c r="D6350" s="6" t="s">
        <v>25</v>
      </c>
      <c r="E6350" s="6">
        <f>IF((ISBLANK($B$1)),"",Sheet1!Q6362)</f>
        <v>4050</v>
      </c>
      <c r="F6350" s="20" t="s">
        <v>26</v>
      </c>
      <c r="G6350" s="53">
        <f t="shared" si="100"/>
        <v>-0.86830935413290289</v>
      </c>
      <c r="H6350" s="35"/>
      <c r="P6350" s="6"/>
    </row>
    <row r="6351" spans="1:16" ht="14.4" x14ac:dyDescent="0.25">
      <c r="A6351" s="6">
        <v>4690</v>
      </c>
      <c r="B6351" s="6">
        <v>33414</v>
      </c>
      <c r="C6351" s="19">
        <v>40949</v>
      </c>
      <c r="D6351" s="6" t="s">
        <v>28</v>
      </c>
      <c r="E6351" s="6">
        <f>IF((ISBLANK($B$1)),"",Sheet1!Q6363)</f>
        <v>3850</v>
      </c>
      <c r="F6351" s="20" t="s">
        <v>26</v>
      </c>
      <c r="G6351" s="53">
        <f t="shared" si="100"/>
        <v>-1.1445002086748115</v>
      </c>
      <c r="H6351" s="35"/>
      <c r="P6351" s="6"/>
    </row>
    <row r="6352" spans="1:16" ht="14.4" x14ac:dyDescent="0.25">
      <c r="A6352" s="6">
        <v>4860</v>
      </c>
      <c r="B6352" s="6">
        <v>34596</v>
      </c>
      <c r="C6352" s="19">
        <v>40786</v>
      </c>
      <c r="D6352" s="6" t="s">
        <v>30</v>
      </c>
      <c r="E6352" s="6">
        <f>IF((ISBLANK($B$1)),"",Sheet1!Q6364)</f>
        <v>5350</v>
      </c>
      <c r="F6352" s="20" t="s">
        <v>26</v>
      </c>
      <c r="G6352" s="53">
        <f t="shared" si="100"/>
        <v>0.92693120038950361</v>
      </c>
      <c r="H6352" s="35"/>
      <c r="P6352" s="6"/>
    </row>
    <row r="6353" spans="1:16" ht="14.4" x14ac:dyDescent="0.25">
      <c r="A6353" s="6">
        <v>4984</v>
      </c>
      <c r="B6353" s="6">
        <v>35457</v>
      </c>
      <c r="C6353" s="19">
        <v>40154</v>
      </c>
      <c r="D6353" s="6" t="s">
        <v>25</v>
      </c>
      <c r="E6353" s="6">
        <f>IF((ISBLANK($B$1)),"",Sheet1!Q6365)</f>
        <v>5650</v>
      </c>
      <c r="F6353" s="20" t="s">
        <v>26</v>
      </c>
      <c r="G6353" s="53">
        <f t="shared" si="100"/>
        <v>1.3412174822023666</v>
      </c>
      <c r="H6353" s="35"/>
      <c r="P6353" s="6"/>
    </row>
    <row r="6354" spans="1:16" ht="14.4" x14ac:dyDescent="0.25">
      <c r="A6354" s="6">
        <v>5046</v>
      </c>
      <c r="B6354" s="6">
        <v>35940</v>
      </c>
      <c r="C6354" s="19">
        <v>40325</v>
      </c>
      <c r="D6354" s="6" t="s">
        <v>30</v>
      </c>
      <c r="E6354" s="6">
        <f>IF((ISBLANK($B$1)),"",Sheet1!Q6366)</f>
        <v>5750</v>
      </c>
      <c r="F6354" s="20" t="s">
        <v>26</v>
      </c>
      <c r="G6354" s="53">
        <f t="shared" si="100"/>
        <v>1.4793129094733208</v>
      </c>
      <c r="H6354" s="35"/>
      <c r="P6354" s="6"/>
    </row>
    <row r="6355" spans="1:16" ht="14.4" x14ac:dyDescent="0.25">
      <c r="A6355" s="6">
        <v>5115</v>
      </c>
      <c r="B6355" s="6">
        <v>36449</v>
      </c>
      <c r="C6355" s="19">
        <v>40426</v>
      </c>
      <c r="D6355" s="6" t="s">
        <v>28</v>
      </c>
      <c r="E6355" s="6">
        <f>IF((ISBLANK($B$1)),"",Sheet1!Q6367)</f>
        <v>5550</v>
      </c>
      <c r="F6355" s="20" t="s">
        <v>29</v>
      </c>
      <c r="G6355" s="53">
        <f t="shared" si="100"/>
        <v>1.2031220549314123</v>
      </c>
      <c r="H6355" s="35"/>
      <c r="P6355" s="6"/>
    </row>
    <row r="6356" spans="1:16" ht="14.4" x14ac:dyDescent="0.25">
      <c r="A6356" s="6">
        <v>5116</v>
      </c>
      <c r="B6356" s="6">
        <v>36449</v>
      </c>
      <c r="C6356" s="19">
        <v>40426</v>
      </c>
      <c r="D6356" s="6" t="s">
        <v>28</v>
      </c>
      <c r="E6356" s="6">
        <f>IF((ISBLANK($B$1)),"",Sheet1!Q6368)</f>
        <v>4750</v>
      </c>
      <c r="F6356" s="20" t="s">
        <v>26</v>
      </c>
      <c r="G6356" s="53">
        <f t="shared" si="100"/>
        <v>9.8358636763777513E-2</v>
      </c>
      <c r="H6356" s="35"/>
      <c r="P6356" s="6"/>
    </row>
    <row r="6357" spans="1:16" ht="14.4" x14ac:dyDescent="0.25">
      <c r="A6357" s="6">
        <v>5242</v>
      </c>
      <c r="B6357" s="6">
        <v>37313</v>
      </c>
      <c r="C6357" s="19">
        <v>41092</v>
      </c>
      <c r="D6357" s="6" t="s">
        <v>28</v>
      </c>
      <c r="E6357" s="6">
        <f>IF((ISBLANK($B$1)),"",Sheet1!Q6369)</f>
        <v>5600</v>
      </c>
      <c r="F6357" s="20" t="s">
        <v>29</v>
      </c>
      <c r="G6357" s="53">
        <f t="shared" si="100"/>
        <v>1.2721697685668893</v>
      </c>
      <c r="H6357" s="35"/>
      <c r="P6357" s="6"/>
    </row>
    <row r="6358" spans="1:16" ht="14.4" x14ac:dyDescent="0.25">
      <c r="A6358" s="6">
        <v>5243</v>
      </c>
      <c r="B6358" s="6">
        <v>37313</v>
      </c>
      <c r="C6358" s="19">
        <v>41092</v>
      </c>
      <c r="D6358" s="6" t="s">
        <v>28</v>
      </c>
      <c r="E6358" s="6">
        <f>IF((ISBLANK($B$1)),"",Sheet1!Q6370)</f>
        <v>4250</v>
      </c>
      <c r="F6358" s="20" t="s">
        <v>27</v>
      </c>
      <c r="G6358" s="53">
        <f t="shared" si="100"/>
        <v>-0.59211849959099416</v>
      </c>
      <c r="H6358" s="35"/>
      <c r="P6358" s="6"/>
    </row>
    <row r="6359" spans="1:16" ht="14.4" x14ac:dyDescent="0.25">
      <c r="A6359" s="6">
        <v>5249</v>
      </c>
      <c r="B6359" s="6">
        <v>37348</v>
      </c>
      <c r="C6359" s="19">
        <v>39977</v>
      </c>
      <c r="D6359" s="6" t="s">
        <v>17</v>
      </c>
      <c r="E6359" s="6">
        <f>IF((ISBLANK($B$1)),"",Sheet1!Q6371)</f>
        <v>5050</v>
      </c>
      <c r="F6359" s="20" t="s">
        <v>26</v>
      </c>
      <c r="G6359" s="53">
        <f t="shared" si="100"/>
        <v>0.51264491857664052</v>
      </c>
      <c r="H6359" s="35"/>
      <c r="P6359" s="6"/>
    </row>
    <row r="6360" spans="1:16" ht="14.4" x14ac:dyDescent="0.25">
      <c r="A6360" s="6">
        <v>5271</v>
      </c>
      <c r="B6360" s="6">
        <v>37510</v>
      </c>
      <c r="C6360" s="19">
        <v>39880</v>
      </c>
      <c r="D6360" s="6" t="s">
        <v>30</v>
      </c>
      <c r="E6360" s="6">
        <f>IF((ISBLANK($B$1)),"",Sheet1!Q6372)</f>
        <v>4150</v>
      </c>
      <c r="F6360" s="20" t="s">
        <v>26</v>
      </c>
      <c r="G6360" s="53">
        <f t="shared" si="100"/>
        <v>-0.73021392686194853</v>
      </c>
      <c r="H6360" s="35"/>
      <c r="P6360" s="6"/>
    </row>
    <row r="6361" spans="1:16" ht="14.4" x14ac:dyDescent="0.25">
      <c r="A6361" s="6">
        <v>5304</v>
      </c>
      <c r="B6361" s="6">
        <v>37762</v>
      </c>
      <c r="C6361" s="19">
        <v>41066</v>
      </c>
      <c r="D6361" s="6" t="s">
        <v>16</v>
      </c>
      <c r="E6361" s="6">
        <f>IF((ISBLANK($B$1)),"",Sheet1!Q6373)</f>
        <v>4400</v>
      </c>
      <c r="F6361" s="20" t="s">
        <v>26</v>
      </c>
      <c r="G6361" s="53">
        <f t="shared" si="100"/>
        <v>-0.38497535868456267</v>
      </c>
      <c r="H6361" s="35"/>
      <c r="P6361" s="6"/>
    </row>
    <row r="6362" spans="1:16" ht="14.4" x14ac:dyDescent="0.25">
      <c r="A6362" s="6">
        <v>5439</v>
      </c>
      <c r="B6362" s="6">
        <v>38628</v>
      </c>
      <c r="C6362" s="19">
        <v>40845</v>
      </c>
      <c r="D6362" s="6" t="s">
        <v>25</v>
      </c>
      <c r="E6362" s="6">
        <f>IF((ISBLANK($B$1)),"",Sheet1!Q6374)</f>
        <v>4550</v>
      </c>
      <c r="F6362" s="20" t="s">
        <v>27</v>
      </c>
      <c r="G6362" s="53">
        <f t="shared" si="100"/>
        <v>-0.17783221777813119</v>
      </c>
      <c r="H6362" s="35"/>
      <c r="P6362" s="6"/>
    </row>
    <row r="6363" spans="1:16" ht="14.4" x14ac:dyDescent="0.25">
      <c r="A6363" s="6">
        <v>5465</v>
      </c>
      <c r="B6363" s="6">
        <v>38848</v>
      </c>
      <c r="C6363" s="19">
        <v>41259</v>
      </c>
      <c r="D6363" s="6" t="s">
        <v>17</v>
      </c>
      <c r="E6363" s="6">
        <f>IF((ISBLANK($B$1)),"",Sheet1!Q6375)</f>
        <v>3700</v>
      </c>
      <c r="F6363" s="20" t="s">
        <v>26</v>
      </c>
      <c r="G6363" s="53">
        <f t="shared" si="100"/>
        <v>-1.351643349581243</v>
      </c>
      <c r="H6363" s="35"/>
      <c r="P6363" s="6"/>
    </row>
    <row r="6364" spans="1:16" ht="14.4" x14ac:dyDescent="0.25">
      <c r="A6364" s="6">
        <v>5490</v>
      </c>
      <c r="B6364" s="6">
        <v>38950</v>
      </c>
      <c r="C6364" s="19">
        <v>40726</v>
      </c>
      <c r="D6364" s="6" t="s">
        <v>28</v>
      </c>
      <c r="E6364" s="6">
        <f>IF((ISBLANK($B$1)),"",Sheet1!Q6376)</f>
        <v>4600</v>
      </c>
      <c r="F6364" s="20" t="s">
        <v>26</v>
      </c>
      <c r="G6364" s="53">
        <f t="shared" si="100"/>
        <v>-0.108784504142654</v>
      </c>
      <c r="H6364" s="35"/>
      <c r="P6364" s="6"/>
    </row>
    <row r="6365" spans="1:16" ht="14.4" x14ac:dyDescent="0.25">
      <c r="A6365" s="6">
        <v>5491</v>
      </c>
      <c r="B6365" s="6">
        <v>38950</v>
      </c>
      <c r="C6365" s="19">
        <v>40726</v>
      </c>
      <c r="D6365" s="6" t="s">
        <v>28</v>
      </c>
      <c r="E6365" s="6">
        <f>IF((ISBLANK($B$1)),"",Sheet1!Q6377)</f>
        <v>5350</v>
      </c>
      <c r="F6365" s="20" t="s">
        <v>26</v>
      </c>
      <c r="G6365" s="53">
        <f t="shared" si="100"/>
        <v>0.92693120038950361</v>
      </c>
      <c r="H6365" s="35"/>
      <c r="P6365" s="6"/>
    </row>
    <row r="6366" spans="1:16" ht="14.4" x14ac:dyDescent="0.25">
      <c r="A6366" s="6">
        <v>5492</v>
      </c>
      <c r="B6366" s="6">
        <v>38950</v>
      </c>
      <c r="C6366" s="19">
        <v>40726</v>
      </c>
      <c r="D6366" s="6" t="s">
        <v>28</v>
      </c>
      <c r="E6366" s="6">
        <f>IF((ISBLANK($B$1)),"",Sheet1!Q6378)</f>
        <v>4900</v>
      </c>
      <c r="F6366" s="20" t="s">
        <v>26</v>
      </c>
      <c r="G6366" s="53">
        <f t="shared" si="100"/>
        <v>0.30550177767020903</v>
      </c>
      <c r="H6366" s="35"/>
      <c r="P6366" s="6"/>
    </row>
    <row r="6367" spans="1:16" ht="14.4" x14ac:dyDescent="0.25">
      <c r="A6367" s="6">
        <v>5578</v>
      </c>
      <c r="B6367" s="6">
        <v>39521</v>
      </c>
      <c r="C6367" s="19">
        <v>40034</v>
      </c>
      <c r="D6367" s="6" t="s">
        <v>25</v>
      </c>
      <c r="E6367" s="6">
        <f>IF((ISBLANK($B$1)),"",Sheet1!Q6379)</f>
        <v>4800</v>
      </c>
      <c r="F6367" s="20" t="s">
        <v>26</v>
      </c>
      <c r="G6367" s="53">
        <f t="shared" si="100"/>
        <v>0.16740635039925467</v>
      </c>
      <c r="H6367" s="35"/>
      <c r="P6367" s="6"/>
    </row>
    <row r="6368" spans="1:16" ht="14.4" x14ac:dyDescent="0.25">
      <c r="A6368" s="6">
        <v>5698</v>
      </c>
      <c r="B6368" s="6">
        <v>40289</v>
      </c>
      <c r="C6368" s="19">
        <v>41239</v>
      </c>
      <c r="D6368" s="6" t="s">
        <v>28</v>
      </c>
      <c r="E6368" s="6">
        <f>IF((ISBLANK($B$1)),"",Sheet1!Q6380)</f>
        <v>4700</v>
      </c>
      <c r="F6368" s="20" t="s">
        <v>26</v>
      </c>
      <c r="G6368" s="53">
        <f t="shared" si="100"/>
        <v>2.9310923128300338E-2</v>
      </c>
      <c r="H6368" s="35"/>
      <c r="P6368" s="6"/>
    </row>
    <row r="6369" spans="1:16" ht="14.4" x14ac:dyDescent="0.25">
      <c r="A6369" s="6">
        <v>5699</v>
      </c>
      <c r="B6369" s="6">
        <v>40289</v>
      </c>
      <c r="C6369" s="19">
        <v>41239</v>
      </c>
      <c r="D6369" s="6" t="s">
        <v>28</v>
      </c>
      <c r="E6369" s="6">
        <f>IF((ISBLANK($B$1)),"",Sheet1!Q6381)</f>
        <v>3600</v>
      </c>
      <c r="F6369" s="20" t="s">
        <v>26</v>
      </c>
      <c r="G6369" s="53">
        <f t="shared" si="100"/>
        <v>-1.4897387768521975</v>
      </c>
      <c r="H6369" s="35"/>
      <c r="P6369" s="6"/>
    </row>
    <row r="6370" spans="1:16" ht="14.4" x14ac:dyDescent="0.25">
      <c r="A6370" s="6">
        <v>5739</v>
      </c>
      <c r="B6370" s="6">
        <v>40775</v>
      </c>
      <c r="C6370" s="19">
        <v>40499</v>
      </c>
      <c r="D6370" s="6" t="s">
        <v>25</v>
      </c>
      <c r="E6370" s="6">
        <f>IF((ISBLANK($B$1)),"",Sheet1!Q6382)</f>
        <v>4550</v>
      </c>
      <c r="F6370" s="20" t="s">
        <v>29</v>
      </c>
      <c r="G6370" s="53">
        <f t="shared" si="100"/>
        <v>-0.17783221777813119</v>
      </c>
      <c r="H6370" s="35"/>
      <c r="P6370" s="6"/>
    </row>
    <row r="6371" spans="1:16" ht="14.4" x14ac:dyDescent="0.25">
      <c r="A6371" s="6">
        <v>5794</v>
      </c>
      <c r="B6371" s="6">
        <v>41094</v>
      </c>
      <c r="C6371" s="19">
        <v>39819</v>
      </c>
      <c r="D6371" s="6" t="s">
        <v>25</v>
      </c>
      <c r="E6371" s="6">
        <f>IF((ISBLANK($B$1)),"",Sheet1!Q6383)</f>
        <v>5700</v>
      </c>
      <c r="F6371" s="20" t="s">
        <v>26</v>
      </c>
      <c r="G6371" s="53">
        <f t="shared" si="100"/>
        <v>1.4102651958378438</v>
      </c>
      <c r="H6371" s="35"/>
      <c r="P6371" s="6"/>
    </row>
    <row r="6372" spans="1:16" ht="14.4" x14ac:dyDescent="0.25">
      <c r="A6372" s="6">
        <v>5795</v>
      </c>
      <c r="B6372" s="6">
        <v>41094</v>
      </c>
      <c r="C6372" s="19">
        <v>39819</v>
      </c>
      <c r="D6372" s="6" t="s">
        <v>25</v>
      </c>
      <c r="E6372" s="6">
        <f>IF((ISBLANK($B$1)),"",Sheet1!Q6384)</f>
        <v>3700</v>
      </c>
      <c r="F6372" s="20" t="s">
        <v>26</v>
      </c>
      <c r="G6372" s="53">
        <f t="shared" si="100"/>
        <v>-1.351643349581243</v>
      </c>
      <c r="H6372" s="35"/>
      <c r="P6372" s="6"/>
    </row>
    <row r="6373" spans="1:16" ht="14.4" x14ac:dyDescent="0.25">
      <c r="A6373" s="6">
        <v>5808</v>
      </c>
      <c r="B6373" s="6">
        <v>41186</v>
      </c>
      <c r="C6373" s="19">
        <v>40504</v>
      </c>
      <c r="D6373" s="6" t="s">
        <v>17</v>
      </c>
      <c r="E6373" s="6">
        <f>IF((ISBLANK($B$1)),"",Sheet1!Q6385)</f>
        <v>4050</v>
      </c>
      <c r="F6373" s="20" t="s">
        <v>26</v>
      </c>
      <c r="G6373" s="53">
        <f t="shared" si="100"/>
        <v>-0.86830935413290289</v>
      </c>
      <c r="H6373" s="35"/>
      <c r="P6373" s="6"/>
    </row>
    <row r="6374" spans="1:16" ht="14.4" x14ac:dyDescent="0.25">
      <c r="A6374" s="6">
        <v>5830</v>
      </c>
      <c r="B6374" s="6">
        <v>41351</v>
      </c>
      <c r="C6374" s="19">
        <v>40444</v>
      </c>
      <c r="D6374" s="6" t="s">
        <v>28</v>
      </c>
      <c r="E6374" s="6">
        <f>IF((ISBLANK($B$1)),"",Sheet1!Q6386)</f>
        <v>5800</v>
      </c>
      <c r="F6374" s="20" t="s">
        <v>27</v>
      </c>
      <c r="G6374" s="53">
        <f t="shared" si="100"/>
        <v>1.5483606231087981</v>
      </c>
      <c r="H6374" s="35"/>
      <c r="P6374" s="6"/>
    </row>
    <row r="6375" spans="1:16" ht="14.4" x14ac:dyDescent="0.25">
      <c r="A6375" s="6">
        <v>5861</v>
      </c>
      <c r="B6375" s="6">
        <v>41605</v>
      </c>
      <c r="C6375" s="19">
        <v>40537</v>
      </c>
      <c r="D6375" s="6" t="s">
        <v>16</v>
      </c>
      <c r="E6375" s="6">
        <f>IF((ISBLANK($B$1)),"",Sheet1!Q6387)</f>
        <v>3600</v>
      </c>
      <c r="F6375" s="20" t="s">
        <v>26</v>
      </c>
      <c r="G6375" s="53">
        <f t="shared" si="100"/>
        <v>-1.4897387768521975</v>
      </c>
      <c r="H6375" s="35"/>
      <c r="P6375" s="6"/>
    </row>
    <row r="6376" spans="1:16" ht="14.4" x14ac:dyDescent="0.25">
      <c r="A6376" s="6">
        <v>5875</v>
      </c>
      <c r="B6376" s="6">
        <v>41667</v>
      </c>
      <c r="C6376" s="19">
        <v>41080</v>
      </c>
      <c r="D6376" s="6" t="s">
        <v>17</v>
      </c>
      <c r="E6376" s="6">
        <f>IF((ISBLANK($B$1)),"",Sheet1!Q6388)</f>
        <v>4300</v>
      </c>
      <c r="F6376" s="20" t="s">
        <v>27</v>
      </c>
      <c r="G6376" s="53">
        <f t="shared" si="100"/>
        <v>-0.52307078595551704</v>
      </c>
      <c r="H6376" s="35"/>
      <c r="P6376" s="6"/>
    </row>
    <row r="6377" spans="1:16" ht="14.4" x14ac:dyDescent="0.25">
      <c r="A6377" s="6">
        <v>6068</v>
      </c>
      <c r="B6377" s="6">
        <v>42982</v>
      </c>
      <c r="C6377" s="19">
        <v>41117</v>
      </c>
      <c r="D6377" s="6" t="s">
        <v>25</v>
      </c>
      <c r="E6377" s="6">
        <f>IF((ISBLANK($B$1)),"",Sheet1!Q6389)</f>
        <v>4000</v>
      </c>
      <c r="F6377" s="20" t="s">
        <v>29</v>
      </c>
      <c r="G6377" s="53">
        <f t="shared" si="100"/>
        <v>-0.93735706776838001</v>
      </c>
      <c r="H6377" s="35"/>
      <c r="P6377" s="6"/>
    </row>
    <row r="6378" spans="1:16" ht="14.4" x14ac:dyDescent="0.25">
      <c r="A6378" s="6">
        <v>6172</v>
      </c>
      <c r="B6378" s="6">
        <v>43745</v>
      </c>
      <c r="C6378" s="19">
        <v>40483</v>
      </c>
      <c r="D6378" s="6" t="s">
        <v>25</v>
      </c>
      <c r="E6378" s="6">
        <f>IF((ISBLANK($B$1)),"",Sheet1!Q6390)</f>
        <v>3650</v>
      </c>
      <c r="F6378" s="20" t="s">
        <v>26</v>
      </c>
      <c r="G6378" s="53">
        <f t="shared" si="100"/>
        <v>-1.4206910632167202</v>
      </c>
      <c r="H6378" s="35"/>
      <c r="P6378" s="6"/>
    </row>
    <row r="6379" spans="1:16" ht="14.4" x14ac:dyDescent="0.25">
      <c r="A6379" s="6">
        <v>6173</v>
      </c>
      <c r="B6379" s="6">
        <v>43745</v>
      </c>
      <c r="C6379" s="19">
        <v>40483</v>
      </c>
      <c r="D6379" s="6" t="s">
        <v>25</v>
      </c>
      <c r="E6379" s="6">
        <f>IF((ISBLANK($B$1)),"",Sheet1!Q6391)</f>
        <v>3450</v>
      </c>
      <c r="F6379" s="20" t="s">
        <v>26</v>
      </c>
      <c r="G6379" s="53">
        <f t="shared" si="100"/>
        <v>-1.696881917758629</v>
      </c>
      <c r="H6379" s="35"/>
      <c r="P6379" s="6"/>
    </row>
    <row r="6380" spans="1:16" ht="14.4" x14ac:dyDescent="0.25">
      <c r="A6380" s="6">
        <v>6234</v>
      </c>
      <c r="B6380" s="6">
        <v>44167</v>
      </c>
      <c r="C6380" s="19">
        <v>40938</v>
      </c>
      <c r="D6380" s="6" t="s">
        <v>30</v>
      </c>
      <c r="E6380" s="6">
        <f>IF((ISBLANK($B$1)),"",Sheet1!Q6392)</f>
        <v>4550</v>
      </c>
      <c r="F6380" s="20" t="s">
        <v>26</v>
      </c>
      <c r="G6380" s="53">
        <f t="shared" si="100"/>
        <v>-0.17783221777813119</v>
      </c>
      <c r="H6380" s="35"/>
      <c r="P6380" s="6"/>
    </row>
    <row r="6381" spans="1:16" ht="14.4" x14ac:dyDescent="0.25">
      <c r="A6381" s="6">
        <v>6349</v>
      </c>
      <c r="B6381" s="6">
        <v>44997</v>
      </c>
      <c r="C6381" s="19">
        <v>40814</v>
      </c>
      <c r="D6381" s="6" t="s">
        <v>25</v>
      </c>
      <c r="E6381" s="6">
        <f>IF((ISBLANK($B$1)),"",Sheet1!Q6393)</f>
        <v>5700</v>
      </c>
      <c r="F6381" s="20" t="s">
        <v>29</v>
      </c>
      <c r="G6381" s="53">
        <f t="shared" si="100"/>
        <v>1.4102651958378438</v>
      </c>
      <c r="H6381" s="35"/>
      <c r="P6381" s="6"/>
    </row>
    <row r="6382" spans="1:16" ht="14.4" x14ac:dyDescent="0.25">
      <c r="A6382" s="6">
        <v>6392</v>
      </c>
      <c r="B6382" s="6">
        <v>45408</v>
      </c>
      <c r="C6382" s="19">
        <v>40538</v>
      </c>
      <c r="D6382" s="6" t="s">
        <v>25</v>
      </c>
      <c r="E6382" s="6">
        <f>IF((ISBLANK($B$1)),"",Sheet1!Q6394)</f>
        <v>4650</v>
      </c>
      <c r="F6382" s="20" t="s">
        <v>27</v>
      </c>
      <c r="G6382" s="53">
        <f t="shared" si="100"/>
        <v>-3.9736790507176829E-2</v>
      </c>
      <c r="H6382" s="35"/>
      <c r="P6382" s="6"/>
    </row>
    <row r="6383" spans="1:16" ht="14.4" x14ac:dyDescent="0.25">
      <c r="A6383" s="6">
        <v>6449</v>
      </c>
      <c r="B6383" s="6">
        <v>45924</v>
      </c>
      <c r="C6383" s="19">
        <v>40533</v>
      </c>
      <c r="D6383" s="6" t="s">
        <v>25</v>
      </c>
      <c r="E6383" s="6">
        <f>IF((ISBLANK($B$1)),"",Sheet1!Q6395)</f>
        <v>3450</v>
      </c>
      <c r="F6383" s="20" t="s">
        <v>26</v>
      </c>
      <c r="G6383" s="53">
        <f t="shared" si="100"/>
        <v>-1.696881917758629</v>
      </c>
      <c r="H6383" s="35"/>
      <c r="P6383" s="6"/>
    </row>
    <row r="6384" spans="1:16" ht="14.4" x14ac:dyDescent="0.25">
      <c r="A6384" s="6">
        <v>6548</v>
      </c>
      <c r="B6384" s="6">
        <v>46565</v>
      </c>
      <c r="C6384" s="19">
        <v>40716</v>
      </c>
      <c r="D6384" s="6" t="s">
        <v>28</v>
      </c>
      <c r="E6384" s="6">
        <f>IF((ISBLANK($B$1)),"",Sheet1!Q6396)</f>
        <v>4200</v>
      </c>
      <c r="F6384" s="20" t="s">
        <v>26</v>
      </c>
      <c r="G6384" s="53">
        <f t="shared" si="100"/>
        <v>-0.6611662132264714</v>
      </c>
      <c r="H6384" s="35"/>
      <c r="P6384" s="6"/>
    </row>
    <row r="6385" spans="1:16" ht="14.4" x14ac:dyDescent="0.25">
      <c r="A6385" s="6">
        <v>6549</v>
      </c>
      <c r="B6385" s="6">
        <v>46565</v>
      </c>
      <c r="C6385" s="19">
        <v>40716</v>
      </c>
      <c r="D6385" s="6" t="s">
        <v>28</v>
      </c>
      <c r="E6385" s="6">
        <f>IF((ISBLANK($B$1)),"",Sheet1!Q6397)</f>
        <v>5900</v>
      </c>
      <c r="F6385" s="20" t="s">
        <v>29</v>
      </c>
      <c r="G6385" s="53">
        <f t="shared" si="100"/>
        <v>1.6864560503797523</v>
      </c>
      <c r="H6385" s="35"/>
      <c r="P6385" s="6"/>
    </row>
    <row r="6386" spans="1:16" ht="14.4" x14ac:dyDescent="0.25">
      <c r="A6386" s="6">
        <v>6550</v>
      </c>
      <c r="B6386" s="6">
        <v>46565</v>
      </c>
      <c r="C6386" s="19">
        <v>40716</v>
      </c>
      <c r="D6386" s="6" t="s">
        <v>28</v>
      </c>
      <c r="E6386" s="6">
        <f>IF((ISBLANK($B$1)),"",Sheet1!Q6398)</f>
        <v>3800</v>
      </c>
      <c r="F6386" s="20" t="s">
        <v>26</v>
      </c>
      <c r="G6386" s="53">
        <f t="shared" si="100"/>
        <v>-1.2135479223102887</v>
      </c>
      <c r="H6386" s="35"/>
      <c r="P6386" s="6"/>
    </row>
    <row r="6387" spans="1:16" ht="14.4" x14ac:dyDescent="0.25">
      <c r="A6387" s="6">
        <v>6593</v>
      </c>
      <c r="B6387" s="6">
        <v>46916</v>
      </c>
      <c r="C6387" s="19">
        <v>40819</v>
      </c>
      <c r="D6387" s="6" t="s">
        <v>17</v>
      </c>
      <c r="E6387" s="6">
        <f>IF((ISBLANK($B$1)),"",Sheet1!Q6399)</f>
        <v>5400</v>
      </c>
      <c r="F6387" s="20" t="s">
        <v>26</v>
      </c>
      <c r="G6387" s="53">
        <f t="shared" si="100"/>
        <v>0.99597891402498073</v>
      </c>
      <c r="H6387" s="35"/>
      <c r="P6387" s="6"/>
    </row>
    <row r="6388" spans="1:16" ht="14.4" x14ac:dyDescent="0.25">
      <c r="A6388" s="6">
        <v>6594</v>
      </c>
      <c r="B6388" s="6">
        <v>46916</v>
      </c>
      <c r="C6388" s="19">
        <v>40819</v>
      </c>
      <c r="D6388" s="6" t="s">
        <v>17</v>
      </c>
      <c r="E6388" s="6">
        <f>IF((ISBLANK($B$1)),"",Sheet1!Q6400)</f>
        <v>5400</v>
      </c>
      <c r="F6388" s="20" t="s">
        <v>29</v>
      </c>
      <c r="G6388" s="53">
        <f t="shared" si="100"/>
        <v>0.99597891402498073</v>
      </c>
      <c r="H6388" s="35"/>
      <c r="P6388" s="6"/>
    </row>
    <row r="6389" spans="1:16" ht="14.4" x14ac:dyDescent="0.25">
      <c r="A6389" s="6">
        <v>6634</v>
      </c>
      <c r="B6389" s="6">
        <v>47173</v>
      </c>
      <c r="C6389" s="19">
        <v>40057</v>
      </c>
      <c r="D6389" s="6" t="s">
        <v>28</v>
      </c>
      <c r="E6389" s="6">
        <f>IF((ISBLANK($B$1)),"",Sheet1!Q6401)</f>
        <v>5450</v>
      </c>
      <c r="F6389" s="20" t="s">
        <v>27</v>
      </c>
      <c r="G6389" s="53">
        <f t="shared" si="100"/>
        <v>1.0650266276604579</v>
      </c>
      <c r="H6389" s="35"/>
      <c r="P6389" s="6"/>
    </row>
    <row r="6390" spans="1:16" ht="14.4" x14ac:dyDescent="0.25">
      <c r="A6390" s="6">
        <v>6649</v>
      </c>
      <c r="B6390" s="6">
        <v>47271</v>
      </c>
      <c r="C6390" s="19">
        <v>40752</v>
      </c>
      <c r="D6390" s="6" t="s">
        <v>16</v>
      </c>
      <c r="E6390" s="6">
        <f>IF((ISBLANK($B$1)),"",Sheet1!Q6402)</f>
        <v>5600</v>
      </c>
      <c r="F6390" s="20" t="s">
        <v>27</v>
      </c>
      <c r="G6390" s="53">
        <f t="shared" si="100"/>
        <v>1.2721697685668893</v>
      </c>
      <c r="H6390" s="35"/>
      <c r="P6390" s="6"/>
    </row>
    <row r="6391" spans="1:16" ht="14.4" x14ac:dyDescent="0.25">
      <c r="A6391" s="6">
        <v>6712</v>
      </c>
      <c r="B6391" s="6">
        <v>47815</v>
      </c>
      <c r="C6391" s="19">
        <v>41273</v>
      </c>
      <c r="D6391" s="6" t="s">
        <v>28</v>
      </c>
      <c r="E6391" s="6">
        <f>IF((ISBLANK($B$1)),"",Sheet1!Q6403)</f>
        <v>5650</v>
      </c>
      <c r="F6391" s="20" t="s">
        <v>29</v>
      </c>
      <c r="G6391" s="53">
        <f t="shared" si="100"/>
        <v>1.3412174822023666</v>
      </c>
      <c r="H6391" s="35"/>
      <c r="P6391" s="6"/>
    </row>
    <row r="6392" spans="1:16" ht="14.4" x14ac:dyDescent="0.25">
      <c r="A6392" s="6">
        <v>6727</v>
      </c>
      <c r="B6392" s="6">
        <v>47909</v>
      </c>
      <c r="C6392" s="19">
        <v>40246</v>
      </c>
      <c r="D6392" s="6" t="s">
        <v>16</v>
      </c>
      <c r="E6392" s="6">
        <f>IF((ISBLANK($B$1)),"",Sheet1!Q6404)</f>
        <v>5300</v>
      </c>
      <c r="F6392" s="20" t="s">
        <v>26</v>
      </c>
      <c r="G6392" s="53">
        <f t="shared" si="100"/>
        <v>0.85788348675402637</v>
      </c>
      <c r="H6392" s="35"/>
      <c r="P6392" s="6"/>
    </row>
    <row r="6393" spans="1:16" ht="14.4" x14ac:dyDescent="0.25">
      <c r="A6393" s="6">
        <v>6728</v>
      </c>
      <c r="B6393" s="6">
        <v>47909</v>
      </c>
      <c r="C6393" s="19">
        <v>40246</v>
      </c>
      <c r="D6393" s="6" t="s">
        <v>16</v>
      </c>
      <c r="E6393" s="6">
        <f>IF((ISBLANK($B$1)),"",Sheet1!Q6405)</f>
        <v>4500</v>
      </c>
      <c r="F6393" s="20" t="s">
        <v>26</v>
      </c>
      <c r="G6393" s="53">
        <f t="shared" si="100"/>
        <v>-0.24687993141360834</v>
      </c>
      <c r="H6393" s="35"/>
      <c r="P6393" s="6"/>
    </row>
    <row r="6394" spans="1:16" ht="14.4" x14ac:dyDescent="0.25">
      <c r="A6394" s="6">
        <v>6729</v>
      </c>
      <c r="B6394" s="6">
        <v>47909</v>
      </c>
      <c r="C6394" s="19">
        <v>40246</v>
      </c>
      <c r="D6394" s="6" t="s">
        <v>16</v>
      </c>
      <c r="E6394" s="6">
        <f>IF((ISBLANK($B$1)),"",Sheet1!Q6406)</f>
        <v>5800</v>
      </c>
      <c r="F6394" s="20" t="s">
        <v>27</v>
      </c>
      <c r="G6394" s="53">
        <f t="shared" si="100"/>
        <v>1.5483606231087981</v>
      </c>
      <c r="H6394" s="35"/>
      <c r="P6394" s="6"/>
    </row>
    <row r="6395" spans="1:16" ht="14.4" x14ac:dyDescent="0.25">
      <c r="A6395" s="6">
        <v>6823</v>
      </c>
      <c r="B6395" s="6">
        <v>48609</v>
      </c>
      <c r="C6395" s="19">
        <v>40233</v>
      </c>
      <c r="D6395" s="6" t="s">
        <v>17</v>
      </c>
      <c r="E6395" s="6">
        <f>IF((ISBLANK($B$1)),"",Sheet1!Q6407)</f>
        <v>4700</v>
      </c>
      <c r="F6395" s="20" t="s">
        <v>26</v>
      </c>
      <c r="G6395" s="53">
        <f t="shared" si="100"/>
        <v>2.9310923128300338E-2</v>
      </c>
      <c r="H6395" s="35"/>
      <c r="P6395" s="6"/>
    </row>
    <row r="6396" spans="1:16" ht="14.4" x14ac:dyDescent="0.25">
      <c r="A6396" s="6">
        <v>6824</v>
      </c>
      <c r="B6396" s="6">
        <v>48609</v>
      </c>
      <c r="C6396" s="19">
        <v>40233</v>
      </c>
      <c r="D6396" s="6" t="s">
        <v>17</v>
      </c>
      <c r="E6396" s="6">
        <f>IF((ISBLANK($B$1)),"",Sheet1!Q6408)</f>
        <v>3650</v>
      </c>
      <c r="F6396" s="20" t="s">
        <v>26</v>
      </c>
      <c r="G6396" s="53">
        <f t="shared" si="100"/>
        <v>-1.4206910632167202</v>
      </c>
      <c r="H6396" s="35"/>
      <c r="P6396" s="6"/>
    </row>
    <row r="6397" spans="1:16" ht="14.4" x14ac:dyDescent="0.25">
      <c r="A6397" s="6">
        <v>6833</v>
      </c>
      <c r="B6397" s="6">
        <v>48643</v>
      </c>
      <c r="C6397" s="19">
        <v>41200</v>
      </c>
      <c r="D6397" s="6" t="s">
        <v>16</v>
      </c>
      <c r="E6397" s="6">
        <f>IF((ISBLANK($B$1)),"",Sheet1!Q6409)</f>
        <v>4100</v>
      </c>
      <c r="F6397" s="20" t="s">
        <v>27</v>
      </c>
      <c r="G6397" s="53">
        <f t="shared" si="100"/>
        <v>-0.79926164049742576</v>
      </c>
      <c r="H6397" s="35"/>
      <c r="P6397" s="6"/>
    </row>
    <row r="6398" spans="1:16" ht="14.4" x14ac:dyDescent="0.25">
      <c r="A6398" s="6">
        <v>6834</v>
      </c>
      <c r="B6398" s="6">
        <v>48643</v>
      </c>
      <c r="C6398" s="19">
        <v>41200</v>
      </c>
      <c r="D6398" s="6" t="s">
        <v>16</v>
      </c>
      <c r="E6398" s="6">
        <f>IF((ISBLANK($B$1)),"",Sheet1!Q6410)</f>
        <v>3700</v>
      </c>
      <c r="F6398" s="20" t="s">
        <v>26</v>
      </c>
      <c r="G6398" s="53">
        <f t="shared" si="100"/>
        <v>-1.351643349581243</v>
      </c>
      <c r="H6398" s="35"/>
      <c r="P6398" s="6"/>
    </row>
    <row r="6399" spans="1:16" ht="14.4" x14ac:dyDescent="0.25">
      <c r="A6399" s="6">
        <v>6835</v>
      </c>
      <c r="B6399" s="6">
        <v>48643</v>
      </c>
      <c r="C6399" s="19">
        <v>41200</v>
      </c>
      <c r="D6399" s="6" t="s">
        <v>16</v>
      </c>
      <c r="E6399" s="6">
        <f>IF((ISBLANK($B$1)),"",Sheet1!Q6411)</f>
        <v>5900</v>
      </c>
      <c r="F6399" s="20" t="s">
        <v>27</v>
      </c>
      <c r="G6399" s="53">
        <f t="shared" si="100"/>
        <v>1.6864560503797523</v>
      </c>
      <c r="H6399" s="35"/>
      <c r="P6399" s="6"/>
    </row>
    <row r="6400" spans="1:16" ht="14.4" x14ac:dyDescent="0.25">
      <c r="A6400" s="6">
        <v>6923</v>
      </c>
      <c r="B6400" s="6">
        <v>49380</v>
      </c>
      <c r="C6400" s="19">
        <v>41033</v>
      </c>
      <c r="D6400" s="6" t="s">
        <v>16</v>
      </c>
      <c r="E6400" s="6">
        <f>IF((ISBLANK($B$1)),"",Sheet1!Q6412)</f>
        <v>3950</v>
      </c>
      <c r="F6400" s="20" t="s">
        <v>27</v>
      </c>
      <c r="G6400" s="53">
        <f t="shared" si="100"/>
        <v>-1.0064047814038573</v>
      </c>
      <c r="H6400" s="35"/>
      <c r="P6400" s="6"/>
    </row>
    <row r="6401" spans="1:16" ht="14.4" x14ac:dyDescent="0.25">
      <c r="A6401" s="6">
        <v>6946</v>
      </c>
      <c r="B6401" s="6">
        <v>49607</v>
      </c>
      <c r="C6401" s="19">
        <v>39937</v>
      </c>
      <c r="D6401" s="6" t="s">
        <v>16</v>
      </c>
      <c r="E6401" s="6">
        <f>IF((ISBLANK($B$1)),"",Sheet1!Q6413)</f>
        <v>3700</v>
      </c>
      <c r="F6401" s="20" t="s">
        <v>27</v>
      </c>
      <c r="G6401" s="53">
        <f t="shared" si="100"/>
        <v>-1.351643349581243</v>
      </c>
      <c r="H6401" s="35"/>
      <c r="P6401" s="6"/>
    </row>
    <row r="6402" spans="1:16" ht="14.4" x14ac:dyDescent="0.25">
      <c r="A6402" s="6">
        <v>6977</v>
      </c>
      <c r="B6402" s="6">
        <v>49862</v>
      </c>
      <c r="C6402" s="19">
        <v>41164</v>
      </c>
      <c r="D6402" s="6" t="s">
        <v>28</v>
      </c>
      <c r="E6402" s="6">
        <f>IF((ISBLANK($B$1)),"",Sheet1!Q6414)</f>
        <v>4600</v>
      </c>
      <c r="F6402" s="20" t="s">
        <v>26</v>
      </c>
      <c r="G6402" s="53">
        <f t="shared" si="100"/>
        <v>-0.108784504142654</v>
      </c>
      <c r="H6402" s="35"/>
      <c r="P6402" s="6"/>
    </row>
    <row r="6403" spans="1:16" ht="14.4" x14ac:dyDescent="0.25">
      <c r="A6403" s="6">
        <v>7033</v>
      </c>
      <c r="B6403" s="6">
        <v>50209</v>
      </c>
      <c r="C6403" s="19">
        <v>40431</v>
      </c>
      <c r="D6403" s="6" t="s">
        <v>17</v>
      </c>
      <c r="E6403" s="6">
        <f>IF((ISBLANK($B$1)),"",Sheet1!Q6415)</f>
        <v>5100</v>
      </c>
      <c r="F6403" s="20" t="s">
        <v>26</v>
      </c>
      <c r="G6403" s="53">
        <f t="shared" si="100"/>
        <v>0.58169263221211776</v>
      </c>
      <c r="H6403" s="35"/>
      <c r="P6403" s="6"/>
    </row>
    <row r="6404" spans="1:16" ht="14.4" x14ac:dyDescent="0.25">
      <c r="A6404" s="6">
        <v>7034</v>
      </c>
      <c r="B6404" s="6">
        <v>50209</v>
      </c>
      <c r="C6404" s="19">
        <v>40431</v>
      </c>
      <c r="D6404" s="6" t="s">
        <v>17</v>
      </c>
      <c r="E6404" s="6">
        <f>IF((ISBLANK($B$1)),"",Sheet1!Q6416)</f>
        <v>3500</v>
      </c>
      <c r="F6404" s="20" t="s">
        <v>26</v>
      </c>
      <c r="G6404" s="53">
        <f t="shared" si="100"/>
        <v>-1.6278342041231517</v>
      </c>
      <c r="H6404" s="35"/>
      <c r="P6404" s="6"/>
    </row>
    <row r="6405" spans="1:16" ht="14.4" x14ac:dyDescent="0.25">
      <c r="A6405" s="6">
        <v>7066</v>
      </c>
      <c r="B6405" s="6">
        <v>50432</v>
      </c>
      <c r="C6405" s="19">
        <v>39971</v>
      </c>
      <c r="D6405" s="6" t="s">
        <v>25</v>
      </c>
      <c r="E6405" s="6">
        <f>IF((ISBLANK($B$1)),"",Sheet1!Q6417)</f>
        <v>3750</v>
      </c>
      <c r="F6405" s="20" t="s">
        <v>29</v>
      </c>
      <c r="G6405" s="53">
        <f t="shared" si="100"/>
        <v>-1.282595635945766</v>
      </c>
      <c r="H6405" s="35"/>
      <c r="P6405" s="6"/>
    </row>
    <row r="6406" spans="1:16" ht="14.4" x14ac:dyDescent="0.25">
      <c r="A6406" s="6">
        <v>7067</v>
      </c>
      <c r="B6406" s="6">
        <v>50432</v>
      </c>
      <c r="C6406" s="19">
        <v>39971</v>
      </c>
      <c r="D6406" s="6" t="s">
        <v>25</v>
      </c>
      <c r="E6406" s="6">
        <f>IF((ISBLANK($B$1)),"",Sheet1!Q6418)</f>
        <v>5650</v>
      </c>
      <c r="F6406" s="20" t="s">
        <v>26</v>
      </c>
      <c r="G6406" s="53">
        <f t="shared" si="100"/>
        <v>1.3412174822023666</v>
      </c>
      <c r="H6406" s="35"/>
      <c r="P6406" s="6"/>
    </row>
    <row r="6407" spans="1:16" ht="14.4" x14ac:dyDescent="0.25">
      <c r="A6407" s="6">
        <v>7076</v>
      </c>
      <c r="B6407" s="6">
        <v>50500</v>
      </c>
      <c r="C6407" s="19">
        <v>40792</v>
      </c>
      <c r="D6407" s="6" t="s">
        <v>25</v>
      </c>
      <c r="E6407" s="6">
        <f>IF((ISBLANK($B$1)),"",Sheet1!Q6419)</f>
        <v>3950</v>
      </c>
      <c r="F6407" s="20" t="s">
        <v>26</v>
      </c>
      <c r="G6407" s="53">
        <f t="shared" si="100"/>
        <v>-1.0064047814038573</v>
      </c>
      <c r="H6407" s="35"/>
      <c r="P6407" s="6"/>
    </row>
    <row r="6408" spans="1:16" ht="14.4" x14ac:dyDescent="0.25">
      <c r="A6408" s="6">
        <v>7077</v>
      </c>
      <c r="B6408" s="6">
        <v>50500</v>
      </c>
      <c r="C6408" s="19">
        <v>40792</v>
      </c>
      <c r="D6408" s="6" t="s">
        <v>25</v>
      </c>
      <c r="E6408" s="6">
        <f>IF((ISBLANK($B$1)),"",Sheet1!Q6420)</f>
        <v>5650</v>
      </c>
      <c r="F6408" s="20" t="s">
        <v>26</v>
      </c>
      <c r="G6408" s="53">
        <f t="shared" ref="G6408:G6471" si="101">STANDARDIZE(E6408,$L$26,$L$35)</f>
        <v>1.3412174822023666</v>
      </c>
      <c r="H6408" s="35"/>
      <c r="P6408" s="6"/>
    </row>
    <row r="6409" spans="1:16" ht="14.4" x14ac:dyDescent="0.25">
      <c r="A6409" s="6">
        <v>7093</v>
      </c>
      <c r="B6409" s="6">
        <v>50626</v>
      </c>
      <c r="C6409" s="19">
        <v>40106</v>
      </c>
      <c r="D6409" s="6" t="s">
        <v>16</v>
      </c>
      <c r="E6409" s="6">
        <f>IF((ISBLANK($B$1)),"",Sheet1!Q6421)</f>
        <v>4300</v>
      </c>
      <c r="F6409" s="20" t="s">
        <v>29</v>
      </c>
      <c r="G6409" s="53">
        <f t="shared" si="101"/>
        <v>-0.52307078595551704</v>
      </c>
      <c r="H6409" s="35"/>
      <c r="P6409" s="6"/>
    </row>
    <row r="6410" spans="1:16" ht="14.4" x14ac:dyDescent="0.25">
      <c r="A6410" s="6">
        <v>7094</v>
      </c>
      <c r="B6410" s="6">
        <v>50626</v>
      </c>
      <c r="C6410" s="19">
        <v>40106</v>
      </c>
      <c r="D6410" s="6" t="s">
        <v>16</v>
      </c>
      <c r="E6410" s="6">
        <f>IF((ISBLANK($B$1)),"",Sheet1!Q6422)</f>
        <v>5500</v>
      </c>
      <c r="F6410" s="20" t="s">
        <v>27</v>
      </c>
      <c r="G6410" s="53">
        <f t="shared" si="101"/>
        <v>1.1340743412959351</v>
      </c>
      <c r="H6410" s="35"/>
      <c r="P6410" s="6"/>
    </row>
    <row r="6411" spans="1:16" ht="14.4" x14ac:dyDescent="0.25">
      <c r="A6411" s="6">
        <v>7099</v>
      </c>
      <c r="B6411" s="6">
        <v>50657</v>
      </c>
      <c r="C6411" s="19">
        <v>40895</v>
      </c>
      <c r="D6411" s="6" t="s">
        <v>17</v>
      </c>
      <c r="E6411" s="6">
        <f>IF((ISBLANK($B$1)),"",Sheet1!Q6423)</f>
        <v>5400</v>
      </c>
      <c r="F6411" s="20" t="s">
        <v>26</v>
      </c>
      <c r="G6411" s="53">
        <f t="shared" si="101"/>
        <v>0.99597891402498073</v>
      </c>
      <c r="H6411" s="35"/>
      <c r="P6411" s="6"/>
    </row>
    <row r="6412" spans="1:16" ht="14.4" x14ac:dyDescent="0.25">
      <c r="A6412" s="6">
        <v>7100</v>
      </c>
      <c r="B6412" s="6">
        <v>50657</v>
      </c>
      <c r="C6412" s="19">
        <v>40895</v>
      </c>
      <c r="D6412" s="6" t="s">
        <v>17</v>
      </c>
      <c r="E6412" s="6">
        <f>IF((ISBLANK($B$1)),"",Sheet1!Q6424)</f>
        <v>4200</v>
      </c>
      <c r="F6412" s="20" t="s">
        <v>26</v>
      </c>
      <c r="G6412" s="53">
        <f t="shared" si="101"/>
        <v>-0.6611662132264714</v>
      </c>
      <c r="H6412" s="35"/>
      <c r="P6412" s="6"/>
    </row>
    <row r="6413" spans="1:16" ht="14.4" x14ac:dyDescent="0.25">
      <c r="A6413" s="6">
        <v>7101</v>
      </c>
      <c r="B6413" s="6">
        <v>50657</v>
      </c>
      <c r="C6413" s="19">
        <v>40895</v>
      </c>
      <c r="D6413" s="6" t="s">
        <v>17</v>
      </c>
      <c r="E6413" s="6">
        <f>IF((ISBLANK($B$1)),"",Sheet1!Q6425)</f>
        <v>5850</v>
      </c>
      <c r="F6413" s="20" t="s">
        <v>29</v>
      </c>
      <c r="G6413" s="53">
        <f t="shared" si="101"/>
        <v>1.6174083367442753</v>
      </c>
      <c r="H6413" s="35"/>
      <c r="P6413" s="6"/>
    </row>
    <row r="6414" spans="1:16" ht="14.4" x14ac:dyDescent="0.25">
      <c r="A6414" s="6">
        <v>7108</v>
      </c>
      <c r="B6414" s="6">
        <v>50725</v>
      </c>
      <c r="C6414" s="19">
        <v>40505</v>
      </c>
      <c r="D6414" s="6" t="s">
        <v>16</v>
      </c>
      <c r="E6414" s="6">
        <f>IF((ISBLANK($B$1)),"",Sheet1!Q6426)</f>
        <v>4350</v>
      </c>
      <c r="F6414" s="20" t="s">
        <v>27</v>
      </c>
      <c r="G6414" s="53">
        <f t="shared" si="101"/>
        <v>-0.45402307232003986</v>
      </c>
      <c r="H6414" s="35"/>
      <c r="P6414" s="6"/>
    </row>
    <row r="6415" spans="1:16" ht="14.4" x14ac:dyDescent="0.25">
      <c r="A6415" s="6">
        <v>7170</v>
      </c>
      <c r="B6415" s="6">
        <v>51175</v>
      </c>
      <c r="C6415" s="19">
        <v>41135</v>
      </c>
      <c r="D6415" s="6" t="s">
        <v>17</v>
      </c>
      <c r="E6415" s="6">
        <f>IF((ISBLANK($B$1)),"",Sheet1!Q6427)</f>
        <v>4800</v>
      </c>
      <c r="F6415" s="20" t="s">
        <v>26</v>
      </c>
      <c r="G6415" s="53">
        <f t="shared" si="101"/>
        <v>0.16740635039925467</v>
      </c>
      <c r="H6415" s="35"/>
      <c r="P6415" s="6"/>
    </row>
    <row r="6416" spans="1:16" ht="14.4" x14ac:dyDescent="0.25">
      <c r="A6416" s="6">
        <v>7171</v>
      </c>
      <c r="B6416" s="6">
        <v>51175</v>
      </c>
      <c r="C6416" s="19">
        <v>41135</v>
      </c>
      <c r="D6416" s="6" t="s">
        <v>17</v>
      </c>
      <c r="E6416" s="6">
        <f>IF((ISBLANK($B$1)),"",Sheet1!Q6428)</f>
        <v>3550</v>
      </c>
      <c r="F6416" s="20" t="s">
        <v>27</v>
      </c>
      <c r="G6416" s="53">
        <f t="shared" si="101"/>
        <v>-1.5587864904876745</v>
      </c>
      <c r="H6416" s="35"/>
      <c r="P6416" s="6"/>
    </row>
    <row r="6417" spans="1:16" ht="14.4" x14ac:dyDescent="0.25">
      <c r="A6417" s="6">
        <v>7174</v>
      </c>
      <c r="B6417" s="6">
        <v>51202</v>
      </c>
      <c r="C6417" s="19">
        <v>41012</v>
      </c>
      <c r="D6417" s="6" t="s">
        <v>17</v>
      </c>
      <c r="E6417" s="6">
        <f>IF((ISBLANK($B$1)),"",Sheet1!Q6429)</f>
        <v>3600</v>
      </c>
      <c r="F6417" s="20" t="s">
        <v>26</v>
      </c>
      <c r="G6417" s="53">
        <f t="shared" si="101"/>
        <v>-1.4897387768521975</v>
      </c>
      <c r="H6417" s="35"/>
      <c r="P6417" s="6"/>
    </row>
    <row r="6418" spans="1:16" ht="14.4" x14ac:dyDescent="0.25">
      <c r="A6418" s="6">
        <v>7175</v>
      </c>
      <c r="B6418" s="6">
        <v>51202</v>
      </c>
      <c r="C6418" s="19">
        <v>41012</v>
      </c>
      <c r="D6418" s="6" t="s">
        <v>17</v>
      </c>
      <c r="E6418" s="6">
        <f>IF((ISBLANK($B$1)),"",Sheet1!Q6430)</f>
        <v>5100</v>
      </c>
      <c r="F6418" s="20" t="s">
        <v>26</v>
      </c>
      <c r="G6418" s="53">
        <f t="shared" si="101"/>
        <v>0.58169263221211776</v>
      </c>
      <c r="H6418" s="35"/>
      <c r="P6418" s="6"/>
    </row>
    <row r="6419" spans="1:16" ht="14.4" x14ac:dyDescent="0.25">
      <c r="A6419" s="6">
        <v>7213</v>
      </c>
      <c r="B6419" s="6">
        <v>51488</v>
      </c>
      <c r="C6419" s="19">
        <v>40300</v>
      </c>
      <c r="D6419" s="6" t="s">
        <v>17</v>
      </c>
      <c r="E6419" s="6">
        <f>IF((ISBLANK($B$1)),"",Sheet1!Q6431)</f>
        <v>4950</v>
      </c>
      <c r="F6419" s="20" t="s">
        <v>26</v>
      </c>
      <c r="G6419" s="53">
        <f t="shared" si="101"/>
        <v>0.37454949130568621</v>
      </c>
      <c r="H6419" s="35"/>
      <c r="P6419" s="6"/>
    </row>
    <row r="6420" spans="1:16" ht="14.4" x14ac:dyDescent="0.25">
      <c r="A6420" s="6">
        <v>7271</v>
      </c>
      <c r="B6420" s="6">
        <v>51873</v>
      </c>
      <c r="C6420" s="19">
        <v>39939</v>
      </c>
      <c r="D6420" s="6" t="s">
        <v>17</v>
      </c>
      <c r="E6420" s="6">
        <f>IF((ISBLANK($B$1)),"",Sheet1!Q6432)</f>
        <v>4850</v>
      </c>
      <c r="F6420" s="20" t="s">
        <v>26</v>
      </c>
      <c r="G6420" s="53">
        <f t="shared" si="101"/>
        <v>0.23645406403473185</v>
      </c>
      <c r="H6420" s="35"/>
      <c r="P6420" s="6"/>
    </row>
    <row r="6421" spans="1:16" ht="14.4" x14ac:dyDescent="0.25">
      <c r="A6421" s="6">
        <v>7397</v>
      </c>
      <c r="B6421" s="6">
        <v>52711</v>
      </c>
      <c r="C6421" s="19">
        <v>40809</v>
      </c>
      <c r="D6421" s="6" t="s">
        <v>28</v>
      </c>
      <c r="E6421" s="6">
        <f>IF((ISBLANK($B$1)),"",Sheet1!Q6433)</f>
        <v>3750</v>
      </c>
      <c r="F6421" s="20" t="s">
        <v>27</v>
      </c>
      <c r="G6421" s="53">
        <f t="shared" si="101"/>
        <v>-1.282595635945766</v>
      </c>
      <c r="H6421" s="35"/>
      <c r="P6421" s="6"/>
    </row>
    <row r="6422" spans="1:16" ht="14.4" x14ac:dyDescent="0.25">
      <c r="A6422" s="6">
        <v>7398</v>
      </c>
      <c r="B6422" s="6">
        <v>52711</v>
      </c>
      <c r="C6422" s="19">
        <v>40809</v>
      </c>
      <c r="D6422" s="6" t="s">
        <v>28</v>
      </c>
      <c r="E6422" s="6">
        <f>IF((ISBLANK($B$1)),"",Sheet1!Q6434)</f>
        <v>5450</v>
      </c>
      <c r="F6422" s="20" t="s">
        <v>29</v>
      </c>
      <c r="G6422" s="53">
        <f t="shared" si="101"/>
        <v>1.0650266276604579</v>
      </c>
      <c r="H6422" s="35"/>
      <c r="P6422" s="6"/>
    </row>
    <row r="6423" spans="1:16" ht="14.4" x14ac:dyDescent="0.25">
      <c r="A6423" s="6">
        <v>7460</v>
      </c>
      <c r="B6423" s="6">
        <v>53222</v>
      </c>
      <c r="C6423" s="19">
        <v>40105</v>
      </c>
      <c r="D6423" s="6" t="s">
        <v>25</v>
      </c>
      <c r="E6423" s="6">
        <f>IF((ISBLANK($B$1)),"",Sheet1!Q6435)</f>
        <v>3500</v>
      </c>
      <c r="F6423" s="20" t="s">
        <v>26</v>
      </c>
      <c r="G6423" s="53">
        <f t="shared" si="101"/>
        <v>-1.6278342041231517</v>
      </c>
      <c r="H6423" s="35"/>
      <c r="P6423" s="6"/>
    </row>
    <row r="6424" spans="1:16" ht="14.4" x14ac:dyDescent="0.25">
      <c r="A6424" s="6">
        <v>7568</v>
      </c>
      <c r="B6424" s="6">
        <v>54146</v>
      </c>
      <c r="C6424" s="19">
        <v>40469</v>
      </c>
      <c r="D6424" s="6" t="s">
        <v>25</v>
      </c>
      <c r="E6424" s="6">
        <f>IF((ISBLANK($B$1)),"",Sheet1!Q6436)</f>
        <v>3550</v>
      </c>
      <c r="F6424" s="20" t="s">
        <v>27</v>
      </c>
      <c r="G6424" s="53">
        <f t="shared" si="101"/>
        <v>-1.5587864904876745</v>
      </c>
      <c r="H6424" s="35"/>
      <c r="P6424" s="6"/>
    </row>
    <row r="6425" spans="1:16" ht="14.4" x14ac:dyDescent="0.25">
      <c r="A6425" s="6">
        <v>7646</v>
      </c>
      <c r="B6425" s="6">
        <v>54791</v>
      </c>
      <c r="C6425" s="19">
        <v>41263</v>
      </c>
      <c r="D6425" s="6" t="s">
        <v>17</v>
      </c>
      <c r="E6425" s="6">
        <f>IF((ISBLANK($B$1)),"",Sheet1!Q6437)</f>
        <v>4750</v>
      </c>
      <c r="F6425" s="20" t="s">
        <v>29</v>
      </c>
      <c r="G6425" s="53">
        <f t="shared" si="101"/>
        <v>9.8358636763777513E-2</v>
      </c>
      <c r="H6425" s="35"/>
      <c r="P6425" s="6"/>
    </row>
    <row r="6426" spans="1:16" ht="14.4" x14ac:dyDescent="0.25">
      <c r="A6426" s="6">
        <v>7647</v>
      </c>
      <c r="B6426" s="6">
        <v>54791</v>
      </c>
      <c r="C6426" s="19">
        <v>41263</v>
      </c>
      <c r="D6426" s="6" t="s">
        <v>17</v>
      </c>
      <c r="E6426" s="6">
        <f>IF((ISBLANK($B$1)),"",Sheet1!Q6438)</f>
        <v>5500</v>
      </c>
      <c r="F6426" s="20" t="s">
        <v>26</v>
      </c>
      <c r="G6426" s="53">
        <f t="shared" si="101"/>
        <v>1.1340743412959351</v>
      </c>
      <c r="H6426" s="35"/>
      <c r="P6426" s="6"/>
    </row>
    <row r="6427" spans="1:16" ht="14.4" x14ac:dyDescent="0.25">
      <c r="A6427" s="6">
        <v>7723</v>
      </c>
      <c r="B6427" s="6">
        <v>55335</v>
      </c>
      <c r="C6427" s="19">
        <v>41167</v>
      </c>
      <c r="D6427" s="6" t="s">
        <v>28</v>
      </c>
      <c r="E6427" s="6">
        <f>IF((ISBLANK($B$1)),"",Sheet1!Q6439)</f>
        <v>4900</v>
      </c>
      <c r="F6427" s="20" t="s">
        <v>29</v>
      </c>
      <c r="G6427" s="53">
        <f t="shared" si="101"/>
        <v>0.30550177767020903</v>
      </c>
      <c r="H6427" s="35"/>
      <c r="P6427" s="6"/>
    </row>
    <row r="6428" spans="1:16" ht="14.4" x14ac:dyDescent="0.25">
      <c r="A6428" s="6">
        <v>7759</v>
      </c>
      <c r="B6428" s="6">
        <v>55525</v>
      </c>
      <c r="C6428" s="19">
        <v>39941</v>
      </c>
      <c r="D6428" s="6" t="s">
        <v>25</v>
      </c>
      <c r="E6428" s="6">
        <f>IF((ISBLANK($B$1)),"",Sheet1!Q6440)</f>
        <v>3450</v>
      </c>
      <c r="F6428" s="20" t="s">
        <v>27</v>
      </c>
      <c r="G6428" s="53">
        <f t="shared" si="101"/>
        <v>-1.696881917758629</v>
      </c>
      <c r="H6428" s="35"/>
      <c r="P6428" s="6"/>
    </row>
    <row r="6429" spans="1:16" ht="14.4" x14ac:dyDescent="0.25">
      <c r="A6429" s="6">
        <v>7790</v>
      </c>
      <c r="B6429" s="6">
        <v>55746</v>
      </c>
      <c r="C6429" s="19">
        <v>39994</v>
      </c>
      <c r="D6429" s="6" t="s">
        <v>28</v>
      </c>
      <c r="E6429" s="6">
        <f>IF((ISBLANK($B$1)),"",Sheet1!Q6441)</f>
        <v>4850</v>
      </c>
      <c r="F6429" s="20" t="s">
        <v>26</v>
      </c>
      <c r="G6429" s="53">
        <f t="shared" si="101"/>
        <v>0.23645406403473185</v>
      </c>
      <c r="H6429" s="35"/>
      <c r="P6429" s="6"/>
    </row>
    <row r="6430" spans="1:16" ht="14.4" x14ac:dyDescent="0.25">
      <c r="A6430" s="6">
        <v>7967</v>
      </c>
      <c r="B6430" s="6">
        <v>56960</v>
      </c>
      <c r="C6430" s="19">
        <v>40031</v>
      </c>
      <c r="D6430" s="6" t="s">
        <v>17</v>
      </c>
      <c r="E6430" s="6">
        <f>IF((ISBLANK($B$1)),"",Sheet1!Q6442)</f>
        <v>5800</v>
      </c>
      <c r="F6430" s="20" t="s">
        <v>27</v>
      </c>
      <c r="G6430" s="53">
        <f t="shared" si="101"/>
        <v>1.5483606231087981</v>
      </c>
      <c r="H6430" s="35"/>
      <c r="P6430" s="6"/>
    </row>
    <row r="6431" spans="1:16" ht="14.4" x14ac:dyDescent="0.25">
      <c r="A6431" s="6">
        <v>7977</v>
      </c>
      <c r="B6431" s="6">
        <v>57059</v>
      </c>
      <c r="C6431" s="19">
        <v>40695</v>
      </c>
      <c r="D6431" s="6" t="s">
        <v>16</v>
      </c>
      <c r="E6431" s="6">
        <f>IF((ISBLANK($B$1)),"",Sheet1!Q6443)</f>
        <v>5900</v>
      </c>
      <c r="F6431" s="20" t="s">
        <v>26</v>
      </c>
      <c r="G6431" s="53">
        <f t="shared" si="101"/>
        <v>1.6864560503797523</v>
      </c>
      <c r="H6431" s="35"/>
      <c r="P6431" s="6"/>
    </row>
    <row r="6432" spans="1:16" ht="14.4" x14ac:dyDescent="0.25">
      <c r="A6432" s="6">
        <v>7978</v>
      </c>
      <c r="B6432" s="6">
        <v>57059</v>
      </c>
      <c r="C6432" s="19">
        <v>40695</v>
      </c>
      <c r="D6432" s="6" t="s">
        <v>16</v>
      </c>
      <c r="E6432" s="6">
        <f>IF((ISBLANK($B$1)),"",Sheet1!Q6444)</f>
        <v>4650</v>
      </c>
      <c r="F6432" s="20" t="s">
        <v>26</v>
      </c>
      <c r="G6432" s="53">
        <f t="shared" si="101"/>
        <v>-3.9736790507176829E-2</v>
      </c>
      <c r="H6432" s="35"/>
      <c r="P6432" s="6"/>
    </row>
    <row r="6433" spans="1:16" ht="14.4" x14ac:dyDescent="0.25">
      <c r="A6433" s="6">
        <v>8067</v>
      </c>
      <c r="B6433" s="6">
        <v>57568</v>
      </c>
      <c r="C6433" s="19">
        <v>40346</v>
      </c>
      <c r="D6433" s="6" t="s">
        <v>28</v>
      </c>
      <c r="E6433" s="6">
        <f>IF((ISBLANK($B$1)),"",Sheet1!Q6445)</f>
        <v>5300</v>
      </c>
      <c r="F6433" s="20" t="s">
        <v>26</v>
      </c>
      <c r="G6433" s="53">
        <f t="shared" si="101"/>
        <v>0.85788348675402637</v>
      </c>
      <c r="H6433" s="35"/>
      <c r="P6433" s="6"/>
    </row>
    <row r="6434" spans="1:16" ht="14.4" x14ac:dyDescent="0.25">
      <c r="A6434" s="6">
        <v>8100</v>
      </c>
      <c r="B6434" s="6">
        <v>57798</v>
      </c>
      <c r="C6434" s="19">
        <v>41167</v>
      </c>
      <c r="D6434" s="6" t="s">
        <v>17</v>
      </c>
      <c r="E6434" s="6">
        <f>IF((ISBLANK($B$1)),"",Sheet1!Q6446)</f>
        <v>4400</v>
      </c>
      <c r="F6434" s="20" t="s">
        <v>29</v>
      </c>
      <c r="G6434" s="53">
        <f t="shared" si="101"/>
        <v>-0.38497535868456267</v>
      </c>
      <c r="H6434" s="35"/>
      <c r="P6434" s="6"/>
    </row>
    <row r="6435" spans="1:16" ht="14.4" x14ac:dyDescent="0.25">
      <c r="A6435" s="6">
        <v>8147</v>
      </c>
      <c r="B6435" s="6">
        <v>58273</v>
      </c>
      <c r="C6435" s="19">
        <v>40349</v>
      </c>
      <c r="D6435" s="6" t="s">
        <v>17</v>
      </c>
      <c r="E6435" s="6">
        <f>IF((ISBLANK($B$1)),"",Sheet1!Q6447)</f>
        <v>4950</v>
      </c>
      <c r="F6435" s="20" t="s">
        <v>27</v>
      </c>
      <c r="G6435" s="53">
        <f t="shared" si="101"/>
        <v>0.37454949130568621</v>
      </c>
      <c r="H6435" s="35"/>
      <c r="P6435" s="6"/>
    </row>
    <row r="6436" spans="1:16" ht="14.4" x14ac:dyDescent="0.25">
      <c r="A6436" s="6">
        <v>8210</v>
      </c>
      <c r="B6436" s="6">
        <v>58693</v>
      </c>
      <c r="C6436" s="19">
        <v>40107</v>
      </c>
      <c r="D6436" s="6" t="s">
        <v>25</v>
      </c>
      <c r="E6436" s="6">
        <f>IF((ISBLANK($B$1)),"",Sheet1!Q6448)</f>
        <v>5900</v>
      </c>
      <c r="F6436" s="20" t="s">
        <v>26</v>
      </c>
      <c r="G6436" s="53">
        <f t="shared" si="101"/>
        <v>1.6864560503797523</v>
      </c>
      <c r="H6436" s="35"/>
      <c r="P6436" s="6"/>
    </row>
    <row r="6437" spans="1:16" ht="14.4" x14ac:dyDescent="0.25">
      <c r="A6437" s="6">
        <v>8228</v>
      </c>
      <c r="B6437" s="6">
        <v>58818</v>
      </c>
      <c r="C6437" s="19">
        <v>39918</v>
      </c>
      <c r="D6437" s="6" t="s">
        <v>30</v>
      </c>
      <c r="E6437" s="6">
        <f>IF((ISBLANK($B$1)),"",Sheet1!Q6449)</f>
        <v>5450</v>
      </c>
      <c r="F6437" s="20" t="s">
        <v>27</v>
      </c>
      <c r="G6437" s="53">
        <f t="shared" si="101"/>
        <v>1.0650266276604579</v>
      </c>
      <c r="H6437" s="35"/>
      <c r="P6437" s="6"/>
    </row>
    <row r="6438" spans="1:16" ht="14.4" x14ac:dyDescent="0.25">
      <c r="A6438" s="6">
        <v>8229</v>
      </c>
      <c r="B6438" s="6">
        <v>58818</v>
      </c>
      <c r="C6438" s="19">
        <v>39918</v>
      </c>
      <c r="D6438" s="6" t="s">
        <v>30</v>
      </c>
      <c r="E6438" s="6">
        <f>IF((ISBLANK($B$1)),"",Sheet1!Q6450)</f>
        <v>4400</v>
      </c>
      <c r="F6438" s="20" t="s">
        <v>29</v>
      </c>
      <c r="G6438" s="53">
        <f t="shared" si="101"/>
        <v>-0.38497535868456267</v>
      </c>
      <c r="H6438" s="35"/>
      <c r="P6438" s="6"/>
    </row>
    <row r="6439" spans="1:16" ht="14.4" x14ac:dyDescent="0.25">
      <c r="A6439" s="6">
        <v>8277</v>
      </c>
      <c r="B6439" s="6">
        <v>59171</v>
      </c>
      <c r="C6439" s="19">
        <v>40798</v>
      </c>
      <c r="D6439" s="6" t="s">
        <v>16</v>
      </c>
      <c r="E6439" s="6">
        <f>IF((ISBLANK($B$1)),"",Sheet1!Q6451)</f>
        <v>5350</v>
      </c>
      <c r="F6439" s="20" t="s">
        <v>26</v>
      </c>
      <c r="G6439" s="53">
        <f t="shared" si="101"/>
        <v>0.92693120038950361</v>
      </c>
      <c r="H6439" s="35"/>
      <c r="P6439" s="6"/>
    </row>
    <row r="6440" spans="1:16" ht="14.4" x14ac:dyDescent="0.25">
      <c r="A6440" s="6">
        <v>8301</v>
      </c>
      <c r="B6440" s="6">
        <v>59271</v>
      </c>
      <c r="C6440" s="19">
        <v>40658</v>
      </c>
      <c r="D6440" s="6" t="s">
        <v>28</v>
      </c>
      <c r="E6440" s="6">
        <f>IF((ISBLANK($B$1)),"",Sheet1!Q6452)</f>
        <v>5400</v>
      </c>
      <c r="F6440" s="20" t="s">
        <v>26</v>
      </c>
      <c r="G6440" s="53">
        <f t="shared" si="101"/>
        <v>0.99597891402498073</v>
      </c>
      <c r="H6440" s="35"/>
      <c r="P6440" s="6"/>
    </row>
    <row r="6441" spans="1:16" ht="14.4" x14ac:dyDescent="0.25">
      <c r="A6441" s="6">
        <v>8302</v>
      </c>
      <c r="B6441" s="6">
        <v>59271</v>
      </c>
      <c r="C6441" s="19">
        <v>40658</v>
      </c>
      <c r="D6441" s="6" t="s">
        <v>28</v>
      </c>
      <c r="E6441" s="6">
        <f>IF((ISBLANK($B$1)),"",Sheet1!Q6453)</f>
        <v>4550</v>
      </c>
      <c r="F6441" s="20" t="s">
        <v>26</v>
      </c>
      <c r="G6441" s="53">
        <f t="shared" si="101"/>
        <v>-0.17783221777813119</v>
      </c>
      <c r="H6441" s="35"/>
      <c r="P6441" s="6"/>
    </row>
    <row r="6442" spans="1:16" ht="14.4" x14ac:dyDescent="0.25">
      <c r="A6442" s="6">
        <v>8347</v>
      </c>
      <c r="B6442" s="6">
        <v>59680</v>
      </c>
      <c r="C6442" s="19">
        <v>41078</v>
      </c>
      <c r="D6442" s="6" t="s">
        <v>30</v>
      </c>
      <c r="E6442" s="6">
        <f>IF((ISBLANK($B$1)),"",Sheet1!Q6454)</f>
        <v>4150</v>
      </c>
      <c r="F6442" s="20" t="s">
        <v>27</v>
      </c>
      <c r="G6442" s="53">
        <f t="shared" si="101"/>
        <v>-0.73021392686194853</v>
      </c>
      <c r="H6442" s="35"/>
      <c r="P6442" s="6"/>
    </row>
    <row r="6443" spans="1:16" ht="14.4" x14ac:dyDescent="0.25">
      <c r="A6443" s="6">
        <v>17</v>
      </c>
      <c r="B6443" s="6">
        <v>97</v>
      </c>
      <c r="C6443" s="19">
        <v>40206</v>
      </c>
      <c r="D6443" s="6" t="s">
        <v>16</v>
      </c>
      <c r="E6443" s="6">
        <f>IF((ISBLANK($B$1)),"",Sheet1!Q6455)</f>
        <v>4700</v>
      </c>
      <c r="F6443" s="20" t="s">
        <v>26</v>
      </c>
      <c r="G6443" s="53">
        <f t="shared" si="101"/>
        <v>2.9310923128300338E-2</v>
      </c>
      <c r="H6443" s="35"/>
      <c r="P6443" s="6"/>
    </row>
    <row r="6444" spans="1:16" ht="14.4" x14ac:dyDescent="0.25">
      <c r="A6444" s="6">
        <v>54</v>
      </c>
      <c r="B6444" s="6">
        <v>323</v>
      </c>
      <c r="C6444" s="19">
        <v>39897</v>
      </c>
      <c r="D6444" s="6" t="s">
        <v>30</v>
      </c>
      <c r="E6444" s="6">
        <f>IF((ISBLANK($B$1)),"",Sheet1!Q6456)</f>
        <v>4400</v>
      </c>
      <c r="F6444" s="20" t="s">
        <v>26</v>
      </c>
      <c r="G6444" s="53">
        <f t="shared" si="101"/>
        <v>-0.38497535868456267</v>
      </c>
      <c r="H6444" s="35"/>
      <c r="P6444" s="6"/>
    </row>
    <row r="6445" spans="1:16" ht="14.4" x14ac:dyDescent="0.25">
      <c r="A6445" s="6">
        <v>55</v>
      </c>
      <c r="B6445" s="6">
        <v>323</v>
      </c>
      <c r="C6445" s="19">
        <v>39897</v>
      </c>
      <c r="D6445" s="6" t="s">
        <v>30</v>
      </c>
      <c r="E6445" s="6">
        <f>IF((ISBLANK($B$1)),"",Sheet1!Q6457)</f>
        <v>3500</v>
      </c>
      <c r="F6445" s="20" t="s">
        <v>26</v>
      </c>
      <c r="G6445" s="53">
        <f t="shared" si="101"/>
        <v>-1.6278342041231517</v>
      </c>
      <c r="H6445" s="35"/>
      <c r="P6445" s="6"/>
    </row>
    <row r="6446" spans="1:16" ht="14.4" x14ac:dyDescent="0.25">
      <c r="A6446" s="6">
        <v>173</v>
      </c>
      <c r="B6446" s="6">
        <v>1095</v>
      </c>
      <c r="C6446" s="19">
        <v>40776</v>
      </c>
      <c r="D6446" s="6" t="s">
        <v>16</v>
      </c>
      <c r="E6446" s="6">
        <f>IF((ISBLANK($B$1)),"",Sheet1!Q6458)</f>
        <v>4800</v>
      </c>
      <c r="F6446" s="20" t="s">
        <v>26</v>
      </c>
      <c r="G6446" s="53">
        <f t="shared" si="101"/>
        <v>0.16740635039925467</v>
      </c>
      <c r="H6446" s="35"/>
      <c r="P6446" s="6"/>
    </row>
    <row r="6447" spans="1:16" ht="14.4" x14ac:dyDescent="0.25">
      <c r="A6447" s="6">
        <v>367</v>
      </c>
      <c r="B6447" s="6">
        <v>2562</v>
      </c>
      <c r="C6447" s="19">
        <v>41121</v>
      </c>
      <c r="D6447" s="6" t="s">
        <v>30</v>
      </c>
      <c r="E6447" s="6">
        <f>IF((ISBLANK($B$1)),"",Sheet1!Q6459)</f>
        <v>4800</v>
      </c>
      <c r="F6447" s="20" t="s">
        <v>27</v>
      </c>
      <c r="G6447" s="53">
        <f t="shared" si="101"/>
        <v>0.16740635039925467</v>
      </c>
      <c r="H6447" s="35"/>
      <c r="P6447" s="6"/>
    </row>
    <row r="6448" spans="1:16" ht="14.4" x14ac:dyDescent="0.25">
      <c r="A6448" s="6">
        <v>368</v>
      </c>
      <c r="B6448" s="6">
        <v>2562</v>
      </c>
      <c r="C6448" s="19">
        <v>41121</v>
      </c>
      <c r="D6448" s="6" t="s">
        <v>30</v>
      </c>
      <c r="E6448" s="6">
        <f>IF((ISBLANK($B$1)),"",Sheet1!Q6460)</f>
        <v>3700</v>
      </c>
      <c r="F6448" s="20" t="s">
        <v>26</v>
      </c>
      <c r="G6448" s="53">
        <f t="shared" si="101"/>
        <v>-1.351643349581243</v>
      </c>
      <c r="H6448" s="35"/>
      <c r="P6448" s="6"/>
    </row>
    <row r="6449" spans="1:16" ht="14.4" x14ac:dyDescent="0.25">
      <c r="A6449" s="6">
        <v>369</v>
      </c>
      <c r="B6449" s="6">
        <v>2562</v>
      </c>
      <c r="C6449" s="19">
        <v>41121</v>
      </c>
      <c r="D6449" s="6" t="s">
        <v>30</v>
      </c>
      <c r="E6449" s="6">
        <f>IF((ISBLANK($B$1)),"",Sheet1!Q6461)</f>
        <v>4250</v>
      </c>
      <c r="F6449" s="20" t="s">
        <v>26</v>
      </c>
      <c r="G6449" s="53">
        <f t="shared" si="101"/>
        <v>-0.59211849959099416</v>
      </c>
      <c r="H6449" s="35"/>
      <c r="P6449" s="6"/>
    </row>
    <row r="6450" spans="1:16" ht="14.4" x14ac:dyDescent="0.25">
      <c r="A6450" s="6">
        <v>600</v>
      </c>
      <c r="B6450" s="6">
        <v>4099</v>
      </c>
      <c r="C6450" s="19">
        <v>41141</v>
      </c>
      <c r="D6450" s="6" t="s">
        <v>30</v>
      </c>
      <c r="E6450" s="6">
        <f>IF((ISBLANK($B$1)),"",Sheet1!Q6462)</f>
        <v>5500</v>
      </c>
      <c r="F6450" s="20" t="s">
        <v>26</v>
      </c>
      <c r="G6450" s="53">
        <f t="shared" si="101"/>
        <v>1.1340743412959351</v>
      </c>
      <c r="H6450" s="35"/>
      <c r="P6450" s="6"/>
    </row>
    <row r="6451" spans="1:16" ht="14.4" x14ac:dyDescent="0.25">
      <c r="A6451" s="6">
        <v>601</v>
      </c>
      <c r="B6451" s="6">
        <v>4099</v>
      </c>
      <c r="C6451" s="19">
        <v>41141</v>
      </c>
      <c r="D6451" s="6" t="s">
        <v>30</v>
      </c>
      <c r="E6451" s="6">
        <f>IF((ISBLANK($B$1)),"",Sheet1!Q6463)</f>
        <v>4000</v>
      </c>
      <c r="F6451" s="20" t="s">
        <v>26</v>
      </c>
      <c r="G6451" s="53">
        <f t="shared" si="101"/>
        <v>-0.93735706776838001</v>
      </c>
      <c r="H6451" s="35"/>
      <c r="P6451" s="6"/>
    </row>
    <row r="6452" spans="1:16" ht="14.4" x14ac:dyDescent="0.25">
      <c r="A6452" s="6">
        <v>602</v>
      </c>
      <c r="B6452" s="6">
        <v>4099</v>
      </c>
      <c r="C6452" s="19">
        <v>41141</v>
      </c>
      <c r="D6452" s="6" t="s">
        <v>30</v>
      </c>
      <c r="E6452" s="6">
        <f>IF((ISBLANK($B$1)),"",Sheet1!Q6464)</f>
        <v>3600</v>
      </c>
      <c r="F6452" s="20" t="s">
        <v>29</v>
      </c>
      <c r="G6452" s="53">
        <f t="shared" si="101"/>
        <v>-1.4897387768521975</v>
      </c>
      <c r="H6452" s="35"/>
      <c r="P6452" s="6"/>
    </row>
    <row r="6453" spans="1:16" ht="14.4" x14ac:dyDescent="0.25">
      <c r="A6453" s="6">
        <v>603</v>
      </c>
      <c r="B6453" s="6">
        <v>4099</v>
      </c>
      <c r="C6453" s="19">
        <v>41141</v>
      </c>
      <c r="D6453" s="6" t="s">
        <v>30</v>
      </c>
      <c r="E6453" s="6">
        <f>IF((ISBLANK($B$1)),"",Sheet1!Q6465)</f>
        <v>5350</v>
      </c>
      <c r="F6453" s="20" t="s">
        <v>27</v>
      </c>
      <c r="G6453" s="53">
        <f t="shared" si="101"/>
        <v>0.92693120038950361</v>
      </c>
      <c r="H6453" s="35"/>
      <c r="P6453" s="6"/>
    </row>
    <row r="6454" spans="1:16" ht="14.4" x14ac:dyDescent="0.25">
      <c r="A6454" s="6">
        <v>770</v>
      </c>
      <c r="B6454" s="6">
        <v>5509</v>
      </c>
      <c r="C6454" s="19">
        <v>39910</v>
      </c>
      <c r="D6454" s="6" t="s">
        <v>25</v>
      </c>
      <c r="E6454" s="6">
        <f>IF((ISBLANK($B$1)),"",Sheet1!Q6466)</f>
        <v>3950</v>
      </c>
      <c r="F6454" s="20" t="s">
        <v>26</v>
      </c>
      <c r="G6454" s="53">
        <f t="shared" si="101"/>
        <v>-1.0064047814038573</v>
      </c>
      <c r="H6454" s="35"/>
      <c r="P6454" s="6"/>
    </row>
    <row r="6455" spans="1:16" ht="14.4" x14ac:dyDescent="0.25">
      <c r="A6455" s="6">
        <v>771</v>
      </c>
      <c r="B6455" s="6">
        <v>5509</v>
      </c>
      <c r="C6455" s="19">
        <v>39910</v>
      </c>
      <c r="D6455" s="6" t="s">
        <v>25</v>
      </c>
      <c r="E6455" s="6">
        <f>IF((ISBLANK($B$1)),"",Sheet1!Q6467)</f>
        <v>4450</v>
      </c>
      <c r="F6455" s="20" t="s">
        <v>29</v>
      </c>
      <c r="G6455" s="53">
        <f t="shared" si="101"/>
        <v>-0.31592764504908549</v>
      </c>
      <c r="H6455" s="35"/>
      <c r="P6455" s="6"/>
    </row>
    <row r="6456" spans="1:16" ht="14.4" x14ac:dyDescent="0.25">
      <c r="A6456" s="6">
        <v>1107</v>
      </c>
      <c r="B6456" s="6">
        <v>8132</v>
      </c>
      <c r="C6456" s="19">
        <v>39947</v>
      </c>
      <c r="D6456" s="6" t="s">
        <v>25</v>
      </c>
      <c r="E6456" s="6">
        <f>IF((ISBLANK($B$1)),"",Sheet1!Q6468)</f>
        <v>5700</v>
      </c>
      <c r="F6456" s="20" t="s">
        <v>27</v>
      </c>
      <c r="G6456" s="53">
        <f t="shared" si="101"/>
        <v>1.4102651958378438</v>
      </c>
      <c r="H6456" s="35"/>
      <c r="P6456" s="6"/>
    </row>
    <row r="6457" spans="1:16" ht="14.4" x14ac:dyDescent="0.25">
      <c r="A6457" s="6">
        <v>1108</v>
      </c>
      <c r="B6457" s="6">
        <v>8132</v>
      </c>
      <c r="C6457" s="19">
        <v>39947</v>
      </c>
      <c r="D6457" s="6" t="s">
        <v>25</v>
      </c>
      <c r="E6457" s="6">
        <f>IF((ISBLANK($B$1)),"",Sheet1!Q6469)</f>
        <v>5650</v>
      </c>
      <c r="F6457" s="20" t="s">
        <v>26</v>
      </c>
      <c r="G6457" s="53">
        <f t="shared" si="101"/>
        <v>1.3412174822023666</v>
      </c>
      <c r="H6457" s="35"/>
      <c r="P6457" s="6"/>
    </row>
    <row r="6458" spans="1:16" ht="14.4" x14ac:dyDescent="0.25">
      <c r="A6458" s="6">
        <v>1209</v>
      </c>
      <c r="B6458" s="6">
        <v>8868</v>
      </c>
      <c r="C6458" s="19">
        <v>39841</v>
      </c>
      <c r="D6458" s="6" t="s">
        <v>25</v>
      </c>
      <c r="E6458" s="6">
        <f>IF((ISBLANK($B$1)),"",Sheet1!Q6470)</f>
        <v>3550</v>
      </c>
      <c r="F6458" s="20" t="s">
        <v>26</v>
      </c>
      <c r="G6458" s="53">
        <f t="shared" si="101"/>
        <v>-1.5587864904876745</v>
      </c>
      <c r="H6458" s="35"/>
      <c r="P6458" s="6"/>
    </row>
    <row r="6459" spans="1:16" ht="14.4" x14ac:dyDescent="0.25">
      <c r="A6459" s="6">
        <v>1210</v>
      </c>
      <c r="B6459" s="6">
        <v>8868</v>
      </c>
      <c r="C6459" s="19">
        <v>39841</v>
      </c>
      <c r="D6459" s="6" t="s">
        <v>25</v>
      </c>
      <c r="E6459" s="6">
        <f>IF((ISBLANK($B$1)),"",Sheet1!Q6471)</f>
        <v>5100</v>
      </c>
      <c r="F6459" s="20" t="s">
        <v>26</v>
      </c>
      <c r="G6459" s="53">
        <f t="shared" si="101"/>
        <v>0.58169263221211776</v>
      </c>
      <c r="H6459" s="35"/>
      <c r="P6459" s="6"/>
    </row>
    <row r="6460" spans="1:16" ht="14.4" x14ac:dyDescent="0.25">
      <c r="A6460" s="6">
        <v>1351</v>
      </c>
      <c r="B6460" s="6">
        <v>9857</v>
      </c>
      <c r="C6460" s="19">
        <v>40309</v>
      </c>
      <c r="D6460" s="6" t="s">
        <v>17</v>
      </c>
      <c r="E6460" s="6">
        <f>IF((ISBLANK($B$1)),"",Sheet1!Q6472)</f>
        <v>5900</v>
      </c>
      <c r="F6460" s="20" t="s">
        <v>27</v>
      </c>
      <c r="G6460" s="53">
        <f t="shared" si="101"/>
        <v>1.6864560503797523</v>
      </c>
      <c r="H6460" s="35"/>
      <c r="P6460" s="6"/>
    </row>
    <row r="6461" spans="1:16" ht="14.4" x14ac:dyDescent="0.25">
      <c r="A6461" s="6">
        <v>1407</v>
      </c>
      <c r="B6461" s="6">
        <v>10213</v>
      </c>
      <c r="C6461" s="19">
        <v>40591</v>
      </c>
      <c r="D6461" s="6" t="s">
        <v>17</v>
      </c>
      <c r="E6461" s="6">
        <f>IF((ISBLANK($B$1)),"",Sheet1!Q6473)</f>
        <v>4000</v>
      </c>
      <c r="F6461" s="20" t="s">
        <v>27</v>
      </c>
      <c r="G6461" s="53">
        <f t="shared" si="101"/>
        <v>-0.93735706776838001</v>
      </c>
      <c r="H6461" s="35"/>
      <c r="P6461" s="6"/>
    </row>
    <row r="6462" spans="1:16" ht="14.4" x14ac:dyDescent="0.25">
      <c r="A6462" s="6">
        <v>1505</v>
      </c>
      <c r="B6462" s="6">
        <v>10884</v>
      </c>
      <c r="C6462" s="19">
        <v>40142</v>
      </c>
      <c r="D6462" s="6" t="s">
        <v>25</v>
      </c>
      <c r="E6462" s="6">
        <f>IF((ISBLANK($B$1)),"",Sheet1!Q6474)</f>
        <v>4600</v>
      </c>
      <c r="F6462" s="20" t="s">
        <v>27</v>
      </c>
      <c r="G6462" s="53">
        <f t="shared" si="101"/>
        <v>-0.108784504142654</v>
      </c>
      <c r="H6462" s="35"/>
      <c r="P6462" s="6"/>
    </row>
    <row r="6463" spans="1:16" ht="14.4" x14ac:dyDescent="0.25">
      <c r="A6463" s="6">
        <v>1638</v>
      </c>
      <c r="B6463" s="6">
        <v>11843</v>
      </c>
      <c r="C6463" s="19">
        <v>40011</v>
      </c>
      <c r="D6463" s="6" t="s">
        <v>16</v>
      </c>
      <c r="E6463" s="6">
        <f>IF((ISBLANK($B$1)),"",Sheet1!Q6475)</f>
        <v>5500</v>
      </c>
      <c r="F6463" s="20" t="s">
        <v>27</v>
      </c>
      <c r="G6463" s="53">
        <f t="shared" si="101"/>
        <v>1.1340743412959351</v>
      </c>
      <c r="H6463" s="35"/>
      <c r="P6463" s="6"/>
    </row>
    <row r="6464" spans="1:16" ht="14.4" x14ac:dyDescent="0.25">
      <c r="A6464" s="6">
        <v>1639</v>
      </c>
      <c r="B6464" s="6">
        <v>11843</v>
      </c>
      <c r="C6464" s="19">
        <v>40011</v>
      </c>
      <c r="D6464" s="6" t="s">
        <v>16</v>
      </c>
      <c r="E6464" s="6">
        <f>IF((ISBLANK($B$1)),"",Sheet1!Q6476)</f>
        <v>3850</v>
      </c>
      <c r="F6464" s="20" t="s">
        <v>27</v>
      </c>
      <c r="G6464" s="53">
        <f t="shared" si="101"/>
        <v>-1.1445002086748115</v>
      </c>
      <c r="H6464" s="35"/>
      <c r="P6464" s="6"/>
    </row>
    <row r="6465" spans="1:16" ht="14.4" x14ac:dyDescent="0.25">
      <c r="A6465" s="6">
        <v>1679</v>
      </c>
      <c r="B6465" s="6">
        <v>12099</v>
      </c>
      <c r="C6465" s="19">
        <v>40067</v>
      </c>
      <c r="D6465" s="6" t="s">
        <v>30</v>
      </c>
      <c r="E6465" s="6">
        <f>IF((ISBLANK($B$1)),"",Sheet1!Q6477)</f>
        <v>3450</v>
      </c>
      <c r="F6465" s="20" t="s">
        <v>26</v>
      </c>
      <c r="G6465" s="53">
        <f t="shared" si="101"/>
        <v>-1.696881917758629</v>
      </c>
      <c r="H6465" s="35"/>
      <c r="P6465" s="6"/>
    </row>
    <row r="6466" spans="1:16" ht="14.4" x14ac:dyDescent="0.25">
      <c r="A6466" s="6">
        <v>1680</v>
      </c>
      <c r="B6466" s="6">
        <v>12099</v>
      </c>
      <c r="C6466" s="19">
        <v>40067</v>
      </c>
      <c r="D6466" s="6" t="s">
        <v>30</v>
      </c>
      <c r="E6466" s="6">
        <f>IF((ISBLANK($B$1)),"",Sheet1!Q6478)</f>
        <v>5800</v>
      </c>
      <c r="F6466" s="20" t="s">
        <v>26</v>
      </c>
      <c r="G6466" s="53">
        <f t="shared" si="101"/>
        <v>1.5483606231087981</v>
      </c>
      <c r="H6466" s="35"/>
      <c r="P6466" s="6"/>
    </row>
    <row r="6467" spans="1:16" ht="14.4" x14ac:dyDescent="0.25">
      <c r="A6467" s="6">
        <v>1726</v>
      </c>
      <c r="B6467" s="6">
        <v>12418</v>
      </c>
      <c r="C6467" s="19">
        <v>40957</v>
      </c>
      <c r="D6467" s="6" t="s">
        <v>28</v>
      </c>
      <c r="E6467" s="6">
        <f>IF((ISBLANK($B$1)),"",Sheet1!Q6479)</f>
        <v>5300</v>
      </c>
      <c r="F6467" s="20" t="s">
        <v>26</v>
      </c>
      <c r="G6467" s="53">
        <f t="shared" si="101"/>
        <v>0.85788348675402637</v>
      </c>
      <c r="H6467" s="35"/>
      <c r="P6467" s="6"/>
    </row>
    <row r="6468" spans="1:16" ht="14.4" x14ac:dyDescent="0.25">
      <c r="A6468" s="6">
        <v>1944</v>
      </c>
      <c r="B6468" s="6">
        <v>13923</v>
      </c>
      <c r="C6468" s="19">
        <v>41098</v>
      </c>
      <c r="D6468" s="6" t="s">
        <v>17</v>
      </c>
      <c r="E6468" s="6">
        <f>IF((ISBLANK($B$1)),"",Sheet1!Q6480)</f>
        <v>5350</v>
      </c>
      <c r="F6468" s="20" t="s">
        <v>26</v>
      </c>
      <c r="G6468" s="53">
        <f t="shared" si="101"/>
        <v>0.92693120038950361</v>
      </c>
      <c r="H6468" s="35"/>
      <c r="P6468" s="6"/>
    </row>
    <row r="6469" spans="1:16" ht="14.4" x14ac:dyDescent="0.25">
      <c r="A6469" s="6">
        <v>1945</v>
      </c>
      <c r="B6469" s="6">
        <v>13923</v>
      </c>
      <c r="C6469" s="19">
        <v>41098</v>
      </c>
      <c r="D6469" s="6" t="s">
        <v>17</v>
      </c>
      <c r="E6469" s="6">
        <f>IF((ISBLANK($B$1)),"",Sheet1!Q6481)</f>
        <v>5850</v>
      </c>
      <c r="F6469" s="20" t="s">
        <v>26</v>
      </c>
      <c r="G6469" s="53">
        <f t="shared" si="101"/>
        <v>1.6174083367442753</v>
      </c>
      <c r="H6469" s="35"/>
      <c r="P6469" s="6"/>
    </row>
    <row r="6470" spans="1:16" ht="14.4" x14ac:dyDescent="0.25">
      <c r="A6470" s="6">
        <v>1946</v>
      </c>
      <c r="B6470" s="6">
        <v>13923</v>
      </c>
      <c r="C6470" s="19">
        <v>41098</v>
      </c>
      <c r="D6470" s="6" t="s">
        <v>17</v>
      </c>
      <c r="E6470" s="6">
        <f>IF((ISBLANK($B$1)),"",Sheet1!Q6482)</f>
        <v>4750</v>
      </c>
      <c r="F6470" s="20" t="s">
        <v>26</v>
      </c>
      <c r="G6470" s="53">
        <f t="shared" si="101"/>
        <v>9.8358636763777513E-2</v>
      </c>
      <c r="H6470" s="35"/>
      <c r="P6470" s="6"/>
    </row>
    <row r="6471" spans="1:16" ht="14.4" x14ac:dyDescent="0.25">
      <c r="A6471" s="6">
        <v>2028</v>
      </c>
      <c r="B6471" s="6">
        <v>14439</v>
      </c>
      <c r="C6471" s="19">
        <v>41151</v>
      </c>
      <c r="D6471" s="6" t="s">
        <v>17</v>
      </c>
      <c r="E6471" s="6">
        <f>IF((ISBLANK($B$1)),"",Sheet1!Q6483)</f>
        <v>4750</v>
      </c>
      <c r="F6471" s="20" t="s">
        <v>26</v>
      </c>
      <c r="G6471" s="53">
        <f t="shared" si="101"/>
        <v>9.8358636763777513E-2</v>
      </c>
      <c r="H6471" s="35"/>
      <c r="P6471" s="6"/>
    </row>
    <row r="6472" spans="1:16" ht="14.4" x14ac:dyDescent="0.25">
      <c r="A6472" s="6">
        <v>2310</v>
      </c>
      <c r="B6472" s="6">
        <v>16643</v>
      </c>
      <c r="C6472" s="19">
        <v>40279</v>
      </c>
      <c r="D6472" s="6" t="s">
        <v>25</v>
      </c>
      <c r="E6472" s="6">
        <f>IF((ISBLANK($B$1)),"",Sheet1!Q6484)</f>
        <v>5400</v>
      </c>
      <c r="F6472" s="20" t="s">
        <v>26</v>
      </c>
      <c r="G6472" s="53">
        <f t="shared" ref="G6472:G6535" si="102">STANDARDIZE(E6472,$L$26,$L$35)</f>
        <v>0.99597891402498073</v>
      </c>
      <c r="H6472" s="35"/>
      <c r="P6472" s="6"/>
    </row>
    <row r="6473" spans="1:16" ht="14.4" x14ac:dyDescent="0.25">
      <c r="A6473" s="6">
        <v>2311</v>
      </c>
      <c r="B6473" s="6">
        <v>16643</v>
      </c>
      <c r="C6473" s="19">
        <v>40279</v>
      </c>
      <c r="D6473" s="6" t="s">
        <v>25</v>
      </c>
      <c r="E6473" s="6">
        <f>IF((ISBLANK($B$1)),"",Sheet1!Q6485)</f>
        <v>5700</v>
      </c>
      <c r="F6473" s="20" t="s">
        <v>26</v>
      </c>
      <c r="G6473" s="53">
        <f t="shared" si="102"/>
        <v>1.4102651958378438</v>
      </c>
      <c r="H6473" s="35"/>
      <c r="P6473" s="6"/>
    </row>
    <row r="6474" spans="1:16" ht="14.4" x14ac:dyDescent="0.25">
      <c r="A6474" s="6">
        <v>2337</v>
      </c>
      <c r="B6474" s="6">
        <v>16807</v>
      </c>
      <c r="C6474" s="19">
        <v>40923</v>
      </c>
      <c r="D6474" s="6" t="s">
        <v>16</v>
      </c>
      <c r="E6474" s="6">
        <f>IF((ISBLANK($B$1)),"",Sheet1!Q6486)</f>
        <v>5800</v>
      </c>
      <c r="F6474" s="20" t="s">
        <v>26</v>
      </c>
      <c r="G6474" s="53">
        <f t="shared" si="102"/>
        <v>1.5483606231087981</v>
      </c>
      <c r="H6474" s="35"/>
      <c r="P6474" s="6"/>
    </row>
    <row r="6475" spans="1:16" ht="14.4" x14ac:dyDescent="0.25">
      <c r="A6475" s="6">
        <v>2338</v>
      </c>
      <c r="B6475" s="6">
        <v>16807</v>
      </c>
      <c r="C6475" s="19">
        <v>40923</v>
      </c>
      <c r="D6475" s="6" t="s">
        <v>16</v>
      </c>
      <c r="E6475" s="6">
        <f>IF((ISBLANK($B$1)),"",Sheet1!Q6487)</f>
        <v>4900</v>
      </c>
      <c r="F6475" s="20" t="s">
        <v>26</v>
      </c>
      <c r="G6475" s="53">
        <f t="shared" si="102"/>
        <v>0.30550177767020903</v>
      </c>
      <c r="H6475" s="35"/>
      <c r="P6475" s="6"/>
    </row>
    <row r="6476" spans="1:16" ht="14.4" x14ac:dyDescent="0.25">
      <c r="A6476" s="6">
        <v>2342</v>
      </c>
      <c r="B6476" s="6">
        <v>16864</v>
      </c>
      <c r="C6476" s="19">
        <v>41211</v>
      </c>
      <c r="D6476" s="6" t="s">
        <v>28</v>
      </c>
      <c r="E6476" s="6">
        <f>IF((ISBLANK($B$1)),"",Sheet1!Q6488)</f>
        <v>5500</v>
      </c>
      <c r="F6476" s="20" t="s">
        <v>29</v>
      </c>
      <c r="G6476" s="53">
        <f t="shared" si="102"/>
        <v>1.1340743412959351</v>
      </c>
      <c r="H6476" s="35"/>
      <c r="P6476" s="6"/>
    </row>
    <row r="6477" spans="1:16" ht="14.4" x14ac:dyDescent="0.25">
      <c r="A6477" s="6">
        <v>2494</v>
      </c>
      <c r="B6477" s="6">
        <v>18147</v>
      </c>
      <c r="C6477" s="19">
        <v>40011</v>
      </c>
      <c r="D6477" s="6" t="s">
        <v>28</v>
      </c>
      <c r="E6477" s="6">
        <f>IF((ISBLANK($B$1)),"",Sheet1!Q6489)</f>
        <v>5500</v>
      </c>
      <c r="F6477" s="20" t="s">
        <v>26</v>
      </c>
      <c r="G6477" s="53">
        <f t="shared" si="102"/>
        <v>1.1340743412959351</v>
      </c>
      <c r="H6477" s="35"/>
      <c r="P6477" s="6"/>
    </row>
    <row r="6478" spans="1:16" ht="14.4" x14ac:dyDescent="0.25">
      <c r="A6478" s="6">
        <v>2495</v>
      </c>
      <c r="B6478" s="6">
        <v>18147</v>
      </c>
      <c r="C6478" s="19">
        <v>40011</v>
      </c>
      <c r="D6478" s="6" t="s">
        <v>28</v>
      </c>
      <c r="E6478" s="6">
        <f>IF((ISBLANK($B$1)),"",Sheet1!Q6490)</f>
        <v>5900</v>
      </c>
      <c r="F6478" s="20" t="s">
        <v>26</v>
      </c>
      <c r="G6478" s="53">
        <f t="shared" si="102"/>
        <v>1.6864560503797523</v>
      </c>
      <c r="H6478" s="35"/>
      <c r="P6478" s="6"/>
    </row>
    <row r="6479" spans="1:16" ht="14.4" x14ac:dyDescent="0.25">
      <c r="A6479" s="6">
        <v>2617</v>
      </c>
      <c r="B6479" s="6">
        <v>18918</v>
      </c>
      <c r="C6479" s="19">
        <v>41209</v>
      </c>
      <c r="D6479" s="6" t="s">
        <v>28</v>
      </c>
      <c r="E6479" s="6">
        <f>IF((ISBLANK($B$1)),"",Sheet1!Q6491)</f>
        <v>3750</v>
      </c>
      <c r="F6479" s="20" t="s">
        <v>27</v>
      </c>
      <c r="G6479" s="53">
        <f t="shared" si="102"/>
        <v>-1.282595635945766</v>
      </c>
      <c r="H6479" s="35"/>
      <c r="P6479" s="6"/>
    </row>
    <row r="6480" spans="1:16" ht="14.4" x14ac:dyDescent="0.25">
      <c r="A6480" s="6">
        <v>2618</v>
      </c>
      <c r="B6480" s="6">
        <v>18919</v>
      </c>
      <c r="C6480" s="19">
        <v>39992</v>
      </c>
      <c r="D6480" s="6" t="s">
        <v>25</v>
      </c>
      <c r="E6480" s="6">
        <f>IF((ISBLANK($B$1)),"",Sheet1!Q6492)</f>
        <v>5350</v>
      </c>
      <c r="F6480" s="20" t="s">
        <v>26</v>
      </c>
      <c r="G6480" s="53">
        <f t="shared" si="102"/>
        <v>0.92693120038950361</v>
      </c>
      <c r="H6480" s="35"/>
      <c r="P6480" s="6"/>
    </row>
    <row r="6481" spans="1:16" ht="14.4" x14ac:dyDescent="0.25">
      <c r="A6481" s="6">
        <v>2638</v>
      </c>
      <c r="B6481" s="6">
        <v>19104</v>
      </c>
      <c r="C6481" s="19">
        <v>40400</v>
      </c>
      <c r="D6481" s="6" t="s">
        <v>17</v>
      </c>
      <c r="E6481" s="6">
        <f>IF((ISBLANK($B$1)),"",Sheet1!Q6493)</f>
        <v>5800</v>
      </c>
      <c r="F6481" s="20" t="s">
        <v>27</v>
      </c>
      <c r="G6481" s="53">
        <f t="shared" si="102"/>
        <v>1.5483606231087981</v>
      </c>
      <c r="H6481" s="35"/>
      <c r="P6481" s="6"/>
    </row>
    <row r="6482" spans="1:16" ht="14.4" x14ac:dyDescent="0.25">
      <c r="A6482" s="6">
        <v>2659</v>
      </c>
      <c r="B6482" s="6">
        <v>19207</v>
      </c>
      <c r="C6482" s="19">
        <v>40983</v>
      </c>
      <c r="D6482" s="6" t="s">
        <v>28</v>
      </c>
      <c r="E6482" s="6">
        <f>IF((ISBLANK($B$1)),"",Sheet1!Q6494)</f>
        <v>4550</v>
      </c>
      <c r="F6482" s="20" t="s">
        <v>26</v>
      </c>
      <c r="G6482" s="53">
        <f t="shared" si="102"/>
        <v>-0.17783221777813119</v>
      </c>
      <c r="H6482" s="35"/>
      <c r="P6482" s="6"/>
    </row>
    <row r="6483" spans="1:16" ht="14.4" x14ac:dyDescent="0.25">
      <c r="A6483" s="6">
        <v>2660</v>
      </c>
      <c r="B6483" s="6">
        <v>19207</v>
      </c>
      <c r="C6483" s="19">
        <v>40983</v>
      </c>
      <c r="D6483" s="6" t="s">
        <v>28</v>
      </c>
      <c r="E6483" s="6">
        <f>IF((ISBLANK($B$1)),"",Sheet1!Q6495)</f>
        <v>3950</v>
      </c>
      <c r="F6483" s="20" t="s">
        <v>26</v>
      </c>
      <c r="G6483" s="53">
        <f t="shared" si="102"/>
        <v>-1.0064047814038573</v>
      </c>
      <c r="H6483" s="35"/>
      <c r="P6483" s="6"/>
    </row>
    <row r="6484" spans="1:16" ht="14.4" x14ac:dyDescent="0.25">
      <c r="A6484" s="6">
        <v>2747</v>
      </c>
      <c r="B6484" s="6">
        <v>19840</v>
      </c>
      <c r="C6484" s="19">
        <v>40322</v>
      </c>
      <c r="D6484" s="6" t="s">
        <v>30</v>
      </c>
      <c r="E6484" s="6">
        <f>IF((ISBLANK($B$1)),"",Sheet1!Q6496)</f>
        <v>4650</v>
      </c>
      <c r="F6484" s="20" t="s">
        <v>27</v>
      </c>
      <c r="G6484" s="53">
        <f t="shared" si="102"/>
        <v>-3.9736790507176829E-2</v>
      </c>
      <c r="H6484" s="35"/>
      <c r="P6484" s="6"/>
    </row>
    <row r="6485" spans="1:16" ht="14.4" x14ac:dyDescent="0.25">
      <c r="A6485" s="6">
        <v>2760</v>
      </c>
      <c r="B6485" s="6">
        <v>19943</v>
      </c>
      <c r="C6485" s="19">
        <v>40141</v>
      </c>
      <c r="D6485" s="6" t="s">
        <v>30</v>
      </c>
      <c r="E6485" s="6">
        <f>IF((ISBLANK($B$1)),"",Sheet1!Q6497)</f>
        <v>4200</v>
      </c>
      <c r="F6485" s="20" t="s">
        <v>29</v>
      </c>
      <c r="G6485" s="53">
        <f t="shared" si="102"/>
        <v>-0.6611662132264714</v>
      </c>
      <c r="H6485" s="35"/>
      <c r="P6485" s="6"/>
    </row>
    <row r="6486" spans="1:16" ht="14.4" x14ac:dyDescent="0.25">
      <c r="A6486" s="6">
        <v>2765</v>
      </c>
      <c r="B6486" s="6">
        <v>20002</v>
      </c>
      <c r="C6486" s="19">
        <v>41133</v>
      </c>
      <c r="D6486" s="6" t="s">
        <v>16</v>
      </c>
      <c r="E6486" s="6">
        <f>IF((ISBLANK($B$1)),"",Sheet1!Q6498)</f>
        <v>3850</v>
      </c>
      <c r="F6486" s="20" t="s">
        <v>27</v>
      </c>
      <c r="G6486" s="53">
        <f t="shared" si="102"/>
        <v>-1.1445002086748115</v>
      </c>
      <c r="H6486" s="35"/>
      <c r="P6486" s="6"/>
    </row>
    <row r="6487" spans="1:16" ht="14.4" x14ac:dyDescent="0.25">
      <c r="A6487" s="6">
        <v>2778</v>
      </c>
      <c r="B6487" s="6">
        <v>20066</v>
      </c>
      <c r="C6487" s="19">
        <v>41154</v>
      </c>
      <c r="D6487" s="6" t="s">
        <v>30</v>
      </c>
      <c r="E6487" s="6">
        <f>IF((ISBLANK($B$1)),"",Sheet1!Q6499)</f>
        <v>3550</v>
      </c>
      <c r="F6487" s="20" t="s">
        <v>26</v>
      </c>
      <c r="G6487" s="53">
        <f t="shared" si="102"/>
        <v>-1.5587864904876745</v>
      </c>
      <c r="H6487" s="35"/>
      <c r="P6487" s="6"/>
    </row>
    <row r="6488" spans="1:16" ht="14.4" x14ac:dyDescent="0.25">
      <c r="A6488" s="6">
        <v>2779</v>
      </c>
      <c r="B6488" s="6">
        <v>20066</v>
      </c>
      <c r="C6488" s="19">
        <v>41154</v>
      </c>
      <c r="D6488" s="6" t="s">
        <v>30</v>
      </c>
      <c r="E6488" s="6">
        <f>IF((ISBLANK($B$1)),"",Sheet1!Q6500)</f>
        <v>4200</v>
      </c>
      <c r="F6488" s="20" t="s">
        <v>26</v>
      </c>
      <c r="G6488" s="53">
        <f t="shared" si="102"/>
        <v>-0.6611662132264714</v>
      </c>
      <c r="H6488" s="35"/>
      <c r="P6488" s="6"/>
    </row>
    <row r="6489" spans="1:16" ht="14.4" x14ac:dyDescent="0.25">
      <c r="A6489" s="6">
        <v>2859</v>
      </c>
      <c r="B6489" s="6">
        <v>20615</v>
      </c>
      <c r="C6489" s="19">
        <v>41014</v>
      </c>
      <c r="D6489" s="6" t="s">
        <v>16</v>
      </c>
      <c r="E6489" s="6">
        <f>IF((ISBLANK($B$1)),"",Sheet1!Q6501)</f>
        <v>4850</v>
      </c>
      <c r="F6489" s="20" t="s">
        <v>26</v>
      </c>
      <c r="G6489" s="53">
        <f t="shared" si="102"/>
        <v>0.23645406403473185</v>
      </c>
      <c r="H6489" s="35"/>
      <c r="P6489" s="6"/>
    </row>
    <row r="6490" spans="1:16" ht="14.4" x14ac:dyDescent="0.25">
      <c r="A6490" s="6">
        <v>2892</v>
      </c>
      <c r="B6490" s="6">
        <v>20864</v>
      </c>
      <c r="C6490" s="19">
        <v>40883</v>
      </c>
      <c r="D6490" s="6" t="s">
        <v>17</v>
      </c>
      <c r="E6490" s="6">
        <f>IF((ISBLANK($B$1)),"",Sheet1!Q6502)</f>
        <v>4350</v>
      </c>
      <c r="F6490" s="20" t="s">
        <v>29</v>
      </c>
      <c r="G6490" s="53">
        <f t="shared" si="102"/>
        <v>-0.45402307232003986</v>
      </c>
      <c r="H6490" s="35"/>
      <c r="P6490" s="6"/>
    </row>
    <row r="6491" spans="1:16" ht="14.4" x14ac:dyDescent="0.25">
      <c r="A6491" s="6">
        <v>2893</v>
      </c>
      <c r="B6491" s="6">
        <v>20868</v>
      </c>
      <c r="C6491" s="19">
        <v>40460</v>
      </c>
      <c r="D6491" s="6" t="s">
        <v>25</v>
      </c>
      <c r="E6491" s="6">
        <f>IF((ISBLANK($B$1)),"",Sheet1!Q6503)</f>
        <v>3850</v>
      </c>
      <c r="F6491" s="20" t="s">
        <v>26</v>
      </c>
      <c r="G6491" s="53">
        <f t="shared" si="102"/>
        <v>-1.1445002086748115</v>
      </c>
      <c r="H6491" s="35"/>
      <c r="P6491" s="6"/>
    </row>
    <row r="6492" spans="1:16" ht="14.4" x14ac:dyDescent="0.25">
      <c r="A6492" s="6">
        <v>2983</v>
      </c>
      <c r="B6492" s="6">
        <v>21541</v>
      </c>
      <c r="C6492" s="19">
        <v>40094</v>
      </c>
      <c r="D6492" s="6" t="s">
        <v>28</v>
      </c>
      <c r="E6492" s="6">
        <f>IF((ISBLANK($B$1)),"",Sheet1!Q6504)</f>
        <v>5550</v>
      </c>
      <c r="F6492" s="20" t="s">
        <v>29</v>
      </c>
      <c r="G6492" s="53">
        <f t="shared" si="102"/>
        <v>1.2031220549314123</v>
      </c>
      <c r="H6492" s="35"/>
      <c r="P6492" s="6"/>
    </row>
    <row r="6493" spans="1:16" ht="14.4" x14ac:dyDescent="0.25">
      <c r="A6493" s="6">
        <v>3158</v>
      </c>
      <c r="B6493" s="6">
        <v>22661</v>
      </c>
      <c r="C6493" s="19">
        <v>40447</v>
      </c>
      <c r="D6493" s="6" t="s">
        <v>28</v>
      </c>
      <c r="E6493" s="6">
        <f>IF((ISBLANK($B$1)),"",Sheet1!Q6505)</f>
        <v>3950</v>
      </c>
      <c r="F6493" s="20" t="s">
        <v>26</v>
      </c>
      <c r="G6493" s="53">
        <f t="shared" si="102"/>
        <v>-1.0064047814038573</v>
      </c>
      <c r="H6493" s="35"/>
      <c r="P6493" s="6"/>
    </row>
    <row r="6494" spans="1:16" ht="14.4" x14ac:dyDescent="0.25">
      <c r="A6494" s="6">
        <v>3162</v>
      </c>
      <c r="B6494" s="6">
        <v>22689</v>
      </c>
      <c r="C6494" s="19">
        <v>40825</v>
      </c>
      <c r="D6494" s="6" t="s">
        <v>25</v>
      </c>
      <c r="E6494" s="6">
        <f>IF((ISBLANK($B$1)),"",Sheet1!Q6506)</f>
        <v>5350</v>
      </c>
      <c r="F6494" s="20" t="s">
        <v>26</v>
      </c>
      <c r="G6494" s="53">
        <f t="shared" si="102"/>
        <v>0.92693120038950361</v>
      </c>
      <c r="H6494" s="35"/>
      <c r="P6494" s="6"/>
    </row>
    <row r="6495" spans="1:16" ht="14.4" x14ac:dyDescent="0.25">
      <c r="A6495" s="6">
        <v>3263</v>
      </c>
      <c r="B6495" s="6">
        <v>23361</v>
      </c>
      <c r="C6495" s="19">
        <v>40362</v>
      </c>
      <c r="D6495" s="6" t="s">
        <v>30</v>
      </c>
      <c r="E6495" s="6">
        <f>IF((ISBLANK($B$1)),"",Sheet1!Q6507)</f>
        <v>3500</v>
      </c>
      <c r="F6495" s="20" t="s">
        <v>26</v>
      </c>
      <c r="G6495" s="53">
        <f t="shared" si="102"/>
        <v>-1.6278342041231517</v>
      </c>
      <c r="H6495" s="35"/>
      <c r="P6495" s="6"/>
    </row>
    <row r="6496" spans="1:16" ht="14.4" x14ac:dyDescent="0.25">
      <c r="A6496" s="6">
        <v>3264</v>
      </c>
      <c r="B6496" s="6">
        <v>23361</v>
      </c>
      <c r="C6496" s="19">
        <v>40362</v>
      </c>
      <c r="D6496" s="6" t="s">
        <v>30</v>
      </c>
      <c r="E6496" s="6">
        <f>IF((ISBLANK($B$1)),"",Sheet1!Q6508)</f>
        <v>5200</v>
      </c>
      <c r="F6496" s="20" t="s">
        <v>26</v>
      </c>
      <c r="G6496" s="53">
        <f t="shared" si="102"/>
        <v>0.71978805948307201</v>
      </c>
      <c r="H6496" s="35"/>
      <c r="P6496" s="6"/>
    </row>
    <row r="6497" spans="1:16" ht="14.4" x14ac:dyDescent="0.25">
      <c r="A6497" s="6">
        <v>3265</v>
      </c>
      <c r="B6497" s="6">
        <v>23361</v>
      </c>
      <c r="C6497" s="19">
        <v>40362</v>
      </c>
      <c r="D6497" s="6" t="s">
        <v>30</v>
      </c>
      <c r="E6497" s="6">
        <f>IF((ISBLANK($B$1)),"",Sheet1!Q6509)</f>
        <v>3750</v>
      </c>
      <c r="F6497" s="20" t="s">
        <v>27</v>
      </c>
      <c r="G6497" s="53">
        <f t="shared" si="102"/>
        <v>-1.282595635945766</v>
      </c>
      <c r="H6497" s="35"/>
      <c r="P6497" s="6"/>
    </row>
    <row r="6498" spans="1:16" ht="14.4" x14ac:dyDescent="0.25">
      <c r="A6498" s="6">
        <v>3273</v>
      </c>
      <c r="B6498" s="6">
        <v>23396</v>
      </c>
      <c r="C6498" s="19">
        <v>40347</v>
      </c>
      <c r="D6498" s="6" t="s">
        <v>25</v>
      </c>
      <c r="E6498" s="6">
        <f>IF((ISBLANK($B$1)),"",Sheet1!Q6510)</f>
        <v>4900</v>
      </c>
      <c r="F6498" s="20" t="s">
        <v>27</v>
      </c>
      <c r="G6498" s="53">
        <f t="shared" si="102"/>
        <v>0.30550177767020903</v>
      </c>
      <c r="H6498" s="35"/>
      <c r="P6498" s="6"/>
    </row>
    <row r="6499" spans="1:16" ht="14.4" x14ac:dyDescent="0.25">
      <c r="A6499" s="6">
        <v>3278</v>
      </c>
      <c r="B6499" s="6">
        <v>23427</v>
      </c>
      <c r="C6499" s="19">
        <v>40763</v>
      </c>
      <c r="D6499" s="6" t="s">
        <v>25</v>
      </c>
      <c r="E6499" s="6">
        <f>IF((ISBLANK($B$1)),"",Sheet1!Q6511)</f>
        <v>4900</v>
      </c>
      <c r="F6499" s="20" t="s">
        <v>26</v>
      </c>
      <c r="G6499" s="53">
        <f t="shared" si="102"/>
        <v>0.30550177767020903</v>
      </c>
      <c r="H6499" s="35"/>
      <c r="P6499" s="6"/>
    </row>
    <row r="6500" spans="1:16" ht="14.4" x14ac:dyDescent="0.25">
      <c r="A6500" s="6">
        <v>3279</v>
      </c>
      <c r="B6500" s="6">
        <v>23427</v>
      </c>
      <c r="C6500" s="19">
        <v>40763</v>
      </c>
      <c r="D6500" s="6" t="s">
        <v>25</v>
      </c>
      <c r="E6500" s="6">
        <f>IF((ISBLANK($B$1)),"",Sheet1!Q6512)</f>
        <v>4500</v>
      </c>
      <c r="F6500" s="20" t="s">
        <v>26</v>
      </c>
      <c r="G6500" s="53">
        <f t="shared" si="102"/>
        <v>-0.24687993141360834</v>
      </c>
      <c r="H6500" s="35"/>
      <c r="P6500" s="6"/>
    </row>
    <row r="6501" spans="1:16" ht="14.4" x14ac:dyDescent="0.25">
      <c r="A6501" s="6">
        <v>3323</v>
      </c>
      <c r="B6501" s="6">
        <v>23751</v>
      </c>
      <c r="C6501" s="19">
        <v>39890</v>
      </c>
      <c r="D6501" s="6" t="s">
        <v>16</v>
      </c>
      <c r="E6501" s="6">
        <f>IF((ISBLANK($B$1)),"",Sheet1!Q6513)</f>
        <v>5600</v>
      </c>
      <c r="F6501" s="20" t="s">
        <v>29</v>
      </c>
      <c r="G6501" s="53">
        <f t="shared" si="102"/>
        <v>1.2721697685668893</v>
      </c>
      <c r="H6501" s="35"/>
      <c r="P6501" s="6"/>
    </row>
    <row r="6502" spans="1:16" ht="14.4" x14ac:dyDescent="0.25">
      <c r="A6502" s="6">
        <v>3348</v>
      </c>
      <c r="B6502" s="6">
        <v>23943</v>
      </c>
      <c r="C6502" s="19">
        <v>40717</v>
      </c>
      <c r="D6502" s="6" t="s">
        <v>30</v>
      </c>
      <c r="E6502" s="6">
        <f>IF((ISBLANK($B$1)),"",Sheet1!Q6514)</f>
        <v>4600</v>
      </c>
      <c r="F6502" s="20" t="s">
        <v>26</v>
      </c>
      <c r="G6502" s="53">
        <f t="shared" si="102"/>
        <v>-0.108784504142654</v>
      </c>
      <c r="H6502" s="35"/>
      <c r="P6502" s="6"/>
    </row>
    <row r="6503" spans="1:16" ht="14.4" x14ac:dyDescent="0.25">
      <c r="A6503" s="6">
        <v>3450</v>
      </c>
      <c r="B6503" s="6">
        <v>24608</v>
      </c>
      <c r="C6503" s="19">
        <v>41135</v>
      </c>
      <c r="D6503" s="6" t="s">
        <v>16</v>
      </c>
      <c r="E6503" s="6">
        <f>IF((ISBLANK($B$1)),"",Sheet1!Q6515)</f>
        <v>5900</v>
      </c>
      <c r="F6503" s="20" t="s">
        <v>26</v>
      </c>
      <c r="G6503" s="53">
        <f t="shared" si="102"/>
        <v>1.6864560503797523</v>
      </c>
      <c r="H6503" s="35"/>
      <c r="P6503" s="6"/>
    </row>
    <row r="6504" spans="1:16" ht="14.4" x14ac:dyDescent="0.25">
      <c r="A6504" s="6">
        <v>3579</v>
      </c>
      <c r="B6504" s="6">
        <v>25507</v>
      </c>
      <c r="C6504" s="19">
        <v>40030</v>
      </c>
      <c r="D6504" s="6" t="s">
        <v>28</v>
      </c>
      <c r="E6504" s="6">
        <f>IF((ISBLANK($B$1)),"",Sheet1!Q6516)</f>
        <v>3800</v>
      </c>
      <c r="F6504" s="20" t="s">
        <v>26</v>
      </c>
      <c r="G6504" s="53">
        <f t="shared" si="102"/>
        <v>-1.2135479223102887</v>
      </c>
      <c r="H6504" s="35"/>
      <c r="P6504" s="6"/>
    </row>
    <row r="6505" spans="1:16" ht="14.4" x14ac:dyDescent="0.25">
      <c r="A6505" s="6">
        <v>3580</v>
      </c>
      <c r="B6505" s="6">
        <v>25509</v>
      </c>
      <c r="C6505" s="19">
        <v>39955</v>
      </c>
      <c r="D6505" s="6" t="s">
        <v>30</v>
      </c>
      <c r="E6505" s="6">
        <f>IF((ISBLANK($B$1)),"",Sheet1!Q6517)</f>
        <v>5550</v>
      </c>
      <c r="F6505" s="20" t="s">
        <v>26</v>
      </c>
      <c r="G6505" s="53">
        <f t="shared" si="102"/>
        <v>1.2031220549314123</v>
      </c>
      <c r="H6505" s="35"/>
      <c r="P6505" s="6"/>
    </row>
    <row r="6506" spans="1:16" ht="14.4" x14ac:dyDescent="0.25">
      <c r="A6506" s="6">
        <v>3631</v>
      </c>
      <c r="B6506" s="6">
        <v>25952</v>
      </c>
      <c r="C6506" s="19">
        <v>40425</v>
      </c>
      <c r="D6506" s="6" t="s">
        <v>17</v>
      </c>
      <c r="E6506" s="6">
        <f>IF((ISBLANK($B$1)),"",Sheet1!Q6518)</f>
        <v>5900</v>
      </c>
      <c r="F6506" s="20" t="s">
        <v>27</v>
      </c>
      <c r="G6506" s="53">
        <f t="shared" si="102"/>
        <v>1.6864560503797523</v>
      </c>
      <c r="H6506" s="35"/>
      <c r="P6506" s="6"/>
    </row>
    <row r="6507" spans="1:16" ht="14.4" x14ac:dyDescent="0.25">
      <c r="A6507" s="6">
        <v>3680</v>
      </c>
      <c r="B6507" s="6">
        <v>26336</v>
      </c>
      <c r="C6507" s="19">
        <v>41055</v>
      </c>
      <c r="D6507" s="6" t="s">
        <v>17</v>
      </c>
      <c r="E6507" s="6">
        <f>IF((ISBLANK($B$1)),"",Sheet1!Q6519)</f>
        <v>5350</v>
      </c>
      <c r="F6507" s="20" t="s">
        <v>27</v>
      </c>
      <c r="G6507" s="53">
        <f t="shared" si="102"/>
        <v>0.92693120038950361</v>
      </c>
      <c r="H6507" s="35"/>
      <c r="P6507" s="6"/>
    </row>
    <row r="6508" spans="1:16" ht="14.4" x14ac:dyDescent="0.25">
      <c r="A6508" s="6">
        <v>3681</v>
      </c>
      <c r="B6508" s="6">
        <v>26336</v>
      </c>
      <c r="C6508" s="19">
        <v>41055</v>
      </c>
      <c r="D6508" s="6" t="s">
        <v>17</v>
      </c>
      <c r="E6508" s="6">
        <f>IF((ISBLANK($B$1)),"",Sheet1!Q6520)</f>
        <v>5650</v>
      </c>
      <c r="F6508" s="20" t="s">
        <v>26</v>
      </c>
      <c r="G6508" s="53">
        <f t="shared" si="102"/>
        <v>1.3412174822023666</v>
      </c>
      <c r="H6508" s="35"/>
      <c r="P6508" s="6"/>
    </row>
    <row r="6509" spans="1:16" ht="14.4" x14ac:dyDescent="0.25">
      <c r="A6509" s="6">
        <v>3865</v>
      </c>
      <c r="B6509" s="6">
        <v>27558</v>
      </c>
      <c r="C6509" s="19">
        <v>40731</v>
      </c>
      <c r="D6509" s="6" t="s">
        <v>28</v>
      </c>
      <c r="E6509" s="6">
        <f>IF((ISBLANK($B$1)),"",Sheet1!Q6521)</f>
        <v>4450</v>
      </c>
      <c r="F6509" s="20" t="s">
        <v>26</v>
      </c>
      <c r="G6509" s="53">
        <f t="shared" si="102"/>
        <v>-0.31592764504908549</v>
      </c>
      <c r="H6509" s="35"/>
      <c r="P6509" s="6"/>
    </row>
    <row r="6510" spans="1:16" ht="14.4" x14ac:dyDescent="0.25">
      <c r="A6510" s="6">
        <v>3920</v>
      </c>
      <c r="B6510" s="6">
        <v>27969</v>
      </c>
      <c r="C6510" s="19">
        <v>40337</v>
      </c>
      <c r="D6510" s="6" t="s">
        <v>25</v>
      </c>
      <c r="E6510" s="6">
        <f>IF((ISBLANK($B$1)),"",Sheet1!Q6522)</f>
        <v>5550</v>
      </c>
      <c r="F6510" s="20" t="s">
        <v>29</v>
      </c>
      <c r="G6510" s="53">
        <f t="shared" si="102"/>
        <v>1.2031220549314123</v>
      </c>
      <c r="H6510" s="35"/>
      <c r="P6510" s="6"/>
    </row>
    <row r="6511" spans="1:16" ht="14.4" x14ac:dyDescent="0.25">
      <c r="A6511" s="6">
        <v>3921</v>
      </c>
      <c r="B6511" s="6">
        <v>27969</v>
      </c>
      <c r="C6511" s="19">
        <v>40337</v>
      </c>
      <c r="D6511" s="6" t="s">
        <v>25</v>
      </c>
      <c r="E6511" s="6">
        <f>IF((ISBLANK($B$1)),"",Sheet1!Q6523)</f>
        <v>3850</v>
      </c>
      <c r="F6511" s="20" t="s">
        <v>27</v>
      </c>
      <c r="G6511" s="53">
        <f t="shared" si="102"/>
        <v>-1.1445002086748115</v>
      </c>
      <c r="H6511" s="35"/>
      <c r="P6511" s="6"/>
    </row>
    <row r="6512" spans="1:16" ht="14.4" x14ac:dyDescent="0.25">
      <c r="A6512" s="6">
        <v>3922</v>
      </c>
      <c r="B6512" s="6">
        <v>27969</v>
      </c>
      <c r="C6512" s="19">
        <v>40337</v>
      </c>
      <c r="D6512" s="6" t="s">
        <v>25</v>
      </c>
      <c r="E6512" s="6">
        <f>IF((ISBLANK($B$1)),"",Sheet1!Q6524)</f>
        <v>5000</v>
      </c>
      <c r="F6512" s="20" t="s">
        <v>26</v>
      </c>
      <c r="G6512" s="53">
        <f t="shared" si="102"/>
        <v>0.44359720494116334</v>
      </c>
      <c r="H6512" s="35"/>
      <c r="P6512" s="6"/>
    </row>
    <row r="6513" spans="1:16" ht="14.4" x14ac:dyDescent="0.25">
      <c r="A6513" s="6">
        <v>4176</v>
      </c>
      <c r="B6513" s="6">
        <v>29637</v>
      </c>
      <c r="C6513" s="19">
        <v>39958</v>
      </c>
      <c r="D6513" s="6" t="s">
        <v>17</v>
      </c>
      <c r="E6513" s="6">
        <f>IF((ISBLANK($B$1)),"",Sheet1!Q6525)</f>
        <v>5100</v>
      </c>
      <c r="F6513" s="20" t="s">
        <v>27</v>
      </c>
      <c r="G6513" s="53">
        <f t="shared" si="102"/>
        <v>0.58169263221211776</v>
      </c>
      <c r="H6513" s="35"/>
      <c r="P6513" s="6"/>
    </row>
    <row r="6514" spans="1:16" ht="14.4" x14ac:dyDescent="0.25">
      <c r="A6514" s="6">
        <v>4279</v>
      </c>
      <c r="B6514" s="6">
        <v>30469</v>
      </c>
      <c r="C6514" s="19">
        <v>41268</v>
      </c>
      <c r="D6514" s="6" t="s">
        <v>28</v>
      </c>
      <c r="E6514" s="6">
        <f>IF((ISBLANK($B$1)),"",Sheet1!Q6526)</f>
        <v>5700</v>
      </c>
      <c r="F6514" s="20" t="s">
        <v>26</v>
      </c>
      <c r="G6514" s="53">
        <f t="shared" si="102"/>
        <v>1.4102651958378438</v>
      </c>
      <c r="H6514" s="35"/>
      <c r="P6514" s="6"/>
    </row>
    <row r="6515" spans="1:16" ht="14.4" x14ac:dyDescent="0.25">
      <c r="A6515" s="6">
        <v>4409</v>
      </c>
      <c r="B6515" s="6">
        <v>31460</v>
      </c>
      <c r="C6515" s="19">
        <v>41147</v>
      </c>
      <c r="D6515" s="6" t="s">
        <v>17</v>
      </c>
      <c r="E6515" s="6">
        <f>IF((ISBLANK($B$1)),"",Sheet1!Q6527)</f>
        <v>3850</v>
      </c>
      <c r="F6515" s="20" t="s">
        <v>26</v>
      </c>
      <c r="G6515" s="53">
        <f t="shared" si="102"/>
        <v>-1.1445002086748115</v>
      </c>
      <c r="H6515" s="35"/>
      <c r="P6515" s="6"/>
    </row>
    <row r="6516" spans="1:16" ht="14.4" x14ac:dyDescent="0.25">
      <c r="A6516" s="6">
        <v>4487</v>
      </c>
      <c r="B6516" s="6">
        <v>31939</v>
      </c>
      <c r="C6516" s="19">
        <v>40719</v>
      </c>
      <c r="D6516" s="6" t="s">
        <v>17</v>
      </c>
      <c r="E6516" s="6">
        <f>IF((ISBLANK($B$1)),"",Sheet1!Q6528)</f>
        <v>4050</v>
      </c>
      <c r="F6516" s="20" t="s">
        <v>27</v>
      </c>
      <c r="G6516" s="53">
        <f t="shared" si="102"/>
        <v>-0.86830935413290289</v>
      </c>
      <c r="H6516" s="35"/>
      <c r="P6516" s="6"/>
    </row>
    <row r="6517" spans="1:16" ht="14.4" x14ac:dyDescent="0.25">
      <c r="A6517" s="6">
        <v>4760</v>
      </c>
      <c r="B6517" s="6">
        <v>33826</v>
      </c>
      <c r="C6517" s="19">
        <v>40531</v>
      </c>
      <c r="D6517" s="6" t="s">
        <v>25</v>
      </c>
      <c r="E6517" s="6">
        <f>IF((ISBLANK($B$1)),"",Sheet1!Q6529)</f>
        <v>4050</v>
      </c>
      <c r="F6517" s="20" t="s">
        <v>29</v>
      </c>
      <c r="G6517" s="53">
        <f t="shared" si="102"/>
        <v>-0.86830935413290289</v>
      </c>
      <c r="H6517" s="35"/>
      <c r="P6517" s="6"/>
    </row>
    <row r="6518" spans="1:16" ht="14.4" x14ac:dyDescent="0.25">
      <c r="A6518" s="6">
        <v>4802</v>
      </c>
      <c r="B6518" s="6">
        <v>34151</v>
      </c>
      <c r="C6518" s="19">
        <v>40795</v>
      </c>
      <c r="D6518" s="6" t="s">
        <v>28</v>
      </c>
      <c r="E6518" s="6">
        <f>IF((ISBLANK($B$1)),"",Sheet1!Q6530)</f>
        <v>4700</v>
      </c>
      <c r="F6518" s="20" t="s">
        <v>27</v>
      </c>
      <c r="G6518" s="53">
        <f t="shared" si="102"/>
        <v>2.9310923128300338E-2</v>
      </c>
      <c r="H6518" s="35"/>
      <c r="P6518" s="6"/>
    </row>
    <row r="6519" spans="1:16" ht="14.4" x14ac:dyDescent="0.25">
      <c r="A6519" s="6">
        <v>4868</v>
      </c>
      <c r="B6519" s="6">
        <v>34659</v>
      </c>
      <c r="C6519" s="19">
        <v>41232</v>
      </c>
      <c r="D6519" s="6" t="s">
        <v>17</v>
      </c>
      <c r="E6519" s="6">
        <f>IF((ISBLANK($B$1)),"",Sheet1!Q6531)</f>
        <v>5500</v>
      </c>
      <c r="F6519" s="20" t="s">
        <v>26</v>
      </c>
      <c r="G6519" s="53">
        <f t="shared" si="102"/>
        <v>1.1340743412959351</v>
      </c>
      <c r="H6519" s="35"/>
      <c r="P6519" s="6"/>
    </row>
    <row r="6520" spans="1:16" ht="14.4" x14ac:dyDescent="0.25">
      <c r="A6520" s="6">
        <v>4949</v>
      </c>
      <c r="B6520" s="6">
        <v>35200</v>
      </c>
      <c r="C6520" s="19">
        <v>39849</v>
      </c>
      <c r="D6520" s="6" t="s">
        <v>16</v>
      </c>
      <c r="E6520" s="6">
        <f>IF((ISBLANK($B$1)),"",Sheet1!Q6532)</f>
        <v>4150</v>
      </c>
      <c r="F6520" s="20" t="s">
        <v>29</v>
      </c>
      <c r="G6520" s="53">
        <f t="shared" si="102"/>
        <v>-0.73021392686194853</v>
      </c>
      <c r="H6520" s="35"/>
      <c r="P6520" s="6"/>
    </row>
    <row r="6521" spans="1:16" ht="14.4" x14ac:dyDescent="0.25">
      <c r="A6521" s="6">
        <v>4983</v>
      </c>
      <c r="B6521" s="6">
        <v>35456</v>
      </c>
      <c r="C6521" s="19">
        <v>41214</v>
      </c>
      <c r="D6521" s="6" t="s">
        <v>30</v>
      </c>
      <c r="E6521" s="6">
        <f>IF((ISBLANK($B$1)),"",Sheet1!Q6533)</f>
        <v>5250</v>
      </c>
      <c r="F6521" s="20" t="s">
        <v>26</v>
      </c>
      <c r="G6521" s="53">
        <f t="shared" si="102"/>
        <v>0.78883577311854924</v>
      </c>
      <c r="H6521" s="35"/>
      <c r="P6521" s="6"/>
    </row>
    <row r="6522" spans="1:16" ht="14.4" x14ac:dyDescent="0.25">
      <c r="A6522" s="6">
        <v>5025</v>
      </c>
      <c r="B6522" s="6">
        <v>35840</v>
      </c>
      <c r="C6522" s="19">
        <v>40327</v>
      </c>
      <c r="D6522" s="6" t="s">
        <v>17</v>
      </c>
      <c r="E6522" s="6">
        <f>IF((ISBLANK($B$1)),"",Sheet1!Q6534)</f>
        <v>5200</v>
      </c>
      <c r="F6522" s="20" t="s">
        <v>26</v>
      </c>
      <c r="G6522" s="53">
        <f t="shared" si="102"/>
        <v>0.71978805948307201</v>
      </c>
      <c r="H6522" s="35"/>
      <c r="P6522" s="6"/>
    </row>
    <row r="6523" spans="1:16" ht="14.4" x14ac:dyDescent="0.25">
      <c r="A6523" s="6">
        <v>5026</v>
      </c>
      <c r="B6523" s="6">
        <v>35840</v>
      </c>
      <c r="C6523" s="19">
        <v>40327</v>
      </c>
      <c r="D6523" s="6" t="s">
        <v>17</v>
      </c>
      <c r="E6523" s="6">
        <f>IF((ISBLANK($B$1)),"",Sheet1!Q6535)</f>
        <v>5850</v>
      </c>
      <c r="F6523" s="20" t="s">
        <v>27</v>
      </c>
      <c r="G6523" s="53">
        <f t="shared" si="102"/>
        <v>1.6174083367442753</v>
      </c>
      <c r="H6523" s="35"/>
      <c r="P6523" s="6"/>
    </row>
    <row r="6524" spans="1:16" ht="14.4" x14ac:dyDescent="0.25">
      <c r="A6524" s="6">
        <v>5059</v>
      </c>
      <c r="B6524" s="6">
        <v>36069</v>
      </c>
      <c r="C6524" s="19">
        <v>40152</v>
      </c>
      <c r="D6524" s="6" t="s">
        <v>25</v>
      </c>
      <c r="E6524" s="6">
        <f>IF((ISBLANK($B$1)),"",Sheet1!Q6536)</f>
        <v>4050</v>
      </c>
      <c r="F6524" s="20" t="s">
        <v>26</v>
      </c>
      <c r="G6524" s="53">
        <f t="shared" si="102"/>
        <v>-0.86830935413290289</v>
      </c>
      <c r="H6524" s="35"/>
      <c r="P6524" s="6"/>
    </row>
    <row r="6525" spans="1:16" ht="14.4" x14ac:dyDescent="0.25">
      <c r="A6525" s="6">
        <v>5060</v>
      </c>
      <c r="B6525" s="6">
        <v>36069</v>
      </c>
      <c r="C6525" s="19">
        <v>40152</v>
      </c>
      <c r="D6525" s="6" t="s">
        <v>25</v>
      </c>
      <c r="E6525" s="6">
        <f>IF((ISBLANK($B$1)),"",Sheet1!Q6537)</f>
        <v>4150</v>
      </c>
      <c r="F6525" s="20" t="s">
        <v>29</v>
      </c>
      <c r="G6525" s="53">
        <f t="shared" si="102"/>
        <v>-0.73021392686194853</v>
      </c>
      <c r="H6525" s="35"/>
      <c r="P6525" s="6"/>
    </row>
    <row r="6526" spans="1:16" ht="14.4" x14ac:dyDescent="0.25">
      <c r="A6526" s="6">
        <v>5061</v>
      </c>
      <c r="B6526" s="6">
        <v>36069</v>
      </c>
      <c r="C6526" s="19">
        <v>40152</v>
      </c>
      <c r="D6526" s="6" t="s">
        <v>25</v>
      </c>
      <c r="E6526" s="6">
        <f>IF((ISBLANK($B$1)),"",Sheet1!Q6538)</f>
        <v>4400</v>
      </c>
      <c r="F6526" s="20" t="s">
        <v>26</v>
      </c>
      <c r="G6526" s="53">
        <f t="shared" si="102"/>
        <v>-0.38497535868456267</v>
      </c>
      <c r="H6526" s="35"/>
      <c r="P6526" s="6"/>
    </row>
    <row r="6527" spans="1:16" ht="14.4" x14ac:dyDescent="0.25">
      <c r="A6527" s="6">
        <v>5135</v>
      </c>
      <c r="B6527" s="6">
        <v>36640</v>
      </c>
      <c r="C6527" s="19">
        <v>40865</v>
      </c>
      <c r="D6527" s="6" t="s">
        <v>28</v>
      </c>
      <c r="E6527" s="6">
        <f>IF((ISBLANK($B$1)),"",Sheet1!Q6539)</f>
        <v>4300</v>
      </c>
      <c r="F6527" s="20" t="s">
        <v>27</v>
      </c>
      <c r="G6527" s="53">
        <f t="shared" si="102"/>
        <v>-0.52307078595551704</v>
      </c>
      <c r="H6527" s="35"/>
      <c r="P6527" s="6"/>
    </row>
    <row r="6528" spans="1:16" ht="14.4" x14ac:dyDescent="0.25">
      <c r="A6528" s="6">
        <v>5197</v>
      </c>
      <c r="B6528" s="6">
        <v>36931</v>
      </c>
      <c r="C6528" s="19">
        <v>40562</v>
      </c>
      <c r="D6528" s="6" t="s">
        <v>28</v>
      </c>
      <c r="E6528" s="6">
        <f>IF((ISBLANK($B$1)),"",Sheet1!Q6540)</f>
        <v>5700</v>
      </c>
      <c r="F6528" s="20" t="s">
        <v>26</v>
      </c>
      <c r="G6528" s="53">
        <f t="shared" si="102"/>
        <v>1.4102651958378438</v>
      </c>
      <c r="H6528" s="35"/>
      <c r="P6528" s="6"/>
    </row>
    <row r="6529" spans="1:16" ht="14.4" x14ac:dyDescent="0.25">
      <c r="A6529" s="6">
        <v>5279</v>
      </c>
      <c r="B6529" s="6">
        <v>37543</v>
      </c>
      <c r="C6529" s="19">
        <v>40908</v>
      </c>
      <c r="D6529" s="6" t="s">
        <v>16</v>
      </c>
      <c r="E6529" s="6">
        <f>IF((ISBLANK($B$1)),"",Sheet1!Q6541)</f>
        <v>3700</v>
      </c>
      <c r="F6529" s="20" t="s">
        <v>26</v>
      </c>
      <c r="G6529" s="53">
        <f t="shared" si="102"/>
        <v>-1.351643349581243</v>
      </c>
      <c r="H6529" s="35"/>
      <c r="P6529" s="6"/>
    </row>
    <row r="6530" spans="1:16" ht="14.4" x14ac:dyDescent="0.25">
      <c r="A6530" s="6">
        <v>5517</v>
      </c>
      <c r="B6530" s="6">
        <v>39111</v>
      </c>
      <c r="C6530" s="19">
        <v>40749</v>
      </c>
      <c r="D6530" s="6" t="s">
        <v>16</v>
      </c>
      <c r="E6530" s="6">
        <f>IF((ISBLANK($B$1)),"",Sheet1!Q6542)</f>
        <v>3450</v>
      </c>
      <c r="F6530" s="20" t="s">
        <v>26</v>
      </c>
      <c r="G6530" s="53">
        <f t="shared" si="102"/>
        <v>-1.696881917758629</v>
      </c>
      <c r="H6530" s="35"/>
      <c r="P6530" s="6"/>
    </row>
    <row r="6531" spans="1:16" ht="14.4" x14ac:dyDescent="0.25">
      <c r="A6531" s="6">
        <v>5518</v>
      </c>
      <c r="B6531" s="6">
        <v>39111</v>
      </c>
      <c r="C6531" s="19">
        <v>40749</v>
      </c>
      <c r="D6531" s="6" t="s">
        <v>16</v>
      </c>
      <c r="E6531" s="6">
        <f>IF((ISBLANK($B$1)),"",Sheet1!Q6543)</f>
        <v>4400</v>
      </c>
      <c r="F6531" s="20" t="s">
        <v>27</v>
      </c>
      <c r="G6531" s="53">
        <f t="shared" si="102"/>
        <v>-0.38497535868456267</v>
      </c>
      <c r="H6531" s="35"/>
      <c r="P6531" s="6"/>
    </row>
    <row r="6532" spans="1:16" ht="14.4" x14ac:dyDescent="0.25">
      <c r="A6532" s="6">
        <v>5520</v>
      </c>
      <c r="B6532" s="6">
        <v>39139</v>
      </c>
      <c r="C6532" s="19">
        <v>40495</v>
      </c>
      <c r="D6532" s="6" t="s">
        <v>28</v>
      </c>
      <c r="E6532" s="6">
        <f>IF((ISBLANK($B$1)),"",Sheet1!Q6544)</f>
        <v>3700</v>
      </c>
      <c r="F6532" s="20" t="s">
        <v>27</v>
      </c>
      <c r="G6532" s="53">
        <f t="shared" si="102"/>
        <v>-1.351643349581243</v>
      </c>
      <c r="H6532" s="35"/>
      <c r="P6532" s="6"/>
    </row>
    <row r="6533" spans="1:16" ht="14.4" x14ac:dyDescent="0.25">
      <c r="A6533" s="6">
        <v>5521</v>
      </c>
      <c r="B6533" s="6">
        <v>39139</v>
      </c>
      <c r="C6533" s="19">
        <v>40495</v>
      </c>
      <c r="D6533" s="6" t="s">
        <v>28</v>
      </c>
      <c r="E6533" s="6">
        <f>IF((ISBLANK($B$1)),"",Sheet1!Q6545)</f>
        <v>5900</v>
      </c>
      <c r="F6533" s="20" t="s">
        <v>29</v>
      </c>
      <c r="G6533" s="53">
        <f t="shared" si="102"/>
        <v>1.6864560503797523</v>
      </c>
      <c r="H6533" s="35"/>
      <c r="P6533" s="6"/>
    </row>
    <row r="6534" spans="1:16" ht="14.4" x14ac:dyDescent="0.25">
      <c r="A6534" s="6">
        <v>5522</v>
      </c>
      <c r="B6534" s="6">
        <v>39139</v>
      </c>
      <c r="C6534" s="19">
        <v>40495</v>
      </c>
      <c r="D6534" s="6" t="s">
        <v>28</v>
      </c>
      <c r="E6534" s="6">
        <f>IF((ISBLANK($B$1)),"",Sheet1!Q6546)</f>
        <v>4950</v>
      </c>
      <c r="F6534" s="20" t="s">
        <v>29</v>
      </c>
      <c r="G6534" s="53">
        <f t="shared" si="102"/>
        <v>0.37454949130568621</v>
      </c>
      <c r="H6534" s="35"/>
      <c r="P6534" s="6"/>
    </row>
    <row r="6535" spans="1:16" ht="14.4" x14ac:dyDescent="0.25">
      <c r="A6535" s="6">
        <v>5573</v>
      </c>
      <c r="B6535" s="6">
        <v>39490</v>
      </c>
      <c r="C6535" s="19">
        <v>41133</v>
      </c>
      <c r="D6535" s="6" t="s">
        <v>25</v>
      </c>
      <c r="E6535" s="6">
        <f>IF((ISBLANK($B$1)),"",Sheet1!Q6547)</f>
        <v>5300</v>
      </c>
      <c r="F6535" s="20" t="s">
        <v>26</v>
      </c>
      <c r="G6535" s="53">
        <f t="shared" si="102"/>
        <v>0.85788348675402637</v>
      </c>
      <c r="H6535" s="35"/>
      <c r="P6535" s="6"/>
    </row>
    <row r="6536" spans="1:16" ht="14.4" x14ac:dyDescent="0.25">
      <c r="A6536" s="6">
        <v>5574</v>
      </c>
      <c r="B6536" s="6">
        <v>39490</v>
      </c>
      <c r="C6536" s="19">
        <v>41133</v>
      </c>
      <c r="D6536" s="6" t="s">
        <v>25</v>
      </c>
      <c r="E6536" s="6">
        <f>IF((ISBLANK($B$1)),"",Sheet1!Q6548)</f>
        <v>4250</v>
      </c>
      <c r="F6536" s="20" t="s">
        <v>29</v>
      </c>
      <c r="G6536" s="53">
        <f t="shared" ref="G6536:G6599" si="103">STANDARDIZE(E6536,$L$26,$L$35)</f>
        <v>-0.59211849959099416</v>
      </c>
      <c r="H6536" s="35"/>
      <c r="P6536" s="6"/>
    </row>
    <row r="6537" spans="1:16" ht="14.4" x14ac:dyDescent="0.25">
      <c r="A6537" s="6">
        <v>5645</v>
      </c>
      <c r="B6537" s="6">
        <v>39938</v>
      </c>
      <c r="C6537" s="19">
        <v>41070</v>
      </c>
      <c r="D6537" s="6" t="s">
        <v>17</v>
      </c>
      <c r="E6537" s="6">
        <f>IF((ISBLANK($B$1)),"",Sheet1!Q6549)</f>
        <v>3650</v>
      </c>
      <c r="F6537" s="20" t="s">
        <v>26</v>
      </c>
      <c r="G6537" s="53">
        <f t="shared" si="103"/>
        <v>-1.4206910632167202</v>
      </c>
      <c r="H6537" s="35"/>
      <c r="P6537" s="6"/>
    </row>
    <row r="6538" spans="1:16" ht="14.4" x14ac:dyDescent="0.25">
      <c r="A6538" s="6">
        <v>5667</v>
      </c>
      <c r="B6538" s="6">
        <v>40098</v>
      </c>
      <c r="C6538" s="19">
        <v>40944</v>
      </c>
      <c r="D6538" s="6" t="s">
        <v>25</v>
      </c>
      <c r="E6538" s="6">
        <f>IF((ISBLANK($B$1)),"",Sheet1!Q6550)</f>
        <v>5700</v>
      </c>
      <c r="F6538" s="20" t="s">
        <v>26</v>
      </c>
      <c r="G6538" s="53">
        <f t="shared" si="103"/>
        <v>1.4102651958378438</v>
      </c>
      <c r="H6538" s="35"/>
      <c r="P6538" s="6"/>
    </row>
    <row r="6539" spans="1:16" ht="14.4" x14ac:dyDescent="0.25">
      <c r="A6539" s="6">
        <v>5668</v>
      </c>
      <c r="B6539" s="6">
        <v>40098</v>
      </c>
      <c r="C6539" s="19">
        <v>40944</v>
      </c>
      <c r="D6539" s="6" t="s">
        <v>25</v>
      </c>
      <c r="E6539" s="6">
        <f>IF((ISBLANK($B$1)),"",Sheet1!Q6551)</f>
        <v>5900</v>
      </c>
      <c r="F6539" s="20" t="s">
        <v>26</v>
      </c>
      <c r="G6539" s="53">
        <f t="shared" si="103"/>
        <v>1.6864560503797523</v>
      </c>
      <c r="H6539" s="35"/>
      <c r="P6539" s="6"/>
    </row>
    <row r="6540" spans="1:16" ht="14.4" x14ac:dyDescent="0.25">
      <c r="A6540" s="6">
        <v>5785</v>
      </c>
      <c r="B6540" s="6">
        <v>41056</v>
      </c>
      <c r="C6540" s="19">
        <v>40994</v>
      </c>
      <c r="D6540" s="6" t="s">
        <v>30</v>
      </c>
      <c r="E6540" s="6">
        <f>IF((ISBLANK($B$1)),"",Sheet1!Q6552)</f>
        <v>3600</v>
      </c>
      <c r="F6540" s="20" t="s">
        <v>27</v>
      </c>
      <c r="G6540" s="53">
        <f t="shared" si="103"/>
        <v>-1.4897387768521975</v>
      </c>
      <c r="H6540" s="35"/>
      <c r="P6540" s="6"/>
    </row>
    <row r="6541" spans="1:16" ht="14.4" x14ac:dyDescent="0.25">
      <c r="A6541" s="6">
        <v>5937</v>
      </c>
      <c r="B6541" s="6">
        <v>42115</v>
      </c>
      <c r="C6541" s="19">
        <v>40957</v>
      </c>
      <c r="D6541" s="6" t="s">
        <v>30</v>
      </c>
      <c r="E6541" s="6">
        <f>IF((ISBLANK($B$1)),"",Sheet1!Q6553)</f>
        <v>4450</v>
      </c>
      <c r="F6541" s="20" t="s">
        <v>27</v>
      </c>
      <c r="G6541" s="53">
        <f t="shared" si="103"/>
        <v>-0.31592764504908549</v>
      </c>
      <c r="H6541" s="35"/>
      <c r="P6541" s="6"/>
    </row>
    <row r="6542" spans="1:16" ht="14.4" x14ac:dyDescent="0.25">
      <c r="A6542" s="6">
        <v>5938</v>
      </c>
      <c r="B6542" s="6">
        <v>42115</v>
      </c>
      <c r="C6542" s="19">
        <v>40957</v>
      </c>
      <c r="D6542" s="6" t="s">
        <v>30</v>
      </c>
      <c r="E6542" s="6">
        <f>IF((ISBLANK($B$1)),"",Sheet1!Q6554)</f>
        <v>4350</v>
      </c>
      <c r="F6542" s="20" t="s">
        <v>26</v>
      </c>
      <c r="G6542" s="53">
        <f t="shared" si="103"/>
        <v>-0.45402307232003986</v>
      </c>
      <c r="H6542" s="35"/>
      <c r="P6542" s="6"/>
    </row>
    <row r="6543" spans="1:16" ht="14.4" x14ac:dyDescent="0.25">
      <c r="A6543" s="6">
        <v>6136</v>
      </c>
      <c r="B6543" s="6">
        <v>43459</v>
      </c>
      <c r="C6543" s="19">
        <v>40854</v>
      </c>
      <c r="D6543" s="6" t="s">
        <v>30</v>
      </c>
      <c r="E6543" s="6">
        <f>IF((ISBLANK($B$1)),"",Sheet1!Q6555)</f>
        <v>4700</v>
      </c>
      <c r="F6543" s="20" t="s">
        <v>27</v>
      </c>
      <c r="G6543" s="53">
        <f t="shared" si="103"/>
        <v>2.9310923128300338E-2</v>
      </c>
      <c r="H6543" s="35"/>
      <c r="P6543" s="6"/>
    </row>
    <row r="6544" spans="1:16" ht="14.4" x14ac:dyDescent="0.25">
      <c r="A6544" s="6">
        <v>6403</v>
      </c>
      <c r="B6544" s="6">
        <v>45476</v>
      </c>
      <c r="C6544" s="19">
        <v>41017</v>
      </c>
      <c r="D6544" s="6" t="s">
        <v>30</v>
      </c>
      <c r="E6544" s="6">
        <f>IF((ISBLANK($B$1)),"",Sheet1!Q6556)</f>
        <v>5800</v>
      </c>
      <c r="F6544" s="20" t="s">
        <v>26</v>
      </c>
      <c r="G6544" s="53">
        <f t="shared" si="103"/>
        <v>1.5483606231087981</v>
      </c>
      <c r="H6544" s="35"/>
      <c r="P6544" s="6"/>
    </row>
    <row r="6545" spans="1:16" ht="14.4" x14ac:dyDescent="0.25">
      <c r="A6545" s="6">
        <v>6452</v>
      </c>
      <c r="B6545" s="6">
        <v>45958</v>
      </c>
      <c r="C6545" s="19">
        <v>40688</v>
      </c>
      <c r="D6545" s="6" t="s">
        <v>16</v>
      </c>
      <c r="E6545" s="6">
        <f>IF((ISBLANK($B$1)),"",Sheet1!Q6557)</f>
        <v>4800</v>
      </c>
      <c r="F6545" s="20" t="s">
        <v>27</v>
      </c>
      <c r="G6545" s="53">
        <f t="shared" si="103"/>
        <v>0.16740635039925467</v>
      </c>
      <c r="H6545" s="35"/>
      <c r="P6545" s="6"/>
    </row>
    <row r="6546" spans="1:16" ht="14.4" x14ac:dyDescent="0.25">
      <c r="A6546" s="6">
        <v>6453</v>
      </c>
      <c r="B6546" s="6">
        <v>45958</v>
      </c>
      <c r="C6546" s="19">
        <v>40688</v>
      </c>
      <c r="D6546" s="6" t="s">
        <v>16</v>
      </c>
      <c r="E6546" s="6">
        <f>IF((ISBLANK($B$1)),"",Sheet1!Q6558)</f>
        <v>4200</v>
      </c>
      <c r="F6546" s="20" t="s">
        <v>26</v>
      </c>
      <c r="G6546" s="53">
        <f t="shared" si="103"/>
        <v>-0.6611662132264714</v>
      </c>
      <c r="H6546" s="35"/>
      <c r="P6546" s="6"/>
    </row>
    <row r="6547" spans="1:16" ht="14.4" x14ac:dyDescent="0.25">
      <c r="A6547" s="6">
        <v>6690</v>
      </c>
      <c r="B6547" s="6">
        <v>47591</v>
      </c>
      <c r="C6547" s="19">
        <v>40910</v>
      </c>
      <c r="D6547" s="6" t="s">
        <v>30</v>
      </c>
      <c r="E6547" s="6">
        <f>IF((ISBLANK($B$1)),"",Sheet1!Q6559)</f>
        <v>4750</v>
      </c>
      <c r="F6547" s="20" t="s">
        <v>26</v>
      </c>
      <c r="G6547" s="53">
        <f t="shared" si="103"/>
        <v>9.8358636763777513E-2</v>
      </c>
      <c r="H6547" s="35"/>
      <c r="P6547" s="6"/>
    </row>
    <row r="6548" spans="1:16" ht="14.4" x14ac:dyDescent="0.25">
      <c r="A6548" s="6">
        <v>6962</v>
      </c>
      <c r="B6548" s="6">
        <v>49764</v>
      </c>
      <c r="C6548" s="19">
        <v>40454</v>
      </c>
      <c r="D6548" s="6" t="s">
        <v>25</v>
      </c>
      <c r="E6548" s="6">
        <f>IF((ISBLANK($B$1)),"",Sheet1!Q6560)</f>
        <v>5250</v>
      </c>
      <c r="F6548" s="20" t="s">
        <v>26</v>
      </c>
      <c r="G6548" s="53">
        <f t="shared" si="103"/>
        <v>0.78883577311854924</v>
      </c>
      <c r="H6548" s="35"/>
      <c r="P6548" s="6"/>
    </row>
    <row r="6549" spans="1:16" ht="14.4" x14ac:dyDescent="0.25">
      <c r="A6549" s="6">
        <v>7022</v>
      </c>
      <c r="B6549" s="6">
        <v>50118</v>
      </c>
      <c r="C6549" s="19">
        <v>40255</v>
      </c>
      <c r="D6549" s="6" t="s">
        <v>28</v>
      </c>
      <c r="E6549" s="6">
        <f>IF((ISBLANK($B$1)),"",Sheet1!Q6561)</f>
        <v>4350</v>
      </c>
      <c r="F6549" s="20" t="s">
        <v>29</v>
      </c>
      <c r="G6549" s="53">
        <f t="shared" si="103"/>
        <v>-0.45402307232003986</v>
      </c>
      <c r="H6549" s="35"/>
      <c r="P6549" s="6"/>
    </row>
    <row r="6550" spans="1:16" ht="14.4" x14ac:dyDescent="0.25">
      <c r="A6550" s="6">
        <v>7031</v>
      </c>
      <c r="B6550" s="6">
        <v>50183</v>
      </c>
      <c r="C6550" s="19">
        <v>40322</v>
      </c>
      <c r="D6550" s="6" t="s">
        <v>17</v>
      </c>
      <c r="E6550" s="6">
        <f>IF((ISBLANK($B$1)),"",Sheet1!Q6562)</f>
        <v>4400</v>
      </c>
      <c r="F6550" s="20" t="s">
        <v>26</v>
      </c>
      <c r="G6550" s="53">
        <f t="shared" si="103"/>
        <v>-0.38497535868456267</v>
      </c>
      <c r="H6550" s="35"/>
      <c r="P6550" s="6"/>
    </row>
    <row r="6551" spans="1:16" ht="14.4" x14ac:dyDescent="0.25">
      <c r="A6551" s="6">
        <v>7117</v>
      </c>
      <c r="B6551" s="6">
        <v>50786</v>
      </c>
      <c r="C6551" s="19">
        <v>40098</v>
      </c>
      <c r="D6551" s="6" t="s">
        <v>25</v>
      </c>
      <c r="E6551" s="6">
        <f>IF((ISBLANK($B$1)),"",Sheet1!Q6563)</f>
        <v>3600</v>
      </c>
      <c r="F6551" s="20" t="s">
        <v>27</v>
      </c>
      <c r="G6551" s="53">
        <f t="shared" si="103"/>
        <v>-1.4897387768521975</v>
      </c>
      <c r="H6551" s="35"/>
      <c r="P6551" s="6"/>
    </row>
    <row r="6552" spans="1:16" ht="14.4" x14ac:dyDescent="0.25">
      <c r="A6552" s="6">
        <v>7144</v>
      </c>
      <c r="B6552" s="6">
        <v>50978</v>
      </c>
      <c r="C6552" s="19">
        <v>40999</v>
      </c>
      <c r="D6552" s="6" t="s">
        <v>17</v>
      </c>
      <c r="E6552" s="6">
        <f>IF((ISBLANK($B$1)),"",Sheet1!Q6564)</f>
        <v>3600</v>
      </c>
      <c r="F6552" s="20" t="s">
        <v>26</v>
      </c>
      <c r="G6552" s="53">
        <f t="shared" si="103"/>
        <v>-1.4897387768521975</v>
      </c>
      <c r="H6552" s="35"/>
      <c r="P6552" s="6"/>
    </row>
    <row r="6553" spans="1:16" ht="14.4" x14ac:dyDescent="0.25">
      <c r="A6553" s="6">
        <v>7147</v>
      </c>
      <c r="B6553" s="6">
        <v>50983</v>
      </c>
      <c r="C6553" s="19">
        <v>40722</v>
      </c>
      <c r="D6553" s="6" t="s">
        <v>30</v>
      </c>
      <c r="E6553" s="6">
        <f>IF((ISBLANK($B$1)),"",Sheet1!Q6565)</f>
        <v>5350</v>
      </c>
      <c r="F6553" s="20" t="s">
        <v>26</v>
      </c>
      <c r="G6553" s="53">
        <f t="shared" si="103"/>
        <v>0.92693120038950361</v>
      </c>
      <c r="H6553" s="35"/>
      <c r="P6553" s="6"/>
    </row>
    <row r="6554" spans="1:16" ht="14.4" x14ac:dyDescent="0.25">
      <c r="A6554" s="6">
        <v>7148</v>
      </c>
      <c r="B6554" s="6">
        <v>50983</v>
      </c>
      <c r="C6554" s="19">
        <v>40722</v>
      </c>
      <c r="D6554" s="6" t="s">
        <v>30</v>
      </c>
      <c r="E6554" s="6">
        <f>IF((ISBLANK($B$1)),"",Sheet1!Q6566)</f>
        <v>4150</v>
      </c>
      <c r="F6554" s="20" t="s">
        <v>26</v>
      </c>
      <c r="G6554" s="53">
        <f t="shared" si="103"/>
        <v>-0.73021392686194853</v>
      </c>
      <c r="H6554" s="35"/>
      <c r="P6554" s="6"/>
    </row>
    <row r="6555" spans="1:16" ht="14.4" x14ac:dyDescent="0.25">
      <c r="A6555" s="6">
        <v>7291</v>
      </c>
      <c r="B6555" s="6">
        <v>52002</v>
      </c>
      <c r="C6555" s="19">
        <v>39968</v>
      </c>
      <c r="D6555" s="6" t="s">
        <v>17</v>
      </c>
      <c r="E6555" s="6">
        <f>IF((ISBLANK($B$1)),"",Sheet1!Q6567)</f>
        <v>3950</v>
      </c>
      <c r="F6555" s="20" t="s">
        <v>29</v>
      </c>
      <c r="G6555" s="53">
        <f t="shared" si="103"/>
        <v>-1.0064047814038573</v>
      </c>
      <c r="H6555" s="35"/>
      <c r="P6555" s="6"/>
    </row>
    <row r="6556" spans="1:16" ht="14.4" x14ac:dyDescent="0.25">
      <c r="A6556" s="6">
        <v>7330</v>
      </c>
      <c r="B6556" s="6">
        <v>52227</v>
      </c>
      <c r="C6556" s="19">
        <v>39856</v>
      </c>
      <c r="D6556" s="6" t="s">
        <v>16</v>
      </c>
      <c r="E6556" s="6">
        <f>IF((ISBLANK($B$1)),"",Sheet1!Q6568)</f>
        <v>5250</v>
      </c>
      <c r="F6556" s="20" t="s">
        <v>26</v>
      </c>
      <c r="G6556" s="53">
        <f t="shared" si="103"/>
        <v>0.78883577311854924</v>
      </c>
      <c r="H6556" s="35"/>
      <c r="P6556" s="6"/>
    </row>
    <row r="6557" spans="1:16" ht="14.4" x14ac:dyDescent="0.25">
      <c r="A6557" s="6">
        <v>7334</v>
      </c>
      <c r="B6557" s="6">
        <v>52261</v>
      </c>
      <c r="C6557" s="19">
        <v>40654</v>
      </c>
      <c r="D6557" s="6" t="s">
        <v>28</v>
      </c>
      <c r="E6557" s="6">
        <f>IF((ISBLANK($B$1)),"",Sheet1!Q6569)</f>
        <v>5850</v>
      </c>
      <c r="F6557" s="20" t="s">
        <v>29</v>
      </c>
      <c r="G6557" s="53">
        <f t="shared" si="103"/>
        <v>1.6174083367442753</v>
      </c>
      <c r="H6557" s="35"/>
      <c r="P6557" s="6"/>
    </row>
    <row r="6558" spans="1:16" ht="14.4" x14ac:dyDescent="0.25">
      <c r="A6558" s="6">
        <v>7401</v>
      </c>
      <c r="B6558" s="6">
        <v>52743</v>
      </c>
      <c r="C6558" s="19">
        <v>40363</v>
      </c>
      <c r="D6558" s="6" t="s">
        <v>17</v>
      </c>
      <c r="E6558" s="6">
        <f>IF((ISBLANK($B$1)),"",Sheet1!Q6570)</f>
        <v>5700</v>
      </c>
      <c r="F6558" s="20" t="s">
        <v>27</v>
      </c>
      <c r="G6558" s="53">
        <f t="shared" si="103"/>
        <v>1.4102651958378438</v>
      </c>
      <c r="H6558" s="35"/>
      <c r="P6558" s="6"/>
    </row>
    <row r="6559" spans="1:16" ht="14.4" x14ac:dyDescent="0.25">
      <c r="A6559" s="6">
        <v>7444</v>
      </c>
      <c r="B6559" s="6">
        <v>53120</v>
      </c>
      <c r="C6559" s="19">
        <v>41046</v>
      </c>
      <c r="D6559" s="6" t="s">
        <v>28</v>
      </c>
      <c r="E6559" s="6">
        <f>IF((ISBLANK($B$1)),"",Sheet1!Q6571)</f>
        <v>3650</v>
      </c>
      <c r="F6559" s="20" t="s">
        <v>26</v>
      </c>
      <c r="G6559" s="53">
        <f t="shared" si="103"/>
        <v>-1.4206910632167202</v>
      </c>
      <c r="H6559" s="35"/>
      <c r="P6559" s="6"/>
    </row>
    <row r="6560" spans="1:16" ht="14.4" x14ac:dyDescent="0.25">
      <c r="A6560" s="6">
        <v>7543</v>
      </c>
      <c r="B6560" s="6">
        <v>53920</v>
      </c>
      <c r="C6560" s="19">
        <v>39890</v>
      </c>
      <c r="D6560" s="6" t="s">
        <v>30</v>
      </c>
      <c r="E6560" s="6">
        <f>IF((ISBLANK($B$1)),"",Sheet1!Q6572)</f>
        <v>4300</v>
      </c>
      <c r="F6560" s="20" t="s">
        <v>26</v>
      </c>
      <c r="G6560" s="53">
        <f t="shared" si="103"/>
        <v>-0.52307078595551704</v>
      </c>
      <c r="H6560" s="35"/>
      <c r="P6560" s="6"/>
    </row>
    <row r="6561" spans="1:16" ht="14.4" x14ac:dyDescent="0.25">
      <c r="A6561" s="6">
        <v>7634</v>
      </c>
      <c r="B6561" s="6">
        <v>54630</v>
      </c>
      <c r="C6561" s="19">
        <v>41131</v>
      </c>
      <c r="D6561" s="6" t="s">
        <v>25</v>
      </c>
      <c r="E6561" s="6">
        <f>IF((ISBLANK($B$1)),"",Sheet1!Q6573)</f>
        <v>3950</v>
      </c>
      <c r="F6561" s="20" t="s">
        <v>26</v>
      </c>
      <c r="G6561" s="53">
        <f t="shared" si="103"/>
        <v>-1.0064047814038573</v>
      </c>
      <c r="H6561" s="35"/>
      <c r="P6561" s="6"/>
    </row>
    <row r="6562" spans="1:16" ht="14.4" x14ac:dyDescent="0.25">
      <c r="A6562" s="6">
        <v>7717</v>
      </c>
      <c r="B6562" s="6">
        <v>55299</v>
      </c>
      <c r="C6562" s="19">
        <v>40998</v>
      </c>
      <c r="D6562" s="6" t="s">
        <v>25</v>
      </c>
      <c r="E6562" s="6">
        <f>IF((ISBLANK($B$1)),"",Sheet1!Q6574)</f>
        <v>4400</v>
      </c>
      <c r="F6562" s="20" t="s">
        <v>26</v>
      </c>
      <c r="G6562" s="53">
        <f t="shared" si="103"/>
        <v>-0.38497535868456267</v>
      </c>
      <c r="H6562" s="35"/>
      <c r="P6562" s="6"/>
    </row>
    <row r="6563" spans="1:16" ht="14.4" x14ac:dyDescent="0.25">
      <c r="A6563" s="6">
        <v>7758</v>
      </c>
      <c r="B6563" s="6">
        <v>55520</v>
      </c>
      <c r="C6563" s="19">
        <v>40670</v>
      </c>
      <c r="D6563" s="6" t="s">
        <v>30</v>
      </c>
      <c r="E6563" s="6">
        <f>IF((ISBLANK($B$1)),"",Sheet1!Q6575)</f>
        <v>5550</v>
      </c>
      <c r="F6563" s="20" t="s">
        <v>27</v>
      </c>
      <c r="G6563" s="53">
        <f t="shared" si="103"/>
        <v>1.2031220549314123</v>
      </c>
      <c r="H6563" s="35"/>
      <c r="P6563" s="6"/>
    </row>
    <row r="6564" spans="1:16" ht="14.4" x14ac:dyDescent="0.25">
      <c r="A6564" s="6">
        <v>7778</v>
      </c>
      <c r="B6564" s="6">
        <v>55653</v>
      </c>
      <c r="C6564" s="19">
        <v>40508</v>
      </c>
      <c r="D6564" s="6" t="s">
        <v>16</v>
      </c>
      <c r="E6564" s="6">
        <f>IF((ISBLANK($B$1)),"",Sheet1!Q6576)</f>
        <v>5100</v>
      </c>
      <c r="F6564" s="20" t="s">
        <v>27</v>
      </c>
      <c r="G6564" s="53">
        <f t="shared" si="103"/>
        <v>0.58169263221211776</v>
      </c>
      <c r="H6564" s="35"/>
      <c r="P6564" s="6"/>
    </row>
    <row r="6565" spans="1:16" ht="14.4" x14ac:dyDescent="0.25">
      <c r="A6565" s="6">
        <v>7909</v>
      </c>
      <c r="B6565" s="6">
        <v>56577</v>
      </c>
      <c r="C6565" s="19">
        <v>40849</v>
      </c>
      <c r="D6565" s="6" t="s">
        <v>30</v>
      </c>
      <c r="E6565" s="6">
        <f>IF((ISBLANK($B$1)),"",Sheet1!Q6577)</f>
        <v>4900</v>
      </c>
      <c r="F6565" s="20" t="s">
        <v>29</v>
      </c>
      <c r="G6565" s="53">
        <f t="shared" si="103"/>
        <v>0.30550177767020903</v>
      </c>
      <c r="H6565" s="35"/>
      <c r="P6565" s="6"/>
    </row>
    <row r="6566" spans="1:16" ht="14.4" x14ac:dyDescent="0.25">
      <c r="A6566" s="6">
        <v>7940</v>
      </c>
      <c r="B6566" s="6">
        <v>56711</v>
      </c>
      <c r="C6566" s="19">
        <v>40580</v>
      </c>
      <c r="D6566" s="6" t="s">
        <v>25</v>
      </c>
      <c r="E6566" s="6">
        <f>IF((ISBLANK($B$1)),"",Sheet1!Q6578)</f>
        <v>4650</v>
      </c>
      <c r="F6566" s="20" t="s">
        <v>26</v>
      </c>
      <c r="G6566" s="53">
        <f t="shared" si="103"/>
        <v>-3.9736790507176829E-2</v>
      </c>
      <c r="H6566" s="35"/>
      <c r="P6566" s="6"/>
    </row>
    <row r="6567" spans="1:16" ht="14.4" x14ac:dyDescent="0.25">
      <c r="A6567" s="6">
        <v>7947</v>
      </c>
      <c r="B6567" s="6">
        <v>56769</v>
      </c>
      <c r="C6567" s="19">
        <v>40511</v>
      </c>
      <c r="D6567" s="6" t="s">
        <v>16</v>
      </c>
      <c r="E6567" s="6">
        <f>IF((ISBLANK($B$1)),"",Sheet1!Q6579)</f>
        <v>3950</v>
      </c>
      <c r="F6567" s="20" t="s">
        <v>29</v>
      </c>
      <c r="G6567" s="53">
        <f t="shared" si="103"/>
        <v>-1.0064047814038573</v>
      </c>
      <c r="H6567" s="35"/>
      <c r="P6567" s="6"/>
    </row>
    <row r="6568" spans="1:16" ht="14.4" x14ac:dyDescent="0.25">
      <c r="A6568" s="6">
        <v>8040</v>
      </c>
      <c r="B6568" s="6">
        <v>57440</v>
      </c>
      <c r="C6568" s="19">
        <v>40382</v>
      </c>
      <c r="D6568" s="6" t="s">
        <v>25</v>
      </c>
      <c r="E6568" s="6">
        <f>IF((ISBLANK($B$1)),"",Sheet1!Q6580)</f>
        <v>4000</v>
      </c>
      <c r="F6568" s="20" t="s">
        <v>27</v>
      </c>
      <c r="G6568" s="53">
        <f t="shared" si="103"/>
        <v>-0.93735706776838001</v>
      </c>
      <c r="H6568" s="35"/>
      <c r="P6568" s="6"/>
    </row>
    <row r="6569" spans="1:16" ht="14.4" x14ac:dyDescent="0.25">
      <c r="A6569" s="6">
        <v>8108</v>
      </c>
      <c r="B6569" s="6">
        <v>57889</v>
      </c>
      <c r="C6569" s="19">
        <v>40275</v>
      </c>
      <c r="D6569" s="6" t="s">
        <v>25</v>
      </c>
      <c r="E6569" s="6">
        <f>IF((ISBLANK($B$1)),"",Sheet1!Q6581)</f>
        <v>5350</v>
      </c>
      <c r="F6569" s="20" t="s">
        <v>27</v>
      </c>
      <c r="G6569" s="53">
        <f t="shared" si="103"/>
        <v>0.92693120038950361</v>
      </c>
      <c r="H6569" s="35"/>
      <c r="P6569" s="6"/>
    </row>
    <row r="6570" spans="1:16" ht="14.4" x14ac:dyDescent="0.25">
      <c r="A6570" s="6">
        <v>8188</v>
      </c>
      <c r="B6570" s="6">
        <v>58564</v>
      </c>
      <c r="C6570" s="19">
        <v>41225</v>
      </c>
      <c r="D6570" s="6" t="s">
        <v>30</v>
      </c>
      <c r="E6570" s="6">
        <f>IF((ISBLANK($B$1)),"",Sheet1!Q6582)</f>
        <v>5850</v>
      </c>
      <c r="F6570" s="20" t="s">
        <v>26</v>
      </c>
      <c r="G6570" s="53">
        <f t="shared" si="103"/>
        <v>1.6174083367442753</v>
      </c>
      <c r="H6570" s="35"/>
      <c r="P6570" s="6"/>
    </row>
    <row r="6571" spans="1:16" ht="14.4" x14ac:dyDescent="0.25">
      <c r="A6571" s="6">
        <v>8259</v>
      </c>
      <c r="B6571" s="6">
        <v>59072</v>
      </c>
      <c r="C6571" s="19">
        <v>39958</v>
      </c>
      <c r="D6571" s="6" t="s">
        <v>28</v>
      </c>
      <c r="E6571" s="6">
        <f>IF((ISBLANK($B$1)),"",Sheet1!Q6583)</f>
        <v>4000</v>
      </c>
      <c r="F6571" s="20" t="s">
        <v>26</v>
      </c>
      <c r="G6571" s="53">
        <f t="shared" si="103"/>
        <v>-0.93735706776838001</v>
      </c>
      <c r="H6571" s="35"/>
      <c r="P6571" s="6"/>
    </row>
    <row r="6572" spans="1:16" ht="14.4" x14ac:dyDescent="0.25">
      <c r="A6572" s="6">
        <v>8260</v>
      </c>
      <c r="B6572" s="6">
        <v>59072</v>
      </c>
      <c r="C6572" s="19">
        <v>39958</v>
      </c>
      <c r="D6572" s="6" t="s">
        <v>28</v>
      </c>
      <c r="E6572" s="6">
        <f>IF((ISBLANK($B$1)),"",Sheet1!Q6584)</f>
        <v>4500</v>
      </c>
      <c r="F6572" s="20" t="s">
        <v>26</v>
      </c>
      <c r="G6572" s="53">
        <f t="shared" si="103"/>
        <v>-0.24687993141360834</v>
      </c>
      <c r="H6572" s="35"/>
      <c r="P6572" s="6"/>
    </row>
    <row r="6573" spans="1:16" ht="14.4" x14ac:dyDescent="0.25">
      <c r="A6573" s="6">
        <v>8261</v>
      </c>
      <c r="B6573" s="6">
        <v>59072</v>
      </c>
      <c r="C6573" s="19">
        <v>39958</v>
      </c>
      <c r="D6573" s="6" t="s">
        <v>28</v>
      </c>
      <c r="E6573" s="6">
        <f>IF((ISBLANK($B$1)),"",Sheet1!Q6585)</f>
        <v>3500</v>
      </c>
      <c r="F6573" s="20" t="s">
        <v>27</v>
      </c>
      <c r="G6573" s="53">
        <f t="shared" si="103"/>
        <v>-1.6278342041231517</v>
      </c>
      <c r="H6573" s="35"/>
      <c r="P6573" s="6"/>
    </row>
    <row r="6574" spans="1:16" ht="14.4" x14ac:dyDescent="0.25">
      <c r="A6574" s="6">
        <v>8262</v>
      </c>
      <c r="B6574" s="6">
        <v>59072</v>
      </c>
      <c r="C6574" s="19">
        <v>39958</v>
      </c>
      <c r="D6574" s="6" t="s">
        <v>28</v>
      </c>
      <c r="E6574" s="6">
        <f>IF((ISBLANK($B$1)),"",Sheet1!Q6586)</f>
        <v>5300</v>
      </c>
      <c r="F6574" s="20" t="s">
        <v>27</v>
      </c>
      <c r="G6574" s="53">
        <f t="shared" si="103"/>
        <v>0.85788348675402637</v>
      </c>
      <c r="H6574" s="35"/>
      <c r="P6574" s="6"/>
    </row>
    <row r="6575" spans="1:16" ht="14.4" x14ac:dyDescent="0.25">
      <c r="A6575" s="6">
        <v>8346</v>
      </c>
      <c r="B6575" s="6">
        <v>59652</v>
      </c>
      <c r="C6575" s="19">
        <v>40570</v>
      </c>
      <c r="D6575" s="6" t="s">
        <v>16</v>
      </c>
      <c r="E6575" s="6">
        <f>IF((ISBLANK($B$1)),"",Sheet1!Q6587)</f>
        <v>4250</v>
      </c>
      <c r="F6575" s="20" t="s">
        <v>27</v>
      </c>
      <c r="G6575" s="53">
        <f t="shared" si="103"/>
        <v>-0.59211849959099416</v>
      </c>
      <c r="H6575" s="35"/>
      <c r="P6575" s="6"/>
    </row>
    <row r="6576" spans="1:16" ht="14.4" x14ac:dyDescent="0.25">
      <c r="A6576" s="6">
        <v>8371</v>
      </c>
      <c r="B6576" s="6">
        <v>59783</v>
      </c>
      <c r="C6576" s="19">
        <v>40409</v>
      </c>
      <c r="D6576" s="6" t="s">
        <v>25</v>
      </c>
      <c r="E6576" s="6">
        <f>IF((ISBLANK($B$1)),"",Sheet1!Q6588)</f>
        <v>5200</v>
      </c>
      <c r="F6576" s="20" t="s">
        <v>26</v>
      </c>
      <c r="G6576" s="53">
        <f t="shared" si="103"/>
        <v>0.71978805948307201</v>
      </c>
      <c r="H6576" s="35"/>
      <c r="P6576" s="6"/>
    </row>
    <row r="6577" spans="1:16" ht="14.4" x14ac:dyDescent="0.25">
      <c r="A6577" s="6">
        <v>30</v>
      </c>
      <c r="B6577" s="6">
        <v>195</v>
      </c>
      <c r="C6577" s="19">
        <v>40539</v>
      </c>
      <c r="D6577" s="6" t="s">
        <v>16</v>
      </c>
      <c r="E6577" s="6">
        <f>IF((ISBLANK($B$1)),"",Sheet1!Q6589)</f>
        <v>5100</v>
      </c>
      <c r="F6577" s="20" t="s">
        <v>26</v>
      </c>
      <c r="G6577" s="53">
        <f t="shared" si="103"/>
        <v>0.58169263221211776</v>
      </c>
      <c r="H6577" s="35"/>
      <c r="P6577" s="6"/>
    </row>
    <row r="6578" spans="1:16" ht="14.4" x14ac:dyDescent="0.25">
      <c r="A6578" s="6">
        <v>32</v>
      </c>
      <c r="B6578" s="6">
        <v>224</v>
      </c>
      <c r="C6578" s="19">
        <v>39981</v>
      </c>
      <c r="D6578" s="6" t="s">
        <v>28</v>
      </c>
      <c r="E6578" s="6">
        <f>IF((ISBLANK($B$1)),"",Sheet1!Q6590)</f>
        <v>4650</v>
      </c>
      <c r="F6578" s="20" t="s">
        <v>29</v>
      </c>
      <c r="G6578" s="53">
        <f t="shared" si="103"/>
        <v>-3.9736790507176829E-2</v>
      </c>
      <c r="H6578" s="35"/>
      <c r="P6578" s="6"/>
    </row>
    <row r="6579" spans="1:16" ht="14.4" x14ac:dyDescent="0.25">
      <c r="A6579" s="6">
        <v>33</v>
      </c>
      <c r="B6579" s="6">
        <v>224</v>
      </c>
      <c r="C6579" s="19">
        <v>39981</v>
      </c>
      <c r="D6579" s="6" t="s">
        <v>28</v>
      </c>
      <c r="E6579" s="6">
        <f>IF((ISBLANK($B$1)),"",Sheet1!Q6591)</f>
        <v>5600</v>
      </c>
      <c r="F6579" s="20" t="s">
        <v>26</v>
      </c>
      <c r="G6579" s="53">
        <f t="shared" si="103"/>
        <v>1.2721697685668893</v>
      </c>
      <c r="H6579" s="35"/>
      <c r="P6579" s="6"/>
    </row>
    <row r="6580" spans="1:16" ht="14.4" x14ac:dyDescent="0.25">
      <c r="A6580" s="6">
        <v>34</v>
      </c>
      <c r="B6580" s="6">
        <v>224</v>
      </c>
      <c r="C6580" s="19">
        <v>39981</v>
      </c>
      <c r="D6580" s="6" t="s">
        <v>28</v>
      </c>
      <c r="E6580" s="6">
        <f>IF((ISBLANK($B$1)),"",Sheet1!Q6592)</f>
        <v>5050</v>
      </c>
      <c r="F6580" s="20" t="s">
        <v>26</v>
      </c>
      <c r="G6580" s="53">
        <f t="shared" si="103"/>
        <v>0.51264491857664052</v>
      </c>
      <c r="H6580" s="35"/>
      <c r="P6580" s="6"/>
    </row>
    <row r="6581" spans="1:16" ht="14.4" x14ac:dyDescent="0.25">
      <c r="A6581" s="6">
        <v>46</v>
      </c>
      <c r="B6581" s="6">
        <v>263</v>
      </c>
      <c r="C6581" s="19">
        <v>39949</v>
      </c>
      <c r="D6581" s="6" t="s">
        <v>17</v>
      </c>
      <c r="E6581" s="6">
        <f>IF((ISBLANK($B$1)),"",Sheet1!Q6593)</f>
        <v>4650</v>
      </c>
      <c r="F6581" s="20" t="s">
        <v>26</v>
      </c>
      <c r="G6581" s="53">
        <f t="shared" si="103"/>
        <v>-3.9736790507176829E-2</v>
      </c>
      <c r="H6581" s="35"/>
      <c r="P6581" s="6"/>
    </row>
    <row r="6582" spans="1:16" ht="14.4" x14ac:dyDescent="0.25">
      <c r="A6582" s="6">
        <v>60</v>
      </c>
      <c r="B6582" s="6">
        <v>353</v>
      </c>
      <c r="C6582" s="19">
        <v>40542</v>
      </c>
      <c r="D6582" s="6" t="s">
        <v>25</v>
      </c>
      <c r="E6582" s="6">
        <f>IF((ISBLANK($B$1)),"",Sheet1!Q6594)</f>
        <v>4450</v>
      </c>
      <c r="F6582" s="20" t="s">
        <v>26</v>
      </c>
      <c r="G6582" s="53">
        <f t="shared" si="103"/>
        <v>-0.31592764504908549</v>
      </c>
      <c r="H6582" s="35"/>
      <c r="P6582" s="6"/>
    </row>
    <row r="6583" spans="1:16" ht="14.4" x14ac:dyDescent="0.25">
      <c r="A6583" s="6">
        <v>70</v>
      </c>
      <c r="B6583" s="6">
        <v>417</v>
      </c>
      <c r="C6583" s="19">
        <v>39849</v>
      </c>
      <c r="D6583" s="6" t="s">
        <v>16</v>
      </c>
      <c r="E6583" s="6">
        <f>IF((ISBLANK($B$1)),"",Sheet1!Q6595)</f>
        <v>5350</v>
      </c>
      <c r="F6583" s="20" t="s">
        <v>27</v>
      </c>
      <c r="G6583" s="53">
        <f t="shared" si="103"/>
        <v>0.92693120038950361</v>
      </c>
      <c r="H6583" s="35"/>
      <c r="P6583" s="6"/>
    </row>
    <row r="6584" spans="1:16" ht="14.4" x14ac:dyDescent="0.25">
      <c r="A6584" s="6">
        <v>71</v>
      </c>
      <c r="B6584" s="6">
        <v>417</v>
      </c>
      <c r="C6584" s="19">
        <v>39849</v>
      </c>
      <c r="D6584" s="6" t="s">
        <v>16</v>
      </c>
      <c r="E6584" s="6">
        <f>IF((ISBLANK($B$1)),"",Sheet1!Q6596)</f>
        <v>3550</v>
      </c>
      <c r="F6584" s="20" t="s">
        <v>26</v>
      </c>
      <c r="G6584" s="53">
        <f t="shared" si="103"/>
        <v>-1.5587864904876745</v>
      </c>
      <c r="H6584" s="35"/>
      <c r="P6584" s="6"/>
    </row>
    <row r="6585" spans="1:16" ht="14.4" x14ac:dyDescent="0.25">
      <c r="A6585" s="6">
        <v>74</v>
      </c>
      <c r="B6585" s="6">
        <v>448</v>
      </c>
      <c r="C6585" s="19">
        <v>40775</v>
      </c>
      <c r="D6585" s="6" t="s">
        <v>16</v>
      </c>
      <c r="E6585" s="6">
        <f>IF((ISBLANK($B$1)),"",Sheet1!Q6597)</f>
        <v>4500</v>
      </c>
      <c r="F6585" s="20" t="s">
        <v>27</v>
      </c>
      <c r="G6585" s="53">
        <f t="shared" si="103"/>
        <v>-0.24687993141360834</v>
      </c>
      <c r="H6585" s="35"/>
      <c r="P6585" s="6"/>
    </row>
    <row r="6586" spans="1:16" ht="14.4" x14ac:dyDescent="0.25">
      <c r="A6586" s="6">
        <v>137</v>
      </c>
      <c r="B6586" s="6">
        <v>871</v>
      </c>
      <c r="C6586" s="19">
        <v>40861</v>
      </c>
      <c r="D6586" s="6" t="s">
        <v>25</v>
      </c>
      <c r="E6586" s="6">
        <f>IF((ISBLANK($B$1)),"",Sheet1!Q6598)</f>
        <v>4250</v>
      </c>
      <c r="F6586" s="20" t="s">
        <v>29</v>
      </c>
      <c r="G6586" s="53">
        <f t="shared" si="103"/>
        <v>-0.59211849959099416</v>
      </c>
      <c r="H6586" s="35"/>
      <c r="P6586" s="6"/>
    </row>
    <row r="6587" spans="1:16" ht="14.4" x14ac:dyDescent="0.25">
      <c r="A6587" s="6">
        <v>145</v>
      </c>
      <c r="B6587" s="6">
        <v>929</v>
      </c>
      <c r="C6587" s="19">
        <v>41183</v>
      </c>
      <c r="D6587" s="6" t="s">
        <v>17</v>
      </c>
      <c r="E6587" s="6">
        <f>IF((ISBLANK($B$1)),"",Sheet1!Q6599)</f>
        <v>4450</v>
      </c>
      <c r="F6587" s="20" t="s">
        <v>27</v>
      </c>
      <c r="G6587" s="53">
        <f t="shared" si="103"/>
        <v>-0.31592764504908549</v>
      </c>
      <c r="H6587" s="35"/>
      <c r="P6587" s="6"/>
    </row>
    <row r="6588" spans="1:16" ht="14.4" x14ac:dyDescent="0.25">
      <c r="A6588" s="6">
        <v>146</v>
      </c>
      <c r="B6588" s="6">
        <v>929</v>
      </c>
      <c r="C6588" s="19">
        <v>41183</v>
      </c>
      <c r="D6588" s="6" t="s">
        <v>17</v>
      </c>
      <c r="E6588" s="6">
        <f>IF((ISBLANK($B$1)),"",Sheet1!Q6600)</f>
        <v>5350</v>
      </c>
      <c r="F6588" s="20" t="s">
        <v>26</v>
      </c>
      <c r="G6588" s="53">
        <f t="shared" si="103"/>
        <v>0.92693120038950361</v>
      </c>
      <c r="H6588" s="35"/>
      <c r="P6588" s="6"/>
    </row>
    <row r="6589" spans="1:16" ht="14.4" x14ac:dyDescent="0.25">
      <c r="A6589" s="6">
        <v>156</v>
      </c>
      <c r="B6589" s="6">
        <v>967</v>
      </c>
      <c r="C6589" s="19">
        <v>41080</v>
      </c>
      <c r="D6589" s="6" t="s">
        <v>16</v>
      </c>
      <c r="E6589" s="6">
        <f>IF((ISBLANK($B$1)),"",Sheet1!Q6601)</f>
        <v>3700</v>
      </c>
      <c r="F6589" s="20" t="s">
        <v>27</v>
      </c>
      <c r="G6589" s="53">
        <f t="shared" si="103"/>
        <v>-1.351643349581243</v>
      </c>
      <c r="H6589" s="35"/>
      <c r="P6589" s="6"/>
    </row>
    <row r="6590" spans="1:16" ht="14.4" x14ac:dyDescent="0.25">
      <c r="A6590" s="6">
        <v>157</v>
      </c>
      <c r="B6590" s="6">
        <v>967</v>
      </c>
      <c r="C6590" s="19">
        <v>41080</v>
      </c>
      <c r="D6590" s="6" t="s">
        <v>16</v>
      </c>
      <c r="E6590" s="6">
        <f>IF((ISBLANK($B$1)),"",Sheet1!Q6602)</f>
        <v>5500</v>
      </c>
      <c r="F6590" s="20" t="s">
        <v>26</v>
      </c>
      <c r="G6590" s="53">
        <f t="shared" si="103"/>
        <v>1.1340743412959351</v>
      </c>
      <c r="H6590" s="35"/>
      <c r="P6590" s="6"/>
    </row>
    <row r="6591" spans="1:16" ht="14.4" x14ac:dyDescent="0.25">
      <c r="A6591" s="6">
        <v>158</v>
      </c>
      <c r="B6591" s="6">
        <v>967</v>
      </c>
      <c r="C6591" s="19">
        <v>41080</v>
      </c>
      <c r="D6591" s="6" t="s">
        <v>16</v>
      </c>
      <c r="E6591" s="6">
        <f>IF((ISBLANK($B$1)),"",Sheet1!Q6603)</f>
        <v>5800</v>
      </c>
      <c r="F6591" s="20" t="s">
        <v>29</v>
      </c>
      <c r="G6591" s="53">
        <f t="shared" si="103"/>
        <v>1.5483606231087981</v>
      </c>
      <c r="H6591" s="35"/>
      <c r="P6591" s="6"/>
    </row>
    <row r="6592" spans="1:16" ht="14.4" x14ac:dyDescent="0.25">
      <c r="A6592" s="6">
        <v>212</v>
      </c>
      <c r="B6592" s="6">
        <v>1411</v>
      </c>
      <c r="C6592" s="19">
        <v>40167</v>
      </c>
      <c r="D6592" s="6" t="s">
        <v>17</v>
      </c>
      <c r="E6592" s="6">
        <f>IF((ISBLANK($B$1)),"",Sheet1!Q6604)</f>
        <v>5750</v>
      </c>
      <c r="F6592" s="20" t="s">
        <v>27</v>
      </c>
      <c r="G6592" s="53">
        <f t="shared" si="103"/>
        <v>1.4793129094733208</v>
      </c>
      <c r="H6592" s="35"/>
      <c r="P6592" s="6"/>
    </row>
    <row r="6593" spans="1:16" ht="14.4" x14ac:dyDescent="0.25">
      <c r="A6593" s="6">
        <v>235</v>
      </c>
      <c r="B6593" s="6">
        <v>1575</v>
      </c>
      <c r="C6593" s="19">
        <v>40798</v>
      </c>
      <c r="D6593" s="6" t="s">
        <v>16</v>
      </c>
      <c r="E6593" s="6">
        <f>IF((ISBLANK($B$1)),"",Sheet1!Q6605)</f>
        <v>4700</v>
      </c>
      <c r="F6593" s="20" t="s">
        <v>26</v>
      </c>
      <c r="G6593" s="53">
        <f t="shared" si="103"/>
        <v>2.9310923128300338E-2</v>
      </c>
      <c r="H6593" s="35"/>
      <c r="P6593" s="6"/>
    </row>
    <row r="6594" spans="1:16" ht="14.4" x14ac:dyDescent="0.25">
      <c r="A6594" s="6">
        <v>236</v>
      </c>
      <c r="B6594" s="6">
        <v>1575</v>
      </c>
      <c r="C6594" s="19">
        <v>40798</v>
      </c>
      <c r="D6594" s="6" t="s">
        <v>16</v>
      </c>
      <c r="E6594" s="6">
        <f>IF((ISBLANK($B$1)),"",Sheet1!Q6606)</f>
        <v>3900</v>
      </c>
      <c r="F6594" s="20" t="s">
        <v>27</v>
      </c>
      <c r="G6594" s="53">
        <f t="shared" si="103"/>
        <v>-1.0754524950393345</v>
      </c>
      <c r="H6594" s="35"/>
      <c r="P6594" s="6"/>
    </row>
    <row r="6595" spans="1:16" ht="14.4" x14ac:dyDescent="0.25">
      <c r="A6595" s="6">
        <v>240</v>
      </c>
      <c r="B6595" s="6">
        <v>1637</v>
      </c>
      <c r="C6595" s="19">
        <v>40581</v>
      </c>
      <c r="D6595" s="6" t="s">
        <v>28</v>
      </c>
      <c r="E6595" s="6">
        <f>IF((ISBLANK($B$1)),"",Sheet1!Q6607)</f>
        <v>5200</v>
      </c>
      <c r="F6595" s="20" t="s">
        <v>26</v>
      </c>
      <c r="G6595" s="53">
        <f t="shared" si="103"/>
        <v>0.71978805948307201</v>
      </c>
      <c r="H6595" s="35"/>
      <c r="P6595" s="6"/>
    </row>
    <row r="6596" spans="1:16" ht="14.4" x14ac:dyDescent="0.25">
      <c r="A6596" s="6">
        <v>241</v>
      </c>
      <c r="B6596" s="6">
        <v>1637</v>
      </c>
      <c r="C6596" s="19">
        <v>40581</v>
      </c>
      <c r="D6596" s="6" t="s">
        <v>28</v>
      </c>
      <c r="E6596" s="6">
        <f>IF((ISBLANK($B$1)),"",Sheet1!Q6608)</f>
        <v>3900</v>
      </c>
      <c r="F6596" s="20" t="s">
        <v>27</v>
      </c>
      <c r="G6596" s="53">
        <f t="shared" si="103"/>
        <v>-1.0754524950393345</v>
      </c>
      <c r="H6596" s="35"/>
      <c r="P6596" s="6"/>
    </row>
    <row r="6597" spans="1:16" ht="14.4" x14ac:dyDescent="0.25">
      <c r="A6597" s="6">
        <v>242</v>
      </c>
      <c r="B6597" s="6">
        <v>1637</v>
      </c>
      <c r="C6597" s="19">
        <v>40581</v>
      </c>
      <c r="D6597" s="6" t="s">
        <v>28</v>
      </c>
      <c r="E6597" s="6">
        <f>IF((ISBLANK($B$1)),"",Sheet1!Q6609)</f>
        <v>5750</v>
      </c>
      <c r="F6597" s="20" t="s">
        <v>26</v>
      </c>
      <c r="G6597" s="53">
        <f t="shared" si="103"/>
        <v>1.4793129094733208</v>
      </c>
      <c r="H6597" s="35"/>
      <c r="P6597" s="6"/>
    </row>
    <row r="6598" spans="1:16" ht="14.4" x14ac:dyDescent="0.25">
      <c r="A6598" s="6">
        <v>272</v>
      </c>
      <c r="B6598" s="6">
        <v>1888</v>
      </c>
      <c r="C6598" s="19">
        <v>40481</v>
      </c>
      <c r="D6598" s="6" t="s">
        <v>28</v>
      </c>
      <c r="E6598" s="6">
        <f>IF((ISBLANK($B$1)),"",Sheet1!Q6610)</f>
        <v>5300</v>
      </c>
      <c r="F6598" s="20" t="s">
        <v>29</v>
      </c>
      <c r="G6598" s="53">
        <f t="shared" si="103"/>
        <v>0.85788348675402637</v>
      </c>
      <c r="H6598" s="35"/>
      <c r="P6598" s="6"/>
    </row>
    <row r="6599" spans="1:16" ht="14.4" x14ac:dyDescent="0.25">
      <c r="A6599" s="6">
        <v>273</v>
      </c>
      <c r="B6599" s="6">
        <v>1888</v>
      </c>
      <c r="C6599" s="19">
        <v>40481</v>
      </c>
      <c r="D6599" s="6" t="s">
        <v>28</v>
      </c>
      <c r="E6599" s="6">
        <f>IF((ISBLANK($B$1)),"",Sheet1!Q6611)</f>
        <v>5150</v>
      </c>
      <c r="F6599" s="20" t="s">
        <v>26</v>
      </c>
      <c r="G6599" s="53">
        <f t="shared" si="103"/>
        <v>0.65074034584759488</v>
      </c>
      <c r="H6599" s="35"/>
      <c r="P6599" s="6"/>
    </row>
    <row r="6600" spans="1:16" ht="14.4" x14ac:dyDescent="0.25">
      <c r="A6600" s="6">
        <v>296</v>
      </c>
      <c r="B6600" s="6">
        <v>2052</v>
      </c>
      <c r="C6600" s="19">
        <v>41011</v>
      </c>
      <c r="D6600" s="6" t="s">
        <v>17</v>
      </c>
      <c r="E6600" s="6">
        <f>IF((ISBLANK($B$1)),"",Sheet1!Q6612)</f>
        <v>4550</v>
      </c>
      <c r="F6600" s="20" t="s">
        <v>26</v>
      </c>
      <c r="G6600" s="53">
        <f t="shared" ref="G6600:G6663" si="104">STANDARDIZE(E6600,$L$26,$L$35)</f>
        <v>-0.17783221777813119</v>
      </c>
      <c r="H6600" s="35"/>
      <c r="P6600" s="6"/>
    </row>
    <row r="6601" spans="1:16" ht="14.4" x14ac:dyDescent="0.25">
      <c r="A6601" s="6">
        <v>301</v>
      </c>
      <c r="B6601" s="6">
        <v>2055</v>
      </c>
      <c r="C6601" s="19">
        <v>40424</v>
      </c>
      <c r="D6601" s="6" t="s">
        <v>30</v>
      </c>
      <c r="E6601" s="6">
        <f>IF((ISBLANK($B$1)),"",Sheet1!Q6613)</f>
        <v>3750</v>
      </c>
      <c r="F6601" s="20" t="s">
        <v>26</v>
      </c>
      <c r="G6601" s="53">
        <f t="shared" si="104"/>
        <v>-1.282595635945766</v>
      </c>
      <c r="H6601" s="35"/>
      <c r="P6601" s="6"/>
    </row>
    <row r="6602" spans="1:16" ht="14.4" x14ac:dyDescent="0.25">
      <c r="A6602" s="6">
        <v>340</v>
      </c>
      <c r="B6602" s="6">
        <v>2309</v>
      </c>
      <c r="C6602" s="19">
        <v>40789</v>
      </c>
      <c r="D6602" s="6" t="s">
        <v>25</v>
      </c>
      <c r="E6602" s="6">
        <f>IF((ISBLANK($B$1)),"",Sheet1!Q6614)</f>
        <v>3750</v>
      </c>
      <c r="F6602" s="20" t="s">
        <v>26</v>
      </c>
      <c r="G6602" s="53">
        <f t="shared" si="104"/>
        <v>-1.282595635945766</v>
      </c>
      <c r="H6602" s="35"/>
      <c r="P6602" s="6"/>
    </row>
    <row r="6603" spans="1:16" ht="14.4" x14ac:dyDescent="0.25">
      <c r="A6603" s="6">
        <v>343</v>
      </c>
      <c r="B6603" s="6">
        <v>2341</v>
      </c>
      <c r="C6603" s="19">
        <v>40327</v>
      </c>
      <c r="D6603" s="6" t="s">
        <v>25</v>
      </c>
      <c r="E6603" s="6">
        <f>IF((ISBLANK($B$1)),"",Sheet1!Q6615)</f>
        <v>4850</v>
      </c>
      <c r="F6603" s="20" t="s">
        <v>26</v>
      </c>
      <c r="G6603" s="53">
        <f t="shared" si="104"/>
        <v>0.23645406403473185</v>
      </c>
      <c r="H6603" s="35"/>
      <c r="P6603" s="6"/>
    </row>
    <row r="6604" spans="1:16" ht="14.4" x14ac:dyDescent="0.25">
      <c r="A6604" s="6">
        <v>350</v>
      </c>
      <c r="B6604" s="6">
        <v>2436</v>
      </c>
      <c r="C6604" s="19">
        <v>40796</v>
      </c>
      <c r="D6604" s="6" t="s">
        <v>28</v>
      </c>
      <c r="E6604" s="6">
        <f>IF((ISBLANK($B$1)),"",Sheet1!Q6616)</f>
        <v>4100</v>
      </c>
      <c r="F6604" s="20" t="s">
        <v>26</v>
      </c>
      <c r="G6604" s="53">
        <f t="shared" si="104"/>
        <v>-0.79926164049742576</v>
      </c>
      <c r="H6604" s="35"/>
      <c r="P6604" s="6"/>
    </row>
    <row r="6605" spans="1:16" ht="14.4" x14ac:dyDescent="0.25">
      <c r="A6605" s="6">
        <v>357</v>
      </c>
      <c r="B6605" s="6">
        <v>2500</v>
      </c>
      <c r="C6605" s="19">
        <v>41135</v>
      </c>
      <c r="D6605" s="6" t="s">
        <v>17</v>
      </c>
      <c r="E6605" s="6">
        <f>IF((ISBLANK($B$1)),"",Sheet1!Q6617)</f>
        <v>3650</v>
      </c>
      <c r="F6605" s="20" t="s">
        <v>26</v>
      </c>
      <c r="G6605" s="53">
        <f t="shared" si="104"/>
        <v>-1.4206910632167202</v>
      </c>
      <c r="H6605" s="35"/>
      <c r="P6605" s="6"/>
    </row>
    <row r="6606" spans="1:16" ht="14.4" x14ac:dyDescent="0.25">
      <c r="A6606" s="6">
        <v>364</v>
      </c>
      <c r="B6606" s="6">
        <v>2535</v>
      </c>
      <c r="C6606" s="19">
        <v>40322</v>
      </c>
      <c r="D6606" s="6" t="s">
        <v>25</v>
      </c>
      <c r="E6606" s="6">
        <f>IF((ISBLANK($B$1)),"",Sheet1!Q6618)</f>
        <v>3700</v>
      </c>
      <c r="F6606" s="20" t="s">
        <v>27</v>
      </c>
      <c r="G6606" s="53">
        <f t="shared" si="104"/>
        <v>-1.351643349581243</v>
      </c>
      <c r="H6606" s="35"/>
      <c r="P6606" s="6"/>
    </row>
    <row r="6607" spans="1:16" ht="14.4" x14ac:dyDescent="0.25">
      <c r="A6607" s="6">
        <v>386</v>
      </c>
      <c r="B6607" s="6">
        <v>2658</v>
      </c>
      <c r="C6607" s="19">
        <v>40808</v>
      </c>
      <c r="D6607" s="6" t="s">
        <v>16</v>
      </c>
      <c r="E6607" s="6">
        <f>IF((ISBLANK($B$1)),"",Sheet1!Q6619)</f>
        <v>5100</v>
      </c>
      <c r="F6607" s="20" t="s">
        <v>26</v>
      </c>
      <c r="G6607" s="53">
        <f t="shared" si="104"/>
        <v>0.58169263221211776</v>
      </c>
      <c r="H6607" s="35"/>
      <c r="P6607" s="6"/>
    </row>
    <row r="6608" spans="1:16" ht="14.4" x14ac:dyDescent="0.25">
      <c r="A6608" s="6">
        <v>387</v>
      </c>
      <c r="B6608" s="6">
        <v>2658</v>
      </c>
      <c r="C6608" s="19">
        <v>40808</v>
      </c>
      <c r="D6608" s="6" t="s">
        <v>16</v>
      </c>
      <c r="E6608" s="6">
        <f>IF((ISBLANK($B$1)),"",Sheet1!Q6620)</f>
        <v>5000</v>
      </c>
      <c r="F6608" s="20" t="s">
        <v>26</v>
      </c>
      <c r="G6608" s="53">
        <f t="shared" si="104"/>
        <v>0.44359720494116334</v>
      </c>
      <c r="H6608" s="35"/>
      <c r="P6608" s="6"/>
    </row>
    <row r="6609" spans="1:16" ht="14.4" x14ac:dyDescent="0.25">
      <c r="A6609" s="6">
        <v>395</v>
      </c>
      <c r="B6609" s="6">
        <v>2725</v>
      </c>
      <c r="C6609" s="19">
        <v>39953</v>
      </c>
      <c r="D6609" s="6" t="s">
        <v>28</v>
      </c>
      <c r="E6609" s="6">
        <f>IF((ISBLANK($B$1)),"",Sheet1!Q6621)</f>
        <v>5350</v>
      </c>
      <c r="F6609" s="20" t="s">
        <v>27</v>
      </c>
      <c r="G6609" s="53">
        <f t="shared" si="104"/>
        <v>0.92693120038950361</v>
      </c>
      <c r="H6609" s="35"/>
      <c r="P6609" s="6"/>
    </row>
    <row r="6610" spans="1:16" ht="14.4" x14ac:dyDescent="0.25">
      <c r="A6610" s="6">
        <v>404</v>
      </c>
      <c r="B6610" s="6">
        <v>2756</v>
      </c>
      <c r="C6610" s="19">
        <v>39920</v>
      </c>
      <c r="D6610" s="6" t="s">
        <v>30</v>
      </c>
      <c r="E6610" s="6">
        <f>IF((ISBLANK($B$1)),"",Sheet1!Q6622)</f>
        <v>4650</v>
      </c>
      <c r="F6610" s="20" t="s">
        <v>27</v>
      </c>
      <c r="G6610" s="53">
        <f t="shared" si="104"/>
        <v>-3.9736790507176829E-2</v>
      </c>
      <c r="H6610" s="35"/>
      <c r="P6610" s="6"/>
    </row>
    <row r="6611" spans="1:16" ht="14.4" x14ac:dyDescent="0.25">
      <c r="A6611" s="6">
        <v>405</v>
      </c>
      <c r="B6611" s="6">
        <v>2756</v>
      </c>
      <c r="C6611" s="19">
        <v>39920</v>
      </c>
      <c r="D6611" s="6" t="s">
        <v>30</v>
      </c>
      <c r="E6611" s="6">
        <f>IF((ISBLANK($B$1)),"",Sheet1!Q6623)</f>
        <v>5500</v>
      </c>
      <c r="F6611" s="20" t="s">
        <v>26</v>
      </c>
      <c r="G6611" s="53">
        <f t="shared" si="104"/>
        <v>1.1340743412959351</v>
      </c>
      <c r="H6611" s="35"/>
      <c r="P6611" s="6"/>
    </row>
    <row r="6612" spans="1:16" ht="14.4" x14ac:dyDescent="0.25">
      <c r="A6612" s="6">
        <v>428</v>
      </c>
      <c r="B6612" s="6">
        <v>2853</v>
      </c>
      <c r="C6612" s="19">
        <v>39937</v>
      </c>
      <c r="D6612" s="6" t="s">
        <v>17</v>
      </c>
      <c r="E6612" s="6">
        <f>IF((ISBLANK($B$1)),"",Sheet1!Q6624)</f>
        <v>4650</v>
      </c>
      <c r="F6612" s="20" t="s">
        <v>26</v>
      </c>
      <c r="G6612" s="53">
        <f t="shared" si="104"/>
        <v>-3.9736790507176829E-2</v>
      </c>
      <c r="H6612" s="35"/>
      <c r="P6612" s="6"/>
    </row>
    <row r="6613" spans="1:16" ht="14.4" x14ac:dyDescent="0.25">
      <c r="A6613" s="6">
        <v>436</v>
      </c>
      <c r="B6613" s="6">
        <v>2914</v>
      </c>
      <c r="C6613" s="19">
        <v>40239</v>
      </c>
      <c r="D6613" s="6" t="s">
        <v>16</v>
      </c>
      <c r="E6613" s="6">
        <f>IF((ISBLANK($B$1)),"",Sheet1!Q6625)</f>
        <v>3550</v>
      </c>
      <c r="F6613" s="20" t="s">
        <v>26</v>
      </c>
      <c r="G6613" s="53">
        <f t="shared" si="104"/>
        <v>-1.5587864904876745</v>
      </c>
      <c r="H6613" s="35"/>
      <c r="P6613" s="6"/>
    </row>
    <row r="6614" spans="1:16" ht="14.4" x14ac:dyDescent="0.25">
      <c r="A6614" s="6">
        <v>441</v>
      </c>
      <c r="B6614" s="6">
        <v>2978</v>
      </c>
      <c r="C6614" s="19">
        <v>40665</v>
      </c>
      <c r="D6614" s="6" t="s">
        <v>30</v>
      </c>
      <c r="E6614" s="6">
        <f>IF((ISBLANK($B$1)),"",Sheet1!Q6626)</f>
        <v>5100</v>
      </c>
      <c r="F6614" s="20" t="s">
        <v>27</v>
      </c>
      <c r="G6614" s="53">
        <f t="shared" si="104"/>
        <v>0.58169263221211776</v>
      </c>
      <c r="H6614" s="35"/>
      <c r="P6614" s="6"/>
    </row>
    <row r="6615" spans="1:16" ht="14.4" x14ac:dyDescent="0.25">
      <c r="A6615" s="6">
        <v>442</v>
      </c>
      <c r="B6615" s="6">
        <v>2978</v>
      </c>
      <c r="C6615" s="19">
        <v>40665</v>
      </c>
      <c r="D6615" s="6" t="s">
        <v>30</v>
      </c>
      <c r="E6615" s="6">
        <f>IF((ISBLANK($B$1)),"",Sheet1!Q6627)</f>
        <v>5200</v>
      </c>
      <c r="F6615" s="20" t="s">
        <v>26</v>
      </c>
      <c r="G6615" s="53">
        <f t="shared" si="104"/>
        <v>0.71978805948307201</v>
      </c>
      <c r="H6615" s="35"/>
      <c r="P6615" s="6"/>
    </row>
    <row r="6616" spans="1:16" ht="14.4" x14ac:dyDescent="0.25">
      <c r="A6616" s="6">
        <v>444</v>
      </c>
      <c r="B6616" s="6">
        <v>3008</v>
      </c>
      <c r="C6616" s="19">
        <v>40854</v>
      </c>
      <c r="D6616" s="6" t="s">
        <v>16</v>
      </c>
      <c r="E6616" s="6">
        <f>IF((ISBLANK($B$1)),"",Sheet1!Q6628)</f>
        <v>5450</v>
      </c>
      <c r="F6616" s="20" t="s">
        <v>26</v>
      </c>
      <c r="G6616" s="53">
        <f t="shared" si="104"/>
        <v>1.0650266276604579</v>
      </c>
      <c r="H6616" s="35"/>
      <c r="P6616" s="6"/>
    </row>
    <row r="6617" spans="1:16" ht="14.4" x14ac:dyDescent="0.25">
      <c r="A6617" s="6">
        <v>448</v>
      </c>
      <c r="B6617" s="6">
        <v>3042</v>
      </c>
      <c r="C6617" s="19">
        <v>40137</v>
      </c>
      <c r="D6617" s="6" t="s">
        <v>16</v>
      </c>
      <c r="E6617" s="6">
        <f>IF((ISBLANK($B$1)),"",Sheet1!Q6629)</f>
        <v>4700</v>
      </c>
      <c r="F6617" s="20" t="s">
        <v>26</v>
      </c>
      <c r="G6617" s="53">
        <f t="shared" si="104"/>
        <v>2.9310923128300338E-2</v>
      </c>
      <c r="H6617" s="35"/>
      <c r="P6617" s="6"/>
    </row>
    <row r="6618" spans="1:16" ht="14.4" x14ac:dyDescent="0.25">
      <c r="A6618" s="6">
        <v>453</v>
      </c>
      <c r="B6618" s="6">
        <v>3078</v>
      </c>
      <c r="C6618" s="19">
        <v>40220</v>
      </c>
      <c r="D6618" s="6" t="s">
        <v>17</v>
      </c>
      <c r="E6618" s="6">
        <f>IF((ISBLANK($B$1)),"",Sheet1!Q6630)</f>
        <v>4000</v>
      </c>
      <c r="F6618" s="20" t="s">
        <v>26</v>
      </c>
      <c r="G6618" s="53">
        <f t="shared" si="104"/>
        <v>-0.93735706776838001</v>
      </c>
      <c r="H6618" s="35"/>
      <c r="P6618" s="6"/>
    </row>
    <row r="6619" spans="1:16" ht="14.4" x14ac:dyDescent="0.25">
      <c r="A6619" s="6">
        <v>467</v>
      </c>
      <c r="B6619" s="6">
        <v>3175</v>
      </c>
      <c r="C6619" s="19">
        <v>40008</v>
      </c>
      <c r="D6619" s="6" t="s">
        <v>25</v>
      </c>
      <c r="E6619" s="6">
        <f>IF((ISBLANK($B$1)),"",Sheet1!Q6631)</f>
        <v>4550</v>
      </c>
      <c r="F6619" s="20" t="s">
        <v>26</v>
      </c>
      <c r="G6619" s="53">
        <f t="shared" si="104"/>
        <v>-0.17783221777813119</v>
      </c>
      <c r="H6619" s="35"/>
      <c r="P6619" s="6"/>
    </row>
    <row r="6620" spans="1:16" ht="14.4" x14ac:dyDescent="0.25">
      <c r="A6620" s="6">
        <v>477</v>
      </c>
      <c r="B6620" s="6">
        <v>3300</v>
      </c>
      <c r="C6620" s="19">
        <v>40738</v>
      </c>
      <c r="D6620" s="6" t="s">
        <v>25</v>
      </c>
      <c r="E6620" s="6">
        <f>IF((ISBLANK($B$1)),"",Sheet1!Q6632)</f>
        <v>3700</v>
      </c>
      <c r="F6620" s="20" t="s">
        <v>27</v>
      </c>
      <c r="G6620" s="53">
        <f t="shared" si="104"/>
        <v>-1.351643349581243</v>
      </c>
      <c r="H6620" s="35"/>
      <c r="P6620" s="6"/>
    </row>
    <row r="6621" spans="1:16" ht="14.4" x14ac:dyDescent="0.25">
      <c r="A6621" s="6">
        <v>478</v>
      </c>
      <c r="B6621" s="6">
        <v>3328</v>
      </c>
      <c r="C6621" s="19">
        <v>41231</v>
      </c>
      <c r="D6621" s="6" t="s">
        <v>25</v>
      </c>
      <c r="E6621" s="6">
        <f>IF((ISBLANK($B$1)),"",Sheet1!Q6633)</f>
        <v>4000</v>
      </c>
      <c r="F6621" s="20" t="s">
        <v>29</v>
      </c>
      <c r="G6621" s="53">
        <f t="shared" si="104"/>
        <v>-0.93735706776838001</v>
      </c>
      <c r="H6621" s="35"/>
      <c r="P6621" s="6"/>
    </row>
    <row r="6622" spans="1:16" ht="14.4" x14ac:dyDescent="0.25">
      <c r="A6622" s="6">
        <v>514</v>
      </c>
      <c r="B6622" s="6">
        <v>3525</v>
      </c>
      <c r="C6622" s="19">
        <v>40898</v>
      </c>
      <c r="D6622" s="6" t="s">
        <v>28</v>
      </c>
      <c r="E6622" s="6">
        <f>IF((ISBLANK($B$1)),"",Sheet1!Q6634)</f>
        <v>5300</v>
      </c>
      <c r="F6622" s="20" t="s">
        <v>26</v>
      </c>
      <c r="G6622" s="53">
        <f t="shared" si="104"/>
        <v>0.85788348675402637</v>
      </c>
      <c r="H6622" s="35"/>
      <c r="P6622" s="6"/>
    </row>
    <row r="6623" spans="1:16" ht="14.4" x14ac:dyDescent="0.25">
      <c r="A6623" s="6">
        <v>515</v>
      </c>
      <c r="B6623" s="6">
        <v>3526</v>
      </c>
      <c r="C6623" s="19">
        <v>40617</v>
      </c>
      <c r="D6623" s="6" t="s">
        <v>25</v>
      </c>
      <c r="E6623" s="6">
        <f>IF((ISBLANK($B$1)),"",Sheet1!Q6635)</f>
        <v>4400</v>
      </c>
      <c r="F6623" s="20" t="s">
        <v>29</v>
      </c>
      <c r="G6623" s="53">
        <f t="shared" si="104"/>
        <v>-0.38497535868456267</v>
      </c>
      <c r="H6623" s="35"/>
      <c r="P6623" s="6"/>
    </row>
    <row r="6624" spans="1:16" ht="14.4" x14ac:dyDescent="0.25">
      <c r="A6624" s="6">
        <v>532</v>
      </c>
      <c r="B6624" s="6">
        <v>3621</v>
      </c>
      <c r="C6624" s="19">
        <v>40303</v>
      </c>
      <c r="D6624" s="6" t="s">
        <v>16</v>
      </c>
      <c r="E6624" s="6">
        <f>IF((ISBLANK($B$1)),"",Sheet1!Q6636)</f>
        <v>4100</v>
      </c>
      <c r="F6624" s="20" t="s">
        <v>26</v>
      </c>
      <c r="G6624" s="53">
        <f t="shared" si="104"/>
        <v>-0.79926164049742576</v>
      </c>
      <c r="H6624" s="35"/>
      <c r="P6624" s="6"/>
    </row>
    <row r="6625" spans="1:16" ht="14.4" x14ac:dyDescent="0.25">
      <c r="A6625" s="6">
        <v>536</v>
      </c>
      <c r="B6625" s="6">
        <v>3649</v>
      </c>
      <c r="C6625" s="19">
        <v>39999</v>
      </c>
      <c r="D6625" s="6" t="s">
        <v>25</v>
      </c>
      <c r="E6625" s="6">
        <f>IF((ISBLANK($B$1)),"",Sheet1!Q6637)</f>
        <v>3800</v>
      </c>
      <c r="F6625" s="20" t="s">
        <v>26</v>
      </c>
      <c r="G6625" s="53">
        <f t="shared" si="104"/>
        <v>-1.2135479223102887</v>
      </c>
      <c r="H6625" s="35"/>
      <c r="P6625" s="6"/>
    </row>
    <row r="6626" spans="1:16" ht="14.4" x14ac:dyDescent="0.25">
      <c r="A6626" s="6">
        <v>537</v>
      </c>
      <c r="B6626" s="6">
        <v>3649</v>
      </c>
      <c r="C6626" s="19">
        <v>39999</v>
      </c>
      <c r="D6626" s="6" t="s">
        <v>25</v>
      </c>
      <c r="E6626" s="6">
        <f>IF((ISBLANK($B$1)),"",Sheet1!Q6638)</f>
        <v>4700</v>
      </c>
      <c r="F6626" s="20" t="s">
        <v>26</v>
      </c>
      <c r="G6626" s="53">
        <f t="shared" si="104"/>
        <v>2.9310923128300338E-2</v>
      </c>
      <c r="H6626" s="35"/>
      <c r="P6626" s="6"/>
    </row>
    <row r="6627" spans="1:16" ht="14.4" x14ac:dyDescent="0.25">
      <c r="A6627" s="6">
        <v>541</v>
      </c>
      <c r="B6627" s="6">
        <v>3654</v>
      </c>
      <c r="C6627" s="19">
        <v>41062</v>
      </c>
      <c r="D6627" s="6" t="s">
        <v>25</v>
      </c>
      <c r="E6627" s="6">
        <f>IF((ISBLANK($B$1)),"",Sheet1!Q6639)</f>
        <v>5450</v>
      </c>
      <c r="F6627" s="20" t="s">
        <v>29</v>
      </c>
      <c r="G6627" s="53">
        <f t="shared" si="104"/>
        <v>1.0650266276604579</v>
      </c>
      <c r="H6627" s="35"/>
      <c r="P6627" s="6"/>
    </row>
    <row r="6628" spans="1:16" ht="14.4" x14ac:dyDescent="0.25">
      <c r="A6628" s="6">
        <v>565</v>
      </c>
      <c r="B6628" s="6">
        <v>3814</v>
      </c>
      <c r="C6628" s="19">
        <v>40595</v>
      </c>
      <c r="D6628" s="6" t="s">
        <v>25</v>
      </c>
      <c r="E6628" s="6">
        <f>IF((ISBLANK($B$1)),"",Sheet1!Q6640)</f>
        <v>5550</v>
      </c>
      <c r="F6628" s="20" t="s">
        <v>26</v>
      </c>
      <c r="G6628" s="53">
        <f t="shared" si="104"/>
        <v>1.2031220549314123</v>
      </c>
      <c r="H6628" s="35"/>
      <c r="P6628" s="6"/>
    </row>
    <row r="6629" spans="1:16" ht="14.4" x14ac:dyDescent="0.25">
      <c r="A6629" s="6">
        <v>578</v>
      </c>
      <c r="B6629" s="6">
        <v>3911</v>
      </c>
      <c r="C6629" s="19">
        <v>40618</v>
      </c>
      <c r="D6629" s="6" t="s">
        <v>28</v>
      </c>
      <c r="E6629" s="6">
        <f>IF((ISBLANK($B$1)),"",Sheet1!Q6641)</f>
        <v>4600</v>
      </c>
      <c r="F6629" s="20" t="s">
        <v>26</v>
      </c>
      <c r="G6629" s="53">
        <f t="shared" si="104"/>
        <v>-0.108784504142654</v>
      </c>
      <c r="H6629" s="35"/>
      <c r="P6629" s="6"/>
    </row>
    <row r="6630" spans="1:16" ht="14.4" x14ac:dyDescent="0.25">
      <c r="A6630" s="6">
        <v>607</v>
      </c>
      <c r="B6630" s="6">
        <v>4134</v>
      </c>
      <c r="C6630" s="19">
        <v>40554</v>
      </c>
      <c r="D6630" s="6" t="s">
        <v>30</v>
      </c>
      <c r="E6630" s="6">
        <f>IF((ISBLANK($B$1)),"",Sheet1!Q6642)</f>
        <v>5800</v>
      </c>
      <c r="F6630" s="20" t="s">
        <v>29</v>
      </c>
      <c r="G6630" s="53">
        <f t="shared" si="104"/>
        <v>1.5483606231087981</v>
      </c>
      <c r="H6630" s="35"/>
      <c r="P6630" s="6"/>
    </row>
    <row r="6631" spans="1:16" ht="14.4" x14ac:dyDescent="0.25">
      <c r="A6631" s="6">
        <v>608</v>
      </c>
      <c r="B6631" s="6">
        <v>4134</v>
      </c>
      <c r="C6631" s="19">
        <v>40554</v>
      </c>
      <c r="D6631" s="6" t="s">
        <v>30</v>
      </c>
      <c r="E6631" s="6">
        <f>IF((ISBLANK($B$1)),"",Sheet1!Q6643)</f>
        <v>4550</v>
      </c>
      <c r="F6631" s="20" t="s">
        <v>27</v>
      </c>
      <c r="G6631" s="53">
        <f t="shared" si="104"/>
        <v>-0.17783221777813119</v>
      </c>
      <c r="H6631" s="35"/>
      <c r="P6631" s="6"/>
    </row>
    <row r="6632" spans="1:16" ht="14.4" x14ac:dyDescent="0.25">
      <c r="A6632" s="6">
        <v>615</v>
      </c>
      <c r="B6632" s="6">
        <v>4230</v>
      </c>
      <c r="C6632" s="19">
        <v>40971</v>
      </c>
      <c r="D6632" s="6" t="s">
        <v>30</v>
      </c>
      <c r="E6632" s="6">
        <f>IF((ISBLANK($B$1)),"",Sheet1!Q6644)</f>
        <v>4300</v>
      </c>
      <c r="F6632" s="20" t="s">
        <v>29</v>
      </c>
      <c r="G6632" s="53">
        <f t="shared" si="104"/>
        <v>-0.52307078595551704</v>
      </c>
      <c r="H6632" s="35"/>
      <c r="P6632" s="6"/>
    </row>
    <row r="6633" spans="1:16" ht="14.4" x14ac:dyDescent="0.25">
      <c r="A6633" s="6">
        <v>616</v>
      </c>
      <c r="B6633" s="6">
        <v>4230</v>
      </c>
      <c r="C6633" s="19">
        <v>40971</v>
      </c>
      <c r="D6633" s="6" t="s">
        <v>30</v>
      </c>
      <c r="E6633" s="6">
        <f>IF((ISBLANK($B$1)),"",Sheet1!Q6645)</f>
        <v>5700</v>
      </c>
      <c r="F6633" s="20" t="s">
        <v>27</v>
      </c>
      <c r="G6633" s="53">
        <f t="shared" si="104"/>
        <v>1.4102651958378438</v>
      </c>
      <c r="H6633" s="35"/>
      <c r="P6633" s="6"/>
    </row>
    <row r="6634" spans="1:16" ht="14.4" x14ac:dyDescent="0.25">
      <c r="A6634" s="6">
        <v>624</v>
      </c>
      <c r="B6634" s="6">
        <v>4324</v>
      </c>
      <c r="C6634" s="19">
        <v>40740</v>
      </c>
      <c r="D6634" s="6" t="s">
        <v>30</v>
      </c>
      <c r="E6634" s="6">
        <f>IF((ISBLANK($B$1)),"",Sheet1!Q6646)</f>
        <v>4800</v>
      </c>
      <c r="F6634" s="20" t="s">
        <v>26</v>
      </c>
      <c r="G6634" s="53">
        <f t="shared" si="104"/>
        <v>0.16740635039925467</v>
      </c>
      <c r="H6634" s="35"/>
      <c r="P6634" s="6"/>
    </row>
    <row r="6635" spans="1:16" ht="14.4" x14ac:dyDescent="0.25">
      <c r="A6635" s="6">
        <v>651</v>
      </c>
      <c r="B6635" s="6">
        <v>4581</v>
      </c>
      <c r="C6635" s="19">
        <v>41155</v>
      </c>
      <c r="D6635" s="6" t="s">
        <v>28</v>
      </c>
      <c r="E6635" s="6">
        <f>IF((ISBLANK($B$1)),"",Sheet1!Q6647)</f>
        <v>4650</v>
      </c>
      <c r="F6635" s="20" t="s">
        <v>26</v>
      </c>
      <c r="G6635" s="53">
        <f t="shared" si="104"/>
        <v>-3.9736790507176829E-2</v>
      </c>
      <c r="H6635" s="35"/>
      <c r="P6635" s="6"/>
    </row>
    <row r="6636" spans="1:16" ht="14.4" x14ac:dyDescent="0.25">
      <c r="A6636" s="6">
        <v>674</v>
      </c>
      <c r="B6636" s="6">
        <v>4706</v>
      </c>
      <c r="C6636" s="19">
        <v>41271</v>
      </c>
      <c r="D6636" s="6" t="s">
        <v>28</v>
      </c>
      <c r="E6636" s="6">
        <f>IF((ISBLANK($B$1)),"",Sheet1!Q6648)</f>
        <v>4900</v>
      </c>
      <c r="F6636" s="20" t="s">
        <v>26</v>
      </c>
      <c r="G6636" s="53">
        <f t="shared" si="104"/>
        <v>0.30550177767020903</v>
      </c>
      <c r="H6636" s="35"/>
      <c r="P6636" s="6"/>
    </row>
    <row r="6637" spans="1:16" ht="14.4" x14ac:dyDescent="0.25">
      <c r="A6637" s="6">
        <v>677</v>
      </c>
      <c r="B6637" s="6">
        <v>4738</v>
      </c>
      <c r="C6637" s="19">
        <v>41006</v>
      </c>
      <c r="D6637" s="6" t="s">
        <v>17</v>
      </c>
      <c r="E6637" s="6">
        <f>IF((ISBLANK($B$1)),"",Sheet1!Q6649)</f>
        <v>3500</v>
      </c>
      <c r="F6637" s="20" t="s">
        <v>26</v>
      </c>
      <c r="G6637" s="53">
        <f t="shared" si="104"/>
        <v>-1.6278342041231517</v>
      </c>
      <c r="H6637" s="35"/>
      <c r="P6637" s="6"/>
    </row>
    <row r="6638" spans="1:16" ht="14.4" x14ac:dyDescent="0.25">
      <c r="A6638" s="6">
        <v>683</v>
      </c>
      <c r="B6638" s="6">
        <v>4771</v>
      </c>
      <c r="C6638" s="19">
        <v>41256</v>
      </c>
      <c r="D6638" s="6" t="s">
        <v>30</v>
      </c>
      <c r="E6638" s="6">
        <f>IF((ISBLANK($B$1)),"",Sheet1!Q6650)</f>
        <v>3600</v>
      </c>
      <c r="F6638" s="20" t="s">
        <v>29</v>
      </c>
      <c r="G6638" s="53">
        <f t="shared" si="104"/>
        <v>-1.4897387768521975</v>
      </c>
      <c r="H6638" s="35"/>
      <c r="P6638" s="6"/>
    </row>
    <row r="6639" spans="1:16" ht="14.4" x14ac:dyDescent="0.25">
      <c r="A6639" s="6">
        <v>691</v>
      </c>
      <c r="B6639" s="6">
        <v>4804</v>
      </c>
      <c r="C6639" s="19">
        <v>40935</v>
      </c>
      <c r="D6639" s="6" t="s">
        <v>17</v>
      </c>
      <c r="E6639" s="6">
        <f>IF((ISBLANK($B$1)),"",Sheet1!Q6651)</f>
        <v>4050</v>
      </c>
      <c r="F6639" s="20" t="s">
        <v>27</v>
      </c>
      <c r="G6639" s="53">
        <f t="shared" si="104"/>
        <v>-0.86830935413290289</v>
      </c>
      <c r="H6639" s="35"/>
      <c r="P6639" s="6"/>
    </row>
    <row r="6640" spans="1:16" ht="14.4" x14ac:dyDescent="0.25">
      <c r="A6640" s="6">
        <v>696</v>
      </c>
      <c r="B6640" s="6">
        <v>4870</v>
      </c>
      <c r="C6640" s="19">
        <v>40030</v>
      </c>
      <c r="D6640" s="6" t="s">
        <v>16</v>
      </c>
      <c r="E6640" s="6">
        <f>IF((ISBLANK($B$1)),"",Sheet1!Q6652)</f>
        <v>5600</v>
      </c>
      <c r="F6640" s="20" t="s">
        <v>29</v>
      </c>
      <c r="G6640" s="53">
        <f t="shared" si="104"/>
        <v>1.2721697685668893</v>
      </c>
      <c r="H6640" s="35"/>
      <c r="P6640" s="6"/>
    </row>
    <row r="6641" spans="1:16" ht="14.4" x14ac:dyDescent="0.25">
      <c r="A6641" s="6">
        <v>702</v>
      </c>
      <c r="B6641" s="6">
        <v>4931</v>
      </c>
      <c r="C6641" s="19">
        <v>40133</v>
      </c>
      <c r="D6641" s="6" t="s">
        <v>30</v>
      </c>
      <c r="E6641" s="6">
        <f>IF((ISBLANK($B$1)),"",Sheet1!Q6653)</f>
        <v>4500</v>
      </c>
      <c r="F6641" s="20" t="s">
        <v>26</v>
      </c>
      <c r="G6641" s="53">
        <f t="shared" si="104"/>
        <v>-0.24687993141360834</v>
      </c>
      <c r="H6641" s="35"/>
      <c r="P6641" s="6"/>
    </row>
    <row r="6642" spans="1:16" ht="14.4" x14ac:dyDescent="0.25">
      <c r="A6642" s="6">
        <v>703</v>
      </c>
      <c r="B6642" s="6">
        <v>4931</v>
      </c>
      <c r="C6642" s="19">
        <v>40133</v>
      </c>
      <c r="D6642" s="6" t="s">
        <v>30</v>
      </c>
      <c r="E6642" s="6">
        <f>IF((ISBLANK($B$1)),"",Sheet1!Q6654)</f>
        <v>5650</v>
      </c>
      <c r="F6642" s="20" t="s">
        <v>27</v>
      </c>
      <c r="G6642" s="53">
        <f t="shared" si="104"/>
        <v>1.3412174822023666</v>
      </c>
      <c r="H6642" s="35"/>
      <c r="P6642" s="6"/>
    </row>
    <row r="6643" spans="1:16" ht="14.4" x14ac:dyDescent="0.25">
      <c r="A6643" s="6">
        <v>716</v>
      </c>
      <c r="B6643" s="6">
        <v>5094</v>
      </c>
      <c r="C6643" s="19">
        <v>40265</v>
      </c>
      <c r="D6643" s="6" t="s">
        <v>28</v>
      </c>
      <c r="E6643" s="6">
        <f>IF((ISBLANK($B$1)),"",Sheet1!Q6655)</f>
        <v>3500</v>
      </c>
      <c r="F6643" s="20" t="s">
        <v>26</v>
      </c>
      <c r="G6643" s="53">
        <f t="shared" si="104"/>
        <v>-1.6278342041231517</v>
      </c>
      <c r="H6643" s="35"/>
      <c r="P6643" s="6"/>
    </row>
    <row r="6644" spans="1:16" ht="14.4" x14ac:dyDescent="0.25">
      <c r="A6644" s="6">
        <v>721</v>
      </c>
      <c r="B6644" s="6">
        <v>5188</v>
      </c>
      <c r="C6644" s="19">
        <v>40603</v>
      </c>
      <c r="D6644" s="6" t="s">
        <v>28</v>
      </c>
      <c r="E6644" s="6">
        <f>IF((ISBLANK($B$1)),"",Sheet1!Q6656)</f>
        <v>4600</v>
      </c>
      <c r="F6644" s="20" t="s">
        <v>26</v>
      </c>
      <c r="G6644" s="53">
        <f t="shared" si="104"/>
        <v>-0.108784504142654</v>
      </c>
      <c r="H6644" s="35"/>
      <c r="P6644" s="6"/>
    </row>
    <row r="6645" spans="1:16" ht="14.4" x14ac:dyDescent="0.25">
      <c r="A6645" s="6">
        <v>722</v>
      </c>
      <c r="B6645" s="6">
        <v>5189</v>
      </c>
      <c r="C6645" s="19">
        <v>40507</v>
      </c>
      <c r="D6645" s="6" t="s">
        <v>25</v>
      </c>
      <c r="E6645" s="6">
        <f>IF((ISBLANK($B$1)),"",Sheet1!Q6657)</f>
        <v>4000</v>
      </c>
      <c r="F6645" s="20" t="s">
        <v>27</v>
      </c>
      <c r="G6645" s="53">
        <f t="shared" si="104"/>
        <v>-0.93735706776838001</v>
      </c>
      <c r="H6645" s="35"/>
      <c r="P6645" s="6"/>
    </row>
    <row r="6646" spans="1:16" ht="14.4" x14ac:dyDescent="0.25">
      <c r="A6646" s="6">
        <v>753</v>
      </c>
      <c r="B6646" s="6">
        <v>5408</v>
      </c>
      <c r="C6646" s="19">
        <v>41110</v>
      </c>
      <c r="D6646" s="6" t="s">
        <v>25</v>
      </c>
      <c r="E6646" s="6">
        <f>IF((ISBLANK($B$1)),"",Sheet1!Q6658)</f>
        <v>4400</v>
      </c>
      <c r="F6646" s="20" t="s">
        <v>26</v>
      </c>
      <c r="G6646" s="53">
        <f t="shared" si="104"/>
        <v>-0.38497535868456267</v>
      </c>
      <c r="H6646" s="35"/>
      <c r="P6646" s="6"/>
    </row>
    <row r="6647" spans="1:16" ht="14.4" x14ac:dyDescent="0.25">
      <c r="A6647" s="6">
        <v>754</v>
      </c>
      <c r="B6647" s="6">
        <v>5408</v>
      </c>
      <c r="C6647" s="19">
        <v>41110</v>
      </c>
      <c r="D6647" s="6" t="s">
        <v>25</v>
      </c>
      <c r="E6647" s="6">
        <f>IF((ISBLANK($B$1)),"",Sheet1!Q6659)</f>
        <v>3950</v>
      </c>
      <c r="F6647" s="20" t="s">
        <v>29</v>
      </c>
      <c r="G6647" s="53">
        <f t="shared" si="104"/>
        <v>-1.0064047814038573</v>
      </c>
      <c r="H6647" s="35"/>
      <c r="P6647" s="6"/>
    </row>
    <row r="6648" spans="1:16" ht="14.4" x14ac:dyDescent="0.25">
      <c r="A6648" s="6">
        <v>763</v>
      </c>
      <c r="B6648" s="6">
        <v>5472</v>
      </c>
      <c r="C6648" s="19">
        <v>40278</v>
      </c>
      <c r="D6648" s="6" t="s">
        <v>25</v>
      </c>
      <c r="E6648" s="6">
        <f>IF((ISBLANK($B$1)),"",Sheet1!Q6660)</f>
        <v>5000</v>
      </c>
      <c r="F6648" s="20" t="s">
        <v>26</v>
      </c>
      <c r="G6648" s="53">
        <f t="shared" si="104"/>
        <v>0.44359720494116334</v>
      </c>
      <c r="H6648" s="35"/>
      <c r="P6648" s="6"/>
    </row>
    <row r="6649" spans="1:16" ht="14.4" x14ac:dyDescent="0.25">
      <c r="A6649" s="6">
        <v>764</v>
      </c>
      <c r="B6649" s="6">
        <v>5472</v>
      </c>
      <c r="C6649" s="19">
        <v>40278</v>
      </c>
      <c r="D6649" s="6" t="s">
        <v>25</v>
      </c>
      <c r="E6649" s="6">
        <f>IF((ISBLANK($B$1)),"",Sheet1!Q6661)</f>
        <v>4750</v>
      </c>
      <c r="F6649" s="20" t="s">
        <v>26</v>
      </c>
      <c r="G6649" s="53">
        <f t="shared" si="104"/>
        <v>9.8358636763777513E-2</v>
      </c>
      <c r="H6649" s="35"/>
      <c r="P6649" s="6"/>
    </row>
    <row r="6650" spans="1:16" ht="14.4" x14ac:dyDescent="0.25">
      <c r="A6650" s="6">
        <v>765</v>
      </c>
      <c r="B6650" s="6">
        <v>5472</v>
      </c>
      <c r="C6650" s="19">
        <v>40278</v>
      </c>
      <c r="D6650" s="6" t="s">
        <v>25</v>
      </c>
      <c r="E6650" s="6">
        <f>IF((ISBLANK($B$1)),"",Sheet1!Q6662)</f>
        <v>4000</v>
      </c>
      <c r="F6650" s="20" t="s">
        <v>27</v>
      </c>
      <c r="G6650" s="53">
        <f t="shared" si="104"/>
        <v>-0.93735706776838001</v>
      </c>
      <c r="H6650" s="35"/>
      <c r="P6650" s="6"/>
    </row>
    <row r="6651" spans="1:16" ht="14.4" x14ac:dyDescent="0.25">
      <c r="A6651" s="6">
        <v>799</v>
      </c>
      <c r="B6651" s="6">
        <v>5702</v>
      </c>
      <c r="C6651" s="19">
        <v>40427</v>
      </c>
      <c r="D6651" s="6" t="s">
        <v>28</v>
      </c>
      <c r="E6651" s="6">
        <f>IF((ISBLANK($B$1)),"",Sheet1!Q6663)</f>
        <v>4400</v>
      </c>
      <c r="F6651" s="20" t="s">
        <v>27</v>
      </c>
      <c r="G6651" s="53">
        <f t="shared" si="104"/>
        <v>-0.38497535868456267</v>
      </c>
      <c r="H6651" s="35"/>
      <c r="P6651" s="6"/>
    </row>
    <row r="6652" spans="1:16" ht="14.4" x14ac:dyDescent="0.25">
      <c r="A6652" s="6">
        <v>827</v>
      </c>
      <c r="B6652" s="6">
        <v>5958</v>
      </c>
      <c r="C6652" s="19">
        <v>40801</v>
      </c>
      <c r="D6652" s="6" t="s">
        <v>16</v>
      </c>
      <c r="E6652" s="6">
        <f>IF((ISBLANK($B$1)),"",Sheet1!Q6664)</f>
        <v>3550</v>
      </c>
      <c r="F6652" s="20" t="s">
        <v>27</v>
      </c>
      <c r="G6652" s="53">
        <f t="shared" si="104"/>
        <v>-1.5587864904876745</v>
      </c>
      <c r="H6652" s="35"/>
      <c r="P6652" s="6"/>
    </row>
    <row r="6653" spans="1:16" ht="14.4" x14ac:dyDescent="0.25">
      <c r="A6653" s="6">
        <v>828</v>
      </c>
      <c r="B6653" s="6">
        <v>5958</v>
      </c>
      <c r="C6653" s="19">
        <v>40801</v>
      </c>
      <c r="D6653" s="6" t="s">
        <v>16</v>
      </c>
      <c r="E6653" s="6">
        <f>IF((ISBLANK($B$1)),"",Sheet1!Q6665)</f>
        <v>4450</v>
      </c>
      <c r="F6653" s="20" t="s">
        <v>29</v>
      </c>
      <c r="G6653" s="53">
        <f t="shared" si="104"/>
        <v>-0.31592764504908549</v>
      </c>
      <c r="H6653" s="35"/>
      <c r="P6653" s="6"/>
    </row>
    <row r="6654" spans="1:16" ht="14.4" x14ac:dyDescent="0.25">
      <c r="A6654" s="6">
        <v>829</v>
      </c>
      <c r="B6654" s="6">
        <v>5984</v>
      </c>
      <c r="C6654" s="19">
        <v>39981</v>
      </c>
      <c r="D6654" s="6" t="s">
        <v>25</v>
      </c>
      <c r="E6654" s="6">
        <f>IF((ISBLANK($B$1)),"",Sheet1!Q6666)</f>
        <v>5250</v>
      </c>
      <c r="F6654" s="20" t="s">
        <v>26</v>
      </c>
      <c r="G6654" s="53">
        <f t="shared" si="104"/>
        <v>0.78883577311854924</v>
      </c>
      <c r="H6654" s="35"/>
      <c r="P6654" s="6"/>
    </row>
    <row r="6655" spans="1:16" ht="14.4" x14ac:dyDescent="0.25">
      <c r="A6655" s="6">
        <v>830</v>
      </c>
      <c r="B6655" s="6">
        <v>5984</v>
      </c>
      <c r="C6655" s="19">
        <v>39981</v>
      </c>
      <c r="D6655" s="6" t="s">
        <v>25</v>
      </c>
      <c r="E6655" s="6">
        <f>IF((ISBLANK($B$1)),"",Sheet1!Q6667)</f>
        <v>5500</v>
      </c>
      <c r="F6655" s="20" t="s">
        <v>29</v>
      </c>
      <c r="G6655" s="53">
        <f t="shared" si="104"/>
        <v>1.1340743412959351</v>
      </c>
      <c r="H6655" s="35"/>
      <c r="P6655" s="6"/>
    </row>
    <row r="6656" spans="1:16" ht="14.4" x14ac:dyDescent="0.25">
      <c r="A6656" s="6">
        <v>831</v>
      </c>
      <c r="B6656" s="6">
        <v>5984</v>
      </c>
      <c r="C6656" s="19">
        <v>39981</v>
      </c>
      <c r="D6656" s="6" t="s">
        <v>25</v>
      </c>
      <c r="E6656" s="6">
        <f>IF((ISBLANK($B$1)),"",Sheet1!Q6668)</f>
        <v>3950</v>
      </c>
      <c r="F6656" s="20" t="s">
        <v>29</v>
      </c>
      <c r="G6656" s="53">
        <f t="shared" si="104"/>
        <v>-1.0064047814038573</v>
      </c>
      <c r="H6656" s="35"/>
      <c r="P6656" s="6"/>
    </row>
    <row r="6657" spans="1:16" ht="14.4" x14ac:dyDescent="0.25">
      <c r="A6657" s="6">
        <v>836</v>
      </c>
      <c r="B6657" s="6">
        <v>5989</v>
      </c>
      <c r="C6657" s="19">
        <v>40830</v>
      </c>
      <c r="D6657" s="6" t="s">
        <v>16</v>
      </c>
      <c r="E6657" s="6">
        <f>IF((ISBLANK($B$1)),"",Sheet1!Q6669)</f>
        <v>3700</v>
      </c>
      <c r="F6657" s="20" t="s">
        <v>26</v>
      </c>
      <c r="G6657" s="53">
        <f t="shared" si="104"/>
        <v>-1.351643349581243</v>
      </c>
      <c r="H6657" s="35"/>
      <c r="P6657" s="6"/>
    </row>
    <row r="6658" spans="1:16" ht="14.4" x14ac:dyDescent="0.25">
      <c r="A6658" s="6">
        <v>837</v>
      </c>
      <c r="B6658" s="6">
        <v>5989</v>
      </c>
      <c r="C6658" s="19">
        <v>40830</v>
      </c>
      <c r="D6658" s="6" t="s">
        <v>16</v>
      </c>
      <c r="E6658" s="6">
        <f>IF((ISBLANK($B$1)),"",Sheet1!Q6670)</f>
        <v>4450</v>
      </c>
      <c r="F6658" s="20" t="s">
        <v>26</v>
      </c>
      <c r="G6658" s="53">
        <f t="shared" si="104"/>
        <v>-0.31592764504908549</v>
      </c>
      <c r="H6658" s="35"/>
      <c r="P6658" s="6"/>
    </row>
    <row r="6659" spans="1:16" ht="14.4" x14ac:dyDescent="0.25">
      <c r="A6659" s="6">
        <v>838</v>
      </c>
      <c r="B6659" s="6">
        <v>5990</v>
      </c>
      <c r="C6659" s="19">
        <v>40275</v>
      </c>
      <c r="D6659" s="6" t="s">
        <v>30</v>
      </c>
      <c r="E6659" s="6">
        <f>IF((ISBLANK($B$1)),"",Sheet1!Q6671)</f>
        <v>3850</v>
      </c>
      <c r="F6659" s="20" t="s">
        <v>26</v>
      </c>
      <c r="G6659" s="53">
        <f t="shared" si="104"/>
        <v>-1.1445002086748115</v>
      </c>
      <c r="H6659" s="35"/>
      <c r="P6659" s="6"/>
    </row>
    <row r="6660" spans="1:16" ht="14.4" x14ac:dyDescent="0.25">
      <c r="A6660" s="6">
        <v>846</v>
      </c>
      <c r="B6660" s="6">
        <v>6054</v>
      </c>
      <c r="C6660" s="19">
        <v>40794</v>
      </c>
      <c r="D6660" s="6" t="s">
        <v>25</v>
      </c>
      <c r="E6660" s="6">
        <f>IF((ISBLANK($B$1)),"",Sheet1!Q6672)</f>
        <v>3700</v>
      </c>
      <c r="F6660" s="20" t="s">
        <v>29</v>
      </c>
      <c r="G6660" s="53">
        <f t="shared" si="104"/>
        <v>-1.351643349581243</v>
      </c>
      <c r="H6660" s="35"/>
      <c r="P6660" s="6"/>
    </row>
    <row r="6661" spans="1:16" ht="14.4" x14ac:dyDescent="0.25">
      <c r="A6661" s="6">
        <v>847</v>
      </c>
      <c r="B6661" s="6">
        <v>6054</v>
      </c>
      <c r="C6661" s="19">
        <v>40794</v>
      </c>
      <c r="D6661" s="6" t="s">
        <v>25</v>
      </c>
      <c r="E6661" s="6">
        <f>IF((ISBLANK($B$1)),"",Sheet1!Q6673)</f>
        <v>5550</v>
      </c>
      <c r="F6661" s="20" t="s">
        <v>26</v>
      </c>
      <c r="G6661" s="53">
        <f t="shared" si="104"/>
        <v>1.2031220549314123</v>
      </c>
      <c r="H6661" s="35"/>
      <c r="P6661" s="6"/>
    </row>
    <row r="6662" spans="1:16" ht="14.4" x14ac:dyDescent="0.25">
      <c r="A6662" s="6">
        <v>909</v>
      </c>
      <c r="B6662" s="6">
        <v>6531</v>
      </c>
      <c r="C6662" s="19">
        <v>40376</v>
      </c>
      <c r="D6662" s="6" t="s">
        <v>17</v>
      </c>
      <c r="E6662" s="6">
        <f>IF((ISBLANK($B$1)),"",Sheet1!Q6674)</f>
        <v>5500</v>
      </c>
      <c r="F6662" s="20" t="s">
        <v>26</v>
      </c>
      <c r="G6662" s="53">
        <f t="shared" si="104"/>
        <v>1.1340743412959351</v>
      </c>
      <c r="H6662" s="35"/>
      <c r="P6662" s="6"/>
    </row>
    <row r="6663" spans="1:16" ht="14.4" x14ac:dyDescent="0.25">
      <c r="A6663" s="6">
        <v>910</v>
      </c>
      <c r="B6663" s="6">
        <v>6531</v>
      </c>
      <c r="C6663" s="19">
        <v>40376</v>
      </c>
      <c r="D6663" s="6" t="s">
        <v>17</v>
      </c>
      <c r="E6663" s="6">
        <f>IF((ISBLANK($B$1)),"",Sheet1!Q6675)</f>
        <v>4800</v>
      </c>
      <c r="F6663" s="20" t="s">
        <v>26</v>
      </c>
      <c r="G6663" s="53">
        <f t="shared" si="104"/>
        <v>0.16740635039925467</v>
      </c>
      <c r="H6663" s="35"/>
      <c r="P6663" s="6"/>
    </row>
    <row r="6664" spans="1:16" ht="14.4" x14ac:dyDescent="0.25">
      <c r="A6664" s="6">
        <v>915</v>
      </c>
      <c r="B6664" s="6">
        <v>6564</v>
      </c>
      <c r="C6664" s="19">
        <v>40564</v>
      </c>
      <c r="D6664" s="6" t="s">
        <v>25</v>
      </c>
      <c r="E6664" s="6">
        <f>IF((ISBLANK($B$1)),"",Sheet1!Q6676)</f>
        <v>4700</v>
      </c>
      <c r="F6664" s="20" t="s">
        <v>27</v>
      </c>
      <c r="G6664" s="53">
        <f t="shared" ref="G6664:G6727" si="105">STANDARDIZE(E6664,$L$26,$L$35)</f>
        <v>2.9310923128300338E-2</v>
      </c>
      <c r="H6664" s="35"/>
      <c r="P6664" s="6"/>
    </row>
    <row r="6665" spans="1:16" ht="14.4" x14ac:dyDescent="0.25">
      <c r="A6665" s="6">
        <v>916</v>
      </c>
      <c r="B6665" s="6">
        <v>6566</v>
      </c>
      <c r="C6665" s="19">
        <v>40684</v>
      </c>
      <c r="D6665" s="6" t="s">
        <v>30</v>
      </c>
      <c r="E6665" s="6">
        <f>IF((ISBLANK($B$1)),"",Sheet1!Q6677)</f>
        <v>4450</v>
      </c>
      <c r="F6665" s="20" t="s">
        <v>27</v>
      </c>
      <c r="G6665" s="53">
        <f t="shared" si="105"/>
        <v>-0.31592764504908549</v>
      </c>
      <c r="H6665" s="35"/>
      <c r="P6665" s="6"/>
    </row>
    <row r="6666" spans="1:16" ht="14.4" x14ac:dyDescent="0.25">
      <c r="A6666" s="6">
        <v>925</v>
      </c>
      <c r="B6666" s="6">
        <v>6693</v>
      </c>
      <c r="C6666" s="19">
        <v>41053</v>
      </c>
      <c r="D6666" s="6" t="s">
        <v>30</v>
      </c>
      <c r="E6666" s="6">
        <f>IF((ISBLANK($B$1)),"",Sheet1!Q6678)</f>
        <v>4200</v>
      </c>
      <c r="F6666" s="20" t="s">
        <v>26</v>
      </c>
      <c r="G6666" s="53">
        <f t="shared" si="105"/>
        <v>-0.6611662132264714</v>
      </c>
      <c r="H6666" s="35"/>
      <c r="P6666" s="6"/>
    </row>
    <row r="6667" spans="1:16" ht="14.4" x14ac:dyDescent="0.25">
      <c r="A6667" s="6">
        <v>931</v>
      </c>
      <c r="B6667" s="6">
        <v>6753</v>
      </c>
      <c r="C6667" s="19">
        <v>40447</v>
      </c>
      <c r="D6667" s="6" t="s">
        <v>25</v>
      </c>
      <c r="E6667" s="6">
        <f>IF((ISBLANK($B$1)),"",Sheet1!Q6679)</f>
        <v>3750</v>
      </c>
      <c r="F6667" s="20" t="s">
        <v>29</v>
      </c>
      <c r="G6667" s="53">
        <f t="shared" si="105"/>
        <v>-1.282595635945766</v>
      </c>
      <c r="H6667" s="35"/>
      <c r="P6667" s="6"/>
    </row>
    <row r="6668" spans="1:16" ht="14.4" x14ac:dyDescent="0.25">
      <c r="A6668" s="6">
        <v>937</v>
      </c>
      <c r="B6668" s="6">
        <v>6788</v>
      </c>
      <c r="C6668" s="19">
        <v>40759</v>
      </c>
      <c r="D6668" s="6" t="s">
        <v>28</v>
      </c>
      <c r="E6668" s="6">
        <f>IF((ISBLANK($B$1)),"",Sheet1!Q6680)</f>
        <v>5450</v>
      </c>
      <c r="F6668" s="20" t="s">
        <v>26</v>
      </c>
      <c r="G6668" s="53">
        <f t="shared" si="105"/>
        <v>1.0650266276604579</v>
      </c>
      <c r="H6668" s="35"/>
      <c r="P6668" s="6"/>
    </row>
    <row r="6669" spans="1:16" ht="14.4" x14ac:dyDescent="0.25">
      <c r="A6669" s="6">
        <v>938</v>
      </c>
      <c r="B6669" s="6">
        <v>6788</v>
      </c>
      <c r="C6669" s="19">
        <v>40759</v>
      </c>
      <c r="D6669" s="6" t="s">
        <v>28</v>
      </c>
      <c r="E6669" s="6">
        <f>IF((ISBLANK($B$1)),"",Sheet1!Q6681)</f>
        <v>3700</v>
      </c>
      <c r="F6669" s="20" t="s">
        <v>26</v>
      </c>
      <c r="G6669" s="53">
        <f t="shared" si="105"/>
        <v>-1.351643349581243</v>
      </c>
      <c r="H6669" s="35"/>
      <c r="P6669" s="6"/>
    </row>
    <row r="6670" spans="1:16" ht="14.4" x14ac:dyDescent="0.25">
      <c r="A6670" s="6">
        <v>949</v>
      </c>
      <c r="B6670" s="6">
        <v>6880</v>
      </c>
      <c r="C6670" s="19">
        <v>39958</v>
      </c>
      <c r="D6670" s="6" t="s">
        <v>16</v>
      </c>
      <c r="E6670" s="6">
        <f>IF((ISBLANK($B$1)),"",Sheet1!Q6682)</f>
        <v>3650</v>
      </c>
      <c r="F6670" s="20" t="s">
        <v>26</v>
      </c>
      <c r="G6670" s="53">
        <f t="shared" si="105"/>
        <v>-1.4206910632167202</v>
      </c>
      <c r="H6670" s="35"/>
      <c r="P6670" s="6"/>
    </row>
    <row r="6671" spans="1:16" ht="14.4" x14ac:dyDescent="0.25">
      <c r="A6671" s="6">
        <v>954</v>
      </c>
      <c r="B6671" s="6">
        <v>6886</v>
      </c>
      <c r="C6671" s="19">
        <v>40927</v>
      </c>
      <c r="D6671" s="6" t="s">
        <v>17</v>
      </c>
      <c r="E6671" s="6">
        <f>IF((ISBLANK($B$1)),"",Sheet1!Q6683)</f>
        <v>5700</v>
      </c>
      <c r="F6671" s="20" t="s">
        <v>26</v>
      </c>
      <c r="G6671" s="53">
        <f t="shared" si="105"/>
        <v>1.4102651958378438</v>
      </c>
      <c r="H6671" s="35"/>
      <c r="P6671" s="6"/>
    </row>
    <row r="6672" spans="1:16" ht="14.4" x14ac:dyDescent="0.25">
      <c r="A6672" s="6">
        <v>969</v>
      </c>
      <c r="B6672" s="6">
        <v>7042</v>
      </c>
      <c r="C6672" s="19">
        <v>40916</v>
      </c>
      <c r="D6672" s="6" t="s">
        <v>16</v>
      </c>
      <c r="E6672" s="6">
        <f>IF((ISBLANK($B$1)),"",Sheet1!Q6684)</f>
        <v>3600</v>
      </c>
      <c r="F6672" s="20" t="s">
        <v>29</v>
      </c>
      <c r="G6672" s="53">
        <f t="shared" si="105"/>
        <v>-1.4897387768521975</v>
      </c>
      <c r="H6672" s="35"/>
      <c r="P6672" s="6"/>
    </row>
    <row r="6673" spans="1:16" ht="14.4" x14ac:dyDescent="0.25">
      <c r="A6673" s="6">
        <v>970</v>
      </c>
      <c r="B6673" s="6">
        <v>7043</v>
      </c>
      <c r="C6673" s="19">
        <v>39838</v>
      </c>
      <c r="D6673" s="6" t="s">
        <v>30</v>
      </c>
      <c r="E6673" s="6">
        <f>IF((ISBLANK($B$1)),"",Sheet1!Q6685)</f>
        <v>3600</v>
      </c>
      <c r="F6673" s="20" t="s">
        <v>29</v>
      </c>
      <c r="G6673" s="53">
        <f t="shared" si="105"/>
        <v>-1.4897387768521975</v>
      </c>
      <c r="H6673" s="35"/>
      <c r="P6673" s="6"/>
    </row>
    <row r="6674" spans="1:16" ht="14.4" x14ac:dyDescent="0.25">
      <c r="A6674" s="6">
        <v>996</v>
      </c>
      <c r="B6674" s="6">
        <v>7174</v>
      </c>
      <c r="C6674" s="19">
        <v>40978</v>
      </c>
      <c r="D6674" s="6" t="s">
        <v>28</v>
      </c>
      <c r="E6674" s="6">
        <f>IF((ISBLANK($B$1)),"",Sheet1!Q6686)</f>
        <v>3900</v>
      </c>
      <c r="F6674" s="20" t="s">
        <v>29</v>
      </c>
      <c r="G6674" s="53">
        <f t="shared" si="105"/>
        <v>-1.0754524950393345</v>
      </c>
      <c r="H6674" s="35"/>
      <c r="P6674" s="6"/>
    </row>
    <row r="6675" spans="1:16" ht="14.4" x14ac:dyDescent="0.25">
      <c r="A6675" s="6">
        <v>1023</v>
      </c>
      <c r="B6675" s="6">
        <v>7458</v>
      </c>
      <c r="C6675" s="19">
        <v>41003</v>
      </c>
      <c r="D6675" s="6" t="s">
        <v>30</v>
      </c>
      <c r="E6675" s="6">
        <f>IF((ISBLANK($B$1)),"",Sheet1!Q6687)</f>
        <v>3850</v>
      </c>
      <c r="F6675" s="20" t="s">
        <v>27</v>
      </c>
      <c r="G6675" s="53">
        <f t="shared" si="105"/>
        <v>-1.1445002086748115</v>
      </c>
      <c r="H6675" s="35"/>
      <c r="P6675" s="6"/>
    </row>
    <row r="6676" spans="1:16" ht="14.4" x14ac:dyDescent="0.25">
      <c r="A6676" s="6">
        <v>1056</v>
      </c>
      <c r="B6676" s="6">
        <v>7812</v>
      </c>
      <c r="C6676" s="19">
        <v>40653</v>
      </c>
      <c r="D6676" s="6" t="s">
        <v>25</v>
      </c>
      <c r="E6676" s="6">
        <f>IF((ISBLANK($B$1)),"",Sheet1!Q6688)</f>
        <v>4250</v>
      </c>
      <c r="F6676" s="20" t="s">
        <v>29</v>
      </c>
      <c r="G6676" s="53">
        <f t="shared" si="105"/>
        <v>-0.59211849959099416</v>
      </c>
      <c r="H6676" s="35"/>
      <c r="P6676" s="6"/>
    </row>
    <row r="6677" spans="1:16" ht="14.4" x14ac:dyDescent="0.25">
      <c r="A6677" s="6">
        <v>1057</v>
      </c>
      <c r="B6677" s="6">
        <v>7812</v>
      </c>
      <c r="C6677" s="19">
        <v>40653</v>
      </c>
      <c r="D6677" s="6" t="s">
        <v>25</v>
      </c>
      <c r="E6677" s="6">
        <f>IF((ISBLANK($B$1)),"",Sheet1!Q6689)</f>
        <v>4000</v>
      </c>
      <c r="F6677" s="20" t="s">
        <v>29</v>
      </c>
      <c r="G6677" s="53">
        <f t="shared" si="105"/>
        <v>-0.93735706776838001</v>
      </c>
      <c r="H6677" s="35"/>
      <c r="P6677" s="6"/>
    </row>
    <row r="6678" spans="1:16" ht="14.4" x14ac:dyDescent="0.25">
      <c r="A6678" s="6">
        <v>1059</v>
      </c>
      <c r="B6678" s="6">
        <v>7840</v>
      </c>
      <c r="C6678" s="19">
        <v>40551</v>
      </c>
      <c r="D6678" s="6" t="s">
        <v>25</v>
      </c>
      <c r="E6678" s="6">
        <f>IF((ISBLANK($B$1)),"",Sheet1!Q6690)</f>
        <v>5100</v>
      </c>
      <c r="F6678" s="20" t="s">
        <v>27</v>
      </c>
      <c r="G6678" s="53">
        <f t="shared" si="105"/>
        <v>0.58169263221211776</v>
      </c>
      <c r="H6678" s="35"/>
      <c r="P6678" s="6"/>
    </row>
    <row r="6679" spans="1:16" ht="14.4" x14ac:dyDescent="0.25">
      <c r="A6679" s="6">
        <v>1081</v>
      </c>
      <c r="B6679" s="6">
        <v>7938</v>
      </c>
      <c r="C6679" s="19">
        <v>40250</v>
      </c>
      <c r="D6679" s="6" t="s">
        <v>16</v>
      </c>
      <c r="E6679" s="6">
        <f>IF((ISBLANK($B$1)),"",Sheet1!Q6691)</f>
        <v>4200</v>
      </c>
      <c r="F6679" s="20" t="s">
        <v>29</v>
      </c>
      <c r="G6679" s="53">
        <f t="shared" si="105"/>
        <v>-0.6611662132264714</v>
      </c>
      <c r="H6679" s="35"/>
      <c r="P6679" s="6"/>
    </row>
    <row r="6680" spans="1:16" ht="14.4" x14ac:dyDescent="0.25">
      <c r="A6680" s="6">
        <v>1086</v>
      </c>
      <c r="B6680" s="6">
        <v>8001</v>
      </c>
      <c r="C6680" s="19">
        <v>40501</v>
      </c>
      <c r="D6680" s="6" t="s">
        <v>17</v>
      </c>
      <c r="E6680" s="6">
        <f>IF((ISBLANK($B$1)),"",Sheet1!Q6692)</f>
        <v>4150</v>
      </c>
      <c r="F6680" s="20" t="s">
        <v>26</v>
      </c>
      <c r="G6680" s="53">
        <f t="shared" si="105"/>
        <v>-0.73021392686194853</v>
      </c>
      <c r="H6680" s="35"/>
      <c r="P6680" s="6"/>
    </row>
    <row r="6681" spans="1:16" ht="14.4" x14ac:dyDescent="0.25">
      <c r="A6681" s="6">
        <v>1087</v>
      </c>
      <c r="B6681" s="6">
        <v>8001</v>
      </c>
      <c r="C6681" s="19">
        <v>40501</v>
      </c>
      <c r="D6681" s="6" t="s">
        <v>17</v>
      </c>
      <c r="E6681" s="6">
        <f>IF((ISBLANK($B$1)),"",Sheet1!Q6693)</f>
        <v>5750</v>
      </c>
      <c r="F6681" s="20" t="s">
        <v>26</v>
      </c>
      <c r="G6681" s="53">
        <f t="shared" si="105"/>
        <v>1.4793129094733208</v>
      </c>
      <c r="H6681" s="35"/>
      <c r="P6681" s="6"/>
    </row>
    <row r="6682" spans="1:16" ht="14.4" x14ac:dyDescent="0.25">
      <c r="A6682" s="6">
        <v>1102</v>
      </c>
      <c r="B6682" s="6">
        <v>8101</v>
      </c>
      <c r="C6682" s="19">
        <v>40241</v>
      </c>
      <c r="D6682" s="6" t="s">
        <v>16</v>
      </c>
      <c r="E6682" s="6">
        <f>IF((ISBLANK($B$1)),"",Sheet1!Q6694)</f>
        <v>5150</v>
      </c>
      <c r="F6682" s="20" t="s">
        <v>29</v>
      </c>
      <c r="G6682" s="53">
        <f t="shared" si="105"/>
        <v>0.65074034584759488</v>
      </c>
      <c r="H6682" s="35"/>
      <c r="P6682" s="6"/>
    </row>
    <row r="6683" spans="1:16" ht="14.4" x14ac:dyDescent="0.25">
      <c r="A6683" s="6">
        <v>1103</v>
      </c>
      <c r="B6683" s="6">
        <v>8101</v>
      </c>
      <c r="C6683" s="19">
        <v>40241</v>
      </c>
      <c r="D6683" s="6" t="s">
        <v>16</v>
      </c>
      <c r="E6683" s="6">
        <f>IF((ISBLANK($B$1)),"",Sheet1!Q6695)</f>
        <v>4150</v>
      </c>
      <c r="F6683" s="20" t="s">
        <v>26</v>
      </c>
      <c r="G6683" s="53">
        <f t="shared" si="105"/>
        <v>-0.73021392686194853</v>
      </c>
      <c r="H6683" s="35"/>
      <c r="P6683" s="6"/>
    </row>
    <row r="6684" spans="1:16" ht="14.4" x14ac:dyDescent="0.25">
      <c r="A6684" s="6">
        <v>1111</v>
      </c>
      <c r="B6684" s="6">
        <v>8161</v>
      </c>
      <c r="C6684" s="19">
        <v>39967</v>
      </c>
      <c r="D6684" s="6" t="s">
        <v>17</v>
      </c>
      <c r="E6684" s="6">
        <f>IF((ISBLANK($B$1)),"",Sheet1!Q6696)</f>
        <v>5650</v>
      </c>
      <c r="F6684" s="20" t="s">
        <v>26</v>
      </c>
      <c r="G6684" s="53">
        <f t="shared" si="105"/>
        <v>1.3412174822023666</v>
      </c>
      <c r="H6684" s="35"/>
      <c r="P6684" s="6"/>
    </row>
    <row r="6685" spans="1:16" ht="14.4" x14ac:dyDescent="0.25">
      <c r="A6685" s="6">
        <v>1141</v>
      </c>
      <c r="B6685" s="6">
        <v>8320</v>
      </c>
      <c r="C6685" s="19">
        <v>40075</v>
      </c>
      <c r="D6685" s="6" t="s">
        <v>28</v>
      </c>
      <c r="E6685" s="6">
        <f>IF((ISBLANK($B$1)),"",Sheet1!Q6697)</f>
        <v>4500</v>
      </c>
      <c r="F6685" s="20" t="s">
        <v>26</v>
      </c>
      <c r="G6685" s="53">
        <f t="shared" si="105"/>
        <v>-0.24687993141360834</v>
      </c>
      <c r="H6685" s="35"/>
      <c r="P6685" s="6"/>
    </row>
    <row r="6686" spans="1:16" ht="14.4" x14ac:dyDescent="0.25">
      <c r="A6686" s="6">
        <v>1144</v>
      </c>
      <c r="B6686" s="6">
        <v>8325</v>
      </c>
      <c r="C6686" s="19">
        <v>39827</v>
      </c>
      <c r="D6686" s="6" t="s">
        <v>30</v>
      </c>
      <c r="E6686" s="6">
        <f>IF((ISBLANK($B$1)),"",Sheet1!Q6698)</f>
        <v>4450</v>
      </c>
      <c r="F6686" s="20" t="s">
        <v>27</v>
      </c>
      <c r="G6686" s="53">
        <f t="shared" si="105"/>
        <v>-0.31592764504908549</v>
      </c>
      <c r="H6686" s="35"/>
      <c r="P6686" s="6"/>
    </row>
    <row r="6687" spans="1:16" ht="14.4" x14ac:dyDescent="0.25">
      <c r="A6687" s="6">
        <v>1145</v>
      </c>
      <c r="B6687" s="6">
        <v>8325</v>
      </c>
      <c r="C6687" s="19">
        <v>39827</v>
      </c>
      <c r="D6687" s="6" t="s">
        <v>30</v>
      </c>
      <c r="E6687" s="6">
        <f>IF((ISBLANK($B$1)),"",Sheet1!Q6699)</f>
        <v>4750</v>
      </c>
      <c r="F6687" s="20" t="s">
        <v>26</v>
      </c>
      <c r="G6687" s="53">
        <f t="shared" si="105"/>
        <v>9.8358636763777513E-2</v>
      </c>
      <c r="H6687" s="35"/>
      <c r="P6687" s="6"/>
    </row>
    <row r="6688" spans="1:16" ht="14.4" x14ac:dyDescent="0.25">
      <c r="A6688" s="6">
        <v>1173</v>
      </c>
      <c r="B6688" s="6">
        <v>8576</v>
      </c>
      <c r="C6688" s="19">
        <v>39822</v>
      </c>
      <c r="D6688" s="6" t="s">
        <v>17</v>
      </c>
      <c r="E6688" s="6">
        <f>IF((ISBLANK($B$1)),"",Sheet1!Q6700)</f>
        <v>5550</v>
      </c>
      <c r="F6688" s="20" t="s">
        <v>26</v>
      </c>
      <c r="G6688" s="53">
        <f t="shared" si="105"/>
        <v>1.2031220549314123</v>
      </c>
      <c r="H6688" s="35"/>
      <c r="P6688" s="6"/>
    </row>
    <row r="6689" spans="1:16" ht="14.4" x14ac:dyDescent="0.25">
      <c r="A6689" s="6">
        <v>1177</v>
      </c>
      <c r="B6689" s="6">
        <v>8582</v>
      </c>
      <c r="C6689" s="19">
        <v>40502</v>
      </c>
      <c r="D6689" s="6" t="s">
        <v>25</v>
      </c>
      <c r="E6689" s="6">
        <f>IF((ISBLANK($B$1)),"",Sheet1!Q6701)</f>
        <v>4150</v>
      </c>
      <c r="F6689" s="20" t="s">
        <v>29</v>
      </c>
      <c r="G6689" s="53">
        <f t="shared" si="105"/>
        <v>-0.73021392686194853</v>
      </c>
      <c r="H6689" s="35"/>
      <c r="P6689" s="6"/>
    </row>
    <row r="6690" spans="1:16" ht="14.4" x14ac:dyDescent="0.25">
      <c r="A6690" s="6">
        <v>1204</v>
      </c>
      <c r="B6690" s="6">
        <v>8832</v>
      </c>
      <c r="C6690" s="19">
        <v>40941</v>
      </c>
      <c r="D6690" s="6" t="s">
        <v>25</v>
      </c>
      <c r="E6690" s="6">
        <f>IF((ISBLANK($B$1)),"",Sheet1!Q6702)</f>
        <v>5350</v>
      </c>
      <c r="F6690" s="20" t="s">
        <v>29</v>
      </c>
      <c r="G6690" s="53">
        <f t="shared" si="105"/>
        <v>0.92693120038950361</v>
      </c>
      <c r="H6690" s="35"/>
      <c r="P6690" s="6"/>
    </row>
    <row r="6691" spans="1:16" ht="14.4" x14ac:dyDescent="0.25">
      <c r="A6691" s="6">
        <v>1212</v>
      </c>
      <c r="B6691" s="6">
        <v>8901</v>
      </c>
      <c r="C6691" s="19">
        <v>40775</v>
      </c>
      <c r="D6691" s="6" t="s">
        <v>25</v>
      </c>
      <c r="E6691" s="6">
        <f>IF((ISBLANK($B$1)),"",Sheet1!Q6703)</f>
        <v>4150</v>
      </c>
      <c r="F6691" s="20" t="s">
        <v>27</v>
      </c>
      <c r="G6691" s="53">
        <f t="shared" si="105"/>
        <v>-0.73021392686194853</v>
      </c>
      <c r="H6691" s="35"/>
      <c r="P6691" s="6"/>
    </row>
    <row r="6692" spans="1:16" ht="14.4" x14ac:dyDescent="0.25">
      <c r="A6692" s="6">
        <v>1214</v>
      </c>
      <c r="B6692" s="6">
        <v>8930</v>
      </c>
      <c r="C6692" s="19">
        <v>39952</v>
      </c>
      <c r="D6692" s="6" t="s">
        <v>16</v>
      </c>
      <c r="E6692" s="6">
        <f>IF((ISBLANK($B$1)),"",Sheet1!Q6704)</f>
        <v>4100</v>
      </c>
      <c r="F6692" s="20" t="s">
        <v>26</v>
      </c>
      <c r="G6692" s="53">
        <f t="shared" si="105"/>
        <v>-0.79926164049742576</v>
      </c>
      <c r="H6692" s="35"/>
      <c r="P6692" s="6"/>
    </row>
    <row r="6693" spans="1:16" ht="14.4" x14ac:dyDescent="0.25">
      <c r="A6693" s="6">
        <v>1237</v>
      </c>
      <c r="B6693" s="6">
        <v>8999</v>
      </c>
      <c r="C6693" s="19">
        <v>39976</v>
      </c>
      <c r="D6693" s="6" t="s">
        <v>17</v>
      </c>
      <c r="E6693" s="6">
        <f>IF((ISBLANK($B$1)),"",Sheet1!Q6705)</f>
        <v>4800</v>
      </c>
      <c r="F6693" s="20" t="s">
        <v>26</v>
      </c>
      <c r="G6693" s="53">
        <f t="shared" si="105"/>
        <v>0.16740635039925467</v>
      </c>
      <c r="H6693" s="35"/>
      <c r="P6693" s="6"/>
    </row>
    <row r="6694" spans="1:16" ht="14.4" x14ac:dyDescent="0.25">
      <c r="A6694" s="6">
        <v>1249</v>
      </c>
      <c r="B6694" s="6">
        <v>9091</v>
      </c>
      <c r="C6694" s="19">
        <v>40493</v>
      </c>
      <c r="D6694" s="6" t="s">
        <v>17</v>
      </c>
      <c r="E6694" s="6">
        <f>IF((ISBLANK($B$1)),"",Sheet1!Q6706)</f>
        <v>5500</v>
      </c>
      <c r="F6694" s="20" t="s">
        <v>29</v>
      </c>
      <c r="G6694" s="53">
        <f t="shared" si="105"/>
        <v>1.1340743412959351</v>
      </c>
      <c r="H6694" s="35"/>
      <c r="P6694" s="6"/>
    </row>
    <row r="6695" spans="1:16" ht="14.4" x14ac:dyDescent="0.25">
      <c r="A6695" s="6">
        <v>1250</v>
      </c>
      <c r="B6695" s="6">
        <v>9091</v>
      </c>
      <c r="C6695" s="19">
        <v>40493</v>
      </c>
      <c r="D6695" s="6" t="s">
        <v>17</v>
      </c>
      <c r="E6695" s="6">
        <f>IF((ISBLANK($B$1)),"",Sheet1!Q6707)</f>
        <v>5600</v>
      </c>
      <c r="F6695" s="20" t="s">
        <v>26</v>
      </c>
      <c r="G6695" s="53">
        <f t="shared" si="105"/>
        <v>1.2721697685668893</v>
      </c>
      <c r="H6695" s="35"/>
      <c r="P6695" s="6"/>
    </row>
    <row r="6696" spans="1:16" ht="14.4" x14ac:dyDescent="0.25">
      <c r="A6696" s="6">
        <v>1251</v>
      </c>
      <c r="B6696" s="6">
        <v>9092</v>
      </c>
      <c r="C6696" s="19">
        <v>40018</v>
      </c>
      <c r="D6696" s="6" t="s">
        <v>28</v>
      </c>
      <c r="E6696" s="6">
        <f>IF((ISBLANK($B$1)),"",Sheet1!Q6708)</f>
        <v>5050</v>
      </c>
      <c r="F6696" s="20" t="s">
        <v>26</v>
      </c>
      <c r="G6696" s="53">
        <f t="shared" si="105"/>
        <v>0.51264491857664052</v>
      </c>
      <c r="H6696" s="35"/>
      <c r="P6696" s="6"/>
    </row>
    <row r="6697" spans="1:16" ht="14.4" x14ac:dyDescent="0.25">
      <c r="A6697" s="6">
        <v>1252</v>
      </c>
      <c r="B6697" s="6">
        <v>9092</v>
      </c>
      <c r="C6697" s="19">
        <v>40018</v>
      </c>
      <c r="D6697" s="6" t="s">
        <v>28</v>
      </c>
      <c r="E6697" s="6">
        <f>IF((ISBLANK($B$1)),"",Sheet1!Q6709)</f>
        <v>3800</v>
      </c>
      <c r="F6697" s="20" t="s">
        <v>27</v>
      </c>
      <c r="G6697" s="53">
        <f t="shared" si="105"/>
        <v>-1.2135479223102887</v>
      </c>
      <c r="H6697" s="35"/>
      <c r="P6697" s="6"/>
    </row>
    <row r="6698" spans="1:16" ht="14.4" x14ac:dyDescent="0.25">
      <c r="A6698" s="6">
        <v>1253</v>
      </c>
      <c r="B6698" s="6">
        <v>9093</v>
      </c>
      <c r="C6698" s="19">
        <v>40886</v>
      </c>
      <c r="D6698" s="6" t="s">
        <v>16</v>
      </c>
      <c r="E6698" s="6">
        <f>IF((ISBLANK($B$1)),"",Sheet1!Q6710)</f>
        <v>5200</v>
      </c>
      <c r="F6698" s="20" t="s">
        <v>27</v>
      </c>
      <c r="G6698" s="53">
        <f t="shared" si="105"/>
        <v>0.71978805948307201</v>
      </c>
      <c r="H6698" s="35"/>
      <c r="P6698" s="6"/>
    </row>
    <row r="6699" spans="1:16" ht="14.4" x14ac:dyDescent="0.25">
      <c r="A6699" s="6">
        <v>1274</v>
      </c>
      <c r="B6699" s="6">
        <v>9251</v>
      </c>
      <c r="C6699" s="19">
        <v>40419</v>
      </c>
      <c r="D6699" s="6" t="s">
        <v>16</v>
      </c>
      <c r="E6699" s="6">
        <f>IF((ISBLANK($B$1)),"",Sheet1!Q6711)</f>
        <v>5300</v>
      </c>
      <c r="F6699" s="20" t="s">
        <v>29</v>
      </c>
      <c r="G6699" s="53">
        <f t="shared" si="105"/>
        <v>0.85788348675402637</v>
      </c>
      <c r="H6699" s="35"/>
      <c r="P6699" s="6"/>
    </row>
    <row r="6700" spans="1:16" ht="14.4" x14ac:dyDescent="0.25">
      <c r="A6700" s="6">
        <v>1282</v>
      </c>
      <c r="B6700" s="6">
        <v>9344</v>
      </c>
      <c r="C6700" s="19">
        <v>40883</v>
      </c>
      <c r="D6700" s="6" t="s">
        <v>25</v>
      </c>
      <c r="E6700" s="6">
        <f>IF((ISBLANK($B$1)),"",Sheet1!Q6712)</f>
        <v>4300</v>
      </c>
      <c r="F6700" s="20" t="s">
        <v>26</v>
      </c>
      <c r="G6700" s="53">
        <f t="shared" si="105"/>
        <v>-0.52307078595551704</v>
      </c>
      <c r="H6700" s="35"/>
      <c r="P6700" s="6"/>
    </row>
    <row r="6701" spans="1:16" ht="14.4" x14ac:dyDescent="0.25">
      <c r="A6701" s="6">
        <v>1283</v>
      </c>
      <c r="B6701" s="6">
        <v>9344</v>
      </c>
      <c r="C6701" s="19">
        <v>40883</v>
      </c>
      <c r="D6701" s="6" t="s">
        <v>25</v>
      </c>
      <c r="E6701" s="6">
        <f>IF((ISBLANK($B$1)),"",Sheet1!Q6713)</f>
        <v>4950</v>
      </c>
      <c r="F6701" s="20" t="s">
        <v>27</v>
      </c>
      <c r="G6701" s="53">
        <f t="shared" si="105"/>
        <v>0.37454949130568621</v>
      </c>
      <c r="H6701" s="35"/>
      <c r="P6701" s="6"/>
    </row>
    <row r="6702" spans="1:16" ht="14.4" x14ac:dyDescent="0.25">
      <c r="A6702" s="6">
        <v>1342</v>
      </c>
      <c r="B6702" s="6">
        <v>9824</v>
      </c>
      <c r="C6702" s="19">
        <v>40565</v>
      </c>
      <c r="D6702" s="6" t="s">
        <v>30</v>
      </c>
      <c r="E6702" s="6">
        <f>IF((ISBLANK($B$1)),"",Sheet1!Q6714)</f>
        <v>5350</v>
      </c>
      <c r="F6702" s="20" t="s">
        <v>26</v>
      </c>
      <c r="G6702" s="53">
        <f t="shared" si="105"/>
        <v>0.92693120038950361</v>
      </c>
      <c r="H6702" s="35"/>
      <c r="P6702" s="6"/>
    </row>
    <row r="6703" spans="1:16" ht="14.4" x14ac:dyDescent="0.25">
      <c r="A6703" s="6">
        <v>1343</v>
      </c>
      <c r="B6703" s="6">
        <v>9824</v>
      </c>
      <c r="C6703" s="19">
        <v>40565</v>
      </c>
      <c r="D6703" s="6" t="s">
        <v>30</v>
      </c>
      <c r="E6703" s="6">
        <f>IF((ISBLANK($B$1)),"",Sheet1!Q6715)</f>
        <v>3650</v>
      </c>
      <c r="F6703" s="20" t="s">
        <v>26</v>
      </c>
      <c r="G6703" s="53">
        <f t="shared" si="105"/>
        <v>-1.4206910632167202</v>
      </c>
      <c r="H6703" s="35"/>
      <c r="P6703" s="6"/>
    </row>
    <row r="6704" spans="1:16" ht="14.4" x14ac:dyDescent="0.25">
      <c r="A6704" s="6">
        <v>1344</v>
      </c>
      <c r="B6704" s="6">
        <v>9824</v>
      </c>
      <c r="C6704" s="19">
        <v>40565</v>
      </c>
      <c r="D6704" s="6" t="s">
        <v>30</v>
      </c>
      <c r="E6704" s="6">
        <f>IF((ISBLANK($B$1)),"",Sheet1!Q6716)</f>
        <v>5550</v>
      </c>
      <c r="F6704" s="20" t="s">
        <v>26</v>
      </c>
      <c r="G6704" s="53">
        <f t="shared" si="105"/>
        <v>1.2031220549314123</v>
      </c>
      <c r="H6704" s="35"/>
      <c r="P6704" s="6"/>
    </row>
    <row r="6705" spans="1:16" ht="14.4" x14ac:dyDescent="0.25">
      <c r="A6705" s="6">
        <v>1383</v>
      </c>
      <c r="B6705" s="6">
        <v>10052</v>
      </c>
      <c r="C6705" s="19">
        <v>40063</v>
      </c>
      <c r="D6705" s="6" t="s">
        <v>28</v>
      </c>
      <c r="E6705" s="6">
        <f>IF((ISBLANK($B$1)),"",Sheet1!Q6717)</f>
        <v>4200</v>
      </c>
      <c r="F6705" s="20" t="s">
        <v>26</v>
      </c>
      <c r="G6705" s="53">
        <f t="shared" si="105"/>
        <v>-0.6611662132264714</v>
      </c>
      <c r="H6705" s="35"/>
      <c r="P6705" s="6"/>
    </row>
    <row r="6706" spans="1:16" ht="14.4" x14ac:dyDescent="0.25">
      <c r="A6706" s="6">
        <v>1384</v>
      </c>
      <c r="B6706" s="6">
        <v>10052</v>
      </c>
      <c r="C6706" s="19">
        <v>40063</v>
      </c>
      <c r="D6706" s="6" t="s">
        <v>28</v>
      </c>
      <c r="E6706" s="6">
        <f>IF((ISBLANK($B$1)),"",Sheet1!Q6718)</f>
        <v>4800</v>
      </c>
      <c r="F6706" s="20" t="s">
        <v>26</v>
      </c>
      <c r="G6706" s="53">
        <f t="shared" si="105"/>
        <v>0.16740635039925467</v>
      </c>
      <c r="H6706" s="35"/>
      <c r="P6706" s="6"/>
    </row>
    <row r="6707" spans="1:16" ht="14.4" x14ac:dyDescent="0.25">
      <c r="A6707" s="6">
        <v>1385</v>
      </c>
      <c r="B6707" s="6">
        <v>10052</v>
      </c>
      <c r="C6707" s="19">
        <v>40063</v>
      </c>
      <c r="D6707" s="6" t="s">
        <v>28</v>
      </c>
      <c r="E6707" s="6">
        <f>IF((ISBLANK($B$1)),"",Sheet1!Q6719)</f>
        <v>5700</v>
      </c>
      <c r="F6707" s="20" t="s">
        <v>26</v>
      </c>
      <c r="G6707" s="53">
        <f t="shared" si="105"/>
        <v>1.4102651958378438</v>
      </c>
      <c r="H6707" s="35"/>
      <c r="P6707" s="6"/>
    </row>
    <row r="6708" spans="1:16" ht="14.4" x14ac:dyDescent="0.25">
      <c r="A6708" s="6">
        <v>1390</v>
      </c>
      <c r="B6708" s="6">
        <v>10080</v>
      </c>
      <c r="C6708" s="19">
        <v>40221</v>
      </c>
      <c r="D6708" s="6" t="s">
        <v>25</v>
      </c>
      <c r="E6708" s="6">
        <f>IF((ISBLANK($B$1)),"",Sheet1!Q6720)</f>
        <v>4400</v>
      </c>
      <c r="F6708" s="20" t="s">
        <v>27</v>
      </c>
      <c r="G6708" s="53">
        <f t="shared" si="105"/>
        <v>-0.38497535868456267</v>
      </c>
      <c r="H6708" s="35"/>
      <c r="P6708" s="6"/>
    </row>
    <row r="6709" spans="1:16" ht="14.4" x14ac:dyDescent="0.25">
      <c r="A6709" s="6">
        <v>1393</v>
      </c>
      <c r="B6709" s="6">
        <v>10117</v>
      </c>
      <c r="C6709" s="19">
        <v>40498</v>
      </c>
      <c r="D6709" s="6" t="s">
        <v>16</v>
      </c>
      <c r="E6709" s="6">
        <f>IF((ISBLANK($B$1)),"",Sheet1!Q6721)</f>
        <v>3700</v>
      </c>
      <c r="F6709" s="20" t="s">
        <v>26</v>
      </c>
      <c r="G6709" s="53">
        <f t="shared" si="105"/>
        <v>-1.351643349581243</v>
      </c>
      <c r="H6709" s="35"/>
      <c r="P6709" s="6"/>
    </row>
    <row r="6710" spans="1:16" ht="14.4" x14ac:dyDescent="0.25">
      <c r="A6710" s="6">
        <v>1394</v>
      </c>
      <c r="B6710" s="6">
        <v>10117</v>
      </c>
      <c r="C6710" s="19">
        <v>40498</v>
      </c>
      <c r="D6710" s="6" t="s">
        <v>16</v>
      </c>
      <c r="E6710" s="6">
        <f>IF((ISBLANK($B$1)),"",Sheet1!Q6722)</f>
        <v>3900</v>
      </c>
      <c r="F6710" s="20" t="s">
        <v>27</v>
      </c>
      <c r="G6710" s="53">
        <f t="shared" si="105"/>
        <v>-1.0754524950393345</v>
      </c>
      <c r="H6710" s="35"/>
      <c r="P6710" s="6"/>
    </row>
    <row r="6711" spans="1:16" ht="14.4" x14ac:dyDescent="0.25">
      <c r="A6711" s="6">
        <v>1398</v>
      </c>
      <c r="B6711" s="6">
        <v>10146</v>
      </c>
      <c r="C6711" s="19">
        <v>39934</v>
      </c>
      <c r="D6711" s="6" t="s">
        <v>25</v>
      </c>
      <c r="E6711" s="6">
        <f>IF((ISBLANK($B$1)),"",Sheet1!Q6723)</f>
        <v>4350</v>
      </c>
      <c r="F6711" s="20" t="s">
        <v>29</v>
      </c>
      <c r="G6711" s="53">
        <f t="shared" si="105"/>
        <v>-0.45402307232003986</v>
      </c>
      <c r="H6711" s="35"/>
      <c r="P6711" s="6"/>
    </row>
    <row r="6712" spans="1:16" ht="14.4" x14ac:dyDescent="0.25">
      <c r="A6712" s="6">
        <v>1410</v>
      </c>
      <c r="B6712" s="6">
        <v>10245</v>
      </c>
      <c r="C6712" s="19">
        <v>40587</v>
      </c>
      <c r="D6712" s="6" t="s">
        <v>16</v>
      </c>
      <c r="E6712" s="6">
        <f>IF((ISBLANK($B$1)),"",Sheet1!Q6724)</f>
        <v>4750</v>
      </c>
      <c r="F6712" s="20" t="s">
        <v>29</v>
      </c>
      <c r="G6712" s="53">
        <f t="shared" si="105"/>
        <v>9.8358636763777513E-2</v>
      </c>
      <c r="H6712" s="35"/>
      <c r="P6712" s="6"/>
    </row>
    <row r="6713" spans="1:16" ht="14.4" x14ac:dyDescent="0.25">
      <c r="A6713" s="6">
        <v>1417</v>
      </c>
      <c r="B6713" s="6">
        <v>10277</v>
      </c>
      <c r="C6713" s="19">
        <v>39910</v>
      </c>
      <c r="D6713" s="6" t="s">
        <v>16</v>
      </c>
      <c r="E6713" s="6">
        <f>IF((ISBLANK($B$1)),"",Sheet1!Q6725)</f>
        <v>5200</v>
      </c>
      <c r="F6713" s="20" t="s">
        <v>27</v>
      </c>
      <c r="G6713" s="53">
        <f t="shared" si="105"/>
        <v>0.71978805948307201</v>
      </c>
      <c r="H6713" s="35"/>
      <c r="P6713" s="6"/>
    </row>
    <row r="6714" spans="1:16" ht="14.4" x14ac:dyDescent="0.25">
      <c r="A6714" s="6">
        <v>1419</v>
      </c>
      <c r="B6714" s="6">
        <v>10305</v>
      </c>
      <c r="C6714" s="19">
        <v>40001</v>
      </c>
      <c r="D6714" s="6" t="s">
        <v>25</v>
      </c>
      <c r="E6714" s="6">
        <f>IF((ISBLANK($B$1)),"",Sheet1!Q6726)</f>
        <v>4000</v>
      </c>
      <c r="F6714" s="20" t="s">
        <v>29</v>
      </c>
      <c r="G6714" s="53">
        <f t="shared" si="105"/>
        <v>-0.93735706776838001</v>
      </c>
      <c r="H6714" s="35"/>
      <c r="P6714" s="6"/>
    </row>
    <row r="6715" spans="1:16" ht="14.4" x14ac:dyDescent="0.25">
      <c r="A6715" s="6">
        <v>1427</v>
      </c>
      <c r="B6715" s="6">
        <v>10339</v>
      </c>
      <c r="C6715" s="19">
        <v>40827</v>
      </c>
      <c r="D6715" s="6" t="s">
        <v>25</v>
      </c>
      <c r="E6715" s="6">
        <f>IF((ISBLANK($B$1)),"",Sheet1!Q6727)</f>
        <v>5850</v>
      </c>
      <c r="F6715" s="20" t="s">
        <v>29</v>
      </c>
      <c r="G6715" s="53">
        <f t="shared" si="105"/>
        <v>1.6174083367442753</v>
      </c>
      <c r="H6715" s="35"/>
      <c r="P6715" s="6"/>
    </row>
    <row r="6716" spans="1:16" ht="14.4" x14ac:dyDescent="0.25">
      <c r="A6716" s="6">
        <v>1451</v>
      </c>
      <c r="B6716" s="6">
        <v>10466</v>
      </c>
      <c r="C6716" s="19">
        <v>41268</v>
      </c>
      <c r="D6716" s="6" t="s">
        <v>17</v>
      </c>
      <c r="E6716" s="6">
        <f>IF((ISBLANK($B$1)),"",Sheet1!Q6728)</f>
        <v>4750</v>
      </c>
      <c r="F6716" s="20" t="s">
        <v>26</v>
      </c>
      <c r="G6716" s="53">
        <f t="shared" si="105"/>
        <v>9.8358636763777513E-2</v>
      </c>
      <c r="H6716" s="35"/>
      <c r="P6716" s="6"/>
    </row>
    <row r="6717" spans="1:16" ht="14.4" x14ac:dyDescent="0.25">
      <c r="A6717" s="6">
        <v>1464</v>
      </c>
      <c r="B6717" s="6">
        <v>10562</v>
      </c>
      <c r="C6717" s="19">
        <v>40128</v>
      </c>
      <c r="D6717" s="6" t="s">
        <v>28</v>
      </c>
      <c r="E6717" s="6">
        <f>IF((ISBLANK($B$1)),"",Sheet1!Q6729)</f>
        <v>3900</v>
      </c>
      <c r="F6717" s="20" t="s">
        <v>26</v>
      </c>
      <c r="G6717" s="53">
        <f t="shared" si="105"/>
        <v>-1.0754524950393345</v>
      </c>
      <c r="H6717" s="35"/>
      <c r="P6717" s="6"/>
    </row>
    <row r="6718" spans="1:16" ht="14.4" x14ac:dyDescent="0.25">
      <c r="A6718" s="6">
        <v>1465</v>
      </c>
      <c r="B6718" s="6">
        <v>10563</v>
      </c>
      <c r="C6718" s="19">
        <v>40450</v>
      </c>
      <c r="D6718" s="6" t="s">
        <v>30</v>
      </c>
      <c r="E6718" s="6">
        <f>IF((ISBLANK($B$1)),"",Sheet1!Q6730)</f>
        <v>5300</v>
      </c>
      <c r="F6718" s="20" t="s">
        <v>26</v>
      </c>
      <c r="G6718" s="53">
        <f t="shared" si="105"/>
        <v>0.85788348675402637</v>
      </c>
      <c r="H6718" s="35"/>
      <c r="P6718" s="6"/>
    </row>
    <row r="6719" spans="1:16" ht="14.4" x14ac:dyDescent="0.25">
      <c r="A6719" s="6">
        <v>1466</v>
      </c>
      <c r="B6719" s="6">
        <v>10563</v>
      </c>
      <c r="C6719" s="19">
        <v>40450</v>
      </c>
      <c r="D6719" s="6" t="s">
        <v>30</v>
      </c>
      <c r="E6719" s="6">
        <f>IF((ISBLANK($B$1)),"",Sheet1!Q6731)</f>
        <v>5900</v>
      </c>
      <c r="F6719" s="20" t="s">
        <v>26</v>
      </c>
      <c r="G6719" s="53">
        <f t="shared" si="105"/>
        <v>1.6864560503797523</v>
      </c>
      <c r="H6719" s="35"/>
      <c r="P6719" s="6"/>
    </row>
    <row r="6720" spans="1:16" ht="14.4" x14ac:dyDescent="0.25">
      <c r="A6720" s="6">
        <v>1477</v>
      </c>
      <c r="B6720" s="6">
        <v>10658</v>
      </c>
      <c r="C6720" s="19">
        <v>40052</v>
      </c>
      <c r="D6720" s="6" t="s">
        <v>25</v>
      </c>
      <c r="E6720" s="6">
        <f>IF((ISBLANK($B$1)),"",Sheet1!Q6732)</f>
        <v>4950</v>
      </c>
      <c r="F6720" s="20" t="s">
        <v>27</v>
      </c>
      <c r="G6720" s="53">
        <f t="shared" si="105"/>
        <v>0.37454949130568621</v>
      </c>
      <c r="H6720" s="35"/>
      <c r="P6720" s="6"/>
    </row>
    <row r="6721" spans="1:16" ht="14.4" x14ac:dyDescent="0.25">
      <c r="A6721" s="6">
        <v>1478</v>
      </c>
      <c r="B6721" s="6">
        <v>10658</v>
      </c>
      <c r="C6721" s="19">
        <v>40052</v>
      </c>
      <c r="D6721" s="6" t="s">
        <v>25</v>
      </c>
      <c r="E6721" s="6">
        <f>IF((ISBLANK($B$1)),"",Sheet1!Q6733)</f>
        <v>4000</v>
      </c>
      <c r="F6721" s="20" t="s">
        <v>27</v>
      </c>
      <c r="G6721" s="53">
        <f t="shared" si="105"/>
        <v>-0.93735706776838001</v>
      </c>
      <c r="H6721" s="35"/>
      <c r="P6721" s="6"/>
    </row>
    <row r="6722" spans="1:16" ht="14.4" x14ac:dyDescent="0.25">
      <c r="A6722" s="6">
        <v>1479</v>
      </c>
      <c r="B6722" s="6">
        <v>10658</v>
      </c>
      <c r="C6722" s="19">
        <v>40052</v>
      </c>
      <c r="D6722" s="6" t="s">
        <v>25</v>
      </c>
      <c r="E6722" s="6">
        <f>IF((ISBLANK($B$1)),"",Sheet1!Q6734)</f>
        <v>4250</v>
      </c>
      <c r="F6722" s="20" t="s">
        <v>27</v>
      </c>
      <c r="G6722" s="53">
        <f t="shared" si="105"/>
        <v>-0.59211849959099416</v>
      </c>
      <c r="H6722" s="35"/>
      <c r="P6722" s="6"/>
    </row>
    <row r="6723" spans="1:16" ht="14.4" x14ac:dyDescent="0.25">
      <c r="A6723" s="6">
        <v>1483</v>
      </c>
      <c r="B6723" s="6">
        <v>10662</v>
      </c>
      <c r="C6723" s="19">
        <v>40675</v>
      </c>
      <c r="D6723" s="6" t="s">
        <v>25</v>
      </c>
      <c r="E6723" s="6">
        <f>IF((ISBLANK($B$1)),"",Sheet1!Q6735)</f>
        <v>5650</v>
      </c>
      <c r="F6723" s="20" t="s">
        <v>26</v>
      </c>
      <c r="G6723" s="53">
        <f t="shared" si="105"/>
        <v>1.3412174822023666</v>
      </c>
      <c r="H6723" s="35"/>
      <c r="P6723" s="6"/>
    </row>
    <row r="6724" spans="1:16" ht="14.4" x14ac:dyDescent="0.25">
      <c r="A6724" s="6">
        <v>1514</v>
      </c>
      <c r="B6724" s="6">
        <v>10948</v>
      </c>
      <c r="C6724" s="19">
        <v>41134</v>
      </c>
      <c r="D6724" s="6" t="s">
        <v>16</v>
      </c>
      <c r="E6724" s="6">
        <f>IF((ISBLANK($B$1)),"",Sheet1!Q6736)</f>
        <v>5900</v>
      </c>
      <c r="F6724" s="20" t="s">
        <v>26</v>
      </c>
      <c r="G6724" s="53">
        <f t="shared" si="105"/>
        <v>1.6864560503797523</v>
      </c>
      <c r="H6724" s="35"/>
      <c r="P6724" s="6"/>
    </row>
    <row r="6725" spans="1:16" ht="14.4" x14ac:dyDescent="0.25">
      <c r="A6725" s="6">
        <v>1530</v>
      </c>
      <c r="B6725" s="6">
        <v>11014</v>
      </c>
      <c r="C6725" s="19">
        <v>40428</v>
      </c>
      <c r="D6725" s="6" t="s">
        <v>17</v>
      </c>
      <c r="E6725" s="6">
        <f>IF((ISBLANK($B$1)),"",Sheet1!Q6737)</f>
        <v>4050</v>
      </c>
      <c r="F6725" s="20" t="s">
        <v>26</v>
      </c>
      <c r="G6725" s="53">
        <f t="shared" si="105"/>
        <v>-0.86830935413290289</v>
      </c>
      <c r="H6725" s="35"/>
      <c r="P6725" s="6"/>
    </row>
    <row r="6726" spans="1:16" ht="14.4" x14ac:dyDescent="0.25">
      <c r="A6726" s="6">
        <v>1539</v>
      </c>
      <c r="B6726" s="6">
        <v>11077</v>
      </c>
      <c r="C6726" s="19">
        <v>39892</v>
      </c>
      <c r="D6726" s="6" t="s">
        <v>25</v>
      </c>
      <c r="E6726" s="6">
        <f>IF((ISBLANK($B$1)),"",Sheet1!Q6738)</f>
        <v>4900</v>
      </c>
      <c r="F6726" s="20" t="s">
        <v>29</v>
      </c>
      <c r="G6726" s="53">
        <f t="shared" si="105"/>
        <v>0.30550177767020903</v>
      </c>
      <c r="H6726" s="35"/>
      <c r="P6726" s="6"/>
    </row>
    <row r="6727" spans="1:16" ht="14.4" x14ac:dyDescent="0.25">
      <c r="A6727" s="6">
        <v>1550</v>
      </c>
      <c r="B6727" s="6">
        <v>11174</v>
      </c>
      <c r="C6727" s="19">
        <v>39912</v>
      </c>
      <c r="D6727" s="6" t="s">
        <v>16</v>
      </c>
      <c r="E6727" s="6">
        <f>IF((ISBLANK($B$1)),"",Sheet1!Q6739)</f>
        <v>4900</v>
      </c>
      <c r="F6727" s="20" t="s">
        <v>27</v>
      </c>
      <c r="G6727" s="53">
        <f t="shared" si="105"/>
        <v>0.30550177767020903</v>
      </c>
      <c r="H6727" s="35"/>
      <c r="P6727" s="6"/>
    </row>
    <row r="6728" spans="1:16" ht="14.4" x14ac:dyDescent="0.25">
      <c r="A6728" s="6">
        <v>1555</v>
      </c>
      <c r="B6728" s="6">
        <v>11236</v>
      </c>
      <c r="C6728" s="19">
        <v>40481</v>
      </c>
      <c r="D6728" s="6" t="s">
        <v>17</v>
      </c>
      <c r="E6728" s="6">
        <f>IF((ISBLANK($B$1)),"",Sheet1!Q6740)</f>
        <v>5650</v>
      </c>
      <c r="F6728" s="20" t="s">
        <v>26</v>
      </c>
      <c r="G6728" s="53">
        <f t="shared" ref="G6728:G6791" si="106">STANDARDIZE(E6728,$L$26,$L$35)</f>
        <v>1.3412174822023666</v>
      </c>
      <c r="H6728" s="35"/>
      <c r="P6728" s="6"/>
    </row>
    <row r="6729" spans="1:16" ht="14.4" x14ac:dyDescent="0.25">
      <c r="A6729" s="6">
        <v>1556</v>
      </c>
      <c r="B6729" s="6">
        <v>11236</v>
      </c>
      <c r="C6729" s="19">
        <v>40481</v>
      </c>
      <c r="D6729" s="6" t="s">
        <v>17</v>
      </c>
      <c r="E6729" s="6">
        <f>IF((ISBLANK($B$1)),"",Sheet1!Q6741)</f>
        <v>4150</v>
      </c>
      <c r="F6729" s="20" t="s">
        <v>26</v>
      </c>
      <c r="G6729" s="53">
        <f t="shared" si="106"/>
        <v>-0.73021392686194853</v>
      </c>
      <c r="H6729" s="35"/>
      <c r="P6729" s="6"/>
    </row>
    <row r="6730" spans="1:16" ht="14.4" x14ac:dyDescent="0.25">
      <c r="A6730" s="6">
        <v>1611</v>
      </c>
      <c r="B6730" s="6">
        <v>11680</v>
      </c>
      <c r="C6730" s="19">
        <v>40060</v>
      </c>
      <c r="D6730" s="6" t="s">
        <v>16</v>
      </c>
      <c r="E6730" s="6">
        <f>IF((ISBLANK($B$1)),"",Sheet1!Q6742)</f>
        <v>5900</v>
      </c>
      <c r="F6730" s="20" t="s">
        <v>27</v>
      </c>
      <c r="G6730" s="53">
        <f t="shared" si="106"/>
        <v>1.6864560503797523</v>
      </c>
      <c r="H6730" s="35"/>
      <c r="P6730" s="6"/>
    </row>
    <row r="6731" spans="1:16" ht="14.4" x14ac:dyDescent="0.25">
      <c r="A6731" s="6">
        <v>1612</v>
      </c>
      <c r="B6731" s="6">
        <v>11682</v>
      </c>
      <c r="C6731" s="19">
        <v>40363</v>
      </c>
      <c r="D6731" s="6" t="s">
        <v>25</v>
      </c>
      <c r="E6731" s="6">
        <f>IF((ISBLANK($B$1)),"",Sheet1!Q6743)</f>
        <v>3650</v>
      </c>
      <c r="F6731" s="20" t="s">
        <v>27</v>
      </c>
      <c r="G6731" s="53">
        <f t="shared" si="106"/>
        <v>-1.4206910632167202</v>
      </c>
      <c r="H6731" s="35"/>
      <c r="P6731" s="6"/>
    </row>
    <row r="6732" spans="1:16" ht="14.4" x14ac:dyDescent="0.25">
      <c r="A6732" s="6">
        <v>1618</v>
      </c>
      <c r="B6732" s="6">
        <v>11714</v>
      </c>
      <c r="C6732" s="19">
        <v>40029</v>
      </c>
      <c r="D6732" s="6" t="s">
        <v>30</v>
      </c>
      <c r="E6732" s="6">
        <f>IF((ISBLANK($B$1)),"",Sheet1!Q6744)</f>
        <v>3450</v>
      </c>
      <c r="F6732" s="20" t="s">
        <v>27</v>
      </c>
      <c r="G6732" s="53">
        <f t="shared" si="106"/>
        <v>-1.696881917758629</v>
      </c>
      <c r="H6732" s="35"/>
      <c r="P6732" s="6"/>
    </row>
    <row r="6733" spans="1:16" ht="14.4" x14ac:dyDescent="0.25">
      <c r="A6733" s="6">
        <v>1619</v>
      </c>
      <c r="B6733" s="6">
        <v>11714</v>
      </c>
      <c r="C6733" s="19">
        <v>40029</v>
      </c>
      <c r="D6733" s="6" t="s">
        <v>30</v>
      </c>
      <c r="E6733" s="6">
        <f>IF((ISBLANK($B$1)),"",Sheet1!Q6745)</f>
        <v>3850</v>
      </c>
      <c r="F6733" s="20" t="s">
        <v>26</v>
      </c>
      <c r="G6733" s="53">
        <f t="shared" si="106"/>
        <v>-1.1445002086748115</v>
      </c>
      <c r="H6733" s="35"/>
      <c r="P6733" s="6"/>
    </row>
    <row r="6734" spans="1:16" ht="14.4" x14ac:dyDescent="0.25">
      <c r="A6734" s="6">
        <v>1625</v>
      </c>
      <c r="B6734" s="6">
        <v>11748</v>
      </c>
      <c r="C6734" s="19">
        <v>39967</v>
      </c>
      <c r="D6734" s="6" t="s">
        <v>28</v>
      </c>
      <c r="E6734" s="6">
        <f>IF((ISBLANK($B$1)),"",Sheet1!Q6746)</f>
        <v>4550</v>
      </c>
      <c r="F6734" s="20" t="s">
        <v>29</v>
      </c>
      <c r="G6734" s="53">
        <f t="shared" si="106"/>
        <v>-0.17783221777813119</v>
      </c>
      <c r="H6734" s="35"/>
      <c r="P6734" s="6"/>
    </row>
    <row r="6735" spans="1:16" ht="14.4" x14ac:dyDescent="0.25">
      <c r="A6735" s="6">
        <v>1630</v>
      </c>
      <c r="B6735" s="6">
        <v>11780</v>
      </c>
      <c r="C6735" s="19">
        <v>40442</v>
      </c>
      <c r="D6735" s="6" t="s">
        <v>30</v>
      </c>
      <c r="E6735" s="6">
        <f>IF((ISBLANK($B$1)),"",Sheet1!Q6747)</f>
        <v>3750</v>
      </c>
      <c r="F6735" s="20" t="s">
        <v>26</v>
      </c>
      <c r="G6735" s="53">
        <f t="shared" si="106"/>
        <v>-1.282595635945766</v>
      </c>
      <c r="H6735" s="35"/>
      <c r="P6735" s="6"/>
    </row>
    <row r="6736" spans="1:16" ht="14.4" x14ac:dyDescent="0.25">
      <c r="A6736" s="6">
        <v>1666</v>
      </c>
      <c r="B6736" s="6">
        <v>12007</v>
      </c>
      <c r="C6736" s="19">
        <v>40083</v>
      </c>
      <c r="D6736" s="6" t="s">
        <v>28</v>
      </c>
      <c r="E6736" s="6">
        <f>IF((ISBLANK($B$1)),"",Sheet1!Q6748)</f>
        <v>5500</v>
      </c>
      <c r="F6736" s="20" t="s">
        <v>26</v>
      </c>
      <c r="G6736" s="53">
        <f t="shared" si="106"/>
        <v>1.1340743412959351</v>
      </c>
      <c r="H6736" s="35"/>
      <c r="P6736" s="6"/>
    </row>
    <row r="6737" spans="1:16" ht="14.4" x14ac:dyDescent="0.25">
      <c r="A6737" s="6">
        <v>1668</v>
      </c>
      <c r="B6737" s="6">
        <v>12039</v>
      </c>
      <c r="C6737" s="19">
        <v>40345</v>
      </c>
      <c r="D6737" s="6" t="s">
        <v>17</v>
      </c>
      <c r="E6737" s="6">
        <f>IF((ISBLANK($B$1)),"",Sheet1!Q6749)</f>
        <v>4050</v>
      </c>
      <c r="F6737" s="20" t="s">
        <v>27</v>
      </c>
      <c r="G6737" s="53">
        <f t="shared" si="106"/>
        <v>-0.86830935413290289</v>
      </c>
      <c r="H6737" s="35"/>
      <c r="P6737" s="6"/>
    </row>
    <row r="6738" spans="1:16" ht="14.4" x14ac:dyDescent="0.25">
      <c r="A6738" s="6">
        <v>1669</v>
      </c>
      <c r="B6738" s="6">
        <v>12066</v>
      </c>
      <c r="C6738" s="19">
        <v>40580</v>
      </c>
      <c r="D6738" s="6" t="s">
        <v>16</v>
      </c>
      <c r="E6738" s="6">
        <f>IF((ISBLANK($B$1)),"",Sheet1!Q6750)</f>
        <v>4750</v>
      </c>
      <c r="F6738" s="20" t="s">
        <v>27</v>
      </c>
      <c r="G6738" s="53">
        <f t="shared" si="106"/>
        <v>9.8358636763777513E-2</v>
      </c>
      <c r="H6738" s="35"/>
      <c r="P6738" s="6"/>
    </row>
    <row r="6739" spans="1:16" ht="14.4" x14ac:dyDescent="0.25">
      <c r="A6739" s="6">
        <v>1708</v>
      </c>
      <c r="B6739" s="6">
        <v>12262</v>
      </c>
      <c r="C6739" s="19">
        <v>40887</v>
      </c>
      <c r="D6739" s="6" t="s">
        <v>25</v>
      </c>
      <c r="E6739" s="6">
        <f>IF((ISBLANK($B$1)),"",Sheet1!Q6751)</f>
        <v>5650</v>
      </c>
      <c r="F6739" s="20" t="s">
        <v>29</v>
      </c>
      <c r="G6739" s="53">
        <f t="shared" si="106"/>
        <v>1.3412174822023666</v>
      </c>
      <c r="H6739" s="35"/>
      <c r="P6739" s="6"/>
    </row>
    <row r="6740" spans="1:16" ht="14.4" x14ac:dyDescent="0.25">
      <c r="A6740" s="6">
        <v>1746</v>
      </c>
      <c r="B6740" s="6">
        <v>12486</v>
      </c>
      <c r="C6740" s="19">
        <v>40594</v>
      </c>
      <c r="D6740" s="6" t="s">
        <v>17</v>
      </c>
      <c r="E6740" s="6">
        <f>IF((ISBLANK($B$1)),"",Sheet1!Q6752)</f>
        <v>4950</v>
      </c>
      <c r="F6740" s="20" t="s">
        <v>29</v>
      </c>
      <c r="G6740" s="53">
        <f t="shared" si="106"/>
        <v>0.37454949130568621</v>
      </c>
      <c r="H6740" s="35"/>
      <c r="P6740" s="6"/>
    </row>
    <row r="6741" spans="1:16" ht="14.4" x14ac:dyDescent="0.25">
      <c r="A6741" s="6">
        <v>1747</v>
      </c>
      <c r="B6741" s="6">
        <v>12486</v>
      </c>
      <c r="C6741" s="19">
        <v>40594</v>
      </c>
      <c r="D6741" s="6" t="s">
        <v>17</v>
      </c>
      <c r="E6741" s="6">
        <f>IF((ISBLANK($B$1)),"",Sheet1!Q6753)</f>
        <v>5500</v>
      </c>
      <c r="F6741" s="20" t="s">
        <v>26</v>
      </c>
      <c r="G6741" s="53">
        <f t="shared" si="106"/>
        <v>1.1340743412959351</v>
      </c>
      <c r="H6741" s="35"/>
      <c r="P6741" s="6"/>
    </row>
    <row r="6742" spans="1:16" ht="14.4" x14ac:dyDescent="0.25">
      <c r="A6742" s="6">
        <v>1755</v>
      </c>
      <c r="B6742" s="6">
        <v>12580</v>
      </c>
      <c r="C6742" s="19">
        <v>40191</v>
      </c>
      <c r="D6742" s="6" t="s">
        <v>25</v>
      </c>
      <c r="E6742" s="6">
        <f>IF((ISBLANK($B$1)),"",Sheet1!Q6754)</f>
        <v>5900</v>
      </c>
      <c r="F6742" s="20" t="s">
        <v>26</v>
      </c>
      <c r="G6742" s="53">
        <f t="shared" si="106"/>
        <v>1.6864560503797523</v>
      </c>
      <c r="H6742" s="35"/>
      <c r="P6742" s="6"/>
    </row>
    <row r="6743" spans="1:16" ht="14.4" x14ac:dyDescent="0.25">
      <c r="A6743" s="6">
        <v>1758</v>
      </c>
      <c r="B6743" s="6">
        <v>12612</v>
      </c>
      <c r="C6743" s="19">
        <v>40533</v>
      </c>
      <c r="D6743" s="6" t="s">
        <v>25</v>
      </c>
      <c r="E6743" s="6">
        <f>IF((ISBLANK($B$1)),"",Sheet1!Q6755)</f>
        <v>4850</v>
      </c>
      <c r="F6743" s="20" t="s">
        <v>26</v>
      </c>
      <c r="G6743" s="53">
        <f t="shared" si="106"/>
        <v>0.23645406403473185</v>
      </c>
      <c r="H6743" s="35"/>
      <c r="P6743" s="6"/>
    </row>
    <row r="6744" spans="1:16" ht="14.4" x14ac:dyDescent="0.25">
      <c r="A6744" s="6">
        <v>1759</v>
      </c>
      <c r="B6744" s="6">
        <v>12612</v>
      </c>
      <c r="C6744" s="19">
        <v>40533</v>
      </c>
      <c r="D6744" s="6" t="s">
        <v>25</v>
      </c>
      <c r="E6744" s="6">
        <f>IF((ISBLANK($B$1)),"",Sheet1!Q6756)</f>
        <v>5850</v>
      </c>
      <c r="F6744" s="20" t="s">
        <v>26</v>
      </c>
      <c r="G6744" s="53">
        <f t="shared" si="106"/>
        <v>1.6174083367442753</v>
      </c>
      <c r="H6744" s="35"/>
      <c r="P6744" s="6"/>
    </row>
    <row r="6745" spans="1:16" ht="14.4" x14ac:dyDescent="0.25">
      <c r="A6745" s="6">
        <v>1772</v>
      </c>
      <c r="B6745" s="6">
        <v>12706</v>
      </c>
      <c r="C6745" s="19">
        <v>40137</v>
      </c>
      <c r="D6745" s="6" t="s">
        <v>30</v>
      </c>
      <c r="E6745" s="6">
        <f>IF((ISBLANK($B$1)),"",Sheet1!Q6757)</f>
        <v>5700</v>
      </c>
      <c r="F6745" s="20" t="s">
        <v>29</v>
      </c>
      <c r="G6745" s="53">
        <f t="shared" si="106"/>
        <v>1.4102651958378438</v>
      </c>
      <c r="H6745" s="35"/>
      <c r="P6745" s="6"/>
    </row>
    <row r="6746" spans="1:16" ht="14.4" x14ac:dyDescent="0.25">
      <c r="A6746" s="6">
        <v>1774</v>
      </c>
      <c r="B6746" s="6">
        <v>12708</v>
      </c>
      <c r="C6746" s="19">
        <v>40185</v>
      </c>
      <c r="D6746" s="6" t="s">
        <v>25</v>
      </c>
      <c r="E6746" s="6">
        <f>IF((ISBLANK($B$1)),"",Sheet1!Q6758)</f>
        <v>5600</v>
      </c>
      <c r="F6746" s="20" t="s">
        <v>26</v>
      </c>
      <c r="G6746" s="53">
        <f t="shared" si="106"/>
        <v>1.2721697685668893</v>
      </c>
      <c r="H6746" s="35"/>
      <c r="P6746" s="6"/>
    </row>
    <row r="6747" spans="1:16" ht="14.4" x14ac:dyDescent="0.25">
      <c r="A6747" s="6">
        <v>1808</v>
      </c>
      <c r="B6747" s="6">
        <v>12930</v>
      </c>
      <c r="C6747" s="19">
        <v>40871</v>
      </c>
      <c r="D6747" s="6" t="s">
        <v>17</v>
      </c>
      <c r="E6747" s="6">
        <f>IF((ISBLANK($B$1)),"",Sheet1!Q6759)</f>
        <v>5850</v>
      </c>
      <c r="F6747" s="20" t="s">
        <v>26</v>
      </c>
      <c r="G6747" s="53">
        <f t="shared" si="106"/>
        <v>1.6174083367442753</v>
      </c>
      <c r="H6747" s="35"/>
      <c r="P6747" s="6"/>
    </row>
    <row r="6748" spans="1:16" ht="14.4" x14ac:dyDescent="0.25">
      <c r="A6748" s="6">
        <v>1812</v>
      </c>
      <c r="B6748" s="6">
        <v>12965</v>
      </c>
      <c r="C6748" s="19">
        <v>40354</v>
      </c>
      <c r="D6748" s="6" t="s">
        <v>16</v>
      </c>
      <c r="E6748" s="6">
        <f>IF((ISBLANK($B$1)),"",Sheet1!Q6760)</f>
        <v>3750</v>
      </c>
      <c r="F6748" s="20" t="s">
        <v>26</v>
      </c>
      <c r="G6748" s="53">
        <f t="shared" si="106"/>
        <v>-1.282595635945766</v>
      </c>
      <c r="H6748" s="35"/>
      <c r="P6748" s="6"/>
    </row>
    <row r="6749" spans="1:16" ht="14.4" x14ac:dyDescent="0.25">
      <c r="A6749" s="6">
        <v>1813</v>
      </c>
      <c r="B6749" s="6">
        <v>12965</v>
      </c>
      <c r="C6749" s="19">
        <v>40354</v>
      </c>
      <c r="D6749" s="6" t="s">
        <v>16</v>
      </c>
      <c r="E6749" s="6">
        <f>IF((ISBLANK($B$1)),"",Sheet1!Q6761)</f>
        <v>4450</v>
      </c>
      <c r="F6749" s="20" t="s">
        <v>26</v>
      </c>
      <c r="G6749" s="53">
        <f t="shared" si="106"/>
        <v>-0.31592764504908549</v>
      </c>
      <c r="H6749" s="35"/>
      <c r="P6749" s="6"/>
    </row>
    <row r="6750" spans="1:16" ht="14.4" x14ac:dyDescent="0.25">
      <c r="A6750" s="6">
        <v>1822</v>
      </c>
      <c r="B6750" s="6">
        <v>13090</v>
      </c>
      <c r="C6750" s="19">
        <v>40385</v>
      </c>
      <c r="D6750" s="6" t="s">
        <v>28</v>
      </c>
      <c r="E6750" s="6">
        <f>IF((ISBLANK($B$1)),"",Sheet1!Q6762)</f>
        <v>4150</v>
      </c>
      <c r="F6750" s="20" t="s">
        <v>26</v>
      </c>
      <c r="G6750" s="53">
        <f t="shared" si="106"/>
        <v>-0.73021392686194853</v>
      </c>
      <c r="H6750" s="35"/>
      <c r="P6750" s="6"/>
    </row>
    <row r="6751" spans="1:16" ht="14.4" x14ac:dyDescent="0.25">
      <c r="A6751" s="6">
        <v>1836</v>
      </c>
      <c r="B6751" s="6">
        <v>13157</v>
      </c>
      <c r="C6751" s="19">
        <v>40950</v>
      </c>
      <c r="D6751" s="6" t="s">
        <v>16</v>
      </c>
      <c r="E6751" s="6">
        <f>IF((ISBLANK($B$1)),"",Sheet1!Q6763)</f>
        <v>3500</v>
      </c>
      <c r="F6751" s="20" t="s">
        <v>27</v>
      </c>
      <c r="G6751" s="53">
        <f t="shared" si="106"/>
        <v>-1.6278342041231517</v>
      </c>
      <c r="H6751" s="35"/>
      <c r="P6751" s="6"/>
    </row>
    <row r="6752" spans="1:16" ht="14.4" x14ac:dyDescent="0.25">
      <c r="A6752" s="6">
        <v>1838</v>
      </c>
      <c r="B6752" s="6">
        <v>13218</v>
      </c>
      <c r="C6752" s="19">
        <v>39949</v>
      </c>
      <c r="D6752" s="6" t="s">
        <v>17</v>
      </c>
      <c r="E6752" s="6">
        <f>IF((ISBLANK($B$1)),"",Sheet1!Q6764)</f>
        <v>4300</v>
      </c>
      <c r="F6752" s="20" t="s">
        <v>26</v>
      </c>
      <c r="G6752" s="53">
        <f t="shared" si="106"/>
        <v>-0.52307078595551704</v>
      </c>
      <c r="H6752" s="35"/>
      <c r="P6752" s="6"/>
    </row>
    <row r="6753" spans="1:16" ht="14.4" x14ac:dyDescent="0.25">
      <c r="A6753" s="6">
        <v>1839</v>
      </c>
      <c r="B6753" s="6">
        <v>13218</v>
      </c>
      <c r="C6753" s="19">
        <v>39949</v>
      </c>
      <c r="D6753" s="6" t="s">
        <v>17</v>
      </c>
      <c r="E6753" s="6">
        <f>IF((ISBLANK($B$1)),"",Sheet1!Q6765)</f>
        <v>4200</v>
      </c>
      <c r="F6753" s="20" t="s">
        <v>26</v>
      </c>
      <c r="G6753" s="53">
        <f t="shared" si="106"/>
        <v>-0.6611662132264714</v>
      </c>
      <c r="H6753" s="35"/>
      <c r="P6753" s="6"/>
    </row>
    <row r="6754" spans="1:16" ht="14.4" x14ac:dyDescent="0.25">
      <c r="A6754" s="6">
        <v>1852</v>
      </c>
      <c r="B6754" s="6">
        <v>13314</v>
      </c>
      <c r="C6754" s="19">
        <v>39946</v>
      </c>
      <c r="D6754" s="6" t="s">
        <v>17</v>
      </c>
      <c r="E6754" s="6">
        <f>IF((ISBLANK($B$1)),"",Sheet1!Q6766)</f>
        <v>5100</v>
      </c>
      <c r="F6754" s="20" t="s">
        <v>26</v>
      </c>
      <c r="G6754" s="53">
        <f t="shared" si="106"/>
        <v>0.58169263221211776</v>
      </c>
      <c r="H6754" s="35"/>
      <c r="P6754" s="6"/>
    </row>
    <row r="6755" spans="1:16" ht="14.4" x14ac:dyDescent="0.25">
      <c r="A6755" s="6">
        <v>1877</v>
      </c>
      <c r="B6755" s="6">
        <v>13536</v>
      </c>
      <c r="C6755" s="19">
        <v>40043</v>
      </c>
      <c r="D6755" s="6" t="s">
        <v>16</v>
      </c>
      <c r="E6755" s="6">
        <f>IF((ISBLANK($B$1)),"",Sheet1!Q6767)</f>
        <v>4550</v>
      </c>
      <c r="F6755" s="20" t="s">
        <v>26</v>
      </c>
      <c r="G6755" s="53">
        <f t="shared" si="106"/>
        <v>-0.17783221777813119</v>
      </c>
      <c r="H6755" s="35"/>
      <c r="P6755" s="6"/>
    </row>
    <row r="6756" spans="1:16" ht="14.4" x14ac:dyDescent="0.25">
      <c r="A6756" s="6">
        <v>1887</v>
      </c>
      <c r="B6756" s="6">
        <v>13569</v>
      </c>
      <c r="C6756" s="19">
        <v>40643</v>
      </c>
      <c r="D6756" s="6" t="s">
        <v>30</v>
      </c>
      <c r="E6756" s="6">
        <f>IF((ISBLANK($B$1)),"",Sheet1!Q6768)</f>
        <v>4050</v>
      </c>
      <c r="F6756" s="20" t="s">
        <v>26</v>
      </c>
      <c r="G6756" s="53">
        <f t="shared" si="106"/>
        <v>-0.86830935413290289</v>
      </c>
      <c r="H6756" s="35"/>
      <c r="P6756" s="6"/>
    </row>
    <row r="6757" spans="1:16" ht="14.4" x14ac:dyDescent="0.25">
      <c r="A6757" s="6">
        <v>1888</v>
      </c>
      <c r="B6757" s="6">
        <v>13569</v>
      </c>
      <c r="C6757" s="19">
        <v>40643</v>
      </c>
      <c r="D6757" s="6" t="s">
        <v>30</v>
      </c>
      <c r="E6757" s="6">
        <f>IF((ISBLANK($B$1)),"",Sheet1!Q6769)</f>
        <v>4200</v>
      </c>
      <c r="F6757" s="20" t="s">
        <v>26</v>
      </c>
      <c r="G6757" s="53">
        <f t="shared" si="106"/>
        <v>-0.6611662132264714</v>
      </c>
      <c r="H6757" s="35"/>
      <c r="P6757" s="6"/>
    </row>
    <row r="6758" spans="1:16" ht="14.4" x14ac:dyDescent="0.25">
      <c r="A6758" s="6">
        <v>1889</v>
      </c>
      <c r="B6758" s="6">
        <v>13570</v>
      </c>
      <c r="C6758" s="19">
        <v>41245</v>
      </c>
      <c r="D6758" s="6" t="s">
        <v>28</v>
      </c>
      <c r="E6758" s="6">
        <f>IF((ISBLANK($B$1)),"",Sheet1!Q6770)</f>
        <v>3500</v>
      </c>
      <c r="F6758" s="20" t="s">
        <v>29</v>
      </c>
      <c r="G6758" s="53">
        <f t="shared" si="106"/>
        <v>-1.6278342041231517</v>
      </c>
      <c r="H6758" s="35"/>
      <c r="P6758" s="6"/>
    </row>
    <row r="6759" spans="1:16" ht="14.4" x14ac:dyDescent="0.25">
      <c r="A6759" s="6">
        <v>1890</v>
      </c>
      <c r="B6759" s="6">
        <v>13570</v>
      </c>
      <c r="C6759" s="19">
        <v>41245</v>
      </c>
      <c r="D6759" s="6" t="s">
        <v>28</v>
      </c>
      <c r="E6759" s="6">
        <f>IF((ISBLANK($B$1)),"",Sheet1!Q6771)</f>
        <v>5500</v>
      </c>
      <c r="F6759" s="20" t="s">
        <v>27</v>
      </c>
      <c r="G6759" s="53">
        <f t="shared" si="106"/>
        <v>1.1340743412959351</v>
      </c>
      <c r="H6759" s="35"/>
      <c r="P6759" s="6"/>
    </row>
    <row r="6760" spans="1:16" ht="14.4" x14ac:dyDescent="0.25">
      <c r="A6760" s="6">
        <v>1894</v>
      </c>
      <c r="B6760" s="6">
        <v>13602</v>
      </c>
      <c r="C6760" s="19">
        <v>39826</v>
      </c>
      <c r="D6760" s="6" t="s">
        <v>25</v>
      </c>
      <c r="E6760" s="6">
        <f>IF((ISBLANK($B$1)),"",Sheet1!Q6772)</f>
        <v>3550</v>
      </c>
      <c r="F6760" s="20" t="s">
        <v>27</v>
      </c>
      <c r="G6760" s="53">
        <f t="shared" si="106"/>
        <v>-1.5587864904876745</v>
      </c>
      <c r="H6760" s="35"/>
      <c r="P6760" s="6"/>
    </row>
    <row r="6761" spans="1:16" ht="14.4" x14ac:dyDescent="0.25">
      <c r="A6761" s="6">
        <v>1895</v>
      </c>
      <c r="B6761" s="6">
        <v>13602</v>
      </c>
      <c r="C6761" s="19">
        <v>39826</v>
      </c>
      <c r="D6761" s="6" t="s">
        <v>25</v>
      </c>
      <c r="E6761" s="6">
        <f>IF((ISBLANK($B$1)),"",Sheet1!Q6773)</f>
        <v>4050</v>
      </c>
      <c r="F6761" s="20" t="s">
        <v>26</v>
      </c>
      <c r="G6761" s="53">
        <f t="shared" si="106"/>
        <v>-0.86830935413290289</v>
      </c>
      <c r="H6761" s="35"/>
      <c r="P6761" s="6"/>
    </row>
    <row r="6762" spans="1:16" ht="14.4" x14ac:dyDescent="0.25">
      <c r="A6762" s="6">
        <v>1911</v>
      </c>
      <c r="B6762" s="6">
        <v>13668</v>
      </c>
      <c r="C6762" s="19">
        <v>40963</v>
      </c>
      <c r="D6762" s="6" t="s">
        <v>30</v>
      </c>
      <c r="E6762" s="6">
        <f>IF((ISBLANK($B$1)),"",Sheet1!Q6774)</f>
        <v>5500</v>
      </c>
      <c r="F6762" s="20" t="s">
        <v>29</v>
      </c>
      <c r="G6762" s="53">
        <f t="shared" si="106"/>
        <v>1.1340743412959351</v>
      </c>
      <c r="H6762" s="35"/>
      <c r="P6762" s="6"/>
    </row>
    <row r="6763" spans="1:16" ht="14.4" x14ac:dyDescent="0.25">
      <c r="A6763" s="6">
        <v>1943</v>
      </c>
      <c r="B6763" s="6">
        <v>13923</v>
      </c>
      <c r="C6763" s="19">
        <v>41098</v>
      </c>
      <c r="D6763" s="6" t="s">
        <v>17</v>
      </c>
      <c r="E6763" s="6">
        <f>IF((ISBLANK($B$1)),"",Sheet1!Q6775)</f>
        <v>4800</v>
      </c>
      <c r="F6763" s="20" t="s">
        <v>27</v>
      </c>
      <c r="G6763" s="53">
        <f t="shared" si="106"/>
        <v>0.16740635039925467</v>
      </c>
      <c r="H6763" s="35"/>
      <c r="P6763" s="6"/>
    </row>
    <row r="6764" spans="1:16" ht="14.4" x14ac:dyDescent="0.25">
      <c r="A6764" s="6">
        <v>1949</v>
      </c>
      <c r="B6764" s="6">
        <v>13958</v>
      </c>
      <c r="C6764" s="19">
        <v>40201</v>
      </c>
      <c r="D6764" s="6" t="s">
        <v>25</v>
      </c>
      <c r="E6764" s="6">
        <f>IF((ISBLANK($B$1)),"",Sheet1!Q6776)</f>
        <v>3950</v>
      </c>
      <c r="F6764" s="20" t="s">
        <v>27</v>
      </c>
      <c r="G6764" s="53">
        <f t="shared" si="106"/>
        <v>-1.0064047814038573</v>
      </c>
      <c r="H6764" s="35"/>
      <c r="P6764" s="6"/>
    </row>
    <row r="6765" spans="1:16" ht="14.4" x14ac:dyDescent="0.25">
      <c r="A6765" s="6">
        <v>1957</v>
      </c>
      <c r="B6765" s="6">
        <v>13991</v>
      </c>
      <c r="C6765" s="19">
        <v>40974</v>
      </c>
      <c r="D6765" s="6" t="s">
        <v>17</v>
      </c>
      <c r="E6765" s="6">
        <f>IF((ISBLANK($B$1)),"",Sheet1!Q6777)</f>
        <v>4600</v>
      </c>
      <c r="F6765" s="20" t="s">
        <v>27</v>
      </c>
      <c r="G6765" s="53">
        <f t="shared" si="106"/>
        <v>-0.108784504142654</v>
      </c>
      <c r="H6765" s="35"/>
      <c r="P6765" s="6"/>
    </row>
    <row r="6766" spans="1:16" ht="14.4" x14ac:dyDescent="0.25">
      <c r="A6766" s="6">
        <v>1958</v>
      </c>
      <c r="B6766" s="6">
        <v>13991</v>
      </c>
      <c r="C6766" s="19">
        <v>40974</v>
      </c>
      <c r="D6766" s="6" t="s">
        <v>17</v>
      </c>
      <c r="E6766" s="6">
        <f>IF((ISBLANK($B$1)),"",Sheet1!Q6778)</f>
        <v>4450</v>
      </c>
      <c r="F6766" s="20" t="s">
        <v>29</v>
      </c>
      <c r="G6766" s="53">
        <f t="shared" si="106"/>
        <v>-0.31592764504908549</v>
      </c>
      <c r="H6766" s="35"/>
      <c r="P6766" s="6"/>
    </row>
    <row r="6767" spans="1:16" ht="14.4" x14ac:dyDescent="0.25">
      <c r="A6767" s="6">
        <v>1964</v>
      </c>
      <c r="B6767" s="6">
        <v>14048</v>
      </c>
      <c r="C6767" s="19">
        <v>40315</v>
      </c>
      <c r="D6767" s="6" t="s">
        <v>28</v>
      </c>
      <c r="E6767" s="6">
        <f>IF((ISBLANK($B$1)),"",Sheet1!Q6779)</f>
        <v>5750</v>
      </c>
      <c r="F6767" s="20" t="s">
        <v>26</v>
      </c>
      <c r="G6767" s="53">
        <f t="shared" si="106"/>
        <v>1.4793129094733208</v>
      </c>
      <c r="H6767" s="35"/>
      <c r="P6767" s="6"/>
    </row>
    <row r="6768" spans="1:16" ht="14.4" x14ac:dyDescent="0.25">
      <c r="A6768" s="6">
        <v>1965</v>
      </c>
      <c r="B6768" s="6">
        <v>14048</v>
      </c>
      <c r="C6768" s="19">
        <v>40315</v>
      </c>
      <c r="D6768" s="6" t="s">
        <v>28</v>
      </c>
      <c r="E6768" s="6">
        <f>IF((ISBLANK($B$1)),"",Sheet1!Q6780)</f>
        <v>3650</v>
      </c>
      <c r="F6768" s="20" t="s">
        <v>26</v>
      </c>
      <c r="G6768" s="53">
        <f t="shared" si="106"/>
        <v>-1.4206910632167202</v>
      </c>
      <c r="H6768" s="35"/>
      <c r="P6768" s="6"/>
    </row>
    <row r="6769" spans="1:16" ht="14.4" x14ac:dyDescent="0.25">
      <c r="A6769" s="6">
        <v>1966</v>
      </c>
      <c r="B6769" s="6">
        <v>14048</v>
      </c>
      <c r="C6769" s="19">
        <v>40315</v>
      </c>
      <c r="D6769" s="6" t="s">
        <v>28</v>
      </c>
      <c r="E6769" s="6">
        <f>IF((ISBLANK($B$1)),"",Sheet1!Q6781)</f>
        <v>5400</v>
      </c>
      <c r="F6769" s="20" t="s">
        <v>27</v>
      </c>
      <c r="G6769" s="53">
        <f t="shared" si="106"/>
        <v>0.99597891402498073</v>
      </c>
      <c r="H6769" s="35"/>
      <c r="P6769" s="6"/>
    </row>
    <row r="6770" spans="1:16" ht="14.4" x14ac:dyDescent="0.25">
      <c r="A6770" s="6">
        <v>2007</v>
      </c>
      <c r="B6770" s="6">
        <v>14311</v>
      </c>
      <c r="C6770" s="19">
        <v>40026</v>
      </c>
      <c r="D6770" s="6" t="s">
        <v>30</v>
      </c>
      <c r="E6770" s="6">
        <f>IF((ISBLANK($B$1)),"",Sheet1!Q6782)</f>
        <v>4900</v>
      </c>
      <c r="F6770" s="20" t="s">
        <v>26</v>
      </c>
      <c r="G6770" s="53">
        <f t="shared" si="106"/>
        <v>0.30550177767020903</v>
      </c>
      <c r="H6770" s="35"/>
      <c r="P6770" s="6"/>
    </row>
    <row r="6771" spans="1:16" ht="14.4" x14ac:dyDescent="0.25">
      <c r="A6771" s="6">
        <v>2024</v>
      </c>
      <c r="B6771" s="6">
        <v>14434</v>
      </c>
      <c r="C6771" s="19">
        <v>40589</v>
      </c>
      <c r="D6771" s="6" t="s">
        <v>28</v>
      </c>
      <c r="E6771" s="6">
        <f>IF((ISBLANK($B$1)),"",Sheet1!Q6783)</f>
        <v>5350</v>
      </c>
      <c r="F6771" s="20" t="s">
        <v>27</v>
      </c>
      <c r="G6771" s="53">
        <f t="shared" si="106"/>
        <v>0.92693120038950361</v>
      </c>
      <c r="H6771" s="35"/>
      <c r="P6771" s="6"/>
    </row>
    <row r="6772" spans="1:16" ht="14.4" x14ac:dyDescent="0.25">
      <c r="A6772" s="6">
        <v>2050</v>
      </c>
      <c r="B6772" s="6">
        <v>14630</v>
      </c>
      <c r="C6772" s="19">
        <v>41198</v>
      </c>
      <c r="D6772" s="6" t="s">
        <v>25</v>
      </c>
      <c r="E6772" s="6">
        <f>IF((ISBLANK($B$1)),"",Sheet1!Q6784)</f>
        <v>4250</v>
      </c>
      <c r="F6772" s="20" t="s">
        <v>26</v>
      </c>
      <c r="G6772" s="53">
        <f t="shared" si="106"/>
        <v>-0.59211849959099416</v>
      </c>
      <c r="H6772" s="35"/>
      <c r="P6772" s="6"/>
    </row>
    <row r="6773" spans="1:16" ht="14.4" x14ac:dyDescent="0.25">
      <c r="A6773" s="6">
        <v>2075</v>
      </c>
      <c r="B6773" s="6">
        <v>14851</v>
      </c>
      <c r="C6773" s="19">
        <v>41040</v>
      </c>
      <c r="D6773" s="6" t="s">
        <v>28</v>
      </c>
      <c r="E6773" s="6">
        <f>IF((ISBLANK($B$1)),"",Sheet1!Q6785)</f>
        <v>3700</v>
      </c>
      <c r="F6773" s="20" t="s">
        <v>27</v>
      </c>
      <c r="G6773" s="53">
        <f t="shared" si="106"/>
        <v>-1.351643349581243</v>
      </c>
      <c r="H6773" s="35"/>
      <c r="P6773" s="6"/>
    </row>
    <row r="6774" spans="1:16" ht="14.4" x14ac:dyDescent="0.25">
      <c r="A6774" s="6">
        <v>2076</v>
      </c>
      <c r="B6774" s="6">
        <v>14851</v>
      </c>
      <c r="C6774" s="19">
        <v>41040</v>
      </c>
      <c r="D6774" s="6" t="s">
        <v>28</v>
      </c>
      <c r="E6774" s="6">
        <f>IF((ISBLANK($B$1)),"",Sheet1!Q6786)</f>
        <v>4700</v>
      </c>
      <c r="F6774" s="20" t="s">
        <v>27</v>
      </c>
      <c r="G6774" s="53">
        <f t="shared" si="106"/>
        <v>2.9310923128300338E-2</v>
      </c>
      <c r="H6774" s="35"/>
      <c r="P6774" s="6"/>
    </row>
    <row r="6775" spans="1:16" ht="14.4" x14ac:dyDescent="0.25">
      <c r="A6775" s="6">
        <v>2088</v>
      </c>
      <c r="B6775" s="6">
        <v>14950</v>
      </c>
      <c r="C6775" s="19">
        <v>40447</v>
      </c>
      <c r="D6775" s="6" t="s">
        <v>25</v>
      </c>
      <c r="E6775" s="6">
        <f>IF((ISBLANK($B$1)),"",Sheet1!Q6787)</f>
        <v>5800</v>
      </c>
      <c r="F6775" s="20" t="s">
        <v>26</v>
      </c>
      <c r="G6775" s="53">
        <f t="shared" si="106"/>
        <v>1.5483606231087981</v>
      </c>
      <c r="H6775" s="35"/>
      <c r="P6775" s="6"/>
    </row>
    <row r="6776" spans="1:16" ht="14.4" x14ac:dyDescent="0.25">
      <c r="A6776" s="6">
        <v>2095</v>
      </c>
      <c r="B6776" s="6">
        <v>14981</v>
      </c>
      <c r="C6776" s="19">
        <v>40477</v>
      </c>
      <c r="D6776" s="6" t="s">
        <v>16</v>
      </c>
      <c r="E6776" s="6">
        <f>IF((ISBLANK($B$1)),"",Sheet1!Q6788)</f>
        <v>3800</v>
      </c>
      <c r="F6776" s="20" t="s">
        <v>26</v>
      </c>
      <c r="G6776" s="53">
        <f t="shared" si="106"/>
        <v>-1.2135479223102887</v>
      </c>
      <c r="H6776" s="35"/>
      <c r="P6776" s="6"/>
    </row>
    <row r="6777" spans="1:16" ht="14.4" x14ac:dyDescent="0.25">
      <c r="A6777" s="6">
        <v>2096</v>
      </c>
      <c r="B6777" s="6">
        <v>14981</v>
      </c>
      <c r="C6777" s="19">
        <v>40477</v>
      </c>
      <c r="D6777" s="6" t="s">
        <v>16</v>
      </c>
      <c r="E6777" s="6">
        <f>IF((ISBLANK($B$1)),"",Sheet1!Q6789)</f>
        <v>3800</v>
      </c>
      <c r="F6777" s="20" t="s">
        <v>29</v>
      </c>
      <c r="G6777" s="53">
        <f t="shared" si="106"/>
        <v>-1.2135479223102887</v>
      </c>
      <c r="H6777" s="35"/>
      <c r="P6777" s="6"/>
    </row>
    <row r="6778" spans="1:16" ht="14.4" x14ac:dyDescent="0.25">
      <c r="A6778" s="6">
        <v>2113</v>
      </c>
      <c r="B6778" s="6">
        <v>15105</v>
      </c>
      <c r="C6778" s="19">
        <v>40120</v>
      </c>
      <c r="D6778" s="6" t="s">
        <v>25</v>
      </c>
      <c r="E6778" s="6">
        <f>IF((ISBLANK($B$1)),"",Sheet1!Q6790)</f>
        <v>5350</v>
      </c>
      <c r="F6778" s="20" t="s">
        <v>26</v>
      </c>
      <c r="G6778" s="53">
        <f t="shared" si="106"/>
        <v>0.92693120038950361</v>
      </c>
      <c r="H6778" s="35"/>
      <c r="P6778" s="6"/>
    </row>
    <row r="6779" spans="1:16" ht="14.4" x14ac:dyDescent="0.25">
      <c r="A6779" s="6">
        <v>2123</v>
      </c>
      <c r="B6779" s="6">
        <v>15111</v>
      </c>
      <c r="C6779" s="19">
        <v>40164</v>
      </c>
      <c r="D6779" s="6" t="s">
        <v>28</v>
      </c>
      <c r="E6779" s="6">
        <f>IF((ISBLANK($B$1)),"",Sheet1!Q6791)</f>
        <v>4050</v>
      </c>
      <c r="F6779" s="20" t="s">
        <v>26</v>
      </c>
      <c r="G6779" s="53">
        <f t="shared" si="106"/>
        <v>-0.86830935413290289</v>
      </c>
      <c r="H6779" s="35"/>
      <c r="P6779" s="6"/>
    </row>
    <row r="6780" spans="1:16" ht="14.4" x14ac:dyDescent="0.25">
      <c r="A6780" s="6">
        <v>2128</v>
      </c>
      <c r="B6780" s="6">
        <v>15202</v>
      </c>
      <c r="C6780" s="19">
        <v>40368</v>
      </c>
      <c r="D6780" s="6" t="s">
        <v>17</v>
      </c>
      <c r="E6780" s="6">
        <f>IF((ISBLANK($B$1)),"",Sheet1!Q6792)</f>
        <v>5200</v>
      </c>
      <c r="F6780" s="20" t="s">
        <v>29</v>
      </c>
      <c r="G6780" s="53">
        <f t="shared" si="106"/>
        <v>0.71978805948307201</v>
      </c>
      <c r="H6780" s="35"/>
      <c r="P6780" s="6"/>
    </row>
    <row r="6781" spans="1:16" ht="14.4" x14ac:dyDescent="0.25">
      <c r="A6781" s="6">
        <v>2131</v>
      </c>
      <c r="B6781" s="6">
        <v>15206</v>
      </c>
      <c r="C6781" s="19">
        <v>40486</v>
      </c>
      <c r="D6781" s="6" t="s">
        <v>25</v>
      </c>
      <c r="E6781" s="6">
        <f>IF((ISBLANK($B$1)),"",Sheet1!Q6793)</f>
        <v>5150</v>
      </c>
      <c r="F6781" s="20" t="s">
        <v>29</v>
      </c>
      <c r="G6781" s="53">
        <f t="shared" si="106"/>
        <v>0.65074034584759488</v>
      </c>
      <c r="H6781" s="35"/>
      <c r="P6781" s="6"/>
    </row>
    <row r="6782" spans="1:16" ht="14.4" x14ac:dyDescent="0.25">
      <c r="A6782" s="6">
        <v>2162</v>
      </c>
      <c r="B6782" s="6">
        <v>15616</v>
      </c>
      <c r="C6782" s="19">
        <v>40991</v>
      </c>
      <c r="D6782" s="6" t="s">
        <v>30</v>
      </c>
      <c r="E6782" s="6">
        <f>IF((ISBLANK($B$1)),"",Sheet1!Q6794)</f>
        <v>4000</v>
      </c>
      <c r="F6782" s="20" t="s">
        <v>27</v>
      </c>
      <c r="G6782" s="53">
        <f t="shared" si="106"/>
        <v>-0.93735706776838001</v>
      </c>
      <c r="H6782" s="35"/>
      <c r="P6782" s="6"/>
    </row>
    <row r="6783" spans="1:16" ht="14.4" x14ac:dyDescent="0.25">
      <c r="A6783" s="6">
        <v>2163</v>
      </c>
      <c r="B6783" s="6">
        <v>15616</v>
      </c>
      <c r="C6783" s="19">
        <v>40991</v>
      </c>
      <c r="D6783" s="6" t="s">
        <v>30</v>
      </c>
      <c r="E6783" s="6">
        <f>IF((ISBLANK($B$1)),"",Sheet1!Q6795)</f>
        <v>5100</v>
      </c>
      <c r="F6783" s="20" t="s">
        <v>26</v>
      </c>
      <c r="G6783" s="53">
        <f t="shared" si="106"/>
        <v>0.58169263221211776</v>
      </c>
      <c r="H6783" s="35"/>
      <c r="P6783" s="6"/>
    </row>
    <row r="6784" spans="1:16" ht="14.4" x14ac:dyDescent="0.25">
      <c r="A6784" s="6">
        <v>2176</v>
      </c>
      <c r="B6784" s="6">
        <v>15654</v>
      </c>
      <c r="C6784" s="19">
        <v>40088</v>
      </c>
      <c r="D6784" s="6" t="s">
        <v>28</v>
      </c>
      <c r="E6784" s="6">
        <f>IF((ISBLANK($B$1)),"",Sheet1!Q6796)</f>
        <v>4750</v>
      </c>
      <c r="F6784" s="20" t="s">
        <v>29</v>
      </c>
      <c r="G6784" s="53">
        <f t="shared" si="106"/>
        <v>9.8358636763777513E-2</v>
      </c>
      <c r="H6784" s="35"/>
      <c r="P6784" s="6"/>
    </row>
    <row r="6785" spans="1:16" ht="14.4" x14ac:dyDescent="0.25">
      <c r="A6785" s="6">
        <v>2177</v>
      </c>
      <c r="B6785" s="6">
        <v>15654</v>
      </c>
      <c r="C6785" s="19">
        <v>40088</v>
      </c>
      <c r="D6785" s="6" t="s">
        <v>28</v>
      </c>
      <c r="E6785" s="6">
        <f>IF((ISBLANK($B$1)),"",Sheet1!Q6797)</f>
        <v>3600</v>
      </c>
      <c r="F6785" s="20" t="s">
        <v>27</v>
      </c>
      <c r="G6785" s="53">
        <f t="shared" si="106"/>
        <v>-1.4897387768521975</v>
      </c>
      <c r="H6785" s="35"/>
      <c r="P6785" s="6"/>
    </row>
    <row r="6786" spans="1:16" ht="14.4" x14ac:dyDescent="0.25">
      <c r="A6786" s="6">
        <v>2228</v>
      </c>
      <c r="B6786" s="6">
        <v>16102</v>
      </c>
      <c r="C6786" s="19">
        <v>40160</v>
      </c>
      <c r="D6786" s="6" t="s">
        <v>28</v>
      </c>
      <c r="E6786" s="6">
        <f>IF((ISBLANK($B$1)),"",Sheet1!Q6798)</f>
        <v>4650</v>
      </c>
      <c r="F6786" s="20" t="s">
        <v>29</v>
      </c>
      <c r="G6786" s="53">
        <f t="shared" si="106"/>
        <v>-3.9736790507176829E-2</v>
      </c>
      <c r="H6786" s="35"/>
      <c r="P6786" s="6"/>
    </row>
    <row r="6787" spans="1:16" ht="14.4" x14ac:dyDescent="0.25">
      <c r="A6787" s="6">
        <v>2254</v>
      </c>
      <c r="B6787" s="6">
        <v>16229</v>
      </c>
      <c r="C6787" s="19">
        <v>39901</v>
      </c>
      <c r="D6787" s="6" t="s">
        <v>17</v>
      </c>
      <c r="E6787" s="6">
        <f>IF((ISBLANK($B$1)),"",Sheet1!Q6799)</f>
        <v>4750</v>
      </c>
      <c r="F6787" s="20" t="s">
        <v>27</v>
      </c>
      <c r="G6787" s="53">
        <f t="shared" si="106"/>
        <v>9.8358636763777513E-2</v>
      </c>
      <c r="H6787" s="35"/>
      <c r="P6787" s="6"/>
    </row>
    <row r="6788" spans="1:16" ht="14.4" x14ac:dyDescent="0.25">
      <c r="A6788" s="6">
        <v>2274</v>
      </c>
      <c r="B6788" s="6">
        <v>16356</v>
      </c>
      <c r="C6788" s="19">
        <v>40757</v>
      </c>
      <c r="D6788" s="6" t="s">
        <v>30</v>
      </c>
      <c r="E6788" s="6">
        <f>IF((ISBLANK($B$1)),"",Sheet1!Q6800)</f>
        <v>3700</v>
      </c>
      <c r="F6788" s="20" t="s">
        <v>26</v>
      </c>
      <c r="G6788" s="53">
        <f t="shared" si="106"/>
        <v>-1.351643349581243</v>
      </c>
      <c r="H6788" s="35"/>
      <c r="P6788" s="6"/>
    </row>
    <row r="6789" spans="1:16" ht="14.4" x14ac:dyDescent="0.25">
      <c r="A6789" s="6">
        <v>2287</v>
      </c>
      <c r="B6789" s="6">
        <v>16481</v>
      </c>
      <c r="C6789" s="19">
        <v>40592</v>
      </c>
      <c r="D6789" s="6" t="s">
        <v>25</v>
      </c>
      <c r="E6789" s="6">
        <f>IF((ISBLANK($B$1)),"",Sheet1!Q6801)</f>
        <v>5900</v>
      </c>
      <c r="F6789" s="20" t="s">
        <v>26</v>
      </c>
      <c r="G6789" s="53">
        <f t="shared" si="106"/>
        <v>1.6864560503797523</v>
      </c>
      <c r="H6789" s="35"/>
      <c r="P6789" s="6"/>
    </row>
    <row r="6790" spans="1:16" ht="14.4" x14ac:dyDescent="0.25">
      <c r="A6790" s="6">
        <v>2288</v>
      </c>
      <c r="B6790" s="6">
        <v>16481</v>
      </c>
      <c r="C6790" s="19">
        <v>40592</v>
      </c>
      <c r="D6790" s="6" t="s">
        <v>25</v>
      </c>
      <c r="E6790" s="6">
        <f>IF((ISBLANK($B$1)),"",Sheet1!Q6802)</f>
        <v>5750</v>
      </c>
      <c r="F6790" s="20" t="s">
        <v>27</v>
      </c>
      <c r="G6790" s="53">
        <f t="shared" si="106"/>
        <v>1.4793129094733208</v>
      </c>
      <c r="H6790" s="35"/>
      <c r="P6790" s="6"/>
    </row>
    <row r="6791" spans="1:16" ht="14.4" x14ac:dyDescent="0.25">
      <c r="A6791" s="6">
        <v>2308</v>
      </c>
      <c r="B6791" s="6">
        <v>16641</v>
      </c>
      <c r="C6791" s="19">
        <v>40308</v>
      </c>
      <c r="D6791" s="6" t="s">
        <v>17</v>
      </c>
      <c r="E6791" s="6">
        <f>IF((ISBLANK($B$1)),"",Sheet1!Q6803)</f>
        <v>5050</v>
      </c>
      <c r="F6791" s="20" t="s">
        <v>29</v>
      </c>
      <c r="G6791" s="53">
        <f t="shared" si="106"/>
        <v>0.51264491857664052</v>
      </c>
      <c r="H6791" s="35"/>
      <c r="P6791" s="6"/>
    </row>
    <row r="6792" spans="1:16" ht="14.4" x14ac:dyDescent="0.25">
      <c r="A6792" s="6">
        <v>2309</v>
      </c>
      <c r="B6792" s="6">
        <v>16642</v>
      </c>
      <c r="C6792" s="19">
        <v>40604</v>
      </c>
      <c r="D6792" s="6" t="s">
        <v>28</v>
      </c>
      <c r="E6792" s="6">
        <f>IF((ISBLANK($B$1)),"",Sheet1!Q6804)</f>
        <v>5700</v>
      </c>
      <c r="F6792" s="20" t="s">
        <v>27</v>
      </c>
      <c r="G6792" s="53">
        <f t="shared" ref="G6792:G6855" si="107">STANDARDIZE(E6792,$L$26,$L$35)</f>
        <v>1.4102651958378438</v>
      </c>
      <c r="H6792" s="35"/>
      <c r="P6792" s="6"/>
    </row>
    <row r="6793" spans="1:16" ht="14.4" x14ac:dyDescent="0.25">
      <c r="A6793" s="6">
        <v>2319</v>
      </c>
      <c r="B6793" s="6">
        <v>16709</v>
      </c>
      <c r="C6793" s="19">
        <v>41188</v>
      </c>
      <c r="D6793" s="6" t="s">
        <v>17</v>
      </c>
      <c r="E6793" s="6">
        <f>IF((ISBLANK($B$1)),"",Sheet1!Q6805)</f>
        <v>3550</v>
      </c>
      <c r="F6793" s="20" t="s">
        <v>26</v>
      </c>
      <c r="G6793" s="53">
        <f t="shared" si="107"/>
        <v>-1.5587864904876745</v>
      </c>
      <c r="H6793" s="35"/>
      <c r="P6793" s="6"/>
    </row>
    <row r="6794" spans="1:16" ht="14.4" x14ac:dyDescent="0.25">
      <c r="A6794" s="6">
        <v>2354</v>
      </c>
      <c r="B6794" s="6">
        <v>16992</v>
      </c>
      <c r="C6794" s="19">
        <v>40524</v>
      </c>
      <c r="D6794" s="6" t="s">
        <v>17</v>
      </c>
      <c r="E6794" s="6">
        <f>IF((ISBLANK($B$1)),"",Sheet1!Q6806)</f>
        <v>4150</v>
      </c>
      <c r="F6794" s="20" t="s">
        <v>26</v>
      </c>
      <c r="G6794" s="53">
        <f t="shared" si="107"/>
        <v>-0.73021392686194853</v>
      </c>
      <c r="H6794" s="35"/>
      <c r="P6794" s="6"/>
    </row>
    <row r="6795" spans="1:16" ht="14.4" x14ac:dyDescent="0.25">
      <c r="A6795" s="6">
        <v>2356</v>
      </c>
      <c r="B6795" s="6">
        <v>16995</v>
      </c>
      <c r="C6795" s="19">
        <v>40530</v>
      </c>
      <c r="D6795" s="6" t="s">
        <v>28</v>
      </c>
      <c r="E6795" s="6">
        <f>IF((ISBLANK($B$1)),"",Sheet1!Q6807)</f>
        <v>5500</v>
      </c>
      <c r="F6795" s="20" t="s">
        <v>26</v>
      </c>
      <c r="G6795" s="53">
        <f t="shared" si="107"/>
        <v>1.1340743412959351</v>
      </c>
      <c r="H6795" s="35"/>
      <c r="P6795" s="6"/>
    </row>
    <row r="6796" spans="1:16" ht="14.4" x14ac:dyDescent="0.25">
      <c r="A6796" s="6">
        <v>2365</v>
      </c>
      <c r="B6796" s="6">
        <v>17093</v>
      </c>
      <c r="C6796" s="19">
        <v>40950</v>
      </c>
      <c r="D6796" s="6" t="s">
        <v>28</v>
      </c>
      <c r="E6796" s="6">
        <f>IF((ISBLANK($B$1)),"",Sheet1!Q6808)</f>
        <v>5900</v>
      </c>
      <c r="F6796" s="20" t="s">
        <v>29</v>
      </c>
      <c r="G6796" s="53">
        <f t="shared" si="107"/>
        <v>1.6864560503797523</v>
      </c>
      <c r="H6796" s="35"/>
      <c r="P6796" s="6"/>
    </row>
    <row r="6797" spans="1:16" ht="14.4" x14ac:dyDescent="0.25">
      <c r="A6797" s="6">
        <v>2414</v>
      </c>
      <c r="B6797" s="6">
        <v>17510</v>
      </c>
      <c r="C6797" s="19">
        <v>41212</v>
      </c>
      <c r="D6797" s="6" t="s">
        <v>30</v>
      </c>
      <c r="E6797" s="6">
        <f>IF((ISBLANK($B$1)),"",Sheet1!Q6809)</f>
        <v>4800</v>
      </c>
      <c r="F6797" s="20" t="s">
        <v>26</v>
      </c>
      <c r="G6797" s="53">
        <f t="shared" si="107"/>
        <v>0.16740635039925467</v>
      </c>
      <c r="H6797" s="35"/>
      <c r="P6797" s="6"/>
    </row>
    <row r="6798" spans="1:16" ht="14.4" x14ac:dyDescent="0.25">
      <c r="A6798" s="6">
        <v>2417</v>
      </c>
      <c r="B6798" s="6">
        <v>17542</v>
      </c>
      <c r="C6798" s="19">
        <v>40421</v>
      </c>
      <c r="D6798" s="6" t="s">
        <v>25</v>
      </c>
      <c r="E6798" s="6">
        <f>IF((ISBLANK($B$1)),"",Sheet1!Q6810)</f>
        <v>5250</v>
      </c>
      <c r="F6798" s="20" t="s">
        <v>26</v>
      </c>
      <c r="G6798" s="53">
        <f t="shared" si="107"/>
        <v>0.78883577311854924</v>
      </c>
      <c r="H6798" s="35"/>
      <c r="P6798" s="6"/>
    </row>
    <row r="6799" spans="1:16" ht="14.4" x14ac:dyDescent="0.25">
      <c r="A6799" s="6">
        <v>2421</v>
      </c>
      <c r="B6799" s="6">
        <v>17568</v>
      </c>
      <c r="C6799" s="19">
        <v>40459</v>
      </c>
      <c r="D6799" s="6" t="s">
        <v>28</v>
      </c>
      <c r="E6799" s="6">
        <f>IF((ISBLANK($B$1)),"",Sheet1!Q6811)</f>
        <v>4950</v>
      </c>
      <c r="F6799" s="20" t="s">
        <v>27</v>
      </c>
      <c r="G6799" s="53">
        <f t="shared" si="107"/>
        <v>0.37454949130568621</v>
      </c>
      <c r="H6799" s="35"/>
      <c r="P6799" s="6"/>
    </row>
    <row r="6800" spans="1:16" ht="14.4" x14ac:dyDescent="0.25">
      <c r="A6800" s="6">
        <v>2422</v>
      </c>
      <c r="B6800" s="6">
        <v>17571</v>
      </c>
      <c r="C6800" s="19">
        <v>40983</v>
      </c>
      <c r="D6800" s="6" t="s">
        <v>28</v>
      </c>
      <c r="E6800" s="6">
        <f>IF((ISBLANK($B$1)),"",Sheet1!Q6812)</f>
        <v>5000</v>
      </c>
      <c r="F6800" s="20" t="s">
        <v>26</v>
      </c>
      <c r="G6800" s="53">
        <f t="shared" si="107"/>
        <v>0.44359720494116334</v>
      </c>
      <c r="H6800" s="35"/>
      <c r="P6800" s="6"/>
    </row>
    <row r="6801" spans="1:16" ht="14.4" x14ac:dyDescent="0.25">
      <c r="A6801" s="6">
        <v>2423</v>
      </c>
      <c r="B6801" s="6">
        <v>17571</v>
      </c>
      <c r="C6801" s="19">
        <v>40983</v>
      </c>
      <c r="D6801" s="6" t="s">
        <v>28</v>
      </c>
      <c r="E6801" s="6">
        <f>IF((ISBLANK($B$1)),"",Sheet1!Q6813)</f>
        <v>5900</v>
      </c>
      <c r="F6801" s="20" t="s">
        <v>27</v>
      </c>
      <c r="G6801" s="53">
        <f t="shared" si="107"/>
        <v>1.6864560503797523</v>
      </c>
      <c r="H6801" s="35"/>
      <c r="P6801" s="6"/>
    </row>
    <row r="6802" spans="1:16" ht="14.4" x14ac:dyDescent="0.25">
      <c r="A6802" s="6">
        <v>2428</v>
      </c>
      <c r="B6802" s="6">
        <v>17636</v>
      </c>
      <c r="C6802" s="19">
        <v>39848</v>
      </c>
      <c r="D6802" s="6" t="s">
        <v>25</v>
      </c>
      <c r="E6802" s="6">
        <f>IF((ISBLANK($B$1)),"",Sheet1!Q6814)</f>
        <v>3500</v>
      </c>
      <c r="F6802" s="20" t="s">
        <v>26</v>
      </c>
      <c r="G6802" s="53">
        <f t="shared" si="107"/>
        <v>-1.6278342041231517</v>
      </c>
      <c r="H6802" s="35"/>
      <c r="P6802" s="6"/>
    </row>
    <row r="6803" spans="1:16" ht="14.4" x14ac:dyDescent="0.25">
      <c r="A6803" s="6">
        <v>2434</v>
      </c>
      <c r="B6803" s="6">
        <v>17669</v>
      </c>
      <c r="C6803" s="19">
        <v>39932</v>
      </c>
      <c r="D6803" s="6" t="s">
        <v>17</v>
      </c>
      <c r="E6803" s="6">
        <f>IF((ISBLANK($B$1)),"",Sheet1!Q6815)</f>
        <v>5000</v>
      </c>
      <c r="F6803" s="20" t="s">
        <v>26</v>
      </c>
      <c r="G6803" s="53">
        <f t="shared" si="107"/>
        <v>0.44359720494116334</v>
      </c>
      <c r="H6803" s="35"/>
      <c r="P6803" s="6"/>
    </row>
    <row r="6804" spans="1:16" ht="14.4" x14ac:dyDescent="0.25">
      <c r="A6804" s="6">
        <v>2439</v>
      </c>
      <c r="B6804" s="6">
        <v>17700</v>
      </c>
      <c r="C6804" s="19">
        <v>41209</v>
      </c>
      <c r="D6804" s="6" t="s">
        <v>30</v>
      </c>
      <c r="E6804" s="6">
        <f>IF((ISBLANK($B$1)),"",Sheet1!Q6816)</f>
        <v>4400</v>
      </c>
      <c r="F6804" s="20" t="s">
        <v>29</v>
      </c>
      <c r="G6804" s="53">
        <f t="shared" si="107"/>
        <v>-0.38497535868456267</v>
      </c>
      <c r="H6804" s="35"/>
      <c r="P6804" s="6"/>
    </row>
    <row r="6805" spans="1:16" ht="14.4" x14ac:dyDescent="0.25">
      <c r="A6805" s="6">
        <v>2440</v>
      </c>
      <c r="B6805" s="6">
        <v>17701</v>
      </c>
      <c r="C6805" s="19">
        <v>41050</v>
      </c>
      <c r="D6805" s="6" t="s">
        <v>30</v>
      </c>
      <c r="E6805" s="6">
        <f>IF((ISBLANK($B$1)),"",Sheet1!Q6817)</f>
        <v>4450</v>
      </c>
      <c r="F6805" s="20" t="s">
        <v>26</v>
      </c>
      <c r="G6805" s="53">
        <f t="shared" si="107"/>
        <v>-0.31592764504908549</v>
      </c>
      <c r="H6805" s="35"/>
      <c r="P6805" s="6"/>
    </row>
    <row r="6806" spans="1:16" ht="14.4" x14ac:dyDescent="0.25">
      <c r="A6806" s="6">
        <v>2450</v>
      </c>
      <c r="B6806" s="6">
        <v>17799</v>
      </c>
      <c r="C6806" s="19">
        <v>41172</v>
      </c>
      <c r="D6806" s="6" t="s">
        <v>16</v>
      </c>
      <c r="E6806" s="6">
        <f>IF((ISBLANK($B$1)),"",Sheet1!Q6818)</f>
        <v>3800</v>
      </c>
      <c r="F6806" s="20" t="s">
        <v>29</v>
      </c>
      <c r="G6806" s="53">
        <f t="shared" si="107"/>
        <v>-1.2135479223102887</v>
      </c>
      <c r="H6806" s="35"/>
      <c r="P6806" s="6"/>
    </row>
    <row r="6807" spans="1:16" ht="14.4" x14ac:dyDescent="0.25">
      <c r="A6807" s="6">
        <v>2515</v>
      </c>
      <c r="B6807" s="6">
        <v>18275</v>
      </c>
      <c r="C6807" s="19">
        <v>40918</v>
      </c>
      <c r="D6807" s="6" t="s">
        <v>25</v>
      </c>
      <c r="E6807" s="6">
        <f>IF((ISBLANK($B$1)),"",Sheet1!Q6819)</f>
        <v>4650</v>
      </c>
      <c r="F6807" s="20" t="s">
        <v>29</v>
      </c>
      <c r="G6807" s="53">
        <f t="shared" si="107"/>
        <v>-3.9736790507176829E-2</v>
      </c>
      <c r="H6807" s="35"/>
      <c r="P6807" s="6"/>
    </row>
    <row r="6808" spans="1:16" ht="14.4" x14ac:dyDescent="0.25">
      <c r="A6808" s="6">
        <v>2523</v>
      </c>
      <c r="B6808" s="6">
        <v>18336</v>
      </c>
      <c r="C6808" s="19">
        <v>39927</v>
      </c>
      <c r="D6808" s="6" t="s">
        <v>28</v>
      </c>
      <c r="E6808" s="6">
        <f>IF((ISBLANK($B$1)),"",Sheet1!Q6820)</f>
        <v>3450</v>
      </c>
      <c r="F6808" s="20" t="s">
        <v>26</v>
      </c>
      <c r="G6808" s="53">
        <f t="shared" si="107"/>
        <v>-1.696881917758629</v>
      </c>
      <c r="H6808" s="35"/>
      <c r="P6808" s="6"/>
    </row>
    <row r="6809" spans="1:16" ht="14.4" x14ac:dyDescent="0.25">
      <c r="A6809" s="6">
        <v>2536</v>
      </c>
      <c r="B6809" s="6">
        <v>18402</v>
      </c>
      <c r="C6809" s="19">
        <v>40054</v>
      </c>
      <c r="D6809" s="6" t="s">
        <v>25</v>
      </c>
      <c r="E6809" s="6">
        <f>IF((ISBLANK($B$1)),"",Sheet1!Q6821)</f>
        <v>3650</v>
      </c>
      <c r="F6809" s="20" t="s">
        <v>29</v>
      </c>
      <c r="G6809" s="53">
        <f t="shared" si="107"/>
        <v>-1.4206910632167202</v>
      </c>
      <c r="H6809" s="35"/>
      <c r="P6809" s="6"/>
    </row>
    <row r="6810" spans="1:16" ht="14.4" x14ac:dyDescent="0.25">
      <c r="A6810" s="6">
        <v>2537</v>
      </c>
      <c r="B6810" s="6">
        <v>18402</v>
      </c>
      <c r="C6810" s="19">
        <v>40054</v>
      </c>
      <c r="D6810" s="6" t="s">
        <v>25</v>
      </c>
      <c r="E6810" s="6">
        <f>IF((ISBLANK($B$1)),"",Sheet1!Q6822)</f>
        <v>3550</v>
      </c>
      <c r="F6810" s="20" t="s">
        <v>29</v>
      </c>
      <c r="G6810" s="53">
        <f t="shared" si="107"/>
        <v>-1.5587864904876745</v>
      </c>
      <c r="H6810" s="35"/>
      <c r="P6810" s="6"/>
    </row>
    <row r="6811" spans="1:16" ht="14.4" x14ac:dyDescent="0.25">
      <c r="A6811" s="6">
        <v>2549</v>
      </c>
      <c r="B6811" s="6">
        <v>18466</v>
      </c>
      <c r="C6811" s="19">
        <v>41050</v>
      </c>
      <c r="D6811" s="6" t="s">
        <v>25</v>
      </c>
      <c r="E6811" s="6">
        <f>IF((ISBLANK($B$1)),"",Sheet1!Q6823)</f>
        <v>4650</v>
      </c>
      <c r="F6811" s="20" t="s">
        <v>26</v>
      </c>
      <c r="G6811" s="53">
        <f t="shared" si="107"/>
        <v>-3.9736790507176829E-2</v>
      </c>
      <c r="H6811" s="35"/>
      <c r="P6811" s="6"/>
    </row>
    <row r="6812" spans="1:16" ht="14.4" x14ac:dyDescent="0.25">
      <c r="A6812" s="6">
        <v>2550</v>
      </c>
      <c r="B6812" s="6">
        <v>18466</v>
      </c>
      <c r="C6812" s="19">
        <v>41050</v>
      </c>
      <c r="D6812" s="6" t="s">
        <v>25</v>
      </c>
      <c r="E6812" s="6">
        <f>IF((ISBLANK($B$1)),"",Sheet1!Q6824)</f>
        <v>4600</v>
      </c>
      <c r="F6812" s="20" t="s">
        <v>27</v>
      </c>
      <c r="G6812" s="53">
        <f t="shared" si="107"/>
        <v>-0.108784504142654</v>
      </c>
      <c r="H6812" s="35"/>
      <c r="P6812" s="6"/>
    </row>
    <row r="6813" spans="1:16" ht="14.4" x14ac:dyDescent="0.25">
      <c r="A6813" s="6">
        <v>2563</v>
      </c>
      <c r="B6813" s="6">
        <v>18530</v>
      </c>
      <c r="C6813" s="19">
        <v>40543</v>
      </c>
      <c r="D6813" s="6" t="s">
        <v>28</v>
      </c>
      <c r="E6813" s="6">
        <f>IF((ISBLANK($B$1)),"",Sheet1!Q6825)</f>
        <v>3500</v>
      </c>
      <c r="F6813" s="20" t="s">
        <v>29</v>
      </c>
      <c r="G6813" s="53">
        <f t="shared" si="107"/>
        <v>-1.6278342041231517</v>
      </c>
      <c r="H6813" s="35"/>
      <c r="P6813" s="6"/>
    </row>
    <row r="6814" spans="1:16" ht="14.4" x14ac:dyDescent="0.25">
      <c r="A6814" s="6">
        <v>2564</v>
      </c>
      <c r="B6814" s="6">
        <v>18530</v>
      </c>
      <c r="C6814" s="19">
        <v>40543</v>
      </c>
      <c r="D6814" s="6" t="s">
        <v>28</v>
      </c>
      <c r="E6814" s="6">
        <f>IF((ISBLANK($B$1)),"",Sheet1!Q6826)</f>
        <v>4650</v>
      </c>
      <c r="F6814" s="20" t="s">
        <v>27</v>
      </c>
      <c r="G6814" s="53">
        <f t="shared" si="107"/>
        <v>-3.9736790507176829E-2</v>
      </c>
      <c r="H6814" s="35"/>
      <c r="P6814" s="6"/>
    </row>
    <row r="6815" spans="1:16" ht="14.4" x14ac:dyDescent="0.25">
      <c r="A6815" s="6">
        <v>2602</v>
      </c>
      <c r="B6815" s="6">
        <v>18790</v>
      </c>
      <c r="C6815" s="19">
        <v>39855</v>
      </c>
      <c r="D6815" s="6" t="s">
        <v>17</v>
      </c>
      <c r="E6815" s="6">
        <f>IF((ISBLANK($B$1)),"",Sheet1!Q6827)</f>
        <v>3750</v>
      </c>
      <c r="F6815" s="20" t="s">
        <v>27</v>
      </c>
      <c r="G6815" s="53">
        <f t="shared" si="107"/>
        <v>-1.282595635945766</v>
      </c>
      <c r="H6815" s="35"/>
      <c r="P6815" s="6"/>
    </row>
    <row r="6816" spans="1:16" ht="14.4" x14ac:dyDescent="0.25">
      <c r="A6816" s="6">
        <v>2604</v>
      </c>
      <c r="B6816" s="6">
        <v>18819</v>
      </c>
      <c r="C6816" s="19">
        <v>39869</v>
      </c>
      <c r="D6816" s="6" t="s">
        <v>25</v>
      </c>
      <c r="E6816" s="6">
        <f>IF((ISBLANK($B$1)),"",Sheet1!Q6828)</f>
        <v>4500</v>
      </c>
      <c r="F6816" s="20" t="s">
        <v>29</v>
      </c>
      <c r="G6816" s="53">
        <f t="shared" si="107"/>
        <v>-0.24687993141360834</v>
      </c>
      <c r="H6816" s="35"/>
      <c r="P6816" s="6"/>
    </row>
    <row r="6817" spans="1:16" ht="14.4" x14ac:dyDescent="0.25">
      <c r="A6817" s="6">
        <v>2607</v>
      </c>
      <c r="B6817" s="6">
        <v>18849</v>
      </c>
      <c r="C6817" s="19">
        <v>41126</v>
      </c>
      <c r="D6817" s="6" t="s">
        <v>17</v>
      </c>
      <c r="E6817" s="6">
        <f>IF((ISBLANK($B$1)),"",Sheet1!Q6829)</f>
        <v>5550</v>
      </c>
      <c r="F6817" s="20" t="s">
        <v>26</v>
      </c>
      <c r="G6817" s="53">
        <f t="shared" si="107"/>
        <v>1.2031220549314123</v>
      </c>
      <c r="H6817" s="35"/>
      <c r="P6817" s="6"/>
    </row>
    <row r="6818" spans="1:16" ht="14.4" x14ac:dyDescent="0.25">
      <c r="A6818" s="6">
        <v>2608</v>
      </c>
      <c r="B6818" s="6">
        <v>18849</v>
      </c>
      <c r="C6818" s="19">
        <v>41126</v>
      </c>
      <c r="D6818" s="6" t="s">
        <v>17</v>
      </c>
      <c r="E6818" s="6">
        <f>IF((ISBLANK($B$1)),"",Sheet1!Q6830)</f>
        <v>5350</v>
      </c>
      <c r="F6818" s="20" t="s">
        <v>29</v>
      </c>
      <c r="G6818" s="53">
        <f t="shared" si="107"/>
        <v>0.92693120038950361</v>
      </c>
      <c r="H6818" s="35"/>
      <c r="P6818" s="6"/>
    </row>
    <row r="6819" spans="1:16" ht="14.4" x14ac:dyDescent="0.25">
      <c r="A6819" s="6">
        <v>2612</v>
      </c>
      <c r="B6819" s="6">
        <v>18855</v>
      </c>
      <c r="C6819" s="19">
        <v>40071</v>
      </c>
      <c r="D6819" s="6" t="s">
        <v>17</v>
      </c>
      <c r="E6819" s="6">
        <f>IF((ISBLANK($B$1)),"",Sheet1!Q6831)</f>
        <v>4950</v>
      </c>
      <c r="F6819" s="20" t="s">
        <v>26</v>
      </c>
      <c r="G6819" s="53">
        <f t="shared" si="107"/>
        <v>0.37454949130568621</v>
      </c>
      <c r="H6819" s="35"/>
      <c r="P6819" s="6"/>
    </row>
    <row r="6820" spans="1:16" ht="14.4" x14ac:dyDescent="0.25">
      <c r="A6820" s="6">
        <v>2625</v>
      </c>
      <c r="B6820" s="6">
        <v>19040</v>
      </c>
      <c r="C6820" s="19">
        <v>40896</v>
      </c>
      <c r="D6820" s="6" t="s">
        <v>17</v>
      </c>
      <c r="E6820" s="6">
        <f>IF((ISBLANK($B$1)),"",Sheet1!Q6832)</f>
        <v>3900</v>
      </c>
      <c r="F6820" s="20" t="s">
        <v>26</v>
      </c>
      <c r="G6820" s="53">
        <f t="shared" si="107"/>
        <v>-1.0754524950393345</v>
      </c>
      <c r="H6820" s="35"/>
      <c r="P6820" s="6"/>
    </row>
    <row r="6821" spans="1:16" ht="14.4" x14ac:dyDescent="0.25">
      <c r="A6821" s="6">
        <v>2626</v>
      </c>
      <c r="B6821" s="6">
        <v>19041</v>
      </c>
      <c r="C6821" s="19">
        <v>40750</v>
      </c>
      <c r="D6821" s="6" t="s">
        <v>25</v>
      </c>
      <c r="E6821" s="6">
        <f>IF((ISBLANK($B$1)),"",Sheet1!Q6833)</f>
        <v>3550</v>
      </c>
      <c r="F6821" s="20" t="s">
        <v>26</v>
      </c>
      <c r="G6821" s="53">
        <f t="shared" si="107"/>
        <v>-1.5587864904876745</v>
      </c>
      <c r="H6821" s="35"/>
      <c r="P6821" s="6"/>
    </row>
    <row r="6822" spans="1:16" ht="14.4" x14ac:dyDescent="0.25">
      <c r="A6822" s="6">
        <v>2627</v>
      </c>
      <c r="B6822" s="6">
        <v>19041</v>
      </c>
      <c r="C6822" s="19">
        <v>40750</v>
      </c>
      <c r="D6822" s="6" t="s">
        <v>25</v>
      </c>
      <c r="E6822" s="6">
        <f>IF((ISBLANK($B$1)),"",Sheet1!Q6834)</f>
        <v>5550</v>
      </c>
      <c r="F6822" s="20" t="s">
        <v>26</v>
      </c>
      <c r="G6822" s="53">
        <f t="shared" si="107"/>
        <v>1.2031220549314123</v>
      </c>
      <c r="H6822" s="35"/>
      <c r="P6822" s="6"/>
    </row>
    <row r="6823" spans="1:16" ht="14.4" x14ac:dyDescent="0.25">
      <c r="A6823" s="6">
        <v>2631</v>
      </c>
      <c r="B6823" s="6">
        <v>19047</v>
      </c>
      <c r="C6823" s="19">
        <v>39841</v>
      </c>
      <c r="D6823" s="6" t="s">
        <v>17</v>
      </c>
      <c r="E6823" s="6">
        <f>IF((ISBLANK($B$1)),"",Sheet1!Q6835)</f>
        <v>3450</v>
      </c>
      <c r="F6823" s="20" t="s">
        <v>26</v>
      </c>
      <c r="G6823" s="53">
        <f t="shared" si="107"/>
        <v>-1.696881917758629</v>
      </c>
      <c r="H6823" s="35"/>
      <c r="P6823" s="6"/>
    </row>
    <row r="6824" spans="1:16" ht="14.4" x14ac:dyDescent="0.25">
      <c r="A6824" s="6">
        <v>2632</v>
      </c>
      <c r="B6824" s="6">
        <v>19047</v>
      </c>
      <c r="C6824" s="19">
        <v>39841</v>
      </c>
      <c r="D6824" s="6" t="s">
        <v>17</v>
      </c>
      <c r="E6824" s="6">
        <f>IF((ISBLANK($B$1)),"",Sheet1!Q6836)</f>
        <v>3550</v>
      </c>
      <c r="F6824" s="20" t="s">
        <v>26</v>
      </c>
      <c r="G6824" s="53">
        <f t="shared" si="107"/>
        <v>-1.5587864904876745</v>
      </c>
      <c r="H6824" s="35"/>
      <c r="P6824" s="6"/>
    </row>
    <row r="6825" spans="1:16" ht="14.4" x14ac:dyDescent="0.25">
      <c r="A6825" s="6">
        <v>2647</v>
      </c>
      <c r="B6825" s="6">
        <v>19143</v>
      </c>
      <c r="C6825" s="19">
        <v>41217</v>
      </c>
      <c r="D6825" s="6" t="s">
        <v>17</v>
      </c>
      <c r="E6825" s="6">
        <f>IF((ISBLANK($B$1)),"",Sheet1!Q6837)</f>
        <v>3550</v>
      </c>
      <c r="F6825" s="20" t="s">
        <v>27</v>
      </c>
      <c r="G6825" s="53">
        <f t="shared" si="107"/>
        <v>-1.5587864904876745</v>
      </c>
      <c r="H6825" s="35"/>
      <c r="P6825" s="6"/>
    </row>
    <row r="6826" spans="1:16" ht="14.4" x14ac:dyDescent="0.25">
      <c r="A6826" s="6">
        <v>2665</v>
      </c>
      <c r="B6826" s="6">
        <v>19264</v>
      </c>
      <c r="C6826" s="19">
        <v>40815</v>
      </c>
      <c r="D6826" s="6" t="s">
        <v>17</v>
      </c>
      <c r="E6826" s="6">
        <f>IF((ISBLANK($B$1)),"",Sheet1!Q6838)</f>
        <v>5400</v>
      </c>
      <c r="F6826" s="20" t="s">
        <v>26</v>
      </c>
      <c r="G6826" s="53">
        <f t="shared" si="107"/>
        <v>0.99597891402498073</v>
      </c>
      <c r="H6826" s="35"/>
      <c r="P6826" s="6"/>
    </row>
    <row r="6827" spans="1:16" ht="14.4" x14ac:dyDescent="0.25">
      <c r="A6827" s="6">
        <v>2666</v>
      </c>
      <c r="B6827" s="6">
        <v>19264</v>
      </c>
      <c r="C6827" s="19">
        <v>40815</v>
      </c>
      <c r="D6827" s="6" t="s">
        <v>17</v>
      </c>
      <c r="E6827" s="6">
        <f>IF((ISBLANK($B$1)),"",Sheet1!Q6839)</f>
        <v>4550</v>
      </c>
      <c r="F6827" s="20" t="s">
        <v>26</v>
      </c>
      <c r="G6827" s="53">
        <f t="shared" si="107"/>
        <v>-0.17783221777813119</v>
      </c>
      <c r="H6827" s="35"/>
      <c r="P6827" s="6"/>
    </row>
    <row r="6828" spans="1:16" ht="14.4" x14ac:dyDescent="0.25">
      <c r="A6828" s="6">
        <v>2667</v>
      </c>
      <c r="B6828" s="6">
        <v>19296</v>
      </c>
      <c r="C6828" s="19">
        <v>40278</v>
      </c>
      <c r="D6828" s="6" t="s">
        <v>17</v>
      </c>
      <c r="E6828" s="6">
        <f>IF((ISBLANK($B$1)),"",Sheet1!Q6840)</f>
        <v>5550</v>
      </c>
      <c r="F6828" s="20" t="s">
        <v>26</v>
      </c>
      <c r="G6828" s="53">
        <f t="shared" si="107"/>
        <v>1.2031220549314123</v>
      </c>
      <c r="H6828" s="35"/>
      <c r="P6828" s="6"/>
    </row>
    <row r="6829" spans="1:16" ht="14.4" x14ac:dyDescent="0.25">
      <c r="A6829" s="6">
        <v>2668</v>
      </c>
      <c r="B6829" s="6">
        <v>19299</v>
      </c>
      <c r="C6829" s="19">
        <v>39890</v>
      </c>
      <c r="D6829" s="6" t="s">
        <v>28</v>
      </c>
      <c r="E6829" s="6">
        <f>IF((ISBLANK($B$1)),"",Sheet1!Q6841)</f>
        <v>3900</v>
      </c>
      <c r="F6829" s="20" t="s">
        <v>26</v>
      </c>
      <c r="G6829" s="53">
        <f t="shared" si="107"/>
        <v>-1.0754524950393345</v>
      </c>
      <c r="H6829" s="35"/>
      <c r="P6829" s="6"/>
    </row>
    <row r="6830" spans="1:16" ht="14.4" x14ac:dyDescent="0.25">
      <c r="A6830" s="6">
        <v>2685</v>
      </c>
      <c r="B6830" s="6">
        <v>19429</v>
      </c>
      <c r="C6830" s="19">
        <v>40049</v>
      </c>
      <c r="D6830" s="6" t="s">
        <v>28</v>
      </c>
      <c r="E6830" s="6">
        <f>IF((ISBLANK($B$1)),"",Sheet1!Q6842)</f>
        <v>3500</v>
      </c>
      <c r="F6830" s="20" t="s">
        <v>29</v>
      </c>
      <c r="G6830" s="53">
        <f t="shared" si="107"/>
        <v>-1.6278342041231517</v>
      </c>
      <c r="H6830" s="35"/>
      <c r="P6830" s="6"/>
    </row>
    <row r="6831" spans="1:16" ht="14.4" x14ac:dyDescent="0.25">
      <c r="A6831" s="6">
        <v>2686</v>
      </c>
      <c r="B6831" s="6">
        <v>19430</v>
      </c>
      <c r="C6831" s="19">
        <v>40495</v>
      </c>
      <c r="D6831" s="6" t="s">
        <v>30</v>
      </c>
      <c r="E6831" s="6">
        <f>IF((ISBLANK($B$1)),"",Sheet1!Q6843)</f>
        <v>5350</v>
      </c>
      <c r="F6831" s="20" t="s">
        <v>26</v>
      </c>
      <c r="G6831" s="53">
        <f t="shared" si="107"/>
        <v>0.92693120038950361</v>
      </c>
      <c r="H6831" s="35"/>
      <c r="P6831" s="6"/>
    </row>
    <row r="6832" spans="1:16" ht="14.4" x14ac:dyDescent="0.25">
      <c r="A6832" s="6">
        <v>2700</v>
      </c>
      <c r="B6832" s="6">
        <v>19524</v>
      </c>
      <c r="C6832" s="19">
        <v>40192</v>
      </c>
      <c r="D6832" s="6" t="s">
        <v>30</v>
      </c>
      <c r="E6832" s="6">
        <f>IF((ISBLANK($B$1)),"",Sheet1!Q6844)</f>
        <v>3850</v>
      </c>
      <c r="F6832" s="20" t="s">
        <v>26</v>
      </c>
      <c r="G6832" s="53">
        <f t="shared" si="107"/>
        <v>-1.1445002086748115</v>
      </c>
      <c r="H6832" s="35"/>
      <c r="P6832" s="6"/>
    </row>
    <row r="6833" spans="1:16" ht="14.4" x14ac:dyDescent="0.25">
      <c r="A6833" s="6">
        <v>2703</v>
      </c>
      <c r="B6833" s="6">
        <v>19556</v>
      </c>
      <c r="C6833" s="19">
        <v>40542</v>
      </c>
      <c r="D6833" s="6" t="s">
        <v>28</v>
      </c>
      <c r="E6833" s="6">
        <f>IF((ISBLANK($B$1)),"",Sheet1!Q6845)</f>
        <v>5650</v>
      </c>
      <c r="F6833" s="20" t="s">
        <v>29</v>
      </c>
      <c r="G6833" s="53">
        <f t="shared" si="107"/>
        <v>1.3412174822023666</v>
      </c>
      <c r="H6833" s="35"/>
      <c r="P6833" s="6"/>
    </row>
    <row r="6834" spans="1:16" ht="14.4" x14ac:dyDescent="0.25">
      <c r="A6834" s="6">
        <v>2704</v>
      </c>
      <c r="B6834" s="6">
        <v>19556</v>
      </c>
      <c r="C6834" s="19">
        <v>40542</v>
      </c>
      <c r="D6834" s="6" t="s">
        <v>28</v>
      </c>
      <c r="E6834" s="6">
        <f>IF((ISBLANK($B$1)),"",Sheet1!Q6846)</f>
        <v>4500</v>
      </c>
      <c r="F6834" s="20" t="s">
        <v>26</v>
      </c>
      <c r="G6834" s="53">
        <f t="shared" si="107"/>
        <v>-0.24687993141360834</v>
      </c>
      <c r="H6834" s="35"/>
      <c r="P6834" s="6"/>
    </row>
    <row r="6835" spans="1:16" ht="14.4" x14ac:dyDescent="0.25">
      <c r="A6835" s="6">
        <v>2705</v>
      </c>
      <c r="B6835" s="6">
        <v>19556</v>
      </c>
      <c r="C6835" s="19">
        <v>40542</v>
      </c>
      <c r="D6835" s="6" t="s">
        <v>28</v>
      </c>
      <c r="E6835" s="6">
        <f>IF((ISBLANK($B$1)),"",Sheet1!Q6847)</f>
        <v>5150</v>
      </c>
      <c r="F6835" s="20" t="s">
        <v>27</v>
      </c>
      <c r="G6835" s="53">
        <f t="shared" si="107"/>
        <v>0.65074034584759488</v>
      </c>
      <c r="H6835" s="35"/>
      <c r="P6835" s="6"/>
    </row>
    <row r="6836" spans="1:16" ht="14.4" x14ac:dyDescent="0.25">
      <c r="A6836" s="6">
        <v>2746</v>
      </c>
      <c r="B6836" s="6">
        <v>19815</v>
      </c>
      <c r="C6836" s="19">
        <v>40262</v>
      </c>
      <c r="D6836" s="6" t="s">
        <v>28</v>
      </c>
      <c r="E6836" s="6">
        <f>IF((ISBLANK($B$1)),"",Sheet1!Q6848)</f>
        <v>5050</v>
      </c>
      <c r="F6836" s="20" t="s">
        <v>26</v>
      </c>
      <c r="G6836" s="53">
        <f t="shared" si="107"/>
        <v>0.51264491857664052</v>
      </c>
      <c r="H6836" s="35"/>
      <c r="P6836" s="6"/>
    </row>
    <row r="6837" spans="1:16" ht="14.4" x14ac:dyDescent="0.25">
      <c r="A6837" s="6">
        <v>2783</v>
      </c>
      <c r="B6837" s="6">
        <v>20096</v>
      </c>
      <c r="C6837" s="19">
        <v>41140</v>
      </c>
      <c r="D6837" s="6" t="s">
        <v>25</v>
      </c>
      <c r="E6837" s="6">
        <f>IF((ISBLANK($B$1)),"",Sheet1!Q6849)</f>
        <v>5150</v>
      </c>
      <c r="F6837" s="20" t="s">
        <v>29</v>
      </c>
      <c r="G6837" s="53">
        <f t="shared" si="107"/>
        <v>0.65074034584759488</v>
      </c>
      <c r="H6837" s="35"/>
      <c r="P6837" s="6"/>
    </row>
    <row r="6838" spans="1:16" ht="14.4" x14ac:dyDescent="0.25">
      <c r="A6838" s="6">
        <v>2791</v>
      </c>
      <c r="B6838" s="6">
        <v>20132</v>
      </c>
      <c r="C6838" s="19">
        <v>40315</v>
      </c>
      <c r="D6838" s="6" t="s">
        <v>25</v>
      </c>
      <c r="E6838" s="6">
        <f>IF((ISBLANK($B$1)),"",Sheet1!Q6850)</f>
        <v>4900</v>
      </c>
      <c r="F6838" s="20" t="s">
        <v>27</v>
      </c>
      <c r="G6838" s="53">
        <f t="shared" si="107"/>
        <v>0.30550177767020903</v>
      </c>
      <c r="H6838" s="35"/>
      <c r="P6838" s="6"/>
    </row>
    <row r="6839" spans="1:16" ht="14.4" x14ac:dyDescent="0.25">
      <c r="A6839" s="6">
        <v>2802</v>
      </c>
      <c r="B6839" s="6">
        <v>20225</v>
      </c>
      <c r="C6839" s="19">
        <v>40385</v>
      </c>
      <c r="D6839" s="6" t="s">
        <v>25</v>
      </c>
      <c r="E6839" s="6">
        <f>IF((ISBLANK($B$1)),"",Sheet1!Q6851)</f>
        <v>5050</v>
      </c>
      <c r="F6839" s="20" t="s">
        <v>26</v>
      </c>
      <c r="G6839" s="53">
        <f t="shared" si="107"/>
        <v>0.51264491857664052</v>
      </c>
      <c r="H6839" s="35"/>
      <c r="P6839" s="6"/>
    </row>
    <row r="6840" spans="1:16" ht="14.4" x14ac:dyDescent="0.25">
      <c r="A6840" s="6">
        <v>2803</v>
      </c>
      <c r="B6840" s="6">
        <v>20225</v>
      </c>
      <c r="C6840" s="19">
        <v>40385</v>
      </c>
      <c r="D6840" s="6" t="s">
        <v>25</v>
      </c>
      <c r="E6840" s="6">
        <f>IF((ISBLANK($B$1)),"",Sheet1!Q6852)</f>
        <v>4500</v>
      </c>
      <c r="F6840" s="20" t="s">
        <v>26</v>
      </c>
      <c r="G6840" s="53">
        <f t="shared" si="107"/>
        <v>-0.24687993141360834</v>
      </c>
      <c r="H6840" s="35"/>
      <c r="P6840" s="6"/>
    </row>
    <row r="6841" spans="1:16" ht="14.4" x14ac:dyDescent="0.25">
      <c r="A6841" s="6">
        <v>2818</v>
      </c>
      <c r="B6841" s="6">
        <v>20325</v>
      </c>
      <c r="C6841" s="19">
        <v>40362</v>
      </c>
      <c r="D6841" s="6" t="s">
        <v>30</v>
      </c>
      <c r="E6841" s="6">
        <f>IF((ISBLANK($B$1)),"",Sheet1!Q6853)</f>
        <v>5150</v>
      </c>
      <c r="F6841" s="20" t="s">
        <v>27</v>
      </c>
      <c r="G6841" s="53">
        <f t="shared" si="107"/>
        <v>0.65074034584759488</v>
      </c>
      <c r="H6841" s="35"/>
      <c r="P6841" s="6"/>
    </row>
    <row r="6842" spans="1:16" ht="14.4" x14ac:dyDescent="0.25">
      <c r="A6842" s="6">
        <v>2819</v>
      </c>
      <c r="B6842" s="6">
        <v>20325</v>
      </c>
      <c r="C6842" s="19">
        <v>40362</v>
      </c>
      <c r="D6842" s="6" t="s">
        <v>30</v>
      </c>
      <c r="E6842" s="6">
        <f>IF((ISBLANK($B$1)),"",Sheet1!Q6854)</f>
        <v>4600</v>
      </c>
      <c r="F6842" s="20" t="s">
        <v>26</v>
      </c>
      <c r="G6842" s="53">
        <f t="shared" si="107"/>
        <v>-0.108784504142654</v>
      </c>
      <c r="H6842" s="35"/>
      <c r="P6842" s="6"/>
    </row>
    <row r="6843" spans="1:16" ht="14.4" x14ac:dyDescent="0.25">
      <c r="A6843" s="6">
        <v>2833</v>
      </c>
      <c r="B6843" s="6">
        <v>20450</v>
      </c>
      <c r="C6843" s="19">
        <v>41250</v>
      </c>
      <c r="D6843" s="6" t="s">
        <v>30</v>
      </c>
      <c r="E6843" s="6">
        <f>IF((ISBLANK($B$1)),"",Sheet1!Q6855)</f>
        <v>4700</v>
      </c>
      <c r="F6843" s="20" t="s">
        <v>29</v>
      </c>
      <c r="G6843" s="53">
        <f t="shared" si="107"/>
        <v>2.9310923128300338E-2</v>
      </c>
      <c r="H6843" s="35"/>
      <c r="P6843" s="6"/>
    </row>
    <row r="6844" spans="1:16" ht="14.4" x14ac:dyDescent="0.25">
      <c r="A6844" s="6">
        <v>2851</v>
      </c>
      <c r="B6844" s="6">
        <v>20519</v>
      </c>
      <c r="C6844" s="19">
        <v>39913</v>
      </c>
      <c r="D6844" s="6" t="s">
        <v>17</v>
      </c>
      <c r="E6844" s="6">
        <f>IF((ISBLANK($B$1)),"",Sheet1!Q6856)</f>
        <v>3750</v>
      </c>
      <c r="F6844" s="20" t="s">
        <v>27</v>
      </c>
      <c r="G6844" s="53">
        <f t="shared" si="107"/>
        <v>-1.282595635945766</v>
      </c>
      <c r="H6844" s="35"/>
      <c r="P6844" s="6"/>
    </row>
    <row r="6845" spans="1:16" ht="14.4" x14ac:dyDescent="0.25">
      <c r="A6845" s="6">
        <v>2865</v>
      </c>
      <c r="B6845" s="6">
        <v>20679</v>
      </c>
      <c r="C6845" s="19">
        <v>40404</v>
      </c>
      <c r="D6845" s="6" t="s">
        <v>16</v>
      </c>
      <c r="E6845" s="6">
        <f>IF((ISBLANK($B$1)),"",Sheet1!Q6857)</f>
        <v>5000</v>
      </c>
      <c r="F6845" s="20" t="s">
        <v>26</v>
      </c>
      <c r="G6845" s="53">
        <f t="shared" si="107"/>
        <v>0.44359720494116334</v>
      </c>
      <c r="H6845" s="35"/>
      <c r="P6845" s="6"/>
    </row>
    <row r="6846" spans="1:16" ht="14.4" x14ac:dyDescent="0.25">
      <c r="A6846" s="6">
        <v>2869</v>
      </c>
      <c r="B6846" s="6">
        <v>20706</v>
      </c>
      <c r="C6846" s="19">
        <v>40006</v>
      </c>
      <c r="D6846" s="6" t="s">
        <v>17</v>
      </c>
      <c r="E6846" s="6">
        <f>IF((ISBLANK($B$1)),"",Sheet1!Q6858)</f>
        <v>5450</v>
      </c>
      <c r="F6846" s="20" t="s">
        <v>29</v>
      </c>
      <c r="G6846" s="53">
        <f t="shared" si="107"/>
        <v>1.0650266276604579</v>
      </c>
      <c r="H6846" s="35"/>
      <c r="P6846" s="6"/>
    </row>
    <row r="6847" spans="1:16" ht="14.4" x14ac:dyDescent="0.25">
      <c r="A6847" s="6">
        <v>2894</v>
      </c>
      <c r="B6847" s="6">
        <v>20898</v>
      </c>
      <c r="C6847" s="19">
        <v>40846</v>
      </c>
      <c r="D6847" s="6" t="s">
        <v>16</v>
      </c>
      <c r="E6847" s="6">
        <f>IF((ISBLANK($B$1)),"",Sheet1!Q6859)</f>
        <v>5050</v>
      </c>
      <c r="F6847" s="20" t="s">
        <v>27</v>
      </c>
      <c r="G6847" s="53">
        <f t="shared" si="107"/>
        <v>0.51264491857664052</v>
      </c>
      <c r="H6847" s="35"/>
      <c r="P6847" s="6"/>
    </row>
    <row r="6848" spans="1:16" ht="14.4" x14ac:dyDescent="0.25">
      <c r="A6848" s="6">
        <v>2911</v>
      </c>
      <c r="B6848" s="6">
        <v>20995</v>
      </c>
      <c r="C6848" s="19">
        <v>40995</v>
      </c>
      <c r="D6848" s="6" t="s">
        <v>16</v>
      </c>
      <c r="E6848" s="6">
        <f>IF((ISBLANK($B$1)),"",Sheet1!Q6860)</f>
        <v>5250</v>
      </c>
      <c r="F6848" s="20" t="s">
        <v>29</v>
      </c>
      <c r="G6848" s="53">
        <f t="shared" si="107"/>
        <v>0.78883577311854924</v>
      </c>
      <c r="H6848" s="35"/>
      <c r="P6848" s="6"/>
    </row>
    <row r="6849" spans="1:16" ht="14.4" x14ac:dyDescent="0.25">
      <c r="A6849" s="6">
        <v>2923</v>
      </c>
      <c r="B6849" s="6">
        <v>21159</v>
      </c>
      <c r="C6849" s="19">
        <v>40701</v>
      </c>
      <c r="D6849" s="6" t="s">
        <v>25</v>
      </c>
      <c r="E6849" s="6">
        <f>IF((ISBLANK($B$1)),"",Sheet1!Q6861)</f>
        <v>3650</v>
      </c>
      <c r="F6849" s="20" t="s">
        <v>26</v>
      </c>
      <c r="G6849" s="53">
        <f t="shared" si="107"/>
        <v>-1.4206910632167202</v>
      </c>
      <c r="H6849" s="35"/>
      <c r="P6849" s="6"/>
    </row>
    <row r="6850" spans="1:16" ht="14.4" x14ac:dyDescent="0.25">
      <c r="A6850" s="6">
        <v>2926</v>
      </c>
      <c r="B6850" s="6">
        <v>21191</v>
      </c>
      <c r="C6850" s="19">
        <v>41227</v>
      </c>
      <c r="D6850" s="6" t="s">
        <v>17</v>
      </c>
      <c r="E6850" s="6">
        <f>IF((ISBLANK($B$1)),"",Sheet1!Q6862)</f>
        <v>5800</v>
      </c>
      <c r="F6850" s="20" t="s">
        <v>27</v>
      </c>
      <c r="G6850" s="53">
        <f t="shared" si="107"/>
        <v>1.5483606231087981</v>
      </c>
      <c r="H6850" s="35"/>
      <c r="P6850" s="6"/>
    </row>
    <row r="6851" spans="1:16" ht="14.4" x14ac:dyDescent="0.25">
      <c r="A6851" s="6">
        <v>2937</v>
      </c>
      <c r="B6851" s="6">
        <v>21286</v>
      </c>
      <c r="C6851" s="19">
        <v>39949</v>
      </c>
      <c r="D6851" s="6" t="s">
        <v>30</v>
      </c>
      <c r="E6851" s="6">
        <f>IF((ISBLANK($B$1)),"",Sheet1!Q6863)</f>
        <v>4250</v>
      </c>
      <c r="F6851" s="20" t="s">
        <v>26</v>
      </c>
      <c r="G6851" s="53">
        <f t="shared" si="107"/>
        <v>-0.59211849959099416</v>
      </c>
      <c r="H6851" s="35"/>
      <c r="P6851" s="6"/>
    </row>
    <row r="6852" spans="1:16" ht="14.4" x14ac:dyDescent="0.25">
      <c r="A6852" s="6">
        <v>2948</v>
      </c>
      <c r="B6852" s="6">
        <v>21346</v>
      </c>
      <c r="C6852" s="19">
        <v>40701</v>
      </c>
      <c r="D6852" s="6" t="s">
        <v>17</v>
      </c>
      <c r="E6852" s="6">
        <f>IF((ISBLANK($B$1)),"",Sheet1!Q6864)</f>
        <v>5700</v>
      </c>
      <c r="F6852" s="20" t="s">
        <v>26</v>
      </c>
      <c r="G6852" s="53">
        <f t="shared" si="107"/>
        <v>1.4102651958378438</v>
      </c>
      <c r="H6852" s="35"/>
      <c r="P6852" s="6"/>
    </row>
    <row r="6853" spans="1:16" ht="14.4" x14ac:dyDescent="0.25">
      <c r="A6853" s="6">
        <v>2970</v>
      </c>
      <c r="B6853" s="6">
        <v>21475</v>
      </c>
      <c r="C6853" s="19">
        <v>40594</v>
      </c>
      <c r="D6853" s="6" t="s">
        <v>30</v>
      </c>
      <c r="E6853" s="6">
        <f>IF((ISBLANK($B$1)),"",Sheet1!Q6865)</f>
        <v>5350</v>
      </c>
      <c r="F6853" s="20" t="s">
        <v>27</v>
      </c>
      <c r="G6853" s="53">
        <f t="shared" si="107"/>
        <v>0.92693120038950361</v>
      </c>
      <c r="H6853" s="35"/>
      <c r="P6853" s="6"/>
    </row>
    <row r="6854" spans="1:16" ht="14.4" x14ac:dyDescent="0.25">
      <c r="A6854" s="6">
        <v>2971</v>
      </c>
      <c r="B6854" s="6">
        <v>21475</v>
      </c>
      <c r="C6854" s="19">
        <v>40594</v>
      </c>
      <c r="D6854" s="6" t="s">
        <v>30</v>
      </c>
      <c r="E6854" s="6">
        <f>IF((ISBLANK($B$1)),"",Sheet1!Q6866)</f>
        <v>4150</v>
      </c>
      <c r="F6854" s="20" t="s">
        <v>29</v>
      </c>
      <c r="G6854" s="53">
        <f t="shared" si="107"/>
        <v>-0.73021392686194853</v>
      </c>
      <c r="H6854" s="35"/>
      <c r="P6854" s="6"/>
    </row>
    <row r="6855" spans="1:16" ht="14.4" x14ac:dyDescent="0.25">
      <c r="A6855" s="6">
        <v>2981</v>
      </c>
      <c r="B6855" s="6">
        <v>21539</v>
      </c>
      <c r="C6855" s="19">
        <v>40368</v>
      </c>
      <c r="D6855" s="6" t="s">
        <v>16</v>
      </c>
      <c r="E6855" s="6">
        <f>IF((ISBLANK($B$1)),"",Sheet1!Q6867)</f>
        <v>4300</v>
      </c>
      <c r="F6855" s="20" t="s">
        <v>26</v>
      </c>
      <c r="G6855" s="53">
        <f t="shared" si="107"/>
        <v>-0.52307078595551704</v>
      </c>
      <c r="H6855" s="35"/>
      <c r="P6855" s="6"/>
    </row>
    <row r="6856" spans="1:16" ht="14.4" x14ac:dyDescent="0.25">
      <c r="A6856" s="6">
        <v>2982</v>
      </c>
      <c r="B6856" s="6">
        <v>21539</v>
      </c>
      <c r="C6856" s="19">
        <v>40368</v>
      </c>
      <c r="D6856" s="6" t="s">
        <v>16</v>
      </c>
      <c r="E6856" s="6">
        <f>IF((ISBLANK($B$1)),"",Sheet1!Q6868)</f>
        <v>5350</v>
      </c>
      <c r="F6856" s="20" t="s">
        <v>29</v>
      </c>
      <c r="G6856" s="53">
        <f t="shared" ref="G6856:G6919" si="108">STANDARDIZE(E6856,$L$26,$L$35)</f>
        <v>0.92693120038950361</v>
      </c>
      <c r="H6856" s="35"/>
      <c r="P6856" s="6"/>
    </row>
    <row r="6857" spans="1:16" ht="14.4" x14ac:dyDescent="0.25">
      <c r="A6857" s="6">
        <v>3008</v>
      </c>
      <c r="B6857" s="6">
        <v>21639</v>
      </c>
      <c r="C6857" s="19">
        <v>40576</v>
      </c>
      <c r="D6857" s="6" t="s">
        <v>28</v>
      </c>
      <c r="E6857" s="6">
        <f>IF((ISBLANK($B$1)),"",Sheet1!Q6869)</f>
        <v>4600</v>
      </c>
      <c r="F6857" s="20" t="s">
        <v>26</v>
      </c>
      <c r="G6857" s="53">
        <f t="shared" si="108"/>
        <v>-0.108784504142654</v>
      </c>
      <c r="H6857" s="35"/>
      <c r="P6857" s="6"/>
    </row>
    <row r="6858" spans="1:16" ht="14.4" x14ac:dyDescent="0.25">
      <c r="A6858" s="6">
        <v>3009</v>
      </c>
      <c r="B6858" s="6">
        <v>21639</v>
      </c>
      <c r="C6858" s="19">
        <v>40576</v>
      </c>
      <c r="D6858" s="6" t="s">
        <v>28</v>
      </c>
      <c r="E6858" s="6">
        <f>IF((ISBLANK($B$1)),"",Sheet1!Q6870)</f>
        <v>3550</v>
      </c>
      <c r="F6858" s="20" t="s">
        <v>29</v>
      </c>
      <c r="G6858" s="53">
        <f t="shared" si="108"/>
        <v>-1.5587864904876745</v>
      </c>
      <c r="H6858" s="35"/>
      <c r="P6858" s="6"/>
    </row>
    <row r="6859" spans="1:16" ht="14.4" x14ac:dyDescent="0.25">
      <c r="A6859" s="6">
        <v>3010</v>
      </c>
      <c r="B6859" s="6">
        <v>21639</v>
      </c>
      <c r="C6859" s="19">
        <v>40576</v>
      </c>
      <c r="D6859" s="6" t="s">
        <v>28</v>
      </c>
      <c r="E6859" s="6">
        <f>IF((ISBLANK($B$1)),"",Sheet1!Q6871)</f>
        <v>5300</v>
      </c>
      <c r="F6859" s="20" t="s">
        <v>29</v>
      </c>
      <c r="G6859" s="53">
        <f t="shared" si="108"/>
        <v>0.85788348675402637</v>
      </c>
      <c r="H6859" s="35"/>
      <c r="P6859" s="6"/>
    </row>
    <row r="6860" spans="1:16" ht="14.4" x14ac:dyDescent="0.25">
      <c r="A6860" s="6">
        <v>3011</v>
      </c>
      <c r="B6860" s="6">
        <v>21639</v>
      </c>
      <c r="C6860" s="19">
        <v>40576</v>
      </c>
      <c r="D6860" s="6" t="s">
        <v>28</v>
      </c>
      <c r="E6860" s="6">
        <f>IF((ISBLANK($B$1)),"",Sheet1!Q6872)</f>
        <v>4550</v>
      </c>
      <c r="F6860" s="20" t="s">
        <v>26</v>
      </c>
      <c r="G6860" s="53">
        <f t="shared" si="108"/>
        <v>-0.17783221777813119</v>
      </c>
      <c r="H6860" s="35"/>
      <c r="P6860" s="6"/>
    </row>
    <row r="6861" spans="1:16" ht="14.4" x14ac:dyDescent="0.25">
      <c r="A6861" s="6">
        <v>3025</v>
      </c>
      <c r="B6861" s="6">
        <v>21760</v>
      </c>
      <c r="C6861" s="19">
        <v>40573</v>
      </c>
      <c r="D6861" s="6" t="s">
        <v>28</v>
      </c>
      <c r="E6861" s="6">
        <f>IF((ISBLANK($B$1)),"",Sheet1!Q6873)</f>
        <v>3850</v>
      </c>
      <c r="F6861" s="20" t="s">
        <v>29</v>
      </c>
      <c r="G6861" s="53">
        <f t="shared" si="108"/>
        <v>-1.1445002086748115</v>
      </c>
      <c r="H6861" s="35"/>
      <c r="P6861" s="6"/>
    </row>
    <row r="6862" spans="1:16" ht="14.4" x14ac:dyDescent="0.25">
      <c r="A6862" s="6">
        <v>3038</v>
      </c>
      <c r="B6862" s="6">
        <v>21827</v>
      </c>
      <c r="C6862" s="19">
        <v>41222</v>
      </c>
      <c r="D6862" s="6" t="s">
        <v>28</v>
      </c>
      <c r="E6862" s="6">
        <f>IF((ISBLANK($B$1)),"",Sheet1!Q6874)</f>
        <v>4650</v>
      </c>
      <c r="F6862" s="20" t="s">
        <v>26</v>
      </c>
      <c r="G6862" s="53">
        <f t="shared" si="108"/>
        <v>-3.9736790507176829E-2</v>
      </c>
      <c r="H6862" s="35"/>
      <c r="P6862" s="6"/>
    </row>
    <row r="6863" spans="1:16" ht="14.4" x14ac:dyDescent="0.25">
      <c r="A6863" s="6">
        <v>3039</v>
      </c>
      <c r="B6863" s="6">
        <v>21827</v>
      </c>
      <c r="C6863" s="19">
        <v>41222</v>
      </c>
      <c r="D6863" s="6" t="s">
        <v>28</v>
      </c>
      <c r="E6863" s="6">
        <f>IF((ISBLANK($B$1)),"",Sheet1!Q6875)</f>
        <v>4450</v>
      </c>
      <c r="F6863" s="20" t="s">
        <v>27</v>
      </c>
      <c r="G6863" s="53">
        <f t="shared" si="108"/>
        <v>-0.31592764504908549</v>
      </c>
      <c r="H6863" s="35"/>
      <c r="P6863" s="6"/>
    </row>
    <row r="6864" spans="1:16" ht="14.4" x14ac:dyDescent="0.25">
      <c r="A6864" s="6">
        <v>3055</v>
      </c>
      <c r="B6864" s="6">
        <v>21890</v>
      </c>
      <c r="C6864" s="19">
        <v>40567</v>
      </c>
      <c r="D6864" s="6" t="s">
        <v>28</v>
      </c>
      <c r="E6864" s="6">
        <f>IF((ISBLANK($B$1)),"",Sheet1!Q6876)</f>
        <v>5600</v>
      </c>
      <c r="F6864" s="20" t="s">
        <v>26</v>
      </c>
      <c r="G6864" s="53">
        <f t="shared" si="108"/>
        <v>1.2721697685668893</v>
      </c>
      <c r="H6864" s="35"/>
      <c r="P6864" s="6"/>
    </row>
    <row r="6865" spans="1:16" ht="14.4" x14ac:dyDescent="0.25">
      <c r="A6865" s="6">
        <v>3063</v>
      </c>
      <c r="B6865" s="6">
        <v>21927</v>
      </c>
      <c r="C6865" s="19">
        <v>40887</v>
      </c>
      <c r="D6865" s="6" t="s">
        <v>17</v>
      </c>
      <c r="E6865" s="6">
        <f>IF((ISBLANK($B$1)),"",Sheet1!Q6877)</f>
        <v>4550</v>
      </c>
      <c r="F6865" s="20" t="s">
        <v>29</v>
      </c>
      <c r="G6865" s="53">
        <f t="shared" si="108"/>
        <v>-0.17783221777813119</v>
      </c>
      <c r="H6865" s="35"/>
      <c r="P6865" s="6"/>
    </row>
    <row r="6866" spans="1:16" ht="14.4" x14ac:dyDescent="0.25">
      <c r="A6866" s="6">
        <v>3068</v>
      </c>
      <c r="B6866" s="6">
        <v>21988</v>
      </c>
      <c r="C6866" s="19">
        <v>40265</v>
      </c>
      <c r="D6866" s="6" t="s">
        <v>16</v>
      </c>
      <c r="E6866" s="6">
        <f>IF((ISBLANK($B$1)),"",Sheet1!Q6878)</f>
        <v>3600</v>
      </c>
      <c r="F6866" s="20" t="s">
        <v>26</v>
      </c>
      <c r="G6866" s="53">
        <f t="shared" si="108"/>
        <v>-1.4897387768521975</v>
      </c>
      <c r="H6866" s="35"/>
      <c r="P6866" s="6"/>
    </row>
    <row r="6867" spans="1:16" ht="14.4" x14ac:dyDescent="0.25">
      <c r="A6867" s="6">
        <v>3077</v>
      </c>
      <c r="B6867" s="6">
        <v>22083</v>
      </c>
      <c r="C6867" s="19">
        <v>39861</v>
      </c>
      <c r="D6867" s="6" t="s">
        <v>30</v>
      </c>
      <c r="E6867" s="6">
        <f>IF((ISBLANK($B$1)),"",Sheet1!Q6879)</f>
        <v>3500</v>
      </c>
      <c r="F6867" s="20" t="s">
        <v>26</v>
      </c>
      <c r="G6867" s="53">
        <f t="shared" si="108"/>
        <v>-1.6278342041231517</v>
      </c>
      <c r="H6867" s="35"/>
      <c r="P6867" s="6"/>
    </row>
    <row r="6868" spans="1:16" ht="14.4" x14ac:dyDescent="0.25">
      <c r="A6868" s="6">
        <v>3117</v>
      </c>
      <c r="B6868" s="6">
        <v>22402</v>
      </c>
      <c r="C6868" s="19">
        <v>39960</v>
      </c>
      <c r="D6868" s="6" t="s">
        <v>30</v>
      </c>
      <c r="E6868" s="6">
        <f>IF((ISBLANK($B$1)),"",Sheet1!Q6880)</f>
        <v>5050</v>
      </c>
      <c r="F6868" s="20" t="s">
        <v>26</v>
      </c>
      <c r="G6868" s="53">
        <f t="shared" si="108"/>
        <v>0.51264491857664052</v>
      </c>
      <c r="H6868" s="35"/>
      <c r="P6868" s="6"/>
    </row>
    <row r="6869" spans="1:16" ht="14.4" x14ac:dyDescent="0.25">
      <c r="A6869" s="6">
        <v>3118</v>
      </c>
      <c r="B6869" s="6">
        <v>22402</v>
      </c>
      <c r="C6869" s="19">
        <v>39960</v>
      </c>
      <c r="D6869" s="6" t="s">
        <v>30</v>
      </c>
      <c r="E6869" s="6">
        <f>IF((ISBLANK($B$1)),"",Sheet1!Q6881)</f>
        <v>3450</v>
      </c>
      <c r="F6869" s="20" t="s">
        <v>27</v>
      </c>
      <c r="G6869" s="53">
        <f t="shared" si="108"/>
        <v>-1.696881917758629</v>
      </c>
      <c r="H6869" s="35"/>
      <c r="P6869" s="6"/>
    </row>
    <row r="6870" spans="1:16" ht="14.4" x14ac:dyDescent="0.25">
      <c r="A6870" s="6">
        <v>3124</v>
      </c>
      <c r="B6870" s="6">
        <v>22433</v>
      </c>
      <c r="C6870" s="19">
        <v>40605</v>
      </c>
      <c r="D6870" s="6" t="s">
        <v>30</v>
      </c>
      <c r="E6870" s="6">
        <f>IF((ISBLANK($B$1)),"",Sheet1!Q6882)</f>
        <v>5600</v>
      </c>
      <c r="F6870" s="20" t="s">
        <v>27</v>
      </c>
      <c r="G6870" s="53">
        <f t="shared" si="108"/>
        <v>1.2721697685668893</v>
      </c>
      <c r="H6870" s="35"/>
      <c r="P6870" s="6"/>
    </row>
    <row r="6871" spans="1:16" ht="14.4" x14ac:dyDescent="0.25">
      <c r="A6871" s="6">
        <v>3127</v>
      </c>
      <c r="B6871" s="6">
        <v>22465</v>
      </c>
      <c r="C6871" s="19">
        <v>41111</v>
      </c>
      <c r="D6871" s="6" t="s">
        <v>28</v>
      </c>
      <c r="E6871" s="6">
        <f>IF((ISBLANK($B$1)),"",Sheet1!Q6883)</f>
        <v>3600</v>
      </c>
      <c r="F6871" s="20" t="s">
        <v>29</v>
      </c>
      <c r="G6871" s="53">
        <f t="shared" si="108"/>
        <v>-1.4897387768521975</v>
      </c>
      <c r="H6871" s="35"/>
      <c r="P6871" s="6"/>
    </row>
    <row r="6872" spans="1:16" ht="14.4" x14ac:dyDescent="0.25">
      <c r="A6872" s="6">
        <v>3128</v>
      </c>
      <c r="B6872" s="6">
        <v>22466</v>
      </c>
      <c r="C6872" s="19">
        <v>40996</v>
      </c>
      <c r="D6872" s="6" t="s">
        <v>25</v>
      </c>
      <c r="E6872" s="6">
        <f>IF((ISBLANK($B$1)),"",Sheet1!Q6884)</f>
        <v>4950</v>
      </c>
      <c r="F6872" s="20" t="s">
        <v>29</v>
      </c>
      <c r="G6872" s="53">
        <f t="shared" si="108"/>
        <v>0.37454949130568621</v>
      </c>
      <c r="H6872" s="35"/>
      <c r="P6872" s="6"/>
    </row>
    <row r="6873" spans="1:16" ht="14.4" x14ac:dyDescent="0.25">
      <c r="A6873" s="6">
        <v>3129</v>
      </c>
      <c r="B6873" s="6">
        <v>22466</v>
      </c>
      <c r="C6873" s="19">
        <v>40996</v>
      </c>
      <c r="D6873" s="6" t="s">
        <v>25</v>
      </c>
      <c r="E6873" s="6">
        <f>IF((ISBLANK($B$1)),"",Sheet1!Q6885)</f>
        <v>5400</v>
      </c>
      <c r="F6873" s="20" t="s">
        <v>26</v>
      </c>
      <c r="G6873" s="53">
        <f t="shared" si="108"/>
        <v>0.99597891402498073</v>
      </c>
      <c r="H6873" s="35"/>
      <c r="P6873" s="6"/>
    </row>
    <row r="6874" spans="1:16" ht="14.4" x14ac:dyDescent="0.25">
      <c r="A6874" s="6">
        <v>3136</v>
      </c>
      <c r="B6874" s="6">
        <v>22497</v>
      </c>
      <c r="C6874" s="19">
        <v>41027</v>
      </c>
      <c r="D6874" s="6" t="s">
        <v>16</v>
      </c>
      <c r="E6874" s="6">
        <f>IF((ISBLANK($B$1)),"",Sheet1!Q6886)</f>
        <v>5250</v>
      </c>
      <c r="F6874" s="20" t="s">
        <v>27</v>
      </c>
      <c r="G6874" s="53">
        <f t="shared" si="108"/>
        <v>0.78883577311854924</v>
      </c>
      <c r="H6874" s="35"/>
      <c r="P6874" s="6"/>
    </row>
    <row r="6875" spans="1:16" ht="14.4" x14ac:dyDescent="0.25">
      <c r="A6875" s="6">
        <v>3152</v>
      </c>
      <c r="B6875" s="6">
        <v>22627</v>
      </c>
      <c r="C6875" s="19">
        <v>40271</v>
      </c>
      <c r="D6875" s="6" t="s">
        <v>25</v>
      </c>
      <c r="E6875" s="6">
        <f>IF((ISBLANK($B$1)),"",Sheet1!Q6887)</f>
        <v>5700</v>
      </c>
      <c r="F6875" s="20" t="s">
        <v>29</v>
      </c>
      <c r="G6875" s="53">
        <f t="shared" si="108"/>
        <v>1.4102651958378438</v>
      </c>
      <c r="H6875" s="35"/>
      <c r="P6875" s="6"/>
    </row>
    <row r="6876" spans="1:16" ht="14.4" x14ac:dyDescent="0.25">
      <c r="A6876" s="6">
        <v>3165</v>
      </c>
      <c r="B6876" s="6">
        <v>22752</v>
      </c>
      <c r="C6876" s="19">
        <v>41250</v>
      </c>
      <c r="D6876" s="6" t="s">
        <v>25</v>
      </c>
      <c r="E6876" s="6">
        <f>IF((ISBLANK($B$1)),"",Sheet1!Q6888)</f>
        <v>3500</v>
      </c>
      <c r="F6876" s="20" t="s">
        <v>26</v>
      </c>
      <c r="G6876" s="53">
        <f t="shared" si="108"/>
        <v>-1.6278342041231517</v>
      </c>
      <c r="H6876" s="35"/>
      <c r="P6876" s="6"/>
    </row>
    <row r="6877" spans="1:16" ht="14.4" x14ac:dyDescent="0.25">
      <c r="A6877" s="6">
        <v>3176</v>
      </c>
      <c r="B6877" s="6">
        <v>22848</v>
      </c>
      <c r="C6877" s="19">
        <v>40887</v>
      </c>
      <c r="D6877" s="6" t="s">
        <v>28</v>
      </c>
      <c r="E6877" s="6">
        <f>IF((ISBLANK($B$1)),"",Sheet1!Q6889)</f>
        <v>4400</v>
      </c>
      <c r="F6877" s="20" t="s">
        <v>26</v>
      </c>
      <c r="G6877" s="53">
        <f t="shared" si="108"/>
        <v>-0.38497535868456267</v>
      </c>
      <c r="H6877" s="35"/>
      <c r="P6877" s="6"/>
    </row>
    <row r="6878" spans="1:16" ht="14.4" x14ac:dyDescent="0.25">
      <c r="A6878" s="6">
        <v>3177</v>
      </c>
      <c r="B6878" s="6">
        <v>22848</v>
      </c>
      <c r="C6878" s="19">
        <v>40887</v>
      </c>
      <c r="D6878" s="6" t="s">
        <v>28</v>
      </c>
      <c r="E6878" s="6">
        <f>IF((ISBLANK($B$1)),"",Sheet1!Q6890)</f>
        <v>5650</v>
      </c>
      <c r="F6878" s="20" t="s">
        <v>29</v>
      </c>
      <c r="G6878" s="53">
        <f t="shared" si="108"/>
        <v>1.3412174822023666</v>
      </c>
      <c r="H6878" s="35"/>
      <c r="P6878" s="6"/>
    </row>
    <row r="6879" spans="1:16" ht="14.4" x14ac:dyDescent="0.25">
      <c r="A6879" s="6">
        <v>3178</v>
      </c>
      <c r="B6879" s="6">
        <v>22848</v>
      </c>
      <c r="C6879" s="19">
        <v>40887</v>
      </c>
      <c r="D6879" s="6" t="s">
        <v>28</v>
      </c>
      <c r="E6879" s="6">
        <f>IF((ISBLANK($B$1)),"",Sheet1!Q6891)</f>
        <v>3600</v>
      </c>
      <c r="F6879" s="20" t="s">
        <v>27</v>
      </c>
      <c r="G6879" s="53">
        <f t="shared" si="108"/>
        <v>-1.4897387768521975</v>
      </c>
      <c r="H6879" s="35"/>
      <c r="P6879" s="6"/>
    </row>
    <row r="6880" spans="1:16" ht="14.4" x14ac:dyDescent="0.25">
      <c r="A6880" s="6">
        <v>3183</v>
      </c>
      <c r="B6880" s="6">
        <v>22850</v>
      </c>
      <c r="C6880" s="19">
        <v>40663</v>
      </c>
      <c r="D6880" s="6" t="s">
        <v>16</v>
      </c>
      <c r="E6880" s="6">
        <f>IF((ISBLANK($B$1)),"",Sheet1!Q6892)</f>
        <v>3600</v>
      </c>
      <c r="F6880" s="20" t="s">
        <v>27</v>
      </c>
      <c r="G6880" s="53">
        <f t="shared" si="108"/>
        <v>-1.4897387768521975</v>
      </c>
      <c r="H6880" s="35"/>
      <c r="P6880" s="6"/>
    </row>
    <row r="6881" spans="1:16" ht="14.4" x14ac:dyDescent="0.25">
      <c r="A6881" s="6">
        <v>3192</v>
      </c>
      <c r="B6881" s="6">
        <v>22912</v>
      </c>
      <c r="C6881" s="19">
        <v>40467</v>
      </c>
      <c r="D6881" s="6" t="s">
        <v>25</v>
      </c>
      <c r="E6881" s="6">
        <f>IF((ISBLANK($B$1)),"",Sheet1!Q6893)</f>
        <v>5050</v>
      </c>
      <c r="F6881" s="20" t="s">
        <v>26</v>
      </c>
      <c r="G6881" s="53">
        <f t="shared" si="108"/>
        <v>0.51264491857664052</v>
      </c>
      <c r="H6881" s="35"/>
      <c r="P6881" s="6"/>
    </row>
    <row r="6882" spans="1:16" ht="14.4" x14ac:dyDescent="0.25">
      <c r="A6882" s="6">
        <v>3193</v>
      </c>
      <c r="B6882" s="6">
        <v>22913</v>
      </c>
      <c r="C6882" s="19">
        <v>40354</v>
      </c>
      <c r="D6882" s="6" t="s">
        <v>30</v>
      </c>
      <c r="E6882" s="6">
        <f>IF((ISBLANK($B$1)),"",Sheet1!Q6894)</f>
        <v>5000</v>
      </c>
      <c r="F6882" s="20" t="s">
        <v>26</v>
      </c>
      <c r="G6882" s="53">
        <f t="shared" si="108"/>
        <v>0.44359720494116334</v>
      </c>
      <c r="H6882" s="35"/>
      <c r="P6882" s="6"/>
    </row>
    <row r="6883" spans="1:16" ht="14.4" x14ac:dyDescent="0.25">
      <c r="A6883" s="6">
        <v>3194</v>
      </c>
      <c r="B6883" s="6">
        <v>22913</v>
      </c>
      <c r="C6883" s="19">
        <v>40354</v>
      </c>
      <c r="D6883" s="6" t="s">
        <v>30</v>
      </c>
      <c r="E6883" s="6">
        <f>IF((ISBLANK($B$1)),"",Sheet1!Q6895)</f>
        <v>4600</v>
      </c>
      <c r="F6883" s="20" t="s">
        <v>29</v>
      </c>
      <c r="G6883" s="53">
        <f t="shared" si="108"/>
        <v>-0.108784504142654</v>
      </c>
      <c r="H6883" s="35"/>
      <c r="P6883" s="6"/>
    </row>
    <row r="6884" spans="1:16" ht="14.4" x14ac:dyDescent="0.25">
      <c r="A6884" s="6">
        <v>3195</v>
      </c>
      <c r="B6884" s="6">
        <v>22913</v>
      </c>
      <c r="C6884" s="19">
        <v>40354</v>
      </c>
      <c r="D6884" s="6" t="s">
        <v>30</v>
      </c>
      <c r="E6884" s="6">
        <f>IF((ISBLANK($B$1)),"",Sheet1!Q6896)</f>
        <v>5900</v>
      </c>
      <c r="F6884" s="20" t="s">
        <v>27</v>
      </c>
      <c r="G6884" s="53">
        <f t="shared" si="108"/>
        <v>1.6864560503797523</v>
      </c>
      <c r="H6884" s="35"/>
      <c r="P6884" s="6"/>
    </row>
    <row r="6885" spans="1:16" ht="14.4" x14ac:dyDescent="0.25">
      <c r="A6885" s="6">
        <v>3196</v>
      </c>
      <c r="B6885" s="6">
        <v>22914</v>
      </c>
      <c r="C6885" s="19">
        <v>40921</v>
      </c>
      <c r="D6885" s="6" t="s">
        <v>30</v>
      </c>
      <c r="E6885" s="6">
        <f>IF((ISBLANK($B$1)),"",Sheet1!Q6897)</f>
        <v>4900</v>
      </c>
      <c r="F6885" s="20" t="s">
        <v>26</v>
      </c>
      <c r="G6885" s="53">
        <f t="shared" si="108"/>
        <v>0.30550177767020903</v>
      </c>
      <c r="H6885" s="35"/>
      <c r="P6885" s="6"/>
    </row>
    <row r="6886" spans="1:16" ht="14.4" x14ac:dyDescent="0.25">
      <c r="A6886" s="6">
        <v>3212</v>
      </c>
      <c r="B6886" s="6">
        <v>23042</v>
      </c>
      <c r="C6886" s="19">
        <v>39929</v>
      </c>
      <c r="D6886" s="6" t="s">
        <v>16</v>
      </c>
      <c r="E6886" s="6">
        <f>IF((ISBLANK($B$1)),"",Sheet1!Q6898)</f>
        <v>4400</v>
      </c>
      <c r="F6886" s="20" t="s">
        <v>26</v>
      </c>
      <c r="G6886" s="53">
        <f t="shared" si="108"/>
        <v>-0.38497535868456267</v>
      </c>
      <c r="H6886" s="35"/>
      <c r="P6886" s="6"/>
    </row>
    <row r="6887" spans="1:16" ht="14.4" x14ac:dyDescent="0.25">
      <c r="A6887" s="6">
        <v>3226</v>
      </c>
      <c r="B6887" s="6">
        <v>23168</v>
      </c>
      <c r="C6887" s="19">
        <v>40436</v>
      </c>
      <c r="D6887" s="6" t="s">
        <v>25</v>
      </c>
      <c r="E6887" s="6">
        <f>IF((ISBLANK($B$1)),"",Sheet1!Q6899)</f>
        <v>5700</v>
      </c>
      <c r="F6887" s="20" t="s">
        <v>27</v>
      </c>
      <c r="G6887" s="53">
        <f t="shared" si="108"/>
        <v>1.4102651958378438</v>
      </c>
      <c r="H6887" s="35"/>
      <c r="P6887" s="6"/>
    </row>
    <row r="6888" spans="1:16" ht="14.4" x14ac:dyDescent="0.25">
      <c r="A6888" s="6">
        <v>3242</v>
      </c>
      <c r="B6888" s="6">
        <v>23235</v>
      </c>
      <c r="C6888" s="19">
        <v>40729</v>
      </c>
      <c r="D6888" s="6" t="s">
        <v>17</v>
      </c>
      <c r="E6888" s="6">
        <f>IF((ISBLANK($B$1)),"",Sheet1!Q6900)</f>
        <v>3700</v>
      </c>
      <c r="F6888" s="20" t="s">
        <v>29</v>
      </c>
      <c r="G6888" s="53">
        <f t="shared" si="108"/>
        <v>-1.351643349581243</v>
      </c>
      <c r="H6888" s="35"/>
      <c r="P6888" s="6"/>
    </row>
    <row r="6889" spans="1:16" ht="14.4" x14ac:dyDescent="0.25">
      <c r="A6889" s="6">
        <v>3243</v>
      </c>
      <c r="B6889" s="6">
        <v>23238</v>
      </c>
      <c r="C6889" s="19">
        <v>40268</v>
      </c>
      <c r="D6889" s="6" t="s">
        <v>28</v>
      </c>
      <c r="E6889" s="6">
        <f>IF((ISBLANK($B$1)),"",Sheet1!Q6901)</f>
        <v>4650</v>
      </c>
      <c r="F6889" s="20" t="s">
        <v>27</v>
      </c>
      <c r="G6889" s="53">
        <f t="shared" si="108"/>
        <v>-3.9736790507176829E-2</v>
      </c>
      <c r="H6889" s="35"/>
      <c r="P6889" s="6"/>
    </row>
    <row r="6890" spans="1:16" ht="14.4" x14ac:dyDescent="0.25">
      <c r="A6890" s="6">
        <v>3251</v>
      </c>
      <c r="B6890" s="6">
        <v>23297</v>
      </c>
      <c r="C6890" s="19">
        <v>41092</v>
      </c>
      <c r="D6890" s="6" t="s">
        <v>30</v>
      </c>
      <c r="E6890" s="6">
        <f>IF((ISBLANK($B$1)),"",Sheet1!Q6902)</f>
        <v>4400</v>
      </c>
      <c r="F6890" s="20" t="s">
        <v>26</v>
      </c>
      <c r="G6890" s="53">
        <f t="shared" si="108"/>
        <v>-0.38497535868456267</v>
      </c>
      <c r="H6890" s="35"/>
      <c r="P6890" s="6"/>
    </row>
    <row r="6891" spans="1:16" ht="14.4" x14ac:dyDescent="0.25">
      <c r="A6891" s="6">
        <v>3252</v>
      </c>
      <c r="B6891" s="6">
        <v>23297</v>
      </c>
      <c r="C6891" s="19">
        <v>41092</v>
      </c>
      <c r="D6891" s="6" t="s">
        <v>30</v>
      </c>
      <c r="E6891" s="6">
        <f>IF((ISBLANK($B$1)),"",Sheet1!Q6903)</f>
        <v>5100</v>
      </c>
      <c r="F6891" s="20" t="s">
        <v>26</v>
      </c>
      <c r="G6891" s="53">
        <f t="shared" si="108"/>
        <v>0.58169263221211776</v>
      </c>
      <c r="H6891" s="35"/>
      <c r="P6891" s="6"/>
    </row>
    <row r="6892" spans="1:16" ht="14.4" x14ac:dyDescent="0.25">
      <c r="A6892" s="6">
        <v>3253</v>
      </c>
      <c r="B6892" s="6">
        <v>23301</v>
      </c>
      <c r="C6892" s="19">
        <v>40651</v>
      </c>
      <c r="D6892" s="6" t="s">
        <v>17</v>
      </c>
      <c r="E6892" s="6">
        <f>IF((ISBLANK($B$1)),"",Sheet1!Q6904)</f>
        <v>3600</v>
      </c>
      <c r="F6892" s="20" t="s">
        <v>27</v>
      </c>
      <c r="G6892" s="53">
        <f t="shared" si="108"/>
        <v>-1.4897387768521975</v>
      </c>
      <c r="H6892" s="35"/>
      <c r="P6892" s="6"/>
    </row>
    <row r="6893" spans="1:16" ht="14.4" x14ac:dyDescent="0.25">
      <c r="A6893" s="6">
        <v>3254</v>
      </c>
      <c r="B6893" s="6">
        <v>23301</v>
      </c>
      <c r="C6893" s="19">
        <v>40651</v>
      </c>
      <c r="D6893" s="6" t="s">
        <v>17</v>
      </c>
      <c r="E6893" s="6">
        <f>IF((ISBLANK($B$1)),"",Sheet1!Q6905)</f>
        <v>3550</v>
      </c>
      <c r="F6893" s="20" t="s">
        <v>26</v>
      </c>
      <c r="G6893" s="53">
        <f t="shared" si="108"/>
        <v>-1.5587864904876745</v>
      </c>
      <c r="H6893" s="35"/>
      <c r="P6893" s="6"/>
    </row>
    <row r="6894" spans="1:16" ht="14.4" x14ac:dyDescent="0.25">
      <c r="A6894" s="6">
        <v>3257</v>
      </c>
      <c r="B6894" s="6">
        <v>23329</v>
      </c>
      <c r="C6894" s="19">
        <v>40538</v>
      </c>
      <c r="D6894" s="6" t="s">
        <v>25</v>
      </c>
      <c r="E6894" s="6">
        <f>IF((ISBLANK($B$1)),"",Sheet1!Q6906)</f>
        <v>3600</v>
      </c>
      <c r="F6894" s="20" t="s">
        <v>27</v>
      </c>
      <c r="G6894" s="53">
        <f t="shared" si="108"/>
        <v>-1.4897387768521975</v>
      </c>
      <c r="H6894" s="35"/>
      <c r="P6894" s="6"/>
    </row>
    <row r="6895" spans="1:16" ht="14.4" x14ac:dyDescent="0.25">
      <c r="A6895" s="6">
        <v>3258</v>
      </c>
      <c r="B6895" s="6">
        <v>23329</v>
      </c>
      <c r="C6895" s="19">
        <v>40538</v>
      </c>
      <c r="D6895" s="6" t="s">
        <v>25</v>
      </c>
      <c r="E6895" s="6">
        <f>IF((ISBLANK($B$1)),"",Sheet1!Q6907)</f>
        <v>5750</v>
      </c>
      <c r="F6895" s="20" t="s">
        <v>27</v>
      </c>
      <c r="G6895" s="53">
        <f t="shared" si="108"/>
        <v>1.4793129094733208</v>
      </c>
      <c r="H6895" s="35"/>
      <c r="P6895" s="6"/>
    </row>
    <row r="6896" spans="1:16" ht="14.4" x14ac:dyDescent="0.25">
      <c r="A6896" s="6">
        <v>3268</v>
      </c>
      <c r="B6896" s="6">
        <v>23366</v>
      </c>
      <c r="C6896" s="19">
        <v>40501</v>
      </c>
      <c r="D6896" s="6" t="s">
        <v>28</v>
      </c>
      <c r="E6896" s="6">
        <f>IF((ISBLANK($B$1)),"",Sheet1!Q6908)</f>
        <v>4000</v>
      </c>
      <c r="F6896" s="20" t="s">
        <v>29</v>
      </c>
      <c r="G6896" s="53">
        <f t="shared" si="108"/>
        <v>-0.93735706776838001</v>
      </c>
      <c r="H6896" s="35"/>
      <c r="P6896" s="6"/>
    </row>
    <row r="6897" spans="1:16" ht="14.4" x14ac:dyDescent="0.25">
      <c r="A6897" s="6">
        <v>3269</v>
      </c>
      <c r="B6897" s="6">
        <v>23366</v>
      </c>
      <c r="C6897" s="19">
        <v>40501</v>
      </c>
      <c r="D6897" s="6" t="s">
        <v>28</v>
      </c>
      <c r="E6897" s="6">
        <f>IF((ISBLANK($B$1)),"",Sheet1!Q6909)</f>
        <v>3650</v>
      </c>
      <c r="F6897" s="20" t="s">
        <v>26</v>
      </c>
      <c r="G6897" s="53">
        <f t="shared" si="108"/>
        <v>-1.4206910632167202</v>
      </c>
      <c r="H6897" s="35"/>
      <c r="P6897" s="6"/>
    </row>
    <row r="6898" spans="1:16" ht="14.4" x14ac:dyDescent="0.25">
      <c r="A6898" s="6">
        <v>3272</v>
      </c>
      <c r="B6898" s="6">
        <v>23395</v>
      </c>
      <c r="C6898" s="19">
        <v>41209</v>
      </c>
      <c r="D6898" s="6" t="s">
        <v>16</v>
      </c>
      <c r="E6898" s="6">
        <f>IF((ISBLANK($B$1)),"",Sheet1!Q6910)</f>
        <v>4950</v>
      </c>
      <c r="F6898" s="20" t="s">
        <v>27</v>
      </c>
      <c r="G6898" s="53">
        <f t="shared" si="108"/>
        <v>0.37454949130568621</v>
      </c>
      <c r="H6898" s="35"/>
      <c r="P6898" s="6"/>
    </row>
    <row r="6899" spans="1:16" ht="14.4" x14ac:dyDescent="0.25">
      <c r="A6899" s="6">
        <v>3283</v>
      </c>
      <c r="B6899" s="6">
        <v>23488</v>
      </c>
      <c r="C6899" s="19">
        <v>39819</v>
      </c>
      <c r="D6899" s="6" t="s">
        <v>17</v>
      </c>
      <c r="E6899" s="6">
        <f>IF((ISBLANK($B$1)),"",Sheet1!Q6911)</f>
        <v>4850</v>
      </c>
      <c r="F6899" s="20" t="s">
        <v>26</v>
      </c>
      <c r="G6899" s="53">
        <f t="shared" si="108"/>
        <v>0.23645406403473185</v>
      </c>
      <c r="H6899" s="35"/>
      <c r="P6899" s="6"/>
    </row>
    <row r="6900" spans="1:16" ht="14.4" x14ac:dyDescent="0.25">
      <c r="A6900" s="6">
        <v>3292</v>
      </c>
      <c r="B6900" s="6">
        <v>23555</v>
      </c>
      <c r="C6900" s="19">
        <v>41254</v>
      </c>
      <c r="D6900" s="6" t="s">
        <v>17</v>
      </c>
      <c r="E6900" s="6">
        <f>IF((ISBLANK($B$1)),"",Sheet1!Q6912)</f>
        <v>4850</v>
      </c>
      <c r="F6900" s="20" t="s">
        <v>26</v>
      </c>
      <c r="G6900" s="53">
        <f t="shared" si="108"/>
        <v>0.23645406403473185</v>
      </c>
      <c r="H6900" s="35"/>
      <c r="P6900" s="6"/>
    </row>
    <row r="6901" spans="1:16" ht="14.4" x14ac:dyDescent="0.25">
      <c r="A6901" s="6">
        <v>3293</v>
      </c>
      <c r="B6901" s="6">
        <v>23555</v>
      </c>
      <c r="C6901" s="19">
        <v>41254</v>
      </c>
      <c r="D6901" s="6" t="s">
        <v>17</v>
      </c>
      <c r="E6901" s="6">
        <f>IF((ISBLANK($B$1)),"",Sheet1!Q6913)</f>
        <v>3650</v>
      </c>
      <c r="F6901" s="20" t="s">
        <v>27</v>
      </c>
      <c r="G6901" s="53">
        <f t="shared" si="108"/>
        <v>-1.4206910632167202</v>
      </c>
      <c r="H6901" s="35"/>
      <c r="P6901" s="6"/>
    </row>
    <row r="6902" spans="1:16" ht="14.4" x14ac:dyDescent="0.25">
      <c r="A6902" s="6">
        <v>3304</v>
      </c>
      <c r="B6902" s="6">
        <v>23617</v>
      </c>
      <c r="C6902" s="19">
        <v>40668</v>
      </c>
      <c r="D6902" s="6" t="s">
        <v>28</v>
      </c>
      <c r="E6902" s="6">
        <f>IF((ISBLANK($B$1)),"",Sheet1!Q6914)</f>
        <v>3700</v>
      </c>
      <c r="F6902" s="20" t="s">
        <v>26</v>
      </c>
      <c r="G6902" s="53">
        <f t="shared" si="108"/>
        <v>-1.351643349581243</v>
      </c>
      <c r="H6902" s="35"/>
      <c r="P6902" s="6"/>
    </row>
    <row r="6903" spans="1:16" ht="14.4" x14ac:dyDescent="0.25">
      <c r="A6903" s="6">
        <v>3313</v>
      </c>
      <c r="B6903" s="6">
        <v>23652</v>
      </c>
      <c r="C6903" s="19">
        <v>40055</v>
      </c>
      <c r="D6903" s="6" t="s">
        <v>28</v>
      </c>
      <c r="E6903" s="6">
        <f>IF((ISBLANK($B$1)),"",Sheet1!Q6915)</f>
        <v>4750</v>
      </c>
      <c r="F6903" s="20" t="s">
        <v>26</v>
      </c>
      <c r="G6903" s="53">
        <f t="shared" si="108"/>
        <v>9.8358636763777513E-2</v>
      </c>
      <c r="H6903" s="35"/>
      <c r="P6903" s="6"/>
    </row>
    <row r="6904" spans="1:16" ht="14.4" x14ac:dyDescent="0.25">
      <c r="A6904" s="6">
        <v>3314</v>
      </c>
      <c r="B6904" s="6">
        <v>23680</v>
      </c>
      <c r="C6904" s="19">
        <v>40488</v>
      </c>
      <c r="D6904" s="6" t="s">
        <v>28</v>
      </c>
      <c r="E6904" s="6">
        <f>IF((ISBLANK($B$1)),"",Sheet1!Q6916)</f>
        <v>3800</v>
      </c>
      <c r="F6904" s="20" t="s">
        <v>29</v>
      </c>
      <c r="G6904" s="53">
        <f t="shared" si="108"/>
        <v>-1.2135479223102887</v>
      </c>
      <c r="H6904" s="35"/>
      <c r="P6904" s="6"/>
    </row>
    <row r="6905" spans="1:16" ht="14.4" x14ac:dyDescent="0.25">
      <c r="A6905" s="6">
        <v>3318</v>
      </c>
      <c r="B6905" s="6">
        <v>23719</v>
      </c>
      <c r="C6905" s="19">
        <v>40384</v>
      </c>
      <c r="D6905" s="6" t="s">
        <v>30</v>
      </c>
      <c r="E6905" s="6">
        <f>IF((ISBLANK($B$1)),"",Sheet1!Q6917)</f>
        <v>4250</v>
      </c>
      <c r="F6905" s="20" t="s">
        <v>26</v>
      </c>
      <c r="G6905" s="53">
        <f t="shared" si="108"/>
        <v>-0.59211849959099416</v>
      </c>
      <c r="H6905" s="35"/>
      <c r="P6905" s="6"/>
    </row>
    <row r="6906" spans="1:16" ht="14.4" x14ac:dyDescent="0.25">
      <c r="A6906" s="6">
        <v>3325</v>
      </c>
      <c r="B6906" s="6">
        <v>23778</v>
      </c>
      <c r="C6906" s="19">
        <v>40007</v>
      </c>
      <c r="D6906" s="6" t="s">
        <v>25</v>
      </c>
      <c r="E6906" s="6">
        <f>IF((ISBLANK($B$1)),"",Sheet1!Q6918)</f>
        <v>4050</v>
      </c>
      <c r="F6906" s="20" t="s">
        <v>26</v>
      </c>
      <c r="G6906" s="53">
        <f t="shared" si="108"/>
        <v>-0.86830935413290289</v>
      </c>
      <c r="H6906" s="35"/>
      <c r="P6906" s="6"/>
    </row>
    <row r="6907" spans="1:16" ht="14.4" x14ac:dyDescent="0.25">
      <c r="A6907" s="6">
        <v>3329</v>
      </c>
      <c r="B6907" s="6">
        <v>23808</v>
      </c>
      <c r="C6907" s="19">
        <v>39851</v>
      </c>
      <c r="D6907" s="6" t="s">
        <v>25</v>
      </c>
      <c r="E6907" s="6">
        <f>IF((ISBLANK($B$1)),"",Sheet1!Q6919)</f>
        <v>4900</v>
      </c>
      <c r="F6907" s="20" t="s">
        <v>26</v>
      </c>
      <c r="G6907" s="53">
        <f t="shared" si="108"/>
        <v>0.30550177767020903</v>
      </c>
      <c r="H6907" s="35"/>
      <c r="P6907" s="6"/>
    </row>
    <row r="6908" spans="1:16" ht="14.4" x14ac:dyDescent="0.25">
      <c r="A6908" s="6">
        <v>3330</v>
      </c>
      <c r="B6908" s="6">
        <v>23808</v>
      </c>
      <c r="C6908" s="19">
        <v>39851</v>
      </c>
      <c r="D6908" s="6" t="s">
        <v>25</v>
      </c>
      <c r="E6908" s="6">
        <f>IF((ISBLANK($B$1)),"",Sheet1!Q6920)</f>
        <v>4800</v>
      </c>
      <c r="F6908" s="20" t="s">
        <v>27</v>
      </c>
      <c r="G6908" s="53">
        <f t="shared" si="108"/>
        <v>0.16740635039925467</v>
      </c>
      <c r="H6908" s="35"/>
      <c r="P6908" s="6"/>
    </row>
    <row r="6909" spans="1:16" ht="14.4" x14ac:dyDescent="0.25">
      <c r="A6909" s="6">
        <v>3338</v>
      </c>
      <c r="B6909" s="6">
        <v>23877</v>
      </c>
      <c r="C6909" s="19">
        <v>40006</v>
      </c>
      <c r="D6909" s="6" t="s">
        <v>28</v>
      </c>
      <c r="E6909" s="6">
        <f>IF((ISBLANK($B$1)),"",Sheet1!Q6921)</f>
        <v>4950</v>
      </c>
      <c r="F6909" s="20" t="s">
        <v>27</v>
      </c>
      <c r="G6909" s="53">
        <f t="shared" si="108"/>
        <v>0.37454949130568621</v>
      </c>
      <c r="H6909" s="35"/>
      <c r="P6909" s="6"/>
    </row>
    <row r="6910" spans="1:16" ht="14.4" x14ac:dyDescent="0.25">
      <c r="A6910" s="6">
        <v>3339</v>
      </c>
      <c r="B6910" s="6">
        <v>23877</v>
      </c>
      <c r="C6910" s="19">
        <v>40006</v>
      </c>
      <c r="D6910" s="6" t="s">
        <v>28</v>
      </c>
      <c r="E6910" s="6">
        <f>IF((ISBLANK($B$1)),"",Sheet1!Q6922)</f>
        <v>5150</v>
      </c>
      <c r="F6910" s="20" t="s">
        <v>27</v>
      </c>
      <c r="G6910" s="53">
        <f t="shared" si="108"/>
        <v>0.65074034584759488</v>
      </c>
      <c r="H6910" s="35"/>
      <c r="P6910" s="6"/>
    </row>
    <row r="6911" spans="1:16" ht="14.4" x14ac:dyDescent="0.25">
      <c r="A6911" s="6">
        <v>3353</v>
      </c>
      <c r="B6911" s="6">
        <v>24003</v>
      </c>
      <c r="C6911" s="19">
        <v>40117</v>
      </c>
      <c r="D6911" s="6" t="s">
        <v>30</v>
      </c>
      <c r="E6911" s="6">
        <f>IF((ISBLANK($B$1)),"",Sheet1!Q6923)</f>
        <v>3850</v>
      </c>
      <c r="F6911" s="20" t="s">
        <v>26</v>
      </c>
      <c r="G6911" s="53">
        <f t="shared" si="108"/>
        <v>-1.1445002086748115</v>
      </c>
      <c r="H6911" s="35"/>
      <c r="P6911" s="6"/>
    </row>
    <row r="6912" spans="1:16" ht="14.4" x14ac:dyDescent="0.25">
      <c r="A6912" s="6">
        <v>3440</v>
      </c>
      <c r="B6912" s="6">
        <v>24548</v>
      </c>
      <c r="C6912" s="19">
        <v>40616</v>
      </c>
      <c r="D6912" s="6" t="s">
        <v>17</v>
      </c>
      <c r="E6912" s="6">
        <f>IF((ISBLANK($B$1)),"",Sheet1!Q6924)</f>
        <v>5000</v>
      </c>
      <c r="F6912" s="20" t="s">
        <v>29</v>
      </c>
      <c r="G6912" s="53">
        <f t="shared" si="108"/>
        <v>0.44359720494116334</v>
      </c>
      <c r="H6912" s="35"/>
      <c r="P6912" s="6"/>
    </row>
    <row r="6913" spans="1:16" ht="14.4" x14ac:dyDescent="0.25">
      <c r="A6913" s="6">
        <v>3451</v>
      </c>
      <c r="B6913" s="6">
        <v>24610</v>
      </c>
      <c r="C6913" s="19">
        <v>40196</v>
      </c>
      <c r="D6913" s="6" t="s">
        <v>28</v>
      </c>
      <c r="E6913" s="6">
        <f>IF((ISBLANK($B$1)),"",Sheet1!Q6925)</f>
        <v>3600</v>
      </c>
      <c r="F6913" s="20" t="s">
        <v>29</v>
      </c>
      <c r="G6913" s="53">
        <f t="shared" si="108"/>
        <v>-1.4897387768521975</v>
      </c>
      <c r="H6913" s="35"/>
      <c r="P6913" s="6"/>
    </row>
    <row r="6914" spans="1:16" ht="14.4" x14ac:dyDescent="0.25">
      <c r="A6914" s="6">
        <v>3467</v>
      </c>
      <c r="B6914" s="6">
        <v>24677</v>
      </c>
      <c r="C6914" s="19">
        <v>40973</v>
      </c>
      <c r="D6914" s="6" t="s">
        <v>25</v>
      </c>
      <c r="E6914" s="6">
        <f>IF((ISBLANK($B$1)),"",Sheet1!Q6926)</f>
        <v>5600</v>
      </c>
      <c r="F6914" s="20" t="s">
        <v>27</v>
      </c>
      <c r="G6914" s="53">
        <f t="shared" si="108"/>
        <v>1.2721697685668893</v>
      </c>
      <c r="H6914" s="35"/>
      <c r="P6914" s="6"/>
    </row>
    <row r="6915" spans="1:16" ht="14.4" x14ac:dyDescent="0.25">
      <c r="A6915" s="6">
        <v>3511</v>
      </c>
      <c r="B6915" s="6">
        <v>25027</v>
      </c>
      <c r="C6915" s="19">
        <v>40163</v>
      </c>
      <c r="D6915" s="6" t="s">
        <v>16</v>
      </c>
      <c r="E6915" s="6">
        <f>IF((ISBLANK($B$1)),"",Sheet1!Q6927)</f>
        <v>4650</v>
      </c>
      <c r="F6915" s="20" t="s">
        <v>29</v>
      </c>
      <c r="G6915" s="53">
        <f t="shared" si="108"/>
        <v>-3.9736790507176829E-2</v>
      </c>
      <c r="H6915" s="35"/>
      <c r="P6915" s="6"/>
    </row>
    <row r="6916" spans="1:16" ht="14.4" x14ac:dyDescent="0.25">
      <c r="A6916" s="6">
        <v>3537</v>
      </c>
      <c r="B6916" s="6">
        <v>25157</v>
      </c>
      <c r="C6916" s="19">
        <v>40323</v>
      </c>
      <c r="D6916" s="6" t="s">
        <v>28</v>
      </c>
      <c r="E6916" s="6">
        <f>IF((ISBLANK($B$1)),"",Sheet1!Q6928)</f>
        <v>4600</v>
      </c>
      <c r="F6916" s="20" t="s">
        <v>26</v>
      </c>
      <c r="G6916" s="53">
        <f t="shared" si="108"/>
        <v>-0.108784504142654</v>
      </c>
      <c r="H6916" s="35"/>
      <c r="P6916" s="6"/>
    </row>
    <row r="6917" spans="1:16" ht="14.4" x14ac:dyDescent="0.25">
      <c r="A6917" s="6">
        <v>3561</v>
      </c>
      <c r="B6917" s="6">
        <v>25378</v>
      </c>
      <c r="C6917" s="19">
        <v>40895</v>
      </c>
      <c r="D6917" s="6" t="s">
        <v>28</v>
      </c>
      <c r="E6917" s="6">
        <f>IF((ISBLANK($B$1)),"",Sheet1!Q6929)</f>
        <v>5800</v>
      </c>
      <c r="F6917" s="20" t="s">
        <v>27</v>
      </c>
      <c r="G6917" s="53">
        <f t="shared" si="108"/>
        <v>1.5483606231087981</v>
      </c>
      <c r="H6917" s="35"/>
      <c r="P6917" s="6"/>
    </row>
    <row r="6918" spans="1:16" ht="14.4" x14ac:dyDescent="0.25">
      <c r="A6918" s="6">
        <v>3567</v>
      </c>
      <c r="B6918" s="6">
        <v>25445</v>
      </c>
      <c r="C6918" s="19">
        <v>39958</v>
      </c>
      <c r="D6918" s="6" t="s">
        <v>25</v>
      </c>
      <c r="E6918" s="6">
        <f>IF((ISBLANK($B$1)),"",Sheet1!Q6930)</f>
        <v>5800</v>
      </c>
      <c r="F6918" s="20" t="s">
        <v>26</v>
      </c>
      <c r="G6918" s="53">
        <f t="shared" si="108"/>
        <v>1.5483606231087981</v>
      </c>
      <c r="H6918" s="35"/>
      <c r="P6918" s="6"/>
    </row>
    <row r="6919" spans="1:16" ht="14.4" x14ac:dyDescent="0.25">
      <c r="A6919" s="6">
        <v>3574</v>
      </c>
      <c r="B6919" s="6">
        <v>25476</v>
      </c>
      <c r="C6919" s="19">
        <v>41184</v>
      </c>
      <c r="D6919" s="6" t="s">
        <v>28</v>
      </c>
      <c r="E6919" s="6">
        <f>IF((ISBLANK($B$1)),"",Sheet1!Q6931)</f>
        <v>4450</v>
      </c>
      <c r="F6919" s="20" t="s">
        <v>27</v>
      </c>
      <c r="G6919" s="53">
        <f t="shared" si="108"/>
        <v>-0.31592764504908549</v>
      </c>
      <c r="H6919" s="35"/>
      <c r="P6919" s="6"/>
    </row>
    <row r="6920" spans="1:16" ht="14.4" x14ac:dyDescent="0.25">
      <c r="A6920" s="6">
        <v>3575</v>
      </c>
      <c r="B6920" s="6">
        <v>25476</v>
      </c>
      <c r="C6920" s="19">
        <v>41184</v>
      </c>
      <c r="D6920" s="6" t="s">
        <v>28</v>
      </c>
      <c r="E6920" s="6">
        <f>IF((ISBLANK($B$1)),"",Sheet1!Q6932)</f>
        <v>3600</v>
      </c>
      <c r="F6920" s="20" t="s">
        <v>27</v>
      </c>
      <c r="G6920" s="53">
        <f t="shared" ref="G6920:G6983" si="109">STANDARDIZE(E6920,$L$26,$L$35)</f>
        <v>-1.4897387768521975</v>
      </c>
      <c r="H6920" s="35"/>
      <c r="P6920" s="6"/>
    </row>
    <row r="6921" spans="1:16" ht="14.4" x14ac:dyDescent="0.25">
      <c r="A6921" s="6">
        <v>3607</v>
      </c>
      <c r="B6921" s="6">
        <v>25797</v>
      </c>
      <c r="C6921" s="19">
        <v>41153</v>
      </c>
      <c r="D6921" s="6" t="s">
        <v>28</v>
      </c>
      <c r="E6921" s="6">
        <f>IF((ISBLANK($B$1)),"",Sheet1!Q6933)</f>
        <v>4800</v>
      </c>
      <c r="F6921" s="20" t="s">
        <v>27</v>
      </c>
      <c r="G6921" s="53">
        <f t="shared" si="109"/>
        <v>0.16740635039925467</v>
      </c>
      <c r="H6921" s="35"/>
      <c r="P6921" s="6"/>
    </row>
    <row r="6922" spans="1:16" ht="14.4" x14ac:dyDescent="0.25">
      <c r="A6922" s="6">
        <v>3625</v>
      </c>
      <c r="B6922" s="6">
        <v>25889</v>
      </c>
      <c r="C6922" s="19">
        <v>40337</v>
      </c>
      <c r="D6922" s="6" t="s">
        <v>25</v>
      </c>
      <c r="E6922" s="6">
        <f>IF((ISBLANK($B$1)),"",Sheet1!Q6934)</f>
        <v>4550</v>
      </c>
      <c r="F6922" s="20" t="s">
        <v>29</v>
      </c>
      <c r="G6922" s="53">
        <f t="shared" si="109"/>
        <v>-0.17783221777813119</v>
      </c>
      <c r="H6922" s="35"/>
      <c r="P6922" s="6"/>
    </row>
    <row r="6923" spans="1:16" ht="14.4" x14ac:dyDescent="0.25">
      <c r="A6923" s="6">
        <v>3637</v>
      </c>
      <c r="B6923" s="6">
        <v>25986</v>
      </c>
      <c r="C6923" s="19">
        <v>41082</v>
      </c>
      <c r="D6923" s="6" t="s">
        <v>16</v>
      </c>
      <c r="E6923" s="6">
        <f>IF((ISBLANK($B$1)),"",Sheet1!Q6935)</f>
        <v>5800</v>
      </c>
      <c r="F6923" s="20" t="s">
        <v>26</v>
      </c>
      <c r="G6923" s="53">
        <f t="shared" si="109"/>
        <v>1.5483606231087981</v>
      </c>
      <c r="H6923" s="35"/>
      <c r="P6923" s="6"/>
    </row>
    <row r="6924" spans="1:16" ht="14.4" x14ac:dyDescent="0.25">
      <c r="A6924" s="6">
        <v>3640</v>
      </c>
      <c r="B6924" s="6">
        <v>26021</v>
      </c>
      <c r="C6924" s="19">
        <v>41166</v>
      </c>
      <c r="D6924" s="6" t="s">
        <v>30</v>
      </c>
      <c r="E6924" s="6">
        <f>IF((ISBLANK($B$1)),"",Sheet1!Q6936)</f>
        <v>4250</v>
      </c>
      <c r="F6924" s="20" t="s">
        <v>27</v>
      </c>
      <c r="G6924" s="53">
        <f t="shared" si="109"/>
        <v>-0.59211849959099416</v>
      </c>
      <c r="H6924" s="35"/>
      <c r="P6924" s="6"/>
    </row>
    <row r="6925" spans="1:16" ht="14.4" x14ac:dyDescent="0.25">
      <c r="A6925" s="6">
        <v>3647</v>
      </c>
      <c r="B6925" s="6">
        <v>26055</v>
      </c>
      <c r="C6925" s="19">
        <v>41238</v>
      </c>
      <c r="D6925" s="6" t="s">
        <v>28</v>
      </c>
      <c r="E6925" s="6">
        <f>IF((ISBLANK($B$1)),"",Sheet1!Q6937)</f>
        <v>5700</v>
      </c>
      <c r="F6925" s="20" t="s">
        <v>27</v>
      </c>
      <c r="G6925" s="53">
        <f t="shared" si="109"/>
        <v>1.4102651958378438</v>
      </c>
      <c r="H6925" s="35"/>
      <c r="P6925" s="6"/>
    </row>
    <row r="6926" spans="1:16" ht="14.4" x14ac:dyDescent="0.25">
      <c r="A6926" s="6">
        <v>3667</v>
      </c>
      <c r="B6926" s="6">
        <v>26274</v>
      </c>
      <c r="C6926" s="19">
        <v>41072</v>
      </c>
      <c r="D6926" s="6" t="s">
        <v>28</v>
      </c>
      <c r="E6926" s="6">
        <f>IF((ISBLANK($B$1)),"",Sheet1!Q6938)</f>
        <v>5450</v>
      </c>
      <c r="F6926" s="20" t="s">
        <v>26</v>
      </c>
      <c r="G6926" s="53">
        <f t="shared" si="109"/>
        <v>1.0650266276604579</v>
      </c>
      <c r="H6926" s="35"/>
      <c r="P6926" s="6"/>
    </row>
    <row r="6927" spans="1:16" ht="14.4" x14ac:dyDescent="0.25">
      <c r="A6927" s="6">
        <v>3675</v>
      </c>
      <c r="B6927" s="6">
        <v>26306</v>
      </c>
      <c r="C6927" s="19">
        <v>41212</v>
      </c>
      <c r="D6927" s="6" t="s">
        <v>25</v>
      </c>
      <c r="E6927" s="6">
        <f>IF((ISBLANK($B$1)),"",Sheet1!Q6939)</f>
        <v>5350</v>
      </c>
      <c r="F6927" s="20" t="s">
        <v>29</v>
      </c>
      <c r="G6927" s="53">
        <f t="shared" si="109"/>
        <v>0.92693120038950361</v>
      </c>
      <c r="H6927" s="35"/>
      <c r="P6927" s="6"/>
    </row>
    <row r="6928" spans="1:16" ht="14.4" x14ac:dyDescent="0.25">
      <c r="A6928" s="6">
        <v>3700</v>
      </c>
      <c r="B6928" s="6">
        <v>26437</v>
      </c>
      <c r="C6928" s="19">
        <v>40875</v>
      </c>
      <c r="D6928" s="6" t="s">
        <v>30</v>
      </c>
      <c r="E6928" s="6">
        <f>IF((ISBLANK($B$1)),"",Sheet1!Q6940)</f>
        <v>3600</v>
      </c>
      <c r="F6928" s="20" t="s">
        <v>29</v>
      </c>
      <c r="G6928" s="53">
        <f t="shared" si="109"/>
        <v>-1.4897387768521975</v>
      </c>
      <c r="H6928" s="35"/>
      <c r="P6928" s="6"/>
    </row>
    <row r="6929" spans="1:16" ht="14.4" x14ac:dyDescent="0.25">
      <c r="A6929" s="6">
        <v>3701</v>
      </c>
      <c r="B6929" s="6">
        <v>26437</v>
      </c>
      <c r="C6929" s="19">
        <v>40875</v>
      </c>
      <c r="D6929" s="6" t="s">
        <v>30</v>
      </c>
      <c r="E6929" s="6">
        <f>IF((ISBLANK($B$1)),"",Sheet1!Q6941)</f>
        <v>5800</v>
      </c>
      <c r="F6929" s="20" t="s">
        <v>26</v>
      </c>
      <c r="G6929" s="53">
        <f t="shared" si="109"/>
        <v>1.5483606231087981</v>
      </c>
      <c r="H6929" s="35"/>
      <c r="P6929" s="6"/>
    </row>
    <row r="6930" spans="1:16" ht="14.4" x14ac:dyDescent="0.25">
      <c r="A6930" s="6">
        <v>3705</v>
      </c>
      <c r="B6930" s="6">
        <v>26464</v>
      </c>
      <c r="C6930" s="19">
        <v>40888</v>
      </c>
      <c r="D6930" s="6" t="s">
        <v>17</v>
      </c>
      <c r="E6930" s="6">
        <f>IF((ISBLANK($B$1)),"",Sheet1!Q6942)</f>
        <v>4650</v>
      </c>
      <c r="F6930" s="20" t="s">
        <v>26</v>
      </c>
      <c r="G6930" s="53">
        <f t="shared" si="109"/>
        <v>-3.9736790507176829E-2</v>
      </c>
      <c r="H6930" s="35"/>
      <c r="P6930" s="6"/>
    </row>
    <row r="6931" spans="1:16" ht="14.4" x14ac:dyDescent="0.25">
      <c r="A6931" s="6">
        <v>3706</v>
      </c>
      <c r="B6931" s="6">
        <v>26464</v>
      </c>
      <c r="C6931" s="19">
        <v>40888</v>
      </c>
      <c r="D6931" s="6" t="s">
        <v>17</v>
      </c>
      <c r="E6931" s="6">
        <f>IF((ISBLANK($B$1)),"",Sheet1!Q6943)</f>
        <v>4700</v>
      </c>
      <c r="F6931" s="20" t="s">
        <v>29</v>
      </c>
      <c r="G6931" s="53">
        <f t="shared" si="109"/>
        <v>2.9310923128300338E-2</v>
      </c>
      <c r="H6931" s="35"/>
      <c r="P6931" s="6"/>
    </row>
    <row r="6932" spans="1:16" ht="14.4" x14ac:dyDescent="0.25">
      <c r="A6932" s="6">
        <v>3727</v>
      </c>
      <c r="B6932" s="6">
        <v>26631</v>
      </c>
      <c r="C6932" s="19">
        <v>40483</v>
      </c>
      <c r="D6932" s="6" t="s">
        <v>30</v>
      </c>
      <c r="E6932" s="6">
        <f>IF((ISBLANK($B$1)),"",Sheet1!Q6944)</f>
        <v>5250</v>
      </c>
      <c r="F6932" s="20" t="s">
        <v>26</v>
      </c>
      <c r="G6932" s="53">
        <f t="shared" si="109"/>
        <v>0.78883577311854924</v>
      </c>
      <c r="H6932" s="35"/>
      <c r="P6932" s="6"/>
    </row>
    <row r="6933" spans="1:16" ht="14.4" x14ac:dyDescent="0.25">
      <c r="A6933" s="6">
        <v>3734</v>
      </c>
      <c r="B6933" s="6">
        <v>26689</v>
      </c>
      <c r="C6933" s="19">
        <v>40085</v>
      </c>
      <c r="D6933" s="6" t="s">
        <v>17</v>
      </c>
      <c r="E6933" s="6">
        <f>IF((ISBLANK($B$1)),"",Sheet1!Q6945)</f>
        <v>3500</v>
      </c>
      <c r="F6933" s="20" t="s">
        <v>29</v>
      </c>
      <c r="G6933" s="53">
        <f t="shared" si="109"/>
        <v>-1.6278342041231517</v>
      </c>
      <c r="H6933" s="35"/>
      <c r="P6933" s="6"/>
    </row>
    <row r="6934" spans="1:16" ht="14.4" x14ac:dyDescent="0.25">
      <c r="A6934" s="6">
        <v>3751</v>
      </c>
      <c r="B6934" s="6">
        <v>26786</v>
      </c>
      <c r="C6934" s="19">
        <v>40275</v>
      </c>
      <c r="D6934" s="6" t="s">
        <v>16</v>
      </c>
      <c r="E6934" s="6">
        <f>IF((ISBLANK($B$1)),"",Sheet1!Q6946)</f>
        <v>4850</v>
      </c>
      <c r="F6934" s="20" t="s">
        <v>26</v>
      </c>
      <c r="G6934" s="53">
        <f t="shared" si="109"/>
        <v>0.23645406403473185</v>
      </c>
      <c r="H6934" s="35"/>
      <c r="P6934" s="6"/>
    </row>
    <row r="6935" spans="1:16" ht="14.4" x14ac:dyDescent="0.25">
      <c r="A6935" s="6">
        <v>3778</v>
      </c>
      <c r="B6935" s="6">
        <v>26976</v>
      </c>
      <c r="C6935" s="19">
        <v>40683</v>
      </c>
      <c r="D6935" s="6" t="s">
        <v>28</v>
      </c>
      <c r="E6935" s="6">
        <f>IF((ISBLANK($B$1)),"",Sheet1!Q6947)</f>
        <v>5600</v>
      </c>
      <c r="F6935" s="20" t="s">
        <v>26</v>
      </c>
      <c r="G6935" s="53">
        <f t="shared" si="109"/>
        <v>1.2721697685668893</v>
      </c>
      <c r="H6935" s="35"/>
      <c r="P6935" s="6"/>
    </row>
    <row r="6936" spans="1:16" ht="14.4" x14ac:dyDescent="0.25">
      <c r="A6936" s="6">
        <v>3779</v>
      </c>
      <c r="B6936" s="6">
        <v>26976</v>
      </c>
      <c r="C6936" s="19">
        <v>40683</v>
      </c>
      <c r="D6936" s="6" t="s">
        <v>28</v>
      </c>
      <c r="E6936" s="6">
        <f>IF((ISBLANK($B$1)),"",Sheet1!Q6948)</f>
        <v>4800</v>
      </c>
      <c r="F6936" s="20" t="s">
        <v>29</v>
      </c>
      <c r="G6936" s="53">
        <f t="shared" si="109"/>
        <v>0.16740635039925467</v>
      </c>
      <c r="H6936" s="35"/>
      <c r="P6936" s="6"/>
    </row>
    <row r="6937" spans="1:16" ht="14.4" x14ac:dyDescent="0.25">
      <c r="A6937" s="6">
        <v>3780</v>
      </c>
      <c r="B6937" s="6">
        <v>26976</v>
      </c>
      <c r="C6937" s="19">
        <v>40683</v>
      </c>
      <c r="D6937" s="6" t="s">
        <v>28</v>
      </c>
      <c r="E6937" s="6">
        <f>IF((ISBLANK($B$1)),"",Sheet1!Q6949)</f>
        <v>3950</v>
      </c>
      <c r="F6937" s="20" t="s">
        <v>27</v>
      </c>
      <c r="G6937" s="53">
        <f t="shared" si="109"/>
        <v>-1.0064047814038573</v>
      </c>
      <c r="H6937" s="35"/>
      <c r="P6937" s="6"/>
    </row>
    <row r="6938" spans="1:16" ht="14.4" x14ac:dyDescent="0.25">
      <c r="A6938" s="6">
        <v>3814</v>
      </c>
      <c r="B6938" s="6">
        <v>27169</v>
      </c>
      <c r="C6938" s="19">
        <v>40797</v>
      </c>
      <c r="D6938" s="6" t="s">
        <v>28</v>
      </c>
      <c r="E6938" s="6">
        <f>IF((ISBLANK($B$1)),"",Sheet1!Q6950)</f>
        <v>4200</v>
      </c>
      <c r="F6938" s="20" t="s">
        <v>26</v>
      </c>
      <c r="G6938" s="53">
        <f t="shared" si="109"/>
        <v>-0.6611662132264714</v>
      </c>
      <c r="H6938" s="35"/>
      <c r="P6938" s="6"/>
    </row>
    <row r="6939" spans="1:16" ht="14.4" x14ac:dyDescent="0.25">
      <c r="A6939" s="6">
        <v>3837</v>
      </c>
      <c r="B6939" s="6">
        <v>27363</v>
      </c>
      <c r="C6939" s="19">
        <v>40834</v>
      </c>
      <c r="D6939" s="6" t="s">
        <v>16</v>
      </c>
      <c r="E6939" s="6">
        <f>IF((ISBLANK($B$1)),"",Sheet1!Q6951)</f>
        <v>3700</v>
      </c>
      <c r="F6939" s="20" t="s">
        <v>26</v>
      </c>
      <c r="G6939" s="53">
        <f t="shared" si="109"/>
        <v>-1.351643349581243</v>
      </c>
      <c r="H6939" s="35"/>
      <c r="P6939" s="6"/>
    </row>
    <row r="6940" spans="1:16" ht="14.4" x14ac:dyDescent="0.25">
      <c r="A6940" s="6">
        <v>3858</v>
      </c>
      <c r="B6940" s="6">
        <v>27524</v>
      </c>
      <c r="C6940" s="19">
        <v>40210</v>
      </c>
      <c r="D6940" s="6" t="s">
        <v>28</v>
      </c>
      <c r="E6940" s="6">
        <f>IF((ISBLANK($B$1)),"",Sheet1!Q6952)</f>
        <v>5900</v>
      </c>
      <c r="F6940" s="20" t="s">
        <v>26</v>
      </c>
      <c r="G6940" s="53">
        <f t="shared" si="109"/>
        <v>1.6864560503797523</v>
      </c>
      <c r="H6940" s="35"/>
      <c r="P6940" s="6"/>
    </row>
    <row r="6941" spans="1:16" ht="14.4" x14ac:dyDescent="0.25">
      <c r="A6941" s="6">
        <v>3862</v>
      </c>
      <c r="B6941" s="6">
        <v>27554</v>
      </c>
      <c r="C6941" s="19">
        <v>40612</v>
      </c>
      <c r="D6941" s="6" t="s">
        <v>30</v>
      </c>
      <c r="E6941" s="6">
        <f>IF((ISBLANK($B$1)),"",Sheet1!Q6953)</f>
        <v>5650</v>
      </c>
      <c r="F6941" s="20" t="s">
        <v>29</v>
      </c>
      <c r="G6941" s="53">
        <f t="shared" si="109"/>
        <v>1.3412174822023666</v>
      </c>
      <c r="H6941" s="35"/>
      <c r="P6941" s="6"/>
    </row>
    <row r="6942" spans="1:16" ht="14.4" x14ac:dyDescent="0.25">
      <c r="A6942" s="6">
        <v>3879</v>
      </c>
      <c r="B6942" s="6">
        <v>27712</v>
      </c>
      <c r="C6942" s="19">
        <v>40241</v>
      </c>
      <c r="D6942" s="6" t="s">
        <v>25</v>
      </c>
      <c r="E6942" s="6">
        <f>IF((ISBLANK($B$1)),"",Sheet1!Q6954)</f>
        <v>4400</v>
      </c>
      <c r="F6942" s="20" t="s">
        <v>26</v>
      </c>
      <c r="G6942" s="53">
        <f t="shared" si="109"/>
        <v>-0.38497535868456267</v>
      </c>
      <c r="H6942" s="35"/>
      <c r="P6942" s="6"/>
    </row>
    <row r="6943" spans="1:16" ht="14.4" x14ac:dyDescent="0.25">
      <c r="A6943" s="6">
        <v>3880</v>
      </c>
      <c r="B6943" s="6">
        <v>27715</v>
      </c>
      <c r="C6943" s="19">
        <v>40805</v>
      </c>
      <c r="D6943" s="6" t="s">
        <v>17</v>
      </c>
      <c r="E6943" s="6">
        <f>IF((ISBLANK($B$1)),"",Sheet1!Q6955)</f>
        <v>4000</v>
      </c>
      <c r="F6943" s="20" t="s">
        <v>26</v>
      </c>
      <c r="G6943" s="53">
        <f t="shared" si="109"/>
        <v>-0.93735706776838001</v>
      </c>
      <c r="H6943" s="35"/>
      <c r="P6943" s="6"/>
    </row>
    <row r="6944" spans="1:16" ht="14.4" x14ac:dyDescent="0.25">
      <c r="A6944" s="6">
        <v>3882</v>
      </c>
      <c r="B6944" s="6">
        <v>27744</v>
      </c>
      <c r="C6944" s="19">
        <v>40393</v>
      </c>
      <c r="D6944" s="6" t="s">
        <v>30</v>
      </c>
      <c r="E6944" s="6">
        <f>IF((ISBLANK($B$1)),"",Sheet1!Q6956)</f>
        <v>4500</v>
      </c>
      <c r="F6944" s="20" t="s">
        <v>26</v>
      </c>
      <c r="G6944" s="53">
        <f t="shared" si="109"/>
        <v>-0.24687993141360834</v>
      </c>
      <c r="H6944" s="35"/>
      <c r="P6944" s="6"/>
    </row>
    <row r="6945" spans="1:16" ht="14.4" x14ac:dyDescent="0.25">
      <c r="A6945" s="6">
        <v>3883</v>
      </c>
      <c r="B6945" s="6">
        <v>27745</v>
      </c>
      <c r="C6945" s="19">
        <v>40441</v>
      </c>
      <c r="D6945" s="6" t="s">
        <v>25</v>
      </c>
      <c r="E6945" s="6">
        <f>IF((ISBLANK($B$1)),"",Sheet1!Q6957)</f>
        <v>5450</v>
      </c>
      <c r="F6945" s="20" t="s">
        <v>29</v>
      </c>
      <c r="G6945" s="53">
        <f t="shared" si="109"/>
        <v>1.0650266276604579</v>
      </c>
      <c r="H6945" s="35"/>
      <c r="P6945" s="6"/>
    </row>
    <row r="6946" spans="1:16" ht="14.4" x14ac:dyDescent="0.25">
      <c r="A6946" s="6">
        <v>3917</v>
      </c>
      <c r="B6946" s="6">
        <v>27936</v>
      </c>
      <c r="C6946" s="19">
        <v>40731</v>
      </c>
      <c r="D6946" s="6" t="s">
        <v>17</v>
      </c>
      <c r="E6946" s="6">
        <f>IF((ISBLANK($B$1)),"",Sheet1!Q6958)</f>
        <v>3550</v>
      </c>
      <c r="F6946" s="20" t="s">
        <v>27</v>
      </c>
      <c r="G6946" s="53">
        <f t="shared" si="109"/>
        <v>-1.5587864904876745</v>
      </c>
      <c r="H6946" s="35"/>
      <c r="P6946" s="6"/>
    </row>
    <row r="6947" spans="1:16" ht="14.4" x14ac:dyDescent="0.25">
      <c r="A6947" s="6">
        <v>3930</v>
      </c>
      <c r="B6947" s="6">
        <v>28007</v>
      </c>
      <c r="C6947" s="19">
        <v>40276</v>
      </c>
      <c r="D6947" s="6" t="s">
        <v>28</v>
      </c>
      <c r="E6947" s="6">
        <f>IF((ISBLANK($B$1)),"",Sheet1!Q6959)</f>
        <v>4550</v>
      </c>
      <c r="F6947" s="20" t="s">
        <v>26</v>
      </c>
      <c r="G6947" s="53">
        <f t="shared" si="109"/>
        <v>-0.17783221777813119</v>
      </c>
      <c r="H6947" s="35"/>
      <c r="P6947" s="6"/>
    </row>
    <row r="6948" spans="1:16" ht="14.4" x14ac:dyDescent="0.25">
      <c r="A6948" s="6">
        <v>3931</v>
      </c>
      <c r="B6948" s="6">
        <v>28007</v>
      </c>
      <c r="C6948" s="19">
        <v>40276</v>
      </c>
      <c r="D6948" s="6" t="s">
        <v>28</v>
      </c>
      <c r="E6948" s="6">
        <f>IF((ISBLANK($B$1)),"",Sheet1!Q6960)</f>
        <v>4400</v>
      </c>
      <c r="F6948" s="20" t="s">
        <v>26</v>
      </c>
      <c r="G6948" s="53">
        <f t="shared" si="109"/>
        <v>-0.38497535868456267</v>
      </c>
      <c r="H6948" s="35"/>
      <c r="P6948" s="6"/>
    </row>
    <row r="6949" spans="1:16" ht="14.4" x14ac:dyDescent="0.25">
      <c r="A6949" s="6">
        <v>3932</v>
      </c>
      <c r="B6949" s="6">
        <v>28007</v>
      </c>
      <c r="C6949" s="19">
        <v>40276</v>
      </c>
      <c r="D6949" s="6" t="s">
        <v>28</v>
      </c>
      <c r="E6949" s="6">
        <f>IF((ISBLANK($B$1)),"",Sheet1!Q6961)</f>
        <v>4400</v>
      </c>
      <c r="F6949" s="20" t="s">
        <v>26</v>
      </c>
      <c r="G6949" s="53">
        <f t="shared" si="109"/>
        <v>-0.38497535868456267</v>
      </c>
      <c r="H6949" s="35"/>
      <c r="P6949" s="6"/>
    </row>
    <row r="6950" spans="1:16" ht="14.4" x14ac:dyDescent="0.25">
      <c r="A6950" s="6">
        <v>3944</v>
      </c>
      <c r="B6950" s="6">
        <v>28129</v>
      </c>
      <c r="C6950" s="19">
        <v>40934</v>
      </c>
      <c r="D6950" s="6" t="s">
        <v>16</v>
      </c>
      <c r="E6950" s="6">
        <f>IF((ISBLANK($B$1)),"",Sheet1!Q6962)</f>
        <v>3650</v>
      </c>
      <c r="F6950" s="20" t="s">
        <v>26</v>
      </c>
      <c r="G6950" s="53">
        <f t="shared" si="109"/>
        <v>-1.4206910632167202</v>
      </c>
      <c r="H6950" s="35"/>
      <c r="P6950" s="6"/>
    </row>
    <row r="6951" spans="1:16" ht="14.4" x14ac:dyDescent="0.25">
      <c r="A6951" s="6">
        <v>3954</v>
      </c>
      <c r="B6951" s="6">
        <v>28224</v>
      </c>
      <c r="C6951" s="19">
        <v>41262</v>
      </c>
      <c r="D6951" s="6" t="s">
        <v>30</v>
      </c>
      <c r="E6951" s="6">
        <f>IF((ISBLANK($B$1)),"",Sheet1!Q6963)</f>
        <v>4650</v>
      </c>
      <c r="F6951" s="20" t="s">
        <v>26</v>
      </c>
      <c r="G6951" s="53">
        <f t="shared" si="109"/>
        <v>-3.9736790507176829E-2</v>
      </c>
      <c r="H6951" s="35"/>
      <c r="P6951" s="6"/>
    </row>
    <row r="6952" spans="1:16" ht="14.4" x14ac:dyDescent="0.25">
      <c r="A6952" s="6">
        <v>3970</v>
      </c>
      <c r="B6952" s="6">
        <v>28354</v>
      </c>
      <c r="C6952" s="19">
        <v>39899</v>
      </c>
      <c r="D6952" s="6" t="s">
        <v>25</v>
      </c>
      <c r="E6952" s="6">
        <f>IF((ISBLANK($B$1)),"",Sheet1!Q6964)</f>
        <v>5100</v>
      </c>
      <c r="F6952" s="20" t="s">
        <v>27</v>
      </c>
      <c r="G6952" s="53">
        <f t="shared" si="109"/>
        <v>0.58169263221211776</v>
      </c>
      <c r="H6952" s="35"/>
      <c r="P6952" s="6"/>
    </row>
    <row r="6953" spans="1:16" ht="14.4" x14ac:dyDescent="0.25">
      <c r="A6953" s="6">
        <v>3973</v>
      </c>
      <c r="B6953" s="6">
        <v>28387</v>
      </c>
      <c r="C6953" s="19">
        <v>41089</v>
      </c>
      <c r="D6953" s="6" t="s">
        <v>28</v>
      </c>
      <c r="E6953" s="6">
        <f>IF((ISBLANK($B$1)),"",Sheet1!Q6965)</f>
        <v>5250</v>
      </c>
      <c r="F6953" s="20" t="s">
        <v>26</v>
      </c>
      <c r="G6953" s="53">
        <f t="shared" si="109"/>
        <v>0.78883577311854924</v>
      </c>
      <c r="H6953" s="35"/>
      <c r="P6953" s="6"/>
    </row>
    <row r="6954" spans="1:16" ht="14.4" x14ac:dyDescent="0.25">
      <c r="A6954" s="6">
        <v>3974</v>
      </c>
      <c r="B6954" s="6">
        <v>28387</v>
      </c>
      <c r="C6954" s="19">
        <v>41089</v>
      </c>
      <c r="D6954" s="6" t="s">
        <v>28</v>
      </c>
      <c r="E6954" s="6">
        <f>IF((ISBLANK($B$1)),"",Sheet1!Q6966)</f>
        <v>4050</v>
      </c>
      <c r="F6954" s="20" t="s">
        <v>26</v>
      </c>
      <c r="G6954" s="53">
        <f t="shared" si="109"/>
        <v>-0.86830935413290289</v>
      </c>
      <c r="H6954" s="35"/>
      <c r="P6954" s="6"/>
    </row>
    <row r="6955" spans="1:16" ht="14.4" x14ac:dyDescent="0.25">
      <c r="A6955" s="6">
        <v>3991</v>
      </c>
      <c r="B6955" s="6">
        <v>28485</v>
      </c>
      <c r="C6955" s="19">
        <v>40920</v>
      </c>
      <c r="D6955" s="6" t="s">
        <v>17</v>
      </c>
      <c r="E6955" s="6">
        <f>IF((ISBLANK($B$1)),"",Sheet1!Q6967)</f>
        <v>4000</v>
      </c>
      <c r="F6955" s="20" t="s">
        <v>26</v>
      </c>
      <c r="G6955" s="53">
        <f t="shared" si="109"/>
        <v>-0.93735706776838001</v>
      </c>
      <c r="H6955" s="35"/>
      <c r="P6955" s="6"/>
    </row>
    <row r="6956" spans="1:16" ht="14.4" x14ac:dyDescent="0.25">
      <c r="A6956" s="6">
        <v>4014</v>
      </c>
      <c r="B6956" s="6">
        <v>28643</v>
      </c>
      <c r="C6956" s="19">
        <v>40295</v>
      </c>
      <c r="D6956" s="6" t="s">
        <v>28</v>
      </c>
      <c r="E6956" s="6">
        <f>IF((ISBLANK($B$1)),"",Sheet1!Q6968)</f>
        <v>4200</v>
      </c>
      <c r="F6956" s="20" t="s">
        <v>26</v>
      </c>
      <c r="G6956" s="53">
        <f t="shared" si="109"/>
        <v>-0.6611662132264714</v>
      </c>
      <c r="H6956" s="35"/>
      <c r="P6956" s="6"/>
    </row>
    <row r="6957" spans="1:16" ht="14.4" x14ac:dyDescent="0.25">
      <c r="A6957" s="6">
        <v>4019</v>
      </c>
      <c r="B6957" s="6">
        <v>28737</v>
      </c>
      <c r="C6957" s="19">
        <v>40819</v>
      </c>
      <c r="D6957" s="6" t="s">
        <v>30</v>
      </c>
      <c r="E6957" s="6">
        <f>IF((ISBLANK($B$1)),"",Sheet1!Q6969)</f>
        <v>5900</v>
      </c>
      <c r="F6957" s="20" t="s">
        <v>26</v>
      </c>
      <c r="G6957" s="53">
        <f t="shared" si="109"/>
        <v>1.6864560503797523</v>
      </c>
      <c r="H6957" s="35"/>
      <c r="P6957" s="6"/>
    </row>
    <row r="6958" spans="1:16" ht="14.4" x14ac:dyDescent="0.25">
      <c r="A6958" s="6">
        <v>4020</v>
      </c>
      <c r="B6958" s="6">
        <v>28737</v>
      </c>
      <c r="C6958" s="19">
        <v>40819</v>
      </c>
      <c r="D6958" s="6" t="s">
        <v>30</v>
      </c>
      <c r="E6958" s="6">
        <f>IF((ISBLANK($B$1)),"",Sheet1!Q6970)</f>
        <v>4250</v>
      </c>
      <c r="F6958" s="20" t="s">
        <v>27</v>
      </c>
      <c r="G6958" s="53">
        <f t="shared" si="109"/>
        <v>-0.59211849959099416</v>
      </c>
      <c r="H6958" s="35"/>
      <c r="P6958" s="6"/>
    </row>
    <row r="6959" spans="1:16" ht="14.4" x14ac:dyDescent="0.25">
      <c r="A6959" s="6">
        <v>4038</v>
      </c>
      <c r="B6959" s="6">
        <v>28807</v>
      </c>
      <c r="C6959" s="19">
        <v>40633</v>
      </c>
      <c r="D6959" s="6" t="s">
        <v>17</v>
      </c>
      <c r="E6959" s="6">
        <f>IF((ISBLANK($B$1)),"",Sheet1!Q6971)</f>
        <v>3850</v>
      </c>
      <c r="F6959" s="20" t="s">
        <v>26</v>
      </c>
      <c r="G6959" s="53">
        <f t="shared" si="109"/>
        <v>-1.1445002086748115</v>
      </c>
      <c r="H6959" s="35"/>
      <c r="P6959" s="6"/>
    </row>
    <row r="6960" spans="1:16" ht="14.4" x14ac:dyDescent="0.25">
      <c r="A6960" s="6">
        <v>4039</v>
      </c>
      <c r="B6960" s="6">
        <v>28832</v>
      </c>
      <c r="C6960" s="19">
        <v>40445</v>
      </c>
      <c r="D6960" s="6" t="s">
        <v>16</v>
      </c>
      <c r="E6960" s="6">
        <f>IF((ISBLANK($B$1)),"",Sheet1!Q6972)</f>
        <v>5700</v>
      </c>
      <c r="F6960" s="20" t="s">
        <v>26</v>
      </c>
      <c r="G6960" s="53">
        <f t="shared" si="109"/>
        <v>1.4102651958378438</v>
      </c>
      <c r="H6960" s="35"/>
      <c r="P6960" s="6"/>
    </row>
    <row r="6961" spans="1:16" ht="14.4" x14ac:dyDescent="0.25">
      <c r="A6961" s="6">
        <v>4040</v>
      </c>
      <c r="B6961" s="6">
        <v>28832</v>
      </c>
      <c r="C6961" s="19">
        <v>40445</v>
      </c>
      <c r="D6961" s="6" t="s">
        <v>16</v>
      </c>
      <c r="E6961" s="6">
        <f>IF((ISBLANK($B$1)),"",Sheet1!Q6973)</f>
        <v>5650</v>
      </c>
      <c r="F6961" s="20" t="s">
        <v>26</v>
      </c>
      <c r="G6961" s="53">
        <f t="shared" si="109"/>
        <v>1.3412174822023666</v>
      </c>
      <c r="H6961" s="35"/>
      <c r="P6961" s="6"/>
    </row>
    <row r="6962" spans="1:16" ht="14.4" x14ac:dyDescent="0.25">
      <c r="A6962" s="6">
        <v>4064</v>
      </c>
      <c r="B6962" s="6">
        <v>28933</v>
      </c>
      <c r="C6962" s="19">
        <v>40003</v>
      </c>
      <c r="D6962" s="6" t="s">
        <v>30</v>
      </c>
      <c r="E6962" s="6">
        <f>IF((ISBLANK($B$1)),"",Sheet1!Q6974)</f>
        <v>3450</v>
      </c>
      <c r="F6962" s="20" t="s">
        <v>26</v>
      </c>
      <c r="G6962" s="53">
        <f t="shared" si="109"/>
        <v>-1.696881917758629</v>
      </c>
      <c r="H6962" s="35"/>
      <c r="P6962" s="6"/>
    </row>
    <row r="6963" spans="1:16" ht="14.4" x14ac:dyDescent="0.25">
      <c r="A6963" s="6">
        <v>4065</v>
      </c>
      <c r="B6963" s="6">
        <v>28933</v>
      </c>
      <c r="C6963" s="19">
        <v>40003</v>
      </c>
      <c r="D6963" s="6" t="s">
        <v>30</v>
      </c>
      <c r="E6963" s="6">
        <f>IF((ISBLANK($B$1)),"",Sheet1!Q6975)</f>
        <v>5300</v>
      </c>
      <c r="F6963" s="20" t="s">
        <v>26</v>
      </c>
      <c r="G6963" s="53">
        <f t="shared" si="109"/>
        <v>0.85788348675402637</v>
      </c>
      <c r="H6963" s="35"/>
      <c r="P6963" s="6"/>
    </row>
    <row r="6964" spans="1:16" ht="14.4" x14ac:dyDescent="0.25">
      <c r="A6964" s="6">
        <v>4080</v>
      </c>
      <c r="B6964" s="6">
        <v>29090</v>
      </c>
      <c r="C6964" s="19">
        <v>40924</v>
      </c>
      <c r="D6964" s="6" t="s">
        <v>16</v>
      </c>
      <c r="E6964" s="6">
        <f>IF((ISBLANK($B$1)),"",Sheet1!Q6976)</f>
        <v>4600</v>
      </c>
      <c r="F6964" s="20" t="s">
        <v>26</v>
      </c>
      <c r="G6964" s="53">
        <f t="shared" si="109"/>
        <v>-0.108784504142654</v>
      </c>
      <c r="H6964" s="35"/>
      <c r="P6964" s="6"/>
    </row>
    <row r="6965" spans="1:16" ht="14.4" x14ac:dyDescent="0.25">
      <c r="A6965" s="6">
        <v>4081</v>
      </c>
      <c r="B6965" s="6">
        <v>29090</v>
      </c>
      <c r="C6965" s="19">
        <v>40924</v>
      </c>
      <c r="D6965" s="6" t="s">
        <v>16</v>
      </c>
      <c r="E6965" s="6">
        <f>IF((ISBLANK($B$1)),"",Sheet1!Q6977)</f>
        <v>5200</v>
      </c>
      <c r="F6965" s="20" t="s">
        <v>26</v>
      </c>
      <c r="G6965" s="53">
        <f t="shared" si="109"/>
        <v>0.71978805948307201</v>
      </c>
      <c r="H6965" s="35"/>
      <c r="P6965" s="6"/>
    </row>
    <row r="6966" spans="1:16" ht="14.4" x14ac:dyDescent="0.25">
      <c r="A6966" s="6">
        <v>4107</v>
      </c>
      <c r="B6966" s="6">
        <v>29221</v>
      </c>
      <c r="C6966" s="19">
        <v>41058</v>
      </c>
      <c r="D6966" s="6" t="s">
        <v>17</v>
      </c>
      <c r="E6966" s="6">
        <f>IF((ISBLANK($B$1)),"",Sheet1!Q6978)</f>
        <v>5450</v>
      </c>
      <c r="F6966" s="20" t="s">
        <v>26</v>
      </c>
      <c r="G6966" s="53">
        <f t="shared" si="109"/>
        <v>1.0650266276604579</v>
      </c>
      <c r="H6966" s="35"/>
      <c r="P6966" s="6"/>
    </row>
    <row r="6967" spans="1:16" ht="14.4" x14ac:dyDescent="0.25">
      <c r="A6967" s="6">
        <v>4116</v>
      </c>
      <c r="B6967" s="6">
        <v>29284</v>
      </c>
      <c r="C6967" s="19">
        <v>39913</v>
      </c>
      <c r="D6967" s="6" t="s">
        <v>16</v>
      </c>
      <c r="E6967" s="6">
        <f>IF((ISBLANK($B$1)),"",Sheet1!Q6979)</f>
        <v>4400</v>
      </c>
      <c r="F6967" s="20" t="s">
        <v>29</v>
      </c>
      <c r="G6967" s="53">
        <f t="shared" si="109"/>
        <v>-0.38497535868456267</v>
      </c>
      <c r="H6967" s="35"/>
      <c r="P6967" s="6"/>
    </row>
    <row r="6968" spans="1:16" ht="14.4" x14ac:dyDescent="0.25">
      <c r="A6968" s="6">
        <v>4159</v>
      </c>
      <c r="B6968" s="6">
        <v>29505</v>
      </c>
      <c r="C6968" s="19">
        <v>41270</v>
      </c>
      <c r="D6968" s="6" t="s">
        <v>16</v>
      </c>
      <c r="E6968" s="6">
        <f>IF((ISBLANK($B$1)),"",Sheet1!Q6980)</f>
        <v>4500</v>
      </c>
      <c r="F6968" s="20" t="s">
        <v>26</v>
      </c>
      <c r="G6968" s="53">
        <f t="shared" si="109"/>
        <v>-0.24687993141360834</v>
      </c>
      <c r="H6968" s="35"/>
      <c r="P6968" s="6"/>
    </row>
    <row r="6969" spans="1:16" ht="14.4" x14ac:dyDescent="0.25">
      <c r="A6969" s="6">
        <v>4198</v>
      </c>
      <c r="B6969" s="6">
        <v>29831</v>
      </c>
      <c r="C6969" s="19">
        <v>40997</v>
      </c>
      <c r="D6969" s="6" t="s">
        <v>30</v>
      </c>
      <c r="E6969" s="6">
        <f>IF((ISBLANK($B$1)),"",Sheet1!Q6981)</f>
        <v>4850</v>
      </c>
      <c r="F6969" s="20" t="s">
        <v>26</v>
      </c>
      <c r="G6969" s="53">
        <f t="shared" si="109"/>
        <v>0.23645406403473185</v>
      </c>
      <c r="H6969" s="35"/>
      <c r="P6969" s="6"/>
    </row>
    <row r="6970" spans="1:16" ht="14.4" x14ac:dyDescent="0.25">
      <c r="A6970" s="6">
        <v>4309</v>
      </c>
      <c r="B6970" s="6">
        <v>30720</v>
      </c>
      <c r="C6970" s="19">
        <v>41179</v>
      </c>
      <c r="D6970" s="6" t="s">
        <v>25</v>
      </c>
      <c r="E6970" s="6">
        <f>IF((ISBLANK($B$1)),"",Sheet1!Q6982)</f>
        <v>3650</v>
      </c>
      <c r="F6970" s="20" t="s">
        <v>26</v>
      </c>
      <c r="G6970" s="53">
        <f t="shared" si="109"/>
        <v>-1.4206910632167202</v>
      </c>
      <c r="H6970" s="35"/>
      <c r="P6970" s="6"/>
    </row>
    <row r="6971" spans="1:16" ht="14.4" x14ac:dyDescent="0.25">
      <c r="A6971" s="6">
        <v>4310</v>
      </c>
      <c r="B6971" s="6">
        <v>30720</v>
      </c>
      <c r="C6971" s="19">
        <v>41179</v>
      </c>
      <c r="D6971" s="6" t="s">
        <v>25</v>
      </c>
      <c r="E6971" s="6">
        <f>IF((ISBLANK($B$1)),"",Sheet1!Q6983)</f>
        <v>5250</v>
      </c>
      <c r="F6971" s="20" t="s">
        <v>27</v>
      </c>
      <c r="G6971" s="53">
        <f t="shared" si="109"/>
        <v>0.78883577311854924</v>
      </c>
      <c r="H6971" s="35"/>
      <c r="P6971" s="6"/>
    </row>
    <row r="6972" spans="1:16" ht="14.4" x14ac:dyDescent="0.25">
      <c r="A6972" s="6">
        <v>4318</v>
      </c>
      <c r="B6972" s="6">
        <v>30759</v>
      </c>
      <c r="C6972" s="19">
        <v>39941</v>
      </c>
      <c r="D6972" s="6" t="s">
        <v>28</v>
      </c>
      <c r="E6972" s="6">
        <f>IF((ISBLANK($B$1)),"",Sheet1!Q6984)</f>
        <v>3500</v>
      </c>
      <c r="F6972" s="20" t="s">
        <v>29</v>
      </c>
      <c r="G6972" s="53">
        <f t="shared" si="109"/>
        <v>-1.6278342041231517</v>
      </c>
      <c r="H6972" s="35"/>
      <c r="P6972" s="6"/>
    </row>
    <row r="6973" spans="1:16" ht="14.4" x14ac:dyDescent="0.25">
      <c r="A6973" s="6">
        <v>4327</v>
      </c>
      <c r="B6973" s="6">
        <v>30848</v>
      </c>
      <c r="C6973" s="19">
        <v>40664</v>
      </c>
      <c r="D6973" s="6" t="s">
        <v>16</v>
      </c>
      <c r="E6973" s="6">
        <f>IF((ISBLANK($B$1)),"",Sheet1!Q6985)</f>
        <v>4050</v>
      </c>
      <c r="F6973" s="20" t="s">
        <v>29</v>
      </c>
      <c r="G6973" s="53">
        <f t="shared" si="109"/>
        <v>-0.86830935413290289</v>
      </c>
      <c r="H6973" s="35"/>
      <c r="P6973" s="6"/>
    </row>
    <row r="6974" spans="1:16" ht="14.4" x14ac:dyDescent="0.25">
      <c r="A6974" s="6">
        <v>4334</v>
      </c>
      <c r="B6974" s="6">
        <v>30885</v>
      </c>
      <c r="C6974" s="19">
        <v>40350</v>
      </c>
      <c r="D6974" s="6" t="s">
        <v>17</v>
      </c>
      <c r="E6974" s="6">
        <f>IF((ISBLANK($B$1)),"",Sheet1!Q6986)</f>
        <v>4600</v>
      </c>
      <c r="F6974" s="20" t="s">
        <v>26</v>
      </c>
      <c r="G6974" s="53">
        <f t="shared" si="109"/>
        <v>-0.108784504142654</v>
      </c>
      <c r="H6974" s="35"/>
      <c r="P6974" s="6"/>
    </row>
    <row r="6975" spans="1:16" ht="14.4" x14ac:dyDescent="0.25">
      <c r="A6975" s="6">
        <v>4336</v>
      </c>
      <c r="B6975" s="6">
        <v>30887</v>
      </c>
      <c r="C6975" s="19">
        <v>40366</v>
      </c>
      <c r="D6975" s="6" t="s">
        <v>30</v>
      </c>
      <c r="E6975" s="6">
        <f>IF((ISBLANK($B$1)),"",Sheet1!Q6987)</f>
        <v>5600</v>
      </c>
      <c r="F6975" s="20" t="s">
        <v>27</v>
      </c>
      <c r="G6975" s="53">
        <f t="shared" si="109"/>
        <v>1.2721697685668893</v>
      </c>
      <c r="H6975" s="35"/>
      <c r="P6975" s="6"/>
    </row>
    <row r="6976" spans="1:16" ht="14.4" x14ac:dyDescent="0.25">
      <c r="A6976" s="6">
        <v>4382</v>
      </c>
      <c r="B6976" s="6">
        <v>31233</v>
      </c>
      <c r="C6976" s="19">
        <v>40810</v>
      </c>
      <c r="D6976" s="6" t="s">
        <v>25</v>
      </c>
      <c r="E6976" s="6">
        <f>IF((ISBLANK($B$1)),"",Sheet1!Q6988)</f>
        <v>5450</v>
      </c>
      <c r="F6976" s="20" t="s">
        <v>27</v>
      </c>
      <c r="G6976" s="53">
        <f t="shared" si="109"/>
        <v>1.0650266276604579</v>
      </c>
      <c r="H6976" s="35"/>
      <c r="P6976" s="6"/>
    </row>
    <row r="6977" spans="1:16" ht="14.4" x14ac:dyDescent="0.25">
      <c r="A6977" s="6">
        <v>4383</v>
      </c>
      <c r="B6977" s="6">
        <v>31233</v>
      </c>
      <c r="C6977" s="19">
        <v>40810</v>
      </c>
      <c r="D6977" s="6" t="s">
        <v>25</v>
      </c>
      <c r="E6977" s="6">
        <f>IF((ISBLANK($B$1)),"",Sheet1!Q6989)</f>
        <v>3550</v>
      </c>
      <c r="F6977" s="20" t="s">
        <v>26</v>
      </c>
      <c r="G6977" s="53">
        <f t="shared" si="109"/>
        <v>-1.5587864904876745</v>
      </c>
      <c r="H6977" s="35"/>
      <c r="P6977" s="6"/>
    </row>
    <row r="6978" spans="1:16" ht="14.4" x14ac:dyDescent="0.25">
      <c r="A6978" s="6">
        <v>4384</v>
      </c>
      <c r="B6978" s="6">
        <v>31233</v>
      </c>
      <c r="C6978" s="19">
        <v>40810</v>
      </c>
      <c r="D6978" s="6" t="s">
        <v>25</v>
      </c>
      <c r="E6978" s="6">
        <f>IF((ISBLANK($B$1)),"",Sheet1!Q6990)</f>
        <v>5150</v>
      </c>
      <c r="F6978" s="20" t="s">
        <v>26</v>
      </c>
      <c r="G6978" s="53">
        <f t="shared" si="109"/>
        <v>0.65074034584759488</v>
      </c>
      <c r="H6978" s="35"/>
      <c r="P6978" s="6"/>
    </row>
    <row r="6979" spans="1:16" ht="14.4" x14ac:dyDescent="0.25">
      <c r="A6979" s="6">
        <v>4385</v>
      </c>
      <c r="B6979" s="6">
        <v>31233</v>
      </c>
      <c r="C6979" s="19">
        <v>40810</v>
      </c>
      <c r="D6979" s="6" t="s">
        <v>25</v>
      </c>
      <c r="E6979" s="6">
        <f>IF((ISBLANK($B$1)),"",Sheet1!Q6991)</f>
        <v>4350</v>
      </c>
      <c r="F6979" s="20" t="s">
        <v>29</v>
      </c>
      <c r="G6979" s="53">
        <f t="shared" si="109"/>
        <v>-0.45402307232003986</v>
      </c>
      <c r="H6979" s="35"/>
      <c r="P6979" s="6"/>
    </row>
    <row r="6980" spans="1:16" ht="14.4" x14ac:dyDescent="0.25">
      <c r="A6980" s="6">
        <v>4410</v>
      </c>
      <c r="B6980" s="6">
        <v>31461</v>
      </c>
      <c r="C6980" s="19">
        <v>40721</v>
      </c>
      <c r="D6980" s="6" t="s">
        <v>16</v>
      </c>
      <c r="E6980" s="6">
        <f>IF((ISBLANK($B$1)),"",Sheet1!Q6992)</f>
        <v>4700</v>
      </c>
      <c r="F6980" s="20" t="s">
        <v>26</v>
      </c>
      <c r="G6980" s="53">
        <f t="shared" si="109"/>
        <v>2.9310923128300338E-2</v>
      </c>
      <c r="H6980" s="35"/>
      <c r="P6980" s="6"/>
    </row>
    <row r="6981" spans="1:16" ht="14.4" x14ac:dyDescent="0.25">
      <c r="A6981" s="6">
        <v>4422</v>
      </c>
      <c r="B6981" s="6">
        <v>31524</v>
      </c>
      <c r="C6981" s="19">
        <v>40720</v>
      </c>
      <c r="D6981" s="6" t="s">
        <v>25</v>
      </c>
      <c r="E6981" s="6">
        <f>IF((ISBLANK($B$1)),"",Sheet1!Q6993)</f>
        <v>3900</v>
      </c>
      <c r="F6981" s="20" t="s">
        <v>29</v>
      </c>
      <c r="G6981" s="53">
        <f t="shared" si="109"/>
        <v>-1.0754524950393345</v>
      </c>
      <c r="H6981" s="35"/>
      <c r="P6981" s="6"/>
    </row>
    <row r="6982" spans="1:16" ht="14.4" x14ac:dyDescent="0.25">
      <c r="A6982" s="6">
        <v>4433</v>
      </c>
      <c r="B6982" s="6">
        <v>31590</v>
      </c>
      <c r="C6982" s="19">
        <v>40334</v>
      </c>
      <c r="D6982" s="6" t="s">
        <v>30</v>
      </c>
      <c r="E6982" s="6">
        <f>IF((ISBLANK($B$1)),"",Sheet1!Q6994)</f>
        <v>3650</v>
      </c>
      <c r="F6982" s="20" t="s">
        <v>27</v>
      </c>
      <c r="G6982" s="53">
        <f t="shared" si="109"/>
        <v>-1.4206910632167202</v>
      </c>
      <c r="H6982" s="35"/>
      <c r="P6982" s="6"/>
    </row>
    <row r="6983" spans="1:16" ht="14.4" x14ac:dyDescent="0.25">
      <c r="A6983" s="6">
        <v>4434</v>
      </c>
      <c r="B6983" s="6">
        <v>31590</v>
      </c>
      <c r="C6983" s="19">
        <v>40334</v>
      </c>
      <c r="D6983" s="6" t="s">
        <v>30</v>
      </c>
      <c r="E6983" s="6">
        <f>IF((ISBLANK($B$1)),"",Sheet1!Q6995)</f>
        <v>4750</v>
      </c>
      <c r="F6983" s="20" t="s">
        <v>26</v>
      </c>
      <c r="G6983" s="53">
        <f t="shared" si="109"/>
        <v>9.8358636763777513E-2</v>
      </c>
      <c r="H6983" s="35"/>
      <c r="P6983" s="6"/>
    </row>
    <row r="6984" spans="1:16" ht="14.4" x14ac:dyDescent="0.25">
      <c r="A6984" s="6">
        <v>4438</v>
      </c>
      <c r="B6984" s="6">
        <v>31619</v>
      </c>
      <c r="C6984" s="19">
        <v>40073</v>
      </c>
      <c r="D6984" s="6" t="s">
        <v>25</v>
      </c>
      <c r="E6984" s="6">
        <f>IF((ISBLANK($B$1)),"",Sheet1!Q6996)</f>
        <v>3950</v>
      </c>
      <c r="F6984" s="20" t="s">
        <v>26</v>
      </c>
      <c r="G6984" s="53">
        <f t="shared" ref="G6984:G7047" si="110">STANDARDIZE(E6984,$L$26,$L$35)</f>
        <v>-1.0064047814038573</v>
      </c>
      <c r="H6984" s="35"/>
      <c r="P6984" s="6"/>
    </row>
    <row r="6985" spans="1:16" ht="14.4" x14ac:dyDescent="0.25">
      <c r="A6985" s="6">
        <v>4439</v>
      </c>
      <c r="B6985" s="6">
        <v>31619</v>
      </c>
      <c r="C6985" s="19">
        <v>40073</v>
      </c>
      <c r="D6985" s="6" t="s">
        <v>25</v>
      </c>
      <c r="E6985" s="6">
        <f>IF((ISBLANK($B$1)),"",Sheet1!Q6997)</f>
        <v>3850</v>
      </c>
      <c r="F6985" s="20" t="s">
        <v>29</v>
      </c>
      <c r="G6985" s="53">
        <f t="shared" si="110"/>
        <v>-1.1445002086748115</v>
      </c>
      <c r="H6985" s="35"/>
      <c r="P6985" s="6"/>
    </row>
    <row r="6986" spans="1:16" ht="14.4" x14ac:dyDescent="0.25">
      <c r="A6986" s="6">
        <v>4450</v>
      </c>
      <c r="B6986" s="6">
        <v>31715</v>
      </c>
      <c r="C6986" s="19">
        <v>39822</v>
      </c>
      <c r="D6986" s="6" t="s">
        <v>28</v>
      </c>
      <c r="E6986" s="6">
        <f>IF((ISBLANK($B$1)),"",Sheet1!Q6998)</f>
        <v>3950</v>
      </c>
      <c r="F6986" s="20" t="s">
        <v>26</v>
      </c>
      <c r="G6986" s="53">
        <f t="shared" si="110"/>
        <v>-1.0064047814038573</v>
      </c>
      <c r="H6986" s="35"/>
      <c r="P6986" s="6"/>
    </row>
    <row r="6987" spans="1:16" ht="14.4" x14ac:dyDescent="0.25">
      <c r="A6987" s="6">
        <v>4451</v>
      </c>
      <c r="B6987" s="6">
        <v>31715</v>
      </c>
      <c r="C6987" s="19">
        <v>39822</v>
      </c>
      <c r="D6987" s="6" t="s">
        <v>28</v>
      </c>
      <c r="E6987" s="6">
        <f>IF((ISBLANK($B$1)),"",Sheet1!Q6999)</f>
        <v>5600</v>
      </c>
      <c r="F6987" s="20" t="s">
        <v>26</v>
      </c>
      <c r="G6987" s="53">
        <f t="shared" si="110"/>
        <v>1.2721697685668893</v>
      </c>
      <c r="H6987" s="35"/>
      <c r="P6987" s="6"/>
    </row>
    <row r="6988" spans="1:16" ht="14.4" x14ac:dyDescent="0.25">
      <c r="A6988" s="6">
        <v>4509</v>
      </c>
      <c r="B6988" s="6">
        <v>32099</v>
      </c>
      <c r="C6988" s="19">
        <v>40303</v>
      </c>
      <c r="D6988" s="6" t="s">
        <v>28</v>
      </c>
      <c r="E6988" s="6">
        <f>IF((ISBLANK($B$1)),"",Sheet1!Q7000)</f>
        <v>5450</v>
      </c>
      <c r="F6988" s="20" t="s">
        <v>26</v>
      </c>
      <c r="G6988" s="53">
        <f t="shared" si="110"/>
        <v>1.0650266276604579</v>
      </c>
      <c r="H6988" s="35"/>
      <c r="P6988" s="6"/>
    </row>
    <row r="6989" spans="1:16" ht="14.4" x14ac:dyDescent="0.25">
      <c r="A6989" s="6">
        <v>4513</v>
      </c>
      <c r="B6989" s="6">
        <v>32129</v>
      </c>
      <c r="C6989" s="19">
        <v>40726</v>
      </c>
      <c r="D6989" s="6" t="s">
        <v>30</v>
      </c>
      <c r="E6989" s="6">
        <f>IF((ISBLANK($B$1)),"",Sheet1!Q7001)</f>
        <v>4400</v>
      </c>
      <c r="F6989" s="20" t="s">
        <v>26</v>
      </c>
      <c r="G6989" s="53">
        <f t="shared" si="110"/>
        <v>-0.38497535868456267</v>
      </c>
      <c r="H6989" s="35"/>
      <c r="P6989" s="6"/>
    </row>
    <row r="6990" spans="1:16" ht="14.4" x14ac:dyDescent="0.25">
      <c r="A6990" s="6">
        <v>4514</v>
      </c>
      <c r="B6990" s="6">
        <v>32129</v>
      </c>
      <c r="C6990" s="19">
        <v>40726</v>
      </c>
      <c r="D6990" s="6" t="s">
        <v>30</v>
      </c>
      <c r="E6990" s="6">
        <f>IF((ISBLANK($B$1)),"",Sheet1!Q7002)</f>
        <v>3600</v>
      </c>
      <c r="F6990" s="20" t="s">
        <v>27</v>
      </c>
      <c r="G6990" s="53">
        <f t="shared" si="110"/>
        <v>-1.4897387768521975</v>
      </c>
      <c r="H6990" s="35"/>
      <c r="P6990" s="6"/>
    </row>
    <row r="6991" spans="1:16" ht="14.4" x14ac:dyDescent="0.25">
      <c r="A6991" s="6">
        <v>4536</v>
      </c>
      <c r="B6991" s="6">
        <v>32291</v>
      </c>
      <c r="C6991" s="19">
        <v>40122</v>
      </c>
      <c r="D6991" s="6" t="s">
        <v>16</v>
      </c>
      <c r="E6991" s="6">
        <f>IF((ISBLANK($B$1)),"",Sheet1!Q7003)</f>
        <v>4050</v>
      </c>
      <c r="F6991" s="20" t="s">
        <v>29</v>
      </c>
      <c r="G6991" s="53">
        <f t="shared" si="110"/>
        <v>-0.86830935413290289</v>
      </c>
      <c r="H6991" s="35"/>
      <c r="P6991" s="6"/>
    </row>
    <row r="6992" spans="1:16" ht="14.4" x14ac:dyDescent="0.25">
      <c r="A6992" s="6">
        <v>4537</v>
      </c>
      <c r="B6992" s="6">
        <v>32291</v>
      </c>
      <c r="C6992" s="19">
        <v>40122</v>
      </c>
      <c r="D6992" s="6" t="s">
        <v>16</v>
      </c>
      <c r="E6992" s="6">
        <f>IF((ISBLANK($B$1)),"",Sheet1!Q7004)</f>
        <v>3600</v>
      </c>
      <c r="F6992" s="20" t="s">
        <v>26</v>
      </c>
      <c r="G6992" s="53">
        <f t="shared" si="110"/>
        <v>-1.4897387768521975</v>
      </c>
      <c r="H6992" s="35"/>
      <c r="P6992" s="6"/>
    </row>
    <row r="6993" spans="1:16" ht="14.4" x14ac:dyDescent="0.25">
      <c r="A6993" s="6">
        <v>4622</v>
      </c>
      <c r="B6993" s="6">
        <v>32902</v>
      </c>
      <c r="C6993" s="19">
        <v>40971</v>
      </c>
      <c r="D6993" s="6" t="s">
        <v>17</v>
      </c>
      <c r="E6993" s="6">
        <f>IF((ISBLANK($B$1)),"",Sheet1!Q7005)</f>
        <v>4550</v>
      </c>
      <c r="F6993" s="20" t="s">
        <v>26</v>
      </c>
      <c r="G6993" s="53">
        <f t="shared" si="110"/>
        <v>-0.17783221777813119</v>
      </c>
      <c r="H6993" s="35"/>
      <c r="P6993" s="6"/>
    </row>
    <row r="6994" spans="1:16" ht="14.4" x14ac:dyDescent="0.25">
      <c r="A6994" s="6">
        <v>4623</v>
      </c>
      <c r="B6994" s="6">
        <v>32902</v>
      </c>
      <c r="C6994" s="19">
        <v>40971</v>
      </c>
      <c r="D6994" s="6" t="s">
        <v>17</v>
      </c>
      <c r="E6994" s="6">
        <f>IF((ISBLANK($B$1)),"",Sheet1!Q7006)</f>
        <v>3800</v>
      </c>
      <c r="F6994" s="20" t="s">
        <v>26</v>
      </c>
      <c r="G6994" s="53">
        <f t="shared" si="110"/>
        <v>-1.2135479223102887</v>
      </c>
      <c r="H6994" s="35"/>
      <c r="P6994" s="6"/>
    </row>
    <row r="6995" spans="1:16" ht="14.4" x14ac:dyDescent="0.25">
      <c r="A6995" s="6">
        <v>4629</v>
      </c>
      <c r="B6995" s="6">
        <v>32932</v>
      </c>
      <c r="C6995" s="19">
        <v>40187</v>
      </c>
      <c r="D6995" s="6" t="s">
        <v>25</v>
      </c>
      <c r="E6995" s="6">
        <f>IF((ISBLANK($B$1)),"",Sheet1!Q7007)</f>
        <v>5850</v>
      </c>
      <c r="F6995" s="20" t="s">
        <v>27</v>
      </c>
      <c r="G6995" s="53">
        <f t="shared" si="110"/>
        <v>1.6174083367442753</v>
      </c>
      <c r="H6995" s="35"/>
      <c r="P6995" s="6"/>
    </row>
    <row r="6996" spans="1:16" ht="14.4" x14ac:dyDescent="0.25">
      <c r="A6996" s="6">
        <v>4648</v>
      </c>
      <c r="B6996" s="6">
        <v>33095</v>
      </c>
      <c r="C6996" s="19">
        <v>39859</v>
      </c>
      <c r="D6996" s="6" t="s">
        <v>28</v>
      </c>
      <c r="E6996" s="6">
        <f>IF((ISBLANK($B$1)),"",Sheet1!Q7008)</f>
        <v>4900</v>
      </c>
      <c r="F6996" s="20" t="s">
        <v>27</v>
      </c>
      <c r="G6996" s="53">
        <f t="shared" si="110"/>
        <v>0.30550177767020903</v>
      </c>
      <c r="H6996" s="35"/>
      <c r="P6996" s="6"/>
    </row>
    <row r="6997" spans="1:16" ht="14.4" x14ac:dyDescent="0.25">
      <c r="A6997" s="6">
        <v>4649</v>
      </c>
      <c r="B6997" s="6">
        <v>33095</v>
      </c>
      <c r="C6997" s="19">
        <v>39859</v>
      </c>
      <c r="D6997" s="6" t="s">
        <v>28</v>
      </c>
      <c r="E6997" s="6">
        <f>IF((ISBLANK($B$1)),"",Sheet1!Q7009)</f>
        <v>5100</v>
      </c>
      <c r="F6997" s="20" t="s">
        <v>29</v>
      </c>
      <c r="G6997" s="53">
        <f t="shared" si="110"/>
        <v>0.58169263221211776</v>
      </c>
      <c r="H6997" s="35"/>
      <c r="P6997" s="6"/>
    </row>
    <row r="6998" spans="1:16" ht="14.4" x14ac:dyDescent="0.25">
      <c r="A6998" s="6">
        <v>4652</v>
      </c>
      <c r="B6998" s="6">
        <v>33126</v>
      </c>
      <c r="C6998" s="19">
        <v>40859</v>
      </c>
      <c r="D6998" s="6" t="s">
        <v>30</v>
      </c>
      <c r="E6998" s="6">
        <f>IF((ISBLANK($B$1)),"",Sheet1!Q7010)</f>
        <v>5700</v>
      </c>
      <c r="F6998" s="20" t="s">
        <v>29</v>
      </c>
      <c r="G6998" s="53">
        <f t="shared" si="110"/>
        <v>1.4102651958378438</v>
      </c>
      <c r="H6998" s="35"/>
      <c r="P6998" s="6"/>
    </row>
    <row r="6999" spans="1:16" ht="14.4" x14ac:dyDescent="0.25">
      <c r="A6999" s="6">
        <v>4653</v>
      </c>
      <c r="B6999" s="6">
        <v>33126</v>
      </c>
      <c r="C6999" s="19">
        <v>40859</v>
      </c>
      <c r="D6999" s="6" t="s">
        <v>30</v>
      </c>
      <c r="E6999" s="6">
        <f>IF((ISBLANK($B$1)),"",Sheet1!Q7011)</f>
        <v>4800</v>
      </c>
      <c r="F6999" s="20" t="s">
        <v>26</v>
      </c>
      <c r="G6999" s="53">
        <f t="shared" si="110"/>
        <v>0.16740635039925467</v>
      </c>
      <c r="H6999" s="35"/>
      <c r="P6999" s="6"/>
    </row>
    <row r="7000" spans="1:16" ht="14.4" x14ac:dyDescent="0.25">
      <c r="A7000" s="6">
        <v>4669</v>
      </c>
      <c r="B7000" s="6">
        <v>33222</v>
      </c>
      <c r="C7000" s="19">
        <v>41079</v>
      </c>
      <c r="D7000" s="6" t="s">
        <v>16</v>
      </c>
      <c r="E7000" s="6">
        <f>IF((ISBLANK($B$1)),"",Sheet1!Q7012)</f>
        <v>4300</v>
      </c>
      <c r="F7000" s="20" t="s">
        <v>26</v>
      </c>
      <c r="G7000" s="53">
        <f t="shared" si="110"/>
        <v>-0.52307078595551704</v>
      </c>
      <c r="H7000" s="35"/>
      <c r="P7000" s="6"/>
    </row>
    <row r="7001" spans="1:16" ht="14.4" x14ac:dyDescent="0.25">
      <c r="A7001" s="6">
        <v>4670</v>
      </c>
      <c r="B7001" s="6">
        <v>33222</v>
      </c>
      <c r="C7001" s="19">
        <v>41079</v>
      </c>
      <c r="D7001" s="6" t="s">
        <v>16</v>
      </c>
      <c r="E7001" s="6">
        <f>IF((ISBLANK($B$1)),"",Sheet1!Q7013)</f>
        <v>4900</v>
      </c>
      <c r="F7001" s="20" t="s">
        <v>29</v>
      </c>
      <c r="G7001" s="53">
        <f t="shared" si="110"/>
        <v>0.30550177767020903</v>
      </c>
      <c r="H7001" s="35"/>
      <c r="P7001" s="6"/>
    </row>
    <row r="7002" spans="1:16" ht="14.4" x14ac:dyDescent="0.25">
      <c r="A7002" s="6">
        <v>4671</v>
      </c>
      <c r="B7002" s="6">
        <v>33222</v>
      </c>
      <c r="C7002" s="19">
        <v>41079</v>
      </c>
      <c r="D7002" s="6" t="s">
        <v>16</v>
      </c>
      <c r="E7002" s="6">
        <f>IF((ISBLANK($B$1)),"",Sheet1!Q7014)</f>
        <v>5800</v>
      </c>
      <c r="F7002" s="20" t="s">
        <v>26</v>
      </c>
      <c r="G7002" s="53">
        <f t="shared" si="110"/>
        <v>1.5483606231087981</v>
      </c>
      <c r="H7002" s="35"/>
      <c r="P7002" s="6"/>
    </row>
    <row r="7003" spans="1:16" ht="14.4" x14ac:dyDescent="0.25">
      <c r="A7003" s="6">
        <v>4681</v>
      </c>
      <c r="B7003" s="6">
        <v>33317</v>
      </c>
      <c r="C7003" s="19">
        <v>39944</v>
      </c>
      <c r="D7003" s="6" t="s">
        <v>17</v>
      </c>
      <c r="E7003" s="6">
        <f>IF((ISBLANK($B$1)),"",Sheet1!Q7015)</f>
        <v>5150</v>
      </c>
      <c r="F7003" s="20" t="s">
        <v>26</v>
      </c>
      <c r="G7003" s="53">
        <f t="shared" si="110"/>
        <v>0.65074034584759488</v>
      </c>
      <c r="H7003" s="35"/>
      <c r="P7003" s="6"/>
    </row>
    <row r="7004" spans="1:16" ht="14.4" x14ac:dyDescent="0.25">
      <c r="A7004" s="6">
        <v>4682</v>
      </c>
      <c r="B7004" s="6">
        <v>33317</v>
      </c>
      <c r="C7004" s="19">
        <v>39944</v>
      </c>
      <c r="D7004" s="6" t="s">
        <v>17</v>
      </c>
      <c r="E7004" s="6">
        <f>IF((ISBLANK($B$1)),"",Sheet1!Q7016)</f>
        <v>4300</v>
      </c>
      <c r="F7004" s="20" t="s">
        <v>26</v>
      </c>
      <c r="G7004" s="53">
        <f t="shared" si="110"/>
        <v>-0.52307078595551704</v>
      </c>
      <c r="H7004" s="35"/>
      <c r="P7004" s="6"/>
    </row>
    <row r="7005" spans="1:16" ht="14.4" x14ac:dyDescent="0.25">
      <c r="A7005" s="6">
        <v>4683</v>
      </c>
      <c r="B7005" s="6">
        <v>33317</v>
      </c>
      <c r="C7005" s="19">
        <v>39944</v>
      </c>
      <c r="D7005" s="6" t="s">
        <v>17</v>
      </c>
      <c r="E7005" s="6">
        <f>IF((ISBLANK($B$1)),"",Sheet1!Q7017)</f>
        <v>3650</v>
      </c>
      <c r="F7005" s="20" t="s">
        <v>26</v>
      </c>
      <c r="G7005" s="53">
        <f t="shared" si="110"/>
        <v>-1.4206910632167202</v>
      </c>
      <c r="H7005" s="35"/>
      <c r="P7005" s="6"/>
    </row>
    <row r="7006" spans="1:16" ht="14.4" x14ac:dyDescent="0.25">
      <c r="A7006" s="6">
        <v>4684</v>
      </c>
      <c r="B7006" s="6">
        <v>33317</v>
      </c>
      <c r="C7006" s="19">
        <v>39944</v>
      </c>
      <c r="D7006" s="6" t="s">
        <v>17</v>
      </c>
      <c r="E7006" s="6">
        <f>IF((ISBLANK($B$1)),"",Sheet1!Q7018)</f>
        <v>4050</v>
      </c>
      <c r="F7006" s="20" t="s">
        <v>27</v>
      </c>
      <c r="G7006" s="53">
        <f t="shared" si="110"/>
        <v>-0.86830935413290289</v>
      </c>
      <c r="H7006" s="35"/>
      <c r="P7006" s="6"/>
    </row>
    <row r="7007" spans="1:16" ht="14.4" x14ac:dyDescent="0.25">
      <c r="A7007" s="6">
        <v>4693</v>
      </c>
      <c r="B7007" s="6">
        <v>33445</v>
      </c>
      <c r="C7007" s="19">
        <v>41123</v>
      </c>
      <c r="D7007" s="6" t="s">
        <v>25</v>
      </c>
      <c r="E7007" s="6">
        <f>IF((ISBLANK($B$1)),"",Sheet1!Q7019)</f>
        <v>4300</v>
      </c>
      <c r="F7007" s="20" t="s">
        <v>29</v>
      </c>
      <c r="G7007" s="53">
        <f t="shared" si="110"/>
        <v>-0.52307078595551704</v>
      </c>
      <c r="H7007" s="35"/>
      <c r="P7007" s="6"/>
    </row>
    <row r="7008" spans="1:16" ht="14.4" x14ac:dyDescent="0.25">
      <c r="A7008" s="6">
        <v>4694</v>
      </c>
      <c r="B7008" s="6">
        <v>33445</v>
      </c>
      <c r="C7008" s="19">
        <v>41123</v>
      </c>
      <c r="D7008" s="6" t="s">
        <v>25</v>
      </c>
      <c r="E7008" s="6">
        <f>IF((ISBLANK($B$1)),"",Sheet1!Q7020)</f>
        <v>5850</v>
      </c>
      <c r="F7008" s="20" t="s">
        <v>29</v>
      </c>
      <c r="G7008" s="53">
        <f t="shared" si="110"/>
        <v>1.6174083367442753</v>
      </c>
      <c r="H7008" s="35"/>
      <c r="P7008" s="6"/>
    </row>
    <row r="7009" spans="1:16" ht="14.4" x14ac:dyDescent="0.25">
      <c r="A7009" s="6">
        <v>4695</v>
      </c>
      <c r="B7009" s="6">
        <v>33445</v>
      </c>
      <c r="C7009" s="19">
        <v>41123</v>
      </c>
      <c r="D7009" s="6" t="s">
        <v>25</v>
      </c>
      <c r="E7009" s="6">
        <f>IF((ISBLANK($B$1)),"",Sheet1!Q7021)</f>
        <v>4200</v>
      </c>
      <c r="F7009" s="20" t="s">
        <v>29</v>
      </c>
      <c r="G7009" s="53">
        <f t="shared" si="110"/>
        <v>-0.6611662132264714</v>
      </c>
      <c r="H7009" s="35"/>
      <c r="P7009" s="6"/>
    </row>
    <row r="7010" spans="1:16" ht="14.4" x14ac:dyDescent="0.25">
      <c r="A7010" s="6">
        <v>4719</v>
      </c>
      <c r="B7010" s="6">
        <v>33604</v>
      </c>
      <c r="C7010" s="19">
        <v>40773</v>
      </c>
      <c r="D7010" s="6" t="s">
        <v>17</v>
      </c>
      <c r="E7010" s="6">
        <f>IF((ISBLANK($B$1)),"",Sheet1!Q7022)</f>
        <v>3900</v>
      </c>
      <c r="F7010" s="20" t="s">
        <v>26</v>
      </c>
      <c r="G7010" s="53">
        <f t="shared" si="110"/>
        <v>-1.0754524950393345</v>
      </c>
      <c r="H7010" s="35"/>
      <c r="P7010" s="6"/>
    </row>
    <row r="7011" spans="1:16" ht="14.4" x14ac:dyDescent="0.25">
      <c r="A7011" s="6">
        <v>4731</v>
      </c>
      <c r="B7011" s="6">
        <v>33696</v>
      </c>
      <c r="C7011" s="19">
        <v>39940</v>
      </c>
      <c r="D7011" s="6" t="s">
        <v>17</v>
      </c>
      <c r="E7011" s="6">
        <f>IF((ISBLANK($B$1)),"",Sheet1!Q7023)</f>
        <v>3500</v>
      </c>
      <c r="F7011" s="20" t="s">
        <v>27</v>
      </c>
      <c r="G7011" s="53">
        <f t="shared" si="110"/>
        <v>-1.6278342041231517</v>
      </c>
      <c r="H7011" s="35"/>
      <c r="P7011" s="6"/>
    </row>
    <row r="7012" spans="1:16" ht="14.4" x14ac:dyDescent="0.25">
      <c r="A7012" s="6">
        <v>4737</v>
      </c>
      <c r="B7012" s="6">
        <v>33702</v>
      </c>
      <c r="C7012" s="19">
        <v>41154</v>
      </c>
      <c r="D7012" s="6" t="s">
        <v>28</v>
      </c>
      <c r="E7012" s="6">
        <f>IF((ISBLANK($B$1)),"",Sheet1!Q7024)</f>
        <v>4100</v>
      </c>
      <c r="F7012" s="20" t="s">
        <v>26</v>
      </c>
      <c r="G7012" s="53">
        <f t="shared" si="110"/>
        <v>-0.79926164049742576</v>
      </c>
      <c r="H7012" s="35"/>
      <c r="P7012" s="6"/>
    </row>
    <row r="7013" spans="1:16" ht="14.4" x14ac:dyDescent="0.25">
      <c r="A7013" s="6">
        <v>4778</v>
      </c>
      <c r="B7013" s="6">
        <v>33923</v>
      </c>
      <c r="C7013" s="19">
        <v>39820</v>
      </c>
      <c r="D7013" s="6" t="s">
        <v>25</v>
      </c>
      <c r="E7013" s="6">
        <f>IF((ISBLANK($B$1)),"",Sheet1!Q7025)</f>
        <v>5100</v>
      </c>
      <c r="F7013" s="20" t="s">
        <v>27</v>
      </c>
      <c r="G7013" s="53">
        <f t="shared" si="110"/>
        <v>0.58169263221211776</v>
      </c>
      <c r="H7013" s="35"/>
      <c r="P7013" s="6"/>
    </row>
    <row r="7014" spans="1:16" ht="14.4" x14ac:dyDescent="0.25">
      <c r="A7014" s="6">
        <v>4779</v>
      </c>
      <c r="B7014" s="6">
        <v>33924</v>
      </c>
      <c r="C7014" s="19">
        <v>41200</v>
      </c>
      <c r="D7014" s="6" t="s">
        <v>28</v>
      </c>
      <c r="E7014" s="6">
        <f>IF((ISBLANK($B$1)),"",Sheet1!Q7026)</f>
        <v>4000</v>
      </c>
      <c r="F7014" s="20" t="s">
        <v>27</v>
      </c>
      <c r="G7014" s="53">
        <f t="shared" si="110"/>
        <v>-0.93735706776838001</v>
      </c>
      <c r="H7014" s="35"/>
      <c r="P7014" s="6"/>
    </row>
    <row r="7015" spans="1:16" ht="14.4" x14ac:dyDescent="0.25">
      <c r="A7015" s="6">
        <v>4786</v>
      </c>
      <c r="B7015" s="6">
        <v>33987</v>
      </c>
      <c r="C7015" s="19">
        <v>40841</v>
      </c>
      <c r="D7015" s="6" t="s">
        <v>17</v>
      </c>
      <c r="E7015" s="6">
        <f>IF((ISBLANK($B$1)),"",Sheet1!Q7027)</f>
        <v>4750</v>
      </c>
      <c r="F7015" s="20" t="s">
        <v>27</v>
      </c>
      <c r="G7015" s="53">
        <f t="shared" si="110"/>
        <v>9.8358636763777513E-2</v>
      </c>
      <c r="H7015" s="35"/>
      <c r="P7015" s="6"/>
    </row>
    <row r="7016" spans="1:16" ht="14.4" x14ac:dyDescent="0.25">
      <c r="A7016" s="6">
        <v>4814</v>
      </c>
      <c r="B7016" s="6">
        <v>34243</v>
      </c>
      <c r="C7016" s="19">
        <v>40585</v>
      </c>
      <c r="D7016" s="6" t="s">
        <v>17</v>
      </c>
      <c r="E7016" s="6">
        <f>IF((ISBLANK($B$1)),"",Sheet1!Q7028)</f>
        <v>3900</v>
      </c>
      <c r="F7016" s="20" t="s">
        <v>29</v>
      </c>
      <c r="G7016" s="53">
        <f t="shared" si="110"/>
        <v>-1.0754524950393345</v>
      </c>
      <c r="H7016" s="35"/>
      <c r="P7016" s="6"/>
    </row>
    <row r="7017" spans="1:16" ht="14.4" x14ac:dyDescent="0.25">
      <c r="A7017" s="6">
        <v>4815</v>
      </c>
      <c r="B7017" s="6">
        <v>34243</v>
      </c>
      <c r="C7017" s="19">
        <v>40585</v>
      </c>
      <c r="D7017" s="6" t="s">
        <v>17</v>
      </c>
      <c r="E7017" s="6">
        <f>IF((ISBLANK($B$1)),"",Sheet1!Q7029)</f>
        <v>5400</v>
      </c>
      <c r="F7017" s="20" t="s">
        <v>26</v>
      </c>
      <c r="G7017" s="53">
        <f t="shared" si="110"/>
        <v>0.99597891402498073</v>
      </c>
      <c r="H7017" s="35"/>
      <c r="P7017" s="6"/>
    </row>
    <row r="7018" spans="1:16" ht="14.4" x14ac:dyDescent="0.25">
      <c r="A7018" s="6">
        <v>4816</v>
      </c>
      <c r="B7018" s="6">
        <v>34243</v>
      </c>
      <c r="C7018" s="19">
        <v>40585</v>
      </c>
      <c r="D7018" s="6" t="s">
        <v>17</v>
      </c>
      <c r="E7018" s="6">
        <f>IF((ISBLANK($B$1)),"",Sheet1!Q7030)</f>
        <v>5150</v>
      </c>
      <c r="F7018" s="20" t="s">
        <v>26</v>
      </c>
      <c r="G7018" s="53">
        <f t="shared" si="110"/>
        <v>0.65074034584759488</v>
      </c>
      <c r="H7018" s="35"/>
      <c r="P7018" s="6"/>
    </row>
    <row r="7019" spans="1:16" ht="14.4" x14ac:dyDescent="0.25">
      <c r="A7019" s="6">
        <v>4825</v>
      </c>
      <c r="B7019" s="6">
        <v>34279</v>
      </c>
      <c r="C7019" s="19">
        <v>40996</v>
      </c>
      <c r="D7019" s="6" t="s">
        <v>28</v>
      </c>
      <c r="E7019" s="6">
        <f>IF((ISBLANK($B$1)),"",Sheet1!Q7031)</f>
        <v>3550</v>
      </c>
      <c r="F7019" s="20" t="s">
        <v>29</v>
      </c>
      <c r="G7019" s="53">
        <f t="shared" si="110"/>
        <v>-1.5587864904876745</v>
      </c>
      <c r="H7019" s="35"/>
      <c r="P7019" s="6"/>
    </row>
    <row r="7020" spans="1:16" ht="14.4" x14ac:dyDescent="0.25">
      <c r="A7020" s="6">
        <v>4837</v>
      </c>
      <c r="B7020" s="6">
        <v>34406</v>
      </c>
      <c r="C7020" s="19">
        <v>41180</v>
      </c>
      <c r="D7020" s="6" t="s">
        <v>16</v>
      </c>
      <c r="E7020" s="6">
        <f>IF((ISBLANK($B$1)),"",Sheet1!Q7032)</f>
        <v>4850</v>
      </c>
      <c r="F7020" s="20" t="s">
        <v>26</v>
      </c>
      <c r="G7020" s="53">
        <f t="shared" si="110"/>
        <v>0.23645406403473185</v>
      </c>
      <c r="H7020" s="35"/>
      <c r="P7020" s="6"/>
    </row>
    <row r="7021" spans="1:16" ht="14.4" x14ac:dyDescent="0.25">
      <c r="A7021" s="6">
        <v>4861</v>
      </c>
      <c r="B7021" s="6">
        <v>34597</v>
      </c>
      <c r="C7021" s="19">
        <v>40528</v>
      </c>
      <c r="D7021" s="6" t="s">
        <v>16</v>
      </c>
      <c r="E7021" s="6">
        <f>IF((ISBLANK($B$1)),"",Sheet1!Q7033)</f>
        <v>3800</v>
      </c>
      <c r="F7021" s="20" t="s">
        <v>27</v>
      </c>
      <c r="G7021" s="53">
        <f t="shared" si="110"/>
        <v>-1.2135479223102887</v>
      </c>
      <c r="H7021" s="35"/>
      <c r="P7021" s="6"/>
    </row>
    <row r="7022" spans="1:16" ht="14.4" x14ac:dyDescent="0.25">
      <c r="A7022" s="6">
        <v>4914</v>
      </c>
      <c r="B7022" s="6">
        <v>34980</v>
      </c>
      <c r="C7022" s="19">
        <v>40392</v>
      </c>
      <c r="D7022" s="6" t="s">
        <v>28</v>
      </c>
      <c r="E7022" s="6">
        <f>IF((ISBLANK($B$1)),"",Sheet1!Q7034)</f>
        <v>3750</v>
      </c>
      <c r="F7022" s="20" t="s">
        <v>29</v>
      </c>
      <c r="G7022" s="53">
        <f t="shared" si="110"/>
        <v>-1.282595635945766</v>
      </c>
      <c r="H7022" s="35"/>
      <c r="P7022" s="6"/>
    </row>
    <row r="7023" spans="1:16" ht="14.4" x14ac:dyDescent="0.25">
      <c r="A7023" s="6">
        <v>4915</v>
      </c>
      <c r="B7023" s="6">
        <v>34980</v>
      </c>
      <c r="C7023" s="19">
        <v>40392</v>
      </c>
      <c r="D7023" s="6" t="s">
        <v>28</v>
      </c>
      <c r="E7023" s="6">
        <f>IF((ISBLANK($B$1)),"",Sheet1!Q7035)</f>
        <v>4650</v>
      </c>
      <c r="F7023" s="20" t="s">
        <v>26</v>
      </c>
      <c r="G7023" s="53">
        <f t="shared" si="110"/>
        <v>-3.9736790507176829E-2</v>
      </c>
      <c r="H7023" s="35"/>
      <c r="P7023" s="6"/>
    </row>
    <row r="7024" spans="1:16" ht="14.4" x14ac:dyDescent="0.25">
      <c r="A7024" s="6">
        <v>4916</v>
      </c>
      <c r="B7024" s="6">
        <v>34980</v>
      </c>
      <c r="C7024" s="19">
        <v>40392</v>
      </c>
      <c r="D7024" s="6" t="s">
        <v>28</v>
      </c>
      <c r="E7024" s="6">
        <f>IF((ISBLANK($B$1)),"",Sheet1!Q7036)</f>
        <v>4000</v>
      </c>
      <c r="F7024" s="20" t="s">
        <v>26</v>
      </c>
      <c r="G7024" s="53">
        <f t="shared" si="110"/>
        <v>-0.93735706776838001</v>
      </c>
      <c r="H7024" s="35"/>
      <c r="P7024" s="6"/>
    </row>
    <row r="7025" spans="1:16" ht="14.4" x14ac:dyDescent="0.25">
      <c r="A7025" s="6">
        <v>4968</v>
      </c>
      <c r="B7025" s="6">
        <v>35361</v>
      </c>
      <c r="C7025" s="19">
        <v>39909</v>
      </c>
      <c r="D7025" s="6" t="s">
        <v>16</v>
      </c>
      <c r="E7025" s="6">
        <f>IF((ISBLANK($B$1)),"",Sheet1!Q7037)</f>
        <v>5400</v>
      </c>
      <c r="F7025" s="20" t="s">
        <v>26</v>
      </c>
      <c r="G7025" s="53">
        <f t="shared" si="110"/>
        <v>0.99597891402498073</v>
      </c>
      <c r="H7025" s="35"/>
      <c r="P7025" s="6"/>
    </row>
    <row r="7026" spans="1:16" ht="14.4" x14ac:dyDescent="0.25">
      <c r="A7026" s="6">
        <v>4969</v>
      </c>
      <c r="B7026" s="6">
        <v>35361</v>
      </c>
      <c r="C7026" s="19">
        <v>39909</v>
      </c>
      <c r="D7026" s="6" t="s">
        <v>16</v>
      </c>
      <c r="E7026" s="6">
        <f>IF((ISBLANK($B$1)),"",Sheet1!Q7038)</f>
        <v>5250</v>
      </c>
      <c r="F7026" s="20" t="s">
        <v>26</v>
      </c>
      <c r="G7026" s="53">
        <f t="shared" si="110"/>
        <v>0.78883577311854924</v>
      </c>
      <c r="H7026" s="35"/>
      <c r="P7026" s="6"/>
    </row>
    <row r="7027" spans="1:16" ht="14.4" x14ac:dyDescent="0.25">
      <c r="A7027" s="6">
        <v>4998</v>
      </c>
      <c r="B7027" s="6">
        <v>35587</v>
      </c>
      <c r="C7027" s="19">
        <v>40857</v>
      </c>
      <c r="D7027" s="6" t="s">
        <v>30</v>
      </c>
      <c r="E7027" s="6">
        <f>IF((ISBLANK($B$1)),"",Sheet1!Q7039)</f>
        <v>5550</v>
      </c>
      <c r="F7027" s="20" t="s">
        <v>29</v>
      </c>
      <c r="G7027" s="53">
        <f t="shared" si="110"/>
        <v>1.2031220549314123</v>
      </c>
      <c r="H7027" s="35"/>
      <c r="P7027" s="6"/>
    </row>
    <row r="7028" spans="1:16" ht="14.4" x14ac:dyDescent="0.25">
      <c r="A7028" s="6">
        <v>5014</v>
      </c>
      <c r="B7028" s="6">
        <v>35780</v>
      </c>
      <c r="C7028" s="19">
        <v>40560</v>
      </c>
      <c r="D7028" s="6" t="s">
        <v>16</v>
      </c>
      <c r="E7028" s="6">
        <f>IF((ISBLANK($B$1)),"",Sheet1!Q7040)</f>
        <v>3700</v>
      </c>
      <c r="F7028" s="20" t="s">
        <v>26</v>
      </c>
      <c r="G7028" s="53">
        <f t="shared" si="110"/>
        <v>-1.351643349581243</v>
      </c>
      <c r="H7028" s="35"/>
      <c r="P7028" s="6"/>
    </row>
    <row r="7029" spans="1:16" ht="14.4" x14ac:dyDescent="0.25">
      <c r="A7029" s="6">
        <v>5024</v>
      </c>
      <c r="B7029" s="6">
        <v>35814</v>
      </c>
      <c r="C7029" s="19">
        <v>40995</v>
      </c>
      <c r="D7029" s="6" t="s">
        <v>17</v>
      </c>
      <c r="E7029" s="6">
        <f>IF((ISBLANK($B$1)),"",Sheet1!Q7041)</f>
        <v>3950</v>
      </c>
      <c r="F7029" s="20" t="s">
        <v>29</v>
      </c>
      <c r="G7029" s="53">
        <f t="shared" si="110"/>
        <v>-1.0064047814038573</v>
      </c>
      <c r="H7029" s="35"/>
      <c r="P7029" s="6"/>
    </row>
    <row r="7030" spans="1:16" ht="14.4" x14ac:dyDescent="0.25">
      <c r="A7030" s="6">
        <v>5044</v>
      </c>
      <c r="B7030" s="6">
        <v>35938</v>
      </c>
      <c r="C7030" s="19">
        <v>41230</v>
      </c>
      <c r="D7030" s="6" t="s">
        <v>28</v>
      </c>
      <c r="E7030" s="6">
        <f>IF((ISBLANK($B$1)),"",Sheet1!Q7042)</f>
        <v>3700</v>
      </c>
      <c r="F7030" s="20" t="s">
        <v>29</v>
      </c>
      <c r="G7030" s="53">
        <f t="shared" si="110"/>
        <v>-1.351643349581243</v>
      </c>
      <c r="H7030" s="35"/>
      <c r="P7030" s="6"/>
    </row>
    <row r="7031" spans="1:16" ht="14.4" x14ac:dyDescent="0.25">
      <c r="A7031" s="6">
        <v>5045</v>
      </c>
      <c r="B7031" s="6">
        <v>35938</v>
      </c>
      <c r="C7031" s="19">
        <v>41230</v>
      </c>
      <c r="D7031" s="6" t="s">
        <v>28</v>
      </c>
      <c r="E7031" s="6">
        <f>IF((ISBLANK($B$1)),"",Sheet1!Q7043)</f>
        <v>5800</v>
      </c>
      <c r="F7031" s="20" t="s">
        <v>26</v>
      </c>
      <c r="G7031" s="53">
        <f t="shared" si="110"/>
        <v>1.5483606231087981</v>
      </c>
      <c r="H7031" s="35"/>
      <c r="P7031" s="6"/>
    </row>
    <row r="7032" spans="1:16" ht="14.4" x14ac:dyDescent="0.25">
      <c r="A7032" s="6">
        <v>5047</v>
      </c>
      <c r="B7032" s="6">
        <v>35968</v>
      </c>
      <c r="C7032" s="19">
        <v>40971</v>
      </c>
      <c r="D7032" s="6" t="s">
        <v>28</v>
      </c>
      <c r="E7032" s="6">
        <f>IF((ISBLANK($B$1)),"",Sheet1!Q7044)</f>
        <v>4450</v>
      </c>
      <c r="F7032" s="20" t="s">
        <v>26</v>
      </c>
      <c r="G7032" s="53">
        <f t="shared" si="110"/>
        <v>-0.31592764504908549</v>
      </c>
      <c r="H7032" s="35"/>
      <c r="P7032" s="6"/>
    </row>
    <row r="7033" spans="1:16" ht="14.4" x14ac:dyDescent="0.25">
      <c r="A7033" s="6">
        <v>5053</v>
      </c>
      <c r="B7033" s="6">
        <v>36033</v>
      </c>
      <c r="C7033" s="19">
        <v>40166</v>
      </c>
      <c r="D7033" s="6" t="s">
        <v>28</v>
      </c>
      <c r="E7033" s="6">
        <f>IF((ISBLANK($B$1)),"",Sheet1!Q7045)</f>
        <v>4150</v>
      </c>
      <c r="F7033" s="20" t="s">
        <v>27</v>
      </c>
      <c r="G7033" s="53">
        <f t="shared" si="110"/>
        <v>-0.73021392686194853</v>
      </c>
      <c r="H7033" s="35"/>
      <c r="P7033" s="6"/>
    </row>
    <row r="7034" spans="1:16" ht="14.4" x14ac:dyDescent="0.25">
      <c r="A7034" s="6">
        <v>5057</v>
      </c>
      <c r="B7034" s="6">
        <v>36067</v>
      </c>
      <c r="C7034" s="19">
        <v>39998</v>
      </c>
      <c r="D7034" s="6" t="s">
        <v>17</v>
      </c>
      <c r="E7034" s="6">
        <f>IF((ISBLANK($B$1)),"",Sheet1!Q7046)</f>
        <v>5250</v>
      </c>
      <c r="F7034" s="20" t="s">
        <v>26</v>
      </c>
      <c r="G7034" s="53">
        <f t="shared" si="110"/>
        <v>0.78883577311854924</v>
      </c>
      <c r="H7034" s="35"/>
      <c r="P7034" s="6"/>
    </row>
    <row r="7035" spans="1:16" ht="14.4" x14ac:dyDescent="0.25">
      <c r="A7035" s="6">
        <v>5071</v>
      </c>
      <c r="B7035" s="6">
        <v>36131</v>
      </c>
      <c r="C7035" s="19">
        <v>39950</v>
      </c>
      <c r="D7035" s="6" t="s">
        <v>17</v>
      </c>
      <c r="E7035" s="6">
        <f>IF((ISBLANK($B$1)),"",Sheet1!Q7047)</f>
        <v>4700</v>
      </c>
      <c r="F7035" s="20" t="s">
        <v>26</v>
      </c>
      <c r="G7035" s="53">
        <f t="shared" si="110"/>
        <v>2.9310923128300338E-2</v>
      </c>
      <c r="H7035" s="35"/>
      <c r="P7035" s="6"/>
    </row>
    <row r="7036" spans="1:16" ht="14.4" x14ac:dyDescent="0.25">
      <c r="A7036" s="6">
        <v>5076</v>
      </c>
      <c r="B7036" s="6">
        <v>36160</v>
      </c>
      <c r="C7036" s="19">
        <v>41235</v>
      </c>
      <c r="D7036" s="6" t="s">
        <v>25</v>
      </c>
      <c r="E7036" s="6">
        <f>IF((ISBLANK($B$1)),"",Sheet1!Q7048)</f>
        <v>4000</v>
      </c>
      <c r="F7036" s="20" t="s">
        <v>27</v>
      </c>
      <c r="G7036" s="53">
        <f t="shared" si="110"/>
        <v>-0.93735706776838001</v>
      </c>
      <c r="H7036" s="35"/>
      <c r="P7036" s="6"/>
    </row>
    <row r="7037" spans="1:16" ht="14.4" x14ac:dyDescent="0.25">
      <c r="A7037" s="6">
        <v>5079</v>
      </c>
      <c r="B7037" s="6">
        <v>36196</v>
      </c>
      <c r="C7037" s="19">
        <v>40761</v>
      </c>
      <c r="D7037" s="6" t="s">
        <v>28</v>
      </c>
      <c r="E7037" s="6">
        <f>IF((ISBLANK($B$1)),"",Sheet1!Q7049)</f>
        <v>3750</v>
      </c>
      <c r="F7037" s="20" t="s">
        <v>27</v>
      </c>
      <c r="G7037" s="53">
        <f t="shared" si="110"/>
        <v>-1.282595635945766</v>
      </c>
      <c r="H7037" s="35"/>
      <c r="P7037" s="6"/>
    </row>
    <row r="7038" spans="1:16" ht="14.4" x14ac:dyDescent="0.25">
      <c r="A7038" s="6">
        <v>5101</v>
      </c>
      <c r="B7038" s="6">
        <v>36356</v>
      </c>
      <c r="C7038" s="19">
        <v>40902</v>
      </c>
      <c r="D7038" s="6" t="s">
        <v>16</v>
      </c>
      <c r="E7038" s="6">
        <f>IF((ISBLANK($B$1)),"",Sheet1!Q7050)</f>
        <v>5650</v>
      </c>
      <c r="F7038" s="20" t="s">
        <v>29</v>
      </c>
      <c r="G7038" s="53">
        <f t="shared" si="110"/>
        <v>1.3412174822023666</v>
      </c>
      <c r="H7038" s="35"/>
      <c r="P7038" s="6"/>
    </row>
    <row r="7039" spans="1:16" ht="14.4" x14ac:dyDescent="0.25">
      <c r="A7039" s="6">
        <v>5102</v>
      </c>
      <c r="B7039" s="6">
        <v>36356</v>
      </c>
      <c r="C7039" s="19">
        <v>40902</v>
      </c>
      <c r="D7039" s="6" t="s">
        <v>16</v>
      </c>
      <c r="E7039" s="6">
        <f>IF((ISBLANK($B$1)),"",Sheet1!Q7051)</f>
        <v>5050</v>
      </c>
      <c r="F7039" s="20" t="s">
        <v>26</v>
      </c>
      <c r="G7039" s="53">
        <f t="shared" si="110"/>
        <v>0.51264491857664052</v>
      </c>
      <c r="H7039" s="35"/>
      <c r="P7039" s="6"/>
    </row>
    <row r="7040" spans="1:16" ht="14.4" x14ac:dyDescent="0.25">
      <c r="A7040" s="6">
        <v>5140</v>
      </c>
      <c r="B7040" s="6">
        <v>36647</v>
      </c>
      <c r="C7040" s="19">
        <v>39994</v>
      </c>
      <c r="D7040" s="6" t="s">
        <v>17</v>
      </c>
      <c r="E7040" s="6">
        <f>IF((ISBLANK($B$1)),"",Sheet1!Q7052)</f>
        <v>4450</v>
      </c>
      <c r="F7040" s="20" t="s">
        <v>26</v>
      </c>
      <c r="G7040" s="53">
        <f t="shared" si="110"/>
        <v>-0.31592764504908549</v>
      </c>
      <c r="H7040" s="35"/>
      <c r="P7040" s="6"/>
    </row>
    <row r="7041" spans="1:16" ht="14.4" x14ac:dyDescent="0.25">
      <c r="A7041" s="6">
        <v>5141</v>
      </c>
      <c r="B7041" s="6">
        <v>36647</v>
      </c>
      <c r="C7041" s="19">
        <v>39994</v>
      </c>
      <c r="D7041" s="6" t="s">
        <v>17</v>
      </c>
      <c r="E7041" s="6">
        <f>IF((ISBLANK($B$1)),"",Sheet1!Q7053)</f>
        <v>4200</v>
      </c>
      <c r="F7041" s="20" t="s">
        <v>26</v>
      </c>
      <c r="G7041" s="53">
        <f t="shared" si="110"/>
        <v>-0.6611662132264714</v>
      </c>
      <c r="H7041" s="35"/>
      <c r="P7041" s="6"/>
    </row>
    <row r="7042" spans="1:16" ht="14.4" x14ac:dyDescent="0.25">
      <c r="A7042" s="6">
        <v>5142</v>
      </c>
      <c r="B7042" s="6">
        <v>36647</v>
      </c>
      <c r="C7042" s="19">
        <v>39994</v>
      </c>
      <c r="D7042" s="6" t="s">
        <v>17</v>
      </c>
      <c r="E7042" s="6">
        <f>IF((ISBLANK($B$1)),"",Sheet1!Q7054)</f>
        <v>4300</v>
      </c>
      <c r="F7042" s="20" t="s">
        <v>26</v>
      </c>
      <c r="G7042" s="53">
        <f t="shared" si="110"/>
        <v>-0.52307078595551704</v>
      </c>
      <c r="H7042" s="35"/>
      <c r="P7042" s="6"/>
    </row>
    <row r="7043" spans="1:16" ht="14.4" x14ac:dyDescent="0.25">
      <c r="A7043" s="6">
        <v>5159</v>
      </c>
      <c r="B7043" s="6">
        <v>36737</v>
      </c>
      <c r="C7043" s="19">
        <v>40252</v>
      </c>
      <c r="D7043" s="6" t="s">
        <v>28</v>
      </c>
      <c r="E7043" s="6">
        <f>IF((ISBLANK($B$1)),"",Sheet1!Q7055)</f>
        <v>3900</v>
      </c>
      <c r="F7043" s="20" t="s">
        <v>27</v>
      </c>
      <c r="G7043" s="53">
        <f t="shared" si="110"/>
        <v>-1.0754524950393345</v>
      </c>
      <c r="H7043" s="35"/>
      <c r="P7043" s="6"/>
    </row>
    <row r="7044" spans="1:16" ht="14.4" x14ac:dyDescent="0.25">
      <c r="A7044" s="6">
        <v>5160</v>
      </c>
      <c r="B7044" s="6">
        <v>36737</v>
      </c>
      <c r="C7044" s="19">
        <v>40252</v>
      </c>
      <c r="D7044" s="6" t="s">
        <v>28</v>
      </c>
      <c r="E7044" s="6">
        <f>IF((ISBLANK($B$1)),"",Sheet1!Q7056)</f>
        <v>3900</v>
      </c>
      <c r="F7044" s="20" t="s">
        <v>26</v>
      </c>
      <c r="G7044" s="53">
        <f t="shared" si="110"/>
        <v>-1.0754524950393345</v>
      </c>
      <c r="H7044" s="35"/>
      <c r="P7044" s="6"/>
    </row>
    <row r="7045" spans="1:16" ht="14.4" x14ac:dyDescent="0.25">
      <c r="A7045" s="6">
        <v>5177</v>
      </c>
      <c r="B7045" s="6">
        <v>36832</v>
      </c>
      <c r="C7045" s="19">
        <v>41061</v>
      </c>
      <c r="D7045" s="6" t="s">
        <v>25</v>
      </c>
      <c r="E7045" s="6">
        <f>IF((ISBLANK($B$1)),"",Sheet1!Q7057)</f>
        <v>5550</v>
      </c>
      <c r="F7045" s="20" t="s">
        <v>26</v>
      </c>
      <c r="G7045" s="53">
        <f t="shared" si="110"/>
        <v>1.2031220549314123</v>
      </c>
      <c r="H7045" s="35"/>
      <c r="P7045" s="6"/>
    </row>
    <row r="7046" spans="1:16" ht="14.4" x14ac:dyDescent="0.25">
      <c r="A7046" s="6">
        <v>5178</v>
      </c>
      <c r="B7046" s="6">
        <v>36832</v>
      </c>
      <c r="C7046" s="19">
        <v>41061</v>
      </c>
      <c r="D7046" s="6" t="s">
        <v>25</v>
      </c>
      <c r="E7046" s="6">
        <f>IF((ISBLANK($B$1)),"",Sheet1!Q7058)</f>
        <v>4600</v>
      </c>
      <c r="F7046" s="20" t="s">
        <v>27</v>
      </c>
      <c r="G7046" s="53">
        <f t="shared" si="110"/>
        <v>-0.108784504142654</v>
      </c>
      <c r="H7046" s="35"/>
      <c r="P7046" s="6"/>
    </row>
    <row r="7047" spans="1:16" ht="14.4" x14ac:dyDescent="0.25">
      <c r="A7047" s="6">
        <v>5184</v>
      </c>
      <c r="B7047" s="6">
        <v>36836</v>
      </c>
      <c r="C7047" s="19">
        <v>40235</v>
      </c>
      <c r="D7047" s="6" t="s">
        <v>16</v>
      </c>
      <c r="E7047" s="6">
        <f>IF((ISBLANK($B$1)),"",Sheet1!Q7059)</f>
        <v>5550</v>
      </c>
      <c r="F7047" s="20" t="s">
        <v>26</v>
      </c>
      <c r="G7047" s="53">
        <f t="shared" si="110"/>
        <v>1.2031220549314123</v>
      </c>
      <c r="H7047" s="35"/>
      <c r="P7047" s="6"/>
    </row>
    <row r="7048" spans="1:16" ht="14.4" x14ac:dyDescent="0.25">
      <c r="A7048" s="6">
        <v>5188</v>
      </c>
      <c r="B7048" s="6">
        <v>36867</v>
      </c>
      <c r="C7048" s="19">
        <v>40061</v>
      </c>
      <c r="D7048" s="6" t="s">
        <v>17</v>
      </c>
      <c r="E7048" s="6">
        <f>IF((ISBLANK($B$1)),"",Sheet1!Q7060)</f>
        <v>4450</v>
      </c>
      <c r="F7048" s="20" t="s">
        <v>29</v>
      </c>
      <c r="G7048" s="53">
        <f t="shared" ref="G7048:G7111" si="111">STANDARDIZE(E7048,$L$26,$L$35)</f>
        <v>-0.31592764504908549</v>
      </c>
      <c r="H7048" s="35"/>
      <c r="P7048" s="6"/>
    </row>
    <row r="7049" spans="1:16" ht="14.4" x14ac:dyDescent="0.25">
      <c r="A7049" s="6">
        <v>5189</v>
      </c>
      <c r="B7049" s="6">
        <v>36867</v>
      </c>
      <c r="C7049" s="19">
        <v>40061</v>
      </c>
      <c r="D7049" s="6" t="s">
        <v>17</v>
      </c>
      <c r="E7049" s="6">
        <f>IF((ISBLANK($B$1)),"",Sheet1!Q7061)</f>
        <v>4200</v>
      </c>
      <c r="F7049" s="20" t="s">
        <v>26</v>
      </c>
      <c r="G7049" s="53">
        <f t="shared" si="111"/>
        <v>-0.6611662132264714</v>
      </c>
      <c r="H7049" s="35"/>
      <c r="P7049" s="6"/>
    </row>
    <row r="7050" spans="1:16" ht="14.4" x14ac:dyDescent="0.25">
      <c r="A7050" s="6">
        <v>5231</v>
      </c>
      <c r="B7050" s="6">
        <v>37250</v>
      </c>
      <c r="C7050" s="19">
        <v>40192</v>
      </c>
      <c r="D7050" s="6" t="s">
        <v>17</v>
      </c>
      <c r="E7050" s="6">
        <f>IF((ISBLANK($B$1)),"",Sheet1!Q7062)</f>
        <v>4050</v>
      </c>
      <c r="F7050" s="20" t="s">
        <v>26</v>
      </c>
      <c r="G7050" s="53">
        <f t="shared" si="111"/>
        <v>-0.86830935413290289</v>
      </c>
      <c r="H7050" s="35"/>
      <c r="P7050" s="6"/>
    </row>
    <row r="7051" spans="1:16" ht="14.4" x14ac:dyDescent="0.25">
      <c r="A7051" s="6">
        <v>5266</v>
      </c>
      <c r="B7051" s="6">
        <v>37473</v>
      </c>
      <c r="C7051" s="19">
        <v>40087</v>
      </c>
      <c r="D7051" s="6" t="s">
        <v>25</v>
      </c>
      <c r="E7051" s="6">
        <f>IF((ISBLANK($B$1)),"",Sheet1!Q7063)</f>
        <v>5500</v>
      </c>
      <c r="F7051" s="20" t="s">
        <v>26</v>
      </c>
      <c r="G7051" s="53">
        <f t="shared" si="111"/>
        <v>1.1340743412959351</v>
      </c>
      <c r="H7051" s="35"/>
      <c r="P7051" s="6"/>
    </row>
    <row r="7052" spans="1:16" ht="14.4" x14ac:dyDescent="0.25">
      <c r="A7052" s="6">
        <v>5268</v>
      </c>
      <c r="B7052" s="6">
        <v>37505</v>
      </c>
      <c r="C7052" s="19">
        <v>40697</v>
      </c>
      <c r="D7052" s="6" t="s">
        <v>25</v>
      </c>
      <c r="E7052" s="6">
        <f>IF((ISBLANK($B$1)),"",Sheet1!Q7064)</f>
        <v>3450</v>
      </c>
      <c r="F7052" s="20" t="s">
        <v>26</v>
      </c>
      <c r="G7052" s="53">
        <f t="shared" si="111"/>
        <v>-1.696881917758629</v>
      </c>
      <c r="H7052" s="35"/>
      <c r="P7052" s="6"/>
    </row>
    <row r="7053" spans="1:16" ht="14.4" x14ac:dyDescent="0.25">
      <c r="A7053" s="6">
        <v>5269</v>
      </c>
      <c r="B7053" s="6">
        <v>37505</v>
      </c>
      <c r="C7053" s="19">
        <v>40697</v>
      </c>
      <c r="D7053" s="6" t="s">
        <v>25</v>
      </c>
      <c r="E7053" s="6">
        <f>IF((ISBLANK($B$1)),"",Sheet1!Q7065)</f>
        <v>3850</v>
      </c>
      <c r="F7053" s="20" t="s">
        <v>26</v>
      </c>
      <c r="G7053" s="53">
        <f t="shared" si="111"/>
        <v>-1.1445002086748115</v>
      </c>
      <c r="H7053" s="35"/>
      <c r="P7053" s="6"/>
    </row>
    <row r="7054" spans="1:16" ht="14.4" x14ac:dyDescent="0.25">
      <c r="A7054" s="6">
        <v>5270</v>
      </c>
      <c r="B7054" s="6">
        <v>37505</v>
      </c>
      <c r="C7054" s="19">
        <v>40697</v>
      </c>
      <c r="D7054" s="6" t="s">
        <v>25</v>
      </c>
      <c r="E7054" s="6">
        <f>IF((ISBLANK($B$1)),"",Sheet1!Q7066)</f>
        <v>5500</v>
      </c>
      <c r="F7054" s="20" t="s">
        <v>27</v>
      </c>
      <c r="G7054" s="53">
        <f t="shared" si="111"/>
        <v>1.1340743412959351</v>
      </c>
      <c r="H7054" s="35"/>
      <c r="P7054" s="6"/>
    </row>
    <row r="7055" spans="1:16" ht="14.4" x14ac:dyDescent="0.25">
      <c r="A7055" s="6">
        <v>5272</v>
      </c>
      <c r="B7055" s="6">
        <v>37537</v>
      </c>
      <c r="C7055" s="19">
        <v>39815</v>
      </c>
      <c r="D7055" s="6" t="s">
        <v>25</v>
      </c>
      <c r="E7055" s="6">
        <f>IF((ISBLANK($B$1)),"",Sheet1!Q7067)</f>
        <v>3600</v>
      </c>
      <c r="F7055" s="20" t="s">
        <v>29</v>
      </c>
      <c r="G7055" s="53">
        <f t="shared" si="111"/>
        <v>-1.4897387768521975</v>
      </c>
      <c r="H7055" s="35"/>
      <c r="P7055" s="6"/>
    </row>
    <row r="7056" spans="1:16" ht="14.4" x14ac:dyDescent="0.25">
      <c r="A7056" s="6">
        <v>5273</v>
      </c>
      <c r="B7056" s="6">
        <v>37537</v>
      </c>
      <c r="C7056" s="19">
        <v>39815</v>
      </c>
      <c r="D7056" s="6" t="s">
        <v>25</v>
      </c>
      <c r="E7056" s="6">
        <f>IF((ISBLANK($B$1)),"",Sheet1!Q7068)</f>
        <v>5550</v>
      </c>
      <c r="F7056" s="20" t="s">
        <v>29</v>
      </c>
      <c r="G7056" s="53">
        <f t="shared" si="111"/>
        <v>1.2031220549314123</v>
      </c>
      <c r="H7056" s="35"/>
      <c r="P7056" s="6"/>
    </row>
    <row r="7057" spans="1:16" ht="14.4" x14ac:dyDescent="0.25">
      <c r="A7057" s="6">
        <v>5274</v>
      </c>
      <c r="B7057" s="6">
        <v>37537</v>
      </c>
      <c r="C7057" s="19">
        <v>39815</v>
      </c>
      <c r="D7057" s="6" t="s">
        <v>25</v>
      </c>
      <c r="E7057" s="6">
        <f>IF((ISBLANK($B$1)),"",Sheet1!Q7069)</f>
        <v>5000</v>
      </c>
      <c r="F7057" s="20" t="s">
        <v>26</v>
      </c>
      <c r="G7057" s="53">
        <f t="shared" si="111"/>
        <v>0.44359720494116334</v>
      </c>
      <c r="H7057" s="35"/>
      <c r="P7057" s="6"/>
    </row>
    <row r="7058" spans="1:16" ht="14.4" x14ac:dyDescent="0.25">
      <c r="A7058" s="6">
        <v>5283</v>
      </c>
      <c r="B7058" s="6">
        <v>37606</v>
      </c>
      <c r="C7058" s="19">
        <v>40231</v>
      </c>
      <c r="D7058" s="6" t="s">
        <v>30</v>
      </c>
      <c r="E7058" s="6">
        <f>IF((ISBLANK($B$1)),"",Sheet1!Q7070)</f>
        <v>3450</v>
      </c>
      <c r="F7058" s="20" t="s">
        <v>26</v>
      </c>
      <c r="G7058" s="53">
        <f t="shared" si="111"/>
        <v>-1.696881917758629</v>
      </c>
      <c r="H7058" s="35"/>
      <c r="P7058" s="6"/>
    </row>
    <row r="7059" spans="1:16" ht="14.4" x14ac:dyDescent="0.25">
      <c r="A7059" s="6">
        <v>5284</v>
      </c>
      <c r="B7059" s="6">
        <v>37606</v>
      </c>
      <c r="C7059" s="19">
        <v>40231</v>
      </c>
      <c r="D7059" s="6" t="s">
        <v>30</v>
      </c>
      <c r="E7059" s="6">
        <f>IF((ISBLANK($B$1)),"",Sheet1!Q7071)</f>
        <v>5450</v>
      </c>
      <c r="F7059" s="20" t="s">
        <v>26</v>
      </c>
      <c r="G7059" s="53">
        <f t="shared" si="111"/>
        <v>1.0650266276604579</v>
      </c>
      <c r="H7059" s="35"/>
      <c r="P7059" s="6"/>
    </row>
    <row r="7060" spans="1:16" ht="14.4" x14ac:dyDescent="0.25">
      <c r="A7060" s="6">
        <v>5285</v>
      </c>
      <c r="B7060" s="6">
        <v>37606</v>
      </c>
      <c r="C7060" s="19">
        <v>40231</v>
      </c>
      <c r="D7060" s="6" t="s">
        <v>30</v>
      </c>
      <c r="E7060" s="6">
        <f>IF((ISBLANK($B$1)),"",Sheet1!Q7072)</f>
        <v>4450</v>
      </c>
      <c r="F7060" s="20" t="s">
        <v>26</v>
      </c>
      <c r="G7060" s="53">
        <f t="shared" si="111"/>
        <v>-0.31592764504908549</v>
      </c>
      <c r="H7060" s="35"/>
      <c r="P7060" s="6"/>
    </row>
    <row r="7061" spans="1:16" ht="14.4" x14ac:dyDescent="0.25">
      <c r="A7061" s="6">
        <v>5289</v>
      </c>
      <c r="B7061" s="6">
        <v>37668</v>
      </c>
      <c r="C7061" s="19">
        <v>40186</v>
      </c>
      <c r="D7061" s="6" t="s">
        <v>25</v>
      </c>
      <c r="E7061" s="6">
        <f>IF((ISBLANK($B$1)),"",Sheet1!Q7073)</f>
        <v>5050</v>
      </c>
      <c r="F7061" s="20" t="s">
        <v>27</v>
      </c>
      <c r="G7061" s="53">
        <f t="shared" si="111"/>
        <v>0.51264491857664052</v>
      </c>
      <c r="H7061" s="35"/>
      <c r="P7061" s="6"/>
    </row>
    <row r="7062" spans="1:16" ht="14.4" x14ac:dyDescent="0.25">
      <c r="A7062" s="6">
        <v>5322</v>
      </c>
      <c r="B7062" s="6">
        <v>37830</v>
      </c>
      <c r="C7062" s="19">
        <v>40041</v>
      </c>
      <c r="D7062" s="6" t="s">
        <v>28</v>
      </c>
      <c r="E7062" s="6">
        <f>IF((ISBLANK($B$1)),"",Sheet1!Q7074)</f>
        <v>5350</v>
      </c>
      <c r="F7062" s="20" t="s">
        <v>26</v>
      </c>
      <c r="G7062" s="53">
        <f t="shared" si="111"/>
        <v>0.92693120038950361</v>
      </c>
      <c r="H7062" s="35"/>
      <c r="P7062" s="6"/>
    </row>
    <row r="7063" spans="1:16" ht="14.4" x14ac:dyDescent="0.25">
      <c r="A7063" s="6">
        <v>5343</v>
      </c>
      <c r="B7063" s="6">
        <v>37957</v>
      </c>
      <c r="C7063" s="19">
        <v>40487</v>
      </c>
      <c r="D7063" s="6" t="s">
        <v>28</v>
      </c>
      <c r="E7063" s="6">
        <f>IF((ISBLANK($B$1)),"",Sheet1!Q7075)</f>
        <v>4950</v>
      </c>
      <c r="F7063" s="20" t="s">
        <v>26</v>
      </c>
      <c r="G7063" s="53">
        <f t="shared" si="111"/>
        <v>0.37454949130568621</v>
      </c>
      <c r="H7063" s="35"/>
      <c r="P7063" s="6"/>
    </row>
    <row r="7064" spans="1:16" ht="14.4" x14ac:dyDescent="0.25">
      <c r="A7064" s="6">
        <v>5404</v>
      </c>
      <c r="B7064" s="6">
        <v>38406</v>
      </c>
      <c r="C7064" s="19">
        <v>40514</v>
      </c>
      <c r="D7064" s="6" t="s">
        <v>16</v>
      </c>
      <c r="E7064" s="6">
        <f>IF((ISBLANK($B$1)),"",Sheet1!Q7076)</f>
        <v>4000</v>
      </c>
      <c r="F7064" s="20" t="s">
        <v>29</v>
      </c>
      <c r="G7064" s="53">
        <f t="shared" si="111"/>
        <v>-0.93735706776838001</v>
      </c>
      <c r="H7064" s="35"/>
      <c r="P7064" s="6"/>
    </row>
    <row r="7065" spans="1:16" ht="14.4" x14ac:dyDescent="0.25">
      <c r="A7065" s="6">
        <v>5431</v>
      </c>
      <c r="B7065" s="6">
        <v>38594</v>
      </c>
      <c r="C7065" s="19">
        <v>40148</v>
      </c>
      <c r="D7065" s="6" t="s">
        <v>16</v>
      </c>
      <c r="E7065" s="6">
        <f>IF((ISBLANK($B$1)),"",Sheet1!Q7077)</f>
        <v>4700</v>
      </c>
      <c r="F7065" s="20" t="s">
        <v>27</v>
      </c>
      <c r="G7065" s="53">
        <f t="shared" si="111"/>
        <v>2.9310923128300338E-2</v>
      </c>
      <c r="H7065" s="35"/>
      <c r="P7065" s="6"/>
    </row>
    <row r="7066" spans="1:16" ht="14.4" x14ac:dyDescent="0.25">
      <c r="A7066" s="6">
        <v>5444</v>
      </c>
      <c r="B7066" s="6">
        <v>38657</v>
      </c>
      <c r="C7066" s="19">
        <v>40326</v>
      </c>
      <c r="D7066" s="6" t="s">
        <v>28</v>
      </c>
      <c r="E7066" s="6">
        <f>IF((ISBLANK($B$1)),"",Sheet1!Q7078)</f>
        <v>5300</v>
      </c>
      <c r="F7066" s="20" t="s">
        <v>27</v>
      </c>
      <c r="G7066" s="53">
        <f t="shared" si="111"/>
        <v>0.85788348675402637</v>
      </c>
      <c r="H7066" s="35"/>
      <c r="P7066" s="6"/>
    </row>
    <row r="7067" spans="1:16" ht="14.4" x14ac:dyDescent="0.25">
      <c r="A7067" s="6">
        <v>5466</v>
      </c>
      <c r="B7067" s="6">
        <v>38850</v>
      </c>
      <c r="C7067" s="19">
        <v>40297</v>
      </c>
      <c r="D7067" s="6" t="s">
        <v>16</v>
      </c>
      <c r="E7067" s="6">
        <f>IF((ISBLANK($B$1)),"",Sheet1!Q7079)</f>
        <v>5100</v>
      </c>
      <c r="F7067" s="20" t="s">
        <v>29</v>
      </c>
      <c r="G7067" s="53">
        <f t="shared" si="111"/>
        <v>0.58169263221211776</v>
      </c>
      <c r="H7067" s="35"/>
      <c r="P7067" s="6"/>
    </row>
    <row r="7068" spans="1:16" ht="14.4" x14ac:dyDescent="0.25">
      <c r="A7068" s="6">
        <v>5479</v>
      </c>
      <c r="B7068" s="6">
        <v>38913</v>
      </c>
      <c r="C7068" s="19">
        <v>40062</v>
      </c>
      <c r="D7068" s="6" t="s">
        <v>28</v>
      </c>
      <c r="E7068" s="6">
        <f>IF((ISBLANK($B$1)),"",Sheet1!Q7080)</f>
        <v>3750</v>
      </c>
      <c r="F7068" s="20" t="s">
        <v>26</v>
      </c>
      <c r="G7068" s="53">
        <f t="shared" si="111"/>
        <v>-1.282595635945766</v>
      </c>
      <c r="H7068" s="35"/>
      <c r="P7068" s="6"/>
    </row>
    <row r="7069" spans="1:16" ht="14.4" x14ac:dyDescent="0.25">
      <c r="A7069" s="6">
        <v>5488</v>
      </c>
      <c r="B7069" s="6">
        <v>38948</v>
      </c>
      <c r="C7069" s="19">
        <v>40699</v>
      </c>
      <c r="D7069" s="6" t="s">
        <v>28</v>
      </c>
      <c r="E7069" s="6">
        <f>IF((ISBLANK($B$1)),"",Sheet1!Q7081)</f>
        <v>3850</v>
      </c>
      <c r="F7069" s="20" t="s">
        <v>26</v>
      </c>
      <c r="G7069" s="53">
        <f t="shared" si="111"/>
        <v>-1.1445002086748115</v>
      </c>
      <c r="H7069" s="35"/>
      <c r="P7069" s="6"/>
    </row>
    <row r="7070" spans="1:16" ht="14.4" x14ac:dyDescent="0.25">
      <c r="A7070" s="6">
        <v>5489</v>
      </c>
      <c r="B7070" s="6">
        <v>38948</v>
      </c>
      <c r="C7070" s="19">
        <v>40699</v>
      </c>
      <c r="D7070" s="6" t="s">
        <v>28</v>
      </c>
      <c r="E7070" s="6">
        <f>IF((ISBLANK($B$1)),"",Sheet1!Q7082)</f>
        <v>5600</v>
      </c>
      <c r="F7070" s="20" t="s">
        <v>27</v>
      </c>
      <c r="G7070" s="53">
        <f t="shared" si="111"/>
        <v>1.2721697685668893</v>
      </c>
      <c r="H7070" s="35"/>
      <c r="P7070" s="6"/>
    </row>
    <row r="7071" spans="1:16" ht="14.4" x14ac:dyDescent="0.25">
      <c r="A7071" s="6">
        <v>5505</v>
      </c>
      <c r="B7071" s="6">
        <v>39041</v>
      </c>
      <c r="C7071" s="19">
        <v>40842</v>
      </c>
      <c r="D7071" s="6" t="s">
        <v>30</v>
      </c>
      <c r="E7071" s="6">
        <f>IF((ISBLANK($B$1)),"",Sheet1!Q7083)</f>
        <v>5750</v>
      </c>
      <c r="F7071" s="20" t="s">
        <v>29</v>
      </c>
      <c r="G7071" s="53">
        <f t="shared" si="111"/>
        <v>1.4793129094733208</v>
      </c>
      <c r="H7071" s="35"/>
      <c r="P7071" s="6"/>
    </row>
    <row r="7072" spans="1:16" ht="14.4" x14ac:dyDescent="0.25">
      <c r="A7072" s="6">
        <v>5506</v>
      </c>
      <c r="B7072" s="6">
        <v>39041</v>
      </c>
      <c r="C7072" s="19">
        <v>40842</v>
      </c>
      <c r="D7072" s="6" t="s">
        <v>30</v>
      </c>
      <c r="E7072" s="6">
        <f>IF((ISBLANK($B$1)),"",Sheet1!Q7084)</f>
        <v>4550</v>
      </c>
      <c r="F7072" s="20" t="s">
        <v>29</v>
      </c>
      <c r="G7072" s="53">
        <f t="shared" si="111"/>
        <v>-0.17783221777813119</v>
      </c>
      <c r="H7072" s="35"/>
      <c r="P7072" s="6"/>
    </row>
    <row r="7073" spans="1:16" ht="14.4" x14ac:dyDescent="0.25">
      <c r="A7073" s="6">
        <v>5519</v>
      </c>
      <c r="B7073" s="6">
        <v>39136</v>
      </c>
      <c r="C7073" s="19">
        <v>39988</v>
      </c>
      <c r="D7073" s="6" t="s">
        <v>17</v>
      </c>
      <c r="E7073" s="6">
        <f>IF((ISBLANK($B$1)),"",Sheet1!Q7085)</f>
        <v>5850</v>
      </c>
      <c r="F7073" s="20" t="s">
        <v>27</v>
      </c>
      <c r="G7073" s="53">
        <f t="shared" si="111"/>
        <v>1.6174083367442753</v>
      </c>
      <c r="H7073" s="35"/>
      <c r="P7073" s="6"/>
    </row>
    <row r="7074" spans="1:16" ht="14.4" x14ac:dyDescent="0.25">
      <c r="A7074" s="6">
        <v>5535</v>
      </c>
      <c r="B7074" s="6">
        <v>39232</v>
      </c>
      <c r="C7074" s="19">
        <v>40736</v>
      </c>
      <c r="D7074" s="6" t="s">
        <v>25</v>
      </c>
      <c r="E7074" s="6">
        <f>IF((ISBLANK($B$1)),"",Sheet1!Q7086)</f>
        <v>3950</v>
      </c>
      <c r="F7074" s="20" t="s">
        <v>26</v>
      </c>
      <c r="G7074" s="53">
        <f t="shared" si="111"/>
        <v>-1.0064047814038573</v>
      </c>
      <c r="H7074" s="35"/>
      <c r="P7074" s="6"/>
    </row>
    <row r="7075" spans="1:16" ht="14.4" x14ac:dyDescent="0.25">
      <c r="A7075" s="6">
        <v>5536</v>
      </c>
      <c r="B7075" s="6">
        <v>39232</v>
      </c>
      <c r="C7075" s="19">
        <v>40736</v>
      </c>
      <c r="D7075" s="6" t="s">
        <v>25</v>
      </c>
      <c r="E7075" s="6">
        <f>IF((ISBLANK($B$1)),"",Sheet1!Q7087)</f>
        <v>4700</v>
      </c>
      <c r="F7075" s="20" t="s">
        <v>26</v>
      </c>
      <c r="G7075" s="53">
        <f t="shared" si="111"/>
        <v>2.9310923128300338E-2</v>
      </c>
      <c r="H7075" s="35"/>
      <c r="P7075" s="6"/>
    </row>
    <row r="7076" spans="1:16" ht="14.4" x14ac:dyDescent="0.25">
      <c r="A7076" s="6">
        <v>5586</v>
      </c>
      <c r="B7076" s="6">
        <v>39617</v>
      </c>
      <c r="C7076" s="19">
        <v>40894</v>
      </c>
      <c r="D7076" s="6" t="s">
        <v>28</v>
      </c>
      <c r="E7076" s="6">
        <f>IF((ISBLANK($B$1)),"",Sheet1!Q7088)</f>
        <v>5050</v>
      </c>
      <c r="F7076" s="20" t="s">
        <v>29</v>
      </c>
      <c r="G7076" s="53">
        <f t="shared" si="111"/>
        <v>0.51264491857664052</v>
      </c>
      <c r="H7076" s="35"/>
      <c r="P7076" s="6"/>
    </row>
    <row r="7077" spans="1:16" ht="14.4" x14ac:dyDescent="0.25">
      <c r="A7077" s="6">
        <v>5587</v>
      </c>
      <c r="B7077" s="6">
        <v>39617</v>
      </c>
      <c r="C7077" s="19">
        <v>40894</v>
      </c>
      <c r="D7077" s="6" t="s">
        <v>28</v>
      </c>
      <c r="E7077" s="6">
        <f>IF((ISBLANK($B$1)),"",Sheet1!Q7089)</f>
        <v>4800</v>
      </c>
      <c r="F7077" s="20" t="s">
        <v>26</v>
      </c>
      <c r="G7077" s="53">
        <f t="shared" si="111"/>
        <v>0.16740635039925467</v>
      </c>
      <c r="H7077" s="35"/>
      <c r="P7077" s="6"/>
    </row>
    <row r="7078" spans="1:16" ht="14.4" x14ac:dyDescent="0.25">
      <c r="A7078" s="6">
        <v>5589</v>
      </c>
      <c r="B7078" s="6">
        <v>39649</v>
      </c>
      <c r="C7078" s="19">
        <v>40105</v>
      </c>
      <c r="D7078" s="6" t="s">
        <v>17</v>
      </c>
      <c r="E7078" s="6">
        <f>IF((ISBLANK($B$1)),"",Sheet1!Q7090)</f>
        <v>3900</v>
      </c>
      <c r="F7078" s="20" t="s">
        <v>27</v>
      </c>
      <c r="G7078" s="53">
        <f t="shared" si="111"/>
        <v>-1.0754524950393345</v>
      </c>
      <c r="H7078" s="35"/>
      <c r="P7078" s="6"/>
    </row>
    <row r="7079" spans="1:16" ht="14.4" x14ac:dyDescent="0.25">
      <c r="A7079" s="6">
        <v>5590</v>
      </c>
      <c r="B7079" s="6">
        <v>39649</v>
      </c>
      <c r="C7079" s="19">
        <v>40105</v>
      </c>
      <c r="D7079" s="6" t="s">
        <v>17</v>
      </c>
      <c r="E7079" s="6">
        <f>IF((ISBLANK($B$1)),"",Sheet1!Q7091)</f>
        <v>3850</v>
      </c>
      <c r="F7079" s="20" t="s">
        <v>26</v>
      </c>
      <c r="G7079" s="53">
        <f t="shared" si="111"/>
        <v>-1.1445002086748115</v>
      </c>
      <c r="H7079" s="35"/>
      <c r="P7079" s="6"/>
    </row>
    <row r="7080" spans="1:16" ht="14.4" x14ac:dyDescent="0.25">
      <c r="A7080" s="6">
        <v>5595</v>
      </c>
      <c r="B7080" s="6">
        <v>39654</v>
      </c>
      <c r="C7080" s="19">
        <v>41182</v>
      </c>
      <c r="D7080" s="6" t="s">
        <v>16</v>
      </c>
      <c r="E7080" s="6">
        <f>IF((ISBLANK($B$1)),"",Sheet1!Q7092)</f>
        <v>5350</v>
      </c>
      <c r="F7080" s="20" t="s">
        <v>26</v>
      </c>
      <c r="G7080" s="53">
        <f t="shared" si="111"/>
        <v>0.92693120038950361</v>
      </c>
      <c r="H7080" s="35"/>
      <c r="P7080" s="6"/>
    </row>
    <row r="7081" spans="1:16" ht="14.4" x14ac:dyDescent="0.25">
      <c r="A7081" s="6">
        <v>5618</v>
      </c>
      <c r="B7081" s="6">
        <v>39808</v>
      </c>
      <c r="C7081" s="19">
        <v>41154</v>
      </c>
      <c r="D7081" s="6" t="s">
        <v>25</v>
      </c>
      <c r="E7081" s="6">
        <f>IF((ISBLANK($B$1)),"",Sheet1!Q7093)</f>
        <v>5900</v>
      </c>
      <c r="F7081" s="20" t="s">
        <v>26</v>
      </c>
      <c r="G7081" s="53">
        <f t="shared" si="111"/>
        <v>1.6864560503797523</v>
      </c>
      <c r="H7081" s="35"/>
      <c r="P7081" s="6"/>
    </row>
    <row r="7082" spans="1:16" ht="14.4" x14ac:dyDescent="0.25">
      <c r="A7082" s="6">
        <v>5619</v>
      </c>
      <c r="B7082" s="6">
        <v>39808</v>
      </c>
      <c r="C7082" s="19">
        <v>41154</v>
      </c>
      <c r="D7082" s="6" t="s">
        <v>25</v>
      </c>
      <c r="E7082" s="6">
        <f>IF((ISBLANK($B$1)),"",Sheet1!Q7094)</f>
        <v>4950</v>
      </c>
      <c r="F7082" s="20" t="s">
        <v>27</v>
      </c>
      <c r="G7082" s="53">
        <f t="shared" si="111"/>
        <v>0.37454949130568621</v>
      </c>
      <c r="H7082" s="35"/>
      <c r="P7082" s="6"/>
    </row>
    <row r="7083" spans="1:16" ht="14.4" x14ac:dyDescent="0.25">
      <c r="A7083" s="6">
        <v>5623</v>
      </c>
      <c r="B7083" s="6">
        <v>39841</v>
      </c>
      <c r="C7083" s="19">
        <v>40179</v>
      </c>
      <c r="D7083" s="6" t="s">
        <v>16</v>
      </c>
      <c r="E7083" s="6">
        <f>IF((ISBLANK($B$1)),"",Sheet1!Q7095)</f>
        <v>5550</v>
      </c>
      <c r="F7083" s="20" t="s">
        <v>26</v>
      </c>
      <c r="G7083" s="53">
        <f t="shared" si="111"/>
        <v>1.2031220549314123</v>
      </c>
      <c r="H7083" s="35"/>
      <c r="P7083" s="6"/>
    </row>
    <row r="7084" spans="1:16" ht="14.4" x14ac:dyDescent="0.25">
      <c r="A7084" s="6">
        <v>5630</v>
      </c>
      <c r="B7084" s="6">
        <v>39847</v>
      </c>
      <c r="C7084" s="19">
        <v>40272</v>
      </c>
      <c r="D7084" s="6" t="s">
        <v>28</v>
      </c>
      <c r="E7084" s="6">
        <f>IF((ISBLANK($B$1)),"",Sheet1!Q7096)</f>
        <v>4850</v>
      </c>
      <c r="F7084" s="20" t="s">
        <v>26</v>
      </c>
      <c r="G7084" s="53">
        <f t="shared" si="111"/>
        <v>0.23645406403473185</v>
      </c>
      <c r="H7084" s="35"/>
      <c r="P7084" s="6"/>
    </row>
    <row r="7085" spans="1:16" ht="14.4" x14ac:dyDescent="0.25">
      <c r="A7085" s="6">
        <v>5631</v>
      </c>
      <c r="B7085" s="6">
        <v>39847</v>
      </c>
      <c r="C7085" s="19">
        <v>40272</v>
      </c>
      <c r="D7085" s="6" t="s">
        <v>28</v>
      </c>
      <c r="E7085" s="6">
        <f>IF((ISBLANK($B$1)),"",Sheet1!Q7097)</f>
        <v>5850</v>
      </c>
      <c r="F7085" s="20" t="s">
        <v>26</v>
      </c>
      <c r="G7085" s="53">
        <f t="shared" si="111"/>
        <v>1.6174083367442753</v>
      </c>
      <c r="H7085" s="35"/>
      <c r="P7085" s="6"/>
    </row>
    <row r="7086" spans="1:16" ht="14.4" x14ac:dyDescent="0.25">
      <c r="A7086" s="6">
        <v>5632</v>
      </c>
      <c r="B7086" s="6">
        <v>39847</v>
      </c>
      <c r="C7086" s="19">
        <v>40272</v>
      </c>
      <c r="D7086" s="6" t="s">
        <v>28</v>
      </c>
      <c r="E7086" s="6">
        <f>IF((ISBLANK($B$1)),"",Sheet1!Q7098)</f>
        <v>4400</v>
      </c>
      <c r="F7086" s="20" t="s">
        <v>27</v>
      </c>
      <c r="G7086" s="53">
        <f t="shared" si="111"/>
        <v>-0.38497535868456267</v>
      </c>
      <c r="H7086" s="35"/>
      <c r="P7086" s="6"/>
    </row>
    <row r="7087" spans="1:16" ht="14.4" x14ac:dyDescent="0.25">
      <c r="A7087" s="6">
        <v>5641</v>
      </c>
      <c r="B7087" s="6">
        <v>39907</v>
      </c>
      <c r="C7087" s="19">
        <v>40419</v>
      </c>
      <c r="D7087" s="6" t="s">
        <v>25</v>
      </c>
      <c r="E7087" s="6">
        <f>IF((ISBLANK($B$1)),"",Sheet1!Q7099)</f>
        <v>4000</v>
      </c>
      <c r="F7087" s="20" t="s">
        <v>27</v>
      </c>
      <c r="G7087" s="53">
        <f t="shared" si="111"/>
        <v>-0.93735706776838001</v>
      </c>
      <c r="H7087" s="35"/>
      <c r="P7087" s="6"/>
    </row>
    <row r="7088" spans="1:16" ht="14.4" x14ac:dyDescent="0.25">
      <c r="A7088" s="6">
        <v>5663</v>
      </c>
      <c r="B7088" s="6">
        <v>40068</v>
      </c>
      <c r="C7088" s="19">
        <v>40288</v>
      </c>
      <c r="D7088" s="6" t="s">
        <v>25</v>
      </c>
      <c r="E7088" s="6">
        <f>IF((ISBLANK($B$1)),"",Sheet1!Q7100)</f>
        <v>3450</v>
      </c>
      <c r="F7088" s="20" t="s">
        <v>29</v>
      </c>
      <c r="G7088" s="53">
        <f t="shared" si="111"/>
        <v>-1.696881917758629</v>
      </c>
      <c r="H7088" s="35"/>
      <c r="P7088" s="6"/>
    </row>
    <row r="7089" spans="1:16" ht="14.4" x14ac:dyDescent="0.25">
      <c r="A7089" s="6">
        <v>5664</v>
      </c>
      <c r="B7089" s="6">
        <v>40068</v>
      </c>
      <c r="C7089" s="19">
        <v>40288</v>
      </c>
      <c r="D7089" s="6" t="s">
        <v>25</v>
      </c>
      <c r="E7089" s="6">
        <f>IF((ISBLANK($B$1)),"",Sheet1!Q7101)</f>
        <v>3500</v>
      </c>
      <c r="F7089" s="20" t="s">
        <v>26</v>
      </c>
      <c r="G7089" s="53">
        <f t="shared" si="111"/>
        <v>-1.6278342041231517</v>
      </c>
      <c r="H7089" s="35"/>
      <c r="P7089" s="6"/>
    </row>
    <row r="7090" spans="1:16" ht="14.4" x14ac:dyDescent="0.25">
      <c r="A7090" s="6">
        <v>5665</v>
      </c>
      <c r="B7090" s="6">
        <v>40068</v>
      </c>
      <c r="C7090" s="19">
        <v>40288</v>
      </c>
      <c r="D7090" s="6" t="s">
        <v>25</v>
      </c>
      <c r="E7090" s="6">
        <f>IF((ISBLANK($B$1)),"",Sheet1!Q7102)</f>
        <v>4600</v>
      </c>
      <c r="F7090" s="20" t="s">
        <v>29</v>
      </c>
      <c r="G7090" s="53">
        <f t="shared" si="111"/>
        <v>-0.108784504142654</v>
      </c>
      <c r="H7090" s="35"/>
      <c r="P7090" s="6"/>
    </row>
    <row r="7091" spans="1:16" ht="14.4" x14ac:dyDescent="0.25">
      <c r="A7091" s="6">
        <v>5710</v>
      </c>
      <c r="B7091" s="6">
        <v>40420</v>
      </c>
      <c r="C7091" s="19">
        <v>40553</v>
      </c>
      <c r="D7091" s="6" t="s">
        <v>17</v>
      </c>
      <c r="E7091" s="6">
        <f>IF((ISBLANK($B$1)),"",Sheet1!Q7103)</f>
        <v>4500</v>
      </c>
      <c r="F7091" s="20" t="s">
        <v>26</v>
      </c>
      <c r="G7091" s="53">
        <f t="shared" si="111"/>
        <v>-0.24687993141360834</v>
      </c>
      <c r="H7091" s="35"/>
      <c r="P7091" s="6"/>
    </row>
    <row r="7092" spans="1:16" ht="14.4" x14ac:dyDescent="0.25">
      <c r="A7092" s="6">
        <v>5711</v>
      </c>
      <c r="B7092" s="6">
        <v>40420</v>
      </c>
      <c r="C7092" s="19">
        <v>40553</v>
      </c>
      <c r="D7092" s="6" t="s">
        <v>17</v>
      </c>
      <c r="E7092" s="6">
        <f>IF((ISBLANK($B$1)),"",Sheet1!Q7104)</f>
        <v>5900</v>
      </c>
      <c r="F7092" s="20" t="s">
        <v>27</v>
      </c>
      <c r="G7092" s="53">
        <f t="shared" si="111"/>
        <v>1.6864560503797523</v>
      </c>
      <c r="H7092" s="35"/>
      <c r="P7092" s="6"/>
    </row>
    <row r="7093" spans="1:16" ht="14.4" x14ac:dyDescent="0.25">
      <c r="A7093" s="6">
        <v>5716</v>
      </c>
      <c r="B7093" s="6">
        <v>40485</v>
      </c>
      <c r="C7093" s="19">
        <v>40174</v>
      </c>
      <c r="D7093" s="6" t="s">
        <v>28</v>
      </c>
      <c r="E7093" s="6">
        <f>IF((ISBLANK($B$1)),"",Sheet1!Q7105)</f>
        <v>5200</v>
      </c>
      <c r="F7093" s="20" t="s">
        <v>26</v>
      </c>
      <c r="G7093" s="53">
        <f t="shared" si="111"/>
        <v>0.71978805948307201</v>
      </c>
      <c r="H7093" s="35"/>
      <c r="P7093" s="6"/>
    </row>
    <row r="7094" spans="1:16" ht="14.4" x14ac:dyDescent="0.25">
      <c r="A7094" s="6">
        <v>5717</v>
      </c>
      <c r="B7094" s="6">
        <v>40485</v>
      </c>
      <c r="C7094" s="19">
        <v>40174</v>
      </c>
      <c r="D7094" s="6" t="s">
        <v>28</v>
      </c>
      <c r="E7094" s="6">
        <f>IF((ISBLANK($B$1)),"",Sheet1!Q7106)</f>
        <v>3750</v>
      </c>
      <c r="F7094" s="20" t="s">
        <v>27</v>
      </c>
      <c r="G7094" s="53">
        <f t="shared" si="111"/>
        <v>-1.282595635945766</v>
      </c>
      <c r="H7094" s="35"/>
      <c r="P7094" s="6"/>
    </row>
    <row r="7095" spans="1:16" ht="14.4" x14ac:dyDescent="0.25">
      <c r="A7095" s="6">
        <v>5781</v>
      </c>
      <c r="B7095" s="6">
        <v>40998</v>
      </c>
      <c r="C7095" s="19">
        <v>39935</v>
      </c>
      <c r="D7095" s="6" t="s">
        <v>16</v>
      </c>
      <c r="E7095" s="6">
        <f>IF((ISBLANK($B$1)),"",Sheet1!Q7107)</f>
        <v>5550</v>
      </c>
      <c r="F7095" s="20" t="s">
        <v>27</v>
      </c>
      <c r="G7095" s="53">
        <f t="shared" si="111"/>
        <v>1.2031220549314123</v>
      </c>
      <c r="H7095" s="35"/>
      <c r="P7095" s="6"/>
    </row>
    <row r="7096" spans="1:16" ht="14.4" x14ac:dyDescent="0.25">
      <c r="A7096" s="6">
        <v>5782</v>
      </c>
      <c r="B7096" s="6">
        <v>40998</v>
      </c>
      <c r="C7096" s="19">
        <v>39935</v>
      </c>
      <c r="D7096" s="6" t="s">
        <v>16</v>
      </c>
      <c r="E7096" s="6">
        <f>IF((ISBLANK($B$1)),"",Sheet1!Q7108)</f>
        <v>5350</v>
      </c>
      <c r="F7096" s="20" t="s">
        <v>26</v>
      </c>
      <c r="G7096" s="53">
        <f t="shared" si="111"/>
        <v>0.92693120038950361</v>
      </c>
      <c r="H7096" s="35"/>
      <c r="P7096" s="6"/>
    </row>
    <row r="7097" spans="1:16" ht="14.4" x14ac:dyDescent="0.25">
      <c r="A7097" s="6">
        <v>5793</v>
      </c>
      <c r="B7097" s="6">
        <v>41091</v>
      </c>
      <c r="C7097" s="19">
        <v>39957</v>
      </c>
      <c r="D7097" s="6" t="s">
        <v>16</v>
      </c>
      <c r="E7097" s="6">
        <f>IF((ISBLANK($B$1)),"",Sheet1!Q7109)</f>
        <v>5000</v>
      </c>
      <c r="F7097" s="20" t="s">
        <v>29</v>
      </c>
      <c r="G7097" s="53">
        <f t="shared" si="111"/>
        <v>0.44359720494116334</v>
      </c>
      <c r="H7097" s="35"/>
      <c r="P7097" s="6"/>
    </row>
    <row r="7098" spans="1:16" ht="14.4" x14ac:dyDescent="0.25">
      <c r="A7098" s="6">
        <v>5800</v>
      </c>
      <c r="B7098" s="6">
        <v>41152</v>
      </c>
      <c r="C7098" s="19">
        <v>40789</v>
      </c>
      <c r="D7098" s="6" t="s">
        <v>17</v>
      </c>
      <c r="E7098" s="6">
        <f>IF((ISBLANK($B$1)),"",Sheet1!Q7110)</f>
        <v>5850</v>
      </c>
      <c r="F7098" s="20" t="s">
        <v>26</v>
      </c>
      <c r="G7098" s="53">
        <f t="shared" si="111"/>
        <v>1.6174083367442753</v>
      </c>
      <c r="H7098" s="35"/>
      <c r="P7098" s="6"/>
    </row>
    <row r="7099" spans="1:16" ht="14.4" x14ac:dyDescent="0.25">
      <c r="A7099" s="6">
        <v>5801</v>
      </c>
      <c r="B7099" s="6">
        <v>41152</v>
      </c>
      <c r="C7099" s="19">
        <v>40789</v>
      </c>
      <c r="D7099" s="6" t="s">
        <v>17</v>
      </c>
      <c r="E7099" s="6">
        <f>IF((ISBLANK($B$1)),"",Sheet1!Q7111)</f>
        <v>4850</v>
      </c>
      <c r="F7099" s="20" t="s">
        <v>26</v>
      </c>
      <c r="G7099" s="53">
        <f t="shared" si="111"/>
        <v>0.23645406403473185</v>
      </c>
      <c r="H7099" s="35"/>
      <c r="P7099" s="6"/>
    </row>
    <row r="7100" spans="1:16" ht="14.4" x14ac:dyDescent="0.25">
      <c r="A7100" s="6">
        <v>5804</v>
      </c>
      <c r="B7100" s="6">
        <v>41157</v>
      </c>
      <c r="C7100" s="19">
        <v>40649</v>
      </c>
      <c r="D7100" s="6" t="s">
        <v>16</v>
      </c>
      <c r="E7100" s="6">
        <f>IF((ISBLANK($B$1)),"",Sheet1!Q7112)</f>
        <v>5350</v>
      </c>
      <c r="F7100" s="20" t="s">
        <v>29</v>
      </c>
      <c r="G7100" s="53">
        <f t="shared" si="111"/>
        <v>0.92693120038950361</v>
      </c>
      <c r="H7100" s="35"/>
      <c r="P7100" s="6"/>
    </row>
    <row r="7101" spans="1:16" ht="14.4" x14ac:dyDescent="0.25">
      <c r="A7101" s="6">
        <v>5826</v>
      </c>
      <c r="B7101" s="6">
        <v>41349</v>
      </c>
      <c r="C7101" s="19">
        <v>40894</v>
      </c>
      <c r="D7101" s="6" t="s">
        <v>30</v>
      </c>
      <c r="E7101" s="6">
        <f>IF((ISBLANK($B$1)),"",Sheet1!Q7113)</f>
        <v>5600</v>
      </c>
      <c r="F7101" s="20" t="s">
        <v>26</v>
      </c>
      <c r="G7101" s="53">
        <f t="shared" si="111"/>
        <v>1.2721697685668893</v>
      </c>
      <c r="H7101" s="35"/>
      <c r="P7101" s="6"/>
    </row>
    <row r="7102" spans="1:16" ht="14.4" x14ac:dyDescent="0.25">
      <c r="A7102" s="6">
        <v>5827</v>
      </c>
      <c r="B7102" s="6">
        <v>41349</v>
      </c>
      <c r="C7102" s="19">
        <v>40894</v>
      </c>
      <c r="D7102" s="6" t="s">
        <v>30</v>
      </c>
      <c r="E7102" s="6">
        <f>IF((ISBLANK($B$1)),"",Sheet1!Q7114)</f>
        <v>3600</v>
      </c>
      <c r="F7102" s="20" t="s">
        <v>29</v>
      </c>
      <c r="G7102" s="53">
        <f t="shared" si="111"/>
        <v>-1.4897387768521975</v>
      </c>
      <c r="H7102" s="35"/>
      <c r="P7102" s="6"/>
    </row>
    <row r="7103" spans="1:16" ht="14.4" x14ac:dyDescent="0.25">
      <c r="A7103" s="6">
        <v>5828</v>
      </c>
      <c r="B7103" s="6">
        <v>41349</v>
      </c>
      <c r="C7103" s="19">
        <v>40894</v>
      </c>
      <c r="D7103" s="6" t="s">
        <v>30</v>
      </c>
      <c r="E7103" s="6">
        <f>IF((ISBLANK($B$1)),"",Sheet1!Q7115)</f>
        <v>5350</v>
      </c>
      <c r="F7103" s="20" t="s">
        <v>26</v>
      </c>
      <c r="G7103" s="53">
        <f t="shared" si="111"/>
        <v>0.92693120038950361</v>
      </c>
      <c r="H7103" s="35"/>
      <c r="P7103" s="6"/>
    </row>
    <row r="7104" spans="1:16" ht="14.4" x14ac:dyDescent="0.25">
      <c r="A7104" s="6">
        <v>5841</v>
      </c>
      <c r="B7104" s="6">
        <v>41440</v>
      </c>
      <c r="C7104" s="19">
        <v>40078</v>
      </c>
      <c r="D7104" s="6" t="s">
        <v>17</v>
      </c>
      <c r="E7104" s="6">
        <f>IF((ISBLANK($B$1)),"",Sheet1!Q7116)</f>
        <v>4400</v>
      </c>
      <c r="F7104" s="20" t="s">
        <v>26</v>
      </c>
      <c r="G7104" s="53">
        <f t="shared" si="111"/>
        <v>-0.38497535868456267</v>
      </c>
      <c r="H7104" s="35"/>
      <c r="P7104" s="6"/>
    </row>
    <row r="7105" spans="1:16" ht="14.4" x14ac:dyDescent="0.25">
      <c r="A7105" s="6">
        <v>5842</v>
      </c>
      <c r="B7105" s="6">
        <v>41440</v>
      </c>
      <c r="C7105" s="19">
        <v>40078</v>
      </c>
      <c r="D7105" s="6" t="s">
        <v>17</v>
      </c>
      <c r="E7105" s="6">
        <f>IF((ISBLANK($B$1)),"",Sheet1!Q7117)</f>
        <v>4350</v>
      </c>
      <c r="F7105" s="20" t="s">
        <v>29</v>
      </c>
      <c r="G7105" s="53">
        <f t="shared" si="111"/>
        <v>-0.45402307232003986</v>
      </c>
      <c r="H7105" s="35"/>
      <c r="P7105" s="6"/>
    </row>
    <row r="7106" spans="1:16" ht="14.4" x14ac:dyDescent="0.25">
      <c r="A7106" s="6">
        <v>5850</v>
      </c>
      <c r="B7106" s="6">
        <v>41539</v>
      </c>
      <c r="C7106" s="19">
        <v>40666</v>
      </c>
      <c r="D7106" s="6" t="s">
        <v>17</v>
      </c>
      <c r="E7106" s="6">
        <f>IF((ISBLANK($B$1)),"",Sheet1!Q7118)</f>
        <v>4600</v>
      </c>
      <c r="F7106" s="20" t="s">
        <v>26</v>
      </c>
      <c r="G7106" s="53">
        <f t="shared" si="111"/>
        <v>-0.108784504142654</v>
      </c>
      <c r="H7106" s="35"/>
      <c r="P7106" s="6"/>
    </row>
    <row r="7107" spans="1:16" ht="14.4" x14ac:dyDescent="0.25">
      <c r="A7107" s="6">
        <v>5851</v>
      </c>
      <c r="B7107" s="6">
        <v>41539</v>
      </c>
      <c r="C7107" s="19">
        <v>40666</v>
      </c>
      <c r="D7107" s="6" t="s">
        <v>17</v>
      </c>
      <c r="E7107" s="6">
        <f>IF((ISBLANK($B$1)),"",Sheet1!Q7119)</f>
        <v>5450</v>
      </c>
      <c r="F7107" s="20" t="s">
        <v>27</v>
      </c>
      <c r="G7107" s="53">
        <f t="shared" si="111"/>
        <v>1.0650266276604579</v>
      </c>
      <c r="H7107" s="35"/>
      <c r="P7107" s="6"/>
    </row>
    <row r="7108" spans="1:16" ht="14.4" x14ac:dyDescent="0.25">
      <c r="A7108" s="6">
        <v>5859</v>
      </c>
      <c r="B7108" s="6">
        <v>41574</v>
      </c>
      <c r="C7108" s="19">
        <v>40441</v>
      </c>
      <c r="D7108" s="6" t="s">
        <v>17</v>
      </c>
      <c r="E7108" s="6">
        <f>IF((ISBLANK($B$1)),"",Sheet1!Q7120)</f>
        <v>4550</v>
      </c>
      <c r="F7108" s="20" t="s">
        <v>26</v>
      </c>
      <c r="G7108" s="53">
        <f t="shared" si="111"/>
        <v>-0.17783221777813119</v>
      </c>
      <c r="H7108" s="35"/>
      <c r="P7108" s="6"/>
    </row>
    <row r="7109" spans="1:16" ht="14.4" x14ac:dyDescent="0.25">
      <c r="A7109" s="6">
        <v>5902</v>
      </c>
      <c r="B7109" s="6">
        <v>41831</v>
      </c>
      <c r="C7109" s="19">
        <v>41111</v>
      </c>
      <c r="D7109" s="6" t="s">
        <v>28</v>
      </c>
      <c r="E7109" s="6">
        <f>IF((ISBLANK($B$1)),"",Sheet1!Q7121)</f>
        <v>5550</v>
      </c>
      <c r="F7109" s="20" t="s">
        <v>27</v>
      </c>
      <c r="G7109" s="53">
        <f t="shared" si="111"/>
        <v>1.2031220549314123</v>
      </c>
      <c r="H7109" s="35"/>
      <c r="P7109" s="6"/>
    </row>
    <row r="7110" spans="1:16" ht="14.4" x14ac:dyDescent="0.25">
      <c r="A7110" s="6">
        <v>5903</v>
      </c>
      <c r="B7110" s="6">
        <v>41831</v>
      </c>
      <c r="C7110" s="19">
        <v>41111</v>
      </c>
      <c r="D7110" s="6" t="s">
        <v>28</v>
      </c>
      <c r="E7110" s="6">
        <f>IF((ISBLANK($B$1)),"",Sheet1!Q7122)</f>
        <v>5300</v>
      </c>
      <c r="F7110" s="20" t="s">
        <v>26</v>
      </c>
      <c r="G7110" s="53">
        <f t="shared" si="111"/>
        <v>0.85788348675402637</v>
      </c>
      <c r="H7110" s="35"/>
      <c r="P7110" s="6"/>
    </row>
    <row r="7111" spans="1:16" ht="14.4" x14ac:dyDescent="0.25">
      <c r="A7111" s="6">
        <v>5906</v>
      </c>
      <c r="B7111" s="6">
        <v>41888</v>
      </c>
      <c r="C7111" s="19">
        <v>39872</v>
      </c>
      <c r="D7111" s="6" t="s">
        <v>25</v>
      </c>
      <c r="E7111" s="6">
        <f>IF((ISBLANK($B$1)),"",Sheet1!Q7123)</f>
        <v>4300</v>
      </c>
      <c r="F7111" s="20" t="s">
        <v>26</v>
      </c>
      <c r="G7111" s="53">
        <f t="shared" si="111"/>
        <v>-0.52307078595551704</v>
      </c>
      <c r="H7111" s="35"/>
      <c r="P7111" s="6"/>
    </row>
    <row r="7112" spans="1:16" ht="14.4" x14ac:dyDescent="0.25">
      <c r="A7112" s="6">
        <v>5907</v>
      </c>
      <c r="B7112" s="6">
        <v>41888</v>
      </c>
      <c r="C7112" s="19">
        <v>39872</v>
      </c>
      <c r="D7112" s="6" t="s">
        <v>25</v>
      </c>
      <c r="E7112" s="6">
        <f>IF((ISBLANK($B$1)),"",Sheet1!Q7124)</f>
        <v>4550</v>
      </c>
      <c r="F7112" s="20" t="s">
        <v>27</v>
      </c>
      <c r="G7112" s="53">
        <f t="shared" ref="G7112:G7175" si="112">STANDARDIZE(E7112,$L$26,$L$35)</f>
        <v>-0.17783221777813119</v>
      </c>
      <c r="H7112" s="35"/>
      <c r="P7112" s="6"/>
    </row>
    <row r="7113" spans="1:16" ht="14.4" x14ac:dyDescent="0.25">
      <c r="A7113" s="6">
        <v>5908</v>
      </c>
      <c r="B7113" s="6">
        <v>41888</v>
      </c>
      <c r="C7113" s="19">
        <v>39872</v>
      </c>
      <c r="D7113" s="6" t="s">
        <v>25</v>
      </c>
      <c r="E7113" s="6">
        <f>IF((ISBLANK($B$1)),"",Sheet1!Q7125)</f>
        <v>4850</v>
      </c>
      <c r="F7113" s="20" t="s">
        <v>27</v>
      </c>
      <c r="G7113" s="53">
        <f t="shared" si="112"/>
        <v>0.23645406403473185</v>
      </c>
      <c r="H7113" s="35"/>
      <c r="P7113" s="6"/>
    </row>
    <row r="7114" spans="1:16" ht="14.4" x14ac:dyDescent="0.25">
      <c r="A7114" s="6">
        <v>5927</v>
      </c>
      <c r="B7114" s="6">
        <v>42054</v>
      </c>
      <c r="C7114" s="19">
        <v>41166</v>
      </c>
      <c r="D7114" s="6" t="s">
        <v>16</v>
      </c>
      <c r="E7114" s="6">
        <f>IF((ISBLANK($B$1)),"",Sheet1!Q7126)</f>
        <v>5000</v>
      </c>
      <c r="F7114" s="20" t="s">
        <v>26</v>
      </c>
      <c r="G7114" s="53">
        <f t="shared" si="112"/>
        <v>0.44359720494116334</v>
      </c>
      <c r="H7114" s="35"/>
      <c r="P7114" s="6"/>
    </row>
    <row r="7115" spans="1:16" ht="14.4" x14ac:dyDescent="0.25">
      <c r="A7115" s="6">
        <v>5940</v>
      </c>
      <c r="B7115" s="6">
        <v>42148</v>
      </c>
      <c r="C7115" s="19">
        <v>40836</v>
      </c>
      <c r="D7115" s="6" t="s">
        <v>30</v>
      </c>
      <c r="E7115" s="6">
        <f>IF((ISBLANK($B$1)),"",Sheet1!Q7127)</f>
        <v>3950</v>
      </c>
      <c r="F7115" s="20" t="s">
        <v>26</v>
      </c>
      <c r="G7115" s="53">
        <f t="shared" si="112"/>
        <v>-1.0064047814038573</v>
      </c>
      <c r="H7115" s="35"/>
      <c r="P7115" s="6"/>
    </row>
    <row r="7116" spans="1:16" ht="14.4" x14ac:dyDescent="0.25">
      <c r="A7116" s="6">
        <v>5959</v>
      </c>
      <c r="B7116" s="6">
        <v>42306</v>
      </c>
      <c r="C7116" s="19">
        <v>41166</v>
      </c>
      <c r="D7116" s="6" t="s">
        <v>17</v>
      </c>
      <c r="E7116" s="6">
        <f>IF((ISBLANK($B$1)),"",Sheet1!Q7128)</f>
        <v>3600</v>
      </c>
      <c r="F7116" s="20" t="s">
        <v>26</v>
      </c>
      <c r="G7116" s="53">
        <f t="shared" si="112"/>
        <v>-1.4897387768521975</v>
      </c>
      <c r="H7116" s="35"/>
      <c r="P7116" s="6"/>
    </row>
    <row r="7117" spans="1:16" ht="14.4" x14ac:dyDescent="0.25">
      <c r="A7117" s="6">
        <v>5967</v>
      </c>
      <c r="B7117" s="6">
        <v>42338</v>
      </c>
      <c r="C7117" s="19">
        <v>40119</v>
      </c>
      <c r="D7117" s="6" t="s">
        <v>28</v>
      </c>
      <c r="E7117" s="6">
        <f>IF((ISBLANK($B$1)),"",Sheet1!Q7129)</f>
        <v>4100</v>
      </c>
      <c r="F7117" s="20" t="s">
        <v>29</v>
      </c>
      <c r="G7117" s="53">
        <f t="shared" si="112"/>
        <v>-0.79926164049742576</v>
      </c>
      <c r="H7117" s="35"/>
      <c r="P7117" s="6"/>
    </row>
    <row r="7118" spans="1:16" ht="14.4" x14ac:dyDescent="0.25">
      <c r="A7118" s="6">
        <v>5968</v>
      </c>
      <c r="B7118" s="6">
        <v>42338</v>
      </c>
      <c r="C7118" s="19">
        <v>40119</v>
      </c>
      <c r="D7118" s="6" t="s">
        <v>28</v>
      </c>
      <c r="E7118" s="6">
        <f>IF((ISBLANK($B$1)),"",Sheet1!Q7130)</f>
        <v>5000</v>
      </c>
      <c r="F7118" s="20" t="s">
        <v>27</v>
      </c>
      <c r="G7118" s="53">
        <f t="shared" si="112"/>
        <v>0.44359720494116334</v>
      </c>
      <c r="H7118" s="35"/>
      <c r="P7118" s="6"/>
    </row>
    <row r="7119" spans="1:16" ht="14.4" x14ac:dyDescent="0.25">
      <c r="A7119" s="6">
        <v>5972</v>
      </c>
      <c r="B7119" s="6">
        <v>42343</v>
      </c>
      <c r="C7119" s="19">
        <v>40039</v>
      </c>
      <c r="D7119" s="6" t="s">
        <v>30</v>
      </c>
      <c r="E7119" s="6">
        <f>IF((ISBLANK($B$1)),"",Sheet1!Q7131)</f>
        <v>5700</v>
      </c>
      <c r="F7119" s="20" t="s">
        <v>29</v>
      </c>
      <c r="G7119" s="53">
        <f t="shared" si="112"/>
        <v>1.4102651958378438</v>
      </c>
      <c r="H7119" s="35"/>
      <c r="P7119" s="6"/>
    </row>
    <row r="7120" spans="1:16" ht="14.4" x14ac:dyDescent="0.25">
      <c r="A7120" s="6">
        <v>5973</v>
      </c>
      <c r="B7120" s="6">
        <v>42343</v>
      </c>
      <c r="C7120" s="19">
        <v>40039</v>
      </c>
      <c r="D7120" s="6" t="s">
        <v>30</v>
      </c>
      <c r="E7120" s="6">
        <f>IF((ISBLANK($B$1)),"",Sheet1!Q7132)</f>
        <v>4950</v>
      </c>
      <c r="F7120" s="20" t="s">
        <v>26</v>
      </c>
      <c r="G7120" s="53">
        <f t="shared" si="112"/>
        <v>0.37454949130568621</v>
      </c>
      <c r="H7120" s="35"/>
      <c r="P7120" s="6"/>
    </row>
    <row r="7121" spans="1:16" ht="14.4" x14ac:dyDescent="0.25">
      <c r="A7121" s="6">
        <v>5991</v>
      </c>
      <c r="B7121" s="6">
        <v>42467</v>
      </c>
      <c r="C7121" s="19">
        <v>40465</v>
      </c>
      <c r="D7121" s="6" t="s">
        <v>17</v>
      </c>
      <c r="E7121" s="6">
        <f>IF((ISBLANK($B$1)),"",Sheet1!Q7133)</f>
        <v>3900</v>
      </c>
      <c r="F7121" s="20" t="s">
        <v>26</v>
      </c>
      <c r="G7121" s="53">
        <f t="shared" si="112"/>
        <v>-1.0754524950393345</v>
      </c>
      <c r="H7121" s="35"/>
      <c r="P7121" s="6"/>
    </row>
    <row r="7122" spans="1:16" ht="14.4" x14ac:dyDescent="0.25">
      <c r="A7122" s="6">
        <v>5992</v>
      </c>
      <c r="B7122" s="6">
        <v>42467</v>
      </c>
      <c r="C7122" s="19">
        <v>40465</v>
      </c>
      <c r="D7122" s="6" t="s">
        <v>17</v>
      </c>
      <c r="E7122" s="6">
        <f>IF((ISBLANK($B$1)),"",Sheet1!Q7134)</f>
        <v>5350</v>
      </c>
      <c r="F7122" s="20" t="s">
        <v>27</v>
      </c>
      <c r="G7122" s="53">
        <f t="shared" si="112"/>
        <v>0.92693120038950361</v>
      </c>
      <c r="H7122" s="35"/>
      <c r="P7122" s="6"/>
    </row>
    <row r="7123" spans="1:16" ht="14.4" x14ac:dyDescent="0.25">
      <c r="A7123" s="6">
        <v>5993</v>
      </c>
      <c r="B7123" s="6">
        <v>42467</v>
      </c>
      <c r="C7123" s="19">
        <v>40465</v>
      </c>
      <c r="D7123" s="6" t="s">
        <v>17</v>
      </c>
      <c r="E7123" s="6">
        <f>IF((ISBLANK($B$1)),"",Sheet1!Q7135)</f>
        <v>4000</v>
      </c>
      <c r="F7123" s="20" t="s">
        <v>27</v>
      </c>
      <c r="G7123" s="53">
        <f t="shared" si="112"/>
        <v>-0.93735706776838001</v>
      </c>
      <c r="H7123" s="35"/>
      <c r="P7123" s="6"/>
    </row>
    <row r="7124" spans="1:16" ht="14.4" x14ac:dyDescent="0.25">
      <c r="A7124" s="6">
        <v>6005</v>
      </c>
      <c r="B7124" s="6">
        <v>42529</v>
      </c>
      <c r="C7124" s="19">
        <v>40461</v>
      </c>
      <c r="D7124" s="6" t="s">
        <v>25</v>
      </c>
      <c r="E7124" s="6">
        <f>IF((ISBLANK($B$1)),"",Sheet1!Q7136)</f>
        <v>3800</v>
      </c>
      <c r="F7124" s="20" t="s">
        <v>26</v>
      </c>
      <c r="G7124" s="53">
        <f t="shared" si="112"/>
        <v>-1.2135479223102887</v>
      </c>
      <c r="H7124" s="35"/>
      <c r="P7124" s="6"/>
    </row>
    <row r="7125" spans="1:16" ht="14.4" x14ac:dyDescent="0.25">
      <c r="A7125" s="6">
        <v>6008</v>
      </c>
      <c r="B7125" s="6">
        <v>42563</v>
      </c>
      <c r="C7125" s="19">
        <v>40402</v>
      </c>
      <c r="D7125" s="6" t="s">
        <v>16</v>
      </c>
      <c r="E7125" s="6">
        <f>IF((ISBLANK($B$1)),"",Sheet1!Q7137)</f>
        <v>3750</v>
      </c>
      <c r="F7125" s="20" t="s">
        <v>26</v>
      </c>
      <c r="G7125" s="53">
        <f t="shared" si="112"/>
        <v>-1.282595635945766</v>
      </c>
      <c r="H7125" s="35"/>
      <c r="P7125" s="6"/>
    </row>
    <row r="7126" spans="1:16" ht="14.4" x14ac:dyDescent="0.25">
      <c r="A7126" s="6">
        <v>6011</v>
      </c>
      <c r="B7126" s="6">
        <v>42567</v>
      </c>
      <c r="C7126" s="19">
        <v>40189</v>
      </c>
      <c r="D7126" s="6" t="s">
        <v>30</v>
      </c>
      <c r="E7126" s="6">
        <f>IF((ISBLANK($B$1)),"",Sheet1!Q7138)</f>
        <v>4000</v>
      </c>
      <c r="F7126" s="20" t="s">
        <v>29</v>
      </c>
      <c r="G7126" s="53">
        <f t="shared" si="112"/>
        <v>-0.93735706776838001</v>
      </c>
      <c r="H7126" s="35"/>
      <c r="P7126" s="6"/>
    </row>
    <row r="7127" spans="1:16" ht="14.4" x14ac:dyDescent="0.25">
      <c r="A7127" s="6">
        <v>6024</v>
      </c>
      <c r="B7127" s="6">
        <v>42691</v>
      </c>
      <c r="C7127" s="19">
        <v>40322</v>
      </c>
      <c r="D7127" s="6" t="s">
        <v>25</v>
      </c>
      <c r="E7127" s="6">
        <f>IF((ISBLANK($B$1)),"",Sheet1!Q7139)</f>
        <v>5900</v>
      </c>
      <c r="F7127" s="20" t="s">
        <v>29</v>
      </c>
      <c r="G7127" s="53">
        <f t="shared" si="112"/>
        <v>1.6864560503797523</v>
      </c>
      <c r="H7127" s="35"/>
      <c r="P7127" s="6"/>
    </row>
    <row r="7128" spans="1:16" ht="14.4" x14ac:dyDescent="0.25">
      <c r="A7128" s="6">
        <v>6025</v>
      </c>
      <c r="B7128" s="6">
        <v>42691</v>
      </c>
      <c r="C7128" s="19">
        <v>40322</v>
      </c>
      <c r="D7128" s="6" t="s">
        <v>25</v>
      </c>
      <c r="E7128" s="6">
        <f>IF((ISBLANK($B$1)),"",Sheet1!Q7140)</f>
        <v>3750</v>
      </c>
      <c r="F7128" s="20" t="s">
        <v>26</v>
      </c>
      <c r="G7128" s="53">
        <f t="shared" si="112"/>
        <v>-1.282595635945766</v>
      </c>
      <c r="H7128" s="35"/>
      <c r="P7128" s="6"/>
    </row>
    <row r="7129" spans="1:16" ht="14.4" x14ac:dyDescent="0.25">
      <c r="A7129" s="6">
        <v>6058</v>
      </c>
      <c r="B7129" s="6">
        <v>42919</v>
      </c>
      <c r="C7129" s="19">
        <v>40822</v>
      </c>
      <c r="D7129" s="6" t="s">
        <v>16</v>
      </c>
      <c r="E7129" s="6">
        <f>IF((ISBLANK($B$1)),"",Sheet1!Q7141)</f>
        <v>3750</v>
      </c>
      <c r="F7129" s="20" t="s">
        <v>27</v>
      </c>
      <c r="G7129" s="53">
        <f t="shared" si="112"/>
        <v>-1.282595635945766</v>
      </c>
      <c r="H7129" s="35"/>
      <c r="P7129" s="6"/>
    </row>
    <row r="7130" spans="1:16" ht="14.4" x14ac:dyDescent="0.25">
      <c r="A7130" s="6">
        <v>6070</v>
      </c>
      <c r="B7130" s="6">
        <v>43010</v>
      </c>
      <c r="C7130" s="19">
        <v>41191</v>
      </c>
      <c r="D7130" s="6" t="s">
        <v>30</v>
      </c>
      <c r="E7130" s="6">
        <f>IF((ISBLANK($B$1)),"",Sheet1!Q7142)</f>
        <v>5400</v>
      </c>
      <c r="F7130" s="20" t="s">
        <v>26</v>
      </c>
      <c r="G7130" s="53">
        <f t="shared" si="112"/>
        <v>0.99597891402498073</v>
      </c>
      <c r="H7130" s="35"/>
      <c r="P7130" s="6"/>
    </row>
    <row r="7131" spans="1:16" ht="14.4" x14ac:dyDescent="0.25">
      <c r="A7131" s="6">
        <v>6071</v>
      </c>
      <c r="B7131" s="6">
        <v>43010</v>
      </c>
      <c r="C7131" s="19">
        <v>41191</v>
      </c>
      <c r="D7131" s="6" t="s">
        <v>30</v>
      </c>
      <c r="E7131" s="6">
        <f>IF((ISBLANK($B$1)),"",Sheet1!Q7143)</f>
        <v>4600</v>
      </c>
      <c r="F7131" s="20" t="s">
        <v>26</v>
      </c>
      <c r="G7131" s="53">
        <f t="shared" si="112"/>
        <v>-0.108784504142654</v>
      </c>
      <c r="H7131" s="35"/>
      <c r="P7131" s="6"/>
    </row>
    <row r="7132" spans="1:16" ht="14.4" x14ac:dyDescent="0.25">
      <c r="A7132" s="6">
        <v>6074</v>
      </c>
      <c r="B7132" s="6">
        <v>43043</v>
      </c>
      <c r="C7132" s="19">
        <v>41013</v>
      </c>
      <c r="D7132" s="6" t="s">
        <v>30</v>
      </c>
      <c r="E7132" s="6">
        <f>IF((ISBLANK($B$1)),"",Sheet1!Q7144)</f>
        <v>3600</v>
      </c>
      <c r="F7132" s="20" t="s">
        <v>26</v>
      </c>
      <c r="G7132" s="53">
        <f t="shared" si="112"/>
        <v>-1.4897387768521975</v>
      </c>
      <c r="H7132" s="35"/>
      <c r="P7132" s="6"/>
    </row>
    <row r="7133" spans="1:16" ht="14.4" x14ac:dyDescent="0.25">
      <c r="A7133" s="6">
        <v>6092</v>
      </c>
      <c r="B7133" s="6">
        <v>43170</v>
      </c>
      <c r="C7133" s="19">
        <v>40311</v>
      </c>
      <c r="D7133" s="6" t="s">
        <v>25</v>
      </c>
      <c r="E7133" s="6">
        <f>IF((ISBLANK($B$1)),"",Sheet1!Q7145)</f>
        <v>4650</v>
      </c>
      <c r="F7133" s="20" t="s">
        <v>27</v>
      </c>
      <c r="G7133" s="53">
        <f t="shared" si="112"/>
        <v>-3.9736790507176829E-2</v>
      </c>
      <c r="H7133" s="35"/>
      <c r="P7133" s="6"/>
    </row>
    <row r="7134" spans="1:16" ht="14.4" x14ac:dyDescent="0.25">
      <c r="A7134" s="6">
        <v>6093</v>
      </c>
      <c r="B7134" s="6">
        <v>43170</v>
      </c>
      <c r="C7134" s="19">
        <v>40311</v>
      </c>
      <c r="D7134" s="6" t="s">
        <v>25</v>
      </c>
      <c r="E7134" s="6">
        <f>IF((ISBLANK($B$1)),"",Sheet1!Q7146)</f>
        <v>5400</v>
      </c>
      <c r="F7134" s="20" t="s">
        <v>26</v>
      </c>
      <c r="G7134" s="53">
        <f t="shared" si="112"/>
        <v>0.99597891402498073</v>
      </c>
      <c r="H7134" s="35"/>
      <c r="P7134" s="6"/>
    </row>
    <row r="7135" spans="1:16" ht="14.4" x14ac:dyDescent="0.25">
      <c r="A7135" s="6">
        <v>6130</v>
      </c>
      <c r="B7135" s="6">
        <v>43397</v>
      </c>
      <c r="C7135" s="19">
        <v>40675</v>
      </c>
      <c r="D7135" s="6" t="s">
        <v>30</v>
      </c>
      <c r="E7135" s="6">
        <f>IF((ISBLANK($B$1)),"",Sheet1!Q7147)</f>
        <v>5150</v>
      </c>
      <c r="F7135" s="20" t="s">
        <v>29</v>
      </c>
      <c r="G7135" s="53">
        <f t="shared" si="112"/>
        <v>0.65074034584759488</v>
      </c>
      <c r="H7135" s="35"/>
      <c r="P7135" s="6"/>
    </row>
    <row r="7136" spans="1:16" ht="14.4" x14ac:dyDescent="0.25">
      <c r="A7136" s="6">
        <v>6146</v>
      </c>
      <c r="B7136" s="6">
        <v>43494</v>
      </c>
      <c r="C7136" s="19">
        <v>40911</v>
      </c>
      <c r="D7136" s="6" t="s">
        <v>16</v>
      </c>
      <c r="E7136" s="6">
        <f>IF((ISBLANK($B$1)),"",Sheet1!Q7148)</f>
        <v>3500</v>
      </c>
      <c r="F7136" s="20" t="s">
        <v>27</v>
      </c>
      <c r="G7136" s="53">
        <f t="shared" si="112"/>
        <v>-1.6278342041231517</v>
      </c>
      <c r="H7136" s="35"/>
      <c r="P7136" s="6"/>
    </row>
    <row r="7137" spans="1:16" ht="14.4" x14ac:dyDescent="0.25">
      <c r="A7137" s="6">
        <v>6165</v>
      </c>
      <c r="B7137" s="6">
        <v>43682</v>
      </c>
      <c r="C7137" s="19">
        <v>41148</v>
      </c>
      <c r="D7137" s="6" t="s">
        <v>16</v>
      </c>
      <c r="E7137" s="6">
        <f>IF((ISBLANK($B$1)),"",Sheet1!Q7149)</f>
        <v>4100</v>
      </c>
      <c r="F7137" s="20" t="s">
        <v>27</v>
      </c>
      <c r="G7137" s="53">
        <f t="shared" si="112"/>
        <v>-0.79926164049742576</v>
      </c>
      <c r="H7137" s="35"/>
      <c r="P7137" s="6"/>
    </row>
    <row r="7138" spans="1:16" ht="14.4" x14ac:dyDescent="0.25">
      <c r="A7138" s="6">
        <v>6181</v>
      </c>
      <c r="B7138" s="6">
        <v>43814</v>
      </c>
      <c r="C7138" s="19">
        <v>40552</v>
      </c>
      <c r="D7138" s="6" t="s">
        <v>16</v>
      </c>
      <c r="E7138" s="6">
        <f>IF((ISBLANK($B$1)),"",Sheet1!Q7150)</f>
        <v>5400</v>
      </c>
      <c r="F7138" s="20" t="s">
        <v>26</v>
      </c>
      <c r="G7138" s="53">
        <f t="shared" si="112"/>
        <v>0.99597891402498073</v>
      </c>
      <c r="H7138" s="35"/>
      <c r="P7138" s="6"/>
    </row>
    <row r="7139" spans="1:16" ht="14.4" x14ac:dyDescent="0.25">
      <c r="A7139" s="6">
        <v>6182</v>
      </c>
      <c r="B7139" s="6">
        <v>43814</v>
      </c>
      <c r="C7139" s="19">
        <v>40552</v>
      </c>
      <c r="D7139" s="6" t="s">
        <v>16</v>
      </c>
      <c r="E7139" s="6">
        <f>IF((ISBLANK($B$1)),"",Sheet1!Q7151)</f>
        <v>5750</v>
      </c>
      <c r="F7139" s="20" t="s">
        <v>26</v>
      </c>
      <c r="G7139" s="53">
        <f t="shared" si="112"/>
        <v>1.4793129094733208</v>
      </c>
      <c r="H7139" s="35"/>
      <c r="P7139" s="6"/>
    </row>
    <row r="7140" spans="1:16" ht="14.4" x14ac:dyDescent="0.25">
      <c r="A7140" s="6">
        <v>6183</v>
      </c>
      <c r="B7140" s="6">
        <v>43815</v>
      </c>
      <c r="C7140" s="19">
        <v>41073</v>
      </c>
      <c r="D7140" s="6" t="s">
        <v>28</v>
      </c>
      <c r="E7140" s="6">
        <f>IF((ISBLANK($B$1)),"",Sheet1!Q7152)</f>
        <v>5400</v>
      </c>
      <c r="F7140" s="20" t="s">
        <v>26</v>
      </c>
      <c r="G7140" s="53">
        <f t="shared" si="112"/>
        <v>0.99597891402498073</v>
      </c>
      <c r="H7140" s="35"/>
      <c r="P7140" s="6"/>
    </row>
    <row r="7141" spans="1:16" ht="14.4" x14ac:dyDescent="0.25">
      <c r="A7141" s="6">
        <v>6184</v>
      </c>
      <c r="B7141" s="6">
        <v>43815</v>
      </c>
      <c r="C7141" s="19">
        <v>41073</v>
      </c>
      <c r="D7141" s="6" t="s">
        <v>28</v>
      </c>
      <c r="E7141" s="6">
        <f>IF((ISBLANK($B$1)),"",Sheet1!Q7153)</f>
        <v>4500</v>
      </c>
      <c r="F7141" s="20" t="s">
        <v>26</v>
      </c>
      <c r="G7141" s="53">
        <f t="shared" si="112"/>
        <v>-0.24687993141360834</v>
      </c>
      <c r="H7141" s="35"/>
      <c r="P7141" s="6"/>
    </row>
    <row r="7142" spans="1:16" ht="14.4" x14ac:dyDescent="0.25">
      <c r="A7142" s="6">
        <v>6185</v>
      </c>
      <c r="B7142" s="6">
        <v>43815</v>
      </c>
      <c r="C7142" s="19">
        <v>41073</v>
      </c>
      <c r="D7142" s="6" t="s">
        <v>28</v>
      </c>
      <c r="E7142" s="6">
        <f>IF((ISBLANK($B$1)),"",Sheet1!Q7154)</f>
        <v>5650</v>
      </c>
      <c r="F7142" s="20" t="s">
        <v>26</v>
      </c>
      <c r="G7142" s="53">
        <f t="shared" si="112"/>
        <v>1.3412174822023666</v>
      </c>
      <c r="H7142" s="35"/>
      <c r="P7142" s="6"/>
    </row>
    <row r="7143" spans="1:16" ht="14.4" x14ac:dyDescent="0.25">
      <c r="A7143" s="6">
        <v>6186</v>
      </c>
      <c r="B7143" s="6">
        <v>43844</v>
      </c>
      <c r="C7143" s="19">
        <v>40482</v>
      </c>
      <c r="D7143" s="6" t="s">
        <v>17</v>
      </c>
      <c r="E7143" s="6">
        <f>IF((ISBLANK($B$1)),"",Sheet1!Q7155)</f>
        <v>4650</v>
      </c>
      <c r="F7143" s="20" t="s">
        <v>27</v>
      </c>
      <c r="G7143" s="53">
        <f t="shared" si="112"/>
        <v>-3.9736790507176829E-2</v>
      </c>
      <c r="H7143" s="35"/>
      <c r="P7143" s="6"/>
    </row>
    <row r="7144" spans="1:16" ht="14.4" x14ac:dyDescent="0.25">
      <c r="A7144" s="6">
        <v>6187</v>
      </c>
      <c r="B7144" s="6">
        <v>43846</v>
      </c>
      <c r="C7144" s="19">
        <v>39870</v>
      </c>
      <c r="D7144" s="6" t="s">
        <v>17</v>
      </c>
      <c r="E7144" s="6">
        <f>IF((ISBLANK($B$1)),"",Sheet1!Q7156)</f>
        <v>3850</v>
      </c>
      <c r="F7144" s="20" t="s">
        <v>26</v>
      </c>
      <c r="G7144" s="53">
        <f t="shared" si="112"/>
        <v>-1.1445002086748115</v>
      </c>
      <c r="H7144" s="35"/>
      <c r="P7144" s="6"/>
    </row>
    <row r="7145" spans="1:16" ht="14.4" x14ac:dyDescent="0.25">
      <c r="A7145" s="6">
        <v>6207</v>
      </c>
      <c r="B7145" s="6">
        <v>43974</v>
      </c>
      <c r="C7145" s="19">
        <v>40072</v>
      </c>
      <c r="D7145" s="6" t="s">
        <v>28</v>
      </c>
      <c r="E7145" s="6">
        <f>IF((ISBLANK($B$1)),"",Sheet1!Q7157)</f>
        <v>3800</v>
      </c>
      <c r="F7145" s="20" t="s">
        <v>26</v>
      </c>
      <c r="G7145" s="53">
        <f t="shared" si="112"/>
        <v>-1.2135479223102887</v>
      </c>
      <c r="H7145" s="35"/>
      <c r="P7145" s="6"/>
    </row>
    <row r="7146" spans="1:16" ht="14.4" x14ac:dyDescent="0.25">
      <c r="A7146" s="6">
        <v>6209</v>
      </c>
      <c r="B7146" s="6">
        <v>44000</v>
      </c>
      <c r="C7146" s="19">
        <v>41186</v>
      </c>
      <c r="D7146" s="6" t="s">
        <v>28</v>
      </c>
      <c r="E7146" s="6">
        <f>IF((ISBLANK($B$1)),"",Sheet1!Q7158)</f>
        <v>4250</v>
      </c>
      <c r="F7146" s="20" t="s">
        <v>26</v>
      </c>
      <c r="G7146" s="53">
        <f t="shared" si="112"/>
        <v>-0.59211849959099416</v>
      </c>
      <c r="H7146" s="35"/>
      <c r="P7146" s="6"/>
    </row>
    <row r="7147" spans="1:16" ht="14.4" x14ac:dyDescent="0.25">
      <c r="A7147" s="6">
        <v>6210</v>
      </c>
      <c r="B7147" s="6">
        <v>44000</v>
      </c>
      <c r="C7147" s="19">
        <v>41186</v>
      </c>
      <c r="D7147" s="6" t="s">
        <v>28</v>
      </c>
      <c r="E7147" s="6">
        <f>IF((ISBLANK($B$1)),"",Sheet1!Q7159)</f>
        <v>4350</v>
      </c>
      <c r="F7147" s="20" t="s">
        <v>29</v>
      </c>
      <c r="G7147" s="53">
        <f t="shared" si="112"/>
        <v>-0.45402307232003986</v>
      </c>
      <c r="H7147" s="35"/>
      <c r="P7147" s="6"/>
    </row>
    <row r="7148" spans="1:16" ht="14.4" x14ac:dyDescent="0.25">
      <c r="A7148" s="6">
        <v>6214</v>
      </c>
      <c r="B7148" s="6">
        <v>44003</v>
      </c>
      <c r="C7148" s="19">
        <v>40864</v>
      </c>
      <c r="D7148" s="6" t="s">
        <v>25</v>
      </c>
      <c r="E7148" s="6">
        <f>IF((ISBLANK($B$1)),"",Sheet1!Q7160)</f>
        <v>5300</v>
      </c>
      <c r="F7148" s="20" t="s">
        <v>26</v>
      </c>
      <c r="G7148" s="53">
        <f t="shared" si="112"/>
        <v>0.85788348675402637</v>
      </c>
      <c r="H7148" s="35"/>
      <c r="P7148" s="6"/>
    </row>
    <row r="7149" spans="1:16" ht="14.4" x14ac:dyDescent="0.25">
      <c r="A7149" s="6">
        <v>6224</v>
      </c>
      <c r="B7149" s="6">
        <v>44069</v>
      </c>
      <c r="C7149" s="19">
        <v>39815</v>
      </c>
      <c r="D7149" s="6" t="s">
        <v>30</v>
      </c>
      <c r="E7149" s="6">
        <f>IF((ISBLANK($B$1)),"",Sheet1!Q7161)</f>
        <v>4200</v>
      </c>
      <c r="F7149" s="20" t="s">
        <v>26</v>
      </c>
      <c r="G7149" s="53">
        <f t="shared" si="112"/>
        <v>-0.6611662132264714</v>
      </c>
      <c r="H7149" s="35"/>
      <c r="P7149" s="6"/>
    </row>
    <row r="7150" spans="1:16" ht="14.4" x14ac:dyDescent="0.25">
      <c r="A7150" s="6">
        <v>6225</v>
      </c>
      <c r="B7150" s="6">
        <v>44069</v>
      </c>
      <c r="C7150" s="19">
        <v>39815</v>
      </c>
      <c r="D7150" s="6" t="s">
        <v>30</v>
      </c>
      <c r="E7150" s="6">
        <f>IF((ISBLANK($B$1)),"",Sheet1!Q7162)</f>
        <v>5550</v>
      </c>
      <c r="F7150" s="20" t="s">
        <v>26</v>
      </c>
      <c r="G7150" s="53">
        <f t="shared" si="112"/>
        <v>1.2031220549314123</v>
      </c>
      <c r="H7150" s="35"/>
      <c r="P7150" s="6"/>
    </row>
    <row r="7151" spans="1:16" ht="14.4" x14ac:dyDescent="0.25">
      <c r="A7151" s="6">
        <v>6229</v>
      </c>
      <c r="B7151" s="6">
        <v>44099</v>
      </c>
      <c r="C7151" s="19">
        <v>40980</v>
      </c>
      <c r="D7151" s="6" t="s">
        <v>16</v>
      </c>
      <c r="E7151" s="6">
        <f>IF((ISBLANK($B$1)),"",Sheet1!Q7163)</f>
        <v>5100</v>
      </c>
      <c r="F7151" s="20" t="s">
        <v>26</v>
      </c>
      <c r="G7151" s="53">
        <f t="shared" si="112"/>
        <v>0.58169263221211776</v>
      </c>
      <c r="H7151" s="35"/>
      <c r="P7151" s="6"/>
    </row>
    <row r="7152" spans="1:16" ht="14.4" x14ac:dyDescent="0.25">
      <c r="A7152" s="6">
        <v>6230</v>
      </c>
      <c r="B7152" s="6">
        <v>44099</v>
      </c>
      <c r="C7152" s="19">
        <v>40980</v>
      </c>
      <c r="D7152" s="6" t="s">
        <v>16</v>
      </c>
      <c r="E7152" s="6">
        <f>IF((ISBLANK($B$1)),"",Sheet1!Q7164)</f>
        <v>4350</v>
      </c>
      <c r="F7152" s="20" t="s">
        <v>26</v>
      </c>
      <c r="G7152" s="53">
        <f t="shared" si="112"/>
        <v>-0.45402307232003986</v>
      </c>
      <c r="H7152" s="35"/>
      <c r="P7152" s="6"/>
    </row>
    <row r="7153" spans="1:16" ht="14.4" x14ac:dyDescent="0.25">
      <c r="A7153" s="6">
        <v>6231</v>
      </c>
      <c r="B7153" s="6">
        <v>44133</v>
      </c>
      <c r="C7153" s="19">
        <v>40184</v>
      </c>
      <c r="D7153" s="6" t="s">
        <v>17</v>
      </c>
      <c r="E7153" s="6">
        <f>IF((ISBLANK($B$1)),"",Sheet1!Q7165)</f>
        <v>5150</v>
      </c>
      <c r="F7153" s="20" t="s">
        <v>29</v>
      </c>
      <c r="G7153" s="53">
        <f t="shared" si="112"/>
        <v>0.65074034584759488</v>
      </c>
      <c r="H7153" s="35"/>
      <c r="P7153" s="6"/>
    </row>
    <row r="7154" spans="1:16" ht="14.4" x14ac:dyDescent="0.25">
      <c r="A7154" s="6">
        <v>6249</v>
      </c>
      <c r="B7154" s="6">
        <v>44261</v>
      </c>
      <c r="C7154" s="19">
        <v>40991</v>
      </c>
      <c r="D7154" s="6" t="s">
        <v>17</v>
      </c>
      <c r="E7154" s="6">
        <f>IF((ISBLANK($B$1)),"",Sheet1!Q7166)</f>
        <v>4950</v>
      </c>
      <c r="F7154" s="20" t="s">
        <v>26</v>
      </c>
      <c r="G7154" s="53">
        <f t="shared" si="112"/>
        <v>0.37454949130568621</v>
      </c>
      <c r="H7154" s="35"/>
      <c r="P7154" s="6"/>
    </row>
    <row r="7155" spans="1:16" ht="14.4" x14ac:dyDescent="0.25">
      <c r="A7155" s="6">
        <v>6250</v>
      </c>
      <c r="B7155" s="6">
        <v>44261</v>
      </c>
      <c r="C7155" s="19">
        <v>40991</v>
      </c>
      <c r="D7155" s="6" t="s">
        <v>17</v>
      </c>
      <c r="E7155" s="6">
        <f>IF((ISBLANK($B$1)),"",Sheet1!Q7167)</f>
        <v>5100</v>
      </c>
      <c r="F7155" s="20" t="s">
        <v>29</v>
      </c>
      <c r="G7155" s="53">
        <f t="shared" si="112"/>
        <v>0.58169263221211776</v>
      </c>
      <c r="H7155" s="35"/>
      <c r="P7155" s="6"/>
    </row>
    <row r="7156" spans="1:16" ht="14.4" x14ac:dyDescent="0.25">
      <c r="A7156" s="6">
        <v>6251</v>
      </c>
      <c r="B7156" s="6">
        <v>44261</v>
      </c>
      <c r="C7156" s="19">
        <v>40991</v>
      </c>
      <c r="D7156" s="6" t="s">
        <v>17</v>
      </c>
      <c r="E7156" s="6">
        <f>IF((ISBLANK($B$1)),"",Sheet1!Q7168)</f>
        <v>3450</v>
      </c>
      <c r="F7156" s="20" t="s">
        <v>27</v>
      </c>
      <c r="G7156" s="53">
        <f t="shared" si="112"/>
        <v>-1.696881917758629</v>
      </c>
      <c r="H7156" s="35"/>
      <c r="P7156" s="6"/>
    </row>
    <row r="7157" spans="1:16" ht="14.4" x14ac:dyDescent="0.25">
      <c r="A7157" s="6">
        <v>6252</v>
      </c>
      <c r="B7157" s="6">
        <v>44261</v>
      </c>
      <c r="C7157" s="19">
        <v>40991</v>
      </c>
      <c r="D7157" s="6" t="s">
        <v>17</v>
      </c>
      <c r="E7157" s="6">
        <f>IF((ISBLANK($B$1)),"",Sheet1!Q7169)</f>
        <v>3900</v>
      </c>
      <c r="F7157" s="20" t="s">
        <v>27</v>
      </c>
      <c r="G7157" s="53">
        <f t="shared" si="112"/>
        <v>-1.0754524950393345</v>
      </c>
      <c r="H7157" s="35"/>
      <c r="P7157" s="6"/>
    </row>
    <row r="7158" spans="1:16" ht="14.4" x14ac:dyDescent="0.25">
      <c r="A7158" s="6">
        <v>6263</v>
      </c>
      <c r="B7158" s="6">
        <v>44323</v>
      </c>
      <c r="C7158" s="19">
        <v>41128</v>
      </c>
      <c r="D7158" s="6" t="s">
        <v>16</v>
      </c>
      <c r="E7158" s="6">
        <f>IF((ISBLANK($B$1)),"",Sheet1!Q7170)</f>
        <v>4750</v>
      </c>
      <c r="F7158" s="20" t="s">
        <v>27</v>
      </c>
      <c r="G7158" s="53">
        <f t="shared" si="112"/>
        <v>9.8358636763777513E-2</v>
      </c>
      <c r="H7158" s="35"/>
      <c r="P7158" s="6"/>
    </row>
    <row r="7159" spans="1:16" ht="14.4" x14ac:dyDescent="0.25">
      <c r="A7159" s="6">
        <v>6289</v>
      </c>
      <c r="B7159" s="6">
        <v>44517</v>
      </c>
      <c r="C7159" s="19">
        <v>39926</v>
      </c>
      <c r="D7159" s="6" t="s">
        <v>16</v>
      </c>
      <c r="E7159" s="6">
        <f>IF((ISBLANK($B$1)),"",Sheet1!Q7171)</f>
        <v>3650</v>
      </c>
      <c r="F7159" s="20" t="s">
        <v>26</v>
      </c>
      <c r="G7159" s="53">
        <f t="shared" si="112"/>
        <v>-1.4206910632167202</v>
      </c>
      <c r="H7159" s="35"/>
      <c r="P7159" s="6"/>
    </row>
    <row r="7160" spans="1:16" ht="14.4" x14ac:dyDescent="0.25">
      <c r="A7160" s="6">
        <v>6294</v>
      </c>
      <c r="B7160" s="6">
        <v>44549</v>
      </c>
      <c r="C7160" s="19">
        <v>40930</v>
      </c>
      <c r="D7160" s="6" t="s">
        <v>16</v>
      </c>
      <c r="E7160" s="6">
        <f>IF((ISBLANK($B$1)),"",Sheet1!Q7172)</f>
        <v>3650</v>
      </c>
      <c r="F7160" s="20" t="s">
        <v>26</v>
      </c>
      <c r="G7160" s="53">
        <f t="shared" si="112"/>
        <v>-1.4206910632167202</v>
      </c>
      <c r="H7160" s="35"/>
      <c r="P7160" s="6"/>
    </row>
    <row r="7161" spans="1:16" ht="14.4" x14ac:dyDescent="0.25">
      <c r="A7161" s="6">
        <v>6315</v>
      </c>
      <c r="B7161" s="6">
        <v>44679</v>
      </c>
      <c r="C7161" s="19">
        <v>41063</v>
      </c>
      <c r="D7161" s="6" t="s">
        <v>16</v>
      </c>
      <c r="E7161" s="6">
        <f>IF((ISBLANK($B$1)),"",Sheet1!Q7173)</f>
        <v>4500</v>
      </c>
      <c r="F7161" s="20" t="s">
        <v>26</v>
      </c>
      <c r="G7161" s="53">
        <f t="shared" si="112"/>
        <v>-0.24687993141360834</v>
      </c>
      <c r="H7161" s="35"/>
      <c r="P7161" s="6"/>
    </row>
    <row r="7162" spans="1:16" ht="14.4" x14ac:dyDescent="0.25">
      <c r="A7162" s="6">
        <v>6316</v>
      </c>
      <c r="B7162" s="6">
        <v>44679</v>
      </c>
      <c r="C7162" s="19">
        <v>41063</v>
      </c>
      <c r="D7162" s="6" t="s">
        <v>16</v>
      </c>
      <c r="E7162" s="6">
        <f>IF((ISBLANK($B$1)),"",Sheet1!Q7174)</f>
        <v>5150</v>
      </c>
      <c r="F7162" s="20" t="s">
        <v>29</v>
      </c>
      <c r="G7162" s="53">
        <f t="shared" si="112"/>
        <v>0.65074034584759488</v>
      </c>
      <c r="H7162" s="35"/>
      <c r="P7162" s="6"/>
    </row>
    <row r="7163" spans="1:16" ht="14.4" x14ac:dyDescent="0.25">
      <c r="A7163" s="6">
        <v>6329</v>
      </c>
      <c r="B7163" s="6">
        <v>44836</v>
      </c>
      <c r="C7163" s="19">
        <v>40067</v>
      </c>
      <c r="D7163" s="6" t="s">
        <v>16</v>
      </c>
      <c r="E7163" s="6">
        <f>IF((ISBLANK($B$1)),"",Sheet1!Q7175)</f>
        <v>4450</v>
      </c>
      <c r="F7163" s="20" t="s">
        <v>26</v>
      </c>
      <c r="G7163" s="53">
        <f t="shared" si="112"/>
        <v>-0.31592764504908549</v>
      </c>
      <c r="H7163" s="35"/>
      <c r="P7163" s="6"/>
    </row>
    <row r="7164" spans="1:16" ht="14.4" x14ac:dyDescent="0.25">
      <c r="A7164" s="6">
        <v>6358</v>
      </c>
      <c r="B7164" s="6">
        <v>45120</v>
      </c>
      <c r="C7164" s="19">
        <v>39912</v>
      </c>
      <c r="D7164" s="6" t="s">
        <v>30</v>
      </c>
      <c r="E7164" s="6">
        <f>IF((ISBLANK($B$1)),"",Sheet1!Q7176)</f>
        <v>5350</v>
      </c>
      <c r="F7164" s="20" t="s">
        <v>27</v>
      </c>
      <c r="G7164" s="53">
        <f t="shared" si="112"/>
        <v>0.92693120038950361</v>
      </c>
      <c r="H7164" s="35"/>
      <c r="P7164" s="6"/>
    </row>
    <row r="7165" spans="1:16" ht="14.4" x14ac:dyDescent="0.25">
      <c r="A7165" s="6">
        <v>6367</v>
      </c>
      <c r="B7165" s="6">
        <v>45158</v>
      </c>
      <c r="C7165" s="19">
        <v>40278</v>
      </c>
      <c r="D7165" s="6" t="s">
        <v>25</v>
      </c>
      <c r="E7165" s="6">
        <f>IF((ISBLANK($B$1)),"",Sheet1!Q7177)</f>
        <v>5400</v>
      </c>
      <c r="F7165" s="20" t="s">
        <v>26</v>
      </c>
      <c r="G7165" s="53">
        <f t="shared" si="112"/>
        <v>0.99597891402498073</v>
      </c>
      <c r="H7165" s="35"/>
      <c r="P7165" s="6"/>
    </row>
    <row r="7166" spans="1:16" ht="14.4" x14ac:dyDescent="0.25">
      <c r="A7166" s="6">
        <v>6368</v>
      </c>
      <c r="B7166" s="6">
        <v>45158</v>
      </c>
      <c r="C7166" s="19">
        <v>40278</v>
      </c>
      <c r="D7166" s="6" t="s">
        <v>25</v>
      </c>
      <c r="E7166" s="6">
        <f>IF((ISBLANK($B$1)),"",Sheet1!Q7178)</f>
        <v>4150</v>
      </c>
      <c r="F7166" s="20" t="s">
        <v>26</v>
      </c>
      <c r="G7166" s="53">
        <f t="shared" si="112"/>
        <v>-0.73021392686194853</v>
      </c>
      <c r="H7166" s="35"/>
      <c r="P7166" s="6"/>
    </row>
    <row r="7167" spans="1:16" ht="14.4" x14ac:dyDescent="0.25">
      <c r="A7167" s="6">
        <v>6377</v>
      </c>
      <c r="B7167" s="6">
        <v>45254</v>
      </c>
      <c r="C7167" s="19">
        <v>40385</v>
      </c>
      <c r="D7167" s="6" t="s">
        <v>17</v>
      </c>
      <c r="E7167" s="6">
        <f>IF((ISBLANK($B$1)),"",Sheet1!Q7179)</f>
        <v>5650</v>
      </c>
      <c r="F7167" s="20" t="s">
        <v>29</v>
      </c>
      <c r="G7167" s="53">
        <f t="shared" si="112"/>
        <v>1.3412174822023666</v>
      </c>
      <c r="H7167" s="35"/>
      <c r="P7167" s="6"/>
    </row>
    <row r="7168" spans="1:16" ht="14.4" x14ac:dyDescent="0.25">
      <c r="A7168" s="6">
        <v>6379</v>
      </c>
      <c r="B7168" s="6">
        <v>45315</v>
      </c>
      <c r="C7168" s="19">
        <v>41019</v>
      </c>
      <c r="D7168" s="6" t="s">
        <v>16</v>
      </c>
      <c r="E7168" s="6">
        <f>IF((ISBLANK($B$1)),"",Sheet1!Q7180)</f>
        <v>5000</v>
      </c>
      <c r="F7168" s="20" t="s">
        <v>26</v>
      </c>
      <c r="G7168" s="53">
        <f t="shared" si="112"/>
        <v>0.44359720494116334</v>
      </c>
      <c r="H7168" s="35"/>
      <c r="P7168" s="6"/>
    </row>
    <row r="7169" spans="1:16" ht="14.4" x14ac:dyDescent="0.25">
      <c r="A7169" s="6">
        <v>6387</v>
      </c>
      <c r="B7169" s="6">
        <v>45380</v>
      </c>
      <c r="C7169" s="19">
        <v>39933</v>
      </c>
      <c r="D7169" s="6" t="s">
        <v>30</v>
      </c>
      <c r="E7169" s="6">
        <f>IF((ISBLANK($B$1)),"",Sheet1!Q7181)</f>
        <v>5100</v>
      </c>
      <c r="F7169" s="20" t="s">
        <v>27</v>
      </c>
      <c r="G7169" s="53">
        <f t="shared" si="112"/>
        <v>0.58169263221211776</v>
      </c>
      <c r="H7169" s="35"/>
      <c r="P7169" s="6"/>
    </row>
    <row r="7170" spans="1:16" ht="14.4" x14ac:dyDescent="0.25">
      <c r="A7170" s="6">
        <v>6388</v>
      </c>
      <c r="B7170" s="6">
        <v>45380</v>
      </c>
      <c r="C7170" s="19">
        <v>39933</v>
      </c>
      <c r="D7170" s="6" t="s">
        <v>30</v>
      </c>
      <c r="E7170" s="6">
        <f>IF((ISBLANK($B$1)),"",Sheet1!Q7182)</f>
        <v>4600</v>
      </c>
      <c r="F7170" s="20" t="s">
        <v>27</v>
      </c>
      <c r="G7170" s="53">
        <f t="shared" si="112"/>
        <v>-0.108784504142654</v>
      </c>
      <c r="H7170" s="35"/>
      <c r="P7170" s="6"/>
    </row>
    <row r="7171" spans="1:16" ht="14.4" x14ac:dyDescent="0.25">
      <c r="A7171" s="6">
        <v>6393</v>
      </c>
      <c r="B7171" s="6">
        <v>45409</v>
      </c>
      <c r="C7171" s="19">
        <v>40280</v>
      </c>
      <c r="D7171" s="6" t="s">
        <v>30</v>
      </c>
      <c r="E7171" s="6">
        <f>IF((ISBLANK($B$1)),"",Sheet1!Q7183)</f>
        <v>3950</v>
      </c>
      <c r="F7171" s="20" t="s">
        <v>29</v>
      </c>
      <c r="G7171" s="53">
        <f t="shared" si="112"/>
        <v>-1.0064047814038573</v>
      </c>
      <c r="H7171" s="35"/>
      <c r="P7171" s="6"/>
    </row>
    <row r="7172" spans="1:16" ht="14.4" x14ac:dyDescent="0.25">
      <c r="A7172" s="6">
        <v>6394</v>
      </c>
      <c r="B7172" s="6">
        <v>45409</v>
      </c>
      <c r="C7172" s="19">
        <v>40280</v>
      </c>
      <c r="D7172" s="6" t="s">
        <v>30</v>
      </c>
      <c r="E7172" s="6">
        <f>IF((ISBLANK($B$1)),"",Sheet1!Q7184)</f>
        <v>3900</v>
      </c>
      <c r="F7172" s="20" t="s">
        <v>26</v>
      </c>
      <c r="G7172" s="53">
        <f t="shared" si="112"/>
        <v>-1.0754524950393345</v>
      </c>
      <c r="H7172" s="35"/>
      <c r="P7172" s="6"/>
    </row>
    <row r="7173" spans="1:16" ht="14.4" x14ac:dyDescent="0.25">
      <c r="A7173" s="6">
        <v>6395</v>
      </c>
      <c r="B7173" s="6">
        <v>45409</v>
      </c>
      <c r="C7173" s="19">
        <v>40280</v>
      </c>
      <c r="D7173" s="6" t="s">
        <v>30</v>
      </c>
      <c r="E7173" s="6">
        <f>IF((ISBLANK($B$1)),"",Sheet1!Q7185)</f>
        <v>5900</v>
      </c>
      <c r="F7173" s="20" t="s">
        <v>27</v>
      </c>
      <c r="G7173" s="53">
        <f t="shared" si="112"/>
        <v>1.6864560503797523</v>
      </c>
      <c r="H7173" s="35"/>
      <c r="P7173" s="6"/>
    </row>
    <row r="7174" spans="1:16" ht="14.4" x14ac:dyDescent="0.25">
      <c r="A7174" s="6">
        <v>6406</v>
      </c>
      <c r="B7174" s="6">
        <v>45539</v>
      </c>
      <c r="C7174" s="19">
        <v>40027</v>
      </c>
      <c r="D7174" s="6" t="s">
        <v>28</v>
      </c>
      <c r="E7174" s="6">
        <f>IF((ISBLANK($B$1)),"",Sheet1!Q7186)</f>
        <v>4150</v>
      </c>
      <c r="F7174" s="20" t="s">
        <v>27</v>
      </c>
      <c r="G7174" s="53">
        <f t="shared" si="112"/>
        <v>-0.73021392686194853</v>
      </c>
      <c r="H7174" s="35"/>
      <c r="P7174" s="6"/>
    </row>
    <row r="7175" spans="1:16" ht="14.4" x14ac:dyDescent="0.25">
      <c r="A7175" s="6">
        <v>6407</v>
      </c>
      <c r="B7175" s="6">
        <v>45539</v>
      </c>
      <c r="C7175" s="19">
        <v>40027</v>
      </c>
      <c r="D7175" s="6" t="s">
        <v>28</v>
      </c>
      <c r="E7175" s="6">
        <f>IF((ISBLANK($B$1)),"",Sheet1!Q7187)</f>
        <v>4750</v>
      </c>
      <c r="F7175" s="20" t="s">
        <v>26</v>
      </c>
      <c r="G7175" s="53">
        <f t="shared" si="112"/>
        <v>9.8358636763777513E-2</v>
      </c>
      <c r="H7175" s="35"/>
      <c r="P7175" s="6"/>
    </row>
    <row r="7176" spans="1:16" ht="14.4" x14ac:dyDescent="0.25">
      <c r="A7176" s="6">
        <v>6418</v>
      </c>
      <c r="B7176" s="6">
        <v>45605</v>
      </c>
      <c r="C7176" s="19">
        <v>40278</v>
      </c>
      <c r="D7176" s="6" t="s">
        <v>16</v>
      </c>
      <c r="E7176" s="6">
        <f>IF((ISBLANK($B$1)),"",Sheet1!Q7188)</f>
        <v>3750</v>
      </c>
      <c r="F7176" s="20" t="s">
        <v>29</v>
      </c>
      <c r="G7176" s="53">
        <f t="shared" ref="G7176:G7239" si="113">STANDARDIZE(E7176,$L$26,$L$35)</f>
        <v>-1.282595635945766</v>
      </c>
      <c r="H7176" s="35"/>
      <c r="P7176" s="6"/>
    </row>
    <row r="7177" spans="1:16" ht="14.4" x14ac:dyDescent="0.25">
      <c r="A7177" s="6">
        <v>6423</v>
      </c>
      <c r="B7177" s="6">
        <v>45664</v>
      </c>
      <c r="C7177" s="19">
        <v>41069</v>
      </c>
      <c r="D7177" s="6" t="s">
        <v>28</v>
      </c>
      <c r="E7177" s="6">
        <f>IF((ISBLANK($B$1)),"",Sheet1!Q7189)</f>
        <v>4600</v>
      </c>
      <c r="F7177" s="20" t="s">
        <v>29</v>
      </c>
      <c r="G7177" s="53">
        <f t="shared" si="113"/>
        <v>-0.108784504142654</v>
      </c>
      <c r="H7177" s="35"/>
      <c r="P7177" s="6"/>
    </row>
    <row r="7178" spans="1:16" ht="14.4" x14ac:dyDescent="0.25">
      <c r="A7178" s="6">
        <v>6426</v>
      </c>
      <c r="B7178" s="6">
        <v>45671</v>
      </c>
      <c r="C7178" s="19">
        <v>40706</v>
      </c>
      <c r="D7178" s="6" t="s">
        <v>25</v>
      </c>
      <c r="E7178" s="6">
        <f>IF((ISBLANK($B$1)),"",Sheet1!Q7190)</f>
        <v>4050</v>
      </c>
      <c r="F7178" s="20" t="s">
        <v>29</v>
      </c>
      <c r="G7178" s="53">
        <f t="shared" si="113"/>
        <v>-0.86830935413290289</v>
      </c>
      <c r="H7178" s="35"/>
      <c r="P7178" s="6"/>
    </row>
    <row r="7179" spans="1:16" ht="14.4" x14ac:dyDescent="0.25">
      <c r="A7179" s="6">
        <v>6430</v>
      </c>
      <c r="B7179" s="6">
        <v>45728</v>
      </c>
      <c r="C7179" s="19">
        <v>40350</v>
      </c>
      <c r="D7179" s="6" t="s">
        <v>17</v>
      </c>
      <c r="E7179" s="6">
        <f>IF((ISBLANK($B$1)),"",Sheet1!Q7191)</f>
        <v>5850</v>
      </c>
      <c r="F7179" s="20" t="s">
        <v>27</v>
      </c>
      <c r="G7179" s="53">
        <f t="shared" si="113"/>
        <v>1.6174083367442753</v>
      </c>
      <c r="H7179" s="35"/>
      <c r="P7179" s="6"/>
    </row>
    <row r="7180" spans="1:16" ht="14.4" x14ac:dyDescent="0.25">
      <c r="A7180" s="6">
        <v>6437</v>
      </c>
      <c r="B7180" s="6">
        <v>45762</v>
      </c>
      <c r="C7180" s="19">
        <v>40380</v>
      </c>
      <c r="D7180" s="6" t="s">
        <v>25</v>
      </c>
      <c r="E7180" s="6">
        <f>IF((ISBLANK($B$1)),"",Sheet1!Q7192)</f>
        <v>4450</v>
      </c>
      <c r="F7180" s="20" t="s">
        <v>26</v>
      </c>
      <c r="G7180" s="53">
        <f t="shared" si="113"/>
        <v>-0.31592764504908549</v>
      </c>
      <c r="H7180" s="35"/>
      <c r="P7180" s="6"/>
    </row>
    <row r="7181" spans="1:16" ht="14.4" x14ac:dyDescent="0.25">
      <c r="A7181" s="6">
        <v>6486</v>
      </c>
      <c r="B7181" s="6">
        <v>46151</v>
      </c>
      <c r="C7181" s="19">
        <v>40125</v>
      </c>
      <c r="D7181" s="6" t="s">
        <v>30</v>
      </c>
      <c r="E7181" s="6">
        <f>IF((ISBLANK($B$1)),"",Sheet1!Q7193)</f>
        <v>4550</v>
      </c>
      <c r="F7181" s="20" t="s">
        <v>26</v>
      </c>
      <c r="G7181" s="53">
        <f t="shared" si="113"/>
        <v>-0.17783221777813119</v>
      </c>
      <c r="H7181" s="35"/>
      <c r="P7181" s="6"/>
    </row>
    <row r="7182" spans="1:16" ht="14.4" x14ac:dyDescent="0.25">
      <c r="A7182" s="6">
        <v>6523</v>
      </c>
      <c r="B7182" s="6">
        <v>46407</v>
      </c>
      <c r="C7182" s="19">
        <v>39898</v>
      </c>
      <c r="D7182" s="6" t="s">
        <v>28</v>
      </c>
      <c r="E7182" s="6">
        <f>IF((ISBLANK($B$1)),"",Sheet1!Q7194)</f>
        <v>3750</v>
      </c>
      <c r="F7182" s="20" t="s">
        <v>26</v>
      </c>
      <c r="G7182" s="53">
        <f t="shared" si="113"/>
        <v>-1.282595635945766</v>
      </c>
      <c r="H7182" s="35"/>
      <c r="P7182" s="6"/>
    </row>
    <row r="7183" spans="1:16" ht="14.4" x14ac:dyDescent="0.25">
      <c r="A7183" s="6">
        <v>6534</v>
      </c>
      <c r="B7183" s="6">
        <v>46499</v>
      </c>
      <c r="C7183" s="19">
        <v>39971</v>
      </c>
      <c r="D7183" s="6" t="s">
        <v>30</v>
      </c>
      <c r="E7183" s="6">
        <f>IF((ISBLANK($B$1)),"",Sheet1!Q7195)</f>
        <v>3450</v>
      </c>
      <c r="F7183" s="20" t="s">
        <v>26</v>
      </c>
      <c r="G7183" s="53">
        <f t="shared" si="113"/>
        <v>-1.696881917758629</v>
      </c>
      <c r="H7183" s="35"/>
      <c r="P7183" s="6"/>
    </row>
    <row r="7184" spans="1:16" ht="14.4" x14ac:dyDescent="0.25">
      <c r="A7184" s="6">
        <v>6535</v>
      </c>
      <c r="B7184" s="6">
        <v>46499</v>
      </c>
      <c r="C7184" s="19">
        <v>39971</v>
      </c>
      <c r="D7184" s="6" t="s">
        <v>30</v>
      </c>
      <c r="E7184" s="6">
        <f>IF((ISBLANK($B$1)),"",Sheet1!Q7196)</f>
        <v>4500</v>
      </c>
      <c r="F7184" s="20" t="s">
        <v>26</v>
      </c>
      <c r="G7184" s="53">
        <f t="shared" si="113"/>
        <v>-0.24687993141360834</v>
      </c>
      <c r="H7184" s="35"/>
      <c r="P7184" s="6"/>
    </row>
    <row r="7185" spans="1:16" ht="14.4" x14ac:dyDescent="0.25">
      <c r="A7185" s="6">
        <v>6536</v>
      </c>
      <c r="B7185" s="6">
        <v>46499</v>
      </c>
      <c r="C7185" s="19">
        <v>39971</v>
      </c>
      <c r="D7185" s="6" t="s">
        <v>30</v>
      </c>
      <c r="E7185" s="6">
        <f>IF((ISBLANK($B$1)),"",Sheet1!Q7197)</f>
        <v>3900</v>
      </c>
      <c r="F7185" s="20" t="s">
        <v>26</v>
      </c>
      <c r="G7185" s="53">
        <f t="shared" si="113"/>
        <v>-1.0754524950393345</v>
      </c>
      <c r="H7185" s="35"/>
      <c r="P7185" s="6"/>
    </row>
    <row r="7186" spans="1:16" ht="14.4" x14ac:dyDescent="0.25">
      <c r="A7186" s="6">
        <v>6561</v>
      </c>
      <c r="B7186" s="6">
        <v>46631</v>
      </c>
      <c r="C7186" s="19">
        <v>40979</v>
      </c>
      <c r="D7186" s="6" t="s">
        <v>28</v>
      </c>
      <c r="E7186" s="6">
        <f>IF((ISBLANK($B$1)),"",Sheet1!Q7198)</f>
        <v>5350</v>
      </c>
      <c r="F7186" s="20" t="s">
        <v>26</v>
      </c>
      <c r="G7186" s="53">
        <f t="shared" si="113"/>
        <v>0.92693120038950361</v>
      </c>
      <c r="H7186" s="35"/>
      <c r="P7186" s="6"/>
    </row>
    <row r="7187" spans="1:16" ht="14.4" x14ac:dyDescent="0.25">
      <c r="A7187" s="6">
        <v>6563</v>
      </c>
      <c r="B7187" s="6">
        <v>46662</v>
      </c>
      <c r="C7187" s="19">
        <v>40906</v>
      </c>
      <c r="D7187" s="6" t="s">
        <v>30</v>
      </c>
      <c r="E7187" s="6">
        <f>IF((ISBLANK($B$1)),"",Sheet1!Q7199)</f>
        <v>3800</v>
      </c>
      <c r="F7187" s="20" t="s">
        <v>26</v>
      </c>
      <c r="G7187" s="53">
        <f t="shared" si="113"/>
        <v>-1.2135479223102887</v>
      </c>
      <c r="H7187" s="35"/>
      <c r="P7187" s="6"/>
    </row>
    <row r="7188" spans="1:16" ht="14.4" x14ac:dyDescent="0.25">
      <c r="A7188" s="6">
        <v>6564</v>
      </c>
      <c r="B7188" s="6">
        <v>46662</v>
      </c>
      <c r="C7188" s="19">
        <v>40906</v>
      </c>
      <c r="D7188" s="6" t="s">
        <v>30</v>
      </c>
      <c r="E7188" s="6">
        <f>IF((ISBLANK($B$1)),"",Sheet1!Q7200)</f>
        <v>5050</v>
      </c>
      <c r="F7188" s="20" t="s">
        <v>26</v>
      </c>
      <c r="G7188" s="53">
        <f t="shared" si="113"/>
        <v>0.51264491857664052</v>
      </c>
      <c r="H7188" s="35"/>
      <c r="P7188" s="6"/>
    </row>
    <row r="7189" spans="1:16" ht="14.4" x14ac:dyDescent="0.25">
      <c r="A7189" s="6">
        <v>6565</v>
      </c>
      <c r="B7189" s="6">
        <v>46662</v>
      </c>
      <c r="C7189" s="19">
        <v>40906</v>
      </c>
      <c r="D7189" s="6" t="s">
        <v>30</v>
      </c>
      <c r="E7189" s="6">
        <f>IF((ISBLANK($B$1)),"",Sheet1!Q7201)</f>
        <v>5800</v>
      </c>
      <c r="F7189" s="20" t="s">
        <v>27</v>
      </c>
      <c r="G7189" s="53">
        <f t="shared" si="113"/>
        <v>1.5483606231087981</v>
      </c>
      <c r="H7189" s="35"/>
      <c r="P7189" s="6"/>
    </row>
    <row r="7190" spans="1:16" ht="14.4" x14ac:dyDescent="0.25">
      <c r="A7190" s="6">
        <v>6566</v>
      </c>
      <c r="B7190" s="6">
        <v>46691</v>
      </c>
      <c r="C7190" s="19">
        <v>41084</v>
      </c>
      <c r="D7190" s="6" t="s">
        <v>30</v>
      </c>
      <c r="E7190" s="6">
        <f>IF((ISBLANK($B$1)),"",Sheet1!Q7202)</f>
        <v>5750</v>
      </c>
      <c r="F7190" s="20" t="s">
        <v>29</v>
      </c>
      <c r="G7190" s="53">
        <f t="shared" si="113"/>
        <v>1.4793129094733208</v>
      </c>
      <c r="H7190" s="35"/>
      <c r="P7190" s="6"/>
    </row>
    <row r="7191" spans="1:16" ht="14.4" x14ac:dyDescent="0.25">
      <c r="A7191" s="6">
        <v>6583</v>
      </c>
      <c r="B7191" s="6">
        <v>46880</v>
      </c>
      <c r="C7191" s="19">
        <v>40362</v>
      </c>
      <c r="D7191" s="6" t="s">
        <v>30</v>
      </c>
      <c r="E7191" s="6">
        <f>IF((ISBLANK($B$1)),"",Sheet1!Q7203)</f>
        <v>3450</v>
      </c>
      <c r="F7191" s="20" t="s">
        <v>26</v>
      </c>
      <c r="G7191" s="53">
        <f t="shared" si="113"/>
        <v>-1.696881917758629</v>
      </c>
      <c r="H7191" s="35"/>
      <c r="P7191" s="6"/>
    </row>
    <row r="7192" spans="1:16" ht="14.4" x14ac:dyDescent="0.25">
      <c r="A7192" s="6">
        <v>6607</v>
      </c>
      <c r="B7192" s="6">
        <v>47011</v>
      </c>
      <c r="C7192" s="19">
        <v>39863</v>
      </c>
      <c r="D7192" s="6" t="s">
        <v>17</v>
      </c>
      <c r="E7192" s="6">
        <f>IF((ISBLANK($B$1)),"",Sheet1!Q7204)</f>
        <v>5050</v>
      </c>
      <c r="F7192" s="20" t="s">
        <v>26</v>
      </c>
      <c r="G7192" s="53">
        <f t="shared" si="113"/>
        <v>0.51264491857664052</v>
      </c>
      <c r="H7192" s="35"/>
      <c r="P7192" s="6"/>
    </row>
    <row r="7193" spans="1:16" ht="14.4" x14ac:dyDescent="0.25">
      <c r="A7193" s="6">
        <v>6637</v>
      </c>
      <c r="B7193" s="6">
        <v>47201</v>
      </c>
      <c r="C7193" s="19">
        <v>40175</v>
      </c>
      <c r="D7193" s="6" t="s">
        <v>30</v>
      </c>
      <c r="E7193" s="6">
        <f>IF((ISBLANK($B$1)),"",Sheet1!Q7205)</f>
        <v>4300</v>
      </c>
      <c r="F7193" s="20" t="s">
        <v>27</v>
      </c>
      <c r="G7193" s="53">
        <f t="shared" si="113"/>
        <v>-0.52307078595551704</v>
      </c>
      <c r="H7193" s="35"/>
      <c r="P7193" s="6"/>
    </row>
    <row r="7194" spans="1:16" ht="14.4" x14ac:dyDescent="0.25">
      <c r="A7194" s="6">
        <v>6663</v>
      </c>
      <c r="B7194" s="6">
        <v>47457</v>
      </c>
      <c r="C7194" s="19">
        <v>39967</v>
      </c>
      <c r="D7194" s="6" t="s">
        <v>25</v>
      </c>
      <c r="E7194" s="6">
        <f>IF((ISBLANK($B$1)),"",Sheet1!Q7206)</f>
        <v>5900</v>
      </c>
      <c r="F7194" s="20" t="s">
        <v>26</v>
      </c>
      <c r="G7194" s="53">
        <f t="shared" si="113"/>
        <v>1.6864560503797523</v>
      </c>
      <c r="H7194" s="35"/>
      <c r="P7194" s="6"/>
    </row>
    <row r="7195" spans="1:16" ht="14.4" x14ac:dyDescent="0.25">
      <c r="A7195" s="6">
        <v>6679</v>
      </c>
      <c r="B7195" s="6">
        <v>47522</v>
      </c>
      <c r="C7195" s="19">
        <v>41205</v>
      </c>
      <c r="D7195" s="6" t="s">
        <v>17</v>
      </c>
      <c r="E7195" s="6">
        <f>IF((ISBLANK($B$1)),"",Sheet1!Q7207)</f>
        <v>3650</v>
      </c>
      <c r="F7195" s="20" t="s">
        <v>26</v>
      </c>
      <c r="G7195" s="53">
        <f t="shared" si="113"/>
        <v>-1.4206910632167202</v>
      </c>
      <c r="H7195" s="35"/>
      <c r="P7195" s="6"/>
    </row>
    <row r="7196" spans="1:16" ht="14.4" x14ac:dyDescent="0.25">
      <c r="A7196" s="6">
        <v>6684</v>
      </c>
      <c r="B7196" s="6">
        <v>47553</v>
      </c>
      <c r="C7196" s="19">
        <v>40685</v>
      </c>
      <c r="D7196" s="6" t="s">
        <v>16</v>
      </c>
      <c r="E7196" s="6">
        <f>IF((ISBLANK($B$1)),"",Sheet1!Q7208)</f>
        <v>5850</v>
      </c>
      <c r="F7196" s="20" t="s">
        <v>29</v>
      </c>
      <c r="G7196" s="53">
        <f t="shared" si="113"/>
        <v>1.6174083367442753</v>
      </c>
      <c r="H7196" s="35"/>
      <c r="P7196" s="6"/>
    </row>
    <row r="7197" spans="1:16" ht="14.4" x14ac:dyDescent="0.25">
      <c r="A7197" s="6">
        <v>6688</v>
      </c>
      <c r="B7197" s="6">
        <v>47584</v>
      </c>
      <c r="C7197" s="19">
        <v>40386</v>
      </c>
      <c r="D7197" s="6" t="s">
        <v>30</v>
      </c>
      <c r="E7197" s="6">
        <f>IF((ISBLANK($B$1)),"",Sheet1!Q7209)</f>
        <v>3600</v>
      </c>
      <c r="F7197" s="20" t="s">
        <v>26</v>
      </c>
      <c r="G7197" s="53">
        <f t="shared" si="113"/>
        <v>-1.4897387768521975</v>
      </c>
      <c r="H7197" s="35"/>
      <c r="P7197" s="6"/>
    </row>
    <row r="7198" spans="1:16" ht="14.4" x14ac:dyDescent="0.25">
      <c r="A7198" s="6">
        <v>6689</v>
      </c>
      <c r="B7198" s="6">
        <v>47584</v>
      </c>
      <c r="C7198" s="19">
        <v>40386</v>
      </c>
      <c r="D7198" s="6" t="s">
        <v>30</v>
      </c>
      <c r="E7198" s="6">
        <f>IF((ISBLANK($B$1)),"",Sheet1!Q7210)</f>
        <v>5550</v>
      </c>
      <c r="F7198" s="20" t="s">
        <v>26</v>
      </c>
      <c r="G7198" s="53">
        <f t="shared" si="113"/>
        <v>1.2031220549314123</v>
      </c>
      <c r="H7198" s="35"/>
      <c r="P7198" s="6"/>
    </row>
    <row r="7199" spans="1:16" ht="14.4" x14ac:dyDescent="0.25">
      <c r="A7199" s="6">
        <v>6696</v>
      </c>
      <c r="B7199" s="6">
        <v>47683</v>
      </c>
      <c r="C7199" s="19">
        <v>40422</v>
      </c>
      <c r="D7199" s="6" t="s">
        <v>25</v>
      </c>
      <c r="E7199" s="6">
        <f>IF((ISBLANK($B$1)),"",Sheet1!Q7211)</f>
        <v>5300</v>
      </c>
      <c r="F7199" s="20" t="s">
        <v>26</v>
      </c>
      <c r="G7199" s="53">
        <f t="shared" si="113"/>
        <v>0.85788348675402637</v>
      </c>
      <c r="H7199" s="35"/>
      <c r="P7199" s="6"/>
    </row>
    <row r="7200" spans="1:16" ht="14.4" x14ac:dyDescent="0.25">
      <c r="A7200" s="6">
        <v>6719</v>
      </c>
      <c r="B7200" s="6">
        <v>47872</v>
      </c>
      <c r="C7200" s="19">
        <v>39976</v>
      </c>
      <c r="D7200" s="6" t="s">
        <v>30</v>
      </c>
      <c r="E7200" s="6">
        <f>IF((ISBLANK($B$1)),"",Sheet1!Q7212)</f>
        <v>5300</v>
      </c>
      <c r="F7200" s="20" t="s">
        <v>26</v>
      </c>
      <c r="G7200" s="53">
        <f t="shared" si="113"/>
        <v>0.85788348675402637</v>
      </c>
      <c r="H7200" s="35"/>
      <c r="P7200" s="6"/>
    </row>
    <row r="7201" spans="1:16" ht="14.4" x14ac:dyDescent="0.25">
      <c r="A7201" s="6">
        <v>6720</v>
      </c>
      <c r="B7201" s="6">
        <v>47872</v>
      </c>
      <c r="C7201" s="19">
        <v>39976</v>
      </c>
      <c r="D7201" s="6" t="s">
        <v>30</v>
      </c>
      <c r="E7201" s="6">
        <f>IF((ISBLANK($B$1)),"",Sheet1!Q7213)</f>
        <v>5900</v>
      </c>
      <c r="F7201" s="20" t="s">
        <v>29</v>
      </c>
      <c r="G7201" s="53">
        <f t="shared" si="113"/>
        <v>1.6864560503797523</v>
      </c>
      <c r="H7201" s="35"/>
      <c r="P7201" s="6"/>
    </row>
    <row r="7202" spans="1:16" ht="14.4" x14ac:dyDescent="0.25">
      <c r="A7202" s="6">
        <v>6723</v>
      </c>
      <c r="B7202" s="6">
        <v>47877</v>
      </c>
      <c r="C7202" s="19">
        <v>40053</v>
      </c>
      <c r="D7202" s="6" t="s">
        <v>16</v>
      </c>
      <c r="E7202" s="6">
        <f>IF((ISBLANK($B$1)),"",Sheet1!Q7214)</f>
        <v>4200</v>
      </c>
      <c r="F7202" s="20" t="s">
        <v>26</v>
      </c>
      <c r="G7202" s="53">
        <f t="shared" si="113"/>
        <v>-0.6611662132264714</v>
      </c>
      <c r="H7202" s="35"/>
      <c r="P7202" s="6"/>
    </row>
    <row r="7203" spans="1:16" ht="14.4" x14ac:dyDescent="0.25">
      <c r="A7203" s="6">
        <v>6724</v>
      </c>
      <c r="B7203" s="6">
        <v>47877</v>
      </c>
      <c r="C7203" s="19">
        <v>40053</v>
      </c>
      <c r="D7203" s="6" t="s">
        <v>16</v>
      </c>
      <c r="E7203" s="6">
        <f>IF((ISBLANK($B$1)),"",Sheet1!Q7215)</f>
        <v>4350</v>
      </c>
      <c r="F7203" s="20" t="s">
        <v>29</v>
      </c>
      <c r="G7203" s="53">
        <f t="shared" si="113"/>
        <v>-0.45402307232003986</v>
      </c>
      <c r="H7203" s="35"/>
      <c r="P7203" s="6"/>
    </row>
    <row r="7204" spans="1:16" ht="14.4" x14ac:dyDescent="0.25">
      <c r="A7204" s="6">
        <v>6725</v>
      </c>
      <c r="B7204" s="6">
        <v>47877</v>
      </c>
      <c r="C7204" s="19">
        <v>40053</v>
      </c>
      <c r="D7204" s="6" t="s">
        <v>16</v>
      </c>
      <c r="E7204" s="6">
        <f>IF((ISBLANK($B$1)),"",Sheet1!Q7216)</f>
        <v>5850</v>
      </c>
      <c r="F7204" s="20" t="s">
        <v>29</v>
      </c>
      <c r="G7204" s="53">
        <f t="shared" si="113"/>
        <v>1.6174083367442753</v>
      </c>
      <c r="H7204" s="35"/>
      <c r="P7204" s="6"/>
    </row>
    <row r="7205" spans="1:16" ht="14.4" x14ac:dyDescent="0.25">
      <c r="A7205" s="6">
        <v>6726</v>
      </c>
      <c r="B7205" s="6">
        <v>47879</v>
      </c>
      <c r="C7205" s="19">
        <v>40919</v>
      </c>
      <c r="D7205" s="6" t="s">
        <v>30</v>
      </c>
      <c r="E7205" s="6">
        <f>IF((ISBLANK($B$1)),"",Sheet1!Q7217)</f>
        <v>4350</v>
      </c>
      <c r="F7205" s="20" t="s">
        <v>26</v>
      </c>
      <c r="G7205" s="53">
        <f t="shared" si="113"/>
        <v>-0.45402307232003986</v>
      </c>
      <c r="H7205" s="35"/>
      <c r="P7205" s="6"/>
    </row>
    <row r="7206" spans="1:16" ht="14.4" x14ac:dyDescent="0.25">
      <c r="A7206" s="6">
        <v>6730</v>
      </c>
      <c r="B7206" s="6">
        <v>47910</v>
      </c>
      <c r="C7206" s="19">
        <v>40040</v>
      </c>
      <c r="D7206" s="6" t="s">
        <v>17</v>
      </c>
      <c r="E7206" s="6">
        <f>IF((ISBLANK($B$1)),"",Sheet1!Q7218)</f>
        <v>4900</v>
      </c>
      <c r="F7206" s="20" t="s">
        <v>26</v>
      </c>
      <c r="G7206" s="53">
        <f t="shared" si="113"/>
        <v>0.30550177767020903</v>
      </c>
      <c r="H7206" s="35"/>
      <c r="P7206" s="6"/>
    </row>
    <row r="7207" spans="1:16" ht="14.4" x14ac:dyDescent="0.25">
      <c r="A7207" s="6">
        <v>6739</v>
      </c>
      <c r="B7207" s="6">
        <v>47972</v>
      </c>
      <c r="C7207" s="19">
        <v>40462</v>
      </c>
      <c r="D7207" s="6" t="s">
        <v>16</v>
      </c>
      <c r="E7207" s="6">
        <f>IF((ISBLANK($B$1)),"",Sheet1!Q7219)</f>
        <v>5700</v>
      </c>
      <c r="F7207" s="20" t="s">
        <v>26</v>
      </c>
      <c r="G7207" s="53">
        <f t="shared" si="113"/>
        <v>1.4102651958378438</v>
      </c>
      <c r="H7207" s="35"/>
      <c r="P7207" s="6"/>
    </row>
    <row r="7208" spans="1:16" ht="14.4" x14ac:dyDescent="0.25">
      <c r="A7208" s="6">
        <v>6765</v>
      </c>
      <c r="B7208" s="6">
        <v>48192</v>
      </c>
      <c r="C7208" s="19">
        <v>40163</v>
      </c>
      <c r="D7208" s="6" t="s">
        <v>30</v>
      </c>
      <c r="E7208" s="6">
        <f>IF((ISBLANK($B$1)),"",Sheet1!Q7220)</f>
        <v>4150</v>
      </c>
      <c r="F7208" s="20" t="s">
        <v>29</v>
      </c>
      <c r="G7208" s="53">
        <f t="shared" si="113"/>
        <v>-0.73021392686194853</v>
      </c>
      <c r="H7208" s="35"/>
      <c r="P7208" s="6"/>
    </row>
    <row r="7209" spans="1:16" ht="14.4" x14ac:dyDescent="0.25">
      <c r="A7209" s="6">
        <v>6780</v>
      </c>
      <c r="B7209" s="6">
        <v>48288</v>
      </c>
      <c r="C7209" s="19">
        <v>40746</v>
      </c>
      <c r="D7209" s="6" t="s">
        <v>16</v>
      </c>
      <c r="E7209" s="6">
        <f>IF((ISBLANK($B$1)),"",Sheet1!Q7221)</f>
        <v>4650</v>
      </c>
      <c r="F7209" s="20" t="s">
        <v>29</v>
      </c>
      <c r="G7209" s="53">
        <f t="shared" si="113"/>
        <v>-3.9736790507176829E-2</v>
      </c>
      <c r="H7209" s="35"/>
      <c r="P7209" s="6"/>
    </row>
    <row r="7210" spans="1:16" ht="14.4" x14ac:dyDescent="0.25">
      <c r="A7210" s="6">
        <v>6781</v>
      </c>
      <c r="B7210" s="6">
        <v>48293</v>
      </c>
      <c r="C7210" s="19">
        <v>41008</v>
      </c>
      <c r="D7210" s="6" t="s">
        <v>30</v>
      </c>
      <c r="E7210" s="6">
        <f>IF((ISBLANK($B$1)),"",Sheet1!Q7222)</f>
        <v>5750</v>
      </c>
      <c r="F7210" s="20" t="s">
        <v>26</v>
      </c>
      <c r="G7210" s="53">
        <f t="shared" si="113"/>
        <v>1.4793129094733208</v>
      </c>
      <c r="H7210" s="35"/>
      <c r="P7210" s="6"/>
    </row>
    <row r="7211" spans="1:16" ht="14.4" x14ac:dyDescent="0.25">
      <c r="A7211" s="6">
        <v>6782</v>
      </c>
      <c r="B7211" s="6">
        <v>48294</v>
      </c>
      <c r="C7211" s="19">
        <v>40324</v>
      </c>
      <c r="D7211" s="6" t="s">
        <v>17</v>
      </c>
      <c r="E7211" s="6">
        <f>IF((ISBLANK($B$1)),"",Sheet1!Q7223)</f>
        <v>5550</v>
      </c>
      <c r="F7211" s="20" t="s">
        <v>26</v>
      </c>
      <c r="G7211" s="53">
        <f t="shared" si="113"/>
        <v>1.2031220549314123</v>
      </c>
      <c r="H7211" s="35"/>
      <c r="P7211" s="6"/>
    </row>
    <row r="7212" spans="1:16" ht="14.4" x14ac:dyDescent="0.25">
      <c r="A7212" s="6">
        <v>6785</v>
      </c>
      <c r="B7212" s="6">
        <v>48322</v>
      </c>
      <c r="C7212" s="19">
        <v>40972</v>
      </c>
      <c r="D7212" s="6" t="s">
        <v>16</v>
      </c>
      <c r="E7212" s="6">
        <f>IF((ISBLANK($B$1)),"",Sheet1!Q7224)</f>
        <v>4100</v>
      </c>
      <c r="F7212" s="20" t="s">
        <v>26</v>
      </c>
      <c r="G7212" s="53">
        <f t="shared" si="113"/>
        <v>-0.79926164049742576</v>
      </c>
      <c r="H7212" s="35"/>
      <c r="P7212" s="6"/>
    </row>
    <row r="7213" spans="1:16" ht="14.4" x14ac:dyDescent="0.25">
      <c r="A7213" s="6">
        <v>6787</v>
      </c>
      <c r="B7213" s="6">
        <v>48353</v>
      </c>
      <c r="C7213" s="19">
        <v>41258</v>
      </c>
      <c r="D7213" s="6" t="s">
        <v>28</v>
      </c>
      <c r="E7213" s="6">
        <f>IF((ISBLANK($B$1)),"",Sheet1!Q7225)</f>
        <v>4300</v>
      </c>
      <c r="F7213" s="20" t="s">
        <v>26</v>
      </c>
      <c r="G7213" s="53">
        <f t="shared" si="113"/>
        <v>-0.52307078595551704</v>
      </c>
      <c r="H7213" s="35"/>
      <c r="P7213" s="6"/>
    </row>
    <row r="7214" spans="1:16" ht="14.4" x14ac:dyDescent="0.25">
      <c r="A7214" s="6">
        <v>6794</v>
      </c>
      <c r="B7214" s="6">
        <v>48420</v>
      </c>
      <c r="C7214" s="19">
        <v>40097</v>
      </c>
      <c r="D7214" s="6" t="s">
        <v>25</v>
      </c>
      <c r="E7214" s="6">
        <f>IF((ISBLANK($B$1)),"",Sheet1!Q7226)</f>
        <v>5700</v>
      </c>
      <c r="F7214" s="20" t="s">
        <v>29</v>
      </c>
      <c r="G7214" s="53">
        <f t="shared" si="113"/>
        <v>1.4102651958378438</v>
      </c>
      <c r="H7214" s="35"/>
      <c r="P7214" s="6"/>
    </row>
    <row r="7215" spans="1:16" ht="14.4" x14ac:dyDescent="0.25">
      <c r="A7215" s="6">
        <v>6814</v>
      </c>
      <c r="B7215" s="6">
        <v>48512</v>
      </c>
      <c r="C7215" s="19">
        <v>40758</v>
      </c>
      <c r="D7215" s="6" t="s">
        <v>28</v>
      </c>
      <c r="E7215" s="6">
        <f>IF((ISBLANK($B$1)),"",Sheet1!Q7227)</f>
        <v>5800</v>
      </c>
      <c r="F7215" s="20" t="s">
        <v>26</v>
      </c>
      <c r="G7215" s="53">
        <f t="shared" si="113"/>
        <v>1.5483606231087981</v>
      </c>
      <c r="H7215" s="35"/>
      <c r="P7215" s="6"/>
    </row>
    <row r="7216" spans="1:16" ht="14.4" x14ac:dyDescent="0.25">
      <c r="A7216" s="6">
        <v>6815</v>
      </c>
      <c r="B7216" s="6">
        <v>48512</v>
      </c>
      <c r="C7216" s="19">
        <v>40758</v>
      </c>
      <c r="D7216" s="6" t="s">
        <v>28</v>
      </c>
      <c r="E7216" s="6">
        <f>IF((ISBLANK($B$1)),"",Sheet1!Q7228)</f>
        <v>5750</v>
      </c>
      <c r="F7216" s="20" t="s">
        <v>26</v>
      </c>
      <c r="G7216" s="53">
        <f t="shared" si="113"/>
        <v>1.4793129094733208</v>
      </c>
      <c r="H7216" s="35"/>
      <c r="P7216" s="6"/>
    </row>
    <row r="7217" spans="1:16" ht="14.4" x14ac:dyDescent="0.25">
      <c r="A7217" s="6">
        <v>6828</v>
      </c>
      <c r="B7217" s="6">
        <v>48641</v>
      </c>
      <c r="C7217" s="19">
        <v>40882</v>
      </c>
      <c r="D7217" s="6" t="s">
        <v>17</v>
      </c>
      <c r="E7217" s="6">
        <f>IF((ISBLANK($B$1)),"",Sheet1!Q7229)</f>
        <v>4050</v>
      </c>
      <c r="F7217" s="20" t="s">
        <v>26</v>
      </c>
      <c r="G7217" s="53">
        <f t="shared" si="113"/>
        <v>-0.86830935413290289</v>
      </c>
      <c r="H7217" s="35"/>
      <c r="P7217" s="6"/>
    </row>
    <row r="7218" spans="1:16" ht="14.4" x14ac:dyDescent="0.25">
      <c r="A7218" s="6">
        <v>6836</v>
      </c>
      <c r="B7218" s="6">
        <v>48672</v>
      </c>
      <c r="C7218" s="19">
        <v>41269</v>
      </c>
      <c r="D7218" s="6" t="s">
        <v>17</v>
      </c>
      <c r="E7218" s="6">
        <f>IF((ISBLANK($B$1)),"",Sheet1!Q7230)</f>
        <v>5550</v>
      </c>
      <c r="F7218" s="20" t="s">
        <v>26</v>
      </c>
      <c r="G7218" s="53">
        <f t="shared" si="113"/>
        <v>1.2031220549314123</v>
      </c>
      <c r="H7218" s="35"/>
      <c r="P7218" s="6"/>
    </row>
    <row r="7219" spans="1:16" ht="14.4" x14ac:dyDescent="0.25">
      <c r="A7219" s="6">
        <v>6841</v>
      </c>
      <c r="B7219" s="6">
        <v>48709</v>
      </c>
      <c r="C7219" s="19">
        <v>40783</v>
      </c>
      <c r="D7219" s="6" t="s">
        <v>17</v>
      </c>
      <c r="E7219" s="6">
        <f>IF((ISBLANK($B$1)),"",Sheet1!Q7231)</f>
        <v>4250</v>
      </c>
      <c r="F7219" s="20" t="s">
        <v>26</v>
      </c>
      <c r="G7219" s="53">
        <f t="shared" si="113"/>
        <v>-0.59211849959099416</v>
      </c>
      <c r="H7219" s="35"/>
      <c r="P7219" s="6"/>
    </row>
    <row r="7220" spans="1:16" ht="14.4" x14ac:dyDescent="0.25">
      <c r="A7220" s="6">
        <v>6855</v>
      </c>
      <c r="B7220" s="6">
        <v>48832</v>
      </c>
      <c r="C7220" s="19">
        <v>40303</v>
      </c>
      <c r="D7220" s="6" t="s">
        <v>17</v>
      </c>
      <c r="E7220" s="6">
        <f>IF((ISBLANK($B$1)),"",Sheet1!Q7232)</f>
        <v>5800</v>
      </c>
      <c r="F7220" s="20" t="s">
        <v>29</v>
      </c>
      <c r="G7220" s="53">
        <f t="shared" si="113"/>
        <v>1.5483606231087981</v>
      </c>
      <c r="H7220" s="35"/>
      <c r="P7220" s="6"/>
    </row>
    <row r="7221" spans="1:16" ht="14.4" x14ac:dyDescent="0.25">
      <c r="A7221" s="6">
        <v>6856</v>
      </c>
      <c r="B7221" s="6">
        <v>48836</v>
      </c>
      <c r="C7221" s="19">
        <v>39858</v>
      </c>
      <c r="D7221" s="6" t="s">
        <v>30</v>
      </c>
      <c r="E7221" s="6">
        <f>IF((ISBLANK($B$1)),"",Sheet1!Q7233)</f>
        <v>3800</v>
      </c>
      <c r="F7221" s="20" t="s">
        <v>29</v>
      </c>
      <c r="G7221" s="53">
        <f t="shared" si="113"/>
        <v>-1.2135479223102887</v>
      </c>
      <c r="H7221" s="35"/>
      <c r="P7221" s="6"/>
    </row>
    <row r="7222" spans="1:16" ht="14.4" x14ac:dyDescent="0.25">
      <c r="A7222" s="6">
        <v>6870</v>
      </c>
      <c r="B7222" s="6">
        <v>48935</v>
      </c>
      <c r="C7222" s="19">
        <v>40185</v>
      </c>
      <c r="D7222" s="6" t="s">
        <v>25</v>
      </c>
      <c r="E7222" s="6">
        <f>IF((ISBLANK($B$1)),"",Sheet1!Q7234)</f>
        <v>4450</v>
      </c>
      <c r="F7222" s="20" t="s">
        <v>26</v>
      </c>
      <c r="G7222" s="53">
        <f t="shared" si="113"/>
        <v>-0.31592764504908549</v>
      </c>
      <c r="H7222" s="35"/>
      <c r="P7222" s="6"/>
    </row>
    <row r="7223" spans="1:16" ht="14.4" x14ac:dyDescent="0.25">
      <c r="A7223" s="6">
        <v>6877</v>
      </c>
      <c r="B7223" s="6">
        <v>49026</v>
      </c>
      <c r="C7223" s="19">
        <v>40609</v>
      </c>
      <c r="D7223" s="6" t="s">
        <v>25</v>
      </c>
      <c r="E7223" s="6">
        <f>IF((ISBLANK($B$1)),"",Sheet1!Q7235)</f>
        <v>5200</v>
      </c>
      <c r="F7223" s="20" t="s">
        <v>26</v>
      </c>
      <c r="G7223" s="53">
        <f t="shared" si="113"/>
        <v>0.71978805948307201</v>
      </c>
      <c r="H7223" s="35"/>
      <c r="P7223" s="6"/>
    </row>
    <row r="7224" spans="1:16" ht="14.4" x14ac:dyDescent="0.25">
      <c r="A7224" s="6">
        <v>6987</v>
      </c>
      <c r="B7224" s="6">
        <v>49925</v>
      </c>
      <c r="C7224" s="19">
        <v>40200</v>
      </c>
      <c r="D7224" s="6" t="s">
        <v>17</v>
      </c>
      <c r="E7224" s="6">
        <f>IF((ISBLANK($B$1)),"",Sheet1!Q7236)</f>
        <v>3450</v>
      </c>
      <c r="F7224" s="20" t="s">
        <v>26</v>
      </c>
      <c r="G7224" s="53">
        <f t="shared" si="113"/>
        <v>-1.696881917758629</v>
      </c>
      <c r="H7224" s="35"/>
      <c r="P7224" s="6"/>
    </row>
    <row r="7225" spans="1:16" ht="14.4" x14ac:dyDescent="0.25">
      <c r="A7225" s="6">
        <v>7055</v>
      </c>
      <c r="B7225" s="6">
        <v>50337</v>
      </c>
      <c r="C7225" s="19">
        <v>39919</v>
      </c>
      <c r="D7225" s="6" t="s">
        <v>28</v>
      </c>
      <c r="E7225" s="6">
        <f>IF((ISBLANK($B$1)),"",Sheet1!Q7237)</f>
        <v>5250</v>
      </c>
      <c r="F7225" s="20" t="s">
        <v>26</v>
      </c>
      <c r="G7225" s="53">
        <f t="shared" si="113"/>
        <v>0.78883577311854924</v>
      </c>
      <c r="H7225" s="35"/>
      <c r="P7225" s="6"/>
    </row>
    <row r="7226" spans="1:16" ht="14.4" x14ac:dyDescent="0.25">
      <c r="A7226" s="6">
        <v>7056</v>
      </c>
      <c r="B7226" s="6">
        <v>50337</v>
      </c>
      <c r="C7226" s="19">
        <v>39919</v>
      </c>
      <c r="D7226" s="6" t="s">
        <v>28</v>
      </c>
      <c r="E7226" s="6">
        <f>IF((ISBLANK($B$1)),"",Sheet1!Q7238)</f>
        <v>3700</v>
      </c>
      <c r="F7226" s="20" t="s">
        <v>27</v>
      </c>
      <c r="G7226" s="53">
        <f t="shared" si="113"/>
        <v>-1.351643349581243</v>
      </c>
      <c r="H7226" s="35"/>
      <c r="P7226" s="6"/>
    </row>
    <row r="7227" spans="1:16" ht="14.4" x14ac:dyDescent="0.25">
      <c r="A7227" s="6">
        <v>7062</v>
      </c>
      <c r="B7227" s="6">
        <v>50403</v>
      </c>
      <c r="C7227" s="19">
        <v>41041</v>
      </c>
      <c r="D7227" s="6" t="s">
        <v>28</v>
      </c>
      <c r="E7227" s="6">
        <f>IF((ISBLANK($B$1)),"",Sheet1!Q7239)</f>
        <v>5300</v>
      </c>
      <c r="F7227" s="20" t="s">
        <v>26</v>
      </c>
      <c r="G7227" s="53">
        <f t="shared" si="113"/>
        <v>0.85788348675402637</v>
      </c>
      <c r="H7227" s="35"/>
      <c r="P7227" s="6"/>
    </row>
    <row r="7228" spans="1:16" ht="14.4" x14ac:dyDescent="0.25">
      <c r="A7228" s="6">
        <v>7095</v>
      </c>
      <c r="B7228" s="6">
        <v>50656</v>
      </c>
      <c r="C7228" s="19">
        <v>40111</v>
      </c>
      <c r="D7228" s="6" t="s">
        <v>30</v>
      </c>
      <c r="E7228" s="6">
        <f>IF((ISBLANK($B$1)),"",Sheet1!Q7240)</f>
        <v>5500</v>
      </c>
      <c r="F7228" s="20" t="s">
        <v>26</v>
      </c>
      <c r="G7228" s="53">
        <f t="shared" si="113"/>
        <v>1.1340743412959351</v>
      </c>
      <c r="H7228" s="35"/>
      <c r="P7228" s="6"/>
    </row>
    <row r="7229" spans="1:16" ht="14.4" x14ac:dyDescent="0.25">
      <c r="A7229" s="6">
        <v>7096</v>
      </c>
      <c r="B7229" s="6">
        <v>50656</v>
      </c>
      <c r="C7229" s="19">
        <v>40111</v>
      </c>
      <c r="D7229" s="6" t="s">
        <v>30</v>
      </c>
      <c r="E7229" s="6">
        <f>IF((ISBLANK($B$1)),"",Sheet1!Q7241)</f>
        <v>4950</v>
      </c>
      <c r="F7229" s="20" t="s">
        <v>29</v>
      </c>
      <c r="G7229" s="53">
        <f t="shared" si="113"/>
        <v>0.37454949130568621</v>
      </c>
      <c r="H7229" s="35"/>
      <c r="P7229" s="6"/>
    </row>
    <row r="7230" spans="1:16" ht="14.4" x14ac:dyDescent="0.25">
      <c r="A7230" s="6">
        <v>7097</v>
      </c>
      <c r="B7230" s="6">
        <v>50656</v>
      </c>
      <c r="C7230" s="19">
        <v>40111</v>
      </c>
      <c r="D7230" s="6" t="s">
        <v>30</v>
      </c>
      <c r="E7230" s="6">
        <f>IF((ISBLANK($B$1)),"",Sheet1!Q7242)</f>
        <v>5350</v>
      </c>
      <c r="F7230" s="20" t="s">
        <v>29</v>
      </c>
      <c r="G7230" s="53">
        <f t="shared" si="113"/>
        <v>0.92693120038950361</v>
      </c>
      <c r="H7230" s="35"/>
      <c r="P7230" s="6"/>
    </row>
    <row r="7231" spans="1:16" ht="14.4" x14ac:dyDescent="0.25">
      <c r="A7231" s="6">
        <v>7098</v>
      </c>
      <c r="B7231" s="6">
        <v>50656</v>
      </c>
      <c r="C7231" s="19">
        <v>40111</v>
      </c>
      <c r="D7231" s="6" t="s">
        <v>30</v>
      </c>
      <c r="E7231" s="6">
        <f>IF((ISBLANK($B$1)),"",Sheet1!Q7243)</f>
        <v>4150</v>
      </c>
      <c r="F7231" s="20" t="s">
        <v>29</v>
      </c>
      <c r="G7231" s="53">
        <f t="shared" si="113"/>
        <v>-0.73021392686194853</v>
      </c>
      <c r="H7231" s="35"/>
      <c r="P7231" s="6"/>
    </row>
    <row r="7232" spans="1:16" ht="14.4" x14ac:dyDescent="0.25">
      <c r="A7232" s="6">
        <v>7141</v>
      </c>
      <c r="B7232" s="6">
        <v>50950</v>
      </c>
      <c r="C7232" s="19">
        <v>41273</v>
      </c>
      <c r="D7232" s="6" t="s">
        <v>28</v>
      </c>
      <c r="E7232" s="6">
        <f>IF((ISBLANK($B$1)),"",Sheet1!Q7244)</f>
        <v>3700</v>
      </c>
      <c r="F7232" s="20" t="s">
        <v>29</v>
      </c>
      <c r="G7232" s="53">
        <f t="shared" si="113"/>
        <v>-1.351643349581243</v>
      </c>
      <c r="H7232" s="35"/>
      <c r="P7232" s="6"/>
    </row>
    <row r="7233" spans="1:16" ht="14.4" x14ac:dyDescent="0.25">
      <c r="A7233" s="6">
        <v>7142</v>
      </c>
      <c r="B7233" s="6">
        <v>50950</v>
      </c>
      <c r="C7233" s="19">
        <v>41273</v>
      </c>
      <c r="D7233" s="6" t="s">
        <v>28</v>
      </c>
      <c r="E7233" s="6">
        <f>IF((ISBLANK($B$1)),"",Sheet1!Q7245)</f>
        <v>5150</v>
      </c>
      <c r="F7233" s="20" t="s">
        <v>26</v>
      </c>
      <c r="G7233" s="53">
        <f t="shared" si="113"/>
        <v>0.65074034584759488</v>
      </c>
      <c r="H7233" s="35"/>
      <c r="P7233" s="6"/>
    </row>
    <row r="7234" spans="1:16" ht="14.4" x14ac:dyDescent="0.25">
      <c r="A7234" s="6">
        <v>7143</v>
      </c>
      <c r="B7234" s="6">
        <v>50977</v>
      </c>
      <c r="C7234" s="19">
        <v>41071</v>
      </c>
      <c r="D7234" s="6" t="s">
        <v>25</v>
      </c>
      <c r="E7234" s="6">
        <f>IF((ISBLANK($B$1)),"",Sheet1!Q7246)</f>
        <v>3450</v>
      </c>
      <c r="F7234" s="20" t="s">
        <v>26</v>
      </c>
      <c r="G7234" s="53">
        <f t="shared" si="113"/>
        <v>-1.696881917758629</v>
      </c>
      <c r="H7234" s="35"/>
      <c r="P7234" s="6"/>
    </row>
    <row r="7235" spans="1:16" ht="14.4" x14ac:dyDescent="0.25">
      <c r="A7235" s="6">
        <v>7151</v>
      </c>
      <c r="B7235" s="6">
        <v>51011</v>
      </c>
      <c r="C7235" s="19">
        <v>40335</v>
      </c>
      <c r="D7235" s="6" t="s">
        <v>25</v>
      </c>
      <c r="E7235" s="6">
        <f>IF((ISBLANK($B$1)),"",Sheet1!Q7247)</f>
        <v>5450</v>
      </c>
      <c r="F7235" s="20" t="s">
        <v>27</v>
      </c>
      <c r="G7235" s="53">
        <f t="shared" si="113"/>
        <v>1.0650266276604579</v>
      </c>
      <c r="H7235" s="35"/>
      <c r="P7235" s="6"/>
    </row>
    <row r="7236" spans="1:16" ht="14.4" x14ac:dyDescent="0.25">
      <c r="A7236" s="6">
        <v>7169</v>
      </c>
      <c r="B7236" s="6">
        <v>51171</v>
      </c>
      <c r="C7236" s="19">
        <v>40350</v>
      </c>
      <c r="D7236" s="6" t="s">
        <v>17</v>
      </c>
      <c r="E7236" s="6">
        <f>IF((ISBLANK($B$1)),"",Sheet1!Q7248)</f>
        <v>5100</v>
      </c>
      <c r="F7236" s="20" t="s">
        <v>26</v>
      </c>
      <c r="G7236" s="53">
        <f t="shared" si="113"/>
        <v>0.58169263221211776</v>
      </c>
      <c r="H7236" s="35"/>
      <c r="P7236" s="6"/>
    </row>
    <row r="7237" spans="1:16" ht="14.4" x14ac:dyDescent="0.25">
      <c r="A7237" s="6">
        <v>7186</v>
      </c>
      <c r="B7237" s="6">
        <v>51267</v>
      </c>
      <c r="C7237" s="19">
        <v>41032</v>
      </c>
      <c r="D7237" s="6" t="s">
        <v>25</v>
      </c>
      <c r="E7237" s="6">
        <f>IF((ISBLANK($B$1)),"",Sheet1!Q7249)</f>
        <v>5700</v>
      </c>
      <c r="F7237" s="20" t="s">
        <v>29</v>
      </c>
      <c r="G7237" s="53">
        <f t="shared" si="113"/>
        <v>1.4102651958378438</v>
      </c>
      <c r="H7237" s="35"/>
      <c r="P7237" s="6"/>
    </row>
    <row r="7238" spans="1:16" ht="14.4" x14ac:dyDescent="0.25">
      <c r="A7238" s="6">
        <v>7200</v>
      </c>
      <c r="B7238" s="6">
        <v>51362</v>
      </c>
      <c r="C7238" s="19">
        <v>40231</v>
      </c>
      <c r="D7238" s="6" t="s">
        <v>16</v>
      </c>
      <c r="E7238" s="6">
        <f>IF((ISBLANK($B$1)),"",Sheet1!Q7250)</f>
        <v>5750</v>
      </c>
      <c r="F7238" s="20" t="s">
        <v>27</v>
      </c>
      <c r="G7238" s="53">
        <f t="shared" si="113"/>
        <v>1.4793129094733208</v>
      </c>
      <c r="H7238" s="35"/>
      <c r="P7238" s="6"/>
    </row>
    <row r="7239" spans="1:16" ht="14.4" x14ac:dyDescent="0.25">
      <c r="A7239" s="6">
        <v>7214</v>
      </c>
      <c r="B7239" s="6">
        <v>51489</v>
      </c>
      <c r="C7239" s="19">
        <v>40971</v>
      </c>
      <c r="D7239" s="6" t="s">
        <v>30</v>
      </c>
      <c r="E7239" s="6">
        <f>IF((ISBLANK($B$1)),"",Sheet1!Q7251)</f>
        <v>5500</v>
      </c>
      <c r="F7239" s="20" t="s">
        <v>29</v>
      </c>
      <c r="G7239" s="53">
        <f t="shared" si="113"/>
        <v>1.1340743412959351</v>
      </c>
      <c r="H7239" s="35"/>
      <c r="P7239" s="6"/>
    </row>
    <row r="7240" spans="1:16" ht="14.4" x14ac:dyDescent="0.25">
      <c r="A7240" s="6">
        <v>7215</v>
      </c>
      <c r="B7240" s="6">
        <v>51489</v>
      </c>
      <c r="C7240" s="19">
        <v>40971</v>
      </c>
      <c r="D7240" s="6" t="s">
        <v>30</v>
      </c>
      <c r="E7240" s="6">
        <f>IF((ISBLANK($B$1)),"",Sheet1!Q7252)</f>
        <v>3650</v>
      </c>
      <c r="F7240" s="20" t="s">
        <v>26</v>
      </c>
      <c r="G7240" s="53">
        <f t="shared" ref="G7240:G7303" si="114">STANDARDIZE(E7240,$L$26,$L$35)</f>
        <v>-1.4206910632167202</v>
      </c>
      <c r="H7240" s="35"/>
      <c r="P7240" s="6"/>
    </row>
    <row r="7241" spans="1:16" ht="14.4" x14ac:dyDescent="0.25">
      <c r="A7241" s="6">
        <v>7216</v>
      </c>
      <c r="B7241" s="6">
        <v>51489</v>
      </c>
      <c r="C7241" s="19">
        <v>40971</v>
      </c>
      <c r="D7241" s="6" t="s">
        <v>30</v>
      </c>
      <c r="E7241" s="6">
        <f>IF((ISBLANK($B$1)),"",Sheet1!Q7253)</f>
        <v>4500</v>
      </c>
      <c r="F7241" s="20" t="s">
        <v>26</v>
      </c>
      <c r="G7241" s="53">
        <f t="shared" si="114"/>
        <v>-0.24687993141360834</v>
      </c>
      <c r="H7241" s="35"/>
      <c r="P7241" s="6"/>
    </row>
    <row r="7242" spans="1:16" ht="14.4" x14ac:dyDescent="0.25">
      <c r="A7242" s="6">
        <v>7217</v>
      </c>
      <c r="B7242" s="6">
        <v>51493</v>
      </c>
      <c r="C7242" s="19">
        <v>40730</v>
      </c>
      <c r="D7242" s="6" t="s">
        <v>25</v>
      </c>
      <c r="E7242" s="6">
        <f>IF((ISBLANK($B$1)),"",Sheet1!Q7254)</f>
        <v>4950</v>
      </c>
      <c r="F7242" s="20" t="s">
        <v>26</v>
      </c>
      <c r="G7242" s="53">
        <f t="shared" si="114"/>
        <v>0.37454949130568621</v>
      </c>
      <c r="H7242" s="35"/>
      <c r="P7242" s="6"/>
    </row>
    <row r="7243" spans="1:16" ht="14.4" x14ac:dyDescent="0.25">
      <c r="A7243" s="6">
        <v>7283</v>
      </c>
      <c r="B7243" s="6">
        <v>51969</v>
      </c>
      <c r="C7243" s="19">
        <v>40790</v>
      </c>
      <c r="D7243" s="6" t="s">
        <v>17</v>
      </c>
      <c r="E7243" s="6">
        <f>IF((ISBLANK($B$1)),"",Sheet1!Q7255)</f>
        <v>4200</v>
      </c>
      <c r="F7243" s="20" t="s">
        <v>26</v>
      </c>
      <c r="G7243" s="53">
        <f t="shared" si="114"/>
        <v>-0.6611662132264714</v>
      </c>
      <c r="H7243" s="35"/>
      <c r="P7243" s="6"/>
    </row>
    <row r="7244" spans="1:16" ht="14.4" x14ac:dyDescent="0.25">
      <c r="A7244" s="6">
        <v>7284</v>
      </c>
      <c r="B7244" s="6">
        <v>51969</v>
      </c>
      <c r="C7244" s="19">
        <v>40790</v>
      </c>
      <c r="D7244" s="6" t="s">
        <v>17</v>
      </c>
      <c r="E7244" s="6">
        <f>IF((ISBLANK($B$1)),"",Sheet1!Q7256)</f>
        <v>5050</v>
      </c>
      <c r="F7244" s="20" t="s">
        <v>27</v>
      </c>
      <c r="G7244" s="53">
        <f t="shared" si="114"/>
        <v>0.51264491857664052</v>
      </c>
      <c r="H7244" s="35"/>
      <c r="P7244" s="6"/>
    </row>
    <row r="7245" spans="1:16" ht="14.4" x14ac:dyDescent="0.25">
      <c r="A7245" s="6">
        <v>7292</v>
      </c>
      <c r="B7245" s="6">
        <v>52003</v>
      </c>
      <c r="C7245" s="19">
        <v>40957</v>
      </c>
      <c r="D7245" s="6" t="s">
        <v>25</v>
      </c>
      <c r="E7245" s="6">
        <f>IF((ISBLANK($B$1)),"",Sheet1!Q7257)</f>
        <v>3950</v>
      </c>
      <c r="F7245" s="20" t="s">
        <v>29</v>
      </c>
      <c r="G7245" s="53">
        <f t="shared" si="114"/>
        <v>-1.0064047814038573</v>
      </c>
      <c r="H7245" s="35"/>
      <c r="P7245" s="6"/>
    </row>
    <row r="7246" spans="1:16" ht="14.4" x14ac:dyDescent="0.25">
      <c r="A7246" s="6">
        <v>7293</v>
      </c>
      <c r="B7246" s="6">
        <v>52003</v>
      </c>
      <c r="C7246" s="19">
        <v>40957</v>
      </c>
      <c r="D7246" s="6" t="s">
        <v>25</v>
      </c>
      <c r="E7246" s="6">
        <f>IF((ISBLANK($B$1)),"",Sheet1!Q7258)</f>
        <v>3500</v>
      </c>
      <c r="F7246" s="20" t="s">
        <v>27</v>
      </c>
      <c r="G7246" s="53">
        <f t="shared" si="114"/>
        <v>-1.6278342041231517</v>
      </c>
      <c r="H7246" s="35"/>
      <c r="P7246" s="6"/>
    </row>
    <row r="7247" spans="1:16" ht="14.4" x14ac:dyDescent="0.25">
      <c r="A7247" s="6">
        <v>7323</v>
      </c>
      <c r="B7247" s="6">
        <v>52196</v>
      </c>
      <c r="C7247" s="19">
        <v>40208</v>
      </c>
      <c r="D7247" s="6" t="s">
        <v>28</v>
      </c>
      <c r="E7247" s="6">
        <f>IF((ISBLANK($B$1)),"",Sheet1!Q7259)</f>
        <v>3450</v>
      </c>
      <c r="F7247" s="20" t="s">
        <v>26</v>
      </c>
      <c r="G7247" s="53">
        <f t="shared" si="114"/>
        <v>-1.696881917758629</v>
      </c>
      <c r="H7247" s="35"/>
      <c r="P7247" s="6"/>
    </row>
    <row r="7248" spans="1:16" ht="14.4" x14ac:dyDescent="0.25">
      <c r="A7248" s="6">
        <v>7324</v>
      </c>
      <c r="B7248" s="6">
        <v>52196</v>
      </c>
      <c r="C7248" s="19">
        <v>40208</v>
      </c>
      <c r="D7248" s="6" t="s">
        <v>28</v>
      </c>
      <c r="E7248" s="6">
        <f>IF((ISBLANK($B$1)),"",Sheet1!Q7260)</f>
        <v>3900</v>
      </c>
      <c r="F7248" s="20" t="s">
        <v>27</v>
      </c>
      <c r="G7248" s="53">
        <f t="shared" si="114"/>
        <v>-1.0754524950393345</v>
      </c>
      <c r="H7248" s="35"/>
      <c r="P7248" s="6"/>
    </row>
    <row r="7249" spans="1:16" ht="14.4" x14ac:dyDescent="0.25">
      <c r="A7249" s="6">
        <v>7340</v>
      </c>
      <c r="B7249" s="6">
        <v>52292</v>
      </c>
      <c r="C7249" s="19">
        <v>40454</v>
      </c>
      <c r="D7249" s="6" t="s">
        <v>28</v>
      </c>
      <c r="E7249" s="6">
        <f>IF((ISBLANK($B$1)),"",Sheet1!Q7261)</f>
        <v>4300</v>
      </c>
      <c r="F7249" s="20" t="s">
        <v>29</v>
      </c>
      <c r="G7249" s="53">
        <f t="shared" si="114"/>
        <v>-0.52307078595551704</v>
      </c>
      <c r="H7249" s="35"/>
      <c r="P7249" s="6"/>
    </row>
    <row r="7250" spans="1:16" ht="14.4" x14ac:dyDescent="0.25">
      <c r="A7250" s="6">
        <v>7359</v>
      </c>
      <c r="B7250" s="6">
        <v>52423</v>
      </c>
      <c r="C7250" s="19">
        <v>40644</v>
      </c>
      <c r="D7250" s="6" t="s">
        <v>30</v>
      </c>
      <c r="E7250" s="6">
        <f>IF((ISBLANK($B$1)),"",Sheet1!Q7262)</f>
        <v>5850</v>
      </c>
      <c r="F7250" s="20" t="s">
        <v>27</v>
      </c>
      <c r="G7250" s="53">
        <f t="shared" si="114"/>
        <v>1.6174083367442753</v>
      </c>
      <c r="H7250" s="35"/>
      <c r="P7250" s="6"/>
    </row>
    <row r="7251" spans="1:16" ht="14.4" x14ac:dyDescent="0.25">
      <c r="A7251" s="6">
        <v>7360</v>
      </c>
      <c r="B7251" s="6">
        <v>52423</v>
      </c>
      <c r="C7251" s="19">
        <v>40644</v>
      </c>
      <c r="D7251" s="6" t="s">
        <v>30</v>
      </c>
      <c r="E7251" s="6">
        <f>IF((ISBLANK($B$1)),"",Sheet1!Q7263)</f>
        <v>4650</v>
      </c>
      <c r="F7251" s="20" t="s">
        <v>26</v>
      </c>
      <c r="G7251" s="53">
        <f t="shared" si="114"/>
        <v>-3.9736790507176829E-2</v>
      </c>
      <c r="H7251" s="35"/>
      <c r="P7251" s="6"/>
    </row>
    <row r="7252" spans="1:16" ht="14.4" x14ac:dyDescent="0.25">
      <c r="A7252" s="6">
        <v>7361</v>
      </c>
      <c r="B7252" s="6">
        <v>52448</v>
      </c>
      <c r="C7252" s="19">
        <v>40431</v>
      </c>
      <c r="D7252" s="6" t="s">
        <v>28</v>
      </c>
      <c r="E7252" s="6">
        <f>IF((ISBLANK($B$1)),"",Sheet1!Q7264)</f>
        <v>4500</v>
      </c>
      <c r="F7252" s="20" t="s">
        <v>29</v>
      </c>
      <c r="G7252" s="53">
        <f t="shared" si="114"/>
        <v>-0.24687993141360834</v>
      </c>
      <c r="H7252" s="35"/>
      <c r="P7252" s="6"/>
    </row>
    <row r="7253" spans="1:16" ht="14.4" x14ac:dyDescent="0.25">
      <c r="A7253" s="6">
        <v>7376</v>
      </c>
      <c r="B7253" s="6">
        <v>52580</v>
      </c>
      <c r="C7253" s="19">
        <v>41149</v>
      </c>
      <c r="D7253" s="6" t="s">
        <v>17</v>
      </c>
      <c r="E7253" s="6">
        <f>IF((ISBLANK($B$1)),"",Sheet1!Q7265)</f>
        <v>4200</v>
      </c>
      <c r="F7253" s="20" t="s">
        <v>27</v>
      </c>
      <c r="G7253" s="53">
        <f t="shared" si="114"/>
        <v>-0.6611662132264714</v>
      </c>
      <c r="H7253" s="35"/>
      <c r="P7253" s="6"/>
    </row>
    <row r="7254" spans="1:16" ht="14.4" x14ac:dyDescent="0.25">
      <c r="A7254" s="6">
        <v>7377</v>
      </c>
      <c r="B7254" s="6">
        <v>52580</v>
      </c>
      <c r="C7254" s="19">
        <v>41149</v>
      </c>
      <c r="D7254" s="6" t="s">
        <v>17</v>
      </c>
      <c r="E7254" s="6">
        <f>IF((ISBLANK($B$1)),"",Sheet1!Q7266)</f>
        <v>4550</v>
      </c>
      <c r="F7254" s="20" t="s">
        <v>26</v>
      </c>
      <c r="G7254" s="53">
        <f t="shared" si="114"/>
        <v>-0.17783221777813119</v>
      </c>
      <c r="H7254" s="35"/>
      <c r="P7254" s="6"/>
    </row>
    <row r="7255" spans="1:16" ht="14.4" x14ac:dyDescent="0.25">
      <c r="A7255" s="6">
        <v>7441</v>
      </c>
      <c r="B7255" s="6">
        <v>53056</v>
      </c>
      <c r="C7255" s="19">
        <v>40850</v>
      </c>
      <c r="D7255" s="6" t="s">
        <v>30</v>
      </c>
      <c r="E7255" s="6">
        <f>IF((ISBLANK($B$1)),"",Sheet1!Q7267)</f>
        <v>4050</v>
      </c>
      <c r="F7255" s="20" t="s">
        <v>27</v>
      </c>
      <c r="G7255" s="53">
        <f t="shared" si="114"/>
        <v>-0.86830935413290289</v>
      </c>
      <c r="H7255" s="35"/>
      <c r="P7255" s="6"/>
    </row>
    <row r="7256" spans="1:16" ht="14.4" x14ac:dyDescent="0.25">
      <c r="A7256" s="6">
        <v>7442</v>
      </c>
      <c r="B7256" s="6">
        <v>53060</v>
      </c>
      <c r="C7256" s="19">
        <v>40259</v>
      </c>
      <c r="D7256" s="6" t="s">
        <v>30</v>
      </c>
      <c r="E7256" s="6">
        <f>IF((ISBLANK($B$1)),"",Sheet1!Q7268)</f>
        <v>5200</v>
      </c>
      <c r="F7256" s="20" t="s">
        <v>27</v>
      </c>
      <c r="G7256" s="53">
        <f t="shared" si="114"/>
        <v>0.71978805948307201</v>
      </c>
      <c r="H7256" s="35"/>
      <c r="P7256" s="6"/>
    </row>
    <row r="7257" spans="1:16" ht="14.4" x14ac:dyDescent="0.25">
      <c r="A7257" s="6">
        <v>7443</v>
      </c>
      <c r="B7257" s="6">
        <v>53060</v>
      </c>
      <c r="C7257" s="19">
        <v>40259</v>
      </c>
      <c r="D7257" s="6" t="s">
        <v>30</v>
      </c>
      <c r="E7257" s="6">
        <f>IF((ISBLANK($B$1)),"",Sheet1!Q7269)</f>
        <v>3600</v>
      </c>
      <c r="F7257" s="20" t="s">
        <v>26</v>
      </c>
      <c r="G7257" s="53">
        <f t="shared" si="114"/>
        <v>-1.4897387768521975</v>
      </c>
      <c r="H7257" s="35"/>
      <c r="P7257" s="6"/>
    </row>
    <row r="7258" spans="1:16" ht="14.4" x14ac:dyDescent="0.25">
      <c r="A7258" s="6">
        <v>7465</v>
      </c>
      <c r="B7258" s="6">
        <v>53283</v>
      </c>
      <c r="C7258" s="19">
        <v>40844</v>
      </c>
      <c r="D7258" s="6" t="s">
        <v>17</v>
      </c>
      <c r="E7258" s="6">
        <f>IF((ISBLANK($B$1)),"",Sheet1!Q7270)</f>
        <v>3500</v>
      </c>
      <c r="F7258" s="20" t="s">
        <v>27</v>
      </c>
      <c r="G7258" s="53">
        <f t="shared" si="114"/>
        <v>-1.6278342041231517</v>
      </c>
      <c r="H7258" s="35"/>
      <c r="P7258" s="6"/>
    </row>
    <row r="7259" spans="1:16" ht="14.4" x14ac:dyDescent="0.25">
      <c r="A7259" s="6">
        <v>7471</v>
      </c>
      <c r="B7259" s="6">
        <v>53344</v>
      </c>
      <c r="C7259" s="19">
        <v>40233</v>
      </c>
      <c r="D7259" s="6" t="s">
        <v>17</v>
      </c>
      <c r="E7259" s="6">
        <f>IF((ISBLANK($B$1)),"",Sheet1!Q7271)</f>
        <v>5200</v>
      </c>
      <c r="F7259" s="20" t="s">
        <v>26</v>
      </c>
      <c r="G7259" s="53">
        <f t="shared" si="114"/>
        <v>0.71978805948307201</v>
      </c>
      <c r="H7259" s="35"/>
      <c r="P7259" s="6"/>
    </row>
    <row r="7260" spans="1:16" ht="14.4" x14ac:dyDescent="0.25">
      <c r="A7260" s="6">
        <v>7477</v>
      </c>
      <c r="B7260" s="6">
        <v>53381</v>
      </c>
      <c r="C7260" s="19">
        <v>40447</v>
      </c>
      <c r="D7260" s="6" t="s">
        <v>30</v>
      </c>
      <c r="E7260" s="6">
        <f>IF((ISBLANK($B$1)),"",Sheet1!Q7272)</f>
        <v>4700</v>
      </c>
      <c r="F7260" s="20" t="s">
        <v>26</v>
      </c>
      <c r="G7260" s="53">
        <f t="shared" si="114"/>
        <v>2.9310923128300338E-2</v>
      </c>
      <c r="H7260" s="35"/>
      <c r="P7260" s="6"/>
    </row>
    <row r="7261" spans="1:16" ht="14.4" x14ac:dyDescent="0.25">
      <c r="A7261" s="6">
        <v>7505</v>
      </c>
      <c r="B7261" s="6">
        <v>53571</v>
      </c>
      <c r="C7261" s="19">
        <v>40983</v>
      </c>
      <c r="D7261" s="6" t="s">
        <v>28</v>
      </c>
      <c r="E7261" s="6">
        <f>IF((ISBLANK($B$1)),"",Sheet1!Q7273)</f>
        <v>4450</v>
      </c>
      <c r="F7261" s="20" t="s">
        <v>26</v>
      </c>
      <c r="G7261" s="53">
        <f t="shared" si="114"/>
        <v>-0.31592764504908549</v>
      </c>
      <c r="H7261" s="35"/>
      <c r="P7261" s="6"/>
    </row>
    <row r="7262" spans="1:16" ht="14.4" x14ac:dyDescent="0.25">
      <c r="A7262" s="6">
        <v>7513</v>
      </c>
      <c r="B7262" s="6">
        <v>53635</v>
      </c>
      <c r="C7262" s="19">
        <v>41108</v>
      </c>
      <c r="D7262" s="6" t="s">
        <v>28</v>
      </c>
      <c r="E7262" s="6">
        <f>IF((ISBLANK($B$1)),"",Sheet1!Q7274)</f>
        <v>5050</v>
      </c>
      <c r="F7262" s="20" t="s">
        <v>26</v>
      </c>
      <c r="G7262" s="53">
        <f t="shared" si="114"/>
        <v>0.51264491857664052</v>
      </c>
      <c r="H7262" s="35"/>
      <c r="P7262" s="6"/>
    </row>
    <row r="7263" spans="1:16" ht="14.4" x14ac:dyDescent="0.25">
      <c r="A7263" s="6">
        <v>7525</v>
      </c>
      <c r="B7263" s="6">
        <v>53762</v>
      </c>
      <c r="C7263" s="19">
        <v>41061</v>
      </c>
      <c r="D7263" s="6" t="s">
        <v>30</v>
      </c>
      <c r="E7263" s="6">
        <f>IF((ISBLANK($B$1)),"",Sheet1!Q7275)</f>
        <v>4800</v>
      </c>
      <c r="F7263" s="20" t="s">
        <v>26</v>
      </c>
      <c r="G7263" s="53">
        <f t="shared" si="114"/>
        <v>0.16740635039925467</v>
      </c>
      <c r="H7263" s="35"/>
      <c r="P7263" s="6"/>
    </row>
    <row r="7264" spans="1:16" ht="14.4" x14ac:dyDescent="0.25">
      <c r="A7264" s="6">
        <v>7561</v>
      </c>
      <c r="B7264" s="6">
        <v>54086</v>
      </c>
      <c r="C7264" s="19">
        <v>41158</v>
      </c>
      <c r="D7264" s="6" t="s">
        <v>25</v>
      </c>
      <c r="E7264" s="6">
        <f>IF((ISBLANK($B$1)),"",Sheet1!Q7276)</f>
        <v>4550</v>
      </c>
      <c r="F7264" s="20" t="s">
        <v>27</v>
      </c>
      <c r="G7264" s="53">
        <f t="shared" si="114"/>
        <v>-0.17783221777813119</v>
      </c>
      <c r="H7264" s="35"/>
      <c r="P7264" s="6"/>
    </row>
    <row r="7265" spans="1:16" ht="14.4" x14ac:dyDescent="0.25">
      <c r="A7265" s="6">
        <v>7575</v>
      </c>
      <c r="B7265" s="6">
        <v>54180</v>
      </c>
      <c r="C7265" s="19">
        <v>41204</v>
      </c>
      <c r="D7265" s="6" t="s">
        <v>30</v>
      </c>
      <c r="E7265" s="6">
        <f>IF((ISBLANK($B$1)),"",Sheet1!Q7277)</f>
        <v>5550</v>
      </c>
      <c r="F7265" s="20" t="s">
        <v>26</v>
      </c>
      <c r="G7265" s="53">
        <f t="shared" si="114"/>
        <v>1.2031220549314123</v>
      </c>
      <c r="H7265" s="35"/>
      <c r="P7265" s="6"/>
    </row>
    <row r="7266" spans="1:16" ht="14.4" x14ac:dyDescent="0.25">
      <c r="A7266" s="6">
        <v>7581</v>
      </c>
      <c r="B7266" s="6">
        <v>54215</v>
      </c>
      <c r="C7266" s="19">
        <v>40837</v>
      </c>
      <c r="D7266" s="6" t="s">
        <v>17</v>
      </c>
      <c r="E7266" s="6">
        <f>IF((ISBLANK($B$1)),"",Sheet1!Q7278)</f>
        <v>4100</v>
      </c>
      <c r="F7266" s="20" t="s">
        <v>27</v>
      </c>
      <c r="G7266" s="53">
        <f t="shared" si="114"/>
        <v>-0.79926164049742576</v>
      </c>
      <c r="H7266" s="35"/>
      <c r="P7266" s="6"/>
    </row>
    <row r="7267" spans="1:16" ht="14.4" x14ac:dyDescent="0.25">
      <c r="A7267" s="6">
        <v>7591</v>
      </c>
      <c r="B7267" s="6">
        <v>54336</v>
      </c>
      <c r="C7267" s="19">
        <v>40283</v>
      </c>
      <c r="D7267" s="6" t="s">
        <v>16</v>
      </c>
      <c r="E7267" s="6">
        <f>IF((ISBLANK($B$1)),"",Sheet1!Q7279)</f>
        <v>5900</v>
      </c>
      <c r="F7267" s="20" t="s">
        <v>29</v>
      </c>
      <c r="G7267" s="53">
        <f t="shared" si="114"/>
        <v>1.6864560503797523</v>
      </c>
      <c r="H7267" s="35"/>
      <c r="P7267" s="6"/>
    </row>
    <row r="7268" spans="1:16" ht="14.4" x14ac:dyDescent="0.25">
      <c r="A7268" s="6">
        <v>7610</v>
      </c>
      <c r="B7268" s="6">
        <v>54467</v>
      </c>
      <c r="C7268" s="19">
        <v>40469</v>
      </c>
      <c r="D7268" s="6" t="s">
        <v>25</v>
      </c>
      <c r="E7268" s="6">
        <f>IF((ISBLANK($B$1)),"",Sheet1!Q7280)</f>
        <v>5250</v>
      </c>
      <c r="F7268" s="20" t="s">
        <v>26</v>
      </c>
      <c r="G7268" s="53">
        <f t="shared" si="114"/>
        <v>0.78883577311854924</v>
      </c>
      <c r="H7268" s="35"/>
      <c r="P7268" s="6"/>
    </row>
    <row r="7269" spans="1:16" ht="14.4" x14ac:dyDescent="0.25">
      <c r="A7269" s="6">
        <v>7611</v>
      </c>
      <c r="B7269" s="6">
        <v>54467</v>
      </c>
      <c r="C7269" s="19">
        <v>40469</v>
      </c>
      <c r="D7269" s="6" t="s">
        <v>25</v>
      </c>
      <c r="E7269" s="6">
        <f>IF((ISBLANK($B$1)),"",Sheet1!Q7281)</f>
        <v>4900</v>
      </c>
      <c r="F7269" s="20" t="s">
        <v>29</v>
      </c>
      <c r="G7269" s="53">
        <f t="shared" si="114"/>
        <v>0.30550177767020903</v>
      </c>
      <c r="H7269" s="35"/>
      <c r="P7269" s="6"/>
    </row>
    <row r="7270" spans="1:16" ht="14.4" x14ac:dyDescent="0.25">
      <c r="A7270" s="6">
        <v>7612</v>
      </c>
      <c r="B7270" s="6">
        <v>54467</v>
      </c>
      <c r="C7270" s="19">
        <v>40469</v>
      </c>
      <c r="D7270" s="6" t="s">
        <v>25</v>
      </c>
      <c r="E7270" s="6">
        <f>IF((ISBLANK($B$1)),"",Sheet1!Q7282)</f>
        <v>4250</v>
      </c>
      <c r="F7270" s="20" t="s">
        <v>26</v>
      </c>
      <c r="G7270" s="53">
        <f t="shared" si="114"/>
        <v>-0.59211849959099416</v>
      </c>
      <c r="H7270" s="35"/>
      <c r="P7270" s="6"/>
    </row>
    <row r="7271" spans="1:16" ht="14.4" x14ac:dyDescent="0.25">
      <c r="A7271" s="6">
        <v>7623</v>
      </c>
      <c r="B7271" s="6">
        <v>54534</v>
      </c>
      <c r="C7271" s="19">
        <v>40987</v>
      </c>
      <c r="D7271" s="6" t="s">
        <v>28</v>
      </c>
      <c r="E7271" s="6">
        <f>IF((ISBLANK($B$1)),"",Sheet1!Q7283)</f>
        <v>4200</v>
      </c>
      <c r="F7271" s="20" t="s">
        <v>26</v>
      </c>
      <c r="G7271" s="53">
        <f t="shared" si="114"/>
        <v>-0.6611662132264714</v>
      </c>
      <c r="H7271" s="35"/>
      <c r="P7271" s="6"/>
    </row>
    <row r="7272" spans="1:16" ht="14.4" x14ac:dyDescent="0.25">
      <c r="A7272" s="6">
        <v>7627</v>
      </c>
      <c r="B7272" s="6">
        <v>54564</v>
      </c>
      <c r="C7272" s="19">
        <v>40518</v>
      </c>
      <c r="D7272" s="6" t="s">
        <v>17</v>
      </c>
      <c r="E7272" s="6">
        <f>IF((ISBLANK($B$1)),"",Sheet1!Q7284)</f>
        <v>4750</v>
      </c>
      <c r="F7272" s="20" t="s">
        <v>27</v>
      </c>
      <c r="G7272" s="53">
        <f t="shared" si="114"/>
        <v>9.8358636763777513E-2</v>
      </c>
      <c r="H7272" s="35"/>
      <c r="P7272" s="6"/>
    </row>
    <row r="7273" spans="1:16" ht="14.4" x14ac:dyDescent="0.25">
      <c r="A7273" s="6">
        <v>7637</v>
      </c>
      <c r="B7273" s="6">
        <v>54692</v>
      </c>
      <c r="C7273" s="19">
        <v>40242</v>
      </c>
      <c r="D7273" s="6" t="s">
        <v>16</v>
      </c>
      <c r="E7273" s="6">
        <f>IF((ISBLANK($B$1)),"",Sheet1!Q7285)</f>
        <v>4200</v>
      </c>
      <c r="F7273" s="20" t="s">
        <v>26</v>
      </c>
      <c r="G7273" s="53">
        <f t="shared" si="114"/>
        <v>-0.6611662132264714</v>
      </c>
      <c r="H7273" s="35"/>
      <c r="P7273" s="6"/>
    </row>
    <row r="7274" spans="1:16" ht="14.4" x14ac:dyDescent="0.25">
      <c r="A7274" s="6">
        <v>7638</v>
      </c>
      <c r="B7274" s="6">
        <v>54692</v>
      </c>
      <c r="C7274" s="19">
        <v>40242</v>
      </c>
      <c r="D7274" s="6" t="s">
        <v>16</v>
      </c>
      <c r="E7274" s="6">
        <f>IF((ISBLANK($B$1)),"",Sheet1!Q7286)</f>
        <v>4750</v>
      </c>
      <c r="F7274" s="20" t="s">
        <v>27</v>
      </c>
      <c r="G7274" s="53">
        <f t="shared" si="114"/>
        <v>9.8358636763777513E-2</v>
      </c>
      <c r="H7274" s="35"/>
      <c r="P7274" s="6"/>
    </row>
    <row r="7275" spans="1:16" ht="14.4" x14ac:dyDescent="0.25">
      <c r="A7275" s="6">
        <v>7641</v>
      </c>
      <c r="B7275" s="6">
        <v>54727</v>
      </c>
      <c r="C7275" s="19">
        <v>40525</v>
      </c>
      <c r="D7275" s="6" t="s">
        <v>16</v>
      </c>
      <c r="E7275" s="6">
        <f>IF((ISBLANK($B$1)),"",Sheet1!Q7287)</f>
        <v>4850</v>
      </c>
      <c r="F7275" s="20" t="s">
        <v>26</v>
      </c>
      <c r="G7275" s="53">
        <f t="shared" si="114"/>
        <v>0.23645406403473185</v>
      </c>
      <c r="H7275" s="35"/>
      <c r="P7275" s="6"/>
    </row>
    <row r="7276" spans="1:16" ht="14.4" x14ac:dyDescent="0.25">
      <c r="A7276" s="6">
        <v>7656</v>
      </c>
      <c r="B7276" s="6">
        <v>54886</v>
      </c>
      <c r="C7276" s="19">
        <v>41125</v>
      </c>
      <c r="D7276" s="6" t="s">
        <v>30</v>
      </c>
      <c r="E7276" s="6">
        <f>IF((ISBLANK($B$1)),"",Sheet1!Q7288)</f>
        <v>5350</v>
      </c>
      <c r="F7276" s="20" t="s">
        <v>29</v>
      </c>
      <c r="G7276" s="53">
        <f t="shared" si="114"/>
        <v>0.92693120038950361</v>
      </c>
      <c r="H7276" s="35"/>
      <c r="P7276" s="6"/>
    </row>
    <row r="7277" spans="1:16" ht="14.4" x14ac:dyDescent="0.25">
      <c r="A7277" s="6">
        <v>7668</v>
      </c>
      <c r="B7277" s="6">
        <v>54977</v>
      </c>
      <c r="C7277" s="19">
        <v>40734</v>
      </c>
      <c r="D7277" s="6" t="s">
        <v>25</v>
      </c>
      <c r="E7277" s="6">
        <f>IF((ISBLANK($B$1)),"",Sheet1!Q7289)</f>
        <v>4600</v>
      </c>
      <c r="F7277" s="20" t="s">
        <v>26</v>
      </c>
      <c r="G7277" s="53">
        <f t="shared" si="114"/>
        <v>-0.108784504142654</v>
      </c>
      <c r="H7277" s="35"/>
      <c r="P7277" s="6"/>
    </row>
    <row r="7278" spans="1:16" ht="14.4" x14ac:dyDescent="0.25">
      <c r="A7278" s="6">
        <v>7669</v>
      </c>
      <c r="B7278" s="6">
        <v>54977</v>
      </c>
      <c r="C7278" s="19">
        <v>40734</v>
      </c>
      <c r="D7278" s="6" t="s">
        <v>25</v>
      </c>
      <c r="E7278" s="6">
        <f>IF((ISBLANK($B$1)),"",Sheet1!Q7290)</f>
        <v>4000</v>
      </c>
      <c r="F7278" s="20" t="s">
        <v>26</v>
      </c>
      <c r="G7278" s="53">
        <f t="shared" si="114"/>
        <v>-0.93735706776838001</v>
      </c>
      <c r="H7278" s="35"/>
      <c r="P7278" s="6"/>
    </row>
    <row r="7279" spans="1:16" ht="14.4" x14ac:dyDescent="0.25">
      <c r="A7279" s="6">
        <v>7676</v>
      </c>
      <c r="B7279" s="6">
        <v>55040</v>
      </c>
      <c r="C7279" s="19">
        <v>39915</v>
      </c>
      <c r="D7279" s="6" t="s">
        <v>17</v>
      </c>
      <c r="E7279" s="6">
        <f>IF((ISBLANK($B$1)),"",Sheet1!Q7291)</f>
        <v>3800</v>
      </c>
      <c r="F7279" s="20" t="s">
        <v>26</v>
      </c>
      <c r="G7279" s="53">
        <f t="shared" si="114"/>
        <v>-1.2135479223102887</v>
      </c>
      <c r="H7279" s="35"/>
      <c r="P7279" s="6"/>
    </row>
    <row r="7280" spans="1:16" ht="14.4" x14ac:dyDescent="0.25">
      <c r="A7280" s="6">
        <v>7677</v>
      </c>
      <c r="B7280" s="6">
        <v>55040</v>
      </c>
      <c r="C7280" s="19">
        <v>39915</v>
      </c>
      <c r="D7280" s="6" t="s">
        <v>17</v>
      </c>
      <c r="E7280" s="6">
        <f>IF((ISBLANK($B$1)),"",Sheet1!Q7292)</f>
        <v>4600</v>
      </c>
      <c r="F7280" s="20" t="s">
        <v>26</v>
      </c>
      <c r="G7280" s="53">
        <f t="shared" si="114"/>
        <v>-0.108784504142654</v>
      </c>
      <c r="H7280" s="35"/>
      <c r="P7280" s="6"/>
    </row>
    <row r="7281" spans="1:16" ht="14.4" x14ac:dyDescent="0.25">
      <c r="A7281" s="6">
        <v>7678</v>
      </c>
      <c r="B7281" s="6">
        <v>55040</v>
      </c>
      <c r="C7281" s="19">
        <v>39915</v>
      </c>
      <c r="D7281" s="6" t="s">
        <v>17</v>
      </c>
      <c r="E7281" s="6">
        <f>IF((ISBLANK($B$1)),"",Sheet1!Q7293)</f>
        <v>5100</v>
      </c>
      <c r="F7281" s="20" t="s">
        <v>26</v>
      </c>
      <c r="G7281" s="53">
        <f t="shared" si="114"/>
        <v>0.58169263221211776</v>
      </c>
      <c r="H7281" s="35"/>
      <c r="P7281" s="6"/>
    </row>
    <row r="7282" spans="1:16" ht="14.4" x14ac:dyDescent="0.25">
      <c r="A7282" s="6">
        <v>7679</v>
      </c>
      <c r="B7282" s="6">
        <v>55040</v>
      </c>
      <c r="C7282" s="19">
        <v>39915</v>
      </c>
      <c r="D7282" s="6" t="s">
        <v>17</v>
      </c>
      <c r="E7282" s="6">
        <f>IF((ISBLANK($B$1)),"",Sheet1!Q7294)</f>
        <v>3500</v>
      </c>
      <c r="F7282" s="20" t="s">
        <v>27</v>
      </c>
      <c r="G7282" s="53">
        <f t="shared" si="114"/>
        <v>-1.6278342041231517</v>
      </c>
      <c r="H7282" s="35"/>
      <c r="P7282" s="6"/>
    </row>
    <row r="7283" spans="1:16" ht="14.4" x14ac:dyDescent="0.25">
      <c r="A7283" s="6">
        <v>7692</v>
      </c>
      <c r="B7283" s="6">
        <v>55139</v>
      </c>
      <c r="C7283" s="19">
        <v>40195</v>
      </c>
      <c r="D7283" s="6" t="s">
        <v>28</v>
      </c>
      <c r="E7283" s="6">
        <f>IF((ISBLANK($B$1)),"",Sheet1!Q7295)</f>
        <v>5450</v>
      </c>
      <c r="F7283" s="20" t="s">
        <v>26</v>
      </c>
      <c r="G7283" s="53">
        <f t="shared" si="114"/>
        <v>1.0650266276604579</v>
      </c>
      <c r="H7283" s="35"/>
      <c r="P7283" s="6"/>
    </row>
    <row r="7284" spans="1:16" ht="14.4" x14ac:dyDescent="0.25">
      <c r="A7284" s="6">
        <v>7702</v>
      </c>
      <c r="B7284" s="6">
        <v>55203</v>
      </c>
      <c r="C7284" s="19">
        <v>40279</v>
      </c>
      <c r="D7284" s="6" t="s">
        <v>25</v>
      </c>
      <c r="E7284" s="6">
        <f>IF((ISBLANK($B$1)),"",Sheet1!Q7296)</f>
        <v>4300</v>
      </c>
      <c r="F7284" s="20" t="s">
        <v>27</v>
      </c>
      <c r="G7284" s="53">
        <f t="shared" si="114"/>
        <v>-0.52307078595551704</v>
      </c>
      <c r="H7284" s="35"/>
      <c r="P7284" s="6"/>
    </row>
    <row r="7285" spans="1:16" ht="14.4" x14ac:dyDescent="0.25">
      <c r="A7285" s="6">
        <v>7721</v>
      </c>
      <c r="B7285" s="6">
        <v>55330</v>
      </c>
      <c r="C7285" s="19">
        <v>40037</v>
      </c>
      <c r="D7285" s="6" t="s">
        <v>16</v>
      </c>
      <c r="E7285" s="6">
        <f>IF((ISBLANK($B$1)),"",Sheet1!Q7297)</f>
        <v>5850</v>
      </c>
      <c r="F7285" s="20" t="s">
        <v>29</v>
      </c>
      <c r="G7285" s="53">
        <f t="shared" si="114"/>
        <v>1.6174083367442753</v>
      </c>
      <c r="H7285" s="35"/>
      <c r="P7285" s="6"/>
    </row>
    <row r="7286" spans="1:16" ht="14.4" x14ac:dyDescent="0.25">
      <c r="A7286" s="6">
        <v>7744</v>
      </c>
      <c r="B7286" s="6">
        <v>55431</v>
      </c>
      <c r="C7286" s="19">
        <v>41068</v>
      </c>
      <c r="D7286" s="6" t="s">
        <v>28</v>
      </c>
      <c r="E7286" s="6">
        <f>IF((ISBLANK($B$1)),"",Sheet1!Q7298)</f>
        <v>5350</v>
      </c>
      <c r="F7286" s="20" t="s">
        <v>26</v>
      </c>
      <c r="G7286" s="53">
        <f t="shared" si="114"/>
        <v>0.92693120038950361</v>
      </c>
      <c r="H7286" s="35"/>
      <c r="P7286" s="6"/>
    </row>
    <row r="7287" spans="1:16" ht="14.4" x14ac:dyDescent="0.25">
      <c r="A7287" s="6">
        <v>7756</v>
      </c>
      <c r="B7287" s="6">
        <v>55494</v>
      </c>
      <c r="C7287" s="19">
        <v>41085</v>
      </c>
      <c r="D7287" s="6" t="s">
        <v>28</v>
      </c>
      <c r="E7287" s="6">
        <f>IF((ISBLANK($B$1)),"",Sheet1!Q7299)</f>
        <v>3600</v>
      </c>
      <c r="F7287" s="20" t="s">
        <v>26</v>
      </c>
      <c r="G7287" s="53">
        <f t="shared" si="114"/>
        <v>-1.4897387768521975</v>
      </c>
      <c r="H7287" s="35"/>
      <c r="P7287" s="6"/>
    </row>
    <row r="7288" spans="1:16" ht="14.4" x14ac:dyDescent="0.25">
      <c r="A7288" s="6">
        <v>7757</v>
      </c>
      <c r="B7288" s="6">
        <v>55494</v>
      </c>
      <c r="C7288" s="19">
        <v>41085</v>
      </c>
      <c r="D7288" s="6" t="s">
        <v>28</v>
      </c>
      <c r="E7288" s="6">
        <f>IF((ISBLANK($B$1)),"",Sheet1!Q7300)</f>
        <v>5850</v>
      </c>
      <c r="F7288" s="20" t="s">
        <v>26</v>
      </c>
      <c r="G7288" s="53">
        <f t="shared" si="114"/>
        <v>1.6174083367442753</v>
      </c>
      <c r="H7288" s="35"/>
      <c r="P7288" s="6"/>
    </row>
    <row r="7289" spans="1:16" ht="14.4" x14ac:dyDescent="0.25">
      <c r="A7289" s="6">
        <v>7762</v>
      </c>
      <c r="B7289" s="6">
        <v>55554</v>
      </c>
      <c r="C7289" s="19">
        <v>40133</v>
      </c>
      <c r="D7289" s="6" t="s">
        <v>30</v>
      </c>
      <c r="E7289" s="6">
        <f>IF((ISBLANK($B$1)),"",Sheet1!Q7301)</f>
        <v>3700</v>
      </c>
      <c r="F7289" s="20" t="s">
        <v>26</v>
      </c>
      <c r="G7289" s="53">
        <f t="shared" si="114"/>
        <v>-1.351643349581243</v>
      </c>
      <c r="H7289" s="35"/>
      <c r="P7289" s="6"/>
    </row>
    <row r="7290" spans="1:16" ht="14.4" x14ac:dyDescent="0.25">
      <c r="A7290" s="6">
        <v>7763</v>
      </c>
      <c r="B7290" s="6">
        <v>55554</v>
      </c>
      <c r="C7290" s="19">
        <v>40133</v>
      </c>
      <c r="D7290" s="6" t="s">
        <v>30</v>
      </c>
      <c r="E7290" s="6">
        <f>IF((ISBLANK($B$1)),"",Sheet1!Q7302)</f>
        <v>5850</v>
      </c>
      <c r="F7290" s="20" t="s">
        <v>26</v>
      </c>
      <c r="G7290" s="53">
        <f t="shared" si="114"/>
        <v>1.6174083367442753</v>
      </c>
      <c r="H7290" s="35"/>
      <c r="P7290" s="6"/>
    </row>
    <row r="7291" spans="1:16" ht="14.4" x14ac:dyDescent="0.25">
      <c r="A7291" s="6">
        <v>7764</v>
      </c>
      <c r="B7291" s="6">
        <v>55554</v>
      </c>
      <c r="C7291" s="19">
        <v>40133</v>
      </c>
      <c r="D7291" s="6" t="s">
        <v>30</v>
      </c>
      <c r="E7291" s="6">
        <f>IF((ISBLANK($B$1)),"",Sheet1!Q7303)</f>
        <v>3850</v>
      </c>
      <c r="F7291" s="20" t="s">
        <v>26</v>
      </c>
      <c r="G7291" s="53">
        <f t="shared" si="114"/>
        <v>-1.1445002086748115</v>
      </c>
      <c r="H7291" s="35"/>
      <c r="P7291" s="6"/>
    </row>
    <row r="7292" spans="1:16" ht="14.4" x14ac:dyDescent="0.25">
      <c r="A7292" s="6">
        <v>7775</v>
      </c>
      <c r="B7292" s="6">
        <v>55651</v>
      </c>
      <c r="C7292" s="19">
        <v>40975</v>
      </c>
      <c r="D7292" s="6" t="s">
        <v>16</v>
      </c>
      <c r="E7292" s="6">
        <f>IF((ISBLANK($B$1)),"",Sheet1!Q7304)</f>
        <v>3950</v>
      </c>
      <c r="F7292" s="20" t="s">
        <v>27</v>
      </c>
      <c r="G7292" s="53">
        <f t="shared" si="114"/>
        <v>-1.0064047814038573</v>
      </c>
      <c r="H7292" s="35"/>
      <c r="P7292" s="6"/>
    </row>
    <row r="7293" spans="1:16" ht="14.4" x14ac:dyDescent="0.25">
      <c r="A7293" s="6">
        <v>7836</v>
      </c>
      <c r="B7293" s="6">
        <v>56006</v>
      </c>
      <c r="C7293" s="19">
        <v>40817</v>
      </c>
      <c r="D7293" s="6" t="s">
        <v>30</v>
      </c>
      <c r="E7293" s="6">
        <f>IF((ISBLANK($B$1)),"",Sheet1!Q7305)</f>
        <v>4200</v>
      </c>
      <c r="F7293" s="20" t="s">
        <v>26</v>
      </c>
      <c r="G7293" s="53">
        <f t="shared" si="114"/>
        <v>-0.6611662132264714</v>
      </c>
      <c r="H7293" s="35"/>
      <c r="P7293" s="6"/>
    </row>
    <row r="7294" spans="1:16" ht="14.4" x14ac:dyDescent="0.25">
      <c r="A7294" s="6">
        <v>7837</v>
      </c>
      <c r="B7294" s="6">
        <v>56006</v>
      </c>
      <c r="C7294" s="19">
        <v>40817</v>
      </c>
      <c r="D7294" s="6" t="s">
        <v>30</v>
      </c>
      <c r="E7294" s="6">
        <f>IF((ISBLANK($B$1)),"",Sheet1!Q7306)</f>
        <v>4400</v>
      </c>
      <c r="F7294" s="20" t="s">
        <v>27</v>
      </c>
      <c r="G7294" s="53">
        <f t="shared" si="114"/>
        <v>-0.38497535868456267</v>
      </c>
      <c r="H7294" s="35"/>
      <c r="P7294" s="6"/>
    </row>
    <row r="7295" spans="1:16" ht="14.4" x14ac:dyDescent="0.25">
      <c r="A7295" s="6">
        <v>7850</v>
      </c>
      <c r="B7295" s="6">
        <v>56130</v>
      </c>
      <c r="C7295" s="19">
        <v>40876</v>
      </c>
      <c r="D7295" s="6" t="s">
        <v>16</v>
      </c>
      <c r="E7295" s="6">
        <f>IF((ISBLANK($B$1)),"",Sheet1!Q7307)</f>
        <v>4050</v>
      </c>
      <c r="F7295" s="20" t="s">
        <v>29</v>
      </c>
      <c r="G7295" s="53">
        <f t="shared" si="114"/>
        <v>-0.86830935413290289</v>
      </c>
      <c r="H7295" s="35"/>
      <c r="P7295" s="6"/>
    </row>
    <row r="7296" spans="1:16" ht="14.4" x14ac:dyDescent="0.25">
      <c r="A7296" s="6">
        <v>7851</v>
      </c>
      <c r="B7296" s="6">
        <v>56130</v>
      </c>
      <c r="C7296" s="19">
        <v>40876</v>
      </c>
      <c r="D7296" s="6" t="s">
        <v>16</v>
      </c>
      <c r="E7296" s="6">
        <f>IF((ISBLANK($B$1)),"",Sheet1!Q7308)</f>
        <v>4650</v>
      </c>
      <c r="F7296" s="20" t="s">
        <v>26</v>
      </c>
      <c r="G7296" s="53">
        <f t="shared" si="114"/>
        <v>-3.9736790507176829E-2</v>
      </c>
      <c r="H7296" s="35"/>
      <c r="P7296" s="6"/>
    </row>
    <row r="7297" spans="1:16" ht="14.4" x14ac:dyDescent="0.25">
      <c r="A7297" s="6">
        <v>7855</v>
      </c>
      <c r="B7297" s="6">
        <v>56162</v>
      </c>
      <c r="C7297" s="19">
        <v>40658</v>
      </c>
      <c r="D7297" s="6" t="s">
        <v>28</v>
      </c>
      <c r="E7297" s="6">
        <f>IF((ISBLANK($B$1)),"",Sheet1!Q7309)</f>
        <v>4900</v>
      </c>
      <c r="F7297" s="20" t="s">
        <v>29</v>
      </c>
      <c r="G7297" s="53">
        <f t="shared" si="114"/>
        <v>0.30550177767020903</v>
      </c>
      <c r="H7297" s="35"/>
      <c r="P7297" s="6"/>
    </row>
    <row r="7298" spans="1:16" ht="14.4" x14ac:dyDescent="0.25">
      <c r="A7298" s="6">
        <v>7867</v>
      </c>
      <c r="B7298" s="6">
        <v>56261</v>
      </c>
      <c r="C7298" s="19">
        <v>40966</v>
      </c>
      <c r="D7298" s="6" t="s">
        <v>30</v>
      </c>
      <c r="E7298" s="6">
        <f>IF((ISBLANK($B$1)),"",Sheet1!Q7310)</f>
        <v>5550</v>
      </c>
      <c r="F7298" s="20" t="s">
        <v>29</v>
      </c>
      <c r="G7298" s="53">
        <f t="shared" si="114"/>
        <v>1.2031220549314123</v>
      </c>
      <c r="H7298" s="35"/>
      <c r="P7298" s="6"/>
    </row>
    <row r="7299" spans="1:16" ht="14.4" x14ac:dyDescent="0.25">
      <c r="A7299" s="6">
        <v>7881</v>
      </c>
      <c r="B7299" s="6">
        <v>56358</v>
      </c>
      <c r="C7299" s="19">
        <v>40969</v>
      </c>
      <c r="D7299" s="6" t="s">
        <v>28</v>
      </c>
      <c r="E7299" s="6">
        <f>IF((ISBLANK($B$1)),"",Sheet1!Q7311)</f>
        <v>3450</v>
      </c>
      <c r="F7299" s="20" t="s">
        <v>29</v>
      </c>
      <c r="G7299" s="53">
        <f t="shared" si="114"/>
        <v>-1.696881917758629</v>
      </c>
      <c r="H7299" s="35"/>
      <c r="P7299" s="6"/>
    </row>
    <row r="7300" spans="1:16" ht="14.4" x14ac:dyDescent="0.25">
      <c r="A7300" s="6">
        <v>7893</v>
      </c>
      <c r="B7300" s="6">
        <v>56452</v>
      </c>
      <c r="C7300" s="19">
        <v>39858</v>
      </c>
      <c r="D7300" s="6" t="s">
        <v>28</v>
      </c>
      <c r="E7300" s="6">
        <f>IF((ISBLANK($B$1)),"",Sheet1!Q7312)</f>
        <v>5100</v>
      </c>
      <c r="F7300" s="20" t="s">
        <v>29</v>
      </c>
      <c r="G7300" s="53">
        <f t="shared" si="114"/>
        <v>0.58169263221211776</v>
      </c>
      <c r="H7300" s="35"/>
      <c r="P7300" s="6"/>
    </row>
    <row r="7301" spans="1:16" ht="14.4" x14ac:dyDescent="0.25">
      <c r="A7301" s="6">
        <v>7895</v>
      </c>
      <c r="B7301" s="6">
        <v>56483</v>
      </c>
      <c r="C7301" s="19">
        <v>39863</v>
      </c>
      <c r="D7301" s="6" t="s">
        <v>17</v>
      </c>
      <c r="E7301" s="6">
        <f>IF((ISBLANK($B$1)),"",Sheet1!Q7313)</f>
        <v>5250</v>
      </c>
      <c r="F7301" s="20" t="s">
        <v>26</v>
      </c>
      <c r="G7301" s="53">
        <f t="shared" si="114"/>
        <v>0.78883577311854924</v>
      </c>
      <c r="H7301" s="35"/>
      <c r="P7301" s="6"/>
    </row>
    <row r="7302" spans="1:16" ht="14.4" x14ac:dyDescent="0.25">
      <c r="A7302" s="6">
        <v>7896</v>
      </c>
      <c r="B7302" s="6">
        <v>56484</v>
      </c>
      <c r="C7302" s="19">
        <v>40868</v>
      </c>
      <c r="D7302" s="6" t="s">
        <v>28</v>
      </c>
      <c r="E7302" s="6">
        <f>IF((ISBLANK($B$1)),"",Sheet1!Q7314)</f>
        <v>3700</v>
      </c>
      <c r="F7302" s="20" t="s">
        <v>26</v>
      </c>
      <c r="G7302" s="53">
        <f t="shared" si="114"/>
        <v>-1.351643349581243</v>
      </c>
      <c r="H7302" s="35"/>
      <c r="P7302" s="6"/>
    </row>
    <row r="7303" spans="1:16" ht="14.4" x14ac:dyDescent="0.25">
      <c r="A7303" s="6">
        <v>7897</v>
      </c>
      <c r="B7303" s="6">
        <v>56484</v>
      </c>
      <c r="C7303" s="19">
        <v>40868</v>
      </c>
      <c r="D7303" s="6" t="s">
        <v>28</v>
      </c>
      <c r="E7303" s="6">
        <f>IF((ISBLANK($B$1)),"",Sheet1!Q7315)</f>
        <v>4150</v>
      </c>
      <c r="F7303" s="20" t="s">
        <v>27</v>
      </c>
      <c r="G7303" s="53">
        <f t="shared" si="114"/>
        <v>-0.73021392686194853</v>
      </c>
      <c r="H7303" s="35"/>
      <c r="P7303" s="6"/>
    </row>
    <row r="7304" spans="1:16" ht="14.4" x14ac:dyDescent="0.25">
      <c r="A7304" s="6">
        <v>7931</v>
      </c>
      <c r="B7304" s="6">
        <v>56676</v>
      </c>
      <c r="C7304" s="19">
        <v>41207</v>
      </c>
      <c r="D7304" s="6" t="s">
        <v>30</v>
      </c>
      <c r="E7304" s="6">
        <f>IF((ISBLANK($B$1)),"",Sheet1!Q7316)</f>
        <v>5350</v>
      </c>
      <c r="F7304" s="20" t="s">
        <v>26</v>
      </c>
      <c r="G7304" s="53">
        <f t="shared" ref="G7304:G7367" si="115">STANDARDIZE(E7304,$L$26,$L$35)</f>
        <v>0.92693120038950361</v>
      </c>
      <c r="H7304" s="35"/>
      <c r="P7304" s="6"/>
    </row>
    <row r="7305" spans="1:16" ht="14.4" x14ac:dyDescent="0.25">
      <c r="A7305" s="6">
        <v>7941</v>
      </c>
      <c r="B7305" s="6">
        <v>56740</v>
      </c>
      <c r="C7305" s="19">
        <v>41198</v>
      </c>
      <c r="D7305" s="6" t="s">
        <v>25</v>
      </c>
      <c r="E7305" s="6">
        <f>IF((ISBLANK($B$1)),"",Sheet1!Q7317)</f>
        <v>3700</v>
      </c>
      <c r="F7305" s="20" t="s">
        <v>26</v>
      </c>
      <c r="G7305" s="53">
        <f t="shared" si="115"/>
        <v>-1.351643349581243</v>
      </c>
      <c r="H7305" s="35"/>
      <c r="P7305" s="6"/>
    </row>
    <row r="7306" spans="1:16" ht="14.4" x14ac:dyDescent="0.25">
      <c r="A7306" s="6">
        <v>7942</v>
      </c>
      <c r="B7306" s="6">
        <v>56740</v>
      </c>
      <c r="C7306" s="19">
        <v>41198</v>
      </c>
      <c r="D7306" s="6" t="s">
        <v>25</v>
      </c>
      <c r="E7306" s="6">
        <f>IF((ISBLANK($B$1)),"",Sheet1!Q7318)</f>
        <v>4850</v>
      </c>
      <c r="F7306" s="20" t="s">
        <v>26</v>
      </c>
      <c r="G7306" s="53">
        <f t="shared" si="115"/>
        <v>0.23645406403473185</v>
      </c>
      <c r="H7306" s="35"/>
      <c r="P7306" s="6"/>
    </row>
    <row r="7307" spans="1:16" ht="14.4" x14ac:dyDescent="0.25">
      <c r="A7307" s="6">
        <v>7948</v>
      </c>
      <c r="B7307" s="6">
        <v>56802</v>
      </c>
      <c r="C7307" s="19">
        <v>41058</v>
      </c>
      <c r="D7307" s="6" t="s">
        <v>17</v>
      </c>
      <c r="E7307" s="6">
        <f>IF((ISBLANK($B$1)),"",Sheet1!Q7319)</f>
        <v>5900</v>
      </c>
      <c r="F7307" s="20" t="s">
        <v>26</v>
      </c>
      <c r="G7307" s="53">
        <f t="shared" si="115"/>
        <v>1.6864560503797523</v>
      </c>
      <c r="H7307" s="35"/>
      <c r="P7307" s="6"/>
    </row>
    <row r="7308" spans="1:16" ht="14.4" x14ac:dyDescent="0.25">
      <c r="A7308" s="6">
        <v>7959</v>
      </c>
      <c r="B7308" s="6">
        <v>56868</v>
      </c>
      <c r="C7308" s="19">
        <v>40880</v>
      </c>
      <c r="D7308" s="6" t="s">
        <v>25</v>
      </c>
      <c r="E7308" s="6">
        <f>IF((ISBLANK($B$1)),"",Sheet1!Q7320)</f>
        <v>5100</v>
      </c>
      <c r="F7308" s="20" t="s">
        <v>27</v>
      </c>
      <c r="G7308" s="53">
        <f t="shared" si="115"/>
        <v>0.58169263221211776</v>
      </c>
      <c r="H7308" s="35"/>
      <c r="P7308" s="6"/>
    </row>
    <row r="7309" spans="1:16" ht="14.4" x14ac:dyDescent="0.25">
      <c r="A7309" s="6">
        <v>7960</v>
      </c>
      <c r="B7309" s="6">
        <v>56869</v>
      </c>
      <c r="C7309" s="19">
        <v>40382</v>
      </c>
      <c r="D7309" s="6" t="s">
        <v>25</v>
      </c>
      <c r="E7309" s="6">
        <f>IF((ISBLANK($B$1)),"",Sheet1!Q7321)</f>
        <v>3900</v>
      </c>
      <c r="F7309" s="20" t="s">
        <v>26</v>
      </c>
      <c r="G7309" s="53">
        <f t="shared" si="115"/>
        <v>-1.0754524950393345</v>
      </c>
      <c r="H7309" s="35"/>
      <c r="P7309" s="6"/>
    </row>
    <row r="7310" spans="1:16" ht="14.4" x14ac:dyDescent="0.25">
      <c r="A7310" s="6">
        <v>8004</v>
      </c>
      <c r="B7310" s="6">
        <v>57190</v>
      </c>
      <c r="C7310" s="19">
        <v>40326</v>
      </c>
      <c r="D7310" s="6" t="s">
        <v>16</v>
      </c>
      <c r="E7310" s="6">
        <f>IF((ISBLANK($B$1)),"",Sheet1!Q7322)</f>
        <v>5800</v>
      </c>
      <c r="F7310" s="20" t="s">
        <v>27</v>
      </c>
      <c r="G7310" s="53">
        <f t="shared" si="115"/>
        <v>1.5483606231087981</v>
      </c>
      <c r="H7310" s="35"/>
      <c r="P7310" s="6"/>
    </row>
    <row r="7311" spans="1:16" ht="14.4" x14ac:dyDescent="0.25">
      <c r="A7311" s="6">
        <v>8005</v>
      </c>
      <c r="B7311" s="6">
        <v>57190</v>
      </c>
      <c r="C7311" s="19">
        <v>40326</v>
      </c>
      <c r="D7311" s="6" t="s">
        <v>16</v>
      </c>
      <c r="E7311" s="6">
        <f>IF((ISBLANK($B$1)),"",Sheet1!Q7323)</f>
        <v>5200</v>
      </c>
      <c r="F7311" s="20" t="s">
        <v>27</v>
      </c>
      <c r="G7311" s="53">
        <f t="shared" si="115"/>
        <v>0.71978805948307201</v>
      </c>
      <c r="H7311" s="35"/>
      <c r="P7311" s="6"/>
    </row>
    <row r="7312" spans="1:16" ht="14.4" x14ac:dyDescent="0.25">
      <c r="A7312" s="6">
        <v>8009</v>
      </c>
      <c r="B7312" s="6">
        <v>57248</v>
      </c>
      <c r="C7312" s="19">
        <v>40101</v>
      </c>
      <c r="D7312" s="6" t="s">
        <v>30</v>
      </c>
      <c r="E7312" s="6">
        <f>IF((ISBLANK($B$1)),"",Sheet1!Q7324)</f>
        <v>5100</v>
      </c>
      <c r="F7312" s="20" t="s">
        <v>26</v>
      </c>
      <c r="G7312" s="53">
        <f t="shared" si="115"/>
        <v>0.58169263221211776</v>
      </c>
      <c r="H7312" s="35"/>
      <c r="P7312" s="6"/>
    </row>
    <row r="7313" spans="1:16" ht="14.4" x14ac:dyDescent="0.25">
      <c r="A7313" s="6">
        <v>8022</v>
      </c>
      <c r="B7313" s="6">
        <v>57318</v>
      </c>
      <c r="C7313" s="19">
        <v>40188</v>
      </c>
      <c r="D7313" s="6" t="s">
        <v>16</v>
      </c>
      <c r="E7313" s="6">
        <f>IF((ISBLANK($B$1)),"",Sheet1!Q7325)</f>
        <v>5050</v>
      </c>
      <c r="F7313" s="20" t="s">
        <v>26</v>
      </c>
      <c r="G7313" s="53">
        <f t="shared" si="115"/>
        <v>0.51264491857664052</v>
      </c>
      <c r="H7313" s="35"/>
      <c r="P7313" s="6"/>
    </row>
    <row r="7314" spans="1:16" ht="14.4" x14ac:dyDescent="0.25">
      <c r="A7314" s="6">
        <v>8023</v>
      </c>
      <c r="B7314" s="6">
        <v>57318</v>
      </c>
      <c r="C7314" s="19">
        <v>40188</v>
      </c>
      <c r="D7314" s="6" t="s">
        <v>16</v>
      </c>
      <c r="E7314" s="6">
        <f>IF((ISBLANK($B$1)),"",Sheet1!Q7326)</f>
        <v>4000</v>
      </c>
      <c r="F7314" s="20" t="s">
        <v>26</v>
      </c>
      <c r="G7314" s="53">
        <f t="shared" si="115"/>
        <v>-0.93735706776838001</v>
      </c>
      <c r="H7314" s="35"/>
      <c r="P7314" s="6"/>
    </row>
    <row r="7315" spans="1:16" ht="14.4" x14ac:dyDescent="0.25">
      <c r="A7315" s="6">
        <v>8025</v>
      </c>
      <c r="B7315" s="6">
        <v>57350</v>
      </c>
      <c r="C7315" s="19">
        <v>40688</v>
      </c>
      <c r="D7315" s="6" t="s">
        <v>17</v>
      </c>
      <c r="E7315" s="6">
        <f>IF((ISBLANK($B$1)),"",Sheet1!Q7327)</f>
        <v>5050</v>
      </c>
      <c r="F7315" s="20" t="s">
        <v>26</v>
      </c>
      <c r="G7315" s="53">
        <f t="shared" si="115"/>
        <v>0.51264491857664052</v>
      </c>
      <c r="H7315" s="35"/>
      <c r="P7315" s="6"/>
    </row>
    <row r="7316" spans="1:16" ht="14.4" x14ac:dyDescent="0.25">
      <c r="A7316" s="6">
        <v>8026</v>
      </c>
      <c r="B7316" s="6">
        <v>57350</v>
      </c>
      <c r="C7316" s="19">
        <v>40688</v>
      </c>
      <c r="D7316" s="6" t="s">
        <v>17</v>
      </c>
      <c r="E7316" s="6">
        <f>IF((ISBLANK($B$1)),"",Sheet1!Q7328)</f>
        <v>5900</v>
      </c>
      <c r="F7316" s="20" t="s">
        <v>27</v>
      </c>
      <c r="G7316" s="53">
        <f t="shared" si="115"/>
        <v>1.6864560503797523</v>
      </c>
      <c r="H7316" s="35"/>
      <c r="P7316" s="6"/>
    </row>
    <row r="7317" spans="1:16" ht="14.4" x14ac:dyDescent="0.25">
      <c r="A7317" s="6">
        <v>8032</v>
      </c>
      <c r="B7317" s="6">
        <v>57381</v>
      </c>
      <c r="C7317" s="19">
        <v>40032</v>
      </c>
      <c r="D7317" s="6" t="s">
        <v>17</v>
      </c>
      <c r="E7317" s="6">
        <f>IF((ISBLANK($B$1)),"",Sheet1!Q7329)</f>
        <v>4050</v>
      </c>
      <c r="F7317" s="20" t="s">
        <v>26</v>
      </c>
      <c r="G7317" s="53">
        <f t="shared" si="115"/>
        <v>-0.86830935413290289</v>
      </c>
      <c r="H7317" s="35"/>
      <c r="P7317" s="6"/>
    </row>
    <row r="7318" spans="1:16" ht="14.4" x14ac:dyDescent="0.25">
      <c r="A7318" s="6">
        <v>8033</v>
      </c>
      <c r="B7318" s="6">
        <v>57381</v>
      </c>
      <c r="C7318" s="19">
        <v>40032</v>
      </c>
      <c r="D7318" s="6" t="s">
        <v>17</v>
      </c>
      <c r="E7318" s="6">
        <f>IF((ISBLANK($B$1)),"",Sheet1!Q7330)</f>
        <v>4500</v>
      </c>
      <c r="F7318" s="20" t="s">
        <v>26</v>
      </c>
      <c r="G7318" s="53">
        <f t="shared" si="115"/>
        <v>-0.24687993141360834</v>
      </c>
      <c r="H7318" s="35"/>
      <c r="P7318" s="6"/>
    </row>
    <row r="7319" spans="1:16" ht="14.4" x14ac:dyDescent="0.25">
      <c r="A7319" s="6">
        <v>8041</v>
      </c>
      <c r="B7319" s="6">
        <v>57444</v>
      </c>
      <c r="C7319" s="19">
        <v>40677</v>
      </c>
      <c r="D7319" s="6" t="s">
        <v>30</v>
      </c>
      <c r="E7319" s="6">
        <f>IF((ISBLANK($B$1)),"",Sheet1!Q7331)</f>
        <v>4600</v>
      </c>
      <c r="F7319" s="20" t="s">
        <v>26</v>
      </c>
      <c r="G7319" s="53">
        <f t="shared" si="115"/>
        <v>-0.108784504142654</v>
      </c>
      <c r="H7319" s="35"/>
      <c r="P7319" s="6"/>
    </row>
    <row r="7320" spans="1:16" ht="14.4" x14ac:dyDescent="0.25">
      <c r="A7320" s="6">
        <v>8048</v>
      </c>
      <c r="B7320" s="6">
        <v>57476</v>
      </c>
      <c r="C7320" s="19">
        <v>39888</v>
      </c>
      <c r="D7320" s="6" t="s">
        <v>17</v>
      </c>
      <c r="E7320" s="6">
        <f>IF((ISBLANK($B$1)),"",Sheet1!Q7332)</f>
        <v>4400</v>
      </c>
      <c r="F7320" s="20" t="s">
        <v>26</v>
      </c>
      <c r="G7320" s="53">
        <f t="shared" si="115"/>
        <v>-0.38497535868456267</v>
      </c>
      <c r="H7320" s="35"/>
      <c r="P7320" s="6"/>
    </row>
    <row r="7321" spans="1:16" ht="14.4" x14ac:dyDescent="0.25">
      <c r="A7321" s="6">
        <v>8049</v>
      </c>
      <c r="B7321" s="6">
        <v>57476</v>
      </c>
      <c r="C7321" s="19">
        <v>39888</v>
      </c>
      <c r="D7321" s="6" t="s">
        <v>17</v>
      </c>
      <c r="E7321" s="6">
        <f>IF((ISBLANK($B$1)),"",Sheet1!Q7333)</f>
        <v>4250</v>
      </c>
      <c r="F7321" s="20" t="s">
        <v>26</v>
      </c>
      <c r="G7321" s="53">
        <f t="shared" si="115"/>
        <v>-0.59211849959099416</v>
      </c>
      <c r="H7321" s="35"/>
      <c r="P7321" s="6"/>
    </row>
    <row r="7322" spans="1:16" ht="14.4" x14ac:dyDescent="0.25">
      <c r="A7322" s="6">
        <v>8078</v>
      </c>
      <c r="B7322" s="6">
        <v>57633</v>
      </c>
      <c r="C7322" s="19">
        <v>40580</v>
      </c>
      <c r="D7322" s="6" t="s">
        <v>17</v>
      </c>
      <c r="E7322" s="6">
        <f>IF((ISBLANK($B$1)),"",Sheet1!Q7334)</f>
        <v>4000</v>
      </c>
      <c r="F7322" s="20" t="s">
        <v>29</v>
      </c>
      <c r="G7322" s="53">
        <f t="shared" si="115"/>
        <v>-0.93735706776838001</v>
      </c>
      <c r="H7322" s="35"/>
      <c r="P7322" s="6"/>
    </row>
    <row r="7323" spans="1:16" ht="14.4" x14ac:dyDescent="0.25">
      <c r="A7323" s="6">
        <v>8085</v>
      </c>
      <c r="B7323" s="6">
        <v>57669</v>
      </c>
      <c r="C7323" s="19">
        <v>40398</v>
      </c>
      <c r="D7323" s="6" t="s">
        <v>30</v>
      </c>
      <c r="E7323" s="6">
        <f>IF((ISBLANK($B$1)),"",Sheet1!Q7335)</f>
        <v>5450</v>
      </c>
      <c r="F7323" s="20" t="s">
        <v>26</v>
      </c>
      <c r="G7323" s="53">
        <f t="shared" si="115"/>
        <v>1.0650266276604579</v>
      </c>
      <c r="H7323" s="35"/>
      <c r="P7323" s="6"/>
    </row>
    <row r="7324" spans="1:16" ht="14.4" x14ac:dyDescent="0.25">
      <c r="A7324" s="6">
        <v>8093</v>
      </c>
      <c r="B7324" s="6">
        <v>57734</v>
      </c>
      <c r="C7324" s="19">
        <v>40072</v>
      </c>
      <c r="D7324" s="6" t="s">
        <v>17</v>
      </c>
      <c r="E7324" s="6">
        <f>IF((ISBLANK($B$1)),"",Sheet1!Q7336)</f>
        <v>4700</v>
      </c>
      <c r="F7324" s="20" t="s">
        <v>26</v>
      </c>
      <c r="G7324" s="53">
        <f t="shared" si="115"/>
        <v>2.9310923128300338E-2</v>
      </c>
      <c r="H7324" s="35"/>
      <c r="P7324" s="6"/>
    </row>
    <row r="7325" spans="1:16" ht="14.4" x14ac:dyDescent="0.25">
      <c r="A7325" s="6">
        <v>8094</v>
      </c>
      <c r="B7325" s="6">
        <v>57734</v>
      </c>
      <c r="C7325" s="19">
        <v>40072</v>
      </c>
      <c r="D7325" s="6" t="s">
        <v>17</v>
      </c>
      <c r="E7325" s="6">
        <f>IF((ISBLANK($B$1)),"",Sheet1!Q7337)</f>
        <v>4750</v>
      </c>
      <c r="F7325" s="20" t="s">
        <v>26</v>
      </c>
      <c r="G7325" s="53">
        <f t="shared" si="115"/>
        <v>9.8358636763777513E-2</v>
      </c>
      <c r="H7325" s="35"/>
      <c r="P7325" s="6"/>
    </row>
    <row r="7326" spans="1:16" ht="14.4" x14ac:dyDescent="0.25">
      <c r="A7326" s="6">
        <v>8095</v>
      </c>
      <c r="B7326" s="6">
        <v>57760</v>
      </c>
      <c r="C7326" s="19">
        <v>40736</v>
      </c>
      <c r="D7326" s="6" t="s">
        <v>28</v>
      </c>
      <c r="E7326" s="6">
        <f>IF((ISBLANK($B$1)),"",Sheet1!Q7338)</f>
        <v>5300</v>
      </c>
      <c r="F7326" s="20" t="s">
        <v>29</v>
      </c>
      <c r="G7326" s="53">
        <f t="shared" si="115"/>
        <v>0.85788348675402637</v>
      </c>
      <c r="H7326" s="35"/>
      <c r="P7326" s="6"/>
    </row>
    <row r="7327" spans="1:16" ht="14.4" x14ac:dyDescent="0.25">
      <c r="A7327" s="6">
        <v>8096</v>
      </c>
      <c r="B7327" s="6">
        <v>57760</v>
      </c>
      <c r="C7327" s="19">
        <v>40736</v>
      </c>
      <c r="D7327" s="6" t="s">
        <v>28</v>
      </c>
      <c r="E7327" s="6">
        <f>IF((ISBLANK($B$1)),"",Sheet1!Q7339)</f>
        <v>5100</v>
      </c>
      <c r="F7327" s="20" t="s">
        <v>26</v>
      </c>
      <c r="G7327" s="53">
        <f t="shared" si="115"/>
        <v>0.58169263221211776</v>
      </c>
      <c r="H7327" s="35"/>
      <c r="P7327" s="6"/>
    </row>
    <row r="7328" spans="1:16" ht="14.4" x14ac:dyDescent="0.25">
      <c r="A7328" s="6">
        <v>8110</v>
      </c>
      <c r="B7328" s="6">
        <v>57891</v>
      </c>
      <c r="C7328" s="19">
        <v>40529</v>
      </c>
      <c r="D7328" s="6" t="s">
        <v>16</v>
      </c>
      <c r="E7328" s="6">
        <f>IF((ISBLANK($B$1)),"",Sheet1!Q7340)</f>
        <v>4250</v>
      </c>
      <c r="F7328" s="20" t="s">
        <v>27</v>
      </c>
      <c r="G7328" s="53">
        <f t="shared" si="115"/>
        <v>-0.59211849959099416</v>
      </c>
      <c r="H7328" s="35"/>
      <c r="P7328" s="6"/>
    </row>
    <row r="7329" spans="1:16" ht="14.4" x14ac:dyDescent="0.25">
      <c r="A7329" s="6">
        <v>8125</v>
      </c>
      <c r="B7329" s="6">
        <v>58084</v>
      </c>
      <c r="C7329" s="19">
        <v>41140</v>
      </c>
      <c r="D7329" s="6" t="s">
        <v>16</v>
      </c>
      <c r="E7329" s="6">
        <f>IF((ISBLANK($B$1)),"",Sheet1!Q7341)</f>
        <v>3550</v>
      </c>
      <c r="F7329" s="20" t="s">
        <v>26</v>
      </c>
      <c r="G7329" s="53">
        <f t="shared" si="115"/>
        <v>-1.5587864904876745</v>
      </c>
      <c r="H7329" s="35"/>
      <c r="P7329" s="6"/>
    </row>
    <row r="7330" spans="1:16" ht="14.4" x14ac:dyDescent="0.25">
      <c r="A7330" s="6">
        <v>8126</v>
      </c>
      <c r="B7330" s="6">
        <v>58084</v>
      </c>
      <c r="C7330" s="19">
        <v>41140</v>
      </c>
      <c r="D7330" s="6" t="s">
        <v>16</v>
      </c>
      <c r="E7330" s="6">
        <f>IF((ISBLANK($B$1)),"",Sheet1!Q7342)</f>
        <v>5200</v>
      </c>
      <c r="F7330" s="20" t="s">
        <v>26</v>
      </c>
      <c r="G7330" s="53">
        <f t="shared" si="115"/>
        <v>0.71978805948307201</v>
      </c>
      <c r="H7330" s="35"/>
      <c r="P7330" s="6"/>
    </row>
    <row r="7331" spans="1:16" ht="14.4" x14ac:dyDescent="0.25">
      <c r="A7331" s="6">
        <v>8139</v>
      </c>
      <c r="B7331" s="6">
        <v>58179</v>
      </c>
      <c r="C7331" s="19">
        <v>40791</v>
      </c>
      <c r="D7331" s="6" t="s">
        <v>16</v>
      </c>
      <c r="E7331" s="6">
        <f>IF((ISBLANK($B$1)),"",Sheet1!Q7343)</f>
        <v>3550</v>
      </c>
      <c r="F7331" s="20" t="s">
        <v>26</v>
      </c>
      <c r="G7331" s="53">
        <f t="shared" si="115"/>
        <v>-1.5587864904876745</v>
      </c>
      <c r="H7331" s="35"/>
      <c r="P7331" s="6"/>
    </row>
    <row r="7332" spans="1:16" ht="14.4" x14ac:dyDescent="0.25">
      <c r="A7332" s="6">
        <v>8151</v>
      </c>
      <c r="B7332" s="6">
        <v>58279</v>
      </c>
      <c r="C7332" s="19">
        <v>39914</v>
      </c>
      <c r="D7332" s="6" t="s">
        <v>16</v>
      </c>
      <c r="E7332" s="6">
        <f>IF((ISBLANK($B$1)),"",Sheet1!Q7344)</f>
        <v>5600</v>
      </c>
      <c r="F7332" s="20" t="s">
        <v>26</v>
      </c>
      <c r="G7332" s="53">
        <f t="shared" si="115"/>
        <v>1.2721697685668893</v>
      </c>
      <c r="H7332" s="35"/>
      <c r="P7332" s="6"/>
    </row>
    <row r="7333" spans="1:16" ht="14.4" x14ac:dyDescent="0.25">
      <c r="A7333" s="6">
        <v>8165</v>
      </c>
      <c r="B7333" s="6">
        <v>58369</v>
      </c>
      <c r="C7333" s="19">
        <v>41151</v>
      </c>
      <c r="D7333" s="6" t="s">
        <v>17</v>
      </c>
      <c r="E7333" s="6">
        <f>IF((ISBLANK($B$1)),"",Sheet1!Q7345)</f>
        <v>5700</v>
      </c>
      <c r="F7333" s="20" t="s">
        <v>26</v>
      </c>
      <c r="G7333" s="53">
        <f t="shared" si="115"/>
        <v>1.4102651958378438</v>
      </c>
      <c r="H7333" s="35"/>
      <c r="P7333" s="6"/>
    </row>
    <row r="7334" spans="1:16" ht="14.4" x14ac:dyDescent="0.25">
      <c r="A7334" s="6">
        <v>8166</v>
      </c>
      <c r="B7334" s="6">
        <v>58369</v>
      </c>
      <c r="C7334" s="19">
        <v>41151</v>
      </c>
      <c r="D7334" s="6" t="s">
        <v>17</v>
      </c>
      <c r="E7334" s="6">
        <f>IF((ISBLANK($B$1)),"",Sheet1!Q7346)</f>
        <v>4200</v>
      </c>
      <c r="F7334" s="20" t="s">
        <v>27</v>
      </c>
      <c r="G7334" s="53">
        <f t="shared" si="115"/>
        <v>-0.6611662132264714</v>
      </c>
      <c r="H7334" s="35"/>
      <c r="P7334" s="6"/>
    </row>
    <row r="7335" spans="1:16" ht="14.4" x14ac:dyDescent="0.25">
      <c r="A7335" s="6">
        <v>8167</v>
      </c>
      <c r="B7335" s="6">
        <v>58371</v>
      </c>
      <c r="C7335" s="19">
        <v>40309</v>
      </c>
      <c r="D7335" s="6" t="s">
        <v>16</v>
      </c>
      <c r="E7335" s="6">
        <f>IF((ISBLANK($B$1)),"",Sheet1!Q7347)</f>
        <v>3650</v>
      </c>
      <c r="F7335" s="20" t="s">
        <v>26</v>
      </c>
      <c r="G7335" s="53">
        <f t="shared" si="115"/>
        <v>-1.4206910632167202</v>
      </c>
      <c r="H7335" s="35"/>
      <c r="P7335" s="6"/>
    </row>
    <row r="7336" spans="1:16" ht="14.4" x14ac:dyDescent="0.25">
      <c r="A7336" s="6">
        <v>8168</v>
      </c>
      <c r="B7336" s="6">
        <v>58371</v>
      </c>
      <c r="C7336" s="19">
        <v>40309</v>
      </c>
      <c r="D7336" s="6" t="s">
        <v>16</v>
      </c>
      <c r="E7336" s="6">
        <f>IF((ISBLANK($B$1)),"",Sheet1!Q7348)</f>
        <v>5600</v>
      </c>
      <c r="F7336" s="20" t="s">
        <v>26</v>
      </c>
      <c r="G7336" s="53">
        <f t="shared" si="115"/>
        <v>1.2721697685668893</v>
      </c>
      <c r="H7336" s="35"/>
      <c r="P7336" s="6"/>
    </row>
    <row r="7337" spans="1:16" ht="14.4" x14ac:dyDescent="0.25">
      <c r="A7337" s="6">
        <v>8169</v>
      </c>
      <c r="B7337" s="6">
        <v>58371</v>
      </c>
      <c r="C7337" s="19">
        <v>40309</v>
      </c>
      <c r="D7337" s="6" t="s">
        <v>16</v>
      </c>
      <c r="E7337" s="6">
        <f>IF((ISBLANK($B$1)),"",Sheet1!Q7349)</f>
        <v>5800</v>
      </c>
      <c r="F7337" s="20" t="s">
        <v>26</v>
      </c>
      <c r="G7337" s="53">
        <f t="shared" si="115"/>
        <v>1.5483606231087981</v>
      </c>
      <c r="H7337" s="35"/>
      <c r="P7337" s="6"/>
    </row>
    <row r="7338" spans="1:16" ht="14.4" x14ac:dyDescent="0.25">
      <c r="A7338" s="6">
        <v>8173</v>
      </c>
      <c r="B7338" s="6">
        <v>58433</v>
      </c>
      <c r="C7338" s="19">
        <v>40725</v>
      </c>
      <c r="D7338" s="6" t="s">
        <v>17</v>
      </c>
      <c r="E7338" s="6">
        <f>IF((ISBLANK($B$1)),"",Sheet1!Q7350)</f>
        <v>3950</v>
      </c>
      <c r="F7338" s="20" t="s">
        <v>29</v>
      </c>
      <c r="G7338" s="53">
        <f t="shared" si="115"/>
        <v>-1.0064047814038573</v>
      </c>
      <c r="H7338" s="35"/>
      <c r="P7338" s="6"/>
    </row>
    <row r="7339" spans="1:16" ht="14.4" x14ac:dyDescent="0.25">
      <c r="A7339" s="6">
        <v>8174</v>
      </c>
      <c r="B7339" s="6">
        <v>58433</v>
      </c>
      <c r="C7339" s="19">
        <v>40725</v>
      </c>
      <c r="D7339" s="6" t="s">
        <v>17</v>
      </c>
      <c r="E7339" s="6">
        <f>IF((ISBLANK($B$1)),"",Sheet1!Q7351)</f>
        <v>4900</v>
      </c>
      <c r="F7339" s="20" t="s">
        <v>26</v>
      </c>
      <c r="G7339" s="53">
        <f t="shared" si="115"/>
        <v>0.30550177767020903</v>
      </c>
      <c r="H7339" s="35"/>
      <c r="P7339" s="6"/>
    </row>
    <row r="7340" spans="1:16" ht="14.4" x14ac:dyDescent="0.25">
      <c r="A7340" s="6">
        <v>8175</v>
      </c>
      <c r="B7340" s="6">
        <v>58433</v>
      </c>
      <c r="C7340" s="19">
        <v>40725</v>
      </c>
      <c r="D7340" s="6" t="s">
        <v>17</v>
      </c>
      <c r="E7340" s="6">
        <f>IF((ISBLANK($B$1)),"",Sheet1!Q7352)</f>
        <v>4400</v>
      </c>
      <c r="F7340" s="20" t="s">
        <v>29</v>
      </c>
      <c r="G7340" s="53">
        <f t="shared" si="115"/>
        <v>-0.38497535868456267</v>
      </c>
      <c r="H7340" s="35"/>
      <c r="P7340" s="6"/>
    </row>
    <row r="7341" spans="1:16" ht="14.4" x14ac:dyDescent="0.25">
      <c r="A7341" s="6">
        <v>8236</v>
      </c>
      <c r="B7341" s="6">
        <v>58855</v>
      </c>
      <c r="C7341" s="19">
        <v>40482</v>
      </c>
      <c r="D7341" s="6" t="s">
        <v>16</v>
      </c>
      <c r="E7341" s="6">
        <f>IF((ISBLANK($B$1)),"",Sheet1!Q7353)</f>
        <v>5300</v>
      </c>
      <c r="F7341" s="20" t="s">
        <v>29</v>
      </c>
      <c r="G7341" s="53">
        <f t="shared" si="115"/>
        <v>0.85788348675402637</v>
      </c>
      <c r="H7341" s="35"/>
      <c r="P7341" s="6"/>
    </row>
    <row r="7342" spans="1:16" ht="14.4" x14ac:dyDescent="0.25">
      <c r="A7342" s="6">
        <v>8278</v>
      </c>
      <c r="B7342" s="6">
        <v>59173</v>
      </c>
      <c r="C7342" s="19">
        <v>40532</v>
      </c>
      <c r="D7342" s="6" t="s">
        <v>17</v>
      </c>
      <c r="E7342" s="6">
        <f>IF((ISBLANK($B$1)),"",Sheet1!Q7354)</f>
        <v>4750</v>
      </c>
      <c r="F7342" s="20" t="s">
        <v>29</v>
      </c>
      <c r="G7342" s="53">
        <f t="shared" si="115"/>
        <v>9.8358636763777513E-2</v>
      </c>
      <c r="H7342" s="35"/>
      <c r="P7342" s="6"/>
    </row>
    <row r="7343" spans="1:16" ht="14.4" x14ac:dyDescent="0.25">
      <c r="A7343" s="6">
        <v>8284</v>
      </c>
      <c r="B7343" s="6">
        <v>59204</v>
      </c>
      <c r="C7343" s="19">
        <v>40968</v>
      </c>
      <c r="D7343" s="6" t="s">
        <v>16</v>
      </c>
      <c r="E7343" s="6">
        <f>IF((ISBLANK($B$1)),"",Sheet1!Q7355)</f>
        <v>3800</v>
      </c>
      <c r="F7343" s="20" t="s">
        <v>26</v>
      </c>
      <c r="G7343" s="53">
        <f t="shared" si="115"/>
        <v>-1.2135479223102887</v>
      </c>
      <c r="H7343" s="35"/>
      <c r="P7343" s="6"/>
    </row>
    <row r="7344" spans="1:16" ht="14.4" x14ac:dyDescent="0.25">
      <c r="A7344" s="6">
        <v>8285</v>
      </c>
      <c r="B7344" s="6">
        <v>59204</v>
      </c>
      <c r="C7344" s="19">
        <v>40968</v>
      </c>
      <c r="D7344" s="6" t="s">
        <v>16</v>
      </c>
      <c r="E7344" s="6">
        <f>IF((ISBLANK($B$1)),"",Sheet1!Q7356)</f>
        <v>3750</v>
      </c>
      <c r="F7344" s="20" t="s">
        <v>26</v>
      </c>
      <c r="G7344" s="53">
        <f t="shared" si="115"/>
        <v>-1.282595635945766</v>
      </c>
      <c r="H7344" s="35"/>
      <c r="P7344" s="6"/>
    </row>
    <row r="7345" spans="1:16" ht="14.4" x14ac:dyDescent="0.25">
      <c r="A7345" s="6">
        <v>8309</v>
      </c>
      <c r="B7345" s="6">
        <v>59363</v>
      </c>
      <c r="C7345" s="19">
        <v>39935</v>
      </c>
      <c r="D7345" s="6" t="s">
        <v>17</v>
      </c>
      <c r="E7345" s="6">
        <f>IF((ISBLANK($B$1)),"",Sheet1!Q7357)</f>
        <v>4600</v>
      </c>
      <c r="F7345" s="20" t="s">
        <v>26</v>
      </c>
      <c r="G7345" s="53">
        <f t="shared" si="115"/>
        <v>-0.108784504142654</v>
      </c>
      <c r="H7345" s="35"/>
      <c r="P7345" s="6"/>
    </row>
    <row r="7346" spans="1:16" ht="14.4" x14ac:dyDescent="0.25">
      <c r="A7346" s="6">
        <v>8328</v>
      </c>
      <c r="B7346" s="6">
        <v>59553</v>
      </c>
      <c r="C7346" s="19">
        <v>40494</v>
      </c>
      <c r="D7346" s="6" t="s">
        <v>28</v>
      </c>
      <c r="E7346" s="6">
        <f>IF((ISBLANK($B$1)),"",Sheet1!Q7358)</f>
        <v>4150</v>
      </c>
      <c r="F7346" s="20" t="s">
        <v>26</v>
      </c>
      <c r="G7346" s="53">
        <f t="shared" si="115"/>
        <v>-0.73021392686194853</v>
      </c>
      <c r="H7346" s="35"/>
      <c r="P7346" s="6"/>
    </row>
    <row r="7347" spans="1:16" ht="14.4" x14ac:dyDescent="0.25">
      <c r="A7347" s="6">
        <v>8329</v>
      </c>
      <c r="B7347" s="6">
        <v>59553</v>
      </c>
      <c r="C7347" s="19">
        <v>40494</v>
      </c>
      <c r="D7347" s="6" t="s">
        <v>28</v>
      </c>
      <c r="E7347" s="6">
        <f>IF((ISBLANK($B$1)),"",Sheet1!Q7359)</f>
        <v>5500</v>
      </c>
      <c r="F7347" s="20" t="s">
        <v>27</v>
      </c>
      <c r="G7347" s="53">
        <f t="shared" si="115"/>
        <v>1.1340743412959351</v>
      </c>
      <c r="H7347" s="35"/>
      <c r="P7347" s="6"/>
    </row>
    <row r="7348" spans="1:16" ht="14.4" x14ac:dyDescent="0.25">
      <c r="A7348" s="6">
        <v>8348</v>
      </c>
      <c r="B7348" s="6">
        <v>59681</v>
      </c>
      <c r="C7348" s="19">
        <v>39975</v>
      </c>
      <c r="D7348" s="6" t="s">
        <v>30</v>
      </c>
      <c r="E7348" s="6">
        <f>IF((ISBLANK($B$1)),"",Sheet1!Q7360)</f>
        <v>4550</v>
      </c>
      <c r="F7348" s="20" t="s">
        <v>26</v>
      </c>
      <c r="G7348" s="53">
        <f t="shared" si="115"/>
        <v>-0.17783221777813119</v>
      </c>
      <c r="H7348" s="35"/>
      <c r="P7348" s="6"/>
    </row>
    <row r="7349" spans="1:16" ht="14.4" x14ac:dyDescent="0.25">
      <c r="A7349" s="6">
        <v>8369</v>
      </c>
      <c r="B7349" s="6">
        <v>59781</v>
      </c>
      <c r="C7349" s="19">
        <v>41255</v>
      </c>
      <c r="D7349" s="6" t="s">
        <v>28</v>
      </c>
      <c r="E7349" s="6">
        <f>IF((ISBLANK($B$1)),"",Sheet1!Q7361)</f>
        <v>5550</v>
      </c>
      <c r="F7349" s="20" t="s">
        <v>26</v>
      </c>
      <c r="G7349" s="53">
        <f t="shared" si="115"/>
        <v>1.2031220549314123</v>
      </c>
      <c r="H7349" s="35"/>
      <c r="P7349" s="6"/>
    </row>
    <row r="7350" spans="1:16" ht="14.4" x14ac:dyDescent="0.25">
      <c r="A7350" s="6">
        <v>8370</v>
      </c>
      <c r="B7350" s="6">
        <v>59781</v>
      </c>
      <c r="C7350" s="19">
        <v>41255</v>
      </c>
      <c r="D7350" s="6" t="s">
        <v>28</v>
      </c>
      <c r="E7350" s="6">
        <f>IF((ISBLANK($B$1)),"",Sheet1!Q7362)</f>
        <v>4600</v>
      </c>
      <c r="F7350" s="20" t="s">
        <v>26</v>
      </c>
      <c r="G7350" s="53">
        <f t="shared" si="115"/>
        <v>-0.108784504142654</v>
      </c>
      <c r="H7350" s="35"/>
      <c r="P7350" s="6"/>
    </row>
    <row r="7351" spans="1:16" ht="14.4" x14ac:dyDescent="0.25">
      <c r="A7351" s="6">
        <v>8374</v>
      </c>
      <c r="B7351" s="6">
        <v>59812</v>
      </c>
      <c r="C7351" s="19">
        <v>40716</v>
      </c>
      <c r="D7351" s="6" t="s">
        <v>16</v>
      </c>
      <c r="E7351" s="6">
        <f>IF((ISBLANK($B$1)),"",Sheet1!Q7363)</f>
        <v>5700</v>
      </c>
      <c r="F7351" s="20" t="s">
        <v>26</v>
      </c>
      <c r="G7351" s="53">
        <f t="shared" si="115"/>
        <v>1.4102651958378438</v>
      </c>
      <c r="H7351" s="35"/>
      <c r="P7351" s="6"/>
    </row>
    <row r="7352" spans="1:16" ht="14.4" x14ac:dyDescent="0.25">
      <c r="A7352" s="6">
        <v>8375</v>
      </c>
      <c r="B7352" s="6">
        <v>59812</v>
      </c>
      <c r="C7352" s="19">
        <v>40716</v>
      </c>
      <c r="D7352" s="6" t="s">
        <v>16</v>
      </c>
      <c r="E7352" s="6">
        <f>IF((ISBLANK($B$1)),"",Sheet1!Q7364)</f>
        <v>3500</v>
      </c>
      <c r="F7352" s="20" t="s">
        <v>29</v>
      </c>
      <c r="G7352" s="53">
        <f t="shared" si="115"/>
        <v>-1.6278342041231517</v>
      </c>
      <c r="H7352" s="35"/>
      <c r="P7352" s="6"/>
    </row>
    <row r="7353" spans="1:16" ht="14.4" x14ac:dyDescent="0.25">
      <c r="A7353" s="6">
        <v>8376</v>
      </c>
      <c r="B7353" s="6">
        <v>59815</v>
      </c>
      <c r="C7353" s="19">
        <v>40527</v>
      </c>
      <c r="D7353" s="6" t="s">
        <v>28</v>
      </c>
      <c r="E7353" s="6">
        <f>IF((ISBLANK($B$1)),"",Sheet1!Q7365)</f>
        <v>4100</v>
      </c>
      <c r="F7353" s="20" t="s">
        <v>26</v>
      </c>
      <c r="G7353" s="53">
        <f t="shared" si="115"/>
        <v>-0.79926164049742576</v>
      </c>
      <c r="H7353" s="35"/>
      <c r="P7353" s="6"/>
    </row>
    <row r="7354" spans="1:16" ht="14.4" x14ac:dyDescent="0.25">
      <c r="A7354" s="6">
        <v>8395</v>
      </c>
      <c r="B7354" s="6">
        <v>59971</v>
      </c>
      <c r="C7354" s="19">
        <v>40694</v>
      </c>
      <c r="D7354" s="6" t="s">
        <v>30</v>
      </c>
      <c r="E7354" s="6">
        <f>IF((ISBLANK($B$1)),"",Sheet1!Q7366)</f>
        <v>4700</v>
      </c>
      <c r="F7354" s="20" t="s">
        <v>27</v>
      </c>
      <c r="G7354" s="53">
        <f t="shared" si="115"/>
        <v>2.9310923128300338E-2</v>
      </c>
      <c r="H7354" s="35"/>
      <c r="P7354" s="6"/>
    </row>
    <row r="7355" spans="1:16" ht="14.4" x14ac:dyDescent="0.25">
      <c r="A7355" s="6">
        <v>8396</v>
      </c>
      <c r="B7355" s="6">
        <v>59971</v>
      </c>
      <c r="C7355" s="19">
        <v>40694</v>
      </c>
      <c r="D7355" s="6" t="s">
        <v>30</v>
      </c>
      <c r="E7355" s="6">
        <f>IF((ISBLANK($B$1)),"",Sheet1!Q7367)</f>
        <v>5650</v>
      </c>
      <c r="F7355" s="20" t="s">
        <v>26</v>
      </c>
      <c r="G7355" s="53">
        <f t="shared" si="115"/>
        <v>1.3412174822023666</v>
      </c>
      <c r="H7355" s="35"/>
      <c r="P7355" s="6"/>
    </row>
    <row r="7356" spans="1:16" ht="14.4" x14ac:dyDescent="0.25">
      <c r="A7356" s="6">
        <v>8397</v>
      </c>
      <c r="B7356" s="6">
        <v>59971</v>
      </c>
      <c r="C7356" s="19">
        <v>40694</v>
      </c>
      <c r="D7356" s="6" t="s">
        <v>30</v>
      </c>
      <c r="E7356" s="6">
        <f>IF((ISBLANK($B$1)),"",Sheet1!Q7368)</f>
        <v>4000</v>
      </c>
      <c r="F7356" s="20" t="s">
        <v>26</v>
      </c>
      <c r="G7356" s="53">
        <f t="shared" si="115"/>
        <v>-0.93735706776838001</v>
      </c>
      <c r="H7356" s="35"/>
      <c r="P7356" s="6"/>
    </row>
    <row r="7357" spans="1:16" ht="14.4" x14ac:dyDescent="0.25">
      <c r="A7357" s="6">
        <v>79</v>
      </c>
      <c r="B7357" s="6">
        <v>481</v>
      </c>
      <c r="C7357" s="19">
        <v>41189</v>
      </c>
      <c r="D7357" s="6" t="s">
        <v>17</v>
      </c>
      <c r="E7357" s="6">
        <f>IF((ISBLANK($B$1)),"",Sheet1!Q7369)</f>
        <v>5600</v>
      </c>
      <c r="F7357" s="20" t="s">
        <v>27</v>
      </c>
      <c r="G7357" s="53">
        <f t="shared" si="115"/>
        <v>1.2721697685668893</v>
      </c>
      <c r="H7357" s="35"/>
      <c r="P7357" s="6"/>
    </row>
    <row r="7358" spans="1:16" ht="14.4" x14ac:dyDescent="0.25">
      <c r="A7358" s="6">
        <v>131</v>
      </c>
      <c r="B7358" s="6">
        <v>834</v>
      </c>
      <c r="C7358" s="19">
        <v>39955</v>
      </c>
      <c r="D7358" s="6" t="s">
        <v>16</v>
      </c>
      <c r="E7358" s="6">
        <f>IF((ISBLANK($B$1)),"",Sheet1!Q7370)</f>
        <v>4150</v>
      </c>
      <c r="F7358" s="20" t="s">
        <v>27</v>
      </c>
      <c r="G7358" s="53">
        <f t="shared" si="115"/>
        <v>-0.73021392686194853</v>
      </c>
      <c r="H7358" s="35"/>
      <c r="P7358" s="6"/>
    </row>
    <row r="7359" spans="1:16" ht="14.4" x14ac:dyDescent="0.25">
      <c r="A7359" s="6">
        <v>215</v>
      </c>
      <c r="B7359" s="6">
        <v>1414</v>
      </c>
      <c r="C7359" s="19">
        <v>40770</v>
      </c>
      <c r="D7359" s="6" t="s">
        <v>30</v>
      </c>
      <c r="E7359" s="6">
        <f>IF((ISBLANK($B$1)),"",Sheet1!Q7371)</f>
        <v>5600</v>
      </c>
      <c r="F7359" s="20" t="s">
        <v>29</v>
      </c>
      <c r="G7359" s="53">
        <f t="shared" si="115"/>
        <v>1.2721697685668893</v>
      </c>
      <c r="H7359" s="35"/>
      <c r="P7359" s="6"/>
    </row>
    <row r="7360" spans="1:16" ht="14.4" x14ac:dyDescent="0.25">
      <c r="A7360" s="6">
        <v>335</v>
      </c>
      <c r="B7360" s="6">
        <v>2305</v>
      </c>
      <c r="C7360" s="19">
        <v>40203</v>
      </c>
      <c r="D7360" s="6" t="s">
        <v>17</v>
      </c>
      <c r="E7360" s="6">
        <f>IF((ISBLANK($B$1)),"",Sheet1!Q7372)</f>
        <v>5050</v>
      </c>
      <c r="F7360" s="20" t="s">
        <v>29</v>
      </c>
      <c r="G7360" s="53">
        <f t="shared" si="115"/>
        <v>0.51264491857664052</v>
      </c>
      <c r="H7360" s="35"/>
      <c r="P7360" s="6"/>
    </row>
    <row r="7361" spans="1:16" ht="14.4" x14ac:dyDescent="0.25">
      <c r="A7361" s="6">
        <v>336</v>
      </c>
      <c r="B7361" s="6">
        <v>2305</v>
      </c>
      <c r="C7361" s="19">
        <v>40203</v>
      </c>
      <c r="D7361" s="6" t="s">
        <v>17</v>
      </c>
      <c r="E7361" s="6">
        <f>IF((ISBLANK($B$1)),"",Sheet1!Q7373)</f>
        <v>3450</v>
      </c>
      <c r="F7361" s="20" t="s">
        <v>26</v>
      </c>
      <c r="G7361" s="53">
        <f t="shared" si="115"/>
        <v>-1.696881917758629</v>
      </c>
      <c r="H7361" s="35"/>
      <c r="P7361" s="6"/>
    </row>
    <row r="7362" spans="1:16" ht="14.4" x14ac:dyDescent="0.25">
      <c r="A7362" s="6">
        <v>341</v>
      </c>
      <c r="B7362" s="6">
        <v>2311</v>
      </c>
      <c r="C7362" s="19">
        <v>40664</v>
      </c>
      <c r="D7362" s="6" t="s">
        <v>17</v>
      </c>
      <c r="E7362" s="6">
        <f>IF((ISBLANK($B$1)),"",Sheet1!Q7374)</f>
        <v>4950</v>
      </c>
      <c r="F7362" s="20" t="s">
        <v>29</v>
      </c>
      <c r="G7362" s="53">
        <f t="shared" si="115"/>
        <v>0.37454949130568621</v>
      </c>
      <c r="H7362" s="35"/>
      <c r="P7362" s="6"/>
    </row>
    <row r="7363" spans="1:16" ht="14.4" x14ac:dyDescent="0.25">
      <c r="A7363" s="6">
        <v>351</v>
      </c>
      <c r="B7363" s="6">
        <v>2438</v>
      </c>
      <c r="C7363" s="19">
        <v>40373</v>
      </c>
      <c r="D7363" s="6" t="s">
        <v>17</v>
      </c>
      <c r="E7363" s="6">
        <f>IF((ISBLANK($B$1)),"",Sheet1!Q7375)</f>
        <v>4400</v>
      </c>
      <c r="F7363" s="20" t="s">
        <v>26</v>
      </c>
      <c r="G7363" s="53">
        <f t="shared" si="115"/>
        <v>-0.38497535868456267</v>
      </c>
      <c r="H7363" s="35"/>
      <c r="P7363" s="6"/>
    </row>
    <row r="7364" spans="1:16" ht="14.4" x14ac:dyDescent="0.25">
      <c r="A7364" s="6">
        <v>352</v>
      </c>
      <c r="B7364" s="6">
        <v>2438</v>
      </c>
      <c r="C7364" s="19">
        <v>40373</v>
      </c>
      <c r="D7364" s="6" t="s">
        <v>17</v>
      </c>
      <c r="E7364" s="6">
        <f>IF((ISBLANK($B$1)),"",Sheet1!Q7376)</f>
        <v>4550</v>
      </c>
      <c r="F7364" s="20" t="s">
        <v>27</v>
      </c>
      <c r="G7364" s="53">
        <f t="shared" si="115"/>
        <v>-0.17783221777813119</v>
      </c>
      <c r="H7364" s="35"/>
      <c r="P7364" s="6"/>
    </row>
    <row r="7365" spans="1:16" ht="14.4" x14ac:dyDescent="0.25">
      <c r="A7365" s="6">
        <v>374</v>
      </c>
      <c r="B7365" s="6">
        <v>2595</v>
      </c>
      <c r="C7365" s="19">
        <v>40890</v>
      </c>
      <c r="D7365" s="6" t="s">
        <v>28</v>
      </c>
      <c r="E7365" s="6">
        <f>IF((ISBLANK($B$1)),"",Sheet1!Q7377)</f>
        <v>4050</v>
      </c>
      <c r="F7365" s="20" t="s">
        <v>29</v>
      </c>
      <c r="G7365" s="53">
        <f t="shared" si="115"/>
        <v>-0.86830935413290289</v>
      </c>
      <c r="H7365" s="35"/>
      <c r="P7365" s="6"/>
    </row>
    <row r="7366" spans="1:16" ht="14.4" x14ac:dyDescent="0.25">
      <c r="A7366" s="6">
        <v>375</v>
      </c>
      <c r="B7366" s="6">
        <v>2595</v>
      </c>
      <c r="C7366" s="19">
        <v>40890</v>
      </c>
      <c r="D7366" s="6" t="s">
        <v>28</v>
      </c>
      <c r="E7366" s="6">
        <f>IF((ISBLANK($B$1)),"",Sheet1!Q7378)</f>
        <v>3600</v>
      </c>
      <c r="F7366" s="20" t="s">
        <v>29</v>
      </c>
      <c r="G7366" s="53">
        <f t="shared" si="115"/>
        <v>-1.4897387768521975</v>
      </c>
      <c r="H7366" s="35"/>
      <c r="P7366" s="6"/>
    </row>
    <row r="7367" spans="1:16" ht="14.4" x14ac:dyDescent="0.25">
      <c r="A7367" s="6">
        <v>376</v>
      </c>
      <c r="B7367" s="6">
        <v>2595</v>
      </c>
      <c r="C7367" s="19">
        <v>40890</v>
      </c>
      <c r="D7367" s="6" t="s">
        <v>28</v>
      </c>
      <c r="E7367" s="6">
        <f>IF((ISBLANK($B$1)),"",Sheet1!Q7379)</f>
        <v>4850</v>
      </c>
      <c r="F7367" s="20" t="s">
        <v>26</v>
      </c>
      <c r="G7367" s="53">
        <f t="shared" si="115"/>
        <v>0.23645406403473185</v>
      </c>
      <c r="H7367" s="35"/>
      <c r="P7367" s="6"/>
    </row>
    <row r="7368" spans="1:16" ht="14.4" x14ac:dyDescent="0.25">
      <c r="A7368" s="6">
        <v>409</v>
      </c>
      <c r="B7368" s="6">
        <v>2790</v>
      </c>
      <c r="C7368" s="19">
        <v>40043</v>
      </c>
      <c r="D7368" s="6" t="s">
        <v>17</v>
      </c>
      <c r="E7368" s="6">
        <f>IF((ISBLANK($B$1)),"",Sheet1!Q7380)</f>
        <v>3750</v>
      </c>
      <c r="F7368" s="20" t="s">
        <v>26</v>
      </c>
      <c r="G7368" s="53">
        <f t="shared" ref="G7368:G7431" si="116">STANDARDIZE(E7368,$L$26,$L$35)</f>
        <v>-1.282595635945766</v>
      </c>
      <c r="H7368" s="35"/>
      <c r="P7368" s="6"/>
    </row>
    <row r="7369" spans="1:16" ht="14.4" x14ac:dyDescent="0.25">
      <c r="A7369" s="6">
        <v>410</v>
      </c>
      <c r="B7369" s="6">
        <v>2790</v>
      </c>
      <c r="C7369" s="19">
        <v>40043</v>
      </c>
      <c r="D7369" s="6" t="s">
        <v>17</v>
      </c>
      <c r="E7369" s="6">
        <f>IF((ISBLANK($B$1)),"",Sheet1!Q7381)</f>
        <v>5450</v>
      </c>
      <c r="F7369" s="20" t="s">
        <v>27</v>
      </c>
      <c r="G7369" s="53">
        <f t="shared" si="116"/>
        <v>1.0650266276604579</v>
      </c>
      <c r="H7369" s="35"/>
      <c r="P7369" s="6"/>
    </row>
    <row r="7370" spans="1:16" ht="14.4" x14ac:dyDescent="0.25">
      <c r="A7370" s="6">
        <v>411</v>
      </c>
      <c r="B7370" s="6">
        <v>2790</v>
      </c>
      <c r="C7370" s="19">
        <v>40043</v>
      </c>
      <c r="D7370" s="6" t="s">
        <v>17</v>
      </c>
      <c r="E7370" s="6">
        <f>IF((ISBLANK($B$1)),"",Sheet1!Q7382)</f>
        <v>4150</v>
      </c>
      <c r="F7370" s="20" t="s">
        <v>26</v>
      </c>
      <c r="G7370" s="53">
        <f t="shared" si="116"/>
        <v>-0.73021392686194853</v>
      </c>
      <c r="H7370" s="35"/>
      <c r="P7370" s="6"/>
    </row>
    <row r="7371" spans="1:16" ht="14.4" x14ac:dyDescent="0.25">
      <c r="A7371" s="6">
        <v>412</v>
      </c>
      <c r="B7371" s="6">
        <v>2790</v>
      </c>
      <c r="C7371" s="19">
        <v>40043</v>
      </c>
      <c r="D7371" s="6" t="s">
        <v>17</v>
      </c>
      <c r="E7371" s="6">
        <f>IF((ISBLANK($B$1)),"",Sheet1!Q7383)</f>
        <v>4150</v>
      </c>
      <c r="F7371" s="20" t="s">
        <v>26</v>
      </c>
      <c r="G7371" s="53">
        <f t="shared" si="116"/>
        <v>-0.73021392686194853</v>
      </c>
      <c r="H7371" s="35"/>
      <c r="P7371" s="6"/>
    </row>
    <row r="7372" spans="1:16" ht="14.4" x14ac:dyDescent="0.25">
      <c r="A7372" s="6">
        <v>490</v>
      </c>
      <c r="B7372" s="6">
        <v>3395</v>
      </c>
      <c r="C7372" s="19">
        <v>40115</v>
      </c>
      <c r="D7372" s="6" t="s">
        <v>28</v>
      </c>
      <c r="E7372" s="6">
        <f>IF((ISBLANK($B$1)),"",Sheet1!Q7384)</f>
        <v>4950</v>
      </c>
      <c r="F7372" s="20" t="s">
        <v>26</v>
      </c>
      <c r="G7372" s="53">
        <f t="shared" si="116"/>
        <v>0.37454949130568621</v>
      </c>
      <c r="H7372" s="35"/>
      <c r="P7372" s="6"/>
    </row>
    <row r="7373" spans="1:16" ht="14.4" x14ac:dyDescent="0.25">
      <c r="A7373" s="6">
        <v>491</v>
      </c>
      <c r="B7373" s="6">
        <v>3395</v>
      </c>
      <c r="C7373" s="19">
        <v>40115</v>
      </c>
      <c r="D7373" s="6" t="s">
        <v>28</v>
      </c>
      <c r="E7373" s="6">
        <f>IF((ISBLANK($B$1)),"",Sheet1!Q7385)</f>
        <v>3450</v>
      </c>
      <c r="F7373" s="20" t="s">
        <v>26</v>
      </c>
      <c r="G7373" s="53">
        <f t="shared" si="116"/>
        <v>-1.696881917758629</v>
      </c>
      <c r="H7373" s="35"/>
      <c r="P7373" s="6"/>
    </row>
    <row r="7374" spans="1:16" ht="14.4" x14ac:dyDescent="0.25">
      <c r="A7374" s="6">
        <v>492</v>
      </c>
      <c r="B7374" s="6">
        <v>3395</v>
      </c>
      <c r="C7374" s="19">
        <v>40115</v>
      </c>
      <c r="D7374" s="6" t="s">
        <v>28</v>
      </c>
      <c r="E7374" s="6">
        <f>IF((ISBLANK($B$1)),"",Sheet1!Q7386)</f>
        <v>3750</v>
      </c>
      <c r="F7374" s="20" t="s">
        <v>26</v>
      </c>
      <c r="G7374" s="53">
        <f t="shared" si="116"/>
        <v>-1.282595635945766</v>
      </c>
      <c r="H7374" s="35"/>
      <c r="P7374" s="6"/>
    </row>
    <row r="7375" spans="1:16" ht="14.4" x14ac:dyDescent="0.25">
      <c r="A7375" s="6">
        <v>493</v>
      </c>
      <c r="B7375" s="6">
        <v>3395</v>
      </c>
      <c r="C7375" s="19">
        <v>40115</v>
      </c>
      <c r="D7375" s="6" t="s">
        <v>28</v>
      </c>
      <c r="E7375" s="6">
        <f>IF((ISBLANK($B$1)),"",Sheet1!Q7387)</f>
        <v>4850</v>
      </c>
      <c r="F7375" s="20" t="s">
        <v>26</v>
      </c>
      <c r="G7375" s="53">
        <f t="shared" si="116"/>
        <v>0.23645406403473185</v>
      </c>
      <c r="H7375" s="35"/>
      <c r="P7375" s="6"/>
    </row>
    <row r="7376" spans="1:16" ht="14.4" x14ac:dyDescent="0.25">
      <c r="A7376" s="6">
        <v>575</v>
      </c>
      <c r="B7376" s="6">
        <v>3907</v>
      </c>
      <c r="C7376" s="19">
        <v>41139</v>
      </c>
      <c r="D7376" s="6" t="s">
        <v>16</v>
      </c>
      <c r="E7376" s="6">
        <f>IF((ISBLANK($B$1)),"",Sheet1!Q7388)</f>
        <v>5100</v>
      </c>
      <c r="F7376" s="20" t="s">
        <v>26</v>
      </c>
      <c r="G7376" s="53">
        <f t="shared" si="116"/>
        <v>0.58169263221211776</v>
      </c>
      <c r="H7376" s="35"/>
      <c r="P7376" s="6"/>
    </row>
    <row r="7377" spans="1:16" ht="14.4" x14ac:dyDescent="0.25">
      <c r="A7377" s="6">
        <v>576</v>
      </c>
      <c r="B7377" s="6">
        <v>3907</v>
      </c>
      <c r="C7377" s="19">
        <v>41139</v>
      </c>
      <c r="D7377" s="6" t="s">
        <v>16</v>
      </c>
      <c r="E7377" s="6">
        <f>IF((ISBLANK($B$1)),"",Sheet1!Q7389)</f>
        <v>5200</v>
      </c>
      <c r="F7377" s="20" t="s">
        <v>27</v>
      </c>
      <c r="G7377" s="53">
        <f t="shared" si="116"/>
        <v>0.71978805948307201</v>
      </c>
      <c r="H7377" s="35"/>
      <c r="P7377" s="6"/>
    </row>
    <row r="7378" spans="1:16" ht="14.4" x14ac:dyDescent="0.25">
      <c r="A7378" s="6">
        <v>613</v>
      </c>
      <c r="B7378" s="6">
        <v>4195</v>
      </c>
      <c r="C7378" s="19">
        <v>40326</v>
      </c>
      <c r="D7378" s="6" t="s">
        <v>28</v>
      </c>
      <c r="E7378" s="6">
        <f>IF((ISBLANK($B$1)),"",Sheet1!Q7390)</f>
        <v>4900</v>
      </c>
      <c r="F7378" s="20" t="s">
        <v>27</v>
      </c>
      <c r="G7378" s="53">
        <f t="shared" si="116"/>
        <v>0.30550177767020903</v>
      </c>
      <c r="H7378" s="35"/>
      <c r="P7378" s="6"/>
    </row>
    <row r="7379" spans="1:16" ht="14.4" x14ac:dyDescent="0.25">
      <c r="A7379" s="6">
        <v>631</v>
      </c>
      <c r="B7379" s="6">
        <v>4391</v>
      </c>
      <c r="C7379" s="19">
        <v>40956</v>
      </c>
      <c r="D7379" s="6" t="s">
        <v>17</v>
      </c>
      <c r="E7379" s="6">
        <f>IF((ISBLANK($B$1)),"",Sheet1!Q7391)</f>
        <v>4400</v>
      </c>
      <c r="F7379" s="20" t="s">
        <v>27</v>
      </c>
      <c r="G7379" s="53">
        <f t="shared" si="116"/>
        <v>-0.38497535868456267</v>
      </c>
      <c r="H7379" s="35"/>
      <c r="P7379" s="6"/>
    </row>
    <row r="7380" spans="1:16" ht="14.4" x14ac:dyDescent="0.25">
      <c r="A7380" s="6">
        <v>633</v>
      </c>
      <c r="B7380" s="6">
        <v>4422</v>
      </c>
      <c r="C7380" s="19">
        <v>40684</v>
      </c>
      <c r="D7380" s="6" t="s">
        <v>16</v>
      </c>
      <c r="E7380" s="6">
        <f>IF((ISBLANK($B$1)),"",Sheet1!Q7392)</f>
        <v>4000</v>
      </c>
      <c r="F7380" s="20" t="s">
        <v>29</v>
      </c>
      <c r="G7380" s="53">
        <f t="shared" si="116"/>
        <v>-0.93735706776838001</v>
      </c>
      <c r="H7380" s="35"/>
      <c r="P7380" s="6"/>
    </row>
    <row r="7381" spans="1:16" ht="14.4" x14ac:dyDescent="0.25">
      <c r="A7381" s="6">
        <v>634</v>
      </c>
      <c r="B7381" s="6">
        <v>4422</v>
      </c>
      <c r="C7381" s="19">
        <v>40684</v>
      </c>
      <c r="D7381" s="6" t="s">
        <v>16</v>
      </c>
      <c r="E7381" s="6">
        <f>IF((ISBLANK($B$1)),"",Sheet1!Q7393)</f>
        <v>4250</v>
      </c>
      <c r="F7381" s="20" t="s">
        <v>26</v>
      </c>
      <c r="G7381" s="53">
        <f t="shared" si="116"/>
        <v>-0.59211849959099416</v>
      </c>
      <c r="H7381" s="35"/>
      <c r="P7381" s="6"/>
    </row>
    <row r="7382" spans="1:16" ht="14.4" x14ac:dyDescent="0.25">
      <c r="A7382" s="6">
        <v>679</v>
      </c>
      <c r="B7382" s="6">
        <v>4741</v>
      </c>
      <c r="C7382" s="19">
        <v>41096</v>
      </c>
      <c r="D7382" s="6" t="s">
        <v>28</v>
      </c>
      <c r="E7382" s="6">
        <f>IF((ISBLANK($B$1)),"",Sheet1!Q7394)</f>
        <v>5400</v>
      </c>
      <c r="F7382" s="20" t="s">
        <v>29</v>
      </c>
      <c r="G7382" s="53">
        <f t="shared" si="116"/>
        <v>0.99597891402498073</v>
      </c>
      <c r="H7382" s="35"/>
      <c r="P7382" s="6"/>
    </row>
    <row r="7383" spans="1:16" ht="14.4" x14ac:dyDescent="0.25">
      <c r="A7383" s="6">
        <v>693</v>
      </c>
      <c r="B7383" s="6">
        <v>4835</v>
      </c>
      <c r="C7383" s="19">
        <v>40110</v>
      </c>
      <c r="D7383" s="6" t="s">
        <v>30</v>
      </c>
      <c r="E7383" s="6">
        <f>IF((ISBLANK($B$1)),"",Sheet1!Q7395)</f>
        <v>3550</v>
      </c>
      <c r="F7383" s="20" t="s">
        <v>26</v>
      </c>
      <c r="G7383" s="53">
        <f t="shared" si="116"/>
        <v>-1.5587864904876745</v>
      </c>
      <c r="H7383" s="35"/>
      <c r="P7383" s="6"/>
    </row>
    <row r="7384" spans="1:16" ht="14.4" x14ac:dyDescent="0.25">
      <c r="A7384" s="6">
        <v>711</v>
      </c>
      <c r="B7384" s="6">
        <v>5028</v>
      </c>
      <c r="C7384" s="19">
        <v>41015</v>
      </c>
      <c r="D7384" s="6" t="s">
        <v>17</v>
      </c>
      <c r="E7384" s="6">
        <f>IF((ISBLANK($B$1)),"",Sheet1!Q7396)</f>
        <v>3900</v>
      </c>
      <c r="F7384" s="20" t="s">
        <v>29</v>
      </c>
      <c r="G7384" s="53">
        <f t="shared" si="116"/>
        <v>-1.0754524950393345</v>
      </c>
      <c r="H7384" s="35"/>
      <c r="P7384" s="6"/>
    </row>
    <row r="7385" spans="1:16" ht="14.4" x14ac:dyDescent="0.25">
      <c r="A7385" s="6">
        <v>717</v>
      </c>
      <c r="B7385" s="6">
        <v>5095</v>
      </c>
      <c r="C7385" s="19">
        <v>41020</v>
      </c>
      <c r="D7385" s="6" t="s">
        <v>17</v>
      </c>
      <c r="E7385" s="6">
        <f>IF((ISBLANK($B$1)),"",Sheet1!Q7397)</f>
        <v>3750</v>
      </c>
      <c r="F7385" s="20" t="s">
        <v>27</v>
      </c>
      <c r="G7385" s="53">
        <f t="shared" si="116"/>
        <v>-1.282595635945766</v>
      </c>
      <c r="H7385" s="35"/>
      <c r="P7385" s="6"/>
    </row>
    <row r="7386" spans="1:16" ht="14.4" x14ac:dyDescent="0.25">
      <c r="A7386" s="6">
        <v>736</v>
      </c>
      <c r="B7386" s="6">
        <v>5317</v>
      </c>
      <c r="C7386" s="19">
        <v>40064</v>
      </c>
      <c r="D7386" s="6" t="s">
        <v>25</v>
      </c>
      <c r="E7386" s="6">
        <f>IF((ISBLANK($B$1)),"",Sheet1!Q7398)</f>
        <v>5300</v>
      </c>
      <c r="F7386" s="20" t="s">
        <v>26</v>
      </c>
      <c r="G7386" s="53">
        <f t="shared" si="116"/>
        <v>0.85788348675402637</v>
      </c>
      <c r="H7386" s="35"/>
      <c r="P7386" s="6"/>
    </row>
    <row r="7387" spans="1:16" ht="14.4" x14ac:dyDescent="0.25">
      <c r="A7387" s="6">
        <v>737</v>
      </c>
      <c r="B7387" s="6">
        <v>5317</v>
      </c>
      <c r="C7387" s="19">
        <v>40064</v>
      </c>
      <c r="D7387" s="6" t="s">
        <v>25</v>
      </c>
      <c r="E7387" s="6">
        <f>IF((ISBLANK($B$1)),"",Sheet1!Q7399)</f>
        <v>3900</v>
      </c>
      <c r="F7387" s="20" t="s">
        <v>29</v>
      </c>
      <c r="G7387" s="53">
        <f t="shared" si="116"/>
        <v>-1.0754524950393345</v>
      </c>
      <c r="H7387" s="35"/>
      <c r="P7387" s="6"/>
    </row>
    <row r="7388" spans="1:16" ht="14.4" x14ac:dyDescent="0.25">
      <c r="A7388" s="6">
        <v>738</v>
      </c>
      <c r="B7388" s="6">
        <v>5317</v>
      </c>
      <c r="C7388" s="19">
        <v>40064</v>
      </c>
      <c r="D7388" s="6" t="s">
        <v>25</v>
      </c>
      <c r="E7388" s="6">
        <f>IF((ISBLANK($B$1)),"",Sheet1!Q7400)</f>
        <v>4650</v>
      </c>
      <c r="F7388" s="20" t="s">
        <v>27</v>
      </c>
      <c r="G7388" s="53">
        <f t="shared" si="116"/>
        <v>-3.9736790507176829E-2</v>
      </c>
      <c r="H7388" s="35"/>
      <c r="P7388" s="6"/>
    </row>
    <row r="7389" spans="1:16" ht="14.4" x14ac:dyDescent="0.25">
      <c r="A7389" s="6">
        <v>801</v>
      </c>
      <c r="B7389" s="6">
        <v>5735</v>
      </c>
      <c r="C7389" s="19">
        <v>40157</v>
      </c>
      <c r="D7389" s="6" t="s">
        <v>16</v>
      </c>
      <c r="E7389" s="6">
        <f>IF((ISBLANK($B$1)),"",Sheet1!Q7401)</f>
        <v>3900</v>
      </c>
      <c r="F7389" s="20" t="s">
        <v>29</v>
      </c>
      <c r="G7389" s="53">
        <f t="shared" si="116"/>
        <v>-1.0754524950393345</v>
      </c>
      <c r="H7389" s="35"/>
      <c r="P7389" s="6"/>
    </row>
    <row r="7390" spans="1:16" ht="14.4" x14ac:dyDescent="0.25">
      <c r="A7390" s="6">
        <v>810</v>
      </c>
      <c r="B7390" s="6">
        <v>5856</v>
      </c>
      <c r="C7390" s="19">
        <v>40122</v>
      </c>
      <c r="D7390" s="6" t="s">
        <v>17</v>
      </c>
      <c r="E7390" s="6">
        <f>IF((ISBLANK($B$1)),"",Sheet1!Q7402)</f>
        <v>5500</v>
      </c>
      <c r="F7390" s="20" t="s">
        <v>29</v>
      </c>
      <c r="G7390" s="53">
        <f t="shared" si="116"/>
        <v>1.1340743412959351</v>
      </c>
      <c r="H7390" s="35"/>
      <c r="P7390" s="6"/>
    </row>
    <row r="7391" spans="1:16" ht="14.4" x14ac:dyDescent="0.25">
      <c r="A7391" s="6">
        <v>816</v>
      </c>
      <c r="B7391" s="6">
        <v>5891</v>
      </c>
      <c r="C7391" s="19">
        <v>41271</v>
      </c>
      <c r="D7391" s="6" t="s">
        <v>16</v>
      </c>
      <c r="E7391" s="6">
        <f>IF((ISBLANK($B$1)),"",Sheet1!Q7403)</f>
        <v>3500</v>
      </c>
      <c r="F7391" s="20" t="s">
        <v>26</v>
      </c>
      <c r="G7391" s="53">
        <f t="shared" si="116"/>
        <v>-1.6278342041231517</v>
      </c>
      <c r="H7391" s="35"/>
      <c r="P7391" s="6"/>
    </row>
    <row r="7392" spans="1:16" ht="14.4" x14ac:dyDescent="0.25">
      <c r="A7392" s="6">
        <v>875</v>
      </c>
      <c r="B7392" s="6">
        <v>6274</v>
      </c>
      <c r="C7392" s="19">
        <v>40738</v>
      </c>
      <c r="D7392" s="6" t="s">
        <v>28</v>
      </c>
      <c r="E7392" s="6">
        <f>IF((ISBLANK($B$1)),"",Sheet1!Q7404)</f>
        <v>4500</v>
      </c>
      <c r="F7392" s="20" t="s">
        <v>29</v>
      </c>
      <c r="G7392" s="53">
        <f t="shared" si="116"/>
        <v>-0.24687993141360834</v>
      </c>
      <c r="H7392" s="35"/>
      <c r="P7392" s="6"/>
    </row>
    <row r="7393" spans="1:16" ht="14.4" x14ac:dyDescent="0.25">
      <c r="A7393" s="6">
        <v>878</v>
      </c>
      <c r="B7393" s="6">
        <v>6309</v>
      </c>
      <c r="C7393" s="19">
        <v>40338</v>
      </c>
      <c r="D7393" s="6" t="s">
        <v>16</v>
      </c>
      <c r="E7393" s="6">
        <f>IF((ISBLANK($B$1)),"",Sheet1!Q7405)</f>
        <v>3900</v>
      </c>
      <c r="F7393" s="20" t="s">
        <v>26</v>
      </c>
      <c r="G7393" s="53">
        <f t="shared" si="116"/>
        <v>-1.0754524950393345</v>
      </c>
      <c r="H7393" s="35"/>
      <c r="P7393" s="6"/>
    </row>
    <row r="7394" spans="1:16" ht="14.4" x14ac:dyDescent="0.25">
      <c r="A7394" s="6">
        <v>885</v>
      </c>
      <c r="B7394" s="6">
        <v>6368</v>
      </c>
      <c r="C7394" s="19">
        <v>39866</v>
      </c>
      <c r="D7394" s="6" t="s">
        <v>28</v>
      </c>
      <c r="E7394" s="6">
        <f>IF((ISBLANK($B$1)),"",Sheet1!Q7406)</f>
        <v>5400</v>
      </c>
      <c r="F7394" s="20" t="s">
        <v>27</v>
      </c>
      <c r="G7394" s="53">
        <f t="shared" si="116"/>
        <v>0.99597891402498073</v>
      </c>
      <c r="H7394" s="35"/>
      <c r="P7394" s="6"/>
    </row>
    <row r="7395" spans="1:16" ht="14.4" x14ac:dyDescent="0.25">
      <c r="A7395" s="6">
        <v>961</v>
      </c>
      <c r="B7395" s="6">
        <v>6978</v>
      </c>
      <c r="C7395" s="19">
        <v>40521</v>
      </c>
      <c r="D7395" s="6" t="s">
        <v>17</v>
      </c>
      <c r="E7395" s="6">
        <f>IF((ISBLANK($B$1)),"",Sheet1!Q7407)</f>
        <v>5750</v>
      </c>
      <c r="F7395" s="20" t="s">
        <v>27</v>
      </c>
      <c r="G7395" s="53">
        <f t="shared" si="116"/>
        <v>1.4793129094733208</v>
      </c>
      <c r="H7395" s="35"/>
      <c r="P7395" s="6"/>
    </row>
    <row r="7396" spans="1:16" ht="14.4" x14ac:dyDescent="0.25">
      <c r="A7396" s="6">
        <v>1024</v>
      </c>
      <c r="B7396" s="6">
        <v>7461</v>
      </c>
      <c r="C7396" s="19">
        <v>39825</v>
      </c>
      <c r="D7396" s="6" t="s">
        <v>25</v>
      </c>
      <c r="E7396" s="6">
        <f>IF((ISBLANK($B$1)),"",Sheet1!Q7408)</f>
        <v>4000</v>
      </c>
      <c r="F7396" s="20" t="s">
        <v>29</v>
      </c>
      <c r="G7396" s="53">
        <f t="shared" si="116"/>
        <v>-0.93735706776838001</v>
      </c>
      <c r="H7396" s="35"/>
      <c r="P7396" s="6"/>
    </row>
    <row r="7397" spans="1:16" ht="14.4" x14ac:dyDescent="0.25">
      <c r="A7397" s="6">
        <v>1025</v>
      </c>
      <c r="B7397" s="6">
        <v>7461</v>
      </c>
      <c r="C7397" s="19">
        <v>39825</v>
      </c>
      <c r="D7397" s="6" t="s">
        <v>25</v>
      </c>
      <c r="E7397" s="6">
        <f>IF((ISBLANK($B$1)),"",Sheet1!Q7409)</f>
        <v>4800</v>
      </c>
      <c r="F7397" s="20" t="s">
        <v>26</v>
      </c>
      <c r="G7397" s="53">
        <f t="shared" si="116"/>
        <v>0.16740635039925467</v>
      </c>
      <c r="H7397" s="35"/>
      <c r="P7397" s="6"/>
    </row>
    <row r="7398" spans="1:16" ht="14.4" x14ac:dyDescent="0.25">
      <c r="A7398" s="6">
        <v>1026</v>
      </c>
      <c r="B7398" s="6">
        <v>7461</v>
      </c>
      <c r="C7398" s="19">
        <v>39825</v>
      </c>
      <c r="D7398" s="6" t="s">
        <v>25</v>
      </c>
      <c r="E7398" s="6">
        <f>IF((ISBLANK($B$1)),"",Sheet1!Q7410)</f>
        <v>5600</v>
      </c>
      <c r="F7398" s="20" t="s">
        <v>26</v>
      </c>
      <c r="G7398" s="53">
        <f t="shared" si="116"/>
        <v>1.2721697685668893</v>
      </c>
      <c r="H7398" s="35"/>
      <c r="P7398" s="6"/>
    </row>
    <row r="7399" spans="1:16" ht="14.4" x14ac:dyDescent="0.25">
      <c r="A7399" s="6">
        <v>1297</v>
      </c>
      <c r="B7399" s="6">
        <v>9505</v>
      </c>
      <c r="C7399" s="19">
        <v>41067</v>
      </c>
      <c r="D7399" s="6" t="s">
        <v>17</v>
      </c>
      <c r="E7399" s="6">
        <f>IF((ISBLANK($B$1)),"",Sheet1!Q7411)</f>
        <v>3500</v>
      </c>
      <c r="F7399" s="20" t="s">
        <v>27</v>
      </c>
      <c r="G7399" s="53">
        <f t="shared" si="116"/>
        <v>-1.6278342041231517</v>
      </c>
      <c r="H7399" s="35"/>
      <c r="P7399" s="6"/>
    </row>
    <row r="7400" spans="1:16" ht="14.4" x14ac:dyDescent="0.25">
      <c r="A7400" s="6">
        <v>1298</v>
      </c>
      <c r="B7400" s="6">
        <v>9505</v>
      </c>
      <c r="C7400" s="19">
        <v>41067</v>
      </c>
      <c r="D7400" s="6" t="s">
        <v>17</v>
      </c>
      <c r="E7400" s="6">
        <f>IF((ISBLANK($B$1)),"",Sheet1!Q7412)</f>
        <v>3650</v>
      </c>
      <c r="F7400" s="20" t="s">
        <v>27</v>
      </c>
      <c r="G7400" s="53">
        <f t="shared" si="116"/>
        <v>-1.4206910632167202</v>
      </c>
      <c r="H7400" s="35"/>
      <c r="P7400" s="6"/>
    </row>
    <row r="7401" spans="1:16" ht="14.4" x14ac:dyDescent="0.25">
      <c r="A7401" s="6">
        <v>1340</v>
      </c>
      <c r="B7401" s="6">
        <v>9794</v>
      </c>
      <c r="C7401" s="19">
        <v>40992</v>
      </c>
      <c r="D7401" s="6" t="s">
        <v>28</v>
      </c>
      <c r="E7401" s="6">
        <f>IF((ISBLANK($B$1)),"",Sheet1!Q7413)</f>
        <v>4650</v>
      </c>
      <c r="F7401" s="20" t="s">
        <v>26</v>
      </c>
      <c r="G7401" s="53">
        <f t="shared" si="116"/>
        <v>-3.9736790507176829E-2</v>
      </c>
      <c r="H7401" s="35"/>
      <c r="P7401" s="6"/>
    </row>
    <row r="7402" spans="1:16" ht="14.4" x14ac:dyDescent="0.25">
      <c r="A7402" s="6">
        <v>1400</v>
      </c>
      <c r="B7402" s="6">
        <v>10148</v>
      </c>
      <c r="C7402" s="19">
        <v>39897</v>
      </c>
      <c r="D7402" s="6" t="s">
        <v>25</v>
      </c>
      <c r="E7402" s="6">
        <f>IF((ISBLANK($B$1)),"",Sheet1!Q7414)</f>
        <v>4750</v>
      </c>
      <c r="F7402" s="20" t="s">
        <v>29</v>
      </c>
      <c r="G7402" s="53">
        <f t="shared" si="116"/>
        <v>9.8358636763777513E-2</v>
      </c>
      <c r="H7402" s="35"/>
      <c r="P7402" s="6"/>
    </row>
    <row r="7403" spans="1:16" ht="14.4" x14ac:dyDescent="0.25">
      <c r="A7403" s="6">
        <v>1534</v>
      </c>
      <c r="B7403" s="6">
        <v>11045</v>
      </c>
      <c r="C7403" s="19">
        <v>40993</v>
      </c>
      <c r="D7403" s="6" t="s">
        <v>16</v>
      </c>
      <c r="E7403" s="6">
        <f>IF((ISBLANK($B$1)),"",Sheet1!Q7415)</f>
        <v>5150</v>
      </c>
      <c r="F7403" s="20" t="s">
        <v>26</v>
      </c>
      <c r="G7403" s="53">
        <f t="shared" si="116"/>
        <v>0.65074034584759488</v>
      </c>
      <c r="H7403" s="35"/>
      <c r="P7403" s="6"/>
    </row>
    <row r="7404" spans="1:16" ht="14.4" x14ac:dyDescent="0.25">
      <c r="A7404" s="6">
        <v>1537</v>
      </c>
      <c r="B7404" s="6">
        <v>11074</v>
      </c>
      <c r="C7404" s="19">
        <v>40703</v>
      </c>
      <c r="D7404" s="6" t="s">
        <v>17</v>
      </c>
      <c r="E7404" s="6">
        <f>IF((ISBLANK($B$1)),"",Sheet1!Q7416)</f>
        <v>4450</v>
      </c>
      <c r="F7404" s="20" t="s">
        <v>26</v>
      </c>
      <c r="G7404" s="53">
        <f t="shared" si="116"/>
        <v>-0.31592764504908549</v>
      </c>
      <c r="H7404" s="35"/>
      <c r="P7404" s="6"/>
    </row>
    <row r="7405" spans="1:16" ht="14.4" x14ac:dyDescent="0.25">
      <c r="A7405" s="6">
        <v>1538</v>
      </c>
      <c r="B7405" s="6">
        <v>11074</v>
      </c>
      <c r="C7405" s="19">
        <v>40703</v>
      </c>
      <c r="D7405" s="6" t="s">
        <v>17</v>
      </c>
      <c r="E7405" s="6">
        <f>IF((ISBLANK($B$1)),"",Sheet1!Q7417)</f>
        <v>5600</v>
      </c>
      <c r="F7405" s="20" t="s">
        <v>27</v>
      </c>
      <c r="G7405" s="53">
        <f t="shared" si="116"/>
        <v>1.2721697685668893</v>
      </c>
      <c r="H7405" s="35"/>
      <c r="P7405" s="6"/>
    </row>
    <row r="7406" spans="1:16" ht="14.4" x14ac:dyDescent="0.25">
      <c r="A7406" s="6">
        <v>1732</v>
      </c>
      <c r="B7406" s="6">
        <v>12449</v>
      </c>
      <c r="C7406" s="19">
        <v>40209</v>
      </c>
      <c r="D7406" s="6" t="s">
        <v>16</v>
      </c>
      <c r="E7406" s="6">
        <f>IF((ISBLANK($B$1)),"",Sheet1!Q7418)</f>
        <v>5200</v>
      </c>
      <c r="F7406" s="20" t="s">
        <v>27</v>
      </c>
      <c r="G7406" s="53">
        <f t="shared" si="116"/>
        <v>0.71978805948307201</v>
      </c>
      <c r="H7406" s="35"/>
      <c r="P7406" s="6"/>
    </row>
    <row r="7407" spans="1:16" ht="14.4" x14ac:dyDescent="0.25">
      <c r="A7407" s="6">
        <v>2051</v>
      </c>
      <c r="B7407" s="6">
        <v>14661</v>
      </c>
      <c r="C7407" s="19">
        <v>40202</v>
      </c>
      <c r="D7407" s="6" t="s">
        <v>28</v>
      </c>
      <c r="E7407" s="6">
        <f>IF((ISBLANK($B$1)),"",Sheet1!Q7419)</f>
        <v>5300</v>
      </c>
      <c r="F7407" s="20" t="s">
        <v>27</v>
      </c>
      <c r="G7407" s="53">
        <f t="shared" si="116"/>
        <v>0.85788348675402637</v>
      </c>
      <c r="H7407" s="35"/>
      <c r="P7407" s="6"/>
    </row>
    <row r="7408" spans="1:16" ht="14.4" x14ac:dyDescent="0.25">
      <c r="A7408" s="6">
        <v>2143</v>
      </c>
      <c r="B7408" s="6">
        <v>15303</v>
      </c>
      <c r="C7408" s="19">
        <v>40434</v>
      </c>
      <c r="D7408" s="6" t="s">
        <v>30</v>
      </c>
      <c r="E7408" s="6">
        <f>IF((ISBLANK($B$1)),"",Sheet1!Q7420)</f>
        <v>4450</v>
      </c>
      <c r="F7408" s="20" t="s">
        <v>26</v>
      </c>
      <c r="G7408" s="53">
        <f t="shared" si="116"/>
        <v>-0.31592764504908549</v>
      </c>
      <c r="H7408" s="35"/>
      <c r="P7408" s="6"/>
    </row>
    <row r="7409" spans="1:16" ht="14.4" x14ac:dyDescent="0.25">
      <c r="A7409" s="6">
        <v>2144</v>
      </c>
      <c r="B7409" s="6">
        <v>15303</v>
      </c>
      <c r="C7409" s="19">
        <v>40434</v>
      </c>
      <c r="D7409" s="6" t="s">
        <v>30</v>
      </c>
      <c r="E7409" s="6">
        <f>IF((ISBLANK($B$1)),"",Sheet1!Q7421)</f>
        <v>4300</v>
      </c>
      <c r="F7409" s="20" t="s">
        <v>27</v>
      </c>
      <c r="G7409" s="53">
        <f t="shared" si="116"/>
        <v>-0.52307078595551704</v>
      </c>
      <c r="H7409" s="35"/>
      <c r="P7409" s="6"/>
    </row>
    <row r="7410" spans="1:16" ht="14.4" x14ac:dyDescent="0.25">
      <c r="A7410" s="6">
        <v>2171</v>
      </c>
      <c r="B7410" s="6">
        <v>15622</v>
      </c>
      <c r="C7410" s="19">
        <v>40780</v>
      </c>
      <c r="D7410" s="6" t="s">
        <v>17</v>
      </c>
      <c r="E7410" s="6">
        <f>IF((ISBLANK($B$1)),"",Sheet1!Q7422)</f>
        <v>5100</v>
      </c>
      <c r="F7410" s="20" t="s">
        <v>29</v>
      </c>
      <c r="G7410" s="53">
        <f t="shared" si="116"/>
        <v>0.58169263221211776</v>
      </c>
      <c r="H7410" s="35"/>
      <c r="P7410" s="6"/>
    </row>
    <row r="7411" spans="1:16" ht="14.4" x14ac:dyDescent="0.25">
      <c r="A7411" s="6">
        <v>2172</v>
      </c>
      <c r="B7411" s="6">
        <v>15622</v>
      </c>
      <c r="C7411" s="19">
        <v>40780</v>
      </c>
      <c r="D7411" s="6" t="s">
        <v>17</v>
      </c>
      <c r="E7411" s="6">
        <f>IF((ISBLANK($B$1)),"",Sheet1!Q7423)</f>
        <v>4450</v>
      </c>
      <c r="F7411" s="20" t="s">
        <v>26</v>
      </c>
      <c r="G7411" s="53">
        <f t="shared" si="116"/>
        <v>-0.31592764504908549</v>
      </c>
      <c r="H7411" s="35"/>
      <c r="P7411" s="6"/>
    </row>
    <row r="7412" spans="1:16" ht="14.4" x14ac:dyDescent="0.25">
      <c r="A7412" s="6">
        <v>2189</v>
      </c>
      <c r="B7412" s="6">
        <v>15778</v>
      </c>
      <c r="C7412" s="19">
        <v>40304</v>
      </c>
      <c r="D7412" s="6" t="s">
        <v>17</v>
      </c>
      <c r="E7412" s="6">
        <f>IF((ISBLANK($B$1)),"",Sheet1!Q7424)</f>
        <v>3850</v>
      </c>
      <c r="F7412" s="20" t="s">
        <v>26</v>
      </c>
      <c r="G7412" s="53">
        <f t="shared" si="116"/>
        <v>-1.1445002086748115</v>
      </c>
      <c r="H7412" s="35"/>
      <c r="P7412" s="6"/>
    </row>
    <row r="7413" spans="1:16" ht="14.4" x14ac:dyDescent="0.25">
      <c r="A7413" s="6">
        <v>2239</v>
      </c>
      <c r="B7413" s="6">
        <v>16164</v>
      </c>
      <c r="C7413" s="19">
        <v>40911</v>
      </c>
      <c r="D7413" s="6" t="s">
        <v>25</v>
      </c>
      <c r="E7413" s="6">
        <f>IF((ISBLANK($B$1)),"",Sheet1!Q7425)</f>
        <v>4500</v>
      </c>
      <c r="F7413" s="20" t="s">
        <v>26</v>
      </c>
      <c r="G7413" s="53">
        <f t="shared" si="116"/>
        <v>-0.24687993141360834</v>
      </c>
      <c r="H7413" s="35"/>
      <c r="P7413" s="6"/>
    </row>
    <row r="7414" spans="1:16" ht="14.4" x14ac:dyDescent="0.25">
      <c r="A7414" s="6">
        <v>2240</v>
      </c>
      <c r="B7414" s="6">
        <v>16164</v>
      </c>
      <c r="C7414" s="19">
        <v>40911</v>
      </c>
      <c r="D7414" s="6" t="s">
        <v>25</v>
      </c>
      <c r="E7414" s="6">
        <f>IF((ISBLANK($B$1)),"",Sheet1!Q7426)</f>
        <v>4700</v>
      </c>
      <c r="F7414" s="20" t="s">
        <v>26</v>
      </c>
      <c r="G7414" s="53">
        <f t="shared" si="116"/>
        <v>2.9310923128300338E-2</v>
      </c>
      <c r="H7414" s="35"/>
      <c r="P7414" s="6"/>
    </row>
    <row r="7415" spans="1:16" ht="14.4" x14ac:dyDescent="0.25">
      <c r="A7415" s="6">
        <v>2245</v>
      </c>
      <c r="B7415" s="6">
        <v>16166</v>
      </c>
      <c r="C7415" s="19">
        <v>40209</v>
      </c>
      <c r="D7415" s="6" t="s">
        <v>30</v>
      </c>
      <c r="E7415" s="6">
        <f>IF((ISBLANK($B$1)),"",Sheet1!Q7427)</f>
        <v>5200</v>
      </c>
      <c r="F7415" s="20" t="s">
        <v>26</v>
      </c>
      <c r="G7415" s="53">
        <f t="shared" si="116"/>
        <v>0.71978805948307201</v>
      </c>
      <c r="H7415" s="35"/>
      <c r="P7415" s="6"/>
    </row>
    <row r="7416" spans="1:16" ht="14.4" x14ac:dyDescent="0.25">
      <c r="A7416" s="6">
        <v>2324</v>
      </c>
      <c r="B7416" s="6">
        <v>16768</v>
      </c>
      <c r="C7416" s="19">
        <v>40019</v>
      </c>
      <c r="D7416" s="6" t="s">
        <v>17</v>
      </c>
      <c r="E7416" s="6">
        <f>IF((ISBLANK($B$1)),"",Sheet1!Q7428)</f>
        <v>3850</v>
      </c>
      <c r="F7416" s="20" t="s">
        <v>26</v>
      </c>
      <c r="G7416" s="53">
        <f t="shared" si="116"/>
        <v>-1.1445002086748115</v>
      </c>
      <c r="H7416" s="35"/>
      <c r="P7416" s="6"/>
    </row>
    <row r="7417" spans="1:16" ht="14.4" x14ac:dyDescent="0.25">
      <c r="A7417" s="6">
        <v>2390</v>
      </c>
      <c r="B7417" s="6">
        <v>17313</v>
      </c>
      <c r="C7417" s="19">
        <v>39940</v>
      </c>
      <c r="D7417" s="6" t="s">
        <v>17</v>
      </c>
      <c r="E7417" s="6">
        <f>IF((ISBLANK($B$1)),"",Sheet1!Q7429)</f>
        <v>4750</v>
      </c>
      <c r="F7417" s="20" t="s">
        <v>26</v>
      </c>
      <c r="G7417" s="53">
        <f t="shared" si="116"/>
        <v>9.8358636763777513E-2</v>
      </c>
      <c r="H7417" s="35"/>
      <c r="P7417" s="6"/>
    </row>
    <row r="7418" spans="1:16" ht="14.4" x14ac:dyDescent="0.25">
      <c r="A7418" s="6">
        <v>2409</v>
      </c>
      <c r="B7418" s="6">
        <v>17447</v>
      </c>
      <c r="C7418" s="19">
        <v>41047</v>
      </c>
      <c r="D7418" s="6" t="s">
        <v>25</v>
      </c>
      <c r="E7418" s="6">
        <f>IF((ISBLANK($B$1)),"",Sheet1!Q7430)</f>
        <v>5500</v>
      </c>
      <c r="F7418" s="20" t="s">
        <v>26</v>
      </c>
      <c r="G7418" s="53">
        <f t="shared" si="116"/>
        <v>1.1340743412959351</v>
      </c>
      <c r="H7418" s="35"/>
      <c r="P7418" s="6"/>
    </row>
    <row r="7419" spans="1:16" ht="14.4" x14ac:dyDescent="0.25">
      <c r="A7419" s="6">
        <v>2493</v>
      </c>
      <c r="B7419" s="6">
        <v>18145</v>
      </c>
      <c r="C7419" s="19">
        <v>40425</v>
      </c>
      <c r="D7419" s="6" t="s">
        <v>16</v>
      </c>
      <c r="E7419" s="6">
        <f>IF((ISBLANK($B$1)),"",Sheet1!Q7431)</f>
        <v>4450</v>
      </c>
      <c r="F7419" s="20" t="s">
        <v>27</v>
      </c>
      <c r="G7419" s="53">
        <f t="shared" si="116"/>
        <v>-0.31592764504908549</v>
      </c>
      <c r="H7419" s="35"/>
      <c r="P7419" s="6"/>
    </row>
    <row r="7420" spans="1:16" ht="14.4" x14ac:dyDescent="0.25">
      <c r="A7420" s="6">
        <v>2509</v>
      </c>
      <c r="B7420" s="6">
        <v>18215</v>
      </c>
      <c r="C7420" s="19">
        <v>40440</v>
      </c>
      <c r="D7420" s="6" t="s">
        <v>16</v>
      </c>
      <c r="E7420" s="6">
        <f>IF((ISBLANK($B$1)),"",Sheet1!Q7432)</f>
        <v>4850</v>
      </c>
      <c r="F7420" s="20" t="s">
        <v>27</v>
      </c>
      <c r="G7420" s="53">
        <f t="shared" si="116"/>
        <v>0.23645406403473185</v>
      </c>
      <c r="H7420" s="35"/>
      <c r="P7420" s="6"/>
    </row>
    <row r="7421" spans="1:16" ht="14.4" x14ac:dyDescent="0.25">
      <c r="A7421" s="6">
        <v>2581</v>
      </c>
      <c r="B7421" s="6">
        <v>18598</v>
      </c>
      <c r="C7421" s="19">
        <v>40396</v>
      </c>
      <c r="D7421" s="6" t="s">
        <v>30</v>
      </c>
      <c r="E7421" s="6">
        <f>IF((ISBLANK($B$1)),"",Sheet1!Q7433)</f>
        <v>4600</v>
      </c>
      <c r="F7421" s="20" t="s">
        <v>26</v>
      </c>
      <c r="G7421" s="53">
        <f t="shared" si="116"/>
        <v>-0.108784504142654</v>
      </c>
      <c r="H7421" s="35"/>
      <c r="P7421" s="6"/>
    </row>
    <row r="7422" spans="1:16" ht="14.4" x14ac:dyDescent="0.25">
      <c r="A7422" s="6">
        <v>2582</v>
      </c>
      <c r="B7422" s="6">
        <v>18598</v>
      </c>
      <c r="C7422" s="19">
        <v>40396</v>
      </c>
      <c r="D7422" s="6" t="s">
        <v>30</v>
      </c>
      <c r="E7422" s="6">
        <f>IF((ISBLANK($B$1)),"",Sheet1!Q7434)</f>
        <v>5700</v>
      </c>
      <c r="F7422" s="20" t="s">
        <v>29</v>
      </c>
      <c r="G7422" s="53">
        <f t="shared" si="116"/>
        <v>1.4102651958378438</v>
      </c>
      <c r="H7422" s="35"/>
      <c r="P7422" s="6"/>
    </row>
    <row r="7423" spans="1:16" ht="14.4" x14ac:dyDescent="0.25">
      <c r="A7423" s="6">
        <v>2664</v>
      </c>
      <c r="B7423" s="6">
        <v>19234</v>
      </c>
      <c r="C7423" s="19">
        <v>39837</v>
      </c>
      <c r="D7423" s="6" t="s">
        <v>17</v>
      </c>
      <c r="E7423" s="6">
        <f>IF((ISBLANK($B$1)),"",Sheet1!Q7435)</f>
        <v>4600</v>
      </c>
      <c r="F7423" s="20" t="s">
        <v>26</v>
      </c>
      <c r="G7423" s="53">
        <f t="shared" si="116"/>
        <v>-0.108784504142654</v>
      </c>
      <c r="H7423" s="35"/>
      <c r="P7423" s="6"/>
    </row>
    <row r="7424" spans="1:16" ht="14.4" x14ac:dyDescent="0.25">
      <c r="A7424" s="6">
        <v>2701</v>
      </c>
      <c r="B7424" s="6">
        <v>19555</v>
      </c>
      <c r="C7424" s="19">
        <v>40220</v>
      </c>
      <c r="D7424" s="6" t="s">
        <v>25</v>
      </c>
      <c r="E7424" s="6">
        <f>IF((ISBLANK($B$1)),"",Sheet1!Q7436)</f>
        <v>5200</v>
      </c>
      <c r="F7424" s="20" t="s">
        <v>26</v>
      </c>
      <c r="G7424" s="53">
        <f t="shared" si="116"/>
        <v>0.71978805948307201</v>
      </c>
      <c r="H7424" s="35"/>
      <c r="P7424" s="6"/>
    </row>
    <row r="7425" spans="1:16" ht="14.4" x14ac:dyDescent="0.25">
      <c r="A7425" s="6">
        <v>2702</v>
      </c>
      <c r="B7425" s="6">
        <v>19555</v>
      </c>
      <c r="C7425" s="19">
        <v>40220</v>
      </c>
      <c r="D7425" s="6" t="s">
        <v>25</v>
      </c>
      <c r="E7425" s="6">
        <f>IF((ISBLANK($B$1)),"",Sheet1!Q7437)</f>
        <v>3800</v>
      </c>
      <c r="F7425" s="20" t="s">
        <v>26</v>
      </c>
      <c r="G7425" s="53">
        <f t="shared" si="116"/>
        <v>-1.2135479223102887</v>
      </c>
      <c r="H7425" s="35"/>
      <c r="P7425" s="6"/>
    </row>
    <row r="7426" spans="1:16" ht="14.4" x14ac:dyDescent="0.25">
      <c r="A7426" s="6">
        <v>2751</v>
      </c>
      <c r="B7426" s="6">
        <v>19843</v>
      </c>
      <c r="C7426" s="19">
        <v>40388</v>
      </c>
      <c r="D7426" s="6" t="s">
        <v>16</v>
      </c>
      <c r="E7426" s="6">
        <f>IF((ISBLANK($B$1)),"",Sheet1!Q7438)</f>
        <v>5050</v>
      </c>
      <c r="F7426" s="20" t="s">
        <v>27</v>
      </c>
      <c r="G7426" s="53">
        <f t="shared" si="116"/>
        <v>0.51264491857664052</v>
      </c>
      <c r="H7426" s="35"/>
      <c r="P7426" s="6"/>
    </row>
    <row r="7427" spans="1:16" ht="14.4" x14ac:dyDescent="0.25">
      <c r="A7427" s="6">
        <v>2862</v>
      </c>
      <c r="B7427" s="6">
        <v>20646</v>
      </c>
      <c r="C7427" s="19">
        <v>40632</v>
      </c>
      <c r="D7427" s="6" t="s">
        <v>16</v>
      </c>
      <c r="E7427" s="6">
        <f>IF((ISBLANK($B$1)),"",Sheet1!Q7439)</f>
        <v>5450</v>
      </c>
      <c r="F7427" s="20" t="s">
        <v>27</v>
      </c>
      <c r="G7427" s="53">
        <f t="shared" si="116"/>
        <v>1.0650266276604579</v>
      </c>
      <c r="H7427" s="35"/>
      <c r="P7427" s="6"/>
    </row>
    <row r="7428" spans="1:16" ht="14.4" x14ac:dyDescent="0.25">
      <c r="A7428" s="6">
        <v>2928</v>
      </c>
      <c r="B7428" s="6">
        <v>21222</v>
      </c>
      <c r="C7428" s="19">
        <v>39847</v>
      </c>
      <c r="D7428" s="6" t="s">
        <v>28</v>
      </c>
      <c r="E7428" s="6">
        <f>IF((ISBLANK($B$1)),"",Sheet1!Q7440)</f>
        <v>5200</v>
      </c>
      <c r="F7428" s="20" t="s">
        <v>29</v>
      </c>
      <c r="G7428" s="53">
        <f t="shared" si="116"/>
        <v>0.71978805948307201</v>
      </c>
      <c r="H7428" s="35"/>
      <c r="P7428" s="6"/>
    </row>
    <row r="7429" spans="1:16" ht="14.4" x14ac:dyDescent="0.25">
      <c r="A7429" s="6">
        <v>2929</v>
      </c>
      <c r="B7429" s="6">
        <v>21222</v>
      </c>
      <c r="C7429" s="19">
        <v>39847</v>
      </c>
      <c r="D7429" s="6" t="s">
        <v>28</v>
      </c>
      <c r="E7429" s="6">
        <f>IF((ISBLANK($B$1)),"",Sheet1!Q7441)</f>
        <v>4700</v>
      </c>
      <c r="F7429" s="20" t="s">
        <v>27</v>
      </c>
      <c r="G7429" s="53">
        <f t="shared" si="116"/>
        <v>2.9310923128300338E-2</v>
      </c>
      <c r="H7429" s="35"/>
      <c r="P7429" s="6"/>
    </row>
    <row r="7430" spans="1:16" ht="14.4" x14ac:dyDescent="0.25">
      <c r="A7430" s="6">
        <v>3166</v>
      </c>
      <c r="B7430" s="6">
        <v>22755</v>
      </c>
      <c r="C7430" s="19">
        <v>39902</v>
      </c>
      <c r="D7430" s="6" t="s">
        <v>16</v>
      </c>
      <c r="E7430" s="6">
        <f>IF((ISBLANK($B$1)),"",Sheet1!Q7442)</f>
        <v>5150</v>
      </c>
      <c r="F7430" s="20" t="s">
        <v>26</v>
      </c>
      <c r="G7430" s="53">
        <f t="shared" si="116"/>
        <v>0.65074034584759488</v>
      </c>
      <c r="H7430" s="35"/>
      <c r="P7430" s="6"/>
    </row>
    <row r="7431" spans="1:16" ht="14.4" x14ac:dyDescent="0.25">
      <c r="A7431" s="6">
        <v>3167</v>
      </c>
      <c r="B7431" s="6">
        <v>22755</v>
      </c>
      <c r="C7431" s="19">
        <v>39902</v>
      </c>
      <c r="D7431" s="6" t="s">
        <v>16</v>
      </c>
      <c r="E7431" s="6">
        <f>IF((ISBLANK($B$1)),"",Sheet1!Q7443)</f>
        <v>5650</v>
      </c>
      <c r="F7431" s="20" t="s">
        <v>26</v>
      </c>
      <c r="G7431" s="53">
        <f t="shared" si="116"/>
        <v>1.3412174822023666</v>
      </c>
      <c r="H7431" s="35"/>
      <c r="P7431" s="6"/>
    </row>
    <row r="7432" spans="1:16" ht="14.4" x14ac:dyDescent="0.25">
      <c r="A7432" s="6">
        <v>3168</v>
      </c>
      <c r="B7432" s="6">
        <v>22755</v>
      </c>
      <c r="C7432" s="19">
        <v>39902</v>
      </c>
      <c r="D7432" s="6" t="s">
        <v>16</v>
      </c>
      <c r="E7432" s="6">
        <f>IF((ISBLANK($B$1)),"",Sheet1!Q7444)</f>
        <v>3650</v>
      </c>
      <c r="F7432" s="20" t="s">
        <v>27</v>
      </c>
      <c r="G7432" s="53">
        <f t="shared" ref="G7432:G7495" si="117">STANDARDIZE(E7432,$L$26,$L$35)</f>
        <v>-1.4206910632167202</v>
      </c>
      <c r="H7432" s="35"/>
      <c r="P7432" s="6"/>
    </row>
    <row r="7433" spans="1:16" ht="14.4" x14ac:dyDescent="0.25">
      <c r="A7433" s="6">
        <v>3222</v>
      </c>
      <c r="B7433" s="6">
        <v>23136</v>
      </c>
      <c r="C7433" s="19">
        <v>40081</v>
      </c>
      <c r="D7433" s="6" t="s">
        <v>28</v>
      </c>
      <c r="E7433" s="6">
        <f>IF((ISBLANK($B$1)),"",Sheet1!Q7445)</f>
        <v>5450</v>
      </c>
      <c r="F7433" s="20" t="s">
        <v>29</v>
      </c>
      <c r="G7433" s="53">
        <f t="shared" si="117"/>
        <v>1.0650266276604579</v>
      </c>
      <c r="H7433" s="35"/>
      <c r="P7433" s="6"/>
    </row>
    <row r="7434" spans="1:16" ht="14.4" x14ac:dyDescent="0.25">
      <c r="A7434" s="6">
        <v>3223</v>
      </c>
      <c r="B7434" s="6">
        <v>23136</v>
      </c>
      <c r="C7434" s="19">
        <v>40081</v>
      </c>
      <c r="D7434" s="6" t="s">
        <v>28</v>
      </c>
      <c r="E7434" s="6">
        <f>IF((ISBLANK($B$1)),"",Sheet1!Q7446)</f>
        <v>5550</v>
      </c>
      <c r="F7434" s="20" t="s">
        <v>27</v>
      </c>
      <c r="G7434" s="53">
        <f t="shared" si="117"/>
        <v>1.2031220549314123</v>
      </c>
      <c r="H7434" s="35"/>
      <c r="P7434" s="6"/>
    </row>
    <row r="7435" spans="1:16" ht="14.4" x14ac:dyDescent="0.25">
      <c r="A7435" s="6">
        <v>3316</v>
      </c>
      <c r="B7435" s="6">
        <v>23685</v>
      </c>
      <c r="C7435" s="19">
        <v>41089</v>
      </c>
      <c r="D7435" s="6" t="s">
        <v>28</v>
      </c>
      <c r="E7435" s="6">
        <f>IF((ISBLANK($B$1)),"",Sheet1!Q7447)</f>
        <v>5700</v>
      </c>
      <c r="F7435" s="20" t="s">
        <v>27</v>
      </c>
      <c r="G7435" s="53">
        <f t="shared" si="117"/>
        <v>1.4102651958378438</v>
      </c>
      <c r="H7435" s="35"/>
      <c r="P7435" s="6"/>
    </row>
    <row r="7436" spans="1:16" ht="14.4" x14ac:dyDescent="0.25">
      <c r="A7436" s="6">
        <v>3319</v>
      </c>
      <c r="B7436" s="6">
        <v>23745</v>
      </c>
      <c r="C7436" s="19">
        <v>41248</v>
      </c>
      <c r="D7436" s="6" t="s">
        <v>25</v>
      </c>
      <c r="E7436" s="6">
        <f>IF((ISBLANK($B$1)),"",Sheet1!Q7448)</f>
        <v>4000</v>
      </c>
      <c r="F7436" s="20" t="s">
        <v>29</v>
      </c>
      <c r="G7436" s="53">
        <f t="shared" si="117"/>
        <v>-0.93735706776838001</v>
      </c>
      <c r="H7436" s="35"/>
      <c r="P7436" s="6"/>
    </row>
    <row r="7437" spans="1:16" ht="14.4" x14ac:dyDescent="0.25">
      <c r="A7437" s="6">
        <v>3320</v>
      </c>
      <c r="B7437" s="6">
        <v>23745</v>
      </c>
      <c r="C7437" s="19">
        <v>41248</v>
      </c>
      <c r="D7437" s="6" t="s">
        <v>25</v>
      </c>
      <c r="E7437" s="6">
        <f>IF((ISBLANK($B$1)),"",Sheet1!Q7449)</f>
        <v>5750</v>
      </c>
      <c r="F7437" s="20" t="s">
        <v>29</v>
      </c>
      <c r="G7437" s="53">
        <f t="shared" si="117"/>
        <v>1.4793129094733208</v>
      </c>
      <c r="H7437" s="35"/>
      <c r="P7437" s="6"/>
    </row>
    <row r="7438" spans="1:16" ht="14.4" x14ac:dyDescent="0.25">
      <c r="A7438" s="6">
        <v>3585</v>
      </c>
      <c r="B7438" s="6">
        <v>25571</v>
      </c>
      <c r="C7438" s="19">
        <v>41139</v>
      </c>
      <c r="D7438" s="6" t="s">
        <v>30</v>
      </c>
      <c r="E7438" s="6">
        <f>IF((ISBLANK($B$1)),"",Sheet1!Q7450)</f>
        <v>5500</v>
      </c>
      <c r="F7438" s="20" t="s">
        <v>26</v>
      </c>
      <c r="G7438" s="53">
        <f t="shared" si="117"/>
        <v>1.1340743412959351</v>
      </c>
      <c r="H7438" s="35"/>
      <c r="P7438" s="6"/>
    </row>
    <row r="7439" spans="1:16" ht="14.4" x14ac:dyDescent="0.25">
      <c r="A7439" s="6">
        <v>3645</v>
      </c>
      <c r="B7439" s="6">
        <v>26053</v>
      </c>
      <c r="C7439" s="19">
        <v>40932</v>
      </c>
      <c r="D7439" s="6" t="s">
        <v>25</v>
      </c>
      <c r="E7439" s="6">
        <f>IF((ISBLANK($B$1)),"",Sheet1!Q7451)</f>
        <v>5800</v>
      </c>
      <c r="F7439" s="20" t="s">
        <v>26</v>
      </c>
      <c r="G7439" s="53">
        <f t="shared" si="117"/>
        <v>1.5483606231087981</v>
      </c>
      <c r="H7439" s="35"/>
      <c r="P7439" s="6"/>
    </row>
    <row r="7440" spans="1:16" ht="14.4" x14ac:dyDescent="0.25">
      <c r="A7440" s="6">
        <v>3670</v>
      </c>
      <c r="B7440" s="6">
        <v>26277</v>
      </c>
      <c r="C7440" s="19">
        <v>40721</v>
      </c>
      <c r="D7440" s="6" t="s">
        <v>16</v>
      </c>
      <c r="E7440" s="6">
        <f>IF((ISBLANK($B$1)),"",Sheet1!Q7452)</f>
        <v>4250</v>
      </c>
      <c r="F7440" s="20" t="s">
        <v>27</v>
      </c>
      <c r="G7440" s="53">
        <f t="shared" si="117"/>
        <v>-0.59211849959099416</v>
      </c>
      <c r="H7440" s="35"/>
      <c r="P7440" s="6"/>
    </row>
    <row r="7441" spans="1:16" ht="14.4" x14ac:dyDescent="0.25">
      <c r="A7441" s="6">
        <v>3692</v>
      </c>
      <c r="B7441" s="6">
        <v>26374</v>
      </c>
      <c r="C7441" s="19">
        <v>40122</v>
      </c>
      <c r="D7441" s="6" t="s">
        <v>28</v>
      </c>
      <c r="E7441" s="6">
        <f>IF((ISBLANK($B$1)),"",Sheet1!Q7453)</f>
        <v>3650</v>
      </c>
      <c r="F7441" s="20" t="s">
        <v>27</v>
      </c>
      <c r="G7441" s="53">
        <f t="shared" si="117"/>
        <v>-1.4206910632167202</v>
      </c>
      <c r="H7441" s="35"/>
      <c r="P7441" s="6"/>
    </row>
    <row r="7442" spans="1:16" ht="14.4" x14ac:dyDescent="0.25">
      <c r="A7442" s="6">
        <v>3771</v>
      </c>
      <c r="B7442" s="6">
        <v>26944</v>
      </c>
      <c r="C7442" s="19">
        <v>40124</v>
      </c>
      <c r="D7442" s="6" t="s">
        <v>30</v>
      </c>
      <c r="E7442" s="6">
        <f>IF((ISBLANK($B$1)),"",Sheet1!Q7454)</f>
        <v>3700</v>
      </c>
      <c r="F7442" s="20" t="s">
        <v>27</v>
      </c>
      <c r="G7442" s="53">
        <f t="shared" si="117"/>
        <v>-1.351643349581243</v>
      </c>
      <c r="H7442" s="35"/>
      <c r="P7442" s="6"/>
    </row>
    <row r="7443" spans="1:16" ht="14.4" x14ac:dyDescent="0.25">
      <c r="A7443" s="6">
        <v>3791</v>
      </c>
      <c r="B7443" s="6">
        <v>27013</v>
      </c>
      <c r="C7443" s="19">
        <v>39999</v>
      </c>
      <c r="D7443" s="6" t="s">
        <v>25</v>
      </c>
      <c r="E7443" s="6">
        <f>IF((ISBLANK($B$1)),"",Sheet1!Q7455)</f>
        <v>4800</v>
      </c>
      <c r="F7443" s="20" t="s">
        <v>26</v>
      </c>
      <c r="G7443" s="53">
        <f t="shared" si="117"/>
        <v>0.16740635039925467</v>
      </c>
      <c r="H7443" s="35"/>
      <c r="P7443" s="6"/>
    </row>
    <row r="7444" spans="1:16" ht="14.4" x14ac:dyDescent="0.25">
      <c r="A7444" s="6">
        <v>3792</v>
      </c>
      <c r="B7444" s="6">
        <v>27013</v>
      </c>
      <c r="C7444" s="19">
        <v>39999</v>
      </c>
      <c r="D7444" s="6" t="s">
        <v>25</v>
      </c>
      <c r="E7444" s="6">
        <f>IF((ISBLANK($B$1)),"",Sheet1!Q7456)</f>
        <v>4700</v>
      </c>
      <c r="F7444" s="20" t="s">
        <v>26</v>
      </c>
      <c r="G7444" s="53">
        <f t="shared" si="117"/>
        <v>2.9310923128300338E-2</v>
      </c>
      <c r="H7444" s="35"/>
      <c r="P7444" s="6"/>
    </row>
    <row r="7445" spans="1:16" ht="14.4" x14ac:dyDescent="0.25">
      <c r="A7445" s="6">
        <v>3913</v>
      </c>
      <c r="B7445" s="6">
        <v>27904</v>
      </c>
      <c r="C7445" s="19">
        <v>40789</v>
      </c>
      <c r="D7445" s="6" t="s">
        <v>17</v>
      </c>
      <c r="E7445" s="6">
        <f>IF((ISBLANK($B$1)),"",Sheet1!Q7457)</f>
        <v>3800</v>
      </c>
      <c r="F7445" s="20" t="s">
        <v>27</v>
      </c>
      <c r="G7445" s="53">
        <f t="shared" si="117"/>
        <v>-1.2135479223102887</v>
      </c>
      <c r="H7445" s="35"/>
      <c r="P7445" s="6"/>
    </row>
    <row r="7446" spans="1:16" ht="14.4" x14ac:dyDescent="0.25">
      <c r="A7446" s="6">
        <v>3925</v>
      </c>
      <c r="B7446" s="6">
        <v>27974</v>
      </c>
      <c r="C7446" s="19">
        <v>40458</v>
      </c>
      <c r="D7446" s="6" t="s">
        <v>17</v>
      </c>
      <c r="E7446" s="6">
        <f>IF((ISBLANK($B$1)),"",Sheet1!Q7458)</f>
        <v>4950</v>
      </c>
      <c r="F7446" s="20" t="s">
        <v>27</v>
      </c>
      <c r="G7446" s="53">
        <f t="shared" si="117"/>
        <v>0.37454949130568621</v>
      </c>
      <c r="H7446" s="35"/>
      <c r="P7446" s="6"/>
    </row>
    <row r="7447" spans="1:16" ht="14.4" x14ac:dyDescent="0.25">
      <c r="A7447" s="6">
        <v>4192</v>
      </c>
      <c r="B7447" s="6">
        <v>29767</v>
      </c>
      <c r="C7447" s="19">
        <v>40579</v>
      </c>
      <c r="D7447" s="6" t="s">
        <v>17</v>
      </c>
      <c r="E7447" s="6">
        <f>IF((ISBLANK($B$1)),"",Sheet1!Q7459)</f>
        <v>5800</v>
      </c>
      <c r="F7447" s="20" t="s">
        <v>26</v>
      </c>
      <c r="G7447" s="53">
        <f t="shared" si="117"/>
        <v>1.5483606231087981</v>
      </c>
      <c r="H7447" s="35"/>
      <c r="P7447" s="6"/>
    </row>
    <row r="7448" spans="1:16" ht="14.4" x14ac:dyDescent="0.25">
      <c r="A7448" s="6">
        <v>4196</v>
      </c>
      <c r="B7448" s="6">
        <v>29826</v>
      </c>
      <c r="C7448" s="19">
        <v>40080</v>
      </c>
      <c r="D7448" s="6" t="s">
        <v>30</v>
      </c>
      <c r="E7448" s="6">
        <f>IF((ISBLANK($B$1)),"",Sheet1!Q7460)</f>
        <v>3850</v>
      </c>
      <c r="F7448" s="20" t="s">
        <v>27</v>
      </c>
      <c r="G7448" s="53">
        <f t="shared" si="117"/>
        <v>-1.1445002086748115</v>
      </c>
      <c r="H7448" s="35"/>
      <c r="P7448" s="6"/>
    </row>
    <row r="7449" spans="1:16" ht="14.4" x14ac:dyDescent="0.25">
      <c r="A7449" s="6">
        <v>4290</v>
      </c>
      <c r="B7449" s="6">
        <v>30566</v>
      </c>
      <c r="C7449" s="19">
        <v>40725</v>
      </c>
      <c r="D7449" s="6" t="s">
        <v>25</v>
      </c>
      <c r="E7449" s="6">
        <f>IF((ISBLANK($B$1)),"",Sheet1!Q7461)</f>
        <v>5100</v>
      </c>
      <c r="F7449" s="20" t="s">
        <v>26</v>
      </c>
      <c r="G7449" s="53">
        <f t="shared" si="117"/>
        <v>0.58169263221211776</v>
      </c>
      <c r="H7449" s="35"/>
      <c r="P7449" s="6"/>
    </row>
    <row r="7450" spans="1:16" ht="14.4" x14ac:dyDescent="0.25">
      <c r="A7450" s="6">
        <v>4329</v>
      </c>
      <c r="B7450" s="6">
        <v>30852</v>
      </c>
      <c r="C7450" s="19">
        <v>39947</v>
      </c>
      <c r="D7450" s="6" t="s">
        <v>30</v>
      </c>
      <c r="E7450" s="6">
        <f>IF((ISBLANK($B$1)),"",Sheet1!Q7462)</f>
        <v>5150</v>
      </c>
      <c r="F7450" s="20" t="s">
        <v>27</v>
      </c>
      <c r="G7450" s="53">
        <f t="shared" si="117"/>
        <v>0.65074034584759488</v>
      </c>
      <c r="H7450" s="35"/>
      <c r="P7450" s="6"/>
    </row>
    <row r="7451" spans="1:16" ht="14.4" x14ac:dyDescent="0.25">
      <c r="A7451" s="6">
        <v>4379</v>
      </c>
      <c r="B7451" s="6">
        <v>31204</v>
      </c>
      <c r="C7451" s="19">
        <v>40411</v>
      </c>
      <c r="D7451" s="6" t="s">
        <v>25</v>
      </c>
      <c r="E7451" s="6">
        <f>IF((ISBLANK($B$1)),"",Sheet1!Q7463)</f>
        <v>4100</v>
      </c>
      <c r="F7451" s="20" t="s">
        <v>29</v>
      </c>
      <c r="G7451" s="53">
        <f t="shared" si="117"/>
        <v>-0.79926164049742576</v>
      </c>
      <c r="H7451" s="35"/>
      <c r="P7451" s="6"/>
    </row>
    <row r="7452" spans="1:16" ht="14.4" x14ac:dyDescent="0.25">
      <c r="A7452" s="6">
        <v>4380</v>
      </c>
      <c r="B7452" s="6">
        <v>31204</v>
      </c>
      <c r="C7452" s="19">
        <v>40411</v>
      </c>
      <c r="D7452" s="6" t="s">
        <v>25</v>
      </c>
      <c r="E7452" s="6">
        <f>IF((ISBLANK($B$1)),"",Sheet1!Q7464)</f>
        <v>3800</v>
      </c>
      <c r="F7452" s="20" t="s">
        <v>26</v>
      </c>
      <c r="G7452" s="53">
        <f t="shared" si="117"/>
        <v>-1.2135479223102887</v>
      </c>
      <c r="H7452" s="35"/>
      <c r="P7452" s="6"/>
    </row>
    <row r="7453" spans="1:16" ht="14.4" x14ac:dyDescent="0.25">
      <c r="A7453" s="6">
        <v>4567</v>
      </c>
      <c r="B7453" s="6">
        <v>32513</v>
      </c>
      <c r="C7453" s="19">
        <v>40941</v>
      </c>
      <c r="D7453" s="6" t="s">
        <v>25</v>
      </c>
      <c r="E7453" s="6">
        <f>IF((ISBLANK($B$1)),"",Sheet1!Q7465)</f>
        <v>4550</v>
      </c>
      <c r="F7453" s="20" t="s">
        <v>26</v>
      </c>
      <c r="G7453" s="53">
        <f t="shared" si="117"/>
        <v>-0.17783221777813119</v>
      </c>
      <c r="H7453" s="35"/>
      <c r="P7453" s="6"/>
    </row>
    <row r="7454" spans="1:16" ht="14.4" x14ac:dyDescent="0.25">
      <c r="A7454" s="6">
        <v>4568</v>
      </c>
      <c r="B7454" s="6">
        <v>32513</v>
      </c>
      <c r="C7454" s="19">
        <v>40941</v>
      </c>
      <c r="D7454" s="6" t="s">
        <v>25</v>
      </c>
      <c r="E7454" s="6">
        <f>IF((ISBLANK($B$1)),"",Sheet1!Q7466)</f>
        <v>5400</v>
      </c>
      <c r="F7454" s="20" t="s">
        <v>26</v>
      </c>
      <c r="G7454" s="53">
        <f t="shared" si="117"/>
        <v>0.99597891402498073</v>
      </c>
      <c r="H7454" s="35"/>
      <c r="P7454" s="6"/>
    </row>
    <row r="7455" spans="1:16" ht="14.4" x14ac:dyDescent="0.25">
      <c r="A7455" s="6">
        <v>4589</v>
      </c>
      <c r="B7455" s="6">
        <v>32641</v>
      </c>
      <c r="C7455" s="19">
        <v>40258</v>
      </c>
      <c r="D7455" s="6" t="s">
        <v>17</v>
      </c>
      <c r="E7455" s="6">
        <f>IF((ISBLANK($B$1)),"",Sheet1!Q7467)</f>
        <v>4300</v>
      </c>
      <c r="F7455" s="20" t="s">
        <v>26</v>
      </c>
      <c r="G7455" s="53">
        <f t="shared" si="117"/>
        <v>-0.52307078595551704</v>
      </c>
      <c r="H7455" s="35"/>
      <c r="P7455" s="6"/>
    </row>
    <row r="7456" spans="1:16" ht="14.4" x14ac:dyDescent="0.25">
      <c r="A7456" s="6">
        <v>4741</v>
      </c>
      <c r="B7456" s="6">
        <v>33729</v>
      </c>
      <c r="C7456" s="19">
        <v>41171</v>
      </c>
      <c r="D7456" s="6" t="s">
        <v>28</v>
      </c>
      <c r="E7456" s="6">
        <f>IF((ISBLANK($B$1)),"",Sheet1!Q7468)</f>
        <v>4700</v>
      </c>
      <c r="F7456" s="20" t="s">
        <v>26</v>
      </c>
      <c r="G7456" s="53">
        <f t="shared" si="117"/>
        <v>2.9310923128300338E-2</v>
      </c>
      <c r="H7456" s="35"/>
      <c r="P7456" s="6"/>
    </row>
    <row r="7457" spans="1:16" ht="14.4" x14ac:dyDescent="0.25">
      <c r="A7457" s="6">
        <v>4796</v>
      </c>
      <c r="B7457" s="6">
        <v>34083</v>
      </c>
      <c r="C7457" s="19">
        <v>40944</v>
      </c>
      <c r="D7457" s="6" t="s">
        <v>28</v>
      </c>
      <c r="E7457" s="6">
        <f>IF((ISBLANK($B$1)),"",Sheet1!Q7469)</f>
        <v>4850</v>
      </c>
      <c r="F7457" s="20" t="s">
        <v>27</v>
      </c>
      <c r="G7457" s="53">
        <f t="shared" si="117"/>
        <v>0.23645406403473185</v>
      </c>
      <c r="H7457" s="35"/>
      <c r="P7457" s="6"/>
    </row>
    <row r="7458" spans="1:16" ht="14.4" x14ac:dyDescent="0.25">
      <c r="A7458" s="6">
        <v>4824</v>
      </c>
      <c r="B7458" s="6">
        <v>34275</v>
      </c>
      <c r="C7458" s="19">
        <v>39995</v>
      </c>
      <c r="D7458" s="6" t="s">
        <v>25</v>
      </c>
      <c r="E7458" s="6">
        <f>IF((ISBLANK($B$1)),"",Sheet1!Q7470)</f>
        <v>3550</v>
      </c>
      <c r="F7458" s="20" t="s">
        <v>27</v>
      </c>
      <c r="G7458" s="53">
        <f t="shared" si="117"/>
        <v>-1.5587864904876745</v>
      </c>
      <c r="H7458" s="35"/>
      <c r="P7458" s="6"/>
    </row>
    <row r="7459" spans="1:16" ht="14.4" x14ac:dyDescent="0.25">
      <c r="A7459" s="6">
        <v>4854</v>
      </c>
      <c r="B7459" s="6">
        <v>34532</v>
      </c>
      <c r="C7459" s="19">
        <v>41254</v>
      </c>
      <c r="D7459" s="6" t="s">
        <v>25</v>
      </c>
      <c r="E7459" s="6">
        <f>IF((ISBLANK($B$1)),"",Sheet1!Q7471)</f>
        <v>5450</v>
      </c>
      <c r="F7459" s="20" t="s">
        <v>26</v>
      </c>
      <c r="G7459" s="53">
        <f t="shared" si="117"/>
        <v>1.0650266276604579</v>
      </c>
      <c r="H7459" s="35"/>
      <c r="P7459" s="6"/>
    </row>
    <row r="7460" spans="1:16" ht="14.4" x14ac:dyDescent="0.25">
      <c r="A7460" s="6">
        <v>4942</v>
      </c>
      <c r="B7460" s="6">
        <v>35139</v>
      </c>
      <c r="C7460" s="19">
        <v>40196</v>
      </c>
      <c r="D7460" s="6" t="s">
        <v>17</v>
      </c>
      <c r="E7460" s="6">
        <f>IF((ISBLANK($B$1)),"",Sheet1!Q7472)</f>
        <v>3550</v>
      </c>
      <c r="F7460" s="20" t="s">
        <v>27</v>
      </c>
      <c r="G7460" s="53">
        <f t="shared" si="117"/>
        <v>-1.5587864904876745</v>
      </c>
      <c r="H7460" s="35"/>
      <c r="P7460" s="6"/>
    </row>
    <row r="7461" spans="1:16" ht="14.4" x14ac:dyDescent="0.25">
      <c r="A7461" s="6">
        <v>4943</v>
      </c>
      <c r="B7461" s="6">
        <v>35139</v>
      </c>
      <c r="C7461" s="19">
        <v>40196</v>
      </c>
      <c r="D7461" s="6" t="s">
        <v>17</v>
      </c>
      <c r="E7461" s="6">
        <f>IF((ISBLANK($B$1)),"",Sheet1!Q7473)</f>
        <v>4650</v>
      </c>
      <c r="F7461" s="20" t="s">
        <v>26</v>
      </c>
      <c r="G7461" s="53">
        <f t="shared" si="117"/>
        <v>-3.9736790507176829E-2</v>
      </c>
      <c r="H7461" s="35"/>
      <c r="P7461" s="6"/>
    </row>
    <row r="7462" spans="1:16" ht="14.4" x14ac:dyDescent="0.25">
      <c r="A7462" s="6">
        <v>4944</v>
      </c>
      <c r="B7462" s="6">
        <v>35139</v>
      </c>
      <c r="C7462" s="19">
        <v>40196</v>
      </c>
      <c r="D7462" s="6" t="s">
        <v>17</v>
      </c>
      <c r="E7462" s="6">
        <f>IF((ISBLANK($B$1)),"",Sheet1!Q7474)</f>
        <v>5000</v>
      </c>
      <c r="F7462" s="20" t="s">
        <v>26</v>
      </c>
      <c r="G7462" s="53">
        <f t="shared" si="117"/>
        <v>0.44359720494116334</v>
      </c>
      <c r="H7462" s="35"/>
      <c r="P7462" s="6"/>
    </row>
    <row r="7463" spans="1:16" ht="14.4" x14ac:dyDescent="0.25">
      <c r="A7463" s="6">
        <v>4952</v>
      </c>
      <c r="B7463" s="6">
        <v>35239</v>
      </c>
      <c r="C7463" s="19">
        <v>40859</v>
      </c>
      <c r="D7463" s="6" t="s">
        <v>30</v>
      </c>
      <c r="E7463" s="6">
        <f>IF((ISBLANK($B$1)),"",Sheet1!Q7475)</f>
        <v>4450</v>
      </c>
      <c r="F7463" s="20" t="s">
        <v>26</v>
      </c>
      <c r="G7463" s="53">
        <f t="shared" si="117"/>
        <v>-0.31592764504908549</v>
      </c>
      <c r="H7463" s="35"/>
      <c r="P7463" s="6"/>
    </row>
    <row r="7464" spans="1:16" ht="14.4" x14ac:dyDescent="0.25">
      <c r="A7464" s="6">
        <v>4953</v>
      </c>
      <c r="B7464" s="6">
        <v>35239</v>
      </c>
      <c r="C7464" s="19">
        <v>40859</v>
      </c>
      <c r="D7464" s="6" t="s">
        <v>30</v>
      </c>
      <c r="E7464" s="6">
        <f>IF((ISBLANK($B$1)),"",Sheet1!Q7476)</f>
        <v>5300</v>
      </c>
      <c r="F7464" s="20" t="s">
        <v>26</v>
      </c>
      <c r="G7464" s="53">
        <f t="shared" si="117"/>
        <v>0.85788348675402637</v>
      </c>
      <c r="H7464" s="35"/>
      <c r="P7464" s="6"/>
    </row>
    <row r="7465" spans="1:16" ht="14.4" x14ac:dyDescent="0.25">
      <c r="A7465" s="6">
        <v>5032</v>
      </c>
      <c r="B7465" s="6">
        <v>35875</v>
      </c>
      <c r="C7465" s="19">
        <v>40708</v>
      </c>
      <c r="D7465" s="6" t="s">
        <v>17</v>
      </c>
      <c r="E7465" s="6">
        <f>IF((ISBLANK($B$1)),"",Sheet1!Q7477)</f>
        <v>4950</v>
      </c>
      <c r="F7465" s="20" t="s">
        <v>26</v>
      </c>
      <c r="G7465" s="53">
        <f t="shared" si="117"/>
        <v>0.37454949130568621</v>
      </c>
      <c r="H7465" s="35"/>
      <c r="P7465" s="6"/>
    </row>
    <row r="7466" spans="1:16" ht="14.4" x14ac:dyDescent="0.25">
      <c r="A7466" s="6">
        <v>5217</v>
      </c>
      <c r="B7466" s="6">
        <v>37125</v>
      </c>
      <c r="C7466" s="19">
        <v>40192</v>
      </c>
      <c r="D7466" s="6" t="s">
        <v>17</v>
      </c>
      <c r="E7466" s="6">
        <f>IF((ISBLANK($B$1)),"",Sheet1!Q7478)</f>
        <v>5700</v>
      </c>
      <c r="F7466" s="20" t="s">
        <v>26</v>
      </c>
      <c r="G7466" s="53">
        <f t="shared" si="117"/>
        <v>1.4102651958378438</v>
      </c>
      <c r="H7466" s="35"/>
      <c r="P7466" s="6"/>
    </row>
    <row r="7467" spans="1:16" ht="14.4" x14ac:dyDescent="0.25">
      <c r="A7467" s="6">
        <v>5222</v>
      </c>
      <c r="B7467" s="6">
        <v>37158</v>
      </c>
      <c r="C7467" s="19">
        <v>41174</v>
      </c>
      <c r="D7467" s="6" t="s">
        <v>25</v>
      </c>
      <c r="E7467" s="6">
        <f>IF((ISBLANK($B$1)),"",Sheet1!Q7479)</f>
        <v>4650</v>
      </c>
      <c r="F7467" s="20" t="s">
        <v>26</v>
      </c>
      <c r="G7467" s="53">
        <f t="shared" si="117"/>
        <v>-3.9736790507176829E-2</v>
      </c>
      <c r="H7467" s="35"/>
      <c r="P7467" s="6"/>
    </row>
    <row r="7468" spans="1:16" ht="14.4" x14ac:dyDescent="0.25">
      <c r="A7468" s="6">
        <v>5252</v>
      </c>
      <c r="B7468" s="6">
        <v>37380</v>
      </c>
      <c r="C7468" s="19">
        <v>40634</v>
      </c>
      <c r="D7468" s="6" t="s">
        <v>30</v>
      </c>
      <c r="E7468" s="6">
        <f>IF((ISBLANK($B$1)),"",Sheet1!Q7480)</f>
        <v>4850</v>
      </c>
      <c r="F7468" s="20" t="s">
        <v>29</v>
      </c>
      <c r="G7468" s="53">
        <f t="shared" si="117"/>
        <v>0.23645406403473185</v>
      </c>
      <c r="H7468" s="35"/>
      <c r="P7468" s="6"/>
    </row>
    <row r="7469" spans="1:16" ht="14.4" x14ac:dyDescent="0.25">
      <c r="A7469" s="6">
        <v>5253</v>
      </c>
      <c r="B7469" s="6">
        <v>37380</v>
      </c>
      <c r="C7469" s="19">
        <v>40634</v>
      </c>
      <c r="D7469" s="6" t="s">
        <v>30</v>
      </c>
      <c r="E7469" s="6">
        <f>IF((ISBLANK($B$1)),"",Sheet1!Q7481)</f>
        <v>5750</v>
      </c>
      <c r="F7469" s="20" t="s">
        <v>26</v>
      </c>
      <c r="G7469" s="53">
        <f t="shared" si="117"/>
        <v>1.4793129094733208</v>
      </c>
      <c r="H7469" s="35"/>
      <c r="P7469" s="6"/>
    </row>
    <row r="7470" spans="1:16" ht="14.4" x14ac:dyDescent="0.25">
      <c r="A7470" s="6">
        <v>5254</v>
      </c>
      <c r="B7470" s="6">
        <v>37380</v>
      </c>
      <c r="C7470" s="19">
        <v>40634</v>
      </c>
      <c r="D7470" s="6" t="s">
        <v>30</v>
      </c>
      <c r="E7470" s="6">
        <f>IF((ISBLANK($B$1)),"",Sheet1!Q7482)</f>
        <v>5500</v>
      </c>
      <c r="F7470" s="20" t="s">
        <v>26</v>
      </c>
      <c r="G7470" s="53">
        <f t="shared" si="117"/>
        <v>1.1340743412959351</v>
      </c>
      <c r="H7470" s="35"/>
      <c r="P7470" s="6"/>
    </row>
    <row r="7471" spans="1:16" ht="14.4" x14ac:dyDescent="0.25">
      <c r="A7471" s="6">
        <v>5264</v>
      </c>
      <c r="B7471" s="6">
        <v>37445</v>
      </c>
      <c r="C7471" s="19">
        <v>40957</v>
      </c>
      <c r="D7471" s="6" t="s">
        <v>17</v>
      </c>
      <c r="E7471" s="6">
        <f>IF((ISBLANK($B$1)),"",Sheet1!Q7483)</f>
        <v>5250</v>
      </c>
      <c r="F7471" s="20" t="s">
        <v>26</v>
      </c>
      <c r="G7471" s="53">
        <f t="shared" si="117"/>
        <v>0.78883577311854924</v>
      </c>
      <c r="H7471" s="35"/>
      <c r="P7471" s="6"/>
    </row>
    <row r="7472" spans="1:16" ht="14.4" x14ac:dyDescent="0.25">
      <c r="A7472" s="6">
        <v>5373</v>
      </c>
      <c r="B7472" s="6">
        <v>38212</v>
      </c>
      <c r="C7472" s="19">
        <v>40637</v>
      </c>
      <c r="D7472" s="6" t="s">
        <v>16</v>
      </c>
      <c r="E7472" s="6">
        <f>IF((ISBLANK($B$1)),"",Sheet1!Q7484)</f>
        <v>4600</v>
      </c>
      <c r="F7472" s="20" t="s">
        <v>26</v>
      </c>
      <c r="G7472" s="53">
        <f t="shared" si="117"/>
        <v>-0.108784504142654</v>
      </c>
      <c r="H7472" s="35"/>
      <c r="P7472" s="6"/>
    </row>
    <row r="7473" spans="1:16" ht="14.4" x14ac:dyDescent="0.25">
      <c r="A7473" s="6">
        <v>5374</v>
      </c>
      <c r="B7473" s="6">
        <v>38212</v>
      </c>
      <c r="C7473" s="19">
        <v>40637</v>
      </c>
      <c r="D7473" s="6" t="s">
        <v>16</v>
      </c>
      <c r="E7473" s="6">
        <f>IF((ISBLANK($B$1)),"",Sheet1!Q7485)</f>
        <v>5700</v>
      </c>
      <c r="F7473" s="20" t="s">
        <v>26</v>
      </c>
      <c r="G7473" s="53">
        <f t="shared" si="117"/>
        <v>1.4102651958378438</v>
      </c>
      <c r="H7473" s="35"/>
      <c r="P7473" s="6"/>
    </row>
    <row r="7474" spans="1:16" ht="14.4" x14ac:dyDescent="0.25">
      <c r="A7474" s="6">
        <v>5375</v>
      </c>
      <c r="B7474" s="6">
        <v>38212</v>
      </c>
      <c r="C7474" s="19">
        <v>40637</v>
      </c>
      <c r="D7474" s="6" t="s">
        <v>16</v>
      </c>
      <c r="E7474" s="6">
        <f>IF((ISBLANK($B$1)),"",Sheet1!Q7486)</f>
        <v>5300</v>
      </c>
      <c r="F7474" s="20" t="s">
        <v>27</v>
      </c>
      <c r="G7474" s="53">
        <f t="shared" si="117"/>
        <v>0.85788348675402637</v>
      </c>
      <c r="H7474" s="35"/>
      <c r="P7474" s="6"/>
    </row>
    <row r="7475" spans="1:16" ht="14.4" x14ac:dyDescent="0.25">
      <c r="A7475" s="6">
        <v>5378</v>
      </c>
      <c r="B7475" s="6">
        <v>38240</v>
      </c>
      <c r="C7475" s="19">
        <v>40166</v>
      </c>
      <c r="D7475" s="6" t="s">
        <v>17</v>
      </c>
      <c r="E7475" s="6">
        <f>IF((ISBLANK($B$1)),"",Sheet1!Q7487)</f>
        <v>5500</v>
      </c>
      <c r="F7475" s="20" t="s">
        <v>27</v>
      </c>
      <c r="G7475" s="53">
        <f t="shared" si="117"/>
        <v>1.1340743412959351</v>
      </c>
      <c r="H7475" s="35"/>
      <c r="P7475" s="6"/>
    </row>
    <row r="7476" spans="1:16" ht="14.4" x14ac:dyDescent="0.25">
      <c r="A7476" s="6">
        <v>5447</v>
      </c>
      <c r="B7476" s="6">
        <v>38661</v>
      </c>
      <c r="C7476" s="19">
        <v>40951</v>
      </c>
      <c r="D7476" s="6" t="s">
        <v>17</v>
      </c>
      <c r="E7476" s="6">
        <f>IF((ISBLANK($B$1)),"",Sheet1!Q7488)</f>
        <v>5800</v>
      </c>
      <c r="F7476" s="20" t="s">
        <v>26</v>
      </c>
      <c r="G7476" s="53">
        <f t="shared" si="117"/>
        <v>1.5483606231087981</v>
      </c>
      <c r="H7476" s="35"/>
      <c r="P7476" s="6"/>
    </row>
    <row r="7477" spans="1:16" ht="14.4" x14ac:dyDescent="0.25">
      <c r="A7477" s="6">
        <v>5448</v>
      </c>
      <c r="B7477" s="6">
        <v>38661</v>
      </c>
      <c r="C7477" s="19">
        <v>40951</v>
      </c>
      <c r="D7477" s="6" t="s">
        <v>17</v>
      </c>
      <c r="E7477" s="6">
        <f>IF((ISBLANK($B$1)),"",Sheet1!Q7489)</f>
        <v>3700</v>
      </c>
      <c r="F7477" s="20" t="s">
        <v>27</v>
      </c>
      <c r="G7477" s="53">
        <f t="shared" si="117"/>
        <v>-1.351643349581243</v>
      </c>
      <c r="H7477" s="35"/>
      <c r="P7477" s="6"/>
    </row>
    <row r="7478" spans="1:16" ht="14.4" x14ac:dyDescent="0.25">
      <c r="A7478" s="6">
        <v>5516</v>
      </c>
      <c r="B7478" s="6">
        <v>39110</v>
      </c>
      <c r="C7478" s="19">
        <v>40214</v>
      </c>
      <c r="D7478" s="6" t="s">
        <v>16</v>
      </c>
      <c r="E7478" s="6">
        <f>IF((ISBLANK($B$1)),"",Sheet1!Q7490)</f>
        <v>4100</v>
      </c>
      <c r="F7478" s="20" t="s">
        <v>29</v>
      </c>
      <c r="G7478" s="53">
        <f t="shared" si="117"/>
        <v>-0.79926164049742576</v>
      </c>
      <c r="H7478" s="35"/>
      <c r="P7478" s="6"/>
    </row>
    <row r="7479" spans="1:16" ht="14.4" x14ac:dyDescent="0.25">
      <c r="A7479" s="6">
        <v>5537</v>
      </c>
      <c r="B7479" s="6">
        <v>39235</v>
      </c>
      <c r="C7479" s="19">
        <v>40373</v>
      </c>
      <c r="D7479" s="6" t="s">
        <v>16</v>
      </c>
      <c r="E7479" s="6">
        <f>IF((ISBLANK($B$1)),"",Sheet1!Q7491)</f>
        <v>5100</v>
      </c>
      <c r="F7479" s="20" t="s">
        <v>26</v>
      </c>
      <c r="G7479" s="53">
        <f t="shared" si="117"/>
        <v>0.58169263221211776</v>
      </c>
      <c r="H7479" s="35"/>
      <c r="P7479" s="6"/>
    </row>
    <row r="7480" spans="1:16" ht="14.4" x14ac:dyDescent="0.25">
      <c r="A7480" s="6">
        <v>5548</v>
      </c>
      <c r="B7480" s="6">
        <v>39270</v>
      </c>
      <c r="C7480" s="19">
        <v>40580</v>
      </c>
      <c r="D7480" s="6" t="s">
        <v>17</v>
      </c>
      <c r="E7480" s="6">
        <f>IF((ISBLANK($B$1)),"",Sheet1!Q7492)</f>
        <v>3950</v>
      </c>
      <c r="F7480" s="20" t="s">
        <v>26</v>
      </c>
      <c r="G7480" s="53">
        <f t="shared" si="117"/>
        <v>-1.0064047814038573</v>
      </c>
      <c r="H7480" s="35"/>
      <c r="P7480" s="6"/>
    </row>
    <row r="7481" spans="1:16" ht="14.4" x14ac:dyDescent="0.25">
      <c r="A7481" s="6">
        <v>5582</v>
      </c>
      <c r="B7481" s="6">
        <v>39586</v>
      </c>
      <c r="C7481" s="19">
        <v>40682</v>
      </c>
      <c r="D7481" s="6" t="s">
        <v>28</v>
      </c>
      <c r="E7481" s="6">
        <f>IF((ISBLANK($B$1)),"",Sheet1!Q7493)</f>
        <v>3450</v>
      </c>
      <c r="F7481" s="20" t="s">
        <v>26</v>
      </c>
      <c r="G7481" s="53">
        <f t="shared" si="117"/>
        <v>-1.696881917758629</v>
      </c>
      <c r="H7481" s="35"/>
      <c r="P7481" s="6"/>
    </row>
    <row r="7482" spans="1:16" ht="14.4" x14ac:dyDescent="0.25">
      <c r="A7482" s="6">
        <v>5620</v>
      </c>
      <c r="B7482" s="6">
        <v>39812</v>
      </c>
      <c r="C7482" s="19">
        <v>39984</v>
      </c>
      <c r="D7482" s="6" t="s">
        <v>28</v>
      </c>
      <c r="E7482" s="6">
        <f>IF((ISBLANK($B$1)),"",Sheet1!Q7494)</f>
        <v>5400</v>
      </c>
      <c r="F7482" s="20" t="s">
        <v>26</v>
      </c>
      <c r="G7482" s="53">
        <f t="shared" si="117"/>
        <v>0.99597891402498073</v>
      </c>
      <c r="H7482" s="35"/>
      <c r="P7482" s="6"/>
    </row>
    <row r="7483" spans="1:16" ht="14.4" x14ac:dyDescent="0.25">
      <c r="A7483" s="6">
        <v>5731</v>
      </c>
      <c r="B7483" s="6">
        <v>40673</v>
      </c>
      <c r="C7483" s="19">
        <v>40956</v>
      </c>
      <c r="D7483" s="6" t="s">
        <v>25</v>
      </c>
      <c r="E7483" s="6">
        <f>IF((ISBLANK($B$1)),"",Sheet1!Q7495)</f>
        <v>4100</v>
      </c>
      <c r="F7483" s="20" t="s">
        <v>26</v>
      </c>
      <c r="G7483" s="53">
        <f t="shared" si="117"/>
        <v>-0.79926164049742576</v>
      </c>
      <c r="H7483" s="35"/>
      <c r="P7483" s="6"/>
    </row>
    <row r="7484" spans="1:16" ht="14.4" x14ac:dyDescent="0.25">
      <c r="A7484" s="6">
        <v>5837</v>
      </c>
      <c r="B7484" s="6">
        <v>41413</v>
      </c>
      <c r="C7484" s="19">
        <v>40863</v>
      </c>
      <c r="D7484" s="6" t="s">
        <v>25</v>
      </c>
      <c r="E7484" s="6">
        <f>IF((ISBLANK($B$1)),"",Sheet1!Q7496)</f>
        <v>4250</v>
      </c>
      <c r="F7484" s="20" t="s">
        <v>27</v>
      </c>
      <c r="G7484" s="53">
        <f t="shared" si="117"/>
        <v>-0.59211849959099416</v>
      </c>
      <c r="H7484" s="35"/>
      <c r="P7484" s="6"/>
    </row>
    <row r="7485" spans="1:16" ht="14.4" x14ac:dyDescent="0.25">
      <c r="A7485" s="6">
        <v>5838</v>
      </c>
      <c r="B7485" s="6">
        <v>41413</v>
      </c>
      <c r="C7485" s="19">
        <v>40863</v>
      </c>
      <c r="D7485" s="6" t="s">
        <v>25</v>
      </c>
      <c r="E7485" s="6">
        <f>IF((ISBLANK($B$1)),"",Sheet1!Q7497)</f>
        <v>5700</v>
      </c>
      <c r="F7485" s="20" t="s">
        <v>29</v>
      </c>
      <c r="G7485" s="53">
        <f t="shared" si="117"/>
        <v>1.4102651958378438</v>
      </c>
      <c r="H7485" s="35"/>
      <c r="P7485" s="6"/>
    </row>
    <row r="7486" spans="1:16" ht="14.4" x14ac:dyDescent="0.25">
      <c r="A7486" s="6">
        <v>5839</v>
      </c>
      <c r="B7486" s="6">
        <v>41413</v>
      </c>
      <c r="C7486" s="19">
        <v>40863</v>
      </c>
      <c r="D7486" s="6" t="s">
        <v>25</v>
      </c>
      <c r="E7486" s="6">
        <f>IF((ISBLANK($B$1)),"",Sheet1!Q7498)</f>
        <v>4550</v>
      </c>
      <c r="F7486" s="20" t="s">
        <v>26</v>
      </c>
      <c r="G7486" s="53">
        <f t="shared" si="117"/>
        <v>-0.17783221777813119</v>
      </c>
      <c r="H7486" s="35"/>
      <c r="P7486" s="6"/>
    </row>
    <row r="7487" spans="1:16" ht="14.4" x14ac:dyDescent="0.25">
      <c r="A7487" s="6">
        <v>5895</v>
      </c>
      <c r="B7487" s="6">
        <v>41824</v>
      </c>
      <c r="C7487" s="19">
        <v>40363</v>
      </c>
      <c r="D7487" s="6" t="s">
        <v>28</v>
      </c>
      <c r="E7487" s="6">
        <f>IF((ISBLANK($B$1)),"",Sheet1!Q7499)</f>
        <v>3800</v>
      </c>
      <c r="F7487" s="20" t="s">
        <v>26</v>
      </c>
      <c r="G7487" s="53">
        <f t="shared" si="117"/>
        <v>-1.2135479223102887</v>
      </c>
      <c r="H7487" s="35"/>
      <c r="P7487" s="6"/>
    </row>
    <row r="7488" spans="1:16" ht="14.4" x14ac:dyDescent="0.25">
      <c r="A7488" s="6">
        <v>5896</v>
      </c>
      <c r="B7488" s="6">
        <v>41824</v>
      </c>
      <c r="C7488" s="19">
        <v>40363</v>
      </c>
      <c r="D7488" s="6" t="s">
        <v>28</v>
      </c>
      <c r="E7488" s="6">
        <f>IF((ISBLANK($B$1)),"",Sheet1!Q7500)</f>
        <v>5050</v>
      </c>
      <c r="F7488" s="20" t="s">
        <v>26</v>
      </c>
      <c r="G7488" s="53">
        <f t="shared" si="117"/>
        <v>0.51264491857664052</v>
      </c>
      <c r="H7488" s="35"/>
      <c r="P7488" s="6"/>
    </row>
    <row r="7489" spans="1:16" ht="14.4" x14ac:dyDescent="0.25">
      <c r="A7489" s="6">
        <v>6015</v>
      </c>
      <c r="B7489" s="6">
        <v>42628</v>
      </c>
      <c r="C7489" s="19">
        <v>40668</v>
      </c>
      <c r="D7489" s="6" t="s">
        <v>28</v>
      </c>
      <c r="E7489" s="6">
        <f>IF((ISBLANK($B$1)),"",Sheet1!Q7501)</f>
        <v>3600</v>
      </c>
      <c r="F7489" s="20" t="s">
        <v>29</v>
      </c>
      <c r="G7489" s="53">
        <f t="shared" si="117"/>
        <v>-1.4897387768521975</v>
      </c>
      <c r="H7489" s="35"/>
      <c r="P7489" s="6"/>
    </row>
    <row r="7490" spans="1:16" ht="14.4" x14ac:dyDescent="0.25">
      <c r="A7490" s="6">
        <v>6030</v>
      </c>
      <c r="B7490" s="6">
        <v>42722</v>
      </c>
      <c r="C7490" s="19">
        <v>41189</v>
      </c>
      <c r="D7490" s="6" t="s">
        <v>28</v>
      </c>
      <c r="E7490" s="6">
        <f>IF((ISBLANK($B$1)),"",Sheet1!Q7502)</f>
        <v>4550</v>
      </c>
      <c r="F7490" s="20" t="s">
        <v>26</v>
      </c>
      <c r="G7490" s="53">
        <f t="shared" si="117"/>
        <v>-0.17783221777813119</v>
      </c>
      <c r="H7490" s="35"/>
      <c r="P7490" s="6"/>
    </row>
    <row r="7491" spans="1:16" ht="14.4" x14ac:dyDescent="0.25">
      <c r="A7491" s="6">
        <v>6031</v>
      </c>
      <c r="B7491" s="6">
        <v>42722</v>
      </c>
      <c r="C7491" s="19">
        <v>41189</v>
      </c>
      <c r="D7491" s="6" t="s">
        <v>28</v>
      </c>
      <c r="E7491" s="6">
        <f>IF((ISBLANK($B$1)),"",Sheet1!Q7503)</f>
        <v>3500</v>
      </c>
      <c r="F7491" s="20" t="s">
        <v>29</v>
      </c>
      <c r="G7491" s="53">
        <f t="shared" si="117"/>
        <v>-1.6278342041231517</v>
      </c>
      <c r="H7491" s="35"/>
      <c r="P7491" s="6"/>
    </row>
    <row r="7492" spans="1:16" ht="14.4" x14ac:dyDescent="0.25">
      <c r="A7492" s="6">
        <v>6035</v>
      </c>
      <c r="B7492" s="6">
        <v>42753</v>
      </c>
      <c r="C7492" s="19">
        <v>40926</v>
      </c>
      <c r="D7492" s="6" t="s">
        <v>16</v>
      </c>
      <c r="E7492" s="6">
        <f>IF((ISBLANK($B$1)),"",Sheet1!Q7504)</f>
        <v>5650</v>
      </c>
      <c r="F7492" s="20" t="s">
        <v>27</v>
      </c>
      <c r="G7492" s="53">
        <f t="shared" si="117"/>
        <v>1.3412174822023666</v>
      </c>
      <c r="H7492" s="35"/>
      <c r="P7492" s="6"/>
    </row>
    <row r="7493" spans="1:16" ht="14.4" x14ac:dyDescent="0.25">
      <c r="A7493" s="6">
        <v>6073</v>
      </c>
      <c r="B7493" s="6">
        <v>43013</v>
      </c>
      <c r="C7493" s="19">
        <v>40655</v>
      </c>
      <c r="D7493" s="6" t="s">
        <v>25</v>
      </c>
      <c r="E7493" s="6">
        <f>IF((ISBLANK($B$1)),"",Sheet1!Q7505)</f>
        <v>5550</v>
      </c>
      <c r="F7493" s="20" t="s">
        <v>26</v>
      </c>
      <c r="G7493" s="53">
        <f t="shared" si="117"/>
        <v>1.2031220549314123</v>
      </c>
      <c r="H7493" s="35"/>
      <c r="P7493" s="6"/>
    </row>
    <row r="7494" spans="1:16" ht="14.4" x14ac:dyDescent="0.25">
      <c r="A7494" s="6">
        <v>6238</v>
      </c>
      <c r="B7494" s="6">
        <v>44198</v>
      </c>
      <c r="C7494" s="19">
        <v>40547</v>
      </c>
      <c r="D7494" s="6" t="s">
        <v>30</v>
      </c>
      <c r="E7494" s="6">
        <f>IF((ISBLANK($B$1)),"",Sheet1!Q7506)</f>
        <v>5150</v>
      </c>
      <c r="F7494" s="20" t="s">
        <v>27</v>
      </c>
      <c r="G7494" s="53">
        <f t="shared" si="117"/>
        <v>0.65074034584759488</v>
      </c>
      <c r="H7494" s="35"/>
      <c r="P7494" s="6"/>
    </row>
    <row r="7495" spans="1:16" ht="14.4" x14ac:dyDescent="0.25">
      <c r="A7495" s="6">
        <v>6281</v>
      </c>
      <c r="B7495" s="6">
        <v>44451</v>
      </c>
      <c r="C7495" s="19">
        <v>40797</v>
      </c>
      <c r="D7495" s="6" t="s">
        <v>25</v>
      </c>
      <c r="E7495" s="6">
        <f>IF((ISBLANK($B$1)),"",Sheet1!Q7507)</f>
        <v>3600</v>
      </c>
      <c r="F7495" s="20" t="s">
        <v>26</v>
      </c>
      <c r="G7495" s="53">
        <f t="shared" si="117"/>
        <v>-1.4897387768521975</v>
      </c>
      <c r="H7495" s="35"/>
      <c r="P7495" s="6"/>
    </row>
    <row r="7496" spans="1:16" ht="14.4" x14ac:dyDescent="0.25">
      <c r="A7496" s="6">
        <v>6296</v>
      </c>
      <c r="B7496" s="6">
        <v>44576</v>
      </c>
      <c r="C7496" s="19">
        <v>40172</v>
      </c>
      <c r="D7496" s="6" t="s">
        <v>28</v>
      </c>
      <c r="E7496" s="6">
        <f>IF((ISBLANK($B$1)),"",Sheet1!Q7508)</f>
        <v>4900</v>
      </c>
      <c r="F7496" s="20" t="s">
        <v>27</v>
      </c>
      <c r="G7496" s="53">
        <f t="shared" ref="G7496:G7559" si="118">STANDARDIZE(E7496,$L$26,$L$35)</f>
        <v>0.30550177767020903</v>
      </c>
      <c r="H7496" s="35"/>
      <c r="P7496" s="6"/>
    </row>
    <row r="7497" spans="1:16" ht="14.4" x14ac:dyDescent="0.25">
      <c r="A7497" s="6">
        <v>6327</v>
      </c>
      <c r="B7497" s="6">
        <v>44834</v>
      </c>
      <c r="C7497" s="19">
        <v>39923</v>
      </c>
      <c r="D7497" s="6" t="s">
        <v>16</v>
      </c>
      <c r="E7497" s="6">
        <f>IF((ISBLANK($B$1)),"",Sheet1!Q7509)</f>
        <v>4050</v>
      </c>
      <c r="F7497" s="20" t="s">
        <v>26</v>
      </c>
      <c r="G7497" s="53">
        <f t="shared" si="118"/>
        <v>-0.86830935413290289</v>
      </c>
      <c r="H7497" s="35"/>
      <c r="P7497" s="6"/>
    </row>
    <row r="7498" spans="1:16" ht="14.4" x14ac:dyDescent="0.25">
      <c r="A7498" s="6">
        <v>6328</v>
      </c>
      <c r="B7498" s="6">
        <v>44834</v>
      </c>
      <c r="C7498" s="19">
        <v>39923</v>
      </c>
      <c r="D7498" s="6" t="s">
        <v>16</v>
      </c>
      <c r="E7498" s="6">
        <f>IF((ISBLANK($B$1)),"",Sheet1!Q7510)</f>
        <v>5550</v>
      </c>
      <c r="F7498" s="20" t="s">
        <v>29</v>
      </c>
      <c r="G7498" s="53">
        <f t="shared" si="118"/>
        <v>1.2031220549314123</v>
      </c>
      <c r="H7498" s="35"/>
      <c r="P7498" s="6"/>
    </row>
    <row r="7499" spans="1:16" ht="14.4" x14ac:dyDescent="0.25">
      <c r="A7499" s="6">
        <v>6473</v>
      </c>
      <c r="B7499" s="6">
        <v>46053</v>
      </c>
      <c r="C7499" s="19">
        <v>41165</v>
      </c>
      <c r="D7499" s="6" t="s">
        <v>17</v>
      </c>
      <c r="E7499" s="6">
        <f>IF((ISBLANK($B$1)),"",Sheet1!Q7511)</f>
        <v>4950</v>
      </c>
      <c r="F7499" s="20" t="s">
        <v>27</v>
      </c>
      <c r="G7499" s="53">
        <f t="shared" si="118"/>
        <v>0.37454949130568621</v>
      </c>
      <c r="H7499" s="35"/>
      <c r="P7499" s="6"/>
    </row>
    <row r="7500" spans="1:16" ht="14.4" x14ac:dyDescent="0.25">
      <c r="A7500" s="6">
        <v>6654</v>
      </c>
      <c r="B7500" s="6">
        <v>47329</v>
      </c>
      <c r="C7500" s="19">
        <v>40219</v>
      </c>
      <c r="D7500" s="6" t="s">
        <v>25</v>
      </c>
      <c r="E7500" s="6">
        <f>IF((ISBLANK($B$1)),"",Sheet1!Q7512)</f>
        <v>3500</v>
      </c>
      <c r="F7500" s="20" t="s">
        <v>26</v>
      </c>
      <c r="G7500" s="53">
        <f t="shared" si="118"/>
        <v>-1.6278342041231517</v>
      </c>
      <c r="H7500" s="35"/>
      <c r="P7500" s="6"/>
    </row>
    <row r="7501" spans="1:16" ht="14.4" x14ac:dyDescent="0.25">
      <c r="A7501" s="6">
        <v>6655</v>
      </c>
      <c r="B7501" s="6">
        <v>47329</v>
      </c>
      <c r="C7501" s="19">
        <v>40219</v>
      </c>
      <c r="D7501" s="6" t="s">
        <v>25</v>
      </c>
      <c r="E7501" s="6">
        <f>IF((ISBLANK($B$1)),"",Sheet1!Q7513)</f>
        <v>4200</v>
      </c>
      <c r="F7501" s="20" t="s">
        <v>26</v>
      </c>
      <c r="G7501" s="53">
        <f t="shared" si="118"/>
        <v>-0.6611662132264714</v>
      </c>
      <c r="H7501" s="35"/>
      <c r="P7501" s="6"/>
    </row>
    <row r="7502" spans="1:16" ht="14.4" x14ac:dyDescent="0.25">
      <c r="A7502" s="6">
        <v>6666</v>
      </c>
      <c r="B7502" s="6">
        <v>47461</v>
      </c>
      <c r="C7502" s="19">
        <v>40293</v>
      </c>
      <c r="D7502" s="6" t="s">
        <v>17</v>
      </c>
      <c r="E7502" s="6">
        <f>IF((ISBLANK($B$1)),"",Sheet1!Q7514)</f>
        <v>5350</v>
      </c>
      <c r="F7502" s="20" t="s">
        <v>26</v>
      </c>
      <c r="G7502" s="53">
        <f t="shared" si="118"/>
        <v>0.92693120038950361</v>
      </c>
      <c r="H7502" s="35"/>
      <c r="P7502" s="6"/>
    </row>
    <row r="7503" spans="1:16" ht="14.4" x14ac:dyDescent="0.25">
      <c r="A7503" s="6">
        <v>6667</v>
      </c>
      <c r="B7503" s="6">
        <v>47461</v>
      </c>
      <c r="C7503" s="19">
        <v>40293</v>
      </c>
      <c r="D7503" s="6" t="s">
        <v>17</v>
      </c>
      <c r="E7503" s="6">
        <f>IF((ISBLANK($B$1)),"",Sheet1!Q7515)</f>
        <v>5100</v>
      </c>
      <c r="F7503" s="20" t="s">
        <v>26</v>
      </c>
      <c r="G7503" s="53">
        <f t="shared" si="118"/>
        <v>0.58169263221211776</v>
      </c>
      <c r="H7503" s="35"/>
      <c r="P7503" s="6"/>
    </row>
    <row r="7504" spans="1:16" ht="14.4" x14ac:dyDescent="0.25">
      <c r="A7504" s="6">
        <v>6668</v>
      </c>
      <c r="B7504" s="6">
        <v>47461</v>
      </c>
      <c r="C7504" s="19">
        <v>40293</v>
      </c>
      <c r="D7504" s="6" t="s">
        <v>17</v>
      </c>
      <c r="E7504" s="6">
        <f>IF((ISBLANK($B$1)),"",Sheet1!Q7516)</f>
        <v>5650</v>
      </c>
      <c r="F7504" s="20" t="s">
        <v>26</v>
      </c>
      <c r="G7504" s="53">
        <f t="shared" si="118"/>
        <v>1.3412174822023666</v>
      </c>
      <c r="H7504" s="35"/>
      <c r="P7504" s="6"/>
    </row>
    <row r="7505" spans="1:16" ht="14.4" x14ac:dyDescent="0.25">
      <c r="A7505" s="6">
        <v>6682</v>
      </c>
      <c r="B7505" s="6">
        <v>47525</v>
      </c>
      <c r="C7505" s="19">
        <v>40605</v>
      </c>
      <c r="D7505" s="6" t="s">
        <v>16</v>
      </c>
      <c r="E7505" s="6">
        <f>IF((ISBLANK($B$1)),"",Sheet1!Q7517)</f>
        <v>5400</v>
      </c>
      <c r="F7505" s="20" t="s">
        <v>27</v>
      </c>
      <c r="G7505" s="53">
        <f t="shared" si="118"/>
        <v>0.99597891402498073</v>
      </c>
      <c r="H7505" s="35"/>
      <c r="P7505" s="6"/>
    </row>
    <row r="7506" spans="1:16" ht="14.4" x14ac:dyDescent="0.25">
      <c r="A7506" s="6">
        <v>6854</v>
      </c>
      <c r="B7506" s="6">
        <v>48803</v>
      </c>
      <c r="C7506" s="19">
        <v>41222</v>
      </c>
      <c r="D7506" s="6" t="s">
        <v>30</v>
      </c>
      <c r="E7506" s="6">
        <f>IF((ISBLANK($B$1)),"",Sheet1!Q7518)</f>
        <v>4350</v>
      </c>
      <c r="F7506" s="20" t="s">
        <v>26</v>
      </c>
      <c r="G7506" s="53">
        <f t="shared" si="118"/>
        <v>-0.45402307232003986</v>
      </c>
      <c r="H7506" s="35"/>
      <c r="P7506" s="6"/>
    </row>
    <row r="7507" spans="1:16" ht="14.4" x14ac:dyDescent="0.25">
      <c r="A7507" s="6">
        <v>6878</v>
      </c>
      <c r="B7507" s="6">
        <v>49027</v>
      </c>
      <c r="C7507" s="19">
        <v>40644</v>
      </c>
      <c r="D7507" s="6" t="s">
        <v>17</v>
      </c>
      <c r="E7507" s="6">
        <f>IF((ISBLANK($B$1)),"",Sheet1!Q7519)</f>
        <v>5450</v>
      </c>
      <c r="F7507" s="20" t="s">
        <v>29</v>
      </c>
      <c r="G7507" s="53">
        <f t="shared" si="118"/>
        <v>1.0650266276604579</v>
      </c>
      <c r="H7507" s="35"/>
      <c r="P7507" s="6"/>
    </row>
    <row r="7508" spans="1:16" ht="14.4" x14ac:dyDescent="0.25">
      <c r="A7508" s="6">
        <v>7124</v>
      </c>
      <c r="B7508" s="6">
        <v>50822</v>
      </c>
      <c r="C7508" s="19">
        <v>40946</v>
      </c>
      <c r="D7508" s="6" t="s">
        <v>16</v>
      </c>
      <c r="E7508" s="6">
        <f>IF((ISBLANK($B$1)),"",Sheet1!Q7520)</f>
        <v>3700</v>
      </c>
      <c r="F7508" s="20" t="s">
        <v>29</v>
      </c>
      <c r="G7508" s="53">
        <f t="shared" si="118"/>
        <v>-1.351643349581243</v>
      </c>
      <c r="H7508" s="35"/>
      <c r="P7508" s="6"/>
    </row>
    <row r="7509" spans="1:16" ht="14.4" x14ac:dyDescent="0.25">
      <c r="A7509" s="6">
        <v>7125</v>
      </c>
      <c r="B7509" s="6">
        <v>50822</v>
      </c>
      <c r="C7509" s="19">
        <v>40946</v>
      </c>
      <c r="D7509" s="6" t="s">
        <v>16</v>
      </c>
      <c r="E7509" s="6">
        <f>IF((ISBLANK($B$1)),"",Sheet1!Q7521)</f>
        <v>5250</v>
      </c>
      <c r="F7509" s="20" t="s">
        <v>27</v>
      </c>
      <c r="G7509" s="53">
        <f t="shared" si="118"/>
        <v>0.78883577311854924</v>
      </c>
      <c r="H7509" s="35"/>
      <c r="P7509" s="6"/>
    </row>
    <row r="7510" spans="1:16" ht="14.4" x14ac:dyDescent="0.25">
      <c r="A7510" s="6">
        <v>7251</v>
      </c>
      <c r="B7510" s="6">
        <v>51714</v>
      </c>
      <c r="C7510" s="19">
        <v>40061</v>
      </c>
      <c r="D7510" s="6" t="s">
        <v>28</v>
      </c>
      <c r="E7510" s="6">
        <f>IF((ISBLANK($B$1)),"",Sheet1!Q7522)</f>
        <v>5050</v>
      </c>
      <c r="F7510" s="20" t="s">
        <v>26</v>
      </c>
      <c r="G7510" s="53">
        <f t="shared" si="118"/>
        <v>0.51264491857664052</v>
      </c>
      <c r="H7510" s="35"/>
      <c r="P7510" s="6"/>
    </row>
    <row r="7511" spans="1:16" ht="14.4" x14ac:dyDescent="0.25">
      <c r="A7511" s="6">
        <v>7264</v>
      </c>
      <c r="B7511" s="6">
        <v>51815</v>
      </c>
      <c r="C7511" s="19">
        <v>39959</v>
      </c>
      <c r="D7511" s="6" t="s">
        <v>25</v>
      </c>
      <c r="E7511" s="6">
        <f>IF((ISBLANK($B$1)),"",Sheet1!Q7523)</f>
        <v>5250</v>
      </c>
      <c r="F7511" s="20" t="s">
        <v>26</v>
      </c>
      <c r="G7511" s="53">
        <f t="shared" si="118"/>
        <v>0.78883577311854924</v>
      </c>
      <c r="H7511" s="35"/>
      <c r="P7511" s="6"/>
    </row>
    <row r="7512" spans="1:16" ht="14.4" x14ac:dyDescent="0.25">
      <c r="A7512" s="6">
        <v>7265</v>
      </c>
      <c r="B7512" s="6">
        <v>51815</v>
      </c>
      <c r="C7512" s="19">
        <v>39959</v>
      </c>
      <c r="D7512" s="6" t="s">
        <v>25</v>
      </c>
      <c r="E7512" s="6">
        <f>IF((ISBLANK($B$1)),"",Sheet1!Q7524)</f>
        <v>4450</v>
      </c>
      <c r="F7512" s="20" t="s">
        <v>27</v>
      </c>
      <c r="G7512" s="53">
        <f t="shared" si="118"/>
        <v>-0.31592764504908549</v>
      </c>
      <c r="H7512" s="35"/>
      <c r="P7512" s="6"/>
    </row>
    <row r="7513" spans="1:16" ht="14.4" x14ac:dyDescent="0.25">
      <c r="A7513" s="6">
        <v>7275</v>
      </c>
      <c r="B7513" s="6">
        <v>51906</v>
      </c>
      <c r="C7513" s="19">
        <v>40787</v>
      </c>
      <c r="D7513" s="6" t="s">
        <v>17</v>
      </c>
      <c r="E7513" s="6">
        <f>IF((ISBLANK($B$1)),"",Sheet1!Q7525)</f>
        <v>4600</v>
      </c>
      <c r="F7513" s="20" t="s">
        <v>27</v>
      </c>
      <c r="G7513" s="53">
        <f t="shared" si="118"/>
        <v>-0.108784504142654</v>
      </c>
      <c r="H7513" s="35"/>
      <c r="P7513" s="6"/>
    </row>
    <row r="7514" spans="1:16" ht="14.4" x14ac:dyDescent="0.25">
      <c r="A7514" s="6">
        <v>7309</v>
      </c>
      <c r="B7514" s="6">
        <v>52128</v>
      </c>
      <c r="C7514" s="19">
        <v>40504</v>
      </c>
      <c r="D7514" s="6" t="s">
        <v>28</v>
      </c>
      <c r="E7514" s="6">
        <f>IF((ISBLANK($B$1)),"",Sheet1!Q7526)</f>
        <v>3950</v>
      </c>
      <c r="F7514" s="20" t="s">
        <v>27</v>
      </c>
      <c r="G7514" s="53">
        <f t="shared" si="118"/>
        <v>-1.0064047814038573</v>
      </c>
      <c r="H7514" s="35"/>
      <c r="P7514" s="6"/>
    </row>
    <row r="7515" spans="1:16" ht="14.4" x14ac:dyDescent="0.25">
      <c r="A7515" s="6">
        <v>7392</v>
      </c>
      <c r="B7515" s="6">
        <v>52675</v>
      </c>
      <c r="C7515" s="19">
        <v>40826</v>
      </c>
      <c r="D7515" s="6" t="s">
        <v>16</v>
      </c>
      <c r="E7515" s="6">
        <f>IF((ISBLANK($B$1)),"",Sheet1!Q7527)</f>
        <v>3600</v>
      </c>
      <c r="F7515" s="20" t="s">
        <v>27</v>
      </c>
      <c r="G7515" s="53">
        <f t="shared" si="118"/>
        <v>-1.4897387768521975</v>
      </c>
      <c r="H7515" s="35"/>
      <c r="P7515" s="6"/>
    </row>
    <row r="7516" spans="1:16" ht="14.4" x14ac:dyDescent="0.25">
      <c r="A7516" s="6">
        <v>7393</v>
      </c>
      <c r="B7516" s="6">
        <v>52675</v>
      </c>
      <c r="C7516" s="19">
        <v>40826</v>
      </c>
      <c r="D7516" s="6" t="s">
        <v>16</v>
      </c>
      <c r="E7516" s="6">
        <f>IF((ISBLANK($B$1)),"",Sheet1!Q7528)</f>
        <v>4500</v>
      </c>
      <c r="F7516" s="20" t="s">
        <v>26</v>
      </c>
      <c r="G7516" s="53">
        <f t="shared" si="118"/>
        <v>-0.24687993141360834</v>
      </c>
      <c r="H7516" s="35"/>
      <c r="P7516" s="6"/>
    </row>
    <row r="7517" spans="1:16" ht="14.4" x14ac:dyDescent="0.25">
      <c r="A7517" s="6">
        <v>7455</v>
      </c>
      <c r="B7517" s="6">
        <v>53189</v>
      </c>
      <c r="C7517" s="19">
        <v>40778</v>
      </c>
      <c r="D7517" s="6" t="s">
        <v>30</v>
      </c>
      <c r="E7517" s="6">
        <f>IF((ISBLANK($B$1)),"",Sheet1!Q7529)</f>
        <v>4850</v>
      </c>
      <c r="F7517" s="20" t="s">
        <v>26</v>
      </c>
      <c r="G7517" s="53">
        <f t="shared" si="118"/>
        <v>0.23645406403473185</v>
      </c>
      <c r="H7517" s="35"/>
      <c r="P7517" s="6"/>
    </row>
    <row r="7518" spans="1:16" ht="14.4" x14ac:dyDescent="0.25">
      <c r="A7518" s="6">
        <v>7590</v>
      </c>
      <c r="B7518" s="6">
        <v>54307</v>
      </c>
      <c r="C7518" s="19">
        <v>40916</v>
      </c>
      <c r="D7518" s="6" t="s">
        <v>17</v>
      </c>
      <c r="E7518" s="6">
        <f>IF((ISBLANK($B$1)),"",Sheet1!Q7530)</f>
        <v>5450</v>
      </c>
      <c r="F7518" s="20" t="s">
        <v>26</v>
      </c>
      <c r="G7518" s="53">
        <f t="shared" si="118"/>
        <v>1.0650266276604579</v>
      </c>
      <c r="H7518" s="35"/>
      <c r="P7518" s="6"/>
    </row>
    <row r="7519" spans="1:16" ht="14.4" x14ac:dyDescent="0.25">
      <c r="A7519" s="6">
        <v>7661</v>
      </c>
      <c r="B7519" s="6">
        <v>54917</v>
      </c>
      <c r="C7519" s="19">
        <v>40277</v>
      </c>
      <c r="D7519" s="6" t="s">
        <v>17</v>
      </c>
      <c r="E7519" s="6">
        <f>IF((ISBLANK($B$1)),"",Sheet1!Q7531)</f>
        <v>4000</v>
      </c>
      <c r="F7519" s="20" t="s">
        <v>27</v>
      </c>
      <c r="G7519" s="53">
        <f t="shared" si="118"/>
        <v>-0.93735706776838001</v>
      </c>
      <c r="H7519" s="35"/>
      <c r="P7519" s="6"/>
    </row>
    <row r="7520" spans="1:16" ht="14.4" x14ac:dyDescent="0.25">
      <c r="A7520" s="6">
        <v>7965</v>
      </c>
      <c r="B7520" s="6">
        <v>56930</v>
      </c>
      <c r="C7520" s="19">
        <v>41138</v>
      </c>
      <c r="D7520" s="6" t="s">
        <v>25</v>
      </c>
      <c r="E7520" s="6">
        <f>IF((ISBLANK($B$1)),"",Sheet1!Q7532)</f>
        <v>5750</v>
      </c>
      <c r="F7520" s="20" t="s">
        <v>26</v>
      </c>
      <c r="G7520" s="53">
        <f t="shared" si="118"/>
        <v>1.4793129094733208</v>
      </c>
      <c r="H7520" s="35"/>
      <c r="P7520" s="6"/>
    </row>
    <row r="7521" spans="1:16" ht="14.4" x14ac:dyDescent="0.25">
      <c r="A7521" s="6">
        <v>8060</v>
      </c>
      <c r="B7521" s="6">
        <v>57511</v>
      </c>
      <c r="C7521" s="19">
        <v>40092</v>
      </c>
      <c r="D7521" s="6" t="s">
        <v>30</v>
      </c>
      <c r="E7521" s="6">
        <f>IF((ISBLANK($B$1)),"",Sheet1!Q7533)</f>
        <v>5000</v>
      </c>
      <c r="F7521" s="20" t="s">
        <v>26</v>
      </c>
      <c r="G7521" s="53">
        <f t="shared" si="118"/>
        <v>0.44359720494116334</v>
      </c>
      <c r="H7521" s="35"/>
      <c r="P7521" s="6"/>
    </row>
    <row r="7522" spans="1:16" ht="14.4" x14ac:dyDescent="0.25">
      <c r="A7522" s="6">
        <v>8061</v>
      </c>
      <c r="B7522" s="6">
        <v>57511</v>
      </c>
      <c r="C7522" s="19">
        <v>40092</v>
      </c>
      <c r="D7522" s="6" t="s">
        <v>30</v>
      </c>
      <c r="E7522" s="6">
        <f>IF((ISBLANK($B$1)),"",Sheet1!Q7534)</f>
        <v>3950</v>
      </c>
      <c r="F7522" s="20" t="s">
        <v>27</v>
      </c>
      <c r="G7522" s="53">
        <f t="shared" si="118"/>
        <v>-1.0064047814038573</v>
      </c>
      <c r="H7522" s="35"/>
      <c r="P7522" s="6"/>
    </row>
    <row r="7523" spans="1:16" ht="14.4" x14ac:dyDescent="0.25">
      <c r="A7523" s="6">
        <v>8106</v>
      </c>
      <c r="B7523" s="6">
        <v>57857</v>
      </c>
      <c r="C7523" s="19">
        <v>40299</v>
      </c>
      <c r="D7523" s="6" t="s">
        <v>17</v>
      </c>
      <c r="E7523" s="6">
        <f>IF((ISBLANK($B$1)),"",Sheet1!Q7535)</f>
        <v>4300</v>
      </c>
      <c r="F7523" s="20" t="s">
        <v>29</v>
      </c>
      <c r="G7523" s="53">
        <f t="shared" si="118"/>
        <v>-0.52307078595551704</v>
      </c>
      <c r="H7523" s="35"/>
      <c r="P7523" s="6"/>
    </row>
    <row r="7524" spans="1:16" ht="14.4" x14ac:dyDescent="0.25">
      <c r="A7524" s="6">
        <v>8107</v>
      </c>
      <c r="B7524" s="6">
        <v>57861</v>
      </c>
      <c r="C7524" s="19">
        <v>41207</v>
      </c>
      <c r="D7524" s="6" t="s">
        <v>16</v>
      </c>
      <c r="E7524" s="6">
        <f>IF((ISBLANK($B$1)),"",Sheet1!Q7536)</f>
        <v>5400</v>
      </c>
      <c r="F7524" s="20" t="s">
        <v>26</v>
      </c>
      <c r="G7524" s="53">
        <f t="shared" si="118"/>
        <v>0.99597891402498073</v>
      </c>
      <c r="H7524" s="35"/>
      <c r="P7524" s="6"/>
    </row>
    <row r="7525" spans="1:16" ht="14.4" x14ac:dyDescent="0.25">
      <c r="A7525" s="6">
        <v>8145</v>
      </c>
      <c r="B7525" s="6">
        <v>58247</v>
      </c>
      <c r="C7525" s="19">
        <v>40809</v>
      </c>
      <c r="D7525" s="6" t="s">
        <v>28</v>
      </c>
      <c r="E7525" s="6">
        <f>IF((ISBLANK($B$1)),"",Sheet1!Q7537)</f>
        <v>3800</v>
      </c>
      <c r="F7525" s="20" t="s">
        <v>26</v>
      </c>
      <c r="G7525" s="53">
        <f t="shared" si="118"/>
        <v>-1.2135479223102887</v>
      </c>
      <c r="H7525" s="35"/>
      <c r="P7525" s="6"/>
    </row>
    <row r="7526" spans="1:16" ht="14.4" x14ac:dyDescent="0.25">
      <c r="A7526" s="6">
        <v>8146</v>
      </c>
      <c r="B7526" s="6">
        <v>58247</v>
      </c>
      <c r="C7526" s="19">
        <v>40809</v>
      </c>
      <c r="D7526" s="6" t="s">
        <v>28</v>
      </c>
      <c r="E7526" s="6">
        <f>IF((ISBLANK($B$1)),"",Sheet1!Q7538)</f>
        <v>4100</v>
      </c>
      <c r="F7526" s="20" t="s">
        <v>26</v>
      </c>
      <c r="G7526" s="53">
        <f t="shared" si="118"/>
        <v>-0.79926164049742576</v>
      </c>
      <c r="H7526" s="35"/>
      <c r="P7526" s="6"/>
    </row>
    <row r="7527" spans="1:16" ht="14.4" x14ac:dyDescent="0.25">
      <c r="A7527" s="6">
        <v>8178</v>
      </c>
      <c r="B7527" s="6">
        <v>58470</v>
      </c>
      <c r="C7527" s="19">
        <v>40702</v>
      </c>
      <c r="D7527" s="6" t="s">
        <v>17</v>
      </c>
      <c r="E7527" s="6">
        <f>IF((ISBLANK($B$1)),"",Sheet1!Q7539)</f>
        <v>4600</v>
      </c>
      <c r="F7527" s="20" t="s">
        <v>26</v>
      </c>
      <c r="G7527" s="53">
        <f t="shared" si="118"/>
        <v>-0.108784504142654</v>
      </c>
      <c r="H7527" s="35"/>
      <c r="P7527" s="6"/>
    </row>
    <row r="7528" spans="1:16" ht="14.4" x14ac:dyDescent="0.25">
      <c r="A7528" s="6">
        <v>8179</v>
      </c>
      <c r="B7528" s="6">
        <v>58470</v>
      </c>
      <c r="C7528" s="19">
        <v>40702</v>
      </c>
      <c r="D7528" s="6" t="s">
        <v>17</v>
      </c>
      <c r="E7528" s="6">
        <f>IF((ISBLANK($B$1)),"",Sheet1!Q7540)</f>
        <v>4050</v>
      </c>
      <c r="F7528" s="20" t="s">
        <v>26</v>
      </c>
      <c r="G7528" s="53">
        <f t="shared" si="118"/>
        <v>-0.86830935413290289</v>
      </c>
      <c r="H7528" s="35"/>
      <c r="P7528" s="6"/>
    </row>
    <row r="7529" spans="1:16" ht="14.4" x14ac:dyDescent="0.25">
      <c r="A7529" s="6">
        <v>8180</v>
      </c>
      <c r="B7529" s="6">
        <v>58470</v>
      </c>
      <c r="C7529" s="19">
        <v>40702</v>
      </c>
      <c r="D7529" s="6" t="s">
        <v>17</v>
      </c>
      <c r="E7529" s="6">
        <f>IF((ISBLANK($B$1)),"",Sheet1!Q7541)</f>
        <v>5200</v>
      </c>
      <c r="F7529" s="20" t="s">
        <v>26</v>
      </c>
      <c r="G7529" s="53">
        <f t="shared" si="118"/>
        <v>0.71978805948307201</v>
      </c>
      <c r="H7529" s="35"/>
      <c r="P7529" s="6"/>
    </row>
    <row r="7530" spans="1:16" ht="14.4" x14ac:dyDescent="0.25">
      <c r="A7530" s="6">
        <v>8181</v>
      </c>
      <c r="B7530" s="6">
        <v>58470</v>
      </c>
      <c r="C7530" s="19">
        <v>40702</v>
      </c>
      <c r="D7530" s="6" t="s">
        <v>17</v>
      </c>
      <c r="E7530" s="6">
        <f>IF((ISBLANK($B$1)),"",Sheet1!Q7542)</f>
        <v>5650</v>
      </c>
      <c r="F7530" s="20" t="s">
        <v>26</v>
      </c>
      <c r="G7530" s="53">
        <f t="shared" si="118"/>
        <v>1.3412174822023666</v>
      </c>
      <c r="H7530" s="35"/>
      <c r="P7530" s="6"/>
    </row>
    <row r="7531" spans="1:16" ht="14.4" x14ac:dyDescent="0.25">
      <c r="A7531" s="6">
        <v>8182</v>
      </c>
      <c r="B7531" s="6">
        <v>58470</v>
      </c>
      <c r="C7531" s="19">
        <v>40702</v>
      </c>
      <c r="D7531" s="6" t="s">
        <v>17</v>
      </c>
      <c r="E7531" s="6">
        <f>IF((ISBLANK($B$1)),"",Sheet1!Q7543)</f>
        <v>3650</v>
      </c>
      <c r="F7531" s="20" t="s">
        <v>26</v>
      </c>
      <c r="G7531" s="53">
        <f t="shared" si="118"/>
        <v>-1.4206910632167202</v>
      </c>
      <c r="H7531" s="35"/>
      <c r="P7531" s="6"/>
    </row>
    <row r="7532" spans="1:16" ht="14.4" x14ac:dyDescent="0.25">
      <c r="A7532" s="6">
        <v>8219</v>
      </c>
      <c r="B7532" s="6">
        <v>58759</v>
      </c>
      <c r="C7532" s="19">
        <v>39834</v>
      </c>
      <c r="D7532" s="6" t="s">
        <v>25</v>
      </c>
      <c r="E7532" s="6">
        <f>IF((ISBLANK($B$1)),"",Sheet1!Q7544)</f>
        <v>3600</v>
      </c>
      <c r="F7532" s="20" t="s">
        <v>26</v>
      </c>
      <c r="G7532" s="53">
        <f t="shared" si="118"/>
        <v>-1.4897387768521975</v>
      </c>
      <c r="H7532" s="35"/>
      <c r="P7532" s="6"/>
    </row>
    <row r="7533" spans="1:16" ht="14.4" x14ac:dyDescent="0.25">
      <c r="A7533" s="6">
        <v>8365</v>
      </c>
      <c r="B7533" s="6">
        <v>59780</v>
      </c>
      <c r="C7533" s="19">
        <v>40229</v>
      </c>
      <c r="D7533" s="6" t="s">
        <v>30</v>
      </c>
      <c r="E7533" s="6">
        <f>IF((ISBLANK($B$1)),"",Sheet1!Q7545)</f>
        <v>4450</v>
      </c>
      <c r="F7533" s="20" t="s">
        <v>27</v>
      </c>
      <c r="G7533" s="53">
        <f t="shared" si="118"/>
        <v>-0.31592764504908549</v>
      </c>
      <c r="H7533" s="35"/>
      <c r="P7533" s="6"/>
    </row>
    <row r="7534" spans="1:16" ht="14.4" x14ac:dyDescent="0.25">
      <c r="A7534" s="6">
        <v>62</v>
      </c>
      <c r="B7534" s="6">
        <v>358</v>
      </c>
      <c r="C7534" s="19">
        <v>40440</v>
      </c>
      <c r="D7534" s="6" t="s">
        <v>17</v>
      </c>
      <c r="E7534" s="6">
        <f>IF((ISBLANK($B$1)),"",Sheet1!Q7546)</f>
        <v>5050</v>
      </c>
      <c r="F7534" s="20" t="s">
        <v>29</v>
      </c>
      <c r="G7534" s="53">
        <f t="shared" si="118"/>
        <v>0.51264491857664052</v>
      </c>
      <c r="H7534" s="35"/>
      <c r="P7534" s="6"/>
    </row>
    <row r="7535" spans="1:16" ht="14.4" x14ac:dyDescent="0.25">
      <c r="A7535" s="6">
        <v>63</v>
      </c>
      <c r="B7535" s="6">
        <v>358</v>
      </c>
      <c r="C7535" s="19">
        <v>40440</v>
      </c>
      <c r="D7535" s="6" t="s">
        <v>17</v>
      </c>
      <c r="E7535" s="6">
        <f>IF((ISBLANK($B$1)),"",Sheet1!Q7547)</f>
        <v>5050</v>
      </c>
      <c r="F7535" s="20" t="s">
        <v>27</v>
      </c>
      <c r="G7535" s="53">
        <f t="shared" si="118"/>
        <v>0.51264491857664052</v>
      </c>
      <c r="H7535" s="35"/>
      <c r="P7535" s="6"/>
    </row>
    <row r="7536" spans="1:16" ht="14.4" x14ac:dyDescent="0.25">
      <c r="A7536" s="6">
        <v>255</v>
      </c>
      <c r="B7536" s="6">
        <v>1767</v>
      </c>
      <c r="C7536" s="19">
        <v>40615</v>
      </c>
      <c r="D7536" s="6" t="s">
        <v>17</v>
      </c>
      <c r="E7536" s="6">
        <f>IF((ISBLANK($B$1)),"",Sheet1!Q7548)</f>
        <v>3900</v>
      </c>
      <c r="F7536" s="20" t="s">
        <v>26</v>
      </c>
      <c r="G7536" s="53">
        <f t="shared" si="118"/>
        <v>-1.0754524950393345</v>
      </c>
      <c r="H7536" s="35"/>
      <c r="P7536" s="6"/>
    </row>
    <row r="7537" spans="1:16" ht="14.4" x14ac:dyDescent="0.25">
      <c r="A7537" s="6">
        <v>271</v>
      </c>
      <c r="B7537" s="6">
        <v>1863</v>
      </c>
      <c r="C7537" s="19">
        <v>40443</v>
      </c>
      <c r="D7537" s="6" t="s">
        <v>28</v>
      </c>
      <c r="E7537" s="6">
        <f>IF((ISBLANK($B$1)),"",Sheet1!Q7549)</f>
        <v>4700</v>
      </c>
      <c r="F7537" s="20" t="s">
        <v>29</v>
      </c>
      <c r="G7537" s="53">
        <f t="shared" si="118"/>
        <v>2.9310923128300338E-2</v>
      </c>
      <c r="H7537" s="35"/>
      <c r="P7537" s="6"/>
    </row>
    <row r="7538" spans="1:16" ht="14.4" x14ac:dyDescent="0.25">
      <c r="A7538" s="6">
        <v>437</v>
      </c>
      <c r="B7538" s="6">
        <v>2915</v>
      </c>
      <c r="C7538" s="19">
        <v>39902</v>
      </c>
      <c r="D7538" s="6" t="s">
        <v>25</v>
      </c>
      <c r="E7538" s="6">
        <f>IF((ISBLANK($B$1)),"",Sheet1!Q7550)</f>
        <v>5450</v>
      </c>
      <c r="F7538" s="20" t="s">
        <v>26</v>
      </c>
      <c r="G7538" s="53">
        <f t="shared" si="118"/>
        <v>1.0650266276604579</v>
      </c>
      <c r="H7538" s="35"/>
      <c r="P7538" s="6"/>
    </row>
    <row r="7539" spans="1:16" ht="14.4" x14ac:dyDescent="0.25">
      <c r="A7539" s="6">
        <v>438</v>
      </c>
      <c r="B7539" s="6">
        <v>2915</v>
      </c>
      <c r="C7539" s="19">
        <v>39902</v>
      </c>
      <c r="D7539" s="6" t="s">
        <v>25</v>
      </c>
      <c r="E7539" s="6">
        <f>IF((ISBLANK($B$1)),"",Sheet1!Q7551)</f>
        <v>4550</v>
      </c>
      <c r="F7539" s="20" t="s">
        <v>27</v>
      </c>
      <c r="G7539" s="53">
        <f t="shared" si="118"/>
        <v>-0.17783221777813119</v>
      </c>
      <c r="H7539" s="35"/>
      <c r="P7539" s="6"/>
    </row>
    <row r="7540" spans="1:16" ht="14.4" x14ac:dyDescent="0.25">
      <c r="A7540" s="6">
        <v>449</v>
      </c>
      <c r="B7540" s="6">
        <v>3046</v>
      </c>
      <c r="C7540" s="19">
        <v>40876</v>
      </c>
      <c r="D7540" s="6" t="s">
        <v>17</v>
      </c>
      <c r="E7540" s="6">
        <f>IF((ISBLANK($B$1)),"",Sheet1!Q7552)</f>
        <v>4600</v>
      </c>
      <c r="F7540" s="20" t="s">
        <v>26</v>
      </c>
      <c r="G7540" s="53">
        <f t="shared" si="118"/>
        <v>-0.108784504142654</v>
      </c>
      <c r="H7540" s="35"/>
      <c r="P7540" s="6"/>
    </row>
    <row r="7541" spans="1:16" ht="14.4" x14ac:dyDescent="0.25">
      <c r="A7541" s="6">
        <v>628</v>
      </c>
      <c r="B7541" s="6">
        <v>4389</v>
      </c>
      <c r="C7541" s="19">
        <v>39937</v>
      </c>
      <c r="D7541" s="6" t="s">
        <v>16</v>
      </c>
      <c r="E7541" s="6">
        <f>IF((ISBLANK($B$1)),"",Sheet1!Q7553)</f>
        <v>5150</v>
      </c>
      <c r="F7541" s="20" t="s">
        <v>26</v>
      </c>
      <c r="G7541" s="53">
        <f t="shared" si="118"/>
        <v>0.65074034584759488</v>
      </c>
      <c r="H7541" s="35"/>
      <c r="P7541" s="6"/>
    </row>
    <row r="7542" spans="1:16" ht="14.4" x14ac:dyDescent="0.25">
      <c r="A7542" s="6">
        <v>629</v>
      </c>
      <c r="B7542" s="6">
        <v>4389</v>
      </c>
      <c r="C7542" s="19">
        <v>39937</v>
      </c>
      <c r="D7542" s="6" t="s">
        <v>16</v>
      </c>
      <c r="E7542" s="6">
        <f>IF((ISBLANK($B$1)),"",Sheet1!Q7554)</f>
        <v>5850</v>
      </c>
      <c r="F7542" s="20" t="s">
        <v>29</v>
      </c>
      <c r="G7542" s="53">
        <f t="shared" si="118"/>
        <v>1.6174083367442753</v>
      </c>
      <c r="H7542" s="35"/>
      <c r="P7542" s="6"/>
    </row>
    <row r="7543" spans="1:16" ht="14.4" x14ac:dyDescent="0.25">
      <c r="A7543" s="6">
        <v>630</v>
      </c>
      <c r="B7543" s="6">
        <v>4389</v>
      </c>
      <c r="C7543" s="19">
        <v>39937</v>
      </c>
      <c r="D7543" s="6" t="s">
        <v>16</v>
      </c>
      <c r="E7543" s="6">
        <f>IF((ISBLANK($B$1)),"",Sheet1!Q7555)</f>
        <v>5500</v>
      </c>
      <c r="F7543" s="20" t="s">
        <v>27</v>
      </c>
      <c r="G7543" s="53">
        <f t="shared" si="118"/>
        <v>1.1340743412959351</v>
      </c>
      <c r="H7543" s="35"/>
      <c r="P7543" s="6"/>
    </row>
    <row r="7544" spans="1:16" ht="14.4" x14ac:dyDescent="0.25">
      <c r="A7544" s="6">
        <v>862</v>
      </c>
      <c r="B7544" s="6">
        <v>6180</v>
      </c>
      <c r="C7544" s="19">
        <v>40644</v>
      </c>
      <c r="D7544" s="6" t="s">
        <v>16</v>
      </c>
      <c r="E7544" s="6">
        <f>IF((ISBLANK($B$1)),"",Sheet1!Q7556)</f>
        <v>5600</v>
      </c>
      <c r="F7544" s="20" t="s">
        <v>27</v>
      </c>
      <c r="G7544" s="53">
        <f t="shared" si="118"/>
        <v>1.2721697685668893</v>
      </c>
      <c r="H7544" s="35"/>
      <c r="P7544" s="6"/>
    </row>
    <row r="7545" spans="1:16" ht="14.4" x14ac:dyDescent="0.25">
      <c r="A7545" s="6">
        <v>975</v>
      </c>
      <c r="B7545" s="6">
        <v>7078</v>
      </c>
      <c r="C7545" s="19">
        <v>40279</v>
      </c>
      <c r="D7545" s="6" t="s">
        <v>17</v>
      </c>
      <c r="E7545" s="6">
        <f>IF((ISBLANK($B$1)),"",Sheet1!Q7557)</f>
        <v>3850</v>
      </c>
      <c r="F7545" s="20" t="s">
        <v>26</v>
      </c>
      <c r="G7545" s="53">
        <f t="shared" si="118"/>
        <v>-1.1445002086748115</v>
      </c>
      <c r="H7545" s="35"/>
      <c r="P7545" s="6"/>
    </row>
    <row r="7546" spans="1:16" ht="14.4" x14ac:dyDescent="0.25">
      <c r="A7546" s="6">
        <v>976</v>
      </c>
      <c r="B7546" s="6">
        <v>7078</v>
      </c>
      <c r="C7546" s="19">
        <v>40279</v>
      </c>
      <c r="D7546" s="6" t="s">
        <v>17</v>
      </c>
      <c r="E7546" s="6">
        <f>IF((ISBLANK($B$1)),"",Sheet1!Q7558)</f>
        <v>3950</v>
      </c>
      <c r="F7546" s="20" t="s">
        <v>26</v>
      </c>
      <c r="G7546" s="53">
        <f t="shared" si="118"/>
        <v>-1.0064047814038573</v>
      </c>
      <c r="H7546" s="35"/>
      <c r="P7546" s="6"/>
    </row>
    <row r="7547" spans="1:16" ht="14.4" x14ac:dyDescent="0.25">
      <c r="A7547" s="6">
        <v>977</v>
      </c>
      <c r="B7547" s="6">
        <v>7078</v>
      </c>
      <c r="C7547" s="19">
        <v>40279</v>
      </c>
      <c r="D7547" s="6" t="s">
        <v>17</v>
      </c>
      <c r="E7547" s="6">
        <f>IF((ISBLANK($B$1)),"",Sheet1!Q7559)</f>
        <v>4200</v>
      </c>
      <c r="F7547" s="20" t="s">
        <v>29</v>
      </c>
      <c r="G7547" s="53">
        <f t="shared" si="118"/>
        <v>-0.6611662132264714</v>
      </c>
      <c r="H7547" s="35"/>
      <c r="P7547" s="6"/>
    </row>
    <row r="7548" spans="1:16" ht="14.4" x14ac:dyDescent="0.25">
      <c r="A7548" s="6">
        <v>978</v>
      </c>
      <c r="B7548" s="6">
        <v>7078</v>
      </c>
      <c r="C7548" s="19">
        <v>40279</v>
      </c>
      <c r="D7548" s="6" t="s">
        <v>17</v>
      </c>
      <c r="E7548" s="6">
        <f>IF((ISBLANK($B$1)),"",Sheet1!Q7560)</f>
        <v>4850</v>
      </c>
      <c r="F7548" s="20" t="s">
        <v>29</v>
      </c>
      <c r="G7548" s="53">
        <f t="shared" si="118"/>
        <v>0.23645406403473185</v>
      </c>
      <c r="H7548" s="35"/>
      <c r="P7548" s="6"/>
    </row>
    <row r="7549" spans="1:16" ht="14.4" x14ac:dyDescent="0.25">
      <c r="A7549" s="6">
        <v>1045</v>
      </c>
      <c r="B7549" s="6">
        <v>7654</v>
      </c>
      <c r="C7549" s="19">
        <v>40219</v>
      </c>
      <c r="D7549" s="6" t="s">
        <v>17</v>
      </c>
      <c r="E7549" s="6">
        <f>IF((ISBLANK($B$1)),"",Sheet1!Q7561)</f>
        <v>3550</v>
      </c>
      <c r="F7549" s="20" t="s">
        <v>26</v>
      </c>
      <c r="G7549" s="53">
        <f t="shared" si="118"/>
        <v>-1.5587864904876745</v>
      </c>
      <c r="H7549" s="35"/>
      <c r="P7549" s="6"/>
    </row>
    <row r="7550" spans="1:16" ht="14.4" x14ac:dyDescent="0.25">
      <c r="A7550" s="6">
        <v>1050</v>
      </c>
      <c r="B7550" s="6">
        <v>7746</v>
      </c>
      <c r="C7550" s="19">
        <v>40517</v>
      </c>
      <c r="D7550" s="6" t="s">
        <v>16</v>
      </c>
      <c r="E7550" s="6">
        <f>IF((ISBLANK($B$1)),"",Sheet1!Q7562)</f>
        <v>3450</v>
      </c>
      <c r="F7550" s="20" t="s">
        <v>26</v>
      </c>
      <c r="G7550" s="53">
        <f t="shared" si="118"/>
        <v>-1.696881917758629</v>
      </c>
      <c r="H7550" s="35"/>
      <c r="P7550" s="6"/>
    </row>
    <row r="7551" spans="1:16" ht="14.4" x14ac:dyDescent="0.25">
      <c r="A7551" s="6">
        <v>1149</v>
      </c>
      <c r="B7551" s="6">
        <v>8387</v>
      </c>
      <c r="C7551" s="19">
        <v>40257</v>
      </c>
      <c r="D7551" s="6" t="s">
        <v>28</v>
      </c>
      <c r="E7551" s="6">
        <f>IF((ISBLANK($B$1)),"",Sheet1!Q7563)</f>
        <v>5150</v>
      </c>
      <c r="F7551" s="20" t="s">
        <v>26</v>
      </c>
      <c r="G7551" s="53">
        <f t="shared" si="118"/>
        <v>0.65074034584759488</v>
      </c>
      <c r="H7551" s="35"/>
      <c r="P7551" s="6"/>
    </row>
    <row r="7552" spans="1:16" ht="14.4" x14ac:dyDescent="0.25">
      <c r="A7552" s="6">
        <v>1195</v>
      </c>
      <c r="B7552" s="6">
        <v>8768</v>
      </c>
      <c r="C7552" s="19">
        <v>40773</v>
      </c>
      <c r="D7552" s="6" t="s">
        <v>17</v>
      </c>
      <c r="E7552" s="6">
        <f>IF((ISBLANK($B$1)),"",Sheet1!Q7564)</f>
        <v>5600</v>
      </c>
      <c r="F7552" s="20" t="s">
        <v>27</v>
      </c>
      <c r="G7552" s="53">
        <f t="shared" si="118"/>
        <v>1.2721697685668893</v>
      </c>
      <c r="H7552" s="35"/>
      <c r="P7552" s="6"/>
    </row>
    <row r="7553" spans="1:16" ht="14.4" x14ac:dyDescent="0.25">
      <c r="A7553" s="6">
        <v>1296</v>
      </c>
      <c r="B7553" s="6">
        <v>9504</v>
      </c>
      <c r="C7553" s="19">
        <v>41238</v>
      </c>
      <c r="D7553" s="6" t="s">
        <v>16</v>
      </c>
      <c r="E7553" s="6">
        <f>IF((ISBLANK($B$1)),"",Sheet1!Q7565)</f>
        <v>4250</v>
      </c>
      <c r="F7553" s="20" t="s">
        <v>27</v>
      </c>
      <c r="G7553" s="53">
        <f t="shared" si="118"/>
        <v>-0.59211849959099416</v>
      </c>
      <c r="H7553" s="35"/>
      <c r="P7553" s="6"/>
    </row>
    <row r="7554" spans="1:16" ht="14.4" x14ac:dyDescent="0.25">
      <c r="A7554" s="6">
        <v>1431</v>
      </c>
      <c r="B7554" s="6">
        <v>10341</v>
      </c>
      <c r="C7554" s="19">
        <v>41264</v>
      </c>
      <c r="D7554" s="6" t="s">
        <v>17</v>
      </c>
      <c r="E7554" s="6">
        <f>IF((ISBLANK($B$1)),"",Sheet1!Q7566)</f>
        <v>4250</v>
      </c>
      <c r="F7554" s="20" t="s">
        <v>27</v>
      </c>
      <c r="G7554" s="53">
        <f t="shared" si="118"/>
        <v>-0.59211849959099416</v>
      </c>
      <c r="H7554" s="35"/>
      <c r="P7554" s="6"/>
    </row>
    <row r="7555" spans="1:16" ht="14.4" x14ac:dyDescent="0.25">
      <c r="A7555" s="6">
        <v>1522</v>
      </c>
      <c r="B7555" s="6">
        <v>10982</v>
      </c>
      <c r="C7555" s="19">
        <v>41253</v>
      </c>
      <c r="D7555" s="6" t="s">
        <v>28</v>
      </c>
      <c r="E7555" s="6">
        <f>IF((ISBLANK($B$1)),"",Sheet1!Q7567)</f>
        <v>4850</v>
      </c>
      <c r="F7555" s="20" t="s">
        <v>26</v>
      </c>
      <c r="G7555" s="53">
        <f t="shared" si="118"/>
        <v>0.23645406403473185</v>
      </c>
      <c r="H7555" s="35"/>
      <c r="P7555" s="6"/>
    </row>
    <row r="7556" spans="1:16" ht="14.4" x14ac:dyDescent="0.25">
      <c r="A7556" s="6">
        <v>1523</v>
      </c>
      <c r="B7556" s="6">
        <v>10982</v>
      </c>
      <c r="C7556" s="19">
        <v>41253</v>
      </c>
      <c r="D7556" s="6" t="s">
        <v>28</v>
      </c>
      <c r="E7556" s="6">
        <f>IF((ISBLANK($B$1)),"",Sheet1!Q7568)</f>
        <v>4900</v>
      </c>
      <c r="F7556" s="20" t="s">
        <v>26</v>
      </c>
      <c r="G7556" s="53">
        <f t="shared" si="118"/>
        <v>0.30550177767020903</v>
      </c>
      <c r="H7556" s="35"/>
      <c r="P7556" s="6"/>
    </row>
    <row r="7557" spans="1:16" ht="14.4" x14ac:dyDescent="0.25">
      <c r="A7557" s="6">
        <v>1524</v>
      </c>
      <c r="B7557" s="6">
        <v>10982</v>
      </c>
      <c r="C7557" s="19">
        <v>41253</v>
      </c>
      <c r="D7557" s="6" t="s">
        <v>28</v>
      </c>
      <c r="E7557" s="6">
        <f>IF((ISBLANK($B$1)),"",Sheet1!Q7569)</f>
        <v>4100</v>
      </c>
      <c r="F7557" s="20" t="s">
        <v>26</v>
      </c>
      <c r="G7557" s="53">
        <f t="shared" si="118"/>
        <v>-0.79926164049742576</v>
      </c>
      <c r="H7557" s="35"/>
      <c r="P7557" s="6"/>
    </row>
    <row r="7558" spans="1:16" ht="14.4" x14ac:dyDescent="0.25">
      <c r="A7558" s="6">
        <v>1531</v>
      </c>
      <c r="B7558" s="6">
        <v>11014</v>
      </c>
      <c r="C7558" s="19">
        <v>40428</v>
      </c>
      <c r="D7558" s="6" t="s">
        <v>17</v>
      </c>
      <c r="E7558" s="6">
        <f>IF((ISBLANK($B$1)),"",Sheet1!Q7570)</f>
        <v>5350</v>
      </c>
      <c r="F7558" s="20" t="s">
        <v>26</v>
      </c>
      <c r="G7558" s="53">
        <f t="shared" si="118"/>
        <v>0.92693120038950361</v>
      </c>
      <c r="H7558" s="35"/>
      <c r="P7558" s="6"/>
    </row>
    <row r="7559" spans="1:16" ht="14.4" x14ac:dyDescent="0.25">
      <c r="A7559" s="6">
        <v>1987</v>
      </c>
      <c r="B7559" s="6">
        <v>14176</v>
      </c>
      <c r="C7559" s="19">
        <v>39884</v>
      </c>
      <c r="D7559" s="6" t="s">
        <v>25</v>
      </c>
      <c r="E7559" s="6">
        <f>IF((ISBLANK($B$1)),"",Sheet1!Q7571)</f>
        <v>5350</v>
      </c>
      <c r="F7559" s="20" t="s">
        <v>27</v>
      </c>
      <c r="G7559" s="53">
        <f t="shared" si="118"/>
        <v>0.92693120038950361</v>
      </c>
      <c r="H7559" s="35"/>
      <c r="P7559" s="6"/>
    </row>
    <row r="7560" spans="1:16" ht="14.4" x14ac:dyDescent="0.25">
      <c r="A7560" s="6">
        <v>2031</v>
      </c>
      <c r="B7560" s="6">
        <v>14497</v>
      </c>
      <c r="C7560" s="19">
        <v>41049</v>
      </c>
      <c r="D7560" s="6" t="s">
        <v>16</v>
      </c>
      <c r="E7560" s="6">
        <f>IF((ISBLANK($B$1)),"",Sheet1!Q7572)</f>
        <v>5100</v>
      </c>
      <c r="F7560" s="20" t="s">
        <v>26</v>
      </c>
      <c r="G7560" s="53">
        <f t="shared" ref="G7560:G7623" si="119">STANDARDIZE(E7560,$L$26,$L$35)</f>
        <v>0.58169263221211776</v>
      </c>
      <c r="H7560" s="35"/>
      <c r="P7560" s="6"/>
    </row>
    <row r="7561" spans="1:16" ht="14.4" x14ac:dyDescent="0.25">
      <c r="A7561" s="6">
        <v>2106</v>
      </c>
      <c r="B7561" s="6">
        <v>15074</v>
      </c>
      <c r="C7561" s="19">
        <v>40145</v>
      </c>
      <c r="D7561" s="6" t="s">
        <v>28</v>
      </c>
      <c r="E7561" s="6">
        <f>IF((ISBLANK($B$1)),"",Sheet1!Q7573)</f>
        <v>4750</v>
      </c>
      <c r="F7561" s="20" t="s">
        <v>26</v>
      </c>
      <c r="G7561" s="53">
        <f t="shared" si="119"/>
        <v>9.8358636763777513E-2</v>
      </c>
      <c r="H7561" s="35"/>
      <c r="P7561" s="6"/>
    </row>
    <row r="7562" spans="1:16" ht="14.4" x14ac:dyDescent="0.25">
      <c r="A7562" s="6">
        <v>2112</v>
      </c>
      <c r="B7562" s="6">
        <v>15104</v>
      </c>
      <c r="C7562" s="19">
        <v>40997</v>
      </c>
      <c r="D7562" s="6" t="s">
        <v>16</v>
      </c>
      <c r="E7562" s="6">
        <f>IF((ISBLANK($B$1)),"",Sheet1!Q7574)</f>
        <v>4550</v>
      </c>
      <c r="F7562" s="20" t="s">
        <v>26</v>
      </c>
      <c r="G7562" s="53">
        <f t="shared" si="119"/>
        <v>-0.17783221777813119</v>
      </c>
      <c r="H7562" s="35"/>
      <c r="P7562" s="6"/>
    </row>
    <row r="7563" spans="1:16" ht="14.4" x14ac:dyDescent="0.25">
      <c r="A7563" s="6">
        <v>2339</v>
      </c>
      <c r="B7563" s="6">
        <v>16834</v>
      </c>
      <c r="C7563" s="19">
        <v>40474</v>
      </c>
      <c r="D7563" s="6" t="s">
        <v>25</v>
      </c>
      <c r="E7563" s="6">
        <f>IF((ISBLANK($B$1)),"",Sheet1!Q7575)</f>
        <v>4550</v>
      </c>
      <c r="F7563" s="20" t="s">
        <v>26</v>
      </c>
      <c r="G7563" s="53">
        <f t="shared" si="119"/>
        <v>-0.17783221777813119</v>
      </c>
      <c r="H7563" s="35"/>
      <c r="P7563" s="6"/>
    </row>
    <row r="7564" spans="1:16" ht="14.4" x14ac:dyDescent="0.25">
      <c r="A7564" s="6">
        <v>2407</v>
      </c>
      <c r="B7564" s="6">
        <v>17445</v>
      </c>
      <c r="C7564" s="19">
        <v>40776</v>
      </c>
      <c r="D7564" s="6" t="s">
        <v>28</v>
      </c>
      <c r="E7564" s="6">
        <f>IF((ISBLANK($B$1)),"",Sheet1!Q7576)</f>
        <v>5050</v>
      </c>
      <c r="F7564" s="20" t="s">
        <v>27</v>
      </c>
      <c r="G7564" s="53">
        <f t="shared" si="119"/>
        <v>0.51264491857664052</v>
      </c>
      <c r="H7564" s="35"/>
      <c r="P7564" s="6"/>
    </row>
    <row r="7565" spans="1:16" ht="14.4" x14ac:dyDescent="0.25">
      <c r="A7565" s="6">
        <v>2574</v>
      </c>
      <c r="B7565" s="6">
        <v>18593</v>
      </c>
      <c r="C7565" s="19">
        <v>40808</v>
      </c>
      <c r="D7565" s="6" t="s">
        <v>17</v>
      </c>
      <c r="E7565" s="6">
        <f>IF((ISBLANK($B$1)),"",Sheet1!Q7577)</f>
        <v>4550</v>
      </c>
      <c r="F7565" s="20" t="s">
        <v>27</v>
      </c>
      <c r="G7565" s="53">
        <f t="shared" si="119"/>
        <v>-0.17783221777813119</v>
      </c>
      <c r="H7565" s="35"/>
      <c r="P7565" s="6"/>
    </row>
    <row r="7566" spans="1:16" ht="14.4" x14ac:dyDescent="0.25">
      <c r="A7566" s="6">
        <v>2575</v>
      </c>
      <c r="B7566" s="6">
        <v>18593</v>
      </c>
      <c r="C7566" s="19">
        <v>40808</v>
      </c>
      <c r="D7566" s="6" t="s">
        <v>17</v>
      </c>
      <c r="E7566" s="6">
        <f>IF((ISBLANK($B$1)),"",Sheet1!Q7578)</f>
        <v>4350</v>
      </c>
      <c r="F7566" s="20" t="s">
        <v>29</v>
      </c>
      <c r="G7566" s="53">
        <f t="shared" si="119"/>
        <v>-0.45402307232003986</v>
      </c>
      <c r="H7566" s="35"/>
      <c r="P7566" s="6"/>
    </row>
    <row r="7567" spans="1:16" ht="14.4" x14ac:dyDescent="0.25">
      <c r="A7567" s="6">
        <v>2722</v>
      </c>
      <c r="B7567" s="6">
        <v>19652</v>
      </c>
      <c r="C7567" s="19">
        <v>41062</v>
      </c>
      <c r="D7567" s="6" t="s">
        <v>30</v>
      </c>
      <c r="E7567" s="6">
        <f>IF((ISBLANK($B$1)),"",Sheet1!Q7579)</f>
        <v>4800</v>
      </c>
      <c r="F7567" s="20" t="s">
        <v>29</v>
      </c>
      <c r="G7567" s="53">
        <f t="shared" si="119"/>
        <v>0.16740635039925467</v>
      </c>
      <c r="H7567" s="35"/>
      <c r="P7567" s="6"/>
    </row>
    <row r="7568" spans="1:16" ht="14.4" x14ac:dyDescent="0.25">
      <c r="A7568" s="6">
        <v>2723</v>
      </c>
      <c r="B7568" s="6">
        <v>19652</v>
      </c>
      <c r="C7568" s="19">
        <v>41062</v>
      </c>
      <c r="D7568" s="6" t="s">
        <v>30</v>
      </c>
      <c r="E7568" s="6">
        <f>IF((ISBLANK($B$1)),"",Sheet1!Q7580)</f>
        <v>5100</v>
      </c>
      <c r="F7568" s="20" t="s">
        <v>27</v>
      </c>
      <c r="G7568" s="53">
        <f t="shared" si="119"/>
        <v>0.58169263221211776</v>
      </c>
      <c r="H7568" s="35"/>
      <c r="P7568" s="6"/>
    </row>
    <row r="7569" spans="1:16" ht="14.4" x14ac:dyDescent="0.25">
      <c r="A7569" s="6">
        <v>2879</v>
      </c>
      <c r="B7569" s="6">
        <v>20743</v>
      </c>
      <c r="C7569" s="19">
        <v>40892</v>
      </c>
      <c r="D7569" s="6" t="s">
        <v>17</v>
      </c>
      <c r="E7569" s="6">
        <f>IF((ISBLANK($B$1)),"",Sheet1!Q7581)</f>
        <v>5350</v>
      </c>
      <c r="F7569" s="20" t="s">
        <v>26</v>
      </c>
      <c r="G7569" s="53">
        <f t="shared" si="119"/>
        <v>0.92693120038950361</v>
      </c>
      <c r="H7569" s="35"/>
      <c r="P7569" s="6"/>
    </row>
    <row r="7570" spans="1:16" ht="14.4" x14ac:dyDescent="0.25">
      <c r="A7570" s="6">
        <v>3047</v>
      </c>
      <c r="B7570" s="6">
        <v>21862</v>
      </c>
      <c r="C7570" s="19">
        <v>40433</v>
      </c>
      <c r="D7570" s="6" t="s">
        <v>28</v>
      </c>
      <c r="E7570" s="6">
        <f>IF((ISBLANK($B$1)),"",Sheet1!Q7582)</f>
        <v>3450</v>
      </c>
      <c r="F7570" s="20" t="s">
        <v>26</v>
      </c>
      <c r="G7570" s="53">
        <f t="shared" si="119"/>
        <v>-1.696881917758629</v>
      </c>
      <c r="H7570" s="35"/>
      <c r="P7570" s="6"/>
    </row>
    <row r="7571" spans="1:16" ht="14.4" x14ac:dyDescent="0.25">
      <c r="A7571" s="6">
        <v>3048</v>
      </c>
      <c r="B7571" s="6">
        <v>21862</v>
      </c>
      <c r="C7571" s="19">
        <v>40433</v>
      </c>
      <c r="D7571" s="6" t="s">
        <v>28</v>
      </c>
      <c r="E7571" s="6">
        <f>IF((ISBLANK($B$1)),"",Sheet1!Q7583)</f>
        <v>3600</v>
      </c>
      <c r="F7571" s="20" t="s">
        <v>27</v>
      </c>
      <c r="G7571" s="53">
        <f t="shared" si="119"/>
        <v>-1.4897387768521975</v>
      </c>
      <c r="H7571" s="35"/>
      <c r="P7571" s="6"/>
    </row>
    <row r="7572" spans="1:16" ht="14.4" x14ac:dyDescent="0.25">
      <c r="A7572" s="6">
        <v>3049</v>
      </c>
      <c r="B7572" s="6">
        <v>21862</v>
      </c>
      <c r="C7572" s="19">
        <v>40433</v>
      </c>
      <c r="D7572" s="6" t="s">
        <v>28</v>
      </c>
      <c r="E7572" s="6">
        <f>IF((ISBLANK($B$1)),"",Sheet1!Q7584)</f>
        <v>5700</v>
      </c>
      <c r="F7572" s="20" t="s">
        <v>26</v>
      </c>
      <c r="G7572" s="53">
        <f t="shared" si="119"/>
        <v>1.4102651958378438</v>
      </c>
      <c r="H7572" s="35"/>
      <c r="P7572" s="6"/>
    </row>
    <row r="7573" spans="1:16" ht="14.4" x14ac:dyDescent="0.25">
      <c r="A7573" s="6">
        <v>3169</v>
      </c>
      <c r="B7573" s="6">
        <v>22787</v>
      </c>
      <c r="C7573" s="19">
        <v>40638</v>
      </c>
      <c r="D7573" s="6" t="s">
        <v>16</v>
      </c>
      <c r="E7573" s="6">
        <f>IF((ISBLANK($B$1)),"",Sheet1!Q7585)</f>
        <v>5150</v>
      </c>
      <c r="F7573" s="20" t="s">
        <v>26</v>
      </c>
      <c r="G7573" s="53">
        <f t="shared" si="119"/>
        <v>0.65074034584759488</v>
      </c>
      <c r="H7573" s="35"/>
      <c r="P7573" s="6"/>
    </row>
    <row r="7574" spans="1:16" ht="14.4" x14ac:dyDescent="0.25">
      <c r="A7574" s="6">
        <v>3229</v>
      </c>
      <c r="B7574" s="6">
        <v>23170</v>
      </c>
      <c r="C7574" s="19">
        <v>39954</v>
      </c>
      <c r="D7574" s="6" t="s">
        <v>28</v>
      </c>
      <c r="E7574" s="6">
        <f>IF((ISBLANK($B$1)),"",Sheet1!Q7586)</f>
        <v>4400</v>
      </c>
      <c r="F7574" s="20" t="s">
        <v>29</v>
      </c>
      <c r="G7574" s="53">
        <f t="shared" si="119"/>
        <v>-0.38497535868456267</v>
      </c>
      <c r="H7574" s="35"/>
      <c r="P7574" s="6"/>
    </row>
    <row r="7575" spans="1:16" ht="14.4" x14ac:dyDescent="0.25">
      <c r="A7575" s="6">
        <v>3256</v>
      </c>
      <c r="B7575" s="6">
        <v>23328</v>
      </c>
      <c r="C7575" s="19">
        <v>40436</v>
      </c>
      <c r="D7575" s="6" t="s">
        <v>17</v>
      </c>
      <c r="E7575" s="6">
        <f>IF((ISBLANK($B$1)),"",Sheet1!Q7587)</f>
        <v>5350</v>
      </c>
      <c r="F7575" s="20" t="s">
        <v>27</v>
      </c>
      <c r="G7575" s="53">
        <f t="shared" si="119"/>
        <v>0.92693120038950361</v>
      </c>
      <c r="H7575" s="35"/>
      <c r="P7575" s="6"/>
    </row>
    <row r="7576" spans="1:16" ht="14.4" x14ac:dyDescent="0.25">
      <c r="A7576" s="6">
        <v>3403</v>
      </c>
      <c r="B7576" s="6">
        <v>24260</v>
      </c>
      <c r="C7576" s="19">
        <v>40454</v>
      </c>
      <c r="D7576" s="6" t="s">
        <v>28</v>
      </c>
      <c r="E7576" s="6">
        <f>IF((ISBLANK($B$1)),"",Sheet1!Q7588)</f>
        <v>5800</v>
      </c>
      <c r="F7576" s="20" t="s">
        <v>26</v>
      </c>
      <c r="G7576" s="53">
        <f t="shared" si="119"/>
        <v>1.5483606231087981</v>
      </c>
      <c r="H7576" s="35"/>
      <c r="P7576" s="6"/>
    </row>
    <row r="7577" spans="1:16" ht="14.4" x14ac:dyDescent="0.25">
      <c r="A7577" s="6">
        <v>3404</v>
      </c>
      <c r="B7577" s="6">
        <v>24261</v>
      </c>
      <c r="C7577" s="19">
        <v>41169</v>
      </c>
      <c r="D7577" s="6" t="s">
        <v>30</v>
      </c>
      <c r="E7577" s="6">
        <f>IF((ISBLANK($B$1)),"",Sheet1!Q7589)</f>
        <v>4800</v>
      </c>
      <c r="F7577" s="20" t="s">
        <v>26</v>
      </c>
      <c r="G7577" s="53">
        <f t="shared" si="119"/>
        <v>0.16740635039925467</v>
      </c>
      <c r="H7577" s="35"/>
      <c r="P7577" s="6"/>
    </row>
    <row r="7578" spans="1:16" ht="14.4" x14ac:dyDescent="0.25">
      <c r="A7578" s="6">
        <v>3646</v>
      </c>
      <c r="B7578" s="6">
        <v>26054</v>
      </c>
      <c r="C7578" s="19">
        <v>40221</v>
      </c>
      <c r="D7578" s="6" t="s">
        <v>30</v>
      </c>
      <c r="E7578" s="6">
        <f>IF((ISBLANK($B$1)),"",Sheet1!Q7590)</f>
        <v>5750</v>
      </c>
      <c r="F7578" s="20" t="s">
        <v>29</v>
      </c>
      <c r="G7578" s="53">
        <f t="shared" si="119"/>
        <v>1.4793129094733208</v>
      </c>
      <c r="H7578" s="35"/>
      <c r="P7578" s="6"/>
    </row>
    <row r="7579" spans="1:16" ht="14.4" x14ac:dyDescent="0.25">
      <c r="A7579" s="6">
        <v>3887</v>
      </c>
      <c r="B7579" s="6">
        <v>27750</v>
      </c>
      <c r="C7579" s="19">
        <v>41201</v>
      </c>
      <c r="D7579" s="6" t="s">
        <v>25</v>
      </c>
      <c r="E7579" s="6">
        <f>IF((ISBLANK($B$1)),"",Sheet1!Q7591)</f>
        <v>4000</v>
      </c>
      <c r="F7579" s="20" t="s">
        <v>29</v>
      </c>
      <c r="G7579" s="53">
        <f t="shared" si="119"/>
        <v>-0.93735706776838001</v>
      </c>
      <c r="H7579" s="35"/>
      <c r="P7579" s="6"/>
    </row>
    <row r="7580" spans="1:16" ht="14.4" x14ac:dyDescent="0.25">
      <c r="A7580" s="6">
        <v>3888</v>
      </c>
      <c r="B7580" s="6">
        <v>27750</v>
      </c>
      <c r="C7580" s="19">
        <v>41201</v>
      </c>
      <c r="D7580" s="6" t="s">
        <v>25</v>
      </c>
      <c r="E7580" s="6">
        <f>IF((ISBLANK($B$1)),"",Sheet1!Q7592)</f>
        <v>4300</v>
      </c>
      <c r="F7580" s="20" t="s">
        <v>27</v>
      </c>
      <c r="G7580" s="53">
        <f t="shared" si="119"/>
        <v>-0.52307078595551704</v>
      </c>
      <c r="H7580" s="35"/>
      <c r="P7580" s="6"/>
    </row>
    <row r="7581" spans="1:16" ht="14.4" x14ac:dyDescent="0.25">
      <c r="A7581" s="6">
        <v>3908</v>
      </c>
      <c r="B7581" s="6">
        <v>27872</v>
      </c>
      <c r="C7581" s="19">
        <v>40829</v>
      </c>
      <c r="D7581" s="6" t="s">
        <v>28</v>
      </c>
      <c r="E7581" s="6">
        <f>IF((ISBLANK($B$1)),"",Sheet1!Q7593)</f>
        <v>4650</v>
      </c>
      <c r="F7581" s="20" t="s">
        <v>26</v>
      </c>
      <c r="G7581" s="53">
        <f t="shared" si="119"/>
        <v>-3.9736790507176829E-2</v>
      </c>
      <c r="H7581" s="35"/>
      <c r="P7581" s="6"/>
    </row>
    <row r="7582" spans="1:16" ht="14.4" x14ac:dyDescent="0.25">
      <c r="A7582" s="6">
        <v>4368</v>
      </c>
      <c r="B7582" s="6">
        <v>31109</v>
      </c>
      <c r="C7582" s="19">
        <v>40844</v>
      </c>
      <c r="D7582" s="6" t="s">
        <v>25</v>
      </c>
      <c r="E7582" s="6">
        <f>IF((ISBLANK($B$1)),"",Sheet1!Q7594)</f>
        <v>5850</v>
      </c>
      <c r="F7582" s="20" t="s">
        <v>26</v>
      </c>
      <c r="G7582" s="53">
        <f t="shared" si="119"/>
        <v>1.6174083367442753</v>
      </c>
      <c r="H7582" s="35"/>
      <c r="P7582" s="6"/>
    </row>
    <row r="7583" spans="1:16" ht="14.4" x14ac:dyDescent="0.25">
      <c r="A7583" s="6">
        <v>4521</v>
      </c>
      <c r="B7583" s="6">
        <v>32165</v>
      </c>
      <c r="C7583" s="19">
        <v>41196</v>
      </c>
      <c r="D7583" s="6" t="s">
        <v>28</v>
      </c>
      <c r="E7583" s="6">
        <f>IF((ISBLANK($B$1)),"",Sheet1!Q7595)</f>
        <v>5750</v>
      </c>
      <c r="F7583" s="20" t="s">
        <v>27</v>
      </c>
      <c r="G7583" s="53">
        <f t="shared" si="119"/>
        <v>1.4793129094733208</v>
      </c>
      <c r="H7583" s="35"/>
      <c r="P7583" s="6"/>
    </row>
    <row r="7584" spans="1:16" ht="14.4" x14ac:dyDescent="0.25">
      <c r="A7584" s="6">
        <v>4522</v>
      </c>
      <c r="B7584" s="6">
        <v>32165</v>
      </c>
      <c r="C7584" s="19">
        <v>41196</v>
      </c>
      <c r="D7584" s="6" t="s">
        <v>28</v>
      </c>
      <c r="E7584" s="6">
        <f>IF((ISBLANK($B$1)),"",Sheet1!Q7596)</f>
        <v>5300</v>
      </c>
      <c r="F7584" s="20" t="s">
        <v>27</v>
      </c>
      <c r="G7584" s="53">
        <f t="shared" si="119"/>
        <v>0.85788348675402637</v>
      </c>
      <c r="H7584" s="35"/>
      <c r="P7584" s="6"/>
    </row>
    <row r="7585" spans="1:16" ht="14.4" x14ac:dyDescent="0.25">
      <c r="A7585" s="6">
        <v>4544</v>
      </c>
      <c r="B7585" s="6">
        <v>32325</v>
      </c>
      <c r="C7585" s="19">
        <v>41214</v>
      </c>
      <c r="D7585" s="6" t="s">
        <v>30</v>
      </c>
      <c r="E7585" s="6">
        <f>IF((ISBLANK($B$1)),"",Sheet1!Q7597)</f>
        <v>5650</v>
      </c>
      <c r="F7585" s="20" t="s">
        <v>29</v>
      </c>
      <c r="G7585" s="53">
        <f t="shared" si="119"/>
        <v>1.3412174822023666</v>
      </c>
      <c r="H7585" s="35"/>
      <c r="P7585" s="6"/>
    </row>
    <row r="7586" spans="1:16" ht="14.4" x14ac:dyDescent="0.25">
      <c r="A7586" s="6">
        <v>4627</v>
      </c>
      <c r="B7586" s="6">
        <v>32931</v>
      </c>
      <c r="C7586" s="19">
        <v>40224</v>
      </c>
      <c r="D7586" s="6" t="s">
        <v>25</v>
      </c>
      <c r="E7586" s="6">
        <f>IF((ISBLANK($B$1)),"",Sheet1!Q7598)</f>
        <v>4950</v>
      </c>
      <c r="F7586" s="20" t="s">
        <v>26</v>
      </c>
      <c r="G7586" s="53">
        <f t="shared" si="119"/>
        <v>0.37454949130568621</v>
      </c>
      <c r="H7586" s="35"/>
      <c r="P7586" s="6"/>
    </row>
    <row r="7587" spans="1:16" ht="14.4" x14ac:dyDescent="0.25">
      <c r="A7587" s="6">
        <v>4628</v>
      </c>
      <c r="B7587" s="6">
        <v>32931</v>
      </c>
      <c r="C7587" s="19">
        <v>40224</v>
      </c>
      <c r="D7587" s="6" t="s">
        <v>25</v>
      </c>
      <c r="E7587" s="6">
        <f>IF((ISBLANK($B$1)),"",Sheet1!Q7599)</f>
        <v>4650</v>
      </c>
      <c r="F7587" s="20" t="s">
        <v>26</v>
      </c>
      <c r="G7587" s="53">
        <f t="shared" si="119"/>
        <v>-3.9736790507176829E-2</v>
      </c>
      <c r="H7587" s="35"/>
      <c r="P7587" s="6"/>
    </row>
    <row r="7588" spans="1:16" ht="14.4" x14ac:dyDescent="0.25">
      <c r="A7588" s="6">
        <v>4660</v>
      </c>
      <c r="B7588" s="6">
        <v>33189</v>
      </c>
      <c r="C7588" s="19">
        <v>40137</v>
      </c>
      <c r="D7588" s="6" t="s">
        <v>25</v>
      </c>
      <c r="E7588" s="6">
        <f>IF((ISBLANK($B$1)),"",Sheet1!Q7600)</f>
        <v>3550</v>
      </c>
      <c r="F7588" s="20" t="s">
        <v>27</v>
      </c>
      <c r="G7588" s="53">
        <f t="shared" si="119"/>
        <v>-1.5587864904876745</v>
      </c>
      <c r="H7588" s="35"/>
      <c r="P7588" s="6"/>
    </row>
    <row r="7589" spans="1:16" ht="14.4" x14ac:dyDescent="0.25">
      <c r="A7589" s="6">
        <v>4661</v>
      </c>
      <c r="B7589" s="6">
        <v>33189</v>
      </c>
      <c r="C7589" s="19">
        <v>40137</v>
      </c>
      <c r="D7589" s="6" t="s">
        <v>25</v>
      </c>
      <c r="E7589" s="6">
        <f>IF((ISBLANK($B$1)),"",Sheet1!Q7601)</f>
        <v>3650</v>
      </c>
      <c r="F7589" s="20" t="s">
        <v>26</v>
      </c>
      <c r="G7589" s="53">
        <f t="shared" si="119"/>
        <v>-1.4206910632167202</v>
      </c>
      <c r="H7589" s="35"/>
      <c r="P7589" s="6"/>
    </row>
    <row r="7590" spans="1:16" ht="14.4" x14ac:dyDescent="0.25">
      <c r="A7590" s="6">
        <v>4699</v>
      </c>
      <c r="B7590" s="6">
        <v>33479</v>
      </c>
      <c r="C7590" s="19">
        <v>41170</v>
      </c>
      <c r="D7590" s="6" t="s">
        <v>30</v>
      </c>
      <c r="E7590" s="6">
        <f>IF((ISBLANK($B$1)),"",Sheet1!Q7602)</f>
        <v>5900</v>
      </c>
      <c r="F7590" s="20" t="s">
        <v>26</v>
      </c>
      <c r="G7590" s="53">
        <f t="shared" si="119"/>
        <v>1.6864560503797523</v>
      </c>
      <c r="H7590" s="35"/>
      <c r="P7590" s="6"/>
    </row>
    <row r="7591" spans="1:16" ht="14.4" x14ac:dyDescent="0.25">
      <c r="A7591" s="6">
        <v>4700</v>
      </c>
      <c r="B7591" s="6">
        <v>33479</v>
      </c>
      <c r="C7591" s="19">
        <v>41170</v>
      </c>
      <c r="D7591" s="6" t="s">
        <v>30</v>
      </c>
      <c r="E7591" s="6">
        <f>IF((ISBLANK($B$1)),"",Sheet1!Q7603)</f>
        <v>4750</v>
      </c>
      <c r="F7591" s="20" t="s">
        <v>26</v>
      </c>
      <c r="G7591" s="53">
        <f t="shared" si="119"/>
        <v>9.8358636763777513E-2</v>
      </c>
      <c r="H7591" s="35"/>
      <c r="P7591" s="6"/>
    </row>
    <row r="7592" spans="1:16" ht="14.4" x14ac:dyDescent="0.25">
      <c r="A7592" s="6">
        <v>4827</v>
      </c>
      <c r="B7592" s="6">
        <v>34311</v>
      </c>
      <c r="C7592" s="19">
        <v>40061</v>
      </c>
      <c r="D7592" s="6" t="s">
        <v>17</v>
      </c>
      <c r="E7592" s="6">
        <f>IF((ISBLANK($B$1)),"",Sheet1!Q7604)</f>
        <v>5350</v>
      </c>
      <c r="F7592" s="20" t="s">
        <v>26</v>
      </c>
      <c r="G7592" s="53">
        <f t="shared" si="119"/>
        <v>0.92693120038950361</v>
      </c>
      <c r="H7592" s="35"/>
      <c r="P7592" s="6"/>
    </row>
    <row r="7593" spans="1:16" ht="14.4" x14ac:dyDescent="0.25">
      <c r="A7593" s="6">
        <v>4828</v>
      </c>
      <c r="B7593" s="6">
        <v>34311</v>
      </c>
      <c r="C7593" s="19">
        <v>40061</v>
      </c>
      <c r="D7593" s="6" t="s">
        <v>17</v>
      </c>
      <c r="E7593" s="6">
        <f>IF((ISBLANK($B$1)),"",Sheet1!Q7605)</f>
        <v>5000</v>
      </c>
      <c r="F7593" s="20" t="s">
        <v>26</v>
      </c>
      <c r="G7593" s="53">
        <f t="shared" si="119"/>
        <v>0.44359720494116334</v>
      </c>
      <c r="H7593" s="35"/>
      <c r="P7593" s="6"/>
    </row>
    <row r="7594" spans="1:16" ht="14.4" x14ac:dyDescent="0.25">
      <c r="A7594" s="6">
        <v>4937</v>
      </c>
      <c r="B7594" s="6">
        <v>35111</v>
      </c>
      <c r="C7594" s="19">
        <v>40334</v>
      </c>
      <c r="D7594" s="6" t="s">
        <v>30</v>
      </c>
      <c r="E7594" s="6">
        <f>IF((ISBLANK($B$1)),"",Sheet1!Q7606)</f>
        <v>5350</v>
      </c>
      <c r="F7594" s="20" t="s">
        <v>26</v>
      </c>
      <c r="G7594" s="53">
        <f t="shared" si="119"/>
        <v>0.92693120038950361</v>
      </c>
      <c r="H7594" s="35"/>
      <c r="P7594" s="6"/>
    </row>
    <row r="7595" spans="1:16" ht="14.4" x14ac:dyDescent="0.25">
      <c r="A7595" s="6">
        <v>4947</v>
      </c>
      <c r="B7595" s="6">
        <v>35173</v>
      </c>
      <c r="C7595" s="19">
        <v>40981</v>
      </c>
      <c r="D7595" s="6" t="s">
        <v>28</v>
      </c>
      <c r="E7595" s="6">
        <f>IF((ISBLANK($B$1)),"",Sheet1!Q7607)</f>
        <v>4850</v>
      </c>
      <c r="F7595" s="20" t="s">
        <v>29</v>
      </c>
      <c r="G7595" s="53">
        <f t="shared" si="119"/>
        <v>0.23645406403473185</v>
      </c>
      <c r="H7595" s="35"/>
      <c r="P7595" s="6"/>
    </row>
    <row r="7596" spans="1:16" ht="14.4" x14ac:dyDescent="0.25">
      <c r="A7596" s="6">
        <v>4948</v>
      </c>
      <c r="B7596" s="6">
        <v>35173</v>
      </c>
      <c r="C7596" s="19">
        <v>40981</v>
      </c>
      <c r="D7596" s="6" t="s">
        <v>28</v>
      </c>
      <c r="E7596" s="6">
        <f>IF((ISBLANK($B$1)),"",Sheet1!Q7608)</f>
        <v>4050</v>
      </c>
      <c r="F7596" s="20" t="s">
        <v>27</v>
      </c>
      <c r="G7596" s="53">
        <f t="shared" si="119"/>
        <v>-0.86830935413290289</v>
      </c>
      <c r="H7596" s="35"/>
      <c r="P7596" s="6"/>
    </row>
    <row r="7597" spans="1:16" ht="14.4" x14ac:dyDescent="0.25">
      <c r="A7597" s="6">
        <v>5169</v>
      </c>
      <c r="B7597" s="6">
        <v>36773</v>
      </c>
      <c r="C7597" s="19">
        <v>40444</v>
      </c>
      <c r="D7597" s="6" t="s">
        <v>28</v>
      </c>
      <c r="E7597" s="6">
        <f>IF((ISBLANK($B$1)),"",Sheet1!Q7609)</f>
        <v>4600</v>
      </c>
      <c r="F7597" s="20" t="s">
        <v>26</v>
      </c>
      <c r="G7597" s="53">
        <f t="shared" si="119"/>
        <v>-0.108784504142654</v>
      </c>
      <c r="H7597" s="35"/>
      <c r="P7597" s="6"/>
    </row>
    <row r="7598" spans="1:16" ht="14.4" x14ac:dyDescent="0.25">
      <c r="A7598" s="6">
        <v>5205</v>
      </c>
      <c r="B7598" s="6">
        <v>36997</v>
      </c>
      <c r="C7598" s="19">
        <v>40517</v>
      </c>
      <c r="D7598" s="6" t="s">
        <v>28</v>
      </c>
      <c r="E7598" s="6">
        <f>IF((ISBLANK($B$1)),"",Sheet1!Q7610)</f>
        <v>5350</v>
      </c>
      <c r="F7598" s="20" t="s">
        <v>26</v>
      </c>
      <c r="G7598" s="53">
        <f t="shared" si="119"/>
        <v>0.92693120038950361</v>
      </c>
      <c r="H7598" s="35"/>
      <c r="P7598" s="6"/>
    </row>
    <row r="7599" spans="1:16" ht="14.4" x14ac:dyDescent="0.25">
      <c r="A7599" s="6">
        <v>5295</v>
      </c>
      <c r="B7599" s="6">
        <v>37700</v>
      </c>
      <c r="C7599" s="19">
        <v>40155</v>
      </c>
      <c r="D7599" s="6" t="s">
        <v>30</v>
      </c>
      <c r="E7599" s="6">
        <f>IF((ISBLANK($B$1)),"",Sheet1!Q7611)</f>
        <v>4750</v>
      </c>
      <c r="F7599" s="20" t="s">
        <v>26</v>
      </c>
      <c r="G7599" s="53">
        <f t="shared" si="119"/>
        <v>9.8358636763777513E-2</v>
      </c>
      <c r="H7599" s="35"/>
      <c r="P7599" s="6"/>
    </row>
    <row r="7600" spans="1:16" ht="14.4" x14ac:dyDescent="0.25">
      <c r="A7600" s="6">
        <v>5421</v>
      </c>
      <c r="B7600" s="6">
        <v>38529</v>
      </c>
      <c r="C7600" s="19">
        <v>39846</v>
      </c>
      <c r="D7600" s="6" t="s">
        <v>25</v>
      </c>
      <c r="E7600" s="6">
        <f>IF((ISBLANK($B$1)),"",Sheet1!Q7612)</f>
        <v>5300</v>
      </c>
      <c r="F7600" s="20" t="s">
        <v>26</v>
      </c>
      <c r="G7600" s="53">
        <f t="shared" si="119"/>
        <v>0.85788348675402637</v>
      </c>
      <c r="H7600" s="35"/>
      <c r="P7600" s="6"/>
    </row>
    <row r="7601" spans="1:16" ht="14.4" x14ac:dyDescent="0.25">
      <c r="A7601" s="6">
        <v>5682</v>
      </c>
      <c r="B7601" s="6">
        <v>40162</v>
      </c>
      <c r="C7601" s="19">
        <v>40202</v>
      </c>
      <c r="D7601" s="6" t="s">
        <v>30</v>
      </c>
      <c r="E7601" s="6">
        <f>IF((ISBLANK($B$1)),"",Sheet1!Q7613)</f>
        <v>4800</v>
      </c>
      <c r="F7601" s="20" t="s">
        <v>26</v>
      </c>
      <c r="G7601" s="53">
        <f t="shared" si="119"/>
        <v>0.16740635039925467</v>
      </c>
      <c r="H7601" s="35"/>
      <c r="P7601" s="6"/>
    </row>
    <row r="7602" spans="1:16" ht="14.4" x14ac:dyDescent="0.25">
      <c r="A7602" s="6">
        <v>5727</v>
      </c>
      <c r="B7602" s="6">
        <v>40612</v>
      </c>
      <c r="C7602" s="19">
        <v>40602</v>
      </c>
      <c r="D7602" s="6" t="s">
        <v>17</v>
      </c>
      <c r="E7602" s="6">
        <f>IF((ISBLANK($B$1)),"",Sheet1!Q7614)</f>
        <v>3850</v>
      </c>
      <c r="F7602" s="20" t="s">
        <v>26</v>
      </c>
      <c r="G7602" s="53">
        <f t="shared" si="119"/>
        <v>-1.1445002086748115</v>
      </c>
      <c r="H7602" s="35"/>
      <c r="P7602" s="6"/>
    </row>
    <row r="7603" spans="1:16" ht="14.4" x14ac:dyDescent="0.25">
      <c r="A7603" s="6">
        <v>5918</v>
      </c>
      <c r="B7603" s="6">
        <v>41987</v>
      </c>
      <c r="C7603" s="19">
        <v>40837</v>
      </c>
      <c r="D7603" s="6" t="s">
        <v>28</v>
      </c>
      <c r="E7603" s="6">
        <f>IF((ISBLANK($B$1)),"",Sheet1!Q7615)</f>
        <v>4650</v>
      </c>
      <c r="F7603" s="20" t="s">
        <v>29</v>
      </c>
      <c r="G7603" s="53">
        <f t="shared" si="119"/>
        <v>-3.9736790507176829E-2</v>
      </c>
      <c r="H7603" s="35"/>
      <c r="P7603" s="6"/>
    </row>
    <row r="7604" spans="1:16" ht="14.4" x14ac:dyDescent="0.25">
      <c r="A7604" s="6">
        <v>5932</v>
      </c>
      <c r="B7604" s="6">
        <v>42083</v>
      </c>
      <c r="C7604" s="19">
        <v>40888</v>
      </c>
      <c r="D7604" s="6" t="s">
        <v>30</v>
      </c>
      <c r="E7604" s="6">
        <f>IF((ISBLANK($B$1)),"",Sheet1!Q7616)</f>
        <v>5300</v>
      </c>
      <c r="F7604" s="20" t="s">
        <v>29</v>
      </c>
      <c r="G7604" s="53">
        <f t="shared" si="119"/>
        <v>0.85788348675402637</v>
      </c>
      <c r="H7604" s="35"/>
      <c r="P7604" s="6"/>
    </row>
    <row r="7605" spans="1:16" ht="14.4" x14ac:dyDescent="0.25">
      <c r="A7605" s="6">
        <v>5933</v>
      </c>
      <c r="B7605" s="6">
        <v>42083</v>
      </c>
      <c r="C7605" s="19">
        <v>40888</v>
      </c>
      <c r="D7605" s="6" t="s">
        <v>30</v>
      </c>
      <c r="E7605" s="6">
        <f>IF((ISBLANK($B$1)),"",Sheet1!Q7617)</f>
        <v>5200</v>
      </c>
      <c r="F7605" s="20" t="s">
        <v>26</v>
      </c>
      <c r="G7605" s="53">
        <f t="shared" si="119"/>
        <v>0.71978805948307201</v>
      </c>
      <c r="H7605" s="35"/>
      <c r="P7605" s="6"/>
    </row>
    <row r="7606" spans="1:16" ht="14.4" x14ac:dyDescent="0.25">
      <c r="A7606" s="6">
        <v>5934</v>
      </c>
      <c r="B7606" s="6">
        <v>42083</v>
      </c>
      <c r="C7606" s="19">
        <v>40888</v>
      </c>
      <c r="D7606" s="6" t="s">
        <v>30</v>
      </c>
      <c r="E7606" s="6">
        <f>IF((ISBLANK($B$1)),"",Sheet1!Q7618)</f>
        <v>5050</v>
      </c>
      <c r="F7606" s="20" t="s">
        <v>26</v>
      </c>
      <c r="G7606" s="53">
        <f t="shared" si="119"/>
        <v>0.51264491857664052</v>
      </c>
      <c r="H7606" s="35"/>
      <c r="P7606" s="6"/>
    </row>
    <row r="7607" spans="1:16" ht="14.4" x14ac:dyDescent="0.25">
      <c r="A7607" s="6">
        <v>5941</v>
      </c>
      <c r="B7607" s="6">
        <v>42151</v>
      </c>
      <c r="C7607" s="19">
        <v>40527</v>
      </c>
      <c r="D7607" s="6" t="s">
        <v>17</v>
      </c>
      <c r="E7607" s="6">
        <f>IF((ISBLANK($B$1)),"",Sheet1!Q7619)</f>
        <v>5150</v>
      </c>
      <c r="F7607" s="20" t="s">
        <v>27</v>
      </c>
      <c r="G7607" s="53">
        <f t="shared" si="119"/>
        <v>0.65074034584759488</v>
      </c>
      <c r="H7607" s="35"/>
      <c r="P7607" s="6"/>
    </row>
    <row r="7608" spans="1:16" ht="14.4" x14ac:dyDescent="0.25">
      <c r="A7608" s="6">
        <v>6021</v>
      </c>
      <c r="B7608" s="6">
        <v>42658</v>
      </c>
      <c r="C7608" s="19">
        <v>40344</v>
      </c>
      <c r="D7608" s="6" t="s">
        <v>16</v>
      </c>
      <c r="E7608" s="6">
        <f>IF((ISBLANK($B$1)),"",Sheet1!Q7620)</f>
        <v>4850</v>
      </c>
      <c r="F7608" s="20" t="s">
        <v>26</v>
      </c>
      <c r="G7608" s="53">
        <f t="shared" si="119"/>
        <v>0.23645406403473185</v>
      </c>
      <c r="H7608" s="35"/>
      <c r="P7608" s="6"/>
    </row>
    <row r="7609" spans="1:16" ht="14.4" x14ac:dyDescent="0.25">
      <c r="A7609" s="6">
        <v>6200</v>
      </c>
      <c r="B7609" s="6">
        <v>43911</v>
      </c>
      <c r="C7609" s="19">
        <v>39827</v>
      </c>
      <c r="D7609" s="6" t="s">
        <v>16</v>
      </c>
      <c r="E7609" s="6">
        <f>IF((ISBLANK($B$1)),"",Sheet1!Q7621)</f>
        <v>4850</v>
      </c>
      <c r="F7609" s="20" t="s">
        <v>29</v>
      </c>
      <c r="G7609" s="53">
        <f t="shared" si="119"/>
        <v>0.23645406403473185</v>
      </c>
      <c r="H7609" s="35"/>
      <c r="P7609" s="6"/>
    </row>
    <row r="7610" spans="1:16" ht="14.4" x14ac:dyDescent="0.25">
      <c r="A7610" s="6">
        <v>6201</v>
      </c>
      <c r="B7610" s="6">
        <v>43911</v>
      </c>
      <c r="C7610" s="19">
        <v>39827</v>
      </c>
      <c r="D7610" s="6" t="s">
        <v>16</v>
      </c>
      <c r="E7610" s="6">
        <f>IF((ISBLANK($B$1)),"",Sheet1!Q7622)</f>
        <v>5200</v>
      </c>
      <c r="F7610" s="20" t="s">
        <v>27</v>
      </c>
      <c r="G7610" s="53">
        <f t="shared" si="119"/>
        <v>0.71978805948307201</v>
      </c>
      <c r="H7610" s="35"/>
      <c r="P7610" s="6"/>
    </row>
    <row r="7611" spans="1:16" ht="14.4" x14ac:dyDescent="0.25">
      <c r="A7611" s="6">
        <v>6202</v>
      </c>
      <c r="B7611" s="6">
        <v>43911</v>
      </c>
      <c r="C7611" s="19">
        <v>39827</v>
      </c>
      <c r="D7611" s="6" t="s">
        <v>16</v>
      </c>
      <c r="E7611" s="6">
        <f>IF((ISBLANK($B$1)),"",Sheet1!Q7623)</f>
        <v>4550</v>
      </c>
      <c r="F7611" s="20" t="s">
        <v>29</v>
      </c>
      <c r="G7611" s="53">
        <f t="shared" si="119"/>
        <v>-0.17783221777813119</v>
      </c>
      <c r="H7611" s="35"/>
      <c r="P7611" s="6"/>
    </row>
    <row r="7612" spans="1:16" ht="14.4" x14ac:dyDescent="0.25">
      <c r="A7612" s="6">
        <v>6215</v>
      </c>
      <c r="B7612" s="6">
        <v>44005</v>
      </c>
      <c r="C7612" s="19">
        <v>40424</v>
      </c>
      <c r="D7612" s="6" t="s">
        <v>16</v>
      </c>
      <c r="E7612" s="6">
        <f>IF((ISBLANK($B$1)),"",Sheet1!Q7624)</f>
        <v>3750</v>
      </c>
      <c r="F7612" s="20" t="s">
        <v>27</v>
      </c>
      <c r="G7612" s="53">
        <f t="shared" si="119"/>
        <v>-1.282595635945766</v>
      </c>
      <c r="H7612" s="35"/>
      <c r="P7612" s="6"/>
    </row>
    <row r="7613" spans="1:16" ht="14.4" x14ac:dyDescent="0.25">
      <c r="A7613" s="6">
        <v>6285</v>
      </c>
      <c r="B7613" s="6">
        <v>44486</v>
      </c>
      <c r="C7613" s="19">
        <v>41099</v>
      </c>
      <c r="D7613" s="6" t="s">
        <v>30</v>
      </c>
      <c r="E7613" s="6">
        <f>IF((ISBLANK($B$1)),"",Sheet1!Q7625)</f>
        <v>5200</v>
      </c>
      <c r="F7613" s="20" t="s">
        <v>26</v>
      </c>
      <c r="G7613" s="53">
        <f t="shared" si="119"/>
        <v>0.71978805948307201</v>
      </c>
      <c r="H7613" s="35"/>
      <c r="P7613" s="6"/>
    </row>
    <row r="7614" spans="1:16" ht="14.4" x14ac:dyDescent="0.25">
      <c r="A7614" s="6">
        <v>6378</v>
      </c>
      <c r="B7614" s="6">
        <v>45284</v>
      </c>
      <c r="C7614" s="19">
        <v>40915</v>
      </c>
      <c r="D7614" s="6" t="s">
        <v>17</v>
      </c>
      <c r="E7614" s="6">
        <f>IF((ISBLANK($B$1)),"",Sheet1!Q7626)</f>
        <v>3750</v>
      </c>
      <c r="F7614" s="20" t="s">
        <v>26</v>
      </c>
      <c r="G7614" s="53">
        <f t="shared" si="119"/>
        <v>-1.282595635945766</v>
      </c>
      <c r="H7614" s="35"/>
      <c r="P7614" s="6"/>
    </row>
    <row r="7615" spans="1:16" ht="14.4" x14ac:dyDescent="0.25">
      <c r="A7615" s="6">
        <v>6424</v>
      </c>
      <c r="B7615" s="6">
        <v>45668</v>
      </c>
      <c r="C7615" s="19">
        <v>40524</v>
      </c>
      <c r="D7615" s="6" t="s">
        <v>28</v>
      </c>
      <c r="E7615" s="6">
        <f>IF((ISBLANK($B$1)),"",Sheet1!Q7627)</f>
        <v>3800</v>
      </c>
      <c r="F7615" s="20" t="s">
        <v>29</v>
      </c>
      <c r="G7615" s="53">
        <f t="shared" si="119"/>
        <v>-1.2135479223102887</v>
      </c>
      <c r="H7615" s="35"/>
      <c r="P7615" s="6"/>
    </row>
    <row r="7616" spans="1:16" ht="14.4" x14ac:dyDescent="0.25">
      <c r="A7616" s="6">
        <v>6465</v>
      </c>
      <c r="B7616" s="6">
        <v>46023</v>
      </c>
      <c r="C7616" s="19">
        <v>40992</v>
      </c>
      <c r="D7616" s="6" t="s">
        <v>28</v>
      </c>
      <c r="E7616" s="6">
        <f>IF((ISBLANK($B$1)),"",Sheet1!Q7628)</f>
        <v>5900</v>
      </c>
      <c r="F7616" s="20" t="s">
        <v>26</v>
      </c>
      <c r="G7616" s="53">
        <f t="shared" si="119"/>
        <v>1.6864560503797523</v>
      </c>
      <c r="H7616" s="35"/>
      <c r="P7616" s="6"/>
    </row>
    <row r="7617" spans="1:16" ht="14.4" x14ac:dyDescent="0.25">
      <c r="A7617" s="6">
        <v>6544</v>
      </c>
      <c r="B7617" s="6">
        <v>46533</v>
      </c>
      <c r="C7617" s="19">
        <v>40093</v>
      </c>
      <c r="D7617" s="6" t="s">
        <v>17</v>
      </c>
      <c r="E7617" s="6">
        <f>IF((ISBLANK($B$1)),"",Sheet1!Q7629)</f>
        <v>3550</v>
      </c>
      <c r="F7617" s="20" t="s">
        <v>29</v>
      </c>
      <c r="G7617" s="53">
        <f t="shared" si="119"/>
        <v>-1.5587864904876745</v>
      </c>
      <c r="H7617" s="35"/>
      <c r="P7617" s="6"/>
    </row>
    <row r="7618" spans="1:16" ht="14.4" x14ac:dyDescent="0.25">
      <c r="A7618" s="6">
        <v>6545</v>
      </c>
      <c r="B7618" s="6">
        <v>46533</v>
      </c>
      <c r="C7618" s="19">
        <v>40093</v>
      </c>
      <c r="D7618" s="6" t="s">
        <v>17</v>
      </c>
      <c r="E7618" s="6">
        <f>IF((ISBLANK($B$1)),"",Sheet1!Q7630)</f>
        <v>4000</v>
      </c>
      <c r="F7618" s="20" t="s">
        <v>27</v>
      </c>
      <c r="G7618" s="53">
        <f t="shared" si="119"/>
        <v>-0.93735706776838001</v>
      </c>
      <c r="H7618" s="35"/>
      <c r="P7618" s="6"/>
    </row>
    <row r="7619" spans="1:16" ht="14.4" x14ac:dyDescent="0.25">
      <c r="A7619" s="6">
        <v>6784</v>
      </c>
      <c r="B7619" s="6">
        <v>48321</v>
      </c>
      <c r="C7619" s="19">
        <v>40388</v>
      </c>
      <c r="D7619" s="6" t="s">
        <v>17</v>
      </c>
      <c r="E7619" s="6">
        <f>IF((ISBLANK($B$1)),"",Sheet1!Q7631)</f>
        <v>4950</v>
      </c>
      <c r="F7619" s="20" t="s">
        <v>26</v>
      </c>
      <c r="G7619" s="53">
        <f t="shared" si="119"/>
        <v>0.37454949130568621</v>
      </c>
      <c r="H7619" s="35"/>
      <c r="P7619" s="6"/>
    </row>
    <row r="7620" spans="1:16" ht="14.4" x14ac:dyDescent="0.25">
      <c r="A7620" s="6">
        <v>6837</v>
      </c>
      <c r="B7620" s="6">
        <v>48673</v>
      </c>
      <c r="C7620" s="19">
        <v>41025</v>
      </c>
      <c r="D7620" s="6" t="s">
        <v>28</v>
      </c>
      <c r="E7620" s="6">
        <f>IF((ISBLANK($B$1)),"",Sheet1!Q7632)</f>
        <v>5200</v>
      </c>
      <c r="F7620" s="20" t="s">
        <v>26</v>
      </c>
      <c r="G7620" s="53">
        <f t="shared" si="119"/>
        <v>0.71978805948307201</v>
      </c>
      <c r="H7620" s="35"/>
      <c r="P7620" s="6"/>
    </row>
    <row r="7621" spans="1:16" ht="14.4" x14ac:dyDescent="0.25">
      <c r="A7621" s="6">
        <v>6843</v>
      </c>
      <c r="B7621" s="6">
        <v>48742</v>
      </c>
      <c r="C7621" s="19">
        <v>41016</v>
      </c>
      <c r="D7621" s="6" t="s">
        <v>28</v>
      </c>
      <c r="E7621" s="6">
        <f>IF((ISBLANK($B$1)),"",Sheet1!Q7633)</f>
        <v>5500</v>
      </c>
      <c r="F7621" s="20" t="s">
        <v>26</v>
      </c>
      <c r="G7621" s="53">
        <f t="shared" si="119"/>
        <v>1.1340743412959351</v>
      </c>
      <c r="H7621" s="35"/>
      <c r="P7621" s="6"/>
    </row>
    <row r="7622" spans="1:16" ht="14.4" x14ac:dyDescent="0.25">
      <c r="A7622" s="6">
        <v>6876</v>
      </c>
      <c r="B7622" s="6">
        <v>48998</v>
      </c>
      <c r="C7622" s="19">
        <v>39860</v>
      </c>
      <c r="D7622" s="6" t="s">
        <v>25</v>
      </c>
      <c r="E7622" s="6">
        <f>IF((ISBLANK($B$1)),"",Sheet1!Q7634)</f>
        <v>4150</v>
      </c>
      <c r="F7622" s="20" t="s">
        <v>26</v>
      </c>
      <c r="G7622" s="53">
        <f t="shared" si="119"/>
        <v>-0.73021392686194853</v>
      </c>
      <c r="H7622" s="35"/>
      <c r="P7622" s="6"/>
    </row>
    <row r="7623" spans="1:16" ht="14.4" x14ac:dyDescent="0.25">
      <c r="A7623" s="6">
        <v>7038</v>
      </c>
      <c r="B7623" s="6">
        <v>50246</v>
      </c>
      <c r="C7623" s="19">
        <v>40408</v>
      </c>
      <c r="D7623" s="6" t="s">
        <v>16</v>
      </c>
      <c r="E7623" s="6">
        <f>IF((ISBLANK($B$1)),"",Sheet1!Q7635)</f>
        <v>4100</v>
      </c>
      <c r="F7623" s="20" t="s">
        <v>26</v>
      </c>
      <c r="G7623" s="53">
        <f t="shared" si="119"/>
        <v>-0.79926164049742576</v>
      </c>
      <c r="H7623" s="35"/>
      <c r="P7623" s="6"/>
    </row>
    <row r="7624" spans="1:16" ht="14.4" x14ac:dyDescent="0.25">
      <c r="A7624" s="6">
        <v>7172</v>
      </c>
      <c r="B7624" s="6">
        <v>51200</v>
      </c>
      <c r="C7624" s="19">
        <v>40865</v>
      </c>
      <c r="D7624" s="6" t="s">
        <v>16</v>
      </c>
      <c r="E7624" s="6">
        <f>IF((ISBLANK($B$1)),"",Sheet1!Q7636)</f>
        <v>4850</v>
      </c>
      <c r="F7624" s="20" t="s">
        <v>27</v>
      </c>
      <c r="G7624" s="53">
        <f t="shared" ref="G7624:G7687" si="120">STANDARDIZE(E7624,$L$26,$L$35)</f>
        <v>0.23645406403473185</v>
      </c>
      <c r="H7624" s="35"/>
      <c r="P7624" s="6"/>
    </row>
    <row r="7625" spans="1:16" ht="14.4" x14ac:dyDescent="0.25">
      <c r="A7625" s="6">
        <v>7189</v>
      </c>
      <c r="B7625" s="6">
        <v>51271</v>
      </c>
      <c r="C7625" s="19">
        <v>40476</v>
      </c>
      <c r="D7625" s="6" t="s">
        <v>17</v>
      </c>
      <c r="E7625" s="6">
        <f>IF((ISBLANK($B$1)),"",Sheet1!Q7637)</f>
        <v>4950</v>
      </c>
      <c r="F7625" s="20" t="s">
        <v>29</v>
      </c>
      <c r="G7625" s="53">
        <f t="shared" si="120"/>
        <v>0.37454949130568621</v>
      </c>
      <c r="H7625" s="35"/>
      <c r="P7625" s="6"/>
    </row>
    <row r="7626" spans="1:16" ht="14.4" x14ac:dyDescent="0.25">
      <c r="A7626" s="6">
        <v>7190</v>
      </c>
      <c r="B7626" s="6">
        <v>51271</v>
      </c>
      <c r="C7626" s="19">
        <v>40476</v>
      </c>
      <c r="D7626" s="6" t="s">
        <v>17</v>
      </c>
      <c r="E7626" s="6">
        <f>IF((ISBLANK($B$1)),"",Sheet1!Q7638)</f>
        <v>4200</v>
      </c>
      <c r="F7626" s="20" t="s">
        <v>27</v>
      </c>
      <c r="G7626" s="53">
        <f t="shared" si="120"/>
        <v>-0.6611662132264714</v>
      </c>
      <c r="H7626" s="35"/>
      <c r="P7626" s="6"/>
    </row>
    <row r="7627" spans="1:16" ht="14.4" x14ac:dyDescent="0.25">
      <c r="A7627" s="6">
        <v>7191</v>
      </c>
      <c r="B7627" s="6">
        <v>51297</v>
      </c>
      <c r="C7627" s="19">
        <v>41224</v>
      </c>
      <c r="D7627" s="6" t="s">
        <v>25</v>
      </c>
      <c r="E7627" s="6">
        <f>IF((ISBLANK($B$1)),"",Sheet1!Q7639)</f>
        <v>5450</v>
      </c>
      <c r="F7627" s="20" t="s">
        <v>26</v>
      </c>
      <c r="G7627" s="53">
        <f t="shared" si="120"/>
        <v>1.0650266276604579</v>
      </c>
      <c r="H7627" s="35"/>
      <c r="P7627" s="6"/>
    </row>
    <row r="7628" spans="1:16" ht="14.4" x14ac:dyDescent="0.25">
      <c r="A7628" s="6">
        <v>7266</v>
      </c>
      <c r="B7628" s="6">
        <v>51842</v>
      </c>
      <c r="C7628" s="19">
        <v>40875</v>
      </c>
      <c r="D7628" s="6" t="s">
        <v>25</v>
      </c>
      <c r="E7628" s="6">
        <f>IF((ISBLANK($B$1)),"",Sheet1!Q7640)</f>
        <v>3450</v>
      </c>
      <c r="F7628" s="20" t="s">
        <v>26</v>
      </c>
      <c r="G7628" s="53">
        <f t="shared" si="120"/>
        <v>-1.696881917758629</v>
      </c>
      <c r="H7628" s="35"/>
      <c r="P7628" s="6"/>
    </row>
    <row r="7629" spans="1:16" ht="14.4" x14ac:dyDescent="0.25">
      <c r="A7629" s="6">
        <v>7267</v>
      </c>
      <c r="B7629" s="6">
        <v>51842</v>
      </c>
      <c r="C7629" s="19">
        <v>40875</v>
      </c>
      <c r="D7629" s="6" t="s">
        <v>25</v>
      </c>
      <c r="E7629" s="6">
        <f>IF((ISBLANK($B$1)),"",Sheet1!Q7641)</f>
        <v>3600</v>
      </c>
      <c r="F7629" s="20" t="s">
        <v>26</v>
      </c>
      <c r="G7629" s="53">
        <f t="shared" si="120"/>
        <v>-1.4897387768521975</v>
      </c>
      <c r="H7629" s="35"/>
      <c r="P7629" s="6"/>
    </row>
    <row r="7630" spans="1:16" ht="14.4" x14ac:dyDescent="0.25">
      <c r="A7630" s="6">
        <v>7282</v>
      </c>
      <c r="B7630" s="6">
        <v>51968</v>
      </c>
      <c r="C7630" s="19">
        <v>40061</v>
      </c>
      <c r="D7630" s="6" t="s">
        <v>16</v>
      </c>
      <c r="E7630" s="6">
        <f>IF((ISBLANK($B$1)),"",Sheet1!Q7642)</f>
        <v>5550</v>
      </c>
      <c r="F7630" s="20" t="s">
        <v>27</v>
      </c>
      <c r="G7630" s="53">
        <f t="shared" si="120"/>
        <v>1.2031220549314123</v>
      </c>
      <c r="H7630" s="35"/>
      <c r="P7630" s="6"/>
    </row>
    <row r="7631" spans="1:16" ht="14.4" x14ac:dyDescent="0.25">
      <c r="A7631" s="6">
        <v>7374</v>
      </c>
      <c r="B7631" s="6">
        <v>52578</v>
      </c>
      <c r="C7631" s="19">
        <v>40609</v>
      </c>
      <c r="D7631" s="6" t="s">
        <v>30</v>
      </c>
      <c r="E7631" s="6">
        <f>IF((ISBLANK($B$1)),"",Sheet1!Q7643)</f>
        <v>5300</v>
      </c>
      <c r="F7631" s="20" t="s">
        <v>29</v>
      </c>
      <c r="G7631" s="53">
        <f t="shared" si="120"/>
        <v>0.85788348675402637</v>
      </c>
      <c r="H7631" s="35"/>
      <c r="P7631" s="6"/>
    </row>
    <row r="7632" spans="1:16" ht="14.4" x14ac:dyDescent="0.25">
      <c r="A7632" s="6">
        <v>7375</v>
      </c>
      <c r="B7632" s="6">
        <v>52578</v>
      </c>
      <c r="C7632" s="19">
        <v>40609</v>
      </c>
      <c r="D7632" s="6" t="s">
        <v>30</v>
      </c>
      <c r="E7632" s="6">
        <f>IF((ISBLANK($B$1)),"",Sheet1!Q7644)</f>
        <v>3800</v>
      </c>
      <c r="F7632" s="20" t="s">
        <v>29</v>
      </c>
      <c r="G7632" s="53">
        <f t="shared" si="120"/>
        <v>-1.2135479223102887</v>
      </c>
      <c r="H7632" s="35"/>
      <c r="P7632" s="6"/>
    </row>
    <row r="7633" spans="1:16" ht="14.4" x14ac:dyDescent="0.25">
      <c r="A7633" s="6">
        <v>7439</v>
      </c>
      <c r="B7633" s="6">
        <v>53027</v>
      </c>
      <c r="C7633" s="19">
        <v>40477</v>
      </c>
      <c r="D7633" s="6" t="s">
        <v>25</v>
      </c>
      <c r="E7633" s="6">
        <f>IF((ISBLANK($B$1)),"",Sheet1!Q7645)</f>
        <v>5300</v>
      </c>
      <c r="F7633" s="20" t="s">
        <v>26</v>
      </c>
      <c r="G7633" s="53">
        <f t="shared" si="120"/>
        <v>0.85788348675402637</v>
      </c>
      <c r="H7633" s="35"/>
      <c r="P7633" s="6"/>
    </row>
    <row r="7634" spans="1:16" ht="14.4" x14ac:dyDescent="0.25">
      <c r="A7634" s="6">
        <v>7580</v>
      </c>
      <c r="B7634" s="6">
        <v>54214</v>
      </c>
      <c r="C7634" s="19">
        <v>40910</v>
      </c>
      <c r="D7634" s="6" t="s">
        <v>16</v>
      </c>
      <c r="E7634" s="6">
        <f>IF((ISBLANK($B$1)),"",Sheet1!Q7646)</f>
        <v>5300</v>
      </c>
      <c r="F7634" s="20" t="s">
        <v>27</v>
      </c>
      <c r="G7634" s="53">
        <f t="shared" si="120"/>
        <v>0.85788348675402637</v>
      </c>
      <c r="H7634" s="35"/>
      <c r="P7634" s="6"/>
    </row>
    <row r="7635" spans="1:16" ht="14.4" x14ac:dyDescent="0.25">
      <c r="A7635" s="6">
        <v>7594</v>
      </c>
      <c r="B7635" s="6">
        <v>54342</v>
      </c>
      <c r="C7635" s="19">
        <v>39972</v>
      </c>
      <c r="D7635" s="6" t="s">
        <v>25</v>
      </c>
      <c r="E7635" s="6">
        <f>IF((ISBLANK($B$1)),"",Sheet1!Q7647)</f>
        <v>5150</v>
      </c>
      <c r="F7635" s="20" t="s">
        <v>27</v>
      </c>
      <c r="G7635" s="53">
        <f t="shared" si="120"/>
        <v>0.65074034584759488</v>
      </c>
      <c r="H7635" s="35"/>
      <c r="P7635" s="6"/>
    </row>
    <row r="7636" spans="1:16" ht="14.4" x14ac:dyDescent="0.25">
      <c r="A7636" s="6">
        <v>7595</v>
      </c>
      <c r="B7636" s="6">
        <v>54342</v>
      </c>
      <c r="C7636" s="19">
        <v>39972</v>
      </c>
      <c r="D7636" s="6" t="s">
        <v>25</v>
      </c>
      <c r="E7636" s="6">
        <f>IF((ISBLANK($B$1)),"",Sheet1!Q7648)</f>
        <v>3500</v>
      </c>
      <c r="F7636" s="20" t="s">
        <v>26</v>
      </c>
      <c r="G7636" s="53">
        <f t="shared" si="120"/>
        <v>-1.6278342041231517</v>
      </c>
      <c r="H7636" s="35"/>
      <c r="P7636" s="6"/>
    </row>
    <row r="7637" spans="1:16" ht="14.4" x14ac:dyDescent="0.25">
      <c r="A7637" s="6">
        <v>7635</v>
      </c>
      <c r="B7637" s="6">
        <v>54656</v>
      </c>
      <c r="C7637" s="19">
        <v>41232</v>
      </c>
      <c r="D7637" s="6" t="s">
        <v>17</v>
      </c>
      <c r="E7637" s="6">
        <f>IF((ISBLANK($B$1)),"",Sheet1!Q7649)</f>
        <v>4500</v>
      </c>
      <c r="F7637" s="20" t="s">
        <v>26</v>
      </c>
      <c r="G7637" s="53">
        <f t="shared" si="120"/>
        <v>-0.24687993141360834</v>
      </c>
      <c r="H7637" s="35"/>
      <c r="P7637" s="6"/>
    </row>
    <row r="7638" spans="1:16" ht="14.4" x14ac:dyDescent="0.25">
      <c r="A7638" s="6">
        <v>7664</v>
      </c>
      <c r="B7638" s="6">
        <v>54949</v>
      </c>
      <c r="C7638" s="19">
        <v>40035</v>
      </c>
      <c r="D7638" s="6" t="s">
        <v>25</v>
      </c>
      <c r="E7638" s="6">
        <f>IF((ISBLANK($B$1)),"",Sheet1!Q7650)</f>
        <v>5000</v>
      </c>
      <c r="F7638" s="20" t="s">
        <v>26</v>
      </c>
      <c r="G7638" s="53">
        <f t="shared" si="120"/>
        <v>0.44359720494116334</v>
      </c>
      <c r="H7638" s="35"/>
      <c r="P7638" s="6"/>
    </row>
    <row r="7639" spans="1:16" ht="14.4" x14ac:dyDescent="0.25">
      <c r="A7639" s="6">
        <v>7665</v>
      </c>
      <c r="B7639" s="6">
        <v>54949</v>
      </c>
      <c r="C7639" s="19">
        <v>40035</v>
      </c>
      <c r="D7639" s="6" t="s">
        <v>25</v>
      </c>
      <c r="E7639" s="6">
        <f>IF((ISBLANK($B$1)),"",Sheet1!Q7651)</f>
        <v>3750</v>
      </c>
      <c r="F7639" s="20" t="s">
        <v>26</v>
      </c>
      <c r="G7639" s="53">
        <f t="shared" si="120"/>
        <v>-1.282595635945766</v>
      </c>
      <c r="H7639" s="35"/>
      <c r="P7639" s="6"/>
    </row>
    <row r="7640" spans="1:16" ht="14.4" x14ac:dyDescent="0.25">
      <c r="A7640" s="6">
        <v>7802</v>
      </c>
      <c r="B7640" s="6">
        <v>55813</v>
      </c>
      <c r="C7640" s="19">
        <v>41118</v>
      </c>
      <c r="D7640" s="6" t="s">
        <v>25</v>
      </c>
      <c r="E7640" s="6">
        <f>IF((ISBLANK($B$1)),"",Sheet1!Q7652)</f>
        <v>5350</v>
      </c>
      <c r="F7640" s="20" t="s">
        <v>29</v>
      </c>
      <c r="G7640" s="53">
        <f t="shared" si="120"/>
        <v>0.92693120038950361</v>
      </c>
      <c r="H7640" s="35"/>
      <c r="P7640" s="6"/>
    </row>
    <row r="7641" spans="1:16" ht="14.4" x14ac:dyDescent="0.25">
      <c r="A7641" s="6">
        <v>7910</v>
      </c>
      <c r="B7641" s="6">
        <v>56577</v>
      </c>
      <c r="C7641" s="19">
        <v>40849</v>
      </c>
      <c r="D7641" s="6" t="s">
        <v>30</v>
      </c>
      <c r="E7641" s="6">
        <f>IF((ISBLANK($B$1)),"",Sheet1!Q7653)</f>
        <v>4350</v>
      </c>
      <c r="F7641" s="20" t="s">
        <v>29</v>
      </c>
      <c r="G7641" s="53">
        <f t="shared" si="120"/>
        <v>-0.45402307232003986</v>
      </c>
      <c r="H7641" s="35"/>
      <c r="P7641" s="6"/>
    </row>
    <row r="7642" spans="1:16" ht="14.4" x14ac:dyDescent="0.25">
      <c r="A7642" s="6">
        <v>7954</v>
      </c>
      <c r="B7642" s="6">
        <v>56834</v>
      </c>
      <c r="C7642" s="19">
        <v>40664</v>
      </c>
      <c r="D7642" s="6" t="s">
        <v>17</v>
      </c>
      <c r="E7642" s="6">
        <f>IF((ISBLANK($B$1)),"",Sheet1!Q7654)</f>
        <v>4500</v>
      </c>
      <c r="F7642" s="20" t="s">
        <v>27</v>
      </c>
      <c r="G7642" s="53">
        <f t="shared" si="120"/>
        <v>-0.24687993141360834</v>
      </c>
      <c r="H7642" s="35"/>
      <c r="P7642" s="6"/>
    </row>
    <row r="7643" spans="1:16" ht="14.4" x14ac:dyDescent="0.25">
      <c r="A7643" s="6">
        <v>7955</v>
      </c>
      <c r="B7643" s="6">
        <v>56834</v>
      </c>
      <c r="C7643" s="19">
        <v>40664</v>
      </c>
      <c r="D7643" s="6" t="s">
        <v>17</v>
      </c>
      <c r="E7643" s="6">
        <f>IF((ISBLANK($B$1)),"",Sheet1!Q7655)</f>
        <v>5050</v>
      </c>
      <c r="F7643" s="20" t="s">
        <v>26</v>
      </c>
      <c r="G7643" s="53">
        <f t="shared" si="120"/>
        <v>0.51264491857664052</v>
      </c>
      <c r="H7643" s="35"/>
      <c r="P7643" s="6"/>
    </row>
    <row r="7644" spans="1:16" ht="14.4" x14ac:dyDescent="0.25">
      <c r="A7644" s="6">
        <v>8031</v>
      </c>
      <c r="B7644" s="6">
        <v>57380</v>
      </c>
      <c r="C7644" s="19">
        <v>40836</v>
      </c>
      <c r="D7644" s="6" t="s">
        <v>25</v>
      </c>
      <c r="E7644" s="6">
        <f>IF((ISBLANK($B$1)),"",Sheet1!Q7656)</f>
        <v>3550</v>
      </c>
      <c r="F7644" s="20" t="s">
        <v>29</v>
      </c>
      <c r="G7644" s="53">
        <f t="shared" si="120"/>
        <v>-1.5587864904876745</v>
      </c>
      <c r="H7644" s="35"/>
      <c r="P7644" s="6"/>
    </row>
    <row r="7645" spans="1:16" ht="14.4" x14ac:dyDescent="0.25">
      <c r="A7645" s="6">
        <v>8213</v>
      </c>
      <c r="B7645" s="6">
        <v>58722</v>
      </c>
      <c r="C7645" s="19">
        <v>41193</v>
      </c>
      <c r="D7645" s="6" t="s">
        <v>30</v>
      </c>
      <c r="E7645" s="6">
        <f>IF((ISBLANK($B$1)),"",Sheet1!Q7657)</f>
        <v>5650</v>
      </c>
      <c r="F7645" s="20" t="s">
        <v>29</v>
      </c>
      <c r="G7645" s="53">
        <f t="shared" si="120"/>
        <v>1.3412174822023666</v>
      </c>
      <c r="H7645" s="35"/>
      <c r="P7645" s="6"/>
    </row>
    <row r="7646" spans="1:16" ht="14.4" x14ac:dyDescent="0.25">
      <c r="A7646" s="6">
        <v>8249</v>
      </c>
      <c r="B7646" s="6">
        <v>58981</v>
      </c>
      <c r="C7646" s="19">
        <v>40574</v>
      </c>
      <c r="D7646" s="6" t="s">
        <v>17</v>
      </c>
      <c r="E7646" s="6">
        <f>IF((ISBLANK($B$1)),"",Sheet1!Q7658)</f>
        <v>4800</v>
      </c>
      <c r="F7646" s="20" t="s">
        <v>26</v>
      </c>
      <c r="G7646" s="53">
        <f t="shared" si="120"/>
        <v>0.16740635039925467</v>
      </c>
      <c r="H7646" s="35"/>
      <c r="P7646" s="6"/>
    </row>
    <row r="7647" spans="1:16" ht="14.4" x14ac:dyDescent="0.25">
      <c r="A7647" s="6">
        <v>8356</v>
      </c>
      <c r="B7647" s="6">
        <v>59686</v>
      </c>
      <c r="C7647" s="19">
        <v>40610</v>
      </c>
      <c r="D7647" s="6" t="s">
        <v>25</v>
      </c>
      <c r="E7647" s="6">
        <f>IF((ISBLANK($B$1)),"",Sheet1!Q7659)</f>
        <v>5450</v>
      </c>
      <c r="F7647" s="20" t="s">
        <v>26</v>
      </c>
      <c r="G7647" s="53">
        <f t="shared" si="120"/>
        <v>1.0650266276604579</v>
      </c>
      <c r="H7647" s="35"/>
      <c r="P7647" s="6"/>
    </row>
    <row r="7648" spans="1:16" ht="14.4" x14ac:dyDescent="0.25">
      <c r="A7648" s="6">
        <v>939</v>
      </c>
      <c r="B7648" s="6">
        <v>6791</v>
      </c>
      <c r="C7648" s="19">
        <v>40575</v>
      </c>
      <c r="D7648" s="6" t="s">
        <v>16</v>
      </c>
      <c r="E7648" s="6">
        <f>IF((ISBLANK($B$1)),"",Sheet1!Q7660)</f>
        <v>4100</v>
      </c>
      <c r="F7648" s="20" t="s">
        <v>27</v>
      </c>
      <c r="G7648" s="53">
        <f t="shared" si="120"/>
        <v>-0.79926164049742576</v>
      </c>
      <c r="H7648" s="35"/>
      <c r="P7648" s="6"/>
    </row>
    <row r="7649" spans="1:16" ht="14.4" x14ac:dyDescent="0.25">
      <c r="A7649" s="6">
        <v>1359</v>
      </c>
      <c r="B7649" s="6">
        <v>9895</v>
      </c>
      <c r="C7649" s="19">
        <v>40288</v>
      </c>
      <c r="D7649" s="6" t="s">
        <v>25</v>
      </c>
      <c r="E7649" s="6">
        <f>IF((ISBLANK($B$1)),"",Sheet1!Q7661)</f>
        <v>3850</v>
      </c>
      <c r="F7649" s="20" t="s">
        <v>26</v>
      </c>
      <c r="G7649" s="53">
        <f t="shared" si="120"/>
        <v>-1.1445002086748115</v>
      </c>
      <c r="H7649" s="35"/>
      <c r="P7649" s="6"/>
    </row>
    <row r="7650" spans="1:16" ht="14.4" x14ac:dyDescent="0.25">
      <c r="A7650" s="6">
        <v>1640</v>
      </c>
      <c r="B7650" s="6">
        <v>11846</v>
      </c>
      <c r="C7650" s="19">
        <v>40288</v>
      </c>
      <c r="D7650" s="6" t="s">
        <v>25</v>
      </c>
      <c r="E7650" s="6">
        <f>IF((ISBLANK($B$1)),"",Sheet1!Q7662)</f>
        <v>5850</v>
      </c>
      <c r="F7650" s="20" t="s">
        <v>27</v>
      </c>
      <c r="G7650" s="53">
        <f t="shared" si="120"/>
        <v>1.6174083367442753</v>
      </c>
      <c r="H7650" s="35"/>
      <c r="P7650" s="6"/>
    </row>
    <row r="7651" spans="1:16" ht="14.4" x14ac:dyDescent="0.25">
      <c r="A7651" s="6">
        <v>1641</v>
      </c>
      <c r="B7651" s="6">
        <v>11846</v>
      </c>
      <c r="C7651" s="19">
        <v>40288</v>
      </c>
      <c r="D7651" s="6" t="s">
        <v>25</v>
      </c>
      <c r="E7651" s="6">
        <f>IF((ISBLANK($B$1)),"",Sheet1!Q7663)</f>
        <v>4800</v>
      </c>
      <c r="F7651" s="20" t="s">
        <v>26</v>
      </c>
      <c r="G7651" s="53">
        <f t="shared" si="120"/>
        <v>0.16740635039925467</v>
      </c>
      <c r="H7651" s="35"/>
      <c r="P7651" s="6"/>
    </row>
    <row r="7652" spans="1:16" ht="14.4" x14ac:dyDescent="0.25">
      <c r="A7652" s="6">
        <v>1733</v>
      </c>
      <c r="B7652" s="6">
        <v>12450</v>
      </c>
      <c r="C7652" s="19">
        <v>39884</v>
      </c>
      <c r="D7652" s="6" t="s">
        <v>28</v>
      </c>
      <c r="E7652" s="6">
        <f>IF((ISBLANK($B$1)),"",Sheet1!Q7664)</f>
        <v>4150</v>
      </c>
      <c r="F7652" s="20" t="s">
        <v>27</v>
      </c>
      <c r="G7652" s="53">
        <f t="shared" si="120"/>
        <v>-0.73021392686194853</v>
      </c>
      <c r="H7652" s="35"/>
      <c r="P7652" s="6"/>
    </row>
    <row r="7653" spans="1:16" ht="14.4" x14ac:dyDescent="0.25">
      <c r="A7653" s="6">
        <v>2290</v>
      </c>
      <c r="B7653" s="6">
        <v>16518</v>
      </c>
      <c r="C7653" s="19">
        <v>41181</v>
      </c>
      <c r="D7653" s="6" t="s">
        <v>30</v>
      </c>
      <c r="E7653" s="6">
        <f>IF((ISBLANK($B$1)),"",Sheet1!Q7665)</f>
        <v>3600</v>
      </c>
      <c r="F7653" s="20" t="s">
        <v>26</v>
      </c>
      <c r="G7653" s="53">
        <f t="shared" si="120"/>
        <v>-1.4897387768521975</v>
      </c>
      <c r="H7653" s="35"/>
      <c r="P7653" s="6"/>
    </row>
    <row r="7654" spans="1:16" ht="14.4" x14ac:dyDescent="0.25">
      <c r="A7654" s="6">
        <v>2291</v>
      </c>
      <c r="B7654" s="6">
        <v>16518</v>
      </c>
      <c r="C7654" s="19">
        <v>41181</v>
      </c>
      <c r="D7654" s="6" t="s">
        <v>30</v>
      </c>
      <c r="E7654" s="6">
        <f>IF((ISBLANK($B$1)),"",Sheet1!Q7666)</f>
        <v>5200</v>
      </c>
      <c r="F7654" s="20" t="s">
        <v>27</v>
      </c>
      <c r="G7654" s="53">
        <f t="shared" si="120"/>
        <v>0.71978805948307201</v>
      </c>
      <c r="H7654" s="35"/>
      <c r="P7654" s="6"/>
    </row>
    <row r="7655" spans="1:16" ht="14.4" x14ac:dyDescent="0.25">
      <c r="A7655" s="6">
        <v>2459</v>
      </c>
      <c r="B7655" s="6">
        <v>17860</v>
      </c>
      <c r="C7655" s="19">
        <v>40639</v>
      </c>
      <c r="D7655" s="6" t="s">
        <v>30</v>
      </c>
      <c r="E7655" s="6">
        <f>IF((ISBLANK($B$1)),"",Sheet1!Q7667)</f>
        <v>4200</v>
      </c>
      <c r="F7655" s="20" t="s">
        <v>26</v>
      </c>
      <c r="G7655" s="53">
        <f t="shared" si="120"/>
        <v>-0.6611662132264714</v>
      </c>
      <c r="H7655" s="35"/>
      <c r="P7655" s="6"/>
    </row>
    <row r="7656" spans="1:16" ht="14.4" x14ac:dyDescent="0.25">
      <c r="A7656" s="6">
        <v>2465</v>
      </c>
      <c r="B7656" s="6">
        <v>17952</v>
      </c>
      <c r="C7656" s="19">
        <v>40462</v>
      </c>
      <c r="D7656" s="6" t="s">
        <v>16</v>
      </c>
      <c r="E7656" s="6">
        <f>IF((ISBLANK($B$1)),"",Sheet1!Q7668)</f>
        <v>4800</v>
      </c>
      <c r="F7656" s="20" t="s">
        <v>26</v>
      </c>
      <c r="G7656" s="53">
        <f t="shared" si="120"/>
        <v>0.16740635039925467</v>
      </c>
      <c r="H7656" s="35"/>
      <c r="P7656" s="6"/>
    </row>
    <row r="7657" spans="1:16" ht="14.4" x14ac:dyDescent="0.25">
      <c r="A7657" s="6">
        <v>2578</v>
      </c>
      <c r="B7657" s="6">
        <v>18596</v>
      </c>
      <c r="C7657" s="19">
        <v>41184</v>
      </c>
      <c r="D7657" s="6" t="s">
        <v>25</v>
      </c>
      <c r="E7657" s="6">
        <f>IF((ISBLANK($B$1)),"",Sheet1!Q7669)</f>
        <v>5500</v>
      </c>
      <c r="F7657" s="20" t="s">
        <v>29</v>
      </c>
      <c r="G7657" s="53">
        <f t="shared" si="120"/>
        <v>1.1340743412959351</v>
      </c>
      <c r="H7657" s="35"/>
      <c r="P7657" s="6"/>
    </row>
    <row r="7658" spans="1:16" ht="14.4" x14ac:dyDescent="0.25">
      <c r="A7658" s="6">
        <v>2579</v>
      </c>
      <c r="B7658" s="6">
        <v>18596</v>
      </c>
      <c r="C7658" s="19">
        <v>41184</v>
      </c>
      <c r="D7658" s="6" t="s">
        <v>25</v>
      </c>
      <c r="E7658" s="6">
        <f>IF((ISBLANK($B$1)),"",Sheet1!Q7670)</f>
        <v>5000</v>
      </c>
      <c r="F7658" s="20" t="s">
        <v>26</v>
      </c>
      <c r="G7658" s="53">
        <f t="shared" si="120"/>
        <v>0.44359720494116334</v>
      </c>
      <c r="H7658" s="35"/>
      <c r="P7658" s="6"/>
    </row>
    <row r="7659" spans="1:16" ht="14.4" x14ac:dyDescent="0.25">
      <c r="A7659" s="6">
        <v>2957</v>
      </c>
      <c r="B7659" s="6">
        <v>21410</v>
      </c>
      <c r="C7659" s="19">
        <v>41030</v>
      </c>
      <c r="D7659" s="6" t="s">
        <v>30</v>
      </c>
      <c r="E7659" s="6">
        <f>IF((ISBLANK($B$1)),"",Sheet1!Q7671)</f>
        <v>4200</v>
      </c>
      <c r="F7659" s="20" t="s">
        <v>26</v>
      </c>
      <c r="G7659" s="53">
        <f t="shared" si="120"/>
        <v>-0.6611662132264714</v>
      </c>
      <c r="H7659" s="35"/>
      <c r="P7659" s="6"/>
    </row>
    <row r="7660" spans="1:16" ht="14.4" x14ac:dyDescent="0.25">
      <c r="A7660" s="6">
        <v>3148</v>
      </c>
      <c r="B7660" s="6">
        <v>22563</v>
      </c>
      <c r="C7660" s="19">
        <v>41049</v>
      </c>
      <c r="D7660" s="6" t="s">
        <v>30</v>
      </c>
      <c r="E7660" s="6">
        <f>IF((ISBLANK($B$1)),"",Sheet1!Q7672)</f>
        <v>5000</v>
      </c>
      <c r="F7660" s="20" t="s">
        <v>29</v>
      </c>
      <c r="G7660" s="53">
        <f t="shared" si="120"/>
        <v>0.44359720494116334</v>
      </c>
      <c r="H7660" s="35"/>
      <c r="P7660" s="6"/>
    </row>
    <row r="7661" spans="1:16" ht="14.4" x14ac:dyDescent="0.25">
      <c r="A7661" s="6">
        <v>3553</v>
      </c>
      <c r="B7661" s="6">
        <v>25318</v>
      </c>
      <c r="C7661" s="19">
        <v>40866</v>
      </c>
      <c r="D7661" s="6" t="s">
        <v>30</v>
      </c>
      <c r="E7661" s="6">
        <f>IF((ISBLANK($B$1)),"",Sheet1!Q7673)</f>
        <v>3450</v>
      </c>
      <c r="F7661" s="20" t="s">
        <v>26</v>
      </c>
      <c r="G7661" s="53">
        <f t="shared" si="120"/>
        <v>-1.696881917758629</v>
      </c>
      <c r="H7661" s="35"/>
      <c r="P7661" s="6"/>
    </row>
    <row r="7662" spans="1:16" ht="14.4" x14ac:dyDescent="0.25">
      <c r="A7662" s="6">
        <v>3732</v>
      </c>
      <c r="B7662" s="6">
        <v>26688</v>
      </c>
      <c r="C7662" s="19">
        <v>40408</v>
      </c>
      <c r="D7662" s="6" t="s">
        <v>16</v>
      </c>
      <c r="E7662" s="6">
        <f>IF((ISBLANK($B$1)),"",Sheet1!Q7674)</f>
        <v>4450</v>
      </c>
      <c r="F7662" s="20" t="s">
        <v>26</v>
      </c>
      <c r="G7662" s="53">
        <f t="shared" si="120"/>
        <v>-0.31592764504908549</v>
      </c>
      <c r="H7662" s="35"/>
      <c r="P7662" s="6"/>
    </row>
    <row r="7663" spans="1:16" ht="14.4" x14ac:dyDescent="0.25">
      <c r="A7663" s="6">
        <v>3733</v>
      </c>
      <c r="B7663" s="6">
        <v>26688</v>
      </c>
      <c r="C7663" s="19">
        <v>40408</v>
      </c>
      <c r="D7663" s="6" t="s">
        <v>16</v>
      </c>
      <c r="E7663" s="6">
        <f>IF((ISBLANK($B$1)),"",Sheet1!Q7675)</f>
        <v>3750</v>
      </c>
      <c r="F7663" s="20" t="s">
        <v>26</v>
      </c>
      <c r="G7663" s="53">
        <f t="shared" si="120"/>
        <v>-1.282595635945766</v>
      </c>
      <c r="H7663" s="35"/>
      <c r="P7663" s="6"/>
    </row>
    <row r="7664" spans="1:16" ht="14.4" x14ac:dyDescent="0.25">
      <c r="A7664" s="6">
        <v>3762</v>
      </c>
      <c r="B7664" s="6">
        <v>26881</v>
      </c>
      <c r="C7664" s="19">
        <v>40026</v>
      </c>
      <c r="D7664" s="6" t="s">
        <v>25</v>
      </c>
      <c r="E7664" s="6">
        <f>IF((ISBLANK($B$1)),"",Sheet1!Q7676)</f>
        <v>4700</v>
      </c>
      <c r="F7664" s="20" t="s">
        <v>29</v>
      </c>
      <c r="G7664" s="53">
        <f t="shared" si="120"/>
        <v>2.9310923128300338E-2</v>
      </c>
      <c r="H7664" s="35"/>
      <c r="P7664" s="6"/>
    </row>
    <row r="7665" spans="1:16" ht="14.4" x14ac:dyDescent="0.25">
      <c r="A7665" s="6">
        <v>3763</v>
      </c>
      <c r="B7665" s="6">
        <v>26887</v>
      </c>
      <c r="C7665" s="19">
        <v>40678</v>
      </c>
      <c r="D7665" s="6" t="s">
        <v>30</v>
      </c>
      <c r="E7665" s="6">
        <f>IF((ISBLANK($B$1)),"",Sheet1!Q7677)</f>
        <v>5300</v>
      </c>
      <c r="F7665" s="20" t="s">
        <v>26</v>
      </c>
      <c r="G7665" s="53">
        <f t="shared" si="120"/>
        <v>0.85788348675402637</v>
      </c>
      <c r="H7665" s="35"/>
      <c r="P7665" s="6"/>
    </row>
    <row r="7666" spans="1:16" ht="14.4" x14ac:dyDescent="0.25">
      <c r="A7666" s="6">
        <v>3764</v>
      </c>
      <c r="B7666" s="6">
        <v>26887</v>
      </c>
      <c r="C7666" s="19">
        <v>40678</v>
      </c>
      <c r="D7666" s="6" t="s">
        <v>30</v>
      </c>
      <c r="E7666" s="6">
        <f>IF((ISBLANK($B$1)),"",Sheet1!Q7678)</f>
        <v>4550</v>
      </c>
      <c r="F7666" s="20" t="s">
        <v>26</v>
      </c>
      <c r="G7666" s="53">
        <f t="shared" si="120"/>
        <v>-0.17783221777813119</v>
      </c>
      <c r="H7666" s="35"/>
      <c r="P7666" s="6"/>
    </row>
    <row r="7667" spans="1:16" ht="14.4" x14ac:dyDescent="0.25">
      <c r="A7667" s="6">
        <v>4184</v>
      </c>
      <c r="B7667" s="6">
        <v>29761</v>
      </c>
      <c r="C7667" s="19">
        <v>41093</v>
      </c>
      <c r="D7667" s="6" t="s">
        <v>16</v>
      </c>
      <c r="E7667" s="6">
        <f>IF((ISBLANK($B$1)),"",Sheet1!Q7679)</f>
        <v>5800</v>
      </c>
      <c r="F7667" s="20" t="s">
        <v>27</v>
      </c>
      <c r="G7667" s="53">
        <f t="shared" si="120"/>
        <v>1.5483606231087981</v>
      </c>
      <c r="H7667" s="35"/>
      <c r="P7667" s="6"/>
    </row>
    <row r="7668" spans="1:16" ht="14.4" x14ac:dyDescent="0.25">
      <c r="A7668" s="6">
        <v>4185</v>
      </c>
      <c r="B7668" s="6">
        <v>29761</v>
      </c>
      <c r="C7668" s="19">
        <v>41093</v>
      </c>
      <c r="D7668" s="6" t="s">
        <v>16</v>
      </c>
      <c r="E7668" s="6">
        <f>IF((ISBLANK($B$1)),"",Sheet1!Q7680)</f>
        <v>5500</v>
      </c>
      <c r="F7668" s="20" t="s">
        <v>26</v>
      </c>
      <c r="G7668" s="53">
        <f t="shared" si="120"/>
        <v>1.1340743412959351</v>
      </c>
      <c r="H7668" s="35"/>
      <c r="P7668" s="6"/>
    </row>
    <row r="7669" spans="1:16" ht="14.4" x14ac:dyDescent="0.25">
      <c r="A7669" s="6">
        <v>4186</v>
      </c>
      <c r="B7669" s="6">
        <v>29761</v>
      </c>
      <c r="C7669" s="19">
        <v>41093</v>
      </c>
      <c r="D7669" s="6" t="s">
        <v>16</v>
      </c>
      <c r="E7669" s="6">
        <f>IF((ISBLANK($B$1)),"",Sheet1!Q7681)</f>
        <v>4350</v>
      </c>
      <c r="F7669" s="20" t="s">
        <v>29</v>
      </c>
      <c r="G7669" s="53">
        <f t="shared" si="120"/>
        <v>-0.45402307232003986</v>
      </c>
      <c r="H7669" s="35"/>
      <c r="P7669" s="6"/>
    </row>
    <row r="7670" spans="1:16" ht="14.4" x14ac:dyDescent="0.25">
      <c r="A7670" s="6">
        <v>4462</v>
      </c>
      <c r="B7670" s="6">
        <v>31810</v>
      </c>
      <c r="C7670" s="19">
        <v>39954</v>
      </c>
      <c r="D7670" s="6" t="s">
        <v>30</v>
      </c>
      <c r="E7670" s="6">
        <f>IF((ISBLANK($B$1)),"",Sheet1!Q7682)</f>
        <v>5700</v>
      </c>
      <c r="F7670" s="20" t="s">
        <v>29</v>
      </c>
      <c r="G7670" s="53">
        <f t="shared" si="120"/>
        <v>1.4102651958378438</v>
      </c>
      <c r="H7670" s="35"/>
      <c r="P7670" s="6"/>
    </row>
    <row r="7671" spans="1:16" ht="14.4" x14ac:dyDescent="0.25">
      <c r="A7671" s="6">
        <v>5131</v>
      </c>
      <c r="B7671" s="6">
        <v>36548</v>
      </c>
      <c r="C7671" s="19">
        <v>40481</v>
      </c>
      <c r="D7671" s="6" t="s">
        <v>25</v>
      </c>
      <c r="E7671" s="6">
        <f>IF((ISBLANK($B$1)),"",Sheet1!Q7683)</f>
        <v>3800</v>
      </c>
      <c r="F7671" s="20" t="s">
        <v>26</v>
      </c>
      <c r="G7671" s="53">
        <f t="shared" si="120"/>
        <v>-1.2135479223102887</v>
      </c>
      <c r="H7671" s="35"/>
      <c r="P7671" s="6"/>
    </row>
    <row r="7672" spans="1:16" ht="14.4" x14ac:dyDescent="0.25">
      <c r="A7672" s="6">
        <v>5581</v>
      </c>
      <c r="B7672" s="6">
        <v>39585</v>
      </c>
      <c r="C7672" s="19">
        <v>40906</v>
      </c>
      <c r="D7672" s="6" t="s">
        <v>28</v>
      </c>
      <c r="E7672" s="6">
        <f>IF((ISBLANK($B$1)),"",Sheet1!Q7684)</f>
        <v>5000</v>
      </c>
      <c r="F7672" s="20" t="s">
        <v>29</v>
      </c>
      <c r="G7672" s="53">
        <f t="shared" si="120"/>
        <v>0.44359720494116334</v>
      </c>
      <c r="H7672" s="35"/>
      <c r="P7672" s="6"/>
    </row>
    <row r="7673" spans="1:16" ht="14.4" x14ac:dyDescent="0.25">
      <c r="A7673" s="6">
        <v>5890</v>
      </c>
      <c r="B7673" s="6">
        <v>41793</v>
      </c>
      <c r="C7673" s="19">
        <v>39948</v>
      </c>
      <c r="D7673" s="6" t="s">
        <v>17</v>
      </c>
      <c r="E7673" s="6">
        <f>IF((ISBLANK($B$1)),"",Sheet1!Q7685)</f>
        <v>5800</v>
      </c>
      <c r="F7673" s="20" t="s">
        <v>29</v>
      </c>
      <c r="G7673" s="53">
        <f t="shared" si="120"/>
        <v>1.5483606231087981</v>
      </c>
      <c r="H7673" s="35"/>
      <c r="P7673" s="6"/>
    </row>
    <row r="7674" spans="1:16" ht="14.4" x14ac:dyDescent="0.25">
      <c r="A7674" s="6">
        <v>6062</v>
      </c>
      <c r="B7674" s="6">
        <v>42949</v>
      </c>
      <c r="C7674" s="19">
        <v>39954</v>
      </c>
      <c r="D7674" s="6" t="s">
        <v>28</v>
      </c>
      <c r="E7674" s="6">
        <f>IF((ISBLANK($B$1)),"",Sheet1!Q7686)</f>
        <v>5400</v>
      </c>
      <c r="F7674" s="20" t="s">
        <v>26</v>
      </c>
      <c r="G7674" s="53">
        <f t="shared" si="120"/>
        <v>0.99597891402498073</v>
      </c>
      <c r="H7674" s="35"/>
      <c r="P7674" s="6"/>
    </row>
    <row r="7675" spans="1:16" ht="14.4" x14ac:dyDescent="0.25">
      <c r="A7675" s="6">
        <v>6063</v>
      </c>
      <c r="B7675" s="6">
        <v>42949</v>
      </c>
      <c r="C7675" s="19">
        <v>39954</v>
      </c>
      <c r="D7675" s="6" t="s">
        <v>28</v>
      </c>
      <c r="E7675" s="6">
        <f>IF((ISBLANK($B$1)),"",Sheet1!Q7687)</f>
        <v>5850</v>
      </c>
      <c r="F7675" s="20" t="s">
        <v>27</v>
      </c>
      <c r="G7675" s="53">
        <f t="shared" si="120"/>
        <v>1.6174083367442753</v>
      </c>
      <c r="H7675" s="35"/>
      <c r="P7675" s="6"/>
    </row>
    <row r="7676" spans="1:16" ht="14.4" x14ac:dyDescent="0.25">
      <c r="A7676" s="6">
        <v>6075</v>
      </c>
      <c r="B7676" s="6">
        <v>43044</v>
      </c>
      <c r="C7676" s="19">
        <v>40103</v>
      </c>
      <c r="D7676" s="6" t="s">
        <v>16</v>
      </c>
      <c r="E7676" s="6">
        <f>IF((ISBLANK($B$1)),"",Sheet1!Q7688)</f>
        <v>4550</v>
      </c>
      <c r="F7676" s="20" t="s">
        <v>26</v>
      </c>
      <c r="G7676" s="53">
        <f t="shared" si="120"/>
        <v>-0.17783221777813119</v>
      </c>
      <c r="H7676" s="35"/>
      <c r="P7676" s="6"/>
    </row>
    <row r="7677" spans="1:16" ht="14.4" x14ac:dyDescent="0.25">
      <c r="A7677" s="6">
        <v>6076</v>
      </c>
      <c r="B7677" s="6">
        <v>43044</v>
      </c>
      <c r="C7677" s="19">
        <v>40103</v>
      </c>
      <c r="D7677" s="6" t="s">
        <v>16</v>
      </c>
      <c r="E7677" s="6">
        <f>IF((ISBLANK($B$1)),"",Sheet1!Q7689)</f>
        <v>3550</v>
      </c>
      <c r="F7677" s="20" t="s">
        <v>27</v>
      </c>
      <c r="G7677" s="53">
        <f t="shared" si="120"/>
        <v>-1.5587864904876745</v>
      </c>
      <c r="H7677" s="35"/>
      <c r="P7677" s="6"/>
    </row>
    <row r="7678" spans="1:16" ht="14.4" x14ac:dyDescent="0.25">
      <c r="A7678" s="6">
        <v>6466</v>
      </c>
      <c r="B7678" s="6">
        <v>46048</v>
      </c>
      <c r="C7678" s="19">
        <v>41254</v>
      </c>
      <c r="D7678" s="6" t="s">
        <v>16</v>
      </c>
      <c r="E7678" s="6">
        <f>IF((ISBLANK($B$1)),"",Sheet1!Q7690)</f>
        <v>3900</v>
      </c>
      <c r="F7678" s="20" t="s">
        <v>26</v>
      </c>
      <c r="G7678" s="53">
        <f t="shared" si="120"/>
        <v>-1.0754524950393345</v>
      </c>
      <c r="H7678" s="35"/>
      <c r="P7678" s="6"/>
    </row>
    <row r="7679" spans="1:16" ht="14.4" x14ac:dyDescent="0.25">
      <c r="A7679" s="6">
        <v>6467</v>
      </c>
      <c r="B7679" s="6">
        <v>46048</v>
      </c>
      <c r="C7679" s="19">
        <v>41254</v>
      </c>
      <c r="D7679" s="6" t="s">
        <v>16</v>
      </c>
      <c r="E7679" s="6">
        <f>IF((ISBLANK($B$1)),"",Sheet1!Q7691)</f>
        <v>5150</v>
      </c>
      <c r="F7679" s="20" t="s">
        <v>26</v>
      </c>
      <c r="G7679" s="53">
        <f t="shared" si="120"/>
        <v>0.65074034584759488</v>
      </c>
      <c r="H7679" s="35"/>
      <c r="P7679" s="6"/>
    </row>
    <row r="7680" spans="1:16" ht="14.4" x14ac:dyDescent="0.25">
      <c r="A7680" s="6">
        <v>6788</v>
      </c>
      <c r="B7680" s="6">
        <v>48354</v>
      </c>
      <c r="C7680" s="19">
        <v>40653</v>
      </c>
      <c r="D7680" s="6" t="s">
        <v>16</v>
      </c>
      <c r="E7680" s="6">
        <f>IF((ISBLANK($B$1)),"",Sheet1!Q7692)</f>
        <v>4650</v>
      </c>
      <c r="F7680" s="20" t="s">
        <v>26</v>
      </c>
      <c r="G7680" s="53">
        <f t="shared" si="120"/>
        <v>-3.9736790507176829E-2</v>
      </c>
      <c r="H7680" s="35"/>
      <c r="P7680" s="6"/>
    </row>
    <row r="7681" spans="1:16" ht="14.4" x14ac:dyDescent="0.25">
      <c r="A7681" s="6">
        <v>6793</v>
      </c>
      <c r="B7681" s="6">
        <v>48416</v>
      </c>
      <c r="C7681" s="19">
        <v>40000</v>
      </c>
      <c r="D7681" s="6" t="s">
        <v>28</v>
      </c>
      <c r="E7681" s="6">
        <f>IF((ISBLANK($B$1)),"",Sheet1!Q7693)</f>
        <v>4550</v>
      </c>
      <c r="F7681" s="20" t="s">
        <v>26</v>
      </c>
      <c r="G7681" s="53">
        <f t="shared" si="120"/>
        <v>-0.17783221777813119</v>
      </c>
      <c r="H7681" s="35"/>
      <c r="P7681" s="6"/>
    </row>
    <row r="7682" spans="1:16" ht="14.4" x14ac:dyDescent="0.25">
      <c r="A7682" s="6">
        <v>6968</v>
      </c>
      <c r="B7682" s="6">
        <v>49798</v>
      </c>
      <c r="C7682" s="19">
        <v>41251</v>
      </c>
      <c r="D7682" s="6" t="s">
        <v>30</v>
      </c>
      <c r="E7682" s="6">
        <f>IF((ISBLANK($B$1)),"",Sheet1!Q7694)</f>
        <v>3650</v>
      </c>
      <c r="F7682" s="20" t="s">
        <v>29</v>
      </c>
      <c r="G7682" s="53">
        <f t="shared" si="120"/>
        <v>-1.4206910632167202</v>
      </c>
      <c r="H7682" s="35"/>
      <c r="P7682" s="6"/>
    </row>
    <row r="7683" spans="1:16" ht="14.4" x14ac:dyDescent="0.25">
      <c r="A7683" s="6">
        <v>6969</v>
      </c>
      <c r="B7683" s="6">
        <v>49798</v>
      </c>
      <c r="C7683" s="19">
        <v>41251</v>
      </c>
      <c r="D7683" s="6" t="s">
        <v>30</v>
      </c>
      <c r="E7683" s="6">
        <f>IF((ISBLANK($B$1)),"",Sheet1!Q7695)</f>
        <v>4850</v>
      </c>
      <c r="F7683" s="20" t="s">
        <v>26</v>
      </c>
      <c r="G7683" s="53">
        <f t="shared" si="120"/>
        <v>0.23645406403473185</v>
      </c>
      <c r="H7683" s="35"/>
      <c r="P7683" s="6"/>
    </row>
    <row r="7684" spans="1:16" ht="14.4" x14ac:dyDescent="0.25">
      <c r="A7684" s="6">
        <v>7073</v>
      </c>
      <c r="B7684" s="6">
        <v>50470</v>
      </c>
      <c r="C7684" s="19">
        <v>40413</v>
      </c>
      <c r="D7684" s="6" t="s">
        <v>25</v>
      </c>
      <c r="E7684" s="6">
        <f>IF((ISBLANK($B$1)),"",Sheet1!Q7696)</f>
        <v>5300</v>
      </c>
      <c r="F7684" s="20" t="s">
        <v>26</v>
      </c>
      <c r="G7684" s="53">
        <f t="shared" si="120"/>
        <v>0.85788348675402637</v>
      </c>
      <c r="H7684" s="35"/>
      <c r="P7684" s="6"/>
    </row>
    <row r="7685" spans="1:16" ht="14.4" x14ac:dyDescent="0.25">
      <c r="A7685" s="6">
        <v>7418</v>
      </c>
      <c r="B7685" s="6">
        <v>52900</v>
      </c>
      <c r="C7685" s="19">
        <v>40683</v>
      </c>
      <c r="D7685" s="6" t="s">
        <v>17</v>
      </c>
      <c r="E7685" s="6">
        <f>IF((ISBLANK($B$1)),"",Sheet1!Q7697)</f>
        <v>4200</v>
      </c>
      <c r="F7685" s="20" t="s">
        <v>26</v>
      </c>
      <c r="G7685" s="53">
        <f t="shared" si="120"/>
        <v>-0.6611662132264714</v>
      </c>
      <c r="H7685" s="35"/>
      <c r="P7685" s="6"/>
    </row>
    <row r="7686" spans="1:16" ht="14.4" x14ac:dyDescent="0.25">
      <c r="A7686" s="6">
        <v>8070</v>
      </c>
      <c r="B7686" s="6">
        <v>57572</v>
      </c>
      <c r="C7686" s="19">
        <v>40736</v>
      </c>
      <c r="D7686" s="6" t="s">
        <v>16</v>
      </c>
      <c r="E7686" s="6">
        <f>IF((ISBLANK($B$1)),"",Sheet1!Q7698)</f>
        <v>4900</v>
      </c>
      <c r="F7686" s="20" t="s">
        <v>27</v>
      </c>
      <c r="G7686" s="53">
        <f t="shared" si="120"/>
        <v>0.30550177767020903</v>
      </c>
      <c r="H7686" s="35"/>
      <c r="P7686" s="6"/>
    </row>
    <row r="7687" spans="1:16" ht="14.4" x14ac:dyDescent="0.25">
      <c r="A7687" s="6">
        <v>8071</v>
      </c>
      <c r="B7687" s="6">
        <v>57572</v>
      </c>
      <c r="C7687" s="19">
        <v>40736</v>
      </c>
      <c r="D7687" s="6" t="s">
        <v>16</v>
      </c>
      <c r="E7687" s="6">
        <f>IF((ISBLANK($B$1)),"",Sheet1!Q7699)</f>
        <v>3850</v>
      </c>
      <c r="F7687" s="20" t="s">
        <v>26</v>
      </c>
      <c r="G7687" s="53">
        <f t="shared" si="120"/>
        <v>-1.1445002086748115</v>
      </c>
      <c r="H7687" s="35"/>
      <c r="P7687" s="6"/>
    </row>
    <row r="7688" spans="1:16" ht="14.4" x14ac:dyDescent="0.25">
      <c r="A7688" s="6">
        <v>8097</v>
      </c>
      <c r="B7688" s="6">
        <v>57766</v>
      </c>
      <c r="C7688" s="19">
        <v>40298</v>
      </c>
      <c r="D7688" s="6" t="s">
        <v>17</v>
      </c>
      <c r="E7688" s="6">
        <f>IF((ISBLANK($B$1)),"",Sheet1!Q7700)</f>
        <v>4250</v>
      </c>
      <c r="F7688" s="20" t="s">
        <v>26</v>
      </c>
      <c r="G7688" s="53">
        <f t="shared" ref="G7688:G7751" si="121">STANDARDIZE(E7688,$L$26,$L$35)</f>
        <v>-0.59211849959099416</v>
      </c>
      <c r="H7688" s="35"/>
      <c r="P7688" s="6"/>
    </row>
    <row r="7689" spans="1:16" ht="14.4" x14ac:dyDescent="0.25">
      <c r="A7689" s="6">
        <v>8189</v>
      </c>
      <c r="B7689" s="6">
        <v>58566</v>
      </c>
      <c r="C7689" s="19">
        <v>40778</v>
      </c>
      <c r="D7689" s="6" t="s">
        <v>28</v>
      </c>
      <c r="E7689" s="6">
        <f>IF((ISBLANK($B$1)),"",Sheet1!Q7701)</f>
        <v>5650</v>
      </c>
      <c r="F7689" s="20" t="s">
        <v>29</v>
      </c>
      <c r="G7689" s="53">
        <f t="shared" si="121"/>
        <v>1.3412174822023666</v>
      </c>
      <c r="H7689" s="35"/>
      <c r="P7689" s="6"/>
    </row>
    <row r="7690" spans="1:16" ht="14.4" x14ac:dyDescent="0.25">
      <c r="A7690" s="6">
        <v>8190</v>
      </c>
      <c r="B7690" s="6">
        <v>58566</v>
      </c>
      <c r="C7690" s="19">
        <v>40778</v>
      </c>
      <c r="D7690" s="6" t="s">
        <v>28</v>
      </c>
      <c r="E7690" s="6">
        <f>IF((ISBLANK($B$1)),"",Sheet1!Q7702)</f>
        <v>5500</v>
      </c>
      <c r="F7690" s="20" t="s">
        <v>27</v>
      </c>
      <c r="G7690" s="53">
        <f t="shared" si="121"/>
        <v>1.1340743412959351</v>
      </c>
      <c r="H7690" s="35"/>
      <c r="P7690" s="6"/>
    </row>
    <row r="7691" spans="1:16" ht="14.4" x14ac:dyDescent="0.25">
      <c r="A7691" s="6">
        <v>8204</v>
      </c>
      <c r="B7691" s="6">
        <v>58658</v>
      </c>
      <c r="C7691" s="19">
        <v>41071</v>
      </c>
      <c r="D7691" s="6" t="s">
        <v>16</v>
      </c>
      <c r="E7691" s="6">
        <f>IF((ISBLANK($B$1)),"",Sheet1!Q7703)</f>
        <v>3750</v>
      </c>
      <c r="F7691" s="20" t="s">
        <v>29</v>
      </c>
      <c r="G7691" s="53">
        <f t="shared" si="121"/>
        <v>-1.282595635945766</v>
      </c>
      <c r="H7691" s="35"/>
      <c r="P7691" s="6"/>
    </row>
    <row r="7692" spans="1:16" ht="14.4" x14ac:dyDescent="0.25">
      <c r="A7692" s="6">
        <v>8205</v>
      </c>
      <c r="B7692" s="6">
        <v>58658</v>
      </c>
      <c r="C7692" s="19">
        <v>41071</v>
      </c>
      <c r="D7692" s="6" t="s">
        <v>16</v>
      </c>
      <c r="E7692" s="6">
        <f>IF((ISBLANK($B$1)),"",Sheet1!Q7704)</f>
        <v>5450</v>
      </c>
      <c r="F7692" s="20" t="s">
        <v>27</v>
      </c>
      <c r="G7692" s="53">
        <f t="shared" si="121"/>
        <v>1.0650266276604579</v>
      </c>
      <c r="H7692" s="35"/>
      <c r="P7692" s="6"/>
    </row>
    <row r="7693" spans="1:16" ht="14.4" x14ac:dyDescent="0.25">
      <c r="A7693" s="6">
        <v>8206</v>
      </c>
      <c r="B7693" s="6">
        <v>58658</v>
      </c>
      <c r="C7693" s="19">
        <v>41071</v>
      </c>
      <c r="D7693" s="6" t="s">
        <v>16</v>
      </c>
      <c r="E7693" s="6">
        <f>IF((ISBLANK($B$1)),"",Sheet1!Q7705)</f>
        <v>5700</v>
      </c>
      <c r="F7693" s="20" t="s">
        <v>27</v>
      </c>
      <c r="G7693" s="53">
        <f t="shared" si="121"/>
        <v>1.4102651958378438</v>
      </c>
      <c r="H7693" s="35"/>
      <c r="P7693" s="6"/>
    </row>
    <row r="7694" spans="1:16" ht="14.4" x14ac:dyDescent="0.25">
      <c r="A7694" s="6">
        <v>8271</v>
      </c>
      <c r="B7694" s="6">
        <v>59139</v>
      </c>
      <c r="C7694" s="19">
        <v>40572</v>
      </c>
      <c r="D7694" s="6" t="s">
        <v>30</v>
      </c>
      <c r="E7694" s="6">
        <f>IF((ISBLANK($B$1)),"",Sheet1!Q7706)</f>
        <v>4000</v>
      </c>
      <c r="F7694" s="20" t="s">
        <v>26</v>
      </c>
      <c r="G7694" s="53">
        <f t="shared" si="121"/>
        <v>-0.93735706776838001</v>
      </c>
      <c r="H7694" s="35"/>
      <c r="P7694" s="6"/>
    </row>
    <row r="7695" spans="1:16" ht="14.4" x14ac:dyDescent="0.25">
      <c r="A7695" s="6">
        <v>8272</v>
      </c>
      <c r="B7695" s="6">
        <v>59139</v>
      </c>
      <c r="C7695" s="19">
        <v>40572</v>
      </c>
      <c r="D7695" s="6" t="s">
        <v>30</v>
      </c>
      <c r="E7695" s="6">
        <f>IF((ISBLANK($B$1)),"",Sheet1!Q7707)</f>
        <v>5300</v>
      </c>
      <c r="F7695" s="20" t="s">
        <v>26</v>
      </c>
      <c r="G7695" s="53">
        <f t="shared" si="121"/>
        <v>0.85788348675402637</v>
      </c>
      <c r="H7695" s="35"/>
      <c r="P7695" s="6"/>
    </row>
    <row r="7696" spans="1:16" ht="14.4" x14ac:dyDescent="0.25">
      <c r="A7696" s="6">
        <v>8391</v>
      </c>
      <c r="B7696" s="6">
        <v>59942</v>
      </c>
      <c r="C7696" s="19">
        <v>39852</v>
      </c>
      <c r="D7696" s="6" t="s">
        <v>16</v>
      </c>
      <c r="E7696" s="6">
        <f>IF((ISBLANK($B$1)),"",Sheet1!Q7708)</f>
        <v>5750</v>
      </c>
      <c r="F7696" s="20" t="s">
        <v>27</v>
      </c>
      <c r="G7696" s="53">
        <f t="shared" si="121"/>
        <v>1.4793129094733208</v>
      </c>
      <c r="H7696" s="35"/>
      <c r="P7696" s="6"/>
    </row>
    <row r="7697" spans="1:16" ht="14.4" x14ac:dyDescent="0.25">
      <c r="A7697" s="6">
        <v>747</v>
      </c>
      <c r="B7697" s="6">
        <v>5350</v>
      </c>
      <c r="C7697" s="19">
        <v>40460</v>
      </c>
      <c r="D7697" s="6" t="s">
        <v>25</v>
      </c>
      <c r="E7697" s="6">
        <f>IF((ISBLANK($B$1)),"",Sheet1!Q7709)</f>
        <v>5350</v>
      </c>
      <c r="F7697" s="20" t="s">
        <v>26</v>
      </c>
      <c r="G7697" s="53">
        <f t="shared" si="121"/>
        <v>0.92693120038950361</v>
      </c>
      <c r="H7697" s="35"/>
      <c r="P7697" s="6"/>
    </row>
    <row r="7698" spans="1:16" ht="14.4" x14ac:dyDescent="0.25">
      <c r="A7698" s="6">
        <v>943</v>
      </c>
      <c r="B7698" s="6">
        <v>6850</v>
      </c>
      <c r="C7698" s="19">
        <v>40220</v>
      </c>
      <c r="D7698" s="6" t="s">
        <v>17</v>
      </c>
      <c r="E7698" s="6">
        <f>IF((ISBLANK($B$1)),"",Sheet1!Q7710)</f>
        <v>3800</v>
      </c>
      <c r="F7698" s="20" t="s">
        <v>27</v>
      </c>
      <c r="G7698" s="53">
        <f t="shared" si="121"/>
        <v>-1.2135479223102887</v>
      </c>
      <c r="H7698" s="35"/>
      <c r="P7698" s="6"/>
    </row>
    <row r="7699" spans="1:16" ht="14.4" x14ac:dyDescent="0.25">
      <c r="A7699" s="6">
        <v>944</v>
      </c>
      <c r="B7699" s="6">
        <v>6850</v>
      </c>
      <c r="C7699" s="19">
        <v>40220</v>
      </c>
      <c r="D7699" s="6" t="s">
        <v>17</v>
      </c>
      <c r="E7699" s="6">
        <f>IF((ISBLANK($B$1)),"",Sheet1!Q7711)</f>
        <v>5450</v>
      </c>
      <c r="F7699" s="20" t="s">
        <v>27</v>
      </c>
      <c r="G7699" s="53">
        <f t="shared" si="121"/>
        <v>1.0650266276604579</v>
      </c>
      <c r="H7699" s="35"/>
      <c r="P7699" s="6"/>
    </row>
    <row r="7700" spans="1:16" ht="14.4" x14ac:dyDescent="0.25">
      <c r="A7700" s="6">
        <v>945</v>
      </c>
      <c r="B7700" s="6">
        <v>6850</v>
      </c>
      <c r="C7700" s="19">
        <v>40220</v>
      </c>
      <c r="D7700" s="6" t="s">
        <v>17</v>
      </c>
      <c r="E7700" s="6">
        <f>IF((ISBLANK($B$1)),"",Sheet1!Q7712)</f>
        <v>5100</v>
      </c>
      <c r="F7700" s="20" t="s">
        <v>26</v>
      </c>
      <c r="G7700" s="53">
        <f t="shared" si="121"/>
        <v>0.58169263221211776</v>
      </c>
      <c r="H7700" s="35"/>
      <c r="P7700" s="6"/>
    </row>
    <row r="7701" spans="1:16" ht="14.4" x14ac:dyDescent="0.25">
      <c r="A7701" s="6">
        <v>946</v>
      </c>
      <c r="B7701" s="6">
        <v>6850</v>
      </c>
      <c r="C7701" s="19">
        <v>40220</v>
      </c>
      <c r="D7701" s="6" t="s">
        <v>17</v>
      </c>
      <c r="E7701" s="6">
        <f>IF((ISBLANK($B$1)),"",Sheet1!Q7713)</f>
        <v>4700</v>
      </c>
      <c r="F7701" s="20" t="s">
        <v>29</v>
      </c>
      <c r="G7701" s="53">
        <f t="shared" si="121"/>
        <v>2.9310923128300338E-2</v>
      </c>
      <c r="H7701" s="35"/>
      <c r="P7701" s="6"/>
    </row>
    <row r="7702" spans="1:16" ht="14.4" x14ac:dyDescent="0.25">
      <c r="A7702" s="6">
        <v>1028</v>
      </c>
      <c r="B7702" s="6">
        <v>7488</v>
      </c>
      <c r="C7702" s="19">
        <v>41032</v>
      </c>
      <c r="D7702" s="6" t="s">
        <v>30</v>
      </c>
      <c r="E7702" s="6">
        <f>IF((ISBLANK($B$1)),"",Sheet1!Q7714)</f>
        <v>3850</v>
      </c>
      <c r="F7702" s="20" t="s">
        <v>26</v>
      </c>
      <c r="G7702" s="53">
        <f t="shared" si="121"/>
        <v>-1.1445002086748115</v>
      </c>
      <c r="H7702" s="35"/>
      <c r="P7702" s="6"/>
    </row>
    <row r="7703" spans="1:16" ht="14.4" x14ac:dyDescent="0.25">
      <c r="A7703" s="6">
        <v>1033</v>
      </c>
      <c r="B7703" s="6">
        <v>7552</v>
      </c>
      <c r="C7703" s="19">
        <v>41162</v>
      </c>
      <c r="D7703" s="6" t="s">
        <v>30</v>
      </c>
      <c r="E7703" s="6">
        <f>IF((ISBLANK($B$1)),"",Sheet1!Q7715)</f>
        <v>5750</v>
      </c>
      <c r="F7703" s="20" t="s">
        <v>26</v>
      </c>
      <c r="G7703" s="53">
        <f t="shared" si="121"/>
        <v>1.4793129094733208</v>
      </c>
      <c r="H7703" s="35"/>
      <c r="P7703" s="6"/>
    </row>
    <row r="7704" spans="1:16" ht="14.4" x14ac:dyDescent="0.25">
      <c r="A7704" s="6">
        <v>1034</v>
      </c>
      <c r="B7704" s="6">
        <v>7552</v>
      </c>
      <c r="C7704" s="19">
        <v>41162</v>
      </c>
      <c r="D7704" s="6" t="s">
        <v>30</v>
      </c>
      <c r="E7704" s="6">
        <f>IF((ISBLANK($B$1)),"",Sheet1!Q7716)</f>
        <v>5850</v>
      </c>
      <c r="F7704" s="20" t="s">
        <v>26</v>
      </c>
      <c r="G7704" s="53">
        <f t="shared" si="121"/>
        <v>1.6174083367442753</v>
      </c>
      <c r="H7704" s="35"/>
      <c r="P7704" s="6"/>
    </row>
    <row r="7705" spans="1:16" ht="14.4" x14ac:dyDescent="0.25">
      <c r="A7705" s="6">
        <v>1039</v>
      </c>
      <c r="B7705" s="6">
        <v>7585</v>
      </c>
      <c r="C7705" s="19">
        <v>40682</v>
      </c>
      <c r="D7705" s="6" t="s">
        <v>17</v>
      </c>
      <c r="E7705" s="6">
        <f>IF((ISBLANK($B$1)),"",Sheet1!Q7717)</f>
        <v>5100</v>
      </c>
      <c r="F7705" s="20" t="s">
        <v>27</v>
      </c>
      <c r="G7705" s="53">
        <f t="shared" si="121"/>
        <v>0.58169263221211776</v>
      </c>
      <c r="H7705" s="35"/>
      <c r="P7705" s="6"/>
    </row>
    <row r="7706" spans="1:16" ht="14.4" x14ac:dyDescent="0.25">
      <c r="A7706" s="6">
        <v>1133</v>
      </c>
      <c r="B7706" s="6">
        <v>8289</v>
      </c>
      <c r="C7706" s="19">
        <v>41210</v>
      </c>
      <c r="D7706" s="6" t="s">
        <v>25</v>
      </c>
      <c r="E7706" s="6">
        <f>IF((ISBLANK($B$1)),"",Sheet1!Q7718)</f>
        <v>5300</v>
      </c>
      <c r="F7706" s="20" t="s">
        <v>26</v>
      </c>
      <c r="G7706" s="53">
        <f t="shared" si="121"/>
        <v>0.85788348675402637</v>
      </c>
      <c r="H7706" s="35"/>
      <c r="P7706" s="6"/>
    </row>
    <row r="7707" spans="1:16" ht="14.4" x14ac:dyDescent="0.25">
      <c r="A7707" s="6">
        <v>1188</v>
      </c>
      <c r="B7707" s="6">
        <v>8679</v>
      </c>
      <c r="C7707" s="19">
        <v>41035</v>
      </c>
      <c r="D7707" s="6" t="s">
        <v>16</v>
      </c>
      <c r="E7707" s="6">
        <f>IF((ISBLANK($B$1)),"",Sheet1!Q7719)</f>
        <v>5700</v>
      </c>
      <c r="F7707" s="20" t="s">
        <v>26</v>
      </c>
      <c r="G7707" s="53">
        <f t="shared" si="121"/>
        <v>1.4102651958378438</v>
      </c>
      <c r="H7707" s="35"/>
      <c r="P7707" s="6"/>
    </row>
    <row r="7708" spans="1:16" ht="14.4" x14ac:dyDescent="0.25">
      <c r="A7708" s="6">
        <v>1740</v>
      </c>
      <c r="B7708" s="6">
        <v>12481</v>
      </c>
      <c r="C7708" s="19">
        <v>40734</v>
      </c>
      <c r="D7708" s="6" t="s">
        <v>30</v>
      </c>
      <c r="E7708" s="6">
        <f>IF((ISBLANK($B$1)),"",Sheet1!Q7720)</f>
        <v>5250</v>
      </c>
      <c r="F7708" s="20" t="s">
        <v>27</v>
      </c>
      <c r="G7708" s="53">
        <f t="shared" si="121"/>
        <v>0.78883577311854924</v>
      </c>
      <c r="H7708" s="35"/>
      <c r="P7708" s="6"/>
    </row>
    <row r="7709" spans="1:16" ht="14.4" x14ac:dyDescent="0.25">
      <c r="A7709" s="6">
        <v>1741</v>
      </c>
      <c r="B7709" s="6">
        <v>12481</v>
      </c>
      <c r="C7709" s="19">
        <v>40734</v>
      </c>
      <c r="D7709" s="6" t="s">
        <v>30</v>
      </c>
      <c r="E7709" s="6">
        <f>IF((ISBLANK($B$1)),"",Sheet1!Q7721)</f>
        <v>4000</v>
      </c>
      <c r="F7709" s="20" t="s">
        <v>27</v>
      </c>
      <c r="G7709" s="53">
        <f t="shared" si="121"/>
        <v>-0.93735706776838001</v>
      </c>
      <c r="H7709" s="35"/>
      <c r="P7709" s="6"/>
    </row>
    <row r="7710" spans="1:16" ht="14.4" x14ac:dyDescent="0.25">
      <c r="A7710" s="6">
        <v>1804</v>
      </c>
      <c r="B7710" s="6">
        <v>12902</v>
      </c>
      <c r="C7710" s="19">
        <v>40480</v>
      </c>
      <c r="D7710" s="6" t="s">
        <v>28</v>
      </c>
      <c r="E7710" s="6">
        <f>IF((ISBLANK($B$1)),"",Sheet1!Q7722)</f>
        <v>4900</v>
      </c>
      <c r="F7710" s="20" t="s">
        <v>29</v>
      </c>
      <c r="G7710" s="53">
        <f t="shared" si="121"/>
        <v>0.30550177767020903</v>
      </c>
      <c r="H7710" s="35"/>
      <c r="P7710" s="6"/>
    </row>
    <row r="7711" spans="1:16" ht="14.4" x14ac:dyDescent="0.25">
      <c r="A7711" s="6">
        <v>2789</v>
      </c>
      <c r="B7711" s="6">
        <v>20128</v>
      </c>
      <c r="C7711" s="19">
        <v>40056</v>
      </c>
      <c r="D7711" s="6" t="s">
        <v>28</v>
      </c>
      <c r="E7711" s="6">
        <f>IF((ISBLANK($B$1)),"",Sheet1!Q7723)</f>
        <v>5000</v>
      </c>
      <c r="F7711" s="20" t="s">
        <v>27</v>
      </c>
      <c r="G7711" s="53">
        <f t="shared" si="121"/>
        <v>0.44359720494116334</v>
      </c>
      <c r="H7711" s="35"/>
      <c r="P7711" s="6"/>
    </row>
    <row r="7712" spans="1:16" ht="14.4" x14ac:dyDescent="0.25">
      <c r="A7712" s="6">
        <v>2790</v>
      </c>
      <c r="B7712" s="6">
        <v>20128</v>
      </c>
      <c r="C7712" s="19">
        <v>40056</v>
      </c>
      <c r="D7712" s="6" t="s">
        <v>28</v>
      </c>
      <c r="E7712" s="6">
        <f>IF((ISBLANK($B$1)),"",Sheet1!Q7724)</f>
        <v>3650</v>
      </c>
      <c r="F7712" s="20" t="s">
        <v>26</v>
      </c>
      <c r="G7712" s="53">
        <f t="shared" si="121"/>
        <v>-1.4206910632167202</v>
      </c>
      <c r="H7712" s="35"/>
      <c r="P7712" s="6"/>
    </row>
    <row r="7713" spans="1:16" ht="14.4" x14ac:dyDescent="0.25">
      <c r="A7713" s="6">
        <v>2861</v>
      </c>
      <c r="B7713" s="6">
        <v>20642</v>
      </c>
      <c r="C7713" s="19">
        <v>41048</v>
      </c>
      <c r="D7713" s="6" t="s">
        <v>17</v>
      </c>
      <c r="E7713" s="6">
        <f>IF((ISBLANK($B$1)),"",Sheet1!Q7725)</f>
        <v>5750</v>
      </c>
      <c r="F7713" s="20" t="s">
        <v>26</v>
      </c>
      <c r="G7713" s="53">
        <f t="shared" si="121"/>
        <v>1.4793129094733208</v>
      </c>
      <c r="H7713" s="35"/>
      <c r="P7713" s="6"/>
    </row>
    <row r="7714" spans="1:16" ht="14.4" x14ac:dyDescent="0.25">
      <c r="A7714" s="6">
        <v>3486</v>
      </c>
      <c r="B7714" s="6">
        <v>24804</v>
      </c>
      <c r="C7714" s="19">
        <v>40690</v>
      </c>
      <c r="D7714" s="6" t="s">
        <v>28</v>
      </c>
      <c r="E7714" s="6">
        <f>IF((ISBLANK($B$1)),"",Sheet1!Q7726)</f>
        <v>4400</v>
      </c>
      <c r="F7714" s="20" t="s">
        <v>26</v>
      </c>
      <c r="G7714" s="53">
        <f t="shared" si="121"/>
        <v>-0.38497535868456267</v>
      </c>
      <c r="H7714" s="35"/>
      <c r="P7714" s="6"/>
    </row>
    <row r="7715" spans="1:16" ht="14.4" x14ac:dyDescent="0.25">
      <c r="A7715" s="6">
        <v>3971</v>
      </c>
      <c r="B7715" s="6">
        <v>28357</v>
      </c>
      <c r="C7715" s="19">
        <v>40319</v>
      </c>
      <c r="D7715" s="6" t="s">
        <v>28</v>
      </c>
      <c r="E7715" s="6">
        <f>IF((ISBLANK($B$1)),"",Sheet1!Q7727)</f>
        <v>5900</v>
      </c>
      <c r="F7715" s="20" t="s">
        <v>26</v>
      </c>
      <c r="G7715" s="53">
        <f t="shared" si="121"/>
        <v>1.6864560503797523</v>
      </c>
      <c r="H7715" s="35"/>
      <c r="P7715" s="6"/>
    </row>
    <row r="7716" spans="1:16" ht="14.4" x14ac:dyDescent="0.25">
      <c r="A7716" s="6">
        <v>3972</v>
      </c>
      <c r="B7716" s="6">
        <v>28357</v>
      </c>
      <c r="C7716" s="19">
        <v>40319</v>
      </c>
      <c r="D7716" s="6" t="s">
        <v>28</v>
      </c>
      <c r="E7716" s="6">
        <f>IF((ISBLANK($B$1)),"",Sheet1!Q7728)</f>
        <v>5550</v>
      </c>
      <c r="F7716" s="20" t="s">
        <v>26</v>
      </c>
      <c r="G7716" s="53">
        <f t="shared" si="121"/>
        <v>1.2031220549314123</v>
      </c>
      <c r="H7716" s="35"/>
      <c r="P7716" s="6"/>
    </row>
    <row r="7717" spans="1:16" ht="14.4" x14ac:dyDescent="0.25">
      <c r="A7717" s="6">
        <v>4355</v>
      </c>
      <c r="B7717" s="6">
        <v>31043</v>
      </c>
      <c r="C7717" s="19">
        <v>40009</v>
      </c>
      <c r="D7717" s="6" t="s">
        <v>17</v>
      </c>
      <c r="E7717" s="6">
        <f>IF((ISBLANK($B$1)),"",Sheet1!Q7729)</f>
        <v>5850</v>
      </c>
      <c r="F7717" s="20" t="s">
        <v>27</v>
      </c>
      <c r="G7717" s="53">
        <f t="shared" si="121"/>
        <v>1.6174083367442753</v>
      </c>
      <c r="H7717" s="35"/>
      <c r="P7717" s="6"/>
    </row>
    <row r="7718" spans="1:16" ht="14.4" x14ac:dyDescent="0.25">
      <c r="A7718" s="6">
        <v>4356</v>
      </c>
      <c r="B7718" s="6">
        <v>31043</v>
      </c>
      <c r="C7718" s="19">
        <v>40009</v>
      </c>
      <c r="D7718" s="6" t="s">
        <v>17</v>
      </c>
      <c r="E7718" s="6">
        <f>IF((ISBLANK($B$1)),"",Sheet1!Q7730)</f>
        <v>3550</v>
      </c>
      <c r="F7718" s="20" t="s">
        <v>27</v>
      </c>
      <c r="G7718" s="53">
        <f t="shared" si="121"/>
        <v>-1.5587864904876745</v>
      </c>
      <c r="H7718" s="35"/>
      <c r="P7718" s="6"/>
    </row>
    <row r="7719" spans="1:16" ht="14.4" x14ac:dyDescent="0.25">
      <c r="A7719" s="6">
        <v>4547</v>
      </c>
      <c r="B7719" s="6">
        <v>32355</v>
      </c>
      <c r="C7719" s="19">
        <v>39953</v>
      </c>
      <c r="D7719" s="6" t="s">
        <v>28</v>
      </c>
      <c r="E7719" s="6">
        <f>IF((ISBLANK($B$1)),"",Sheet1!Q7731)</f>
        <v>5100</v>
      </c>
      <c r="F7719" s="20" t="s">
        <v>26</v>
      </c>
      <c r="G7719" s="53">
        <f t="shared" si="121"/>
        <v>0.58169263221211776</v>
      </c>
      <c r="H7719" s="35"/>
      <c r="P7719" s="6"/>
    </row>
    <row r="7720" spans="1:16" ht="14.4" x14ac:dyDescent="0.25">
      <c r="A7720" s="6">
        <v>4548</v>
      </c>
      <c r="B7720" s="6">
        <v>32355</v>
      </c>
      <c r="C7720" s="19">
        <v>39953</v>
      </c>
      <c r="D7720" s="6" t="s">
        <v>28</v>
      </c>
      <c r="E7720" s="6">
        <f>IF((ISBLANK($B$1)),"",Sheet1!Q7732)</f>
        <v>5900</v>
      </c>
      <c r="F7720" s="20" t="s">
        <v>26</v>
      </c>
      <c r="G7720" s="53">
        <f t="shared" si="121"/>
        <v>1.6864560503797523</v>
      </c>
      <c r="H7720" s="35"/>
      <c r="P7720" s="6"/>
    </row>
    <row r="7721" spans="1:16" ht="14.4" x14ac:dyDescent="0.25">
      <c r="A7721" s="6">
        <v>4735</v>
      </c>
      <c r="B7721" s="6">
        <v>33700</v>
      </c>
      <c r="C7721" s="19">
        <v>40640</v>
      </c>
      <c r="D7721" s="6" t="s">
        <v>25</v>
      </c>
      <c r="E7721" s="6">
        <f>IF((ISBLANK($B$1)),"",Sheet1!Q7733)</f>
        <v>5200</v>
      </c>
      <c r="F7721" s="20" t="s">
        <v>26</v>
      </c>
      <c r="G7721" s="53">
        <f t="shared" si="121"/>
        <v>0.71978805948307201</v>
      </c>
      <c r="H7721" s="35"/>
      <c r="P7721" s="6"/>
    </row>
    <row r="7722" spans="1:16" ht="14.4" x14ac:dyDescent="0.25">
      <c r="A7722" s="6">
        <v>5017</v>
      </c>
      <c r="B7722" s="6">
        <v>35811</v>
      </c>
      <c r="C7722" s="19">
        <v>40911</v>
      </c>
      <c r="D7722" s="6" t="s">
        <v>30</v>
      </c>
      <c r="E7722" s="6">
        <f>IF((ISBLANK($B$1)),"",Sheet1!Q7734)</f>
        <v>5850</v>
      </c>
      <c r="F7722" s="20" t="s">
        <v>26</v>
      </c>
      <c r="G7722" s="53">
        <f t="shared" si="121"/>
        <v>1.6174083367442753</v>
      </c>
      <c r="H7722" s="35"/>
      <c r="P7722" s="6"/>
    </row>
    <row r="7723" spans="1:16" ht="14.4" x14ac:dyDescent="0.25">
      <c r="A7723" s="6">
        <v>5018</v>
      </c>
      <c r="B7723" s="6">
        <v>35811</v>
      </c>
      <c r="C7723" s="19">
        <v>40911</v>
      </c>
      <c r="D7723" s="6" t="s">
        <v>30</v>
      </c>
      <c r="E7723" s="6">
        <f>IF((ISBLANK($B$1)),"",Sheet1!Q7735)</f>
        <v>3700</v>
      </c>
      <c r="F7723" s="20" t="s">
        <v>26</v>
      </c>
      <c r="G7723" s="53">
        <f t="shared" si="121"/>
        <v>-1.351643349581243</v>
      </c>
      <c r="H7723" s="35"/>
      <c r="P7723" s="6"/>
    </row>
    <row r="7724" spans="1:16" ht="14.4" x14ac:dyDescent="0.25">
      <c r="A7724" s="6">
        <v>5433</v>
      </c>
      <c r="B7724" s="6">
        <v>38598</v>
      </c>
      <c r="C7724" s="19">
        <v>40040</v>
      </c>
      <c r="D7724" s="6" t="s">
        <v>25</v>
      </c>
      <c r="E7724" s="6">
        <f>IF((ISBLANK($B$1)),"",Sheet1!Q7736)</f>
        <v>4250</v>
      </c>
      <c r="F7724" s="20" t="s">
        <v>29</v>
      </c>
      <c r="G7724" s="53">
        <f t="shared" si="121"/>
        <v>-0.59211849959099416</v>
      </c>
      <c r="H7724" s="35"/>
      <c r="P7724" s="6"/>
    </row>
    <row r="7725" spans="1:16" ht="14.4" x14ac:dyDescent="0.25">
      <c r="A7725" s="6">
        <v>5434</v>
      </c>
      <c r="B7725" s="6">
        <v>38598</v>
      </c>
      <c r="C7725" s="19">
        <v>40040</v>
      </c>
      <c r="D7725" s="6" t="s">
        <v>25</v>
      </c>
      <c r="E7725" s="6">
        <f>IF((ISBLANK($B$1)),"",Sheet1!Q7737)</f>
        <v>4600</v>
      </c>
      <c r="F7725" s="20" t="s">
        <v>29</v>
      </c>
      <c r="G7725" s="53">
        <f t="shared" si="121"/>
        <v>-0.108784504142654</v>
      </c>
      <c r="H7725" s="35"/>
      <c r="P7725" s="6"/>
    </row>
    <row r="7726" spans="1:16" ht="14.4" x14ac:dyDescent="0.25">
      <c r="A7726" s="6">
        <v>5435</v>
      </c>
      <c r="B7726" s="6">
        <v>38598</v>
      </c>
      <c r="C7726" s="19">
        <v>40040</v>
      </c>
      <c r="D7726" s="6" t="s">
        <v>25</v>
      </c>
      <c r="E7726" s="6">
        <f>IF((ISBLANK($B$1)),"",Sheet1!Q7738)</f>
        <v>4750</v>
      </c>
      <c r="F7726" s="20" t="s">
        <v>27</v>
      </c>
      <c r="G7726" s="53">
        <f t="shared" si="121"/>
        <v>9.8358636763777513E-2</v>
      </c>
      <c r="H7726" s="35"/>
      <c r="P7726" s="6"/>
    </row>
    <row r="7727" spans="1:16" ht="14.4" x14ac:dyDescent="0.25">
      <c r="A7727" s="6">
        <v>5732</v>
      </c>
      <c r="B7727" s="6">
        <v>40678</v>
      </c>
      <c r="C7727" s="19">
        <v>40296</v>
      </c>
      <c r="D7727" s="6" t="s">
        <v>25</v>
      </c>
      <c r="E7727" s="6">
        <f>IF((ISBLANK($B$1)),"",Sheet1!Q7739)</f>
        <v>5500</v>
      </c>
      <c r="F7727" s="20" t="s">
        <v>26</v>
      </c>
      <c r="G7727" s="53">
        <f t="shared" si="121"/>
        <v>1.1340743412959351</v>
      </c>
      <c r="H7727" s="35"/>
      <c r="P7727" s="6"/>
    </row>
    <row r="7728" spans="1:16" ht="14.4" x14ac:dyDescent="0.25">
      <c r="A7728" s="6">
        <v>5803</v>
      </c>
      <c r="B7728" s="6">
        <v>41154</v>
      </c>
      <c r="C7728" s="19">
        <v>39933</v>
      </c>
      <c r="D7728" s="6" t="s">
        <v>25</v>
      </c>
      <c r="E7728" s="6">
        <f>IF((ISBLANK($B$1)),"",Sheet1!Q7740)</f>
        <v>5550</v>
      </c>
      <c r="F7728" s="20" t="s">
        <v>26</v>
      </c>
      <c r="G7728" s="53">
        <f t="shared" si="121"/>
        <v>1.2031220549314123</v>
      </c>
      <c r="H7728" s="35"/>
      <c r="P7728" s="6"/>
    </row>
    <row r="7729" spans="1:16" ht="14.4" x14ac:dyDescent="0.25">
      <c r="A7729" s="6">
        <v>6199</v>
      </c>
      <c r="B7729" s="6">
        <v>43909</v>
      </c>
      <c r="C7729" s="19">
        <v>39820</v>
      </c>
      <c r="D7729" s="6" t="s">
        <v>17</v>
      </c>
      <c r="E7729" s="6">
        <f>IF((ISBLANK($B$1)),"",Sheet1!Q7741)</f>
        <v>5700</v>
      </c>
      <c r="F7729" s="20" t="s">
        <v>26</v>
      </c>
      <c r="G7729" s="53">
        <f t="shared" si="121"/>
        <v>1.4102651958378438</v>
      </c>
      <c r="H7729" s="35"/>
      <c r="P7729" s="6"/>
    </row>
    <row r="7730" spans="1:16" ht="14.4" x14ac:dyDescent="0.25">
      <c r="A7730" s="6">
        <v>6382</v>
      </c>
      <c r="B7730" s="6">
        <v>45346</v>
      </c>
      <c r="C7730" s="19">
        <v>41228</v>
      </c>
      <c r="D7730" s="6" t="s">
        <v>17</v>
      </c>
      <c r="E7730" s="6">
        <f>IF((ISBLANK($B$1)),"",Sheet1!Q7742)</f>
        <v>5250</v>
      </c>
      <c r="F7730" s="20" t="s">
        <v>26</v>
      </c>
      <c r="G7730" s="53">
        <f t="shared" si="121"/>
        <v>0.78883577311854924</v>
      </c>
      <c r="H7730" s="35"/>
      <c r="P7730" s="6"/>
    </row>
    <row r="7731" spans="1:16" ht="14.4" x14ac:dyDescent="0.25">
      <c r="A7731" s="6">
        <v>6510</v>
      </c>
      <c r="B7731" s="6">
        <v>46336</v>
      </c>
      <c r="C7731" s="19">
        <v>40753</v>
      </c>
      <c r="D7731" s="6" t="s">
        <v>17</v>
      </c>
      <c r="E7731" s="6">
        <f>IF((ISBLANK($B$1)),"",Sheet1!Q7743)</f>
        <v>4950</v>
      </c>
      <c r="F7731" s="20" t="s">
        <v>26</v>
      </c>
      <c r="G7731" s="53">
        <f t="shared" si="121"/>
        <v>0.37454949130568621</v>
      </c>
      <c r="H7731" s="35"/>
      <c r="P7731" s="6"/>
    </row>
    <row r="7732" spans="1:16" ht="14.4" x14ac:dyDescent="0.25">
      <c r="A7732" s="6">
        <v>7342</v>
      </c>
      <c r="B7732" s="6">
        <v>52320</v>
      </c>
      <c r="C7732" s="19">
        <v>41176</v>
      </c>
      <c r="D7732" s="6" t="s">
        <v>25</v>
      </c>
      <c r="E7732" s="6">
        <f>IF((ISBLANK($B$1)),"",Sheet1!Q7744)</f>
        <v>5450</v>
      </c>
      <c r="F7732" s="20" t="s">
        <v>26</v>
      </c>
      <c r="G7732" s="53">
        <f t="shared" si="121"/>
        <v>1.0650266276604579</v>
      </c>
      <c r="H7732" s="35"/>
      <c r="P7732" s="6"/>
    </row>
    <row r="7733" spans="1:16" ht="14.4" x14ac:dyDescent="0.25">
      <c r="A7733" s="6">
        <v>7351</v>
      </c>
      <c r="B7733" s="6">
        <v>52357</v>
      </c>
      <c r="C7733" s="19">
        <v>40059</v>
      </c>
      <c r="D7733" s="6" t="s">
        <v>28</v>
      </c>
      <c r="E7733" s="6">
        <f>IF((ISBLANK($B$1)),"",Sheet1!Q7745)</f>
        <v>5850</v>
      </c>
      <c r="F7733" s="20" t="s">
        <v>26</v>
      </c>
      <c r="G7733" s="53">
        <f t="shared" si="121"/>
        <v>1.6174083367442753</v>
      </c>
      <c r="H7733" s="35"/>
      <c r="P7733" s="6"/>
    </row>
    <row r="7734" spans="1:16" ht="14.4" x14ac:dyDescent="0.25">
      <c r="A7734" s="6">
        <v>7507</v>
      </c>
      <c r="B7734" s="6">
        <v>53573</v>
      </c>
      <c r="C7734" s="19">
        <v>39887</v>
      </c>
      <c r="D7734" s="6" t="s">
        <v>28</v>
      </c>
      <c r="E7734" s="6">
        <f>IF((ISBLANK($B$1)),"",Sheet1!Q7746)</f>
        <v>3700</v>
      </c>
      <c r="F7734" s="20" t="s">
        <v>29</v>
      </c>
      <c r="G7734" s="53">
        <f t="shared" si="121"/>
        <v>-1.351643349581243</v>
      </c>
      <c r="H7734" s="35"/>
      <c r="P7734" s="6"/>
    </row>
    <row r="7735" spans="1:16" ht="14.4" x14ac:dyDescent="0.25">
      <c r="A7735" s="6">
        <v>7887</v>
      </c>
      <c r="B7735" s="6">
        <v>56420</v>
      </c>
      <c r="C7735" s="19">
        <v>40748</v>
      </c>
      <c r="D7735" s="6" t="s">
        <v>25</v>
      </c>
      <c r="E7735" s="6">
        <f>IF((ISBLANK($B$1)),"",Sheet1!Q7747)</f>
        <v>4200</v>
      </c>
      <c r="F7735" s="20" t="s">
        <v>26</v>
      </c>
      <c r="G7735" s="53">
        <f t="shared" si="121"/>
        <v>-0.6611662132264714</v>
      </c>
      <c r="H7735" s="35"/>
      <c r="P7735" s="6"/>
    </row>
    <row r="7736" spans="1:16" ht="14.4" x14ac:dyDescent="0.25">
      <c r="A7736" s="6">
        <v>7888</v>
      </c>
      <c r="B7736" s="6">
        <v>56420</v>
      </c>
      <c r="C7736" s="19">
        <v>40748</v>
      </c>
      <c r="D7736" s="6" t="s">
        <v>25</v>
      </c>
      <c r="E7736" s="6">
        <f>IF((ISBLANK($B$1)),"",Sheet1!Q7748)</f>
        <v>4700</v>
      </c>
      <c r="F7736" s="20" t="s">
        <v>29</v>
      </c>
      <c r="G7736" s="53">
        <f t="shared" si="121"/>
        <v>2.9310923128300338E-2</v>
      </c>
      <c r="H7736" s="35"/>
      <c r="P7736" s="6"/>
    </row>
    <row r="7737" spans="1:16" ht="14.4" x14ac:dyDescent="0.25">
      <c r="A7737" s="6">
        <v>7889</v>
      </c>
      <c r="B7737" s="6">
        <v>56420</v>
      </c>
      <c r="C7737" s="19">
        <v>40748</v>
      </c>
      <c r="D7737" s="6" t="s">
        <v>25</v>
      </c>
      <c r="E7737" s="6">
        <f>IF((ISBLANK($B$1)),"",Sheet1!Q7749)</f>
        <v>4500</v>
      </c>
      <c r="F7737" s="20" t="s">
        <v>27</v>
      </c>
      <c r="G7737" s="53">
        <f t="shared" si="121"/>
        <v>-0.24687993141360834</v>
      </c>
      <c r="H7737" s="35"/>
      <c r="P7737" s="6"/>
    </row>
    <row r="7738" spans="1:16" ht="14.4" x14ac:dyDescent="0.25">
      <c r="A7738" s="6">
        <v>7890</v>
      </c>
      <c r="B7738" s="6">
        <v>56420</v>
      </c>
      <c r="C7738" s="19">
        <v>40748</v>
      </c>
      <c r="D7738" s="6" t="s">
        <v>25</v>
      </c>
      <c r="E7738" s="6">
        <f>IF((ISBLANK($B$1)),"",Sheet1!Q7750)</f>
        <v>5800</v>
      </c>
      <c r="F7738" s="20" t="s">
        <v>27</v>
      </c>
      <c r="G7738" s="53">
        <f t="shared" si="121"/>
        <v>1.5483606231087981</v>
      </c>
      <c r="H7738" s="35"/>
      <c r="P7738" s="6"/>
    </row>
    <row r="7739" spans="1:16" ht="14.4" x14ac:dyDescent="0.25">
      <c r="A7739" s="6">
        <v>8038</v>
      </c>
      <c r="B7739" s="6">
        <v>57412</v>
      </c>
      <c r="C7739" s="19">
        <v>40007</v>
      </c>
      <c r="D7739" s="6" t="s">
        <v>25</v>
      </c>
      <c r="E7739" s="6">
        <f>IF((ISBLANK($B$1)),"",Sheet1!Q7751)</f>
        <v>5100</v>
      </c>
      <c r="F7739" s="20" t="s">
        <v>27</v>
      </c>
      <c r="G7739" s="53">
        <f t="shared" si="121"/>
        <v>0.58169263221211776</v>
      </c>
      <c r="H7739" s="35"/>
      <c r="P7739" s="6"/>
    </row>
    <row r="7740" spans="1:16" ht="14.4" x14ac:dyDescent="0.25">
      <c r="A7740" s="6">
        <v>11</v>
      </c>
      <c r="B7740" s="6">
        <v>66</v>
      </c>
      <c r="C7740" s="19">
        <v>39832</v>
      </c>
      <c r="D7740" s="6" t="s">
        <v>25</v>
      </c>
      <c r="E7740" s="6">
        <f>IF((ISBLANK($B$1)),"",Sheet1!Q7752)</f>
        <v>5450</v>
      </c>
      <c r="F7740" s="20" t="s">
        <v>26</v>
      </c>
      <c r="G7740" s="53">
        <f t="shared" si="121"/>
        <v>1.0650266276604579</v>
      </c>
      <c r="H7740" s="35"/>
      <c r="P7740" s="6"/>
    </row>
    <row r="7741" spans="1:16" ht="14.4" x14ac:dyDescent="0.25">
      <c r="A7741" s="6">
        <v>251</v>
      </c>
      <c r="B7741" s="6">
        <v>1762</v>
      </c>
      <c r="C7741" s="19">
        <v>40044</v>
      </c>
      <c r="D7741" s="6" t="s">
        <v>28</v>
      </c>
      <c r="E7741" s="6">
        <f>IF((ISBLANK($B$1)),"",Sheet1!Q7753)</f>
        <v>4850</v>
      </c>
      <c r="F7741" s="20" t="s">
        <v>27</v>
      </c>
      <c r="G7741" s="53">
        <f t="shared" si="121"/>
        <v>0.23645406403473185</v>
      </c>
      <c r="H7741" s="35"/>
      <c r="P7741" s="6"/>
    </row>
    <row r="7742" spans="1:16" ht="14.4" x14ac:dyDescent="0.25">
      <c r="A7742" s="6">
        <v>252</v>
      </c>
      <c r="B7742" s="6">
        <v>1762</v>
      </c>
      <c r="C7742" s="19">
        <v>40044</v>
      </c>
      <c r="D7742" s="6" t="s">
        <v>28</v>
      </c>
      <c r="E7742" s="6">
        <f>IF((ISBLANK($B$1)),"",Sheet1!Q7754)</f>
        <v>3950</v>
      </c>
      <c r="F7742" s="20" t="s">
        <v>26</v>
      </c>
      <c r="G7742" s="53">
        <f t="shared" si="121"/>
        <v>-1.0064047814038573</v>
      </c>
      <c r="H7742" s="35"/>
      <c r="P7742" s="6"/>
    </row>
    <row r="7743" spans="1:16" ht="14.4" x14ac:dyDescent="0.25">
      <c r="A7743" s="6">
        <v>253</v>
      </c>
      <c r="B7743" s="6">
        <v>1762</v>
      </c>
      <c r="C7743" s="19">
        <v>40044</v>
      </c>
      <c r="D7743" s="6" t="s">
        <v>28</v>
      </c>
      <c r="E7743" s="6">
        <f>IF((ISBLANK($B$1)),"",Sheet1!Q7755)</f>
        <v>5550</v>
      </c>
      <c r="F7743" s="20" t="s">
        <v>27</v>
      </c>
      <c r="G7743" s="53">
        <f t="shared" si="121"/>
        <v>1.2031220549314123</v>
      </c>
      <c r="H7743" s="35"/>
      <c r="P7743" s="6"/>
    </row>
    <row r="7744" spans="1:16" ht="14.4" x14ac:dyDescent="0.25">
      <c r="A7744" s="6">
        <v>859</v>
      </c>
      <c r="B7744" s="6">
        <v>6150</v>
      </c>
      <c r="C7744" s="19">
        <v>41183</v>
      </c>
      <c r="D7744" s="6" t="s">
        <v>30</v>
      </c>
      <c r="E7744" s="6">
        <f>IF((ISBLANK($B$1)),"",Sheet1!Q7756)</f>
        <v>5300</v>
      </c>
      <c r="F7744" s="20" t="s">
        <v>26</v>
      </c>
      <c r="G7744" s="53">
        <f t="shared" si="121"/>
        <v>0.85788348675402637</v>
      </c>
      <c r="H7744" s="35"/>
      <c r="P7744" s="6"/>
    </row>
    <row r="7745" spans="1:16" ht="14.4" x14ac:dyDescent="0.25">
      <c r="A7745" s="6">
        <v>879</v>
      </c>
      <c r="B7745" s="6">
        <v>6310</v>
      </c>
      <c r="C7745" s="19">
        <v>39936</v>
      </c>
      <c r="D7745" s="6" t="s">
        <v>28</v>
      </c>
      <c r="E7745" s="6">
        <f>IF((ISBLANK($B$1)),"",Sheet1!Q7757)</f>
        <v>4750</v>
      </c>
      <c r="F7745" s="20" t="s">
        <v>29</v>
      </c>
      <c r="G7745" s="53">
        <f t="shared" si="121"/>
        <v>9.8358636763777513E-2</v>
      </c>
      <c r="H7745" s="35"/>
      <c r="P7745" s="6"/>
    </row>
    <row r="7746" spans="1:16" ht="14.4" x14ac:dyDescent="0.25">
      <c r="A7746" s="6">
        <v>1321</v>
      </c>
      <c r="B7746" s="6">
        <v>9664</v>
      </c>
      <c r="C7746" s="19">
        <v>40275</v>
      </c>
      <c r="D7746" s="6" t="s">
        <v>17</v>
      </c>
      <c r="E7746" s="6">
        <f>IF((ISBLANK($B$1)),"",Sheet1!Q7758)</f>
        <v>4050</v>
      </c>
      <c r="F7746" s="20" t="s">
        <v>26</v>
      </c>
      <c r="G7746" s="53">
        <f t="shared" si="121"/>
        <v>-0.86830935413290289</v>
      </c>
      <c r="H7746" s="35"/>
      <c r="P7746" s="6"/>
    </row>
    <row r="7747" spans="1:16" ht="14.4" x14ac:dyDescent="0.25">
      <c r="A7747" s="6">
        <v>1545</v>
      </c>
      <c r="B7747" s="6">
        <v>11168</v>
      </c>
      <c r="C7747" s="19">
        <v>41203</v>
      </c>
      <c r="D7747" s="6" t="s">
        <v>30</v>
      </c>
      <c r="E7747" s="6">
        <f>IF((ISBLANK($B$1)),"",Sheet1!Q7759)</f>
        <v>5150</v>
      </c>
      <c r="F7747" s="20" t="s">
        <v>29</v>
      </c>
      <c r="G7747" s="53">
        <f t="shared" si="121"/>
        <v>0.65074034584759488</v>
      </c>
      <c r="H7747" s="35"/>
      <c r="P7747" s="6"/>
    </row>
    <row r="7748" spans="1:16" ht="14.4" x14ac:dyDescent="0.25">
      <c r="A7748" s="6">
        <v>1725</v>
      </c>
      <c r="B7748" s="6">
        <v>12417</v>
      </c>
      <c r="C7748" s="19">
        <v>40475</v>
      </c>
      <c r="D7748" s="6" t="s">
        <v>30</v>
      </c>
      <c r="E7748" s="6">
        <f>IF((ISBLANK($B$1)),"",Sheet1!Q7760)</f>
        <v>4350</v>
      </c>
      <c r="F7748" s="20" t="s">
        <v>26</v>
      </c>
      <c r="G7748" s="53">
        <f t="shared" si="121"/>
        <v>-0.45402307232003986</v>
      </c>
      <c r="H7748" s="35"/>
      <c r="P7748" s="6"/>
    </row>
    <row r="7749" spans="1:16" ht="14.4" x14ac:dyDescent="0.25">
      <c r="A7749" s="6">
        <v>1899</v>
      </c>
      <c r="B7749" s="6">
        <v>13607</v>
      </c>
      <c r="C7749" s="19">
        <v>40500</v>
      </c>
      <c r="D7749" s="6" t="s">
        <v>30</v>
      </c>
      <c r="E7749" s="6">
        <f>IF((ISBLANK($B$1)),"",Sheet1!Q7761)</f>
        <v>4000</v>
      </c>
      <c r="F7749" s="20" t="s">
        <v>27</v>
      </c>
      <c r="G7749" s="53">
        <f t="shared" si="121"/>
        <v>-0.93735706776838001</v>
      </c>
      <c r="H7749" s="35"/>
      <c r="P7749" s="6"/>
    </row>
    <row r="7750" spans="1:16" ht="14.4" x14ac:dyDescent="0.25">
      <c r="A7750" s="6">
        <v>1900</v>
      </c>
      <c r="B7750" s="6">
        <v>13607</v>
      </c>
      <c r="C7750" s="19">
        <v>40500</v>
      </c>
      <c r="D7750" s="6" t="s">
        <v>30</v>
      </c>
      <c r="E7750" s="6">
        <f>IF((ISBLANK($B$1)),"",Sheet1!Q7762)</f>
        <v>5250</v>
      </c>
      <c r="F7750" s="20" t="s">
        <v>26</v>
      </c>
      <c r="G7750" s="53">
        <f t="shared" si="121"/>
        <v>0.78883577311854924</v>
      </c>
      <c r="H7750" s="35"/>
      <c r="P7750" s="6"/>
    </row>
    <row r="7751" spans="1:16" ht="14.4" x14ac:dyDescent="0.25">
      <c r="A7751" s="6">
        <v>1901</v>
      </c>
      <c r="B7751" s="6">
        <v>13607</v>
      </c>
      <c r="C7751" s="19">
        <v>40500</v>
      </c>
      <c r="D7751" s="6" t="s">
        <v>30</v>
      </c>
      <c r="E7751" s="6">
        <f>IF((ISBLANK($B$1)),"",Sheet1!Q7763)</f>
        <v>4050</v>
      </c>
      <c r="F7751" s="20" t="s">
        <v>26</v>
      </c>
      <c r="G7751" s="53">
        <f t="shared" si="121"/>
        <v>-0.86830935413290289</v>
      </c>
      <c r="H7751" s="35"/>
      <c r="P7751" s="6"/>
    </row>
    <row r="7752" spans="1:16" ht="14.4" x14ac:dyDescent="0.25">
      <c r="A7752" s="6">
        <v>2047</v>
      </c>
      <c r="B7752" s="6">
        <v>14597</v>
      </c>
      <c r="C7752" s="19">
        <v>40420</v>
      </c>
      <c r="D7752" s="6" t="s">
        <v>30</v>
      </c>
      <c r="E7752" s="6">
        <f>IF((ISBLANK($B$1)),"",Sheet1!Q7764)</f>
        <v>5450</v>
      </c>
      <c r="F7752" s="20" t="s">
        <v>26</v>
      </c>
      <c r="G7752" s="53">
        <f t="shared" ref="G7752:G7815" si="122">STANDARDIZE(E7752,$L$26,$L$35)</f>
        <v>1.0650266276604579</v>
      </c>
      <c r="H7752" s="35"/>
      <c r="P7752" s="6"/>
    </row>
    <row r="7753" spans="1:16" ht="14.4" x14ac:dyDescent="0.25">
      <c r="A7753" s="6">
        <v>2048</v>
      </c>
      <c r="B7753" s="6">
        <v>14597</v>
      </c>
      <c r="C7753" s="19">
        <v>40420</v>
      </c>
      <c r="D7753" s="6" t="s">
        <v>30</v>
      </c>
      <c r="E7753" s="6">
        <f>IF((ISBLANK($B$1)),"",Sheet1!Q7765)</f>
        <v>5150</v>
      </c>
      <c r="F7753" s="20" t="s">
        <v>29</v>
      </c>
      <c r="G7753" s="53">
        <f t="shared" si="122"/>
        <v>0.65074034584759488</v>
      </c>
      <c r="H7753" s="35"/>
      <c r="P7753" s="6"/>
    </row>
    <row r="7754" spans="1:16" ht="14.4" x14ac:dyDescent="0.25">
      <c r="A7754" s="6">
        <v>2102</v>
      </c>
      <c r="B7754" s="6">
        <v>15015</v>
      </c>
      <c r="C7754" s="19">
        <v>40507</v>
      </c>
      <c r="D7754" s="6" t="s">
        <v>17</v>
      </c>
      <c r="E7754" s="6">
        <f>IF((ISBLANK($B$1)),"",Sheet1!Q7766)</f>
        <v>5750</v>
      </c>
      <c r="F7754" s="20" t="s">
        <v>29</v>
      </c>
      <c r="G7754" s="53">
        <f t="shared" si="122"/>
        <v>1.4793129094733208</v>
      </c>
      <c r="H7754" s="35"/>
      <c r="P7754" s="6"/>
    </row>
    <row r="7755" spans="1:16" ht="14.4" x14ac:dyDescent="0.25">
      <c r="A7755" s="6">
        <v>2415</v>
      </c>
      <c r="B7755" s="6">
        <v>17539</v>
      </c>
      <c r="C7755" s="19">
        <v>40801</v>
      </c>
      <c r="D7755" s="6" t="s">
        <v>28</v>
      </c>
      <c r="E7755" s="6">
        <f>IF((ISBLANK($B$1)),"",Sheet1!Q7767)</f>
        <v>4800</v>
      </c>
      <c r="F7755" s="20" t="s">
        <v>29</v>
      </c>
      <c r="G7755" s="53">
        <f t="shared" si="122"/>
        <v>0.16740635039925467</v>
      </c>
      <c r="H7755" s="35"/>
      <c r="P7755" s="6"/>
    </row>
    <row r="7756" spans="1:16" ht="14.4" x14ac:dyDescent="0.25">
      <c r="A7756" s="6">
        <v>2416</v>
      </c>
      <c r="B7756" s="6">
        <v>17539</v>
      </c>
      <c r="C7756" s="19">
        <v>40801</v>
      </c>
      <c r="D7756" s="6" t="s">
        <v>28</v>
      </c>
      <c r="E7756" s="6">
        <f>IF((ISBLANK($B$1)),"",Sheet1!Q7768)</f>
        <v>3900</v>
      </c>
      <c r="F7756" s="20" t="s">
        <v>27</v>
      </c>
      <c r="G7756" s="53">
        <f t="shared" si="122"/>
        <v>-1.0754524950393345</v>
      </c>
      <c r="H7756" s="35"/>
      <c r="P7756" s="6"/>
    </row>
    <row r="7757" spans="1:16" ht="14.4" x14ac:dyDescent="0.25">
      <c r="A7757" s="6">
        <v>2492</v>
      </c>
      <c r="B7757" s="6">
        <v>18145</v>
      </c>
      <c r="C7757" s="19">
        <v>40425</v>
      </c>
      <c r="D7757" s="6" t="s">
        <v>16</v>
      </c>
      <c r="E7757" s="6">
        <f>IF((ISBLANK($B$1)),"",Sheet1!Q7769)</f>
        <v>5750</v>
      </c>
      <c r="F7757" s="20" t="s">
        <v>26</v>
      </c>
      <c r="G7757" s="53">
        <f t="shared" si="122"/>
        <v>1.4793129094733208</v>
      </c>
      <c r="H7757" s="35"/>
      <c r="P7757" s="6"/>
    </row>
    <row r="7758" spans="1:16" ht="14.4" x14ac:dyDescent="0.25">
      <c r="A7758" s="6">
        <v>2709</v>
      </c>
      <c r="B7758" s="6">
        <v>19559</v>
      </c>
      <c r="C7758" s="19">
        <v>40283</v>
      </c>
      <c r="D7758" s="6" t="s">
        <v>17</v>
      </c>
      <c r="E7758" s="6">
        <f>IF((ISBLANK($B$1)),"",Sheet1!Q7770)</f>
        <v>4950</v>
      </c>
      <c r="F7758" s="20" t="s">
        <v>26</v>
      </c>
      <c r="G7758" s="53">
        <f t="shared" si="122"/>
        <v>0.37454949130568621</v>
      </c>
      <c r="H7758" s="35"/>
      <c r="P7758" s="6"/>
    </row>
    <row r="7759" spans="1:16" ht="14.4" x14ac:dyDescent="0.25">
      <c r="A7759" s="6">
        <v>2710</v>
      </c>
      <c r="B7759" s="6">
        <v>19559</v>
      </c>
      <c r="C7759" s="19">
        <v>40283</v>
      </c>
      <c r="D7759" s="6" t="s">
        <v>17</v>
      </c>
      <c r="E7759" s="6">
        <f>IF((ISBLANK($B$1)),"",Sheet1!Q7771)</f>
        <v>4300</v>
      </c>
      <c r="F7759" s="20" t="s">
        <v>27</v>
      </c>
      <c r="G7759" s="53">
        <f t="shared" si="122"/>
        <v>-0.52307078595551704</v>
      </c>
      <c r="H7759" s="35"/>
      <c r="P7759" s="6"/>
    </row>
    <row r="7760" spans="1:16" ht="14.4" x14ac:dyDescent="0.25">
      <c r="A7760" s="6">
        <v>2711</v>
      </c>
      <c r="B7760" s="6">
        <v>19559</v>
      </c>
      <c r="C7760" s="19">
        <v>40283</v>
      </c>
      <c r="D7760" s="6" t="s">
        <v>17</v>
      </c>
      <c r="E7760" s="6">
        <f>IF((ISBLANK($B$1)),"",Sheet1!Q7772)</f>
        <v>4100</v>
      </c>
      <c r="F7760" s="20" t="s">
        <v>27</v>
      </c>
      <c r="G7760" s="53">
        <f t="shared" si="122"/>
        <v>-0.79926164049742576</v>
      </c>
      <c r="H7760" s="35"/>
      <c r="P7760" s="6"/>
    </row>
    <row r="7761" spans="1:16" ht="14.4" x14ac:dyDescent="0.25">
      <c r="A7761" s="6">
        <v>2924</v>
      </c>
      <c r="B7761" s="6">
        <v>21188</v>
      </c>
      <c r="C7761" s="19">
        <v>40807</v>
      </c>
      <c r="D7761" s="6" t="s">
        <v>30</v>
      </c>
      <c r="E7761" s="6">
        <f>IF((ISBLANK($B$1)),"",Sheet1!Q7773)</f>
        <v>4850</v>
      </c>
      <c r="F7761" s="20" t="s">
        <v>27</v>
      </c>
      <c r="G7761" s="53">
        <f t="shared" si="122"/>
        <v>0.23645406403473185</v>
      </c>
      <c r="H7761" s="35"/>
      <c r="P7761" s="6"/>
    </row>
    <row r="7762" spans="1:16" ht="14.4" x14ac:dyDescent="0.25">
      <c r="A7762" s="6">
        <v>2941</v>
      </c>
      <c r="B7762" s="6">
        <v>21318</v>
      </c>
      <c r="C7762" s="19">
        <v>40363</v>
      </c>
      <c r="D7762" s="6" t="s">
        <v>17</v>
      </c>
      <c r="E7762" s="6">
        <f>IF((ISBLANK($B$1)),"",Sheet1!Q7774)</f>
        <v>5400</v>
      </c>
      <c r="F7762" s="20" t="s">
        <v>26</v>
      </c>
      <c r="G7762" s="53">
        <f t="shared" si="122"/>
        <v>0.99597891402498073</v>
      </c>
      <c r="H7762" s="35"/>
      <c r="P7762" s="6"/>
    </row>
    <row r="7763" spans="1:16" ht="14.4" x14ac:dyDescent="0.25">
      <c r="A7763" s="6">
        <v>3029</v>
      </c>
      <c r="B7763" s="6">
        <v>21792</v>
      </c>
      <c r="C7763" s="19">
        <v>41177</v>
      </c>
      <c r="D7763" s="6" t="s">
        <v>28</v>
      </c>
      <c r="E7763" s="6">
        <f>IF((ISBLANK($B$1)),"",Sheet1!Q7775)</f>
        <v>4700</v>
      </c>
      <c r="F7763" s="20" t="s">
        <v>26</v>
      </c>
      <c r="G7763" s="53">
        <f t="shared" si="122"/>
        <v>2.9310923128300338E-2</v>
      </c>
      <c r="H7763" s="35"/>
      <c r="P7763" s="6"/>
    </row>
    <row r="7764" spans="1:16" ht="14.4" x14ac:dyDescent="0.25">
      <c r="A7764" s="6">
        <v>3041</v>
      </c>
      <c r="B7764" s="6">
        <v>21831</v>
      </c>
      <c r="C7764" s="19">
        <v>40075</v>
      </c>
      <c r="D7764" s="6" t="s">
        <v>28</v>
      </c>
      <c r="E7764" s="6">
        <f>IF((ISBLANK($B$1)),"",Sheet1!Q7776)</f>
        <v>3700</v>
      </c>
      <c r="F7764" s="20" t="s">
        <v>26</v>
      </c>
      <c r="G7764" s="53">
        <f t="shared" si="122"/>
        <v>-1.351643349581243</v>
      </c>
      <c r="H7764" s="35"/>
      <c r="P7764" s="6"/>
    </row>
    <row r="7765" spans="1:16" ht="14.4" x14ac:dyDescent="0.25">
      <c r="A7765" s="6">
        <v>3171</v>
      </c>
      <c r="B7765" s="6">
        <v>22818</v>
      </c>
      <c r="C7765" s="19">
        <v>39955</v>
      </c>
      <c r="D7765" s="6" t="s">
        <v>30</v>
      </c>
      <c r="E7765" s="6">
        <f>IF((ISBLANK($B$1)),"",Sheet1!Q7777)</f>
        <v>5900</v>
      </c>
      <c r="F7765" s="20" t="s">
        <v>29</v>
      </c>
      <c r="G7765" s="53">
        <f t="shared" si="122"/>
        <v>1.6864560503797523</v>
      </c>
      <c r="H7765" s="35"/>
      <c r="P7765" s="6"/>
    </row>
    <row r="7766" spans="1:16" ht="14.4" x14ac:dyDescent="0.25">
      <c r="A7766" s="6">
        <v>3172</v>
      </c>
      <c r="B7766" s="6">
        <v>22818</v>
      </c>
      <c r="C7766" s="19">
        <v>39955</v>
      </c>
      <c r="D7766" s="6" t="s">
        <v>25</v>
      </c>
      <c r="E7766" s="6">
        <f>IF((ISBLANK($B$1)),"",Sheet1!Q7778)</f>
        <v>4350</v>
      </c>
      <c r="F7766" s="20" t="s">
        <v>27</v>
      </c>
      <c r="G7766" s="53">
        <f t="shared" si="122"/>
        <v>-0.45402307232003986</v>
      </c>
      <c r="H7766" s="35"/>
      <c r="P7766" s="6"/>
    </row>
    <row r="7767" spans="1:16" ht="14.4" x14ac:dyDescent="0.25">
      <c r="A7767" s="6">
        <v>3482</v>
      </c>
      <c r="B7767" s="6">
        <v>24801</v>
      </c>
      <c r="C7767" s="19">
        <v>41228</v>
      </c>
      <c r="D7767" s="6" t="s">
        <v>17</v>
      </c>
      <c r="E7767" s="6">
        <f>IF((ISBLANK($B$1)),"",Sheet1!Q7779)</f>
        <v>3550</v>
      </c>
      <c r="F7767" s="20" t="s">
        <v>26</v>
      </c>
      <c r="G7767" s="53">
        <f t="shared" si="122"/>
        <v>-1.5587864904876745</v>
      </c>
      <c r="H7767" s="35"/>
      <c r="P7767" s="6"/>
    </row>
    <row r="7768" spans="1:16" ht="14.4" x14ac:dyDescent="0.25">
      <c r="A7768" s="6">
        <v>3483</v>
      </c>
      <c r="B7768" s="6">
        <v>24801</v>
      </c>
      <c r="C7768" s="19">
        <v>41228</v>
      </c>
      <c r="D7768" s="6" t="s">
        <v>17</v>
      </c>
      <c r="E7768" s="6">
        <f>IF((ISBLANK($B$1)),"",Sheet1!Q7780)</f>
        <v>3750</v>
      </c>
      <c r="F7768" s="20" t="s">
        <v>29</v>
      </c>
      <c r="G7768" s="53">
        <f t="shared" si="122"/>
        <v>-1.282595635945766</v>
      </c>
      <c r="H7768" s="35"/>
      <c r="P7768" s="6"/>
    </row>
    <row r="7769" spans="1:16" ht="14.4" x14ac:dyDescent="0.25">
      <c r="A7769" s="6">
        <v>3484</v>
      </c>
      <c r="B7769" s="6">
        <v>24801</v>
      </c>
      <c r="C7769" s="19">
        <v>41228</v>
      </c>
      <c r="D7769" s="6" t="s">
        <v>17</v>
      </c>
      <c r="E7769" s="6">
        <f>IF((ISBLANK($B$1)),"",Sheet1!Q7781)</f>
        <v>3900</v>
      </c>
      <c r="F7769" s="20" t="s">
        <v>27</v>
      </c>
      <c r="G7769" s="53">
        <f t="shared" si="122"/>
        <v>-1.0754524950393345</v>
      </c>
      <c r="H7769" s="35"/>
      <c r="P7769" s="6"/>
    </row>
    <row r="7770" spans="1:16" ht="14.4" x14ac:dyDescent="0.25">
      <c r="A7770" s="6">
        <v>3714</v>
      </c>
      <c r="B7770" s="6">
        <v>26529</v>
      </c>
      <c r="C7770" s="19">
        <v>40571</v>
      </c>
      <c r="D7770" s="6" t="s">
        <v>25</v>
      </c>
      <c r="E7770" s="6">
        <f>IF((ISBLANK($B$1)),"",Sheet1!Q7782)</f>
        <v>4250</v>
      </c>
      <c r="F7770" s="20" t="s">
        <v>26</v>
      </c>
      <c r="G7770" s="53">
        <f t="shared" si="122"/>
        <v>-0.59211849959099416</v>
      </c>
      <c r="H7770" s="35"/>
      <c r="P7770" s="6"/>
    </row>
    <row r="7771" spans="1:16" ht="14.4" x14ac:dyDescent="0.25">
      <c r="A7771" s="6">
        <v>3893</v>
      </c>
      <c r="B7771" s="6">
        <v>27780</v>
      </c>
      <c r="C7771" s="19">
        <v>41202</v>
      </c>
      <c r="D7771" s="6" t="s">
        <v>30</v>
      </c>
      <c r="E7771" s="6">
        <f>IF((ISBLANK($B$1)),"",Sheet1!Q7783)</f>
        <v>4300</v>
      </c>
      <c r="F7771" s="20" t="s">
        <v>26</v>
      </c>
      <c r="G7771" s="53">
        <f t="shared" si="122"/>
        <v>-0.52307078595551704</v>
      </c>
      <c r="H7771" s="35"/>
      <c r="P7771" s="6"/>
    </row>
    <row r="7772" spans="1:16" ht="14.4" x14ac:dyDescent="0.25">
      <c r="A7772" s="6">
        <v>3894</v>
      </c>
      <c r="B7772" s="6">
        <v>27780</v>
      </c>
      <c r="C7772" s="19">
        <v>41202</v>
      </c>
      <c r="D7772" s="6" t="s">
        <v>30</v>
      </c>
      <c r="E7772" s="6">
        <f>IF((ISBLANK($B$1)),"",Sheet1!Q7784)</f>
        <v>5350</v>
      </c>
      <c r="F7772" s="20" t="s">
        <v>26</v>
      </c>
      <c r="G7772" s="53">
        <f t="shared" si="122"/>
        <v>0.92693120038950361</v>
      </c>
      <c r="H7772" s="35"/>
      <c r="P7772" s="6"/>
    </row>
    <row r="7773" spans="1:16" ht="14.4" x14ac:dyDescent="0.25">
      <c r="A7773" s="6">
        <v>3895</v>
      </c>
      <c r="B7773" s="6">
        <v>27780</v>
      </c>
      <c r="C7773" s="19">
        <v>41202</v>
      </c>
      <c r="D7773" s="6" t="s">
        <v>30</v>
      </c>
      <c r="E7773" s="6">
        <f>IF((ISBLANK($B$1)),"",Sheet1!Q7785)</f>
        <v>5350</v>
      </c>
      <c r="F7773" s="20" t="s">
        <v>27</v>
      </c>
      <c r="G7773" s="53">
        <f t="shared" si="122"/>
        <v>0.92693120038950361</v>
      </c>
      <c r="H7773" s="35"/>
      <c r="P7773" s="6"/>
    </row>
    <row r="7774" spans="1:16" ht="14.4" x14ac:dyDescent="0.25">
      <c r="A7774" s="6">
        <v>3904</v>
      </c>
      <c r="B7774" s="6">
        <v>27843</v>
      </c>
      <c r="C7774" s="19">
        <v>40426</v>
      </c>
      <c r="D7774" s="6" t="s">
        <v>16</v>
      </c>
      <c r="E7774" s="6">
        <f>IF((ISBLANK($B$1)),"",Sheet1!Q7786)</f>
        <v>4700</v>
      </c>
      <c r="F7774" s="20" t="s">
        <v>27</v>
      </c>
      <c r="G7774" s="53">
        <f t="shared" si="122"/>
        <v>2.9310923128300338E-2</v>
      </c>
      <c r="H7774" s="35"/>
      <c r="P7774" s="6"/>
    </row>
    <row r="7775" spans="1:16" ht="14.4" x14ac:dyDescent="0.25">
      <c r="A7775" s="6">
        <v>4030</v>
      </c>
      <c r="B7775" s="6">
        <v>28773</v>
      </c>
      <c r="C7775" s="19">
        <v>40584</v>
      </c>
      <c r="D7775" s="6" t="s">
        <v>25</v>
      </c>
      <c r="E7775" s="6">
        <f>IF((ISBLANK($B$1)),"",Sheet1!Q7787)</f>
        <v>5800</v>
      </c>
      <c r="F7775" s="20" t="s">
        <v>27</v>
      </c>
      <c r="G7775" s="53">
        <f t="shared" si="122"/>
        <v>1.5483606231087981</v>
      </c>
      <c r="H7775" s="35"/>
      <c r="P7775" s="6"/>
    </row>
    <row r="7776" spans="1:16" ht="14.4" x14ac:dyDescent="0.25">
      <c r="A7776" s="6">
        <v>4323</v>
      </c>
      <c r="B7776" s="6">
        <v>30786</v>
      </c>
      <c r="C7776" s="19">
        <v>41106</v>
      </c>
      <c r="D7776" s="6" t="s">
        <v>16</v>
      </c>
      <c r="E7776" s="6">
        <f>IF((ISBLANK($B$1)),"",Sheet1!Q7788)</f>
        <v>4550</v>
      </c>
      <c r="F7776" s="20" t="s">
        <v>26</v>
      </c>
      <c r="G7776" s="53">
        <f t="shared" si="122"/>
        <v>-0.17783221777813119</v>
      </c>
      <c r="H7776" s="35"/>
      <c r="P7776" s="6"/>
    </row>
    <row r="7777" spans="1:16" ht="14.4" x14ac:dyDescent="0.25">
      <c r="A7777" s="6">
        <v>4324</v>
      </c>
      <c r="B7777" s="6">
        <v>30786</v>
      </c>
      <c r="C7777" s="19">
        <v>41106</v>
      </c>
      <c r="D7777" s="6" t="s">
        <v>16</v>
      </c>
      <c r="E7777" s="6">
        <f>IF((ISBLANK($B$1)),"",Sheet1!Q7789)</f>
        <v>3600</v>
      </c>
      <c r="F7777" s="20" t="s">
        <v>26</v>
      </c>
      <c r="G7777" s="53">
        <f t="shared" si="122"/>
        <v>-1.4897387768521975</v>
      </c>
      <c r="H7777" s="35"/>
      <c r="P7777" s="6"/>
    </row>
    <row r="7778" spans="1:16" ht="14.4" x14ac:dyDescent="0.25">
      <c r="A7778" s="6">
        <v>4461</v>
      </c>
      <c r="B7778" s="6">
        <v>31809</v>
      </c>
      <c r="C7778" s="19">
        <v>40387</v>
      </c>
      <c r="D7778" s="6" t="s">
        <v>17</v>
      </c>
      <c r="E7778" s="6">
        <f>IF((ISBLANK($B$1)),"",Sheet1!Q7790)</f>
        <v>3450</v>
      </c>
      <c r="F7778" s="20" t="s">
        <v>26</v>
      </c>
      <c r="G7778" s="53">
        <f t="shared" si="122"/>
        <v>-1.696881917758629</v>
      </c>
      <c r="H7778" s="35"/>
      <c r="P7778" s="6"/>
    </row>
    <row r="7779" spans="1:16" ht="14.4" x14ac:dyDescent="0.25">
      <c r="A7779" s="6">
        <v>4481</v>
      </c>
      <c r="B7779" s="6">
        <v>31878</v>
      </c>
      <c r="C7779" s="19">
        <v>40895</v>
      </c>
      <c r="D7779" s="6" t="s">
        <v>16</v>
      </c>
      <c r="E7779" s="6">
        <f>IF((ISBLANK($B$1)),"",Sheet1!Q7791)</f>
        <v>4100</v>
      </c>
      <c r="F7779" s="20" t="s">
        <v>26</v>
      </c>
      <c r="G7779" s="53">
        <f t="shared" si="122"/>
        <v>-0.79926164049742576</v>
      </c>
      <c r="H7779" s="35"/>
      <c r="P7779" s="6"/>
    </row>
    <row r="7780" spans="1:16" ht="14.4" x14ac:dyDescent="0.25">
      <c r="A7780" s="6">
        <v>4482</v>
      </c>
      <c r="B7780" s="6">
        <v>31878</v>
      </c>
      <c r="C7780" s="19">
        <v>40895</v>
      </c>
      <c r="D7780" s="6" t="s">
        <v>16</v>
      </c>
      <c r="E7780" s="6">
        <f>IF((ISBLANK($B$1)),"",Sheet1!Q7792)</f>
        <v>5500</v>
      </c>
      <c r="F7780" s="20" t="s">
        <v>27</v>
      </c>
      <c r="G7780" s="53">
        <f t="shared" si="122"/>
        <v>1.1340743412959351</v>
      </c>
      <c r="H7780" s="35"/>
      <c r="P7780" s="6"/>
    </row>
    <row r="7781" spans="1:16" ht="14.4" x14ac:dyDescent="0.25">
      <c r="A7781" s="6">
        <v>4910</v>
      </c>
      <c r="B7781" s="6">
        <v>34976</v>
      </c>
      <c r="C7781" s="19">
        <v>41237</v>
      </c>
      <c r="D7781" s="6" t="s">
        <v>16</v>
      </c>
      <c r="E7781" s="6">
        <f>IF((ISBLANK($B$1)),"",Sheet1!Q7793)</f>
        <v>5650</v>
      </c>
      <c r="F7781" s="20" t="s">
        <v>29</v>
      </c>
      <c r="G7781" s="53">
        <f t="shared" si="122"/>
        <v>1.3412174822023666</v>
      </c>
      <c r="H7781" s="35"/>
      <c r="P7781" s="6"/>
    </row>
    <row r="7782" spans="1:16" ht="14.4" x14ac:dyDescent="0.25">
      <c r="A7782" s="6">
        <v>4911</v>
      </c>
      <c r="B7782" s="6">
        <v>34976</v>
      </c>
      <c r="C7782" s="19">
        <v>41237</v>
      </c>
      <c r="D7782" s="6" t="s">
        <v>16</v>
      </c>
      <c r="E7782" s="6">
        <f>IF((ISBLANK($B$1)),"",Sheet1!Q7794)</f>
        <v>4850</v>
      </c>
      <c r="F7782" s="20" t="s">
        <v>26</v>
      </c>
      <c r="G7782" s="53">
        <f t="shared" si="122"/>
        <v>0.23645406403473185</v>
      </c>
      <c r="H7782" s="35"/>
      <c r="P7782" s="6"/>
    </row>
    <row r="7783" spans="1:16" ht="14.4" x14ac:dyDescent="0.25">
      <c r="A7783" s="6">
        <v>4913</v>
      </c>
      <c r="B7783" s="6">
        <v>34979</v>
      </c>
      <c r="C7783" s="19">
        <v>40449</v>
      </c>
      <c r="D7783" s="6" t="s">
        <v>30</v>
      </c>
      <c r="E7783" s="6">
        <f>IF((ISBLANK($B$1)),"",Sheet1!Q7795)</f>
        <v>4150</v>
      </c>
      <c r="F7783" s="20" t="s">
        <v>27</v>
      </c>
      <c r="G7783" s="53">
        <f t="shared" si="122"/>
        <v>-0.73021392686194853</v>
      </c>
      <c r="H7783" s="35"/>
      <c r="P7783" s="6"/>
    </row>
    <row r="7784" spans="1:16" ht="14.4" x14ac:dyDescent="0.25">
      <c r="A7784" s="6">
        <v>4941</v>
      </c>
      <c r="B7784" s="6">
        <v>35139</v>
      </c>
      <c r="C7784" s="19">
        <v>40196</v>
      </c>
      <c r="D7784" s="6" t="s">
        <v>17</v>
      </c>
      <c r="E7784" s="6">
        <f>IF((ISBLANK($B$1)),"",Sheet1!Q7796)</f>
        <v>4850</v>
      </c>
      <c r="F7784" s="20" t="s">
        <v>26</v>
      </c>
      <c r="G7784" s="53">
        <f t="shared" si="122"/>
        <v>0.23645406403473185</v>
      </c>
      <c r="H7784" s="35"/>
      <c r="P7784" s="6"/>
    </row>
    <row r="7785" spans="1:16" ht="14.4" x14ac:dyDescent="0.25">
      <c r="A7785" s="6">
        <v>5132</v>
      </c>
      <c r="B7785" s="6">
        <v>36608</v>
      </c>
      <c r="C7785" s="19">
        <v>40814</v>
      </c>
      <c r="D7785" s="6" t="s">
        <v>25</v>
      </c>
      <c r="E7785" s="6">
        <f>IF((ISBLANK($B$1)),"",Sheet1!Q7797)</f>
        <v>5400</v>
      </c>
      <c r="F7785" s="20" t="s">
        <v>26</v>
      </c>
      <c r="G7785" s="53">
        <f t="shared" si="122"/>
        <v>0.99597891402498073</v>
      </c>
      <c r="H7785" s="35"/>
      <c r="P7785" s="6"/>
    </row>
    <row r="7786" spans="1:16" ht="14.4" x14ac:dyDescent="0.25">
      <c r="A7786" s="6">
        <v>5133</v>
      </c>
      <c r="B7786" s="6">
        <v>36608</v>
      </c>
      <c r="C7786" s="19">
        <v>40814</v>
      </c>
      <c r="D7786" s="6" t="s">
        <v>25</v>
      </c>
      <c r="E7786" s="6">
        <f>IF((ISBLANK($B$1)),"",Sheet1!Q7798)</f>
        <v>5850</v>
      </c>
      <c r="F7786" s="20" t="s">
        <v>26</v>
      </c>
      <c r="G7786" s="53">
        <f t="shared" si="122"/>
        <v>1.6174083367442753</v>
      </c>
      <c r="H7786" s="35"/>
      <c r="P7786" s="6"/>
    </row>
    <row r="7787" spans="1:16" ht="14.4" x14ac:dyDescent="0.25">
      <c r="A7787" s="6">
        <v>5204</v>
      </c>
      <c r="B7787" s="6">
        <v>36994</v>
      </c>
      <c r="C7787" s="19">
        <v>40711</v>
      </c>
      <c r="D7787" s="6" t="s">
        <v>30</v>
      </c>
      <c r="E7787" s="6">
        <f>IF((ISBLANK($B$1)),"",Sheet1!Q7799)</f>
        <v>5400</v>
      </c>
      <c r="F7787" s="20" t="s">
        <v>29</v>
      </c>
      <c r="G7787" s="53">
        <f t="shared" si="122"/>
        <v>0.99597891402498073</v>
      </c>
      <c r="H7787" s="35"/>
      <c r="P7787" s="6"/>
    </row>
    <row r="7788" spans="1:16" ht="14.4" x14ac:dyDescent="0.25">
      <c r="A7788" s="6">
        <v>5484</v>
      </c>
      <c r="B7788" s="6">
        <v>38944</v>
      </c>
      <c r="C7788" s="19">
        <v>40288</v>
      </c>
      <c r="D7788" s="6" t="s">
        <v>16</v>
      </c>
      <c r="E7788" s="6">
        <f>IF((ISBLANK($B$1)),"",Sheet1!Q7800)</f>
        <v>4250</v>
      </c>
      <c r="F7788" s="20" t="s">
        <v>27</v>
      </c>
      <c r="G7788" s="53">
        <f t="shared" si="122"/>
        <v>-0.59211849959099416</v>
      </c>
      <c r="H7788" s="35"/>
      <c r="P7788" s="6"/>
    </row>
    <row r="7789" spans="1:16" ht="14.4" x14ac:dyDescent="0.25">
      <c r="A7789" s="6">
        <v>5485</v>
      </c>
      <c r="B7789" s="6">
        <v>38944</v>
      </c>
      <c r="C7789" s="19">
        <v>40288</v>
      </c>
      <c r="D7789" s="6" t="s">
        <v>16</v>
      </c>
      <c r="E7789" s="6">
        <f>IF((ISBLANK($B$1)),"",Sheet1!Q7801)</f>
        <v>5700</v>
      </c>
      <c r="F7789" s="20" t="s">
        <v>29</v>
      </c>
      <c r="G7789" s="53">
        <f t="shared" si="122"/>
        <v>1.4102651958378438</v>
      </c>
      <c r="H7789" s="35"/>
      <c r="P7789" s="6"/>
    </row>
    <row r="7790" spans="1:16" ht="14.4" x14ac:dyDescent="0.25">
      <c r="A7790" s="6">
        <v>5486</v>
      </c>
      <c r="B7790" s="6">
        <v>38944</v>
      </c>
      <c r="C7790" s="19">
        <v>40288</v>
      </c>
      <c r="D7790" s="6" t="s">
        <v>16</v>
      </c>
      <c r="E7790" s="6">
        <f>IF((ISBLANK($B$1)),"",Sheet1!Q7802)</f>
        <v>5000</v>
      </c>
      <c r="F7790" s="20" t="s">
        <v>26</v>
      </c>
      <c r="G7790" s="53">
        <f t="shared" si="122"/>
        <v>0.44359720494116334</v>
      </c>
      <c r="H7790" s="35"/>
      <c r="P7790" s="6"/>
    </row>
    <row r="7791" spans="1:16" ht="14.4" x14ac:dyDescent="0.25">
      <c r="A7791" s="6">
        <v>5510</v>
      </c>
      <c r="B7791" s="6">
        <v>39075</v>
      </c>
      <c r="C7791" s="19">
        <v>40958</v>
      </c>
      <c r="D7791" s="6" t="s">
        <v>28</v>
      </c>
      <c r="E7791" s="6">
        <f>IF((ISBLANK($B$1)),"",Sheet1!Q7803)</f>
        <v>5900</v>
      </c>
      <c r="F7791" s="20" t="s">
        <v>26</v>
      </c>
      <c r="G7791" s="53">
        <f t="shared" si="122"/>
        <v>1.6864560503797523</v>
      </c>
      <c r="H7791" s="35"/>
      <c r="P7791" s="6"/>
    </row>
    <row r="7792" spans="1:16" ht="14.4" x14ac:dyDescent="0.25">
      <c r="A7792" s="6">
        <v>5566</v>
      </c>
      <c r="B7792" s="6">
        <v>39425</v>
      </c>
      <c r="C7792" s="19">
        <v>41137</v>
      </c>
      <c r="D7792" s="6" t="s">
        <v>30</v>
      </c>
      <c r="E7792" s="6">
        <f>IF((ISBLANK($B$1)),"",Sheet1!Q7804)</f>
        <v>4550</v>
      </c>
      <c r="F7792" s="20" t="s">
        <v>27</v>
      </c>
      <c r="G7792" s="53">
        <f t="shared" si="122"/>
        <v>-0.17783221777813119</v>
      </c>
      <c r="H7792" s="35"/>
      <c r="P7792" s="6"/>
    </row>
    <row r="7793" spans="1:16" ht="14.4" x14ac:dyDescent="0.25">
      <c r="A7793" s="6">
        <v>5911</v>
      </c>
      <c r="B7793" s="6">
        <v>41921</v>
      </c>
      <c r="C7793" s="19">
        <v>40962</v>
      </c>
      <c r="D7793" s="6" t="s">
        <v>16</v>
      </c>
      <c r="E7793" s="6">
        <f>IF((ISBLANK($B$1)),"",Sheet1!Q7805)</f>
        <v>5000</v>
      </c>
      <c r="F7793" s="20" t="s">
        <v>29</v>
      </c>
      <c r="G7793" s="53">
        <f t="shared" si="122"/>
        <v>0.44359720494116334</v>
      </c>
      <c r="H7793" s="35"/>
      <c r="P7793" s="6"/>
    </row>
    <row r="7794" spans="1:16" ht="14.4" x14ac:dyDescent="0.25">
      <c r="A7794" s="6">
        <v>5912</v>
      </c>
      <c r="B7794" s="6">
        <v>41921</v>
      </c>
      <c r="C7794" s="19">
        <v>40962</v>
      </c>
      <c r="D7794" s="6" t="s">
        <v>16</v>
      </c>
      <c r="E7794" s="6">
        <f>IF((ISBLANK($B$1)),"",Sheet1!Q7806)</f>
        <v>4850</v>
      </c>
      <c r="F7794" s="20" t="s">
        <v>26</v>
      </c>
      <c r="G7794" s="53">
        <f t="shared" si="122"/>
        <v>0.23645406403473185</v>
      </c>
      <c r="H7794" s="35"/>
      <c r="P7794" s="6"/>
    </row>
    <row r="7795" spans="1:16" ht="14.4" x14ac:dyDescent="0.25">
      <c r="A7795" s="6">
        <v>6060</v>
      </c>
      <c r="B7795" s="6">
        <v>42945</v>
      </c>
      <c r="C7795" s="19">
        <v>41272</v>
      </c>
      <c r="D7795" s="6" t="s">
        <v>28</v>
      </c>
      <c r="E7795" s="6">
        <f>IF((ISBLANK($B$1)),"",Sheet1!Q7807)</f>
        <v>5650</v>
      </c>
      <c r="F7795" s="20" t="s">
        <v>26</v>
      </c>
      <c r="G7795" s="53">
        <f t="shared" si="122"/>
        <v>1.3412174822023666</v>
      </c>
      <c r="H7795" s="35"/>
      <c r="P7795" s="6"/>
    </row>
    <row r="7796" spans="1:16" ht="14.4" x14ac:dyDescent="0.25">
      <c r="A7796" s="6">
        <v>6072</v>
      </c>
      <c r="B7796" s="6">
        <v>43013</v>
      </c>
      <c r="C7796" s="19">
        <v>40655</v>
      </c>
      <c r="D7796" s="6" t="s">
        <v>25</v>
      </c>
      <c r="E7796" s="6">
        <f>IF((ISBLANK($B$1)),"",Sheet1!Q7808)</f>
        <v>5900</v>
      </c>
      <c r="F7796" s="20" t="s">
        <v>29</v>
      </c>
      <c r="G7796" s="53">
        <f t="shared" si="122"/>
        <v>1.6864560503797523</v>
      </c>
      <c r="H7796" s="35"/>
      <c r="P7796" s="6"/>
    </row>
    <row r="7797" spans="1:16" ht="14.4" x14ac:dyDescent="0.25">
      <c r="A7797" s="6">
        <v>6081</v>
      </c>
      <c r="B7797" s="6">
        <v>43104</v>
      </c>
      <c r="C7797" s="19">
        <v>41210</v>
      </c>
      <c r="D7797" s="6" t="s">
        <v>17</v>
      </c>
      <c r="E7797" s="6">
        <f>IF((ISBLANK($B$1)),"",Sheet1!Q7809)</f>
        <v>5900</v>
      </c>
      <c r="F7797" s="20" t="s">
        <v>27</v>
      </c>
      <c r="G7797" s="53">
        <f t="shared" si="122"/>
        <v>1.6864560503797523</v>
      </c>
      <c r="H7797" s="35"/>
      <c r="P7797" s="6"/>
    </row>
    <row r="7798" spans="1:16" ht="14.4" x14ac:dyDescent="0.25">
      <c r="A7798" s="6">
        <v>6113</v>
      </c>
      <c r="B7798" s="6">
        <v>43301</v>
      </c>
      <c r="C7798" s="19">
        <v>40046</v>
      </c>
      <c r="D7798" s="6" t="s">
        <v>30</v>
      </c>
      <c r="E7798" s="6">
        <f>IF((ISBLANK($B$1)),"",Sheet1!Q7810)</f>
        <v>5050</v>
      </c>
      <c r="F7798" s="20" t="s">
        <v>29</v>
      </c>
      <c r="G7798" s="53">
        <f t="shared" si="122"/>
        <v>0.51264491857664052</v>
      </c>
      <c r="H7798" s="35"/>
      <c r="P7798" s="6"/>
    </row>
    <row r="7799" spans="1:16" ht="14.4" x14ac:dyDescent="0.25">
      <c r="A7799" s="6">
        <v>6114</v>
      </c>
      <c r="B7799" s="6">
        <v>43301</v>
      </c>
      <c r="C7799" s="19">
        <v>40046</v>
      </c>
      <c r="D7799" s="6" t="s">
        <v>30</v>
      </c>
      <c r="E7799" s="6">
        <f>IF((ISBLANK($B$1)),"",Sheet1!Q7811)</f>
        <v>5550</v>
      </c>
      <c r="F7799" s="20" t="s">
        <v>26</v>
      </c>
      <c r="G7799" s="53">
        <f t="shared" si="122"/>
        <v>1.2031220549314123</v>
      </c>
      <c r="H7799" s="35"/>
      <c r="P7799" s="6"/>
    </row>
    <row r="7800" spans="1:16" ht="14.4" x14ac:dyDescent="0.25">
      <c r="A7800" s="6">
        <v>6337</v>
      </c>
      <c r="B7800" s="6">
        <v>44935</v>
      </c>
      <c r="C7800" s="19">
        <v>40499</v>
      </c>
      <c r="D7800" s="6" t="s">
        <v>17</v>
      </c>
      <c r="E7800" s="6">
        <f>IF((ISBLANK($B$1)),"",Sheet1!Q7812)</f>
        <v>5350</v>
      </c>
      <c r="F7800" s="20" t="s">
        <v>26</v>
      </c>
      <c r="G7800" s="53">
        <f t="shared" si="122"/>
        <v>0.92693120038950361</v>
      </c>
      <c r="H7800" s="35"/>
      <c r="P7800" s="6"/>
    </row>
    <row r="7801" spans="1:16" ht="14.4" x14ac:dyDescent="0.25">
      <c r="A7801" s="6">
        <v>6338</v>
      </c>
      <c r="B7801" s="6">
        <v>44935</v>
      </c>
      <c r="C7801" s="19">
        <v>40499</v>
      </c>
      <c r="D7801" s="6" t="s">
        <v>17</v>
      </c>
      <c r="E7801" s="6">
        <f>IF((ISBLANK($B$1)),"",Sheet1!Q7813)</f>
        <v>5250</v>
      </c>
      <c r="F7801" s="20" t="s">
        <v>26</v>
      </c>
      <c r="G7801" s="53">
        <f t="shared" si="122"/>
        <v>0.78883577311854924</v>
      </c>
      <c r="H7801" s="35"/>
      <c r="P7801" s="6"/>
    </row>
    <row r="7802" spans="1:16" ht="14.4" x14ac:dyDescent="0.25">
      <c r="A7802" s="6">
        <v>6348</v>
      </c>
      <c r="B7802" s="6">
        <v>44995</v>
      </c>
      <c r="C7802" s="19">
        <v>40031</v>
      </c>
      <c r="D7802" s="6" t="s">
        <v>17</v>
      </c>
      <c r="E7802" s="6">
        <f>IF((ISBLANK($B$1)),"",Sheet1!Q7814)</f>
        <v>5700</v>
      </c>
      <c r="F7802" s="20" t="s">
        <v>27</v>
      </c>
      <c r="G7802" s="53">
        <f t="shared" si="122"/>
        <v>1.4102651958378438</v>
      </c>
      <c r="H7802" s="35"/>
      <c r="P7802" s="6"/>
    </row>
    <row r="7803" spans="1:16" ht="14.4" x14ac:dyDescent="0.25">
      <c r="A7803" s="6">
        <v>6460</v>
      </c>
      <c r="B7803" s="6">
        <v>45989</v>
      </c>
      <c r="C7803" s="19">
        <v>40413</v>
      </c>
      <c r="D7803" s="6" t="s">
        <v>17</v>
      </c>
      <c r="E7803" s="6">
        <f>IF((ISBLANK($B$1)),"",Sheet1!Q7815)</f>
        <v>4700</v>
      </c>
      <c r="F7803" s="20" t="s">
        <v>26</v>
      </c>
      <c r="G7803" s="53">
        <f t="shared" si="122"/>
        <v>2.9310923128300338E-2</v>
      </c>
      <c r="H7803" s="35"/>
      <c r="P7803" s="6"/>
    </row>
    <row r="7804" spans="1:16" ht="14.4" x14ac:dyDescent="0.25">
      <c r="A7804" s="6">
        <v>6963</v>
      </c>
      <c r="B7804" s="6">
        <v>49767</v>
      </c>
      <c r="C7804" s="19">
        <v>40490</v>
      </c>
      <c r="D7804" s="6" t="s">
        <v>30</v>
      </c>
      <c r="E7804" s="6">
        <f>IF((ISBLANK($B$1)),"",Sheet1!Q7816)</f>
        <v>5550</v>
      </c>
      <c r="F7804" s="20" t="s">
        <v>26</v>
      </c>
      <c r="G7804" s="53">
        <f t="shared" si="122"/>
        <v>1.2031220549314123</v>
      </c>
      <c r="H7804" s="35"/>
      <c r="P7804" s="6"/>
    </row>
    <row r="7805" spans="1:16" ht="14.4" x14ac:dyDescent="0.25">
      <c r="A7805" s="6">
        <v>6964</v>
      </c>
      <c r="B7805" s="6">
        <v>49767</v>
      </c>
      <c r="C7805" s="19">
        <v>40490</v>
      </c>
      <c r="D7805" s="6" t="s">
        <v>30</v>
      </c>
      <c r="E7805" s="6">
        <f>IF((ISBLANK($B$1)),"",Sheet1!Q7817)</f>
        <v>5350</v>
      </c>
      <c r="F7805" s="20" t="s">
        <v>27</v>
      </c>
      <c r="G7805" s="53">
        <f t="shared" si="122"/>
        <v>0.92693120038950361</v>
      </c>
      <c r="H7805" s="35"/>
      <c r="P7805" s="6"/>
    </row>
    <row r="7806" spans="1:16" ht="14.4" x14ac:dyDescent="0.25">
      <c r="A7806" s="6">
        <v>6965</v>
      </c>
      <c r="B7806" s="6">
        <v>49767</v>
      </c>
      <c r="C7806" s="19">
        <v>40490</v>
      </c>
      <c r="D7806" s="6" t="s">
        <v>30</v>
      </c>
      <c r="E7806" s="6">
        <f>IF((ISBLANK($B$1)),"",Sheet1!Q7818)</f>
        <v>3750</v>
      </c>
      <c r="F7806" s="20" t="s">
        <v>26</v>
      </c>
      <c r="G7806" s="53">
        <f t="shared" si="122"/>
        <v>-1.282595635945766</v>
      </c>
      <c r="H7806" s="35"/>
      <c r="P7806" s="6"/>
    </row>
    <row r="7807" spans="1:16" ht="14.4" x14ac:dyDescent="0.25">
      <c r="A7807" s="6">
        <v>7181</v>
      </c>
      <c r="B7807" s="6">
        <v>51239</v>
      </c>
      <c r="C7807" s="19">
        <v>40962</v>
      </c>
      <c r="D7807" s="6" t="s">
        <v>25</v>
      </c>
      <c r="E7807" s="6">
        <f>IF((ISBLANK($B$1)),"",Sheet1!Q7819)</f>
        <v>5800</v>
      </c>
      <c r="F7807" s="20" t="s">
        <v>29</v>
      </c>
      <c r="G7807" s="53">
        <f t="shared" si="122"/>
        <v>1.5483606231087981</v>
      </c>
      <c r="H7807" s="35"/>
      <c r="P7807" s="6"/>
    </row>
    <row r="7808" spans="1:16" ht="14.4" x14ac:dyDescent="0.25">
      <c r="A7808" s="6">
        <v>7187</v>
      </c>
      <c r="B7808" s="6">
        <v>51269</v>
      </c>
      <c r="C7808" s="19">
        <v>40920</v>
      </c>
      <c r="D7808" s="6" t="s">
        <v>17</v>
      </c>
      <c r="E7808" s="6">
        <f>IF((ISBLANK($B$1)),"",Sheet1!Q7820)</f>
        <v>3500</v>
      </c>
      <c r="F7808" s="20" t="s">
        <v>26</v>
      </c>
      <c r="G7808" s="53">
        <f t="shared" si="122"/>
        <v>-1.6278342041231517</v>
      </c>
      <c r="H7808" s="35"/>
      <c r="P7808" s="6"/>
    </row>
    <row r="7809" spans="1:16" ht="14.4" x14ac:dyDescent="0.25">
      <c r="A7809" s="6">
        <v>7188</v>
      </c>
      <c r="B7809" s="6">
        <v>51269</v>
      </c>
      <c r="C7809" s="19">
        <v>40920</v>
      </c>
      <c r="D7809" s="6" t="s">
        <v>30</v>
      </c>
      <c r="E7809" s="6">
        <f>IF((ISBLANK($B$1)),"",Sheet1!Q7821)</f>
        <v>4400</v>
      </c>
      <c r="F7809" s="20" t="s">
        <v>29</v>
      </c>
      <c r="G7809" s="53">
        <f t="shared" si="122"/>
        <v>-0.38497535868456267</v>
      </c>
      <c r="H7809" s="35"/>
      <c r="P7809" s="6"/>
    </row>
    <row r="7810" spans="1:16" ht="14.4" x14ac:dyDescent="0.25">
      <c r="A7810" s="6">
        <v>7560</v>
      </c>
      <c r="B7810" s="6">
        <v>54084</v>
      </c>
      <c r="C7810" s="19">
        <v>40796</v>
      </c>
      <c r="D7810" s="6" t="s">
        <v>30</v>
      </c>
      <c r="E7810" s="6">
        <f>IF((ISBLANK($B$1)),"",Sheet1!Q7822)</f>
        <v>3550</v>
      </c>
      <c r="F7810" s="20" t="s">
        <v>29</v>
      </c>
      <c r="G7810" s="53">
        <f t="shared" si="122"/>
        <v>-1.5587864904876745</v>
      </c>
      <c r="H7810" s="35"/>
      <c r="P7810" s="6"/>
    </row>
    <row r="7811" spans="1:16" ht="14.4" x14ac:dyDescent="0.25">
      <c r="A7811" s="6">
        <v>7588</v>
      </c>
      <c r="B7811" s="6">
        <v>54307</v>
      </c>
      <c r="C7811" s="19">
        <v>40916</v>
      </c>
      <c r="D7811" s="6" t="s">
        <v>17</v>
      </c>
      <c r="E7811" s="6">
        <f>IF((ISBLANK($B$1)),"",Sheet1!Q7823)</f>
        <v>4150</v>
      </c>
      <c r="F7811" s="20" t="s">
        <v>29</v>
      </c>
      <c r="G7811" s="53">
        <f t="shared" si="122"/>
        <v>-0.73021392686194853</v>
      </c>
      <c r="H7811" s="35"/>
      <c r="P7811" s="6"/>
    </row>
    <row r="7812" spans="1:16" ht="14.4" x14ac:dyDescent="0.25">
      <c r="A7812" s="6">
        <v>7589</v>
      </c>
      <c r="B7812" s="6">
        <v>54307</v>
      </c>
      <c r="C7812" s="19">
        <v>40916</v>
      </c>
      <c r="D7812" s="6" t="s">
        <v>17</v>
      </c>
      <c r="E7812" s="6">
        <f>IF((ISBLANK($B$1)),"",Sheet1!Q7824)</f>
        <v>4100</v>
      </c>
      <c r="F7812" s="20" t="s">
        <v>29</v>
      </c>
      <c r="G7812" s="53">
        <f t="shared" si="122"/>
        <v>-0.79926164049742576</v>
      </c>
      <c r="H7812" s="35"/>
      <c r="P7812" s="6"/>
    </row>
    <row r="7813" spans="1:16" ht="14.4" x14ac:dyDescent="0.25">
      <c r="A7813" s="6">
        <v>7675</v>
      </c>
      <c r="B7813" s="6">
        <v>55014</v>
      </c>
      <c r="C7813" s="19">
        <v>40483</v>
      </c>
      <c r="D7813" s="6" t="s">
        <v>17</v>
      </c>
      <c r="E7813" s="6">
        <f>IF((ISBLANK($B$1)),"",Sheet1!Q7825)</f>
        <v>5300</v>
      </c>
      <c r="F7813" s="20" t="s">
        <v>26</v>
      </c>
      <c r="G7813" s="53">
        <f t="shared" si="122"/>
        <v>0.85788348675402637</v>
      </c>
      <c r="H7813" s="35"/>
      <c r="P7813" s="6"/>
    </row>
    <row r="7814" spans="1:16" ht="14.4" x14ac:dyDescent="0.25">
      <c r="A7814" s="6">
        <v>7805</v>
      </c>
      <c r="B7814" s="6">
        <v>55845</v>
      </c>
      <c r="C7814" s="19">
        <v>40745</v>
      </c>
      <c r="D7814" s="6" t="s">
        <v>25</v>
      </c>
      <c r="E7814" s="6">
        <f>IF((ISBLANK($B$1)),"",Sheet1!Q7826)</f>
        <v>4850</v>
      </c>
      <c r="F7814" s="20" t="s">
        <v>29</v>
      </c>
      <c r="G7814" s="53">
        <f t="shared" si="122"/>
        <v>0.23645406403473185</v>
      </c>
      <c r="H7814" s="35"/>
      <c r="P7814" s="6"/>
    </row>
    <row r="7815" spans="1:16" ht="14.4" x14ac:dyDescent="0.25">
      <c r="A7815" s="6">
        <v>7806</v>
      </c>
      <c r="B7815" s="6">
        <v>55846</v>
      </c>
      <c r="C7815" s="19">
        <v>40014</v>
      </c>
      <c r="D7815" s="6" t="s">
        <v>28</v>
      </c>
      <c r="E7815" s="6">
        <f>IF((ISBLANK($B$1)),"",Sheet1!Q7827)</f>
        <v>4900</v>
      </c>
      <c r="F7815" s="20" t="s">
        <v>26</v>
      </c>
      <c r="G7815" s="53">
        <f t="shared" si="122"/>
        <v>0.30550177767020903</v>
      </c>
      <c r="H7815" s="35"/>
      <c r="P7815" s="6"/>
    </row>
    <row r="7816" spans="1:16" ht="14.4" x14ac:dyDescent="0.25">
      <c r="A7816" s="6">
        <v>7982</v>
      </c>
      <c r="B7816" s="6">
        <v>57063</v>
      </c>
      <c r="C7816" s="19">
        <v>40696</v>
      </c>
      <c r="D7816" s="6" t="s">
        <v>16</v>
      </c>
      <c r="E7816" s="6">
        <f>IF((ISBLANK($B$1)),"",Sheet1!Q7828)</f>
        <v>4700</v>
      </c>
      <c r="F7816" s="20" t="s">
        <v>26</v>
      </c>
      <c r="G7816" s="53">
        <f t="shared" ref="G7816:G7879" si="123">STANDARDIZE(E7816,$L$26,$L$35)</f>
        <v>2.9310923128300338E-2</v>
      </c>
      <c r="H7816" s="35"/>
      <c r="P7816" s="6"/>
    </row>
    <row r="7817" spans="1:16" ht="14.4" x14ac:dyDescent="0.25">
      <c r="A7817" s="6">
        <v>7983</v>
      </c>
      <c r="B7817" s="6">
        <v>57063</v>
      </c>
      <c r="C7817" s="19">
        <v>40696</v>
      </c>
      <c r="D7817" s="6" t="s">
        <v>16</v>
      </c>
      <c r="E7817" s="6">
        <f>IF((ISBLANK($B$1)),"",Sheet1!Q7829)</f>
        <v>4500</v>
      </c>
      <c r="F7817" s="20" t="s">
        <v>26</v>
      </c>
      <c r="G7817" s="53">
        <f t="shared" si="123"/>
        <v>-0.24687993141360834</v>
      </c>
      <c r="H7817" s="35"/>
      <c r="P7817" s="6"/>
    </row>
    <row r="7818" spans="1:16" ht="14.4" x14ac:dyDescent="0.25">
      <c r="A7818" s="6">
        <v>7986</v>
      </c>
      <c r="B7818" s="6">
        <v>57093</v>
      </c>
      <c r="C7818" s="19">
        <v>41031</v>
      </c>
      <c r="D7818" s="6" t="s">
        <v>25</v>
      </c>
      <c r="E7818" s="6">
        <f>IF((ISBLANK($B$1)),"",Sheet1!Q7830)</f>
        <v>3550</v>
      </c>
      <c r="F7818" s="20" t="s">
        <v>26</v>
      </c>
      <c r="G7818" s="53">
        <f t="shared" si="123"/>
        <v>-1.5587864904876745</v>
      </c>
      <c r="H7818" s="35"/>
      <c r="P7818" s="6"/>
    </row>
    <row r="7819" spans="1:16" ht="14.4" x14ac:dyDescent="0.25">
      <c r="A7819" s="6">
        <v>7987</v>
      </c>
      <c r="B7819" s="6">
        <v>57093</v>
      </c>
      <c r="C7819" s="19">
        <v>41031</v>
      </c>
      <c r="D7819" s="6" t="s">
        <v>25</v>
      </c>
      <c r="E7819" s="6">
        <f>IF((ISBLANK($B$1)),"",Sheet1!Q7831)</f>
        <v>5750</v>
      </c>
      <c r="F7819" s="20" t="s">
        <v>26</v>
      </c>
      <c r="G7819" s="53">
        <f t="shared" si="123"/>
        <v>1.4793129094733208</v>
      </c>
      <c r="H7819" s="35"/>
      <c r="P7819" s="6"/>
    </row>
    <row r="7820" spans="1:16" ht="14.4" x14ac:dyDescent="0.25">
      <c r="A7820" s="6">
        <v>8304</v>
      </c>
      <c r="B7820" s="6">
        <v>59329</v>
      </c>
      <c r="C7820" s="19">
        <v>41247</v>
      </c>
      <c r="D7820" s="6" t="s">
        <v>30</v>
      </c>
      <c r="E7820" s="6">
        <f>IF((ISBLANK($B$1)),"",Sheet1!Q7832)</f>
        <v>5150</v>
      </c>
      <c r="F7820" s="20" t="s">
        <v>26</v>
      </c>
      <c r="G7820" s="53">
        <f t="shared" si="123"/>
        <v>0.65074034584759488</v>
      </c>
      <c r="H7820" s="35"/>
      <c r="P7820" s="6"/>
    </row>
    <row r="7821" spans="1:16" ht="14.4" x14ac:dyDescent="0.25">
      <c r="A7821" s="6">
        <v>8305</v>
      </c>
      <c r="B7821" s="6">
        <v>59329</v>
      </c>
      <c r="C7821" s="19">
        <v>41247</v>
      </c>
      <c r="D7821" s="6" t="s">
        <v>30</v>
      </c>
      <c r="E7821" s="6">
        <f>IF((ISBLANK($B$1)),"",Sheet1!Q7833)</f>
        <v>4650</v>
      </c>
      <c r="F7821" s="20" t="s">
        <v>29</v>
      </c>
      <c r="G7821" s="53">
        <f t="shared" si="123"/>
        <v>-3.9736790507176829E-2</v>
      </c>
      <c r="H7821" s="35"/>
      <c r="P7821" s="6"/>
    </row>
    <row r="7822" spans="1:16" ht="14.4" x14ac:dyDescent="0.25">
      <c r="A7822" s="6">
        <v>8306</v>
      </c>
      <c r="B7822" s="6">
        <v>59329</v>
      </c>
      <c r="C7822" s="19">
        <v>41247</v>
      </c>
      <c r="D7822" s="6" t="s">
        <v>30</v>
      </c>
      <c r="E7822" s="6">
        <f>IF((ISBLANK($B$1)),"",Sheet1!Q7834)</f>
        <v>5450</v>
      </c>
      <c r="F7822" s="20" t="s">
        <v>29</v>
      </c>
      <c r="G7822" s="53">
        <f t="shared" si="123"/>
        <v>1.0650266276604579</v>
      </c>
      <c r="H7822" s="35"/>
      <c r="P7822" s="6"/>
    </row>
    <row r="7823" spans="1:16" ht="14.4" x14ac:dyDescent="0.25">
      <c r="A7823" s="6">
        <v>8307</v>
      </c>
      <c r="B7823" s="6">
        <v>59329</v>
      </c>
      <c r="C7823" s="19">
        <v>41247</v>
      </c>
      <c r="D7823" s="6" t="s">
        <v>30</v>
      </c>
      <c r="E7823" s="6">
        <f>IF((ISBLANK($B$1)),"",Sheet1!Q7835)</f>
        <v>5450</v>
      </c>
      <c r="F7823" s="20" t="s">
        <v>26</v>
      </c>
      <c r="G7823" s="53">
        <f t="shared" si="123"/>
        <v>1.0650266276604579</v>
      </c>
      <c r="H7823" s="35"/>
      <c r="P7823" s="6"/>
    </row>
    <row r="7824" spans="1:16" ht="14.4" x14ac:dyDescent="0.25">
      <c r="A7824" s="6">
        <v>9</v>
      </c>
      <c r="B7824" s="6">
        <v>36</v>
      </c>
      <c r="C7824" s="19">
        <v>40849</v>
      </c>
      <c r="D7824" s="6" t="s">
        <v>30</v>
      </c>
      <c r="E7824" s="6">
        <f>IF((ISBLANK($B$1)),"",Sheet1!Q7836)</f>
        <v>5700</v>
      </c>
      <c r="F7824" s="20" t="s">
        <v>27</v>
      </c>
      <c r="G7824" s="53">
        <f t="shared" si="123"/>
        <v>1.4102651958378438</v>
      </c>
      <c r="H7824" s="35"/>
      <c r="P7824" s="6"/>
    </row>
    <row r="7825" spans="1:16" ht="14.4" x14ac:dyDescent="0.25">
      <c r="A7825" s="6">
        <v>28</v>
      </c>
      <c r="B7825" s="6">
        <v>194</v>
      </c>
      <c r="C7825" s="19">
        <v>41003</v>
      </c>
      <c r="D7825" s="6" t="s">
        <v>16</v>
      </c>
      <c r="E7825" s="6">
        <f>IF((ISBLANK($B$1)),"",Sheet1!Q7837)</f>
        <v>5850</v>
      </c>
      <c r="F7825" s="20" t="s">
        <v>29</v>
      </c>
      <c r="G7825" s="53">
        <f t="shared" si="123"/>
        <v>1.6174083367442753</v>
      </c>
      <c r="H7825" s="35"/>
      <c r="P7825" s="6"/>
    </row>
    <row r="7826" spans="1:16" ht="14.4" x14ac:dyDescent="0.25">
      <c r="A7826" s="6">
        <v>29</v>
      </c>
      <c r="B7826" s="6">
        <v>194</v>
      </c>
      <c r="C7826" s="19">
        <v>41003</v>
      </c>
      <c r="D7826" s="6" t="s">
        <v>16</v>
      </c>
      <c r="E7826" s="6">
        <f>IF((ISBLANK($B$1)),"",Sheet1!Q7838)</f>
        <v>3700</v>
      </c>
      <c r="F7826" s="20" t="s">
        <v>26</v>
      </c>
      <c r="G7826" s="53">
        <f t="shared" si="123"/>
        <v>-1.351643349581243</v>
      </c>
      <c r="H7826" s="35"/>
      <c r="P7826" s="6"/>
    </row>
    <row r="7827" spans="1:16" ht="14.4" x14ac:dyDescent="0.25">
      <c r="A7827" s="6">
        <v>65</v>
      </c>
      <c r="B7827" s="6">
        <v>384</v>
      </c>
      <c r="C7827" s="19">
        <v>40970</v>
      </c>
      <c r="D7827" s="6" t="s">
        <v>25</v>
      </c>
      <c r="E7827" s="6">
        <f>IF((ISBLANK($B$1)),"",Sheet1!Q7839)</f>
        <v>5900</v>
      </c>
      <c r="F7827" s="20" t="s">
        <v>29</v>
      </c>
      <c r="G7827" s="53">
        <f t="shared" si="123"/>
        <v>1.6864560503797523</v>
      </c>
      <c r="H7827" s="35"/>
      <c r="P7827" s="6"/>
    </row>
    <row r="7828" spans="1:16" ht="14.4" x14ac:dyDescent="0.25">
      <c r="A7828" s="6">
        <v>120</v>
      </c>
      <c r="B7828" s="6">
        <v>774</v>
      </c>
      <c r="C7828" s="19">
        <v>40880</v>
      </c>
      <c r="D7828" s="6" t="s">
        <v>30</v>
      </c>
      <c r="E7828" s="6">
        <f>IF((ISBLANK($B$1)),"",Sheet1!Q7840)</f>
        <v>4250</v>
      </c>
      <c r="F7828" s="20" t="s">
        <v>26</v>
      </c>
      <c r="G7828" s="53">
        <f t="shared" si="123"/>
        <v>-0.59211849959099416</v>
      </c>
      <c r="H7828" s="35"/>
      <c r="P7828" s="6"/>
    </row>
    <row r="7829" spans="1:16" ht="14.4" x14ac:dyDescent="0.25">
      <c r="A7829" s="6">
        <v>163</v>
      </c>
      <c r="B7829" s="6">
        <v>1027</v>
      </c>
      <c r="C7829" s="19">
        <v>41062</v>
      </c>
      <c r="D7829" s="6" t="s">
        <v>16</v>
      </c>
      <c r="E7829" s="6">
        <f>IF((ISBLANK($B$1)),"",Sheet1!Q7841)</f>
        <v>4350</v>
      </c>
      <c r="F7829" s="20" t="s">
        <v>29</v>
      </c>
      <c r="G7829" s="53">
        <f t="shared" si="123"/>
        <v>-0.45402307232003986</v>
      </c>
      <c r="H7829" s="35"/>
      <c r="P7829" s="6"/>
    </row>
    <row r="7830" spans="1:16" ht="14.4" x14ac:dyDescent="0.25">
      <c r="A7830" s="6">
        <v>171</v>
      </c>
      <c r="B7830" s="6">
        <v>1060</v>
      </c>
      <c r="C7830" s="19">
        <v>40229</v>
      </c>
      <c r="D7830" s="6" t="s">
        <v>16</v>
      </c>
      <c r="E7830" s="6">
        <f>IF((ISBLANK($B$1)),"",Sheet1!Q7842)</f>
        <v>4900</v>
      </c>
      <c r="F7830" s="20" t="s">
        <v>26</v>
      </c>
      <c r="G7830" s="53">
        <f t="shared" si="123"/>
        <v>0.30550177767020903</v>
      </c>
      <c r="H7830" s="35"/>
      <c r="P7830" s="6"/>
    </row>
    <row r="7831" spans="1:16" ht="14.4" x14ac:dyDescent="0.25">
      <c r="A7831" s="6">
        <v>190</v>
      </c>
      <c r="B7831" s="6">
        <v>1280</v>
      </c>
      <c r="C7831" s="19">
        <v>40188</v>
      </c>
      <c r="D7831" s="6" t="s">
        <v>25</v>
      </c>
      <c r="E7831" s="6">
        <f>IF((ISBLANK($B$1)),"",Sheet1!Q7843)</f>
        <v>5400</v>
      </c>
      <c r="F7831" s="20" t="s">
        <v>27</v>
      </c>
      <c r="G7831" s="53">
        <f t="shared" si="123"/>
        <v>0.99597891402498073</v>
      </c>
      <c r="H7831" s="35"/>
      <c r="P7831" s="6"/>
    </row>
    <row r="7832" spans="1:16" ht="14.4" x14ac:dyDescent="0.25">
      <c r="A7832" s="6">
        <v>254</v>
      </c>
      <c r="B7832" s="6">
        <v>1764</v>
      </c>
      <c r="C7832" s="19">
        <v>40992</v>
      </c>
      <c r="D7832" s="6" t="s">
        <v>30</v>
      </c>
      <c r="E7832" s="6">
        <f>IF((ISBLANK($B$1)),"",Sheet1!Q7844)</f>
        <v>3750</v>
      </c>
      <c r="F7832" s="20" t="s">
        <v>26</v>
      </c>
      <c r="G7832" s="53">
        <f t="shared" si="123"/>
        <v>-1.282595635945766</v>
      </c>
      <c r="H7832" s="35"/>
      <c r="P7832" s="6"/>
    </row>
    <row r="7833" spans="1:16" ht="14.4" x14ac:dyDescent="0.25">
      <c r="A7833" s="6">
        <v>261</v>
      </c>
      <c r="B7833" s="6">
        <v>1824</v>
      </c>
      <c r="C7833" s="19">
        <v>39937</v>
      </c>
      <c r="D7833" s="6" t="s">
        <v>30</v>
      </c>
      <c r="E7833" s="6">
        <f>IF((ISBLANK($B$1)),"",Sheet1!Q7845)</f>
        <v>5350</v>
      </c>
      <c r="F7833" s="20" t="s">
        <v>29</v>
      </c>
      <c r="G7833" s="53">
        <f t="shared" si="123"/>
        <v>0.92693120038950361</v>
      </c>
      <c r="H7833" s="35"/>
      <c r="P7833" s="6"/>
    </row>
    <row r="7834" spans="1:16" ht="14.4" x14ac:dyDescent="0.25">
      <c r="A7834" s="6">
        <v>262</v>
      </c>
      <c r="B7834" s="6">
        <v>1824</v>
      </c>
      <c r="C7834" s="19">
        <v>39937</v>
      </c>
      <c r="D7834" s="6" t="s">
        <v>30</v>
      </c>
      <c r="E7834" s="6">
        <f>IF((ISBLANK($B$1)),"",Sheet1!Q7846)</f>
        <v>3500</v>
      </c>
      <c r="F7834" s="20" t="s">
        <v>29</v>
      </c>
      <c r="G7834" s="53">
        <f t="shared" si="123"/>
        <v>-1.6278342041231517</v>
      </c>
      <c r="H7834" s="35"/>
      <c r="P7834" s="6"/>
    </row>
    <row r="7835" spans="1:16" ht="14.4" x14ac:dyDescent="0.25">
      <c r="A7835" s="6">
        <v>358</v>
      </c>
      <c r="B7835" s="6">
        <v>2503</v>
      </c>
      <c r="C7835" s="19">
        <v>40348</v>
      </c>
      <c r="D7835" s="6" t="s">
        <v>16</v>
      </c>
      <c r="E7835" s="6">
        <f>IF((ISBLANK($B$1)),"",Sheet1!Q7847)</f>
        <v>4450</v>
      </c>
      <c r="F7835" s="20" t="s">
        <v>26</v>
      </c>
      <c r="G7835" s="53">
        <f t="shared" si="123"/>
        <v>-0.31592764504908549</v>
      </c>
      <c r="H7835" s="35"/>
      <c r="P7835" s="6"/>
    </row>
    <row r="7836" spans="1:16" ht="14.4" x14ac:dyDescent="0.25">
      <c r="A7836" s="6">
        <v>359</v>
      </c>
      <c r="B7836" s="6">
        <v>2503</v>
      </c>
      <c r="C7836" s="19">
        <v>40348</v>
      </c>
      <c r="D7836" s="6" t="s">
        <v>16</v>
      </c>
      <c r="E7836" s="6">
        <f>IF((ISBLANK($B$1)),"",Sheet1!Q7848)</f>
        <v>5700</v>
      </c>
      <c r="F7836" s="20" t="s">
        <v>26</v>
      </c>
      <c r="G7836" s="53">
        <f t="shared" si="123"/>
        <v>1.4102651958378438</v>
      </c>
      <c r="H7836" s="35"/>
      <c r="P7836" s="6"/>
    </row>
    <row r="7837" spans="1:16" ht="14.4" x14ac:dyDescent="0.25">
      <c r="A7837" s="6">
        <v>360</v>
      </c>
      <c r="B7837" s="6">
        <v>2503</v>
      </c>
      <c r="C7837" s="19">
        <v>40348</v>
      </c>
      <c r="D7837" s="6" t="s">
        <v>16</v>
      </c>
      <c r="E7837" s="6">
        <f>IF((ISBLANK($B$1)),"",Sheet1!Q7849)</f>
        <v>3850</v>
      </c>
      <c r="F7837" s="20" t="s">
        <v>27</v>
      </c>
      <c r="G7837" s="53">
        <f t="shared" si="123"/>
        <v>-1.1445002086748115</v>
      </c>
      <c r="H7837" s="35"/>
      <c r="P7837" s="6"/>
    </row>
    <row r="7838" spans="1:16" ht="14.4" x14ac:dyDescent="0.25">
      <c r="A7838" s="6">
        <v>595</v>
      </c>
      <c r="B7838" s="6">
        <v>4069</v>
      </c>
      <c r="C7838" s="19">
        <v>41041</v>
      </c>
      <c r="D7838" s="6" t="s">
        <v>16</v>
      </c>
      <c r="E7838" s="6">
        <f>IF((ISBLANK($B$1)),"",Sheet1!Q7850)</f>
        <v>3800</v>
      </c>
      <c r="F7838" s="20" t="s">
        <v>26</v>
      </c>
      <c r="G7838" s="53">
        <f t="shared" si="123"/>
        <v>-1.2135479223102887</v>
      </c>
      <c r="H7838" s="35"/>
      <c r="P7838" s="6"/>
    </row>
    <row r="7839" spans="1:16" ht="14.4" x14ac:dyDescent="0.25">
      <c r="A7839" s="6">
        <v>596</v>
      </c>
      <c r="B7839" s="6">
        <v>4069</v>
      </c>
      <c r="C7839" s="19">
        <v>41041</v>
      </c>
      <c r="D7839" s="6" t="s">
        <v>16</v>
      </c>
      <c r="E7839" s="6">
        <f>IF((ISBLANK($B$1)),"",Sheet1!Q7851)</f>
        <v>5750</v>
      </c>
      <c r="F7839" s="20" t="s">
        <v>26</v>
      </c>
      <c r="G7839" s="53">
        <f t="shared" si="123"/>
        <v>1.4793129094733208</v>
      </c>
      <c r="H7839" s="35"/>
      <c r="P7839" s="6"/>
    </row>
    <row r="7840" spans="1:16" ht="14.4" x14ac:dyDescent="0.25">
      <c r="A7840" s="6">
        <v>597</v>
      </c>
      <c r="B7840" s="6">
        <v>4069</v>
      </c>
      <c r="C7840" s="19">
        <v>41041</v>
      </c>
      <c r="D7840" s="6" t="s">
        <v>16</v>
      </c>
      <c r="E7840" s="6">
        <f>IF((ISBLANK($B$1)),"",Sheet1!Q7852)</f>
        <v>4900</v>
      </c>
      <c r="F7840" s="20" t="s">
        <v>26</v>
      </c>
      <c r="G7840" s="53">
        <f t="shared" si="123"/>
        <v>0.30550177767020903</v>
      </c>
      <c r="H7840" s="35"/>
      <c r="P7840" s="6"/>
    </row>
    <row r="7841" spans="1:16" ht="14.4" x14ac:dyDescent="0.25">
      <c r="A7841" s="6">
        <v>659</v>
      </c>
      <c r="B7841" s="6">
        <v>4645</v>
      </c>
      <c r="C7841" s="19">
        <v>40075</v>
      </c>
      <c r="D7841" s="6" t="s">
        <v>30</v>
      </c>
      <c r="E7841" s="6">
        <f>IF((ISBLANK($B$1)),"",Sheet1!Q7853)</f>
        <v>4900</v>
      </c>
      <c r="F7841" s="20" t="s">
        <v>27</v>
      </c>
      <c r="G7841" s="53">
        <f t="shared" si="123"/>
        <v>0.30550177767020903</v>
      </c>
      <c r="H7841" s="35"/>
      <c r="P7841" s="6"/>
    </row>
    <row r="7842" spans="1:16" ht="14.4" x14ac:dyDescent="0.25">
      <c r="A7842" s="6">
        <v>660</v>
      </c>
      <c r="B7842" s="6">
        <v>4645</v>
      </c>
      <c r="C7842" s="19">
        <v>40075</v>
      </c>
      <c r="D7842" s="6" t="s">
        <v>30</v>
      </c>
      <c r="E7842" s="6">
        <f>IF((ISBLANK($B$1)),"",Sheet1!Q7854)</f>
        <v>3750</v>
      </c>
      <c r="F7842" s="20" t="s">
        <v>26</v>
      </c>
      <c r="G7842" s="53">
        <f t="shared" si="123"/>
        <v>-1.282595635945766</v>
      </c>
      <c r="H7842" s="35"/>
      <c r="P7842" s="6"/>
    </row>
    <row r="7843" spans="1:16" ht="14.4" x14ac:dyDescent="0.25">
      <c r="A7843" s="6">
        <v>661</v>
      </c>
      <c r="B7843" s="6">
        <v>4645</v>
      </c>
      <c r="C7843" s="19">
        <v>40075</v>
      </c>
      <c r="D7843" s="6" t="s">
        <v>30</v>
      </c>
      <c r="E7843" s="6">
        <f>IF((ISBLANK($B$1)),"",Sheet1!Q7855)</f>
        <v>3950</v>
      </c>
      <c r="F7843" s="20" t="s">
        <v>27</v>
      </c>
      <c r="G7843" s="53">
        <f t="shared" si="123"/>
        <v>-1.0064047814038573</v>
      </c>
      <c r="H7843" s="35"/>
      <c r="P7843" s="6"/>
    </row>
    <row r="7844" spans="1:16" ht="14.4" x14ac:dyDescent="0.25">
      <c r="A7844" s="6">
        <v>811</v>
      </c>
      <c r="B7844" s="6">
        <v>5858</v>
      </c>
      <c r="C7844" s="19">
        <v>41103</v>
      </c>
      <c r="D7844" s="6" t="s">
        <v>28</v>
      </c>
      <c r="E7844" s="6">
        <f>IF((ISBLANK($B$1)),"",Sheet1!Q7856)</f>
        <v>5800</v>
      </c>
      <c r="F7844" s="20" t="s">
        <v>26</v>
      </c>
      <c r="G7844" s="53">
        <f t="shared" si="123"/>
        <v>1.5483606231087981</v>
      </c>
      <c r="H7844" s="35"/>
      <c r="P7844" s="6"/>
    </row>
    <row r="7845" spans="1:16" ht="14.4" x14ac:dyDescent="0.25">
      <c r="A7845" s="6">
        <v>812</v>
      </c>
      <c r="B7845" s="6">
        <v>5858</v>
      </c>
      <c r="C7845" s="19">
        <v>41103</v>
      </c>
      <c r="D7845" s="6" t="s">
        <v>28</v>
      </c>
      <c r="E7845" s="6">
        <f>IF((ISBLANK($B$1)),"",Sheet1!Q7857)</f>
        <v>4850</v>
      </c>
      <c r="F7845" s="20" t="s">
        <v>27</v>
      </c>
      <c r="G7845" s="53">
        <f t="shared" si="123"/>
        <v>0.23645406403473185</v>
      </c>
      <c r="H7845" s="35"/>
      <c r="P7845" s="6"/>
    </row>
    <row r="7846" spans="1:16" ht="14.4" x14ac:dyDescent="0.25">
      <c r="A7846" s="6">
        <v>877</v>
      </c>
      <c r="B7846" s="6">
        <v>6304</v>
      </c>
      <c r="C7846" s="19">
        <v>40766</v>
      </c>
      <c r="D7846" s="6" t="s">
        <v>17</v>
      </c>
      <c r="E7846" s="6">
        <f>IF((ISBLANK($B$1)),"",Sheet1!Q7858)</f>
        <v>4900</v>
      </c>
      <c r="F7846" s="20" t="s">
        <v>26</v>
      </c>
      <c r="G7846" s="53">
        <f t="shared" si="123"/>
        <v>0.30550177767020903</v>
      </c>
      <c r="H7846" s="35"/>
      <c r="P7846" s="6"/>
    </row>
    <row r="7847" spans="1:16" ht="14.4" x14ac:dyDescent="0.25">
      <c r="A7847" s="6">
        <v>923</v>
      </c>
      <c r="B7847" s="6">
        <v>6661</v>
      </c>
      <c r="C7847" s="19">
        <v>40284</v>
      </c>
      <c r="D7847" s="6" t="s">
        <v>25</v>
      </c>
      <c r="E7847" s="6">
        <f>IF((ISBLANK($B$1)),"",Sheet1!Q7859)</f>
        <v>5750</v>
      </c>
      <c r="F7847" s="20" t="s">
        <v>27</v>
      </c>
      <c r="G7847" s="53">
        <f t="shared" si="123"/>
        <v>1.4793129094733208</v>
      </c>
      <c r="H7847" s="35"/>
      <c r="P7847" s="6"/>
    </row>
    <row r="7848" spans="1:16" ht="14.4" x14ac:dyDescent="0.25">
      <c r="A7848" s="6">
        <v>924</v>
      </c>
      <c r="B7848" s="6">
        <v>6661</v>
      </c>
      <c r="C7848" s="19">
        <v>40284</v>
      </c>
      <c r="D7848" s="6" t="s">
        <v>25</v>
      </c>
      <c r="E7848" s="6">
        <f>IF((ISBLANK($B$1)),"",Sheet1!Q7860)</f>
        <v>5350</v>
      </c>
      <c r="F7848" s="20" t="s">
        <v>29</v>
      </c>
      <c r="G7848" s="53">
        <f t="shared" si="123"/>
        <v>0.92693120038950361</v>
      </c>
      <c r="H7848" s="35"/>
      <c r="P7848" s="6"/>
    </row>
    <row r="7849" spans="1:16" ht="14.4" x14ac:dyDescent="0.25">
      <c r="A7849" s="6">
        <v>934</v>
      </c>
      <c r="B7849" s="6">
        <v>6757</v>
      </c>
      <c r="C7849" s="19">
        <v>40940</v>
      </c>
      <c r="D7849" s="6" t="s">
        <v>16</v>
      </c>
      <c r="E7849" s="6">
        <f>IF((ISBLANK($B$1)),"",Sheet1!Q7861)</f>
        <v>4750</v>
      </c>
      <c r="F7849" s="20" t="s">
        <v>26</v>
      </c>
      <c r="G7849" s="53">
        <f t="shared" si="123"/>
        <v>9.8358636763777513E-2</v>
      </c>
      <c r="H7849" s="35"/>
      <c r="P7849" s="6"/>
    </row>
    <row r="7850" spans="1:16" ht="14.4" x14ac:dyDescent="0.25">
      <c r="A7850" s="6">
        <v>935</v>
      </c>
      <c r="B7850" s="6">
        <v>6757</v>
      </c>
      <c r="C7850" s="19">
        <v>40940</v>
      </c>
      <c r="D7850" s="6" t="s">
        <v>16</v>
      </c>
      <c r="E7850" s="6">
        <f>IF((ISBLANK($B$1)),"",Sheet1!Q7862)</f>
        <v>3950</v>
      </c>
      <c r="F7850" s="20" t="s">
        <v>29</v>
      </c>
      <c r="G7850" s="53">
        <f t="shared" si="123"/>
        <v>-1.0064047814038573</v>
      </c>
      <c r="H7850" s="35"/>
      <c r="P7850" s="6"/>
    </row>
    <row r="7851" spans="1:16" ht="14.4" x14ac:dyDescent="0.25">
      <c r="A7851" s="6">
        <v>1071</v>
      </c>
      <c r="B7851" s="6">
        <v>7904</v>
      </c>
      <c r="C7851" s="19">
        <v>40325</v>
      </c>
      <c r="D7851" s="6" t="s">
        <v>25</v>
      </c>
      <c r="E7851" s="6">
        <f>IF((ISBLANK($B$1)),"",Sheet1!Q7863)</f>
        <v>5750</v>
      </c>
      <c r="F7851" s="20" t="s">
        <v>26</v>
      </c>
      <c r="G7851" s="53">
        <f t="shared" si="123"/>
        <v>1.4793129094733208</v>
      </c>
      <c r="H7851" s="35"/>
      <c r="P7851" s="6"/>
    </row>
    <row r="7852" spans="1:16" ht="14.4" x14ac:dyDescent="0.25">
      <c r="A7852" s="6">
        <v>1074</v>
      </c>
      <c r="B7852" s="6">
        <v>7909</v>
      </c>
      <c r="C7852" s="19">
        <v>39816</v>
      </c>
      <c r="D7852" s="6" t="s">
        <v>17</v>
      </c>
      <c r="E7852" s="6">
        <f>IF((ISBLANK($B$1)),"",Sheet1!Q7864)</f>
        <v>4850</v>
      </c>
      <c r="F7852" s="20" t="s">
        <v>26</v>
      </c>
      <c r="G7852" s="53">
        <f t="shared" si="123"/>
        <v>0.23645406403473185</v>
      </c>
      <c r="H7852" s="35"/>
      <c r="P7852" s="6"/>
    </row>
    <row r="7853" spans="1:16" ht="14.4" x14ac:dyDescent="0.25">
      <c r="A7853" s="6">
        <v>1179</v>
      </c>
      <c r="B7853" s="6">
        <v>8614</v>
      </c>
      <c r="C7853" s="19">
        <v>39968</v>
      </c>
      <c r="D7853" s="6" t="s">
        <v>25</v>
      </c>
      <c r="E7853" s="6">
        <f>IF((ISBLANK($B$1)),"",Sheet1!Q7865)</f>
        <v>4050</v>
      </c>
      <c r="F7853" s="20" t="s">
        <v>27</v>
      </c>
      <c r="G7853" s="53">
        <f t="shared" si="123"/>
        <v>-0.86830935413290289</v>
      </c>
      <c r="H7853" s="35"/>
      <c r="P7853" s="6"/>
    </row>
    <row r="7854" spans="1:16" ht="14.4" x14ac:dyDescent="0.25">
      <c r="A7854" s="6">
        <v>1271</v>
      </c>
      <c r="B7854" s="6">
        <v>9249</v>
      </c>
      <c r="C7854" s="19">
        <v>40317</v>
      </c>
      <c r="D7854" s="6" t="s">
        <v>17</v>
      </c>
      <c r="E7854" s="6">
        <f>IF((ISBLANK($B$1)),"",Sheet1!Q7866)</f>
        <v>5700</v>
      </c>
      <c r="F7854" s="20" t="s">
        <v>26</v>
      </c>
      <c r="G7854" s="53">
        <f t="shared" si="123"/>
        <v>1.4102651958378438</v>
      </c>
      <c r="H7854" s="35"/>
      <c r="P7854" s="6"/>
    </row>
    <row r="7855" spans="1:16" ht="14.4" x14ac:dyDescent="0.25">
      <c r="A7855" s="6">
        <v>1272</v>
      </c>
      <c r="B7855" s="6">
        <v>9249</v>
      </c>
      <c r="C7855" s="19">
        <v>40317</v>
      </c>
      <c r="D7855" s="6" t="s">
        <v>17</v>
      </c>
      <c r="E7855" s="6">
        <f>IF((ISBLANK($B$1)),"",Sheet1!Q7867)</f>
        <v>5500</v>
      </c>
      <c r="F7855" s="20" t="s">
        <v>26</v>
      </c>
      <c r="G7855" s="53">
        <f t="shared" si="123"/>
        <v>1.1340743412959351</v>
      </c>
      <c r="H7855" s="35"/>
      <c r="P7855" s="6"/>
    </row>
    <row r="7856" spans="1:16" ht="14.4" x14ac:dyDescent="0.25">
      <c r="A7856" s="6">
        <v>1273</v>
      </c>
      <c r="B7856" s="6">
        <v>9249</v>
      </c>
      <c r="C7856" s="19">
        <v>40317</v>
      </c>
      <c r="D7856" s="6" t="s">
        <v>17</v>
      </c>
      <c r="E7856" s="6">
        <f>IF((ISBLANK($B$1)),"",Sheet1!Q7868)</f>
        <v>5150</v>
      </c>
      <c r="F7856" s="20" t="s">
        <v>29</v>
      </c>
      <c r="G7856" s="53">
        <f t="shared" si="123"/>
        <v>0.65074034584759488</v>
      </c>
      <c r="H7856" s="35"/>
      <c r="P7856" s="6"/>
    </row>
    <row r="7857" spans="1:16" ht="14.4" x14ac:dyDescent="0.25">
      <c r="A7857" s="6">
        <v>1318</v>
      </c>
      <c r="B7857" s="6">
        <v>9639</v>
      </c>
      <c r="C7857" s="19">
        <v>40426</v>
      </c>
      <c r="D7857" s="6" t="s">
        <v>28</v>
      </c>
      <c r="E7857" s="6">
        <f>IF((ISBLANK($B$1)),"",Sheet1!Q7869)</f>
        <v>5750</v>
      </c>
      <c r="F7857" s="20" t="s">
        <v>29</v>
      </c>
      <c r="G7857" s="53">
        <f t="shared" si="123"/>
        <v>1.4793129094733208</v>
      </c>
      <c r="H7857" s="35"/>
      <c r="P7857" s="6"/>
    </row>
    <row r="7858" spans="1:16" ht="14.4" x14ac:dyDescent="0.25">
      <c r="A7858" s="6">
        <v>1319</v>
      </c>
      <c r="B7858" s="6">
        <v>9639</v>
      </c>
      <c r="C7858" s="19">
        <v>40426</v>
      </c>
      <c r="D7858" s="6" t="s">
        <v>28</v>
      </c>
      <c r="E7858" s="6">
        <f>IF((ISBLANK($B$1)),"",Sheet1!Q7870)</f>
        <v>3950</v>
      </c>
      <c r="F7858" s="20" t="s">
        <v>26</v>
      </c>
      <c r="G7858" s="53">
        <f t="shared" si="123"/>
        <v>-1.0064047814038573</v>
      </c>
      <c r="H7858" s="35"/>
      <c r="P7858" s="6"/>
    </row>
    <row r="7859" spans="1:16" ht="14.4" x14ac:dyDescent="0.25">
      <c r="A7859" s="6">
        <v>1320</v>
      </c>
      <c r="B7859" s="6">
        <v>9639</v>
      </c>
      <c r="C7859" s="19">
        <v>40426</v>
      </c>
      <c r="D7859" s="6" t="s">
        <v>28</v>
      </c>
      <c r="E7859" s="6">
        <f>IF((ISBLANK($B$1)),"",Sheet1!Q7871)</f>
        <v>4550</v>
      </c>
      <c r="F7859" s="20" t="s">
        <v>27</v>
      </c>
      <c r="G7859" s="53">
        <f t="shared" si="123"/>
        <v>-0.17783221777813119</v>
      </c>
      <c r="H7859" s="35"/>
      <c r="P7859" s="6"/>
    </row>
    <row r="7860" spans="1:16" ht="14.4" x14ac:dyDescent="0.25">
      <c r="A7860" s="6">
        <v>1328</v>
      </c>
      <c r="B7860" s="6">
        <v>9696</v>
      </c>
      <c r="C7860" s="19">
        <v>40593</v>
      </c>
      <c r="D7860" s="6" t="s">
        <v>28</v>
      </c>
      <c r="E7860" s="6">
        <f>IF((ISBLANK($B$1)),"",Sheet1!Q7872)</f>
        <v>4150</v>
      </c>
      <c r="F7860" s="20" t="s">
        <v>26</v>
      </c>
      <c r="G7860" s="53">
        <f t="shared" si="123"/>
        <v>-0.73021392686194853</v>
      </c>
      <c r="H7860" s="35"/>
      <c r="P7860" s="6"/>
    </row>
    <row r="7861" spans="1:16" ht="14.4" x14ac:dyDescent="0.25">
      <c r="A7861" s="6">
        <v>1329</v>
      </c>
      <c r="B7861" s="6">
        <v>9696</v>
      </c>
      <c r="C7861" s="19">
        <v>40593</v>
      </c>
      <c r="D7861" s="6" t="s">
        <v>28</v>
      </c>
      <c r="E7861" s="6">
        <f>IF((ISBLANK($B$1)),"",Sheet1!Q7873)</f>
        <v>4050</v>
      </c>
      <c r="F7861" s="20" t="s">
        <v>29</v>
      </c>
      <c r="G7861" s="53">
        <f t="shared" si="123"/>
        <v>-0.86830935413290289</v>
      </c>
      <c r="H7861" s="35"/>
      <c r="P7861" s="6"/>
    </row>
    <row r="7862" spans="1:16" ht="14.4" x14ac:dyDescent="0.25">
      <c r="A7862" s="6">
        <v>1355</v>
      </c>
      <c r="B7862" s="6">
        <v>9888</v>
      </c>
      <c r="C7862" s="19">
        <v>40068</v>
      </c>
      <c r="D7862" s="6" t="s">
        <v>25</v>
      </c>
      <c r="E7862" s="6">
        <f>IF((ISBLANK($B$1)),"",Sheet1!Q7874)</f>
        <v>5800</v>
      </c>
      <c r="F7862" s="20" t="s">
        <v>27</v>
      </c>
      <c r="G7862" s="53">
        <f t="shared" si="123"/>
        <v>1.5483606231087981</v>
      </c>
      <c r="H7862" s="35"/>
      <c r="P7862" s="6"/>
    </row>
    <row r="7863" spans="1:16" ht="14.4" x14ac:dyDescent="0.25">
      <c r="A7863" s="6">
        <v>1508</v>
      </c>
      <c r="B7863" s="6">
        <v>10913</v>
      </c>
      <c r="C7863" s="19">
        <v>40215</v>
      </c>
      <c r="D7863" s="6" t="s">
        <v>25</v>
      </c>
      <c r="E7863" s="6">
        <f>IF((ISBLANK($B$1)),"",Sheet1!Q7875)</f>
        <v>4750</v>
      </c>
      <c r="F7863" s="20" t="s">
        <v>29</v>
      </c>
      <c r="G7863" s="53">
        <f t="shared" si="123"/>
        <v>9.8358636763777513E-2</v>
      </c>
      <c r="H7863" s="35"/>
      <c r="P7863" s="6"/>
    </row>
    <row r="7864" spans="1:16" ht="14.4" x14ac:dyDescent="0.25">
      <c r="A7864" s="6">
        <v>1520</v>
      </c>
      <c r="B7864" s="6">
        <v>10981</v>
      </c>
      <c r="C7864" s="19">
        <v>40312</v>
      </c>
      <c r="D7864" s="6" t="s">
        <v>17</v>
      </c>
      <c r="E7864" s="6">
        <f>IF((ISBLANK($B$1)),"",Sheet1!Q7876)</f>
        <v>5450</v>
      </c>
      <c r="F7864" s="20" t="s">
        <v>26</v>
      </c>
      <c r="G7864" s="53">
        <f t="shared" si="123"/>
        <v>1.0650266276604579</v>
      </c>
      <c r="H7864" s="35"/>
      <c r="P7864" s="6"/>
    </row>
    <row r="7865" spans="1:16" ht="14.4" x14ac:dyDescent="0.25">
      <c r="A7865" s="6">
        <v>1521</v>
      </c>
      <c r="B7865" s="6">
        <v>10981</v>
      </c>
      <c r="C7865" s="19">
        <v>40312</v>
      </c>
      <c r="D7865" s="6" t="s">
        <v>17</v>
      </c>
      <c r="E7865" s="6">
        <f>IF((ISBLANK($B$1)),"",Sheet1!Q7877)</f>
        <v>5050</v>
      </c>
      <c r="F7865" s="20" t="s">
        <v>27</v>
      </c>
      <c r="G7865" s="53">
        <f t="shared" si="123"/>
        <v>0.51264491857664052</v>
      </c>
      <c r="H7865" s="35"/>
      <c r="P7865" s="6"/>
    </row>
    <row r="7866" spans="1:16" ht="14.4" x14ac:dyDescent="0.25">
      <c r="A7866" s="6">
        <v>1773</v>
      </c>
      <c r="B7866" s="6">
        <v>12707</v>
      </c>
      <c r="C7866" s="19">
        <v>40327</v>
      </c>
      <c r="D7866" s="6" t="s">
        <v>17</v>
      </c>
      <c r="E7866" s="6">
        <f>IF((ISBLANK($B$1)),"",Sheet1!Q7878)</f>
        <v>4400</v>
      </c>
      <c r="F7866" s="20" t="s">
        <v>29</v>
      </c>
      <c r="G7866" s="53">
        <f t="shared" si="123"/>
        <v>-0.38497535868456267</v>
      </c>
      <c r="H7866" s="35"/>
      <c r="P7866" s="6"/>
    </row>
    <row r="7867" spans="1:16" ht="14.4" x14ac:dyDescent="0.25">
      <c r="A7867" s="6">
        <v>1931</v>
      </c>
      <c r="B7867" s="6">
        <v>13799</v>
      </c>
      <c r="C7867" s="19">
        <v>40513</v>
      </c>
      <c r="D7867" s="6" t="s">
        <v>30</v>
      </c>
      <c r="E7867" s="6">
        <f>IF((ISBLANK($B$1)),"",Sheet1!Q7879)</f>
        <v>3650</v>
      </c>
      <c r="F7867" s="20" t="s">
        <v>29</v>
      </c>
      <c r="G7867" s="53">
        <f t="shared" si="123"/>
        <v>-1.4206910632167202</v>
      </c>
      <c r="H7867" s="35"/>
      <c r="P7867" s="6"/>
    </row>
    <row r="7868" spans="1:16" ht="14.4" x14ac:dyDescent="0.25">
      <c r="A7868" s="6">
        <v>1950</v>
      </c>
      <c r="B7868" s="6">
        <v>13959</v>
      </c>
      <c r="C7868" s="19">
        <v>39907</v>
      </c>
      <c r="D7868" s="6" t="s">
        <v>16</v>
      </c>
      <c r="E7868" s="6">
        <f>IF((ISBLANK($B$1)),"",Sheet1!Q7880)</f>
        <v>5750</v>
      </c>
      <c r="F7868" s="20" t="s">
        <v>26</v>
      </c>
      <c r="G7868" s="53">
        <f t="shared" si="123"/>
        <v>1.4793129094733208</v>
      </c>
      <c r="H7868" s="35"/>
      <c r="P7868" s="6"/>
    </row>
    <row r="7869" spans="1:16" ht="14.4" x14ac:dyDescent="0.25">
      <c r="A7869" s="6">
        <v>1951</v>
      </c>
      <c r="B7869" s="6">
        <v>13959</v>
      </c>
      <c r="C7869" s="19">
        <v>39907</v>
      </c>
      <c r="D7869" s="6" t="s">
        <v>16</v>
      </c>
      <c r="E7869" s="6">
        <f>IF((ISBLANK($B$1)),"",Sheet1!Q7881)</f>
        <v>4350</v>
      </c>
      <c r="F7869" s="20" t="s">
        <v>26</v>
      </c>
      <c r="G7869" s="53">
        <f t="shared" si="123"/>
        <v>-0.45402307232003986</v>
      </c>
      <c r="H7869" s="35"/>
      <c r="P7869" s="6"/>
    </row>
    <row r="7870" spans="1:16" ht="14.4" x14ac:dyDescent="0.25">
      <c r="A7870" s="6">
        <v>1959</v>
      </c>
      <c r="B7870" s="6">
        <v>14016</v>
      </c>
      <c r="C7870" s="19">
        <v>41101</v>
      </c>
      <c r="D7870" s="6" t="s">
        <v>25</v>
      </c>
      <c r="E7870" s="6">
        <f>IF((ISBLANK($B$1)),"",Sheet1!Q7882)</f>
        <v>3850</v>
      </c>
      <c r="F7870" s="20" t="s">
        <v>29</v>
      </c>
      <c r="G7870" s="53">
        <f t="shared" si="123"/>
        <v>-1.1445002086748115</v>
      </c>
      <c r="H7870" s="35"/>
      <c r="P7870" s="6"/>
    </row>
    <row r="7871" spans="1:16" ht="14.4" x14ac:dyDescent="0.25">
      <c r="A7871" s="6">
        <v>2044</v>
      </c>
      <c r="B7871" s="6">
        <v>14563</v>
      </c>
      <c r="C7871" s="19">
        <v>40879</v>
      </c>
      <c r="D7871" s="6" t="s">
        <v>30</v>
      </c>
      <c r="E7871" s="6">
        <f>IF((ISBLANK($B$1)),"",Sheet1!Q7883)</f>
        <v>4950</v>
      </c>
      <c r="F7871" s="20" t="s">
        <v>27</v>
      </c>
      <c r="G7871" s="53">
        <f t="shared" si="123"/>
        <v>0.37454949130568621</v>
      </c>
      <c r="H7871" s="35"/>
      <c r="P7871" s="6"/>
    </row>
    <row r="7872" spans="1:16" ht="14.4" x14ac:dyDescent="0.25">
      <c r="A7872" s="6">
        <v>2155</v>
      </c>
      <c r="B7872" s="6">
        <v>15428</v>
      </c>
      <c r="C7872" s="19">
        <v>40583</v>
      </c>
      <c r="D7872" s="6" t="s">
        <v>30</v>
      </c>
      <c r="E7872" s="6">
        <f>IF((ISBLANK($B$1)),"",Sheet1!Q7884)</f>
        <v>5900</v>
      </c>
      <c r="F7872" s="20" t="s">
        <v>27</v>
      </c>
      <c r="G7872" s="53">
        <f t="shared" si="123"/>
        <v>1.6864560503797523</v>
      </c>
      <c r="H7872" s="35"/>
      <c r="P7872" s="6"/>
    </row>
    <row r="7873" spans="1:16" ht="14.4" x14ac:dyDescent="0.25">
      <c r="A7873" s="6">
        <v>2156</v>
      </c>
      <c r="B7873" s="6">
        <v>15428</v>
      </c>
      <c r="C7873" s="19">
        <v>40583</v>
      </c>
      <c r="D7873" s="6" t="s">
        <v>30</v>
      </c>
      <c r="E7873" s="6">
        <f>IF((ISBLANK($B$1)),"",Sheet1!Q7885)</f>
        <v>3900</v>
      </c>
      <c r="F7873" s="20" t="s">
        <v>27</v>
      </c>
      <c r="G7873" s="53">
        <f t="shared" si="123"/>
        <v>-1.0754524950393345</v>
      </c>
      <c r="H7873" s="35"/>
      <c r="P7873" s="6"/>
    </row>
    <row r="7874" spans="1:16" ht="14.4" x14ac:dyDescent="0.25">
      <c r="A7874" s="6">
        <v>2327</v>
      </c>
      <c r="B7874" s="6">
        <v>16772</v>
      </c>
      <c r="C7874" s="19">
        <v>41269</v>
      </c>
      <c r="D7874" s="6" t="s">
        <v>17</v>
      </c>
      <c r="E7874" s="6">
        <f>IF((ISBLANK($B$1)),"",Sheet1!Q7886)</f>
        <v>5300</v>
      </c>
      <c r="F7874" s="20" t="s">
        <v>26</v>
      </c>
      <c r="G7874" s="53">
        <f t="shared" si="123"/>
        <v>0.85788348675402637</v>
      </c>
      <c r="H7874" s="35"/>
      <c r="P7874" s="6"/>
    </row>
    <row r="7875" spans="1:16" ht="14.4" x14ac:dyDescent="0.25">
      <c r="A7875" s="6">
        <v>2425</v>
      </c>
      <c r="B7875" s="6">
        <v>17573</v>
      </c>
      <c r="C7875" s="19">
        <v>40790</v>
      </c>
      <c r="D7875" s="6" t="s">
        <v>25</v>
      </c>
      <c r="E7875" s="6">
        <f>IF((ISBLANK($B$1)),"",Sheet1!Q7887)</f>
        <v>5750</v>
      </c>
      <c r="F7875" s="20" t="s">
        <v>27</v>
      </c>
      <c r="G7875" s="53">
        <f t="shared" si="123"/>
        <v>1.4793129094733208</v>
      </c>
      <c r="H7875" s="35"/>
      <c r="P7875" s="6"/>
    </row>
    <row r="7876" spans="1:16" ht="14.4" x14ac:dyDescent="0.25">
      <c r="A7876" s="6">
        <v>2488</v>
      </c>
      <c r="B7876" s="6">
        <v>18119</v>
      </c>
      <c r="C7876" s="19">
        <v>39988</v>
      </c>
      <c r="D7876" s="6" t="s">
        <v>25</v>
      </c>
      <c r="E7876" s="6">
        <f>IF((ISBLANK($B$1)),"",Sheet1!Q7888)</f>
        <v>5250</v>
      </c>
      <c r="F7876" s="20" t="s">
        <v>26</v>
      </c>
      <c r="G7876" s="53">
        <f t="shared" si="123"/>
        <v>0.78883577311854924</v>
      </c>
      <c r="H7876" s="35"/>
      <c r="P7876" s="6"/>
    </row>
    <row r="7877" spans="1:16" ht="14.4" x14ac:dyDescent="0.25">
      <c r="A7877" s="6">
        <v>2527</v>
      </c>
      <c r="B7877" s="6">
        <v>18368</v>
      </c>
      <c r="C7877" s="19">
        <v>41243</v>
      </c>
      <c r="D7877" s="6" t="s">
        <v>28</v>
      </c>
      <c r="E7877" s="6">
        <f>IF((ISBLANK($B$1)),"",Sheet1!Q7889)</f>
        <v>3550</v>
      </c>
      <c r="F7877" s="20" t="s">
        <v>26</v>
      </c>
      <c r="G7877" s="53">
        <f t="shared" si="123"/>
        <v>-1.5587864904876745</v>
      </c>
      <c r="H7877" s="35"/>
      <c r="P7877" s="6"/>
    </row>
    <row r="7878" spans="1:16" ht="14.4" x14ac:dyDescent="0.25">
      <c r="A7878" s="6">
        <v>2528</v>
      </c>
      <c r="B7878" s="6">
        <v>18368</v>
      </c>
      <c r="C7878" s="19">
        <v>41243</v>
      </c>
      <c r="D7878" s="6" t="s">
        <v>28</v>
      </c>
      <c r="E7878" s="6">
        <f>IF((ISBLANK($B$1)),"",Sheet1!Q7890)</f>
        <v>5150</v>
      </c>
      <c r="F7878" s="20" t="s">
        <v>26</v>
      </c>
      <c r="G7878" s="53">
        <f t="shared" si="123"/>
        <v>0.65074034584759488</v>
      </c>
      <c r="H7878" s="35"/>
      <c r="P7878" s="6"/>
    </row>
    <row r="7879" spans="1:16" ht="14.4" x14ac:dyDescent="0.25">
      <c r="A7879" s="6">
        <v>2529</v>
      </c>
      <c r="B7879" s="6">
        <v>18368</v>
      </c>
      <c r="C7879" s="19">
        <v>41243</v>
      </c>
      <c r="D7879" s="6" t="s">
        <v>28</v>
      </c>
      <c r="E7879" s="6">
        <f>IF((ISBLANK($B$1)),"",Sheet1!Q7891)</f>
        <v>3550</v>
      </c>
      <c r="F7879" s="20" t="s">
        <v>27</v>
      </c>
      <c r="G7879" s="53">
        <f t="shared" si="123"/>
        <v>-1.5587864904876745</v>
      </c>
      <c r="H7879" s="35"/>
      <c r="P7879" s="6"/>
    </row>
    <row r="7880" spans="1:16" ht="14.4" x14ac:dyDescent="0.25">
      <c r="A7880" s="6">
        <v>2682</v>
      </c>
      <c r="B7880" s="6">
        <v>19424</v>
      </c>
      <c r="C7880" s="19">
        <v>40642</v>
      </c>
      <c r="D7880" s="6" t="s">
        <v>28</v>
      </c>
      <c r="E7880" s="6">
        <f>IF((ISBLANK($B$1)),"",Sheet1!Q7892)</f>
        <v>4850</v>
      </c>
      <c r="F7880" s="20" t="s">
        <v>26</v>
      </c>
      <c r="G7880" s="53">
        <f t="shared" ref="G7880:G7943" si="124">STANDARDIZE(E7880,$L$26,$L$35)</f>
        <v>0.23645406403473185</v>
      </c>
      <c r="H7880" s="35"/>
      <c r="P7880" s="6"/>
    </row>
    <row r="7881" spans="1:16" ht="14.4" x14ac:dyDescent="0.25">
      <c r="A7881" s="6">
        <v>2683</v>
      </c>
      <c r="B7881" s="6">
        <v>19424</v>
      </c>
      <c r="C7881" s="19">
        <v>40642</v>
      </c>
      <c r="D7881" s="6" t="s">
        <v>28</v>
      </c>
      <c r="E7881" s="6">
        <f>IF((ISBLANK($B$1)),"",Sheet1!Q7893)</f>
        <v>5250</v>
      </c>
      <c r="F7881" s="20" t="s">
        <v>27</v>
      </c>
      <c r="G7881" s="53">
        <f t="shared" si="124"/>
        <v>0.78883577311854924</v>
      </c>
      <c r="H7881" s="35"/>
      <c r="P7881" s="6"/>
    </row>
    <row r="7882" spans="1:16" ht="14.4" x14ac:dyDescent="0.25">
      <c r="A7882" s="6">
        <v>2684</v>
      </c>
      <c r="B7882" s="6">
        <v>19425</v>
      </c>
      <c r="C7882" s="19">
        <v>41176</v>
      </c>
      <c r="D7882" s="6" t="s">
        <v>28</v>
      </c>
      <c r="E7882" s="6">
        <f>IF((ISBLANK($B$1)),"",Sheet1!Q7894)</f>
        <v>5100</v>
      </c>
      <c r="F7882" s="20" t="s">
        <v>26</v>
      </c>
      <c r="G7882" s="53">
        <f t="shared" si="124"/>
        <v>0.58169263221211776</v>
      </c>
      <c r="H7882" s="35"/>
      <c r="P7882" s="6"/>
    </row>
    <row r="7883" spans="1:16" ht="14.4" x14ac:dyDescent="0.25">
      <c r="A7883" s="6">
        <v>2744</v>
      </c>
      <c r="B7883" s="6">
        <v>19812</v>
      </c>
      <c r="C7883" s="19">
        <v>40270</v>
      </c>
      <c r="D7883" s="6" t="s">
        <v>25</v>
      </c>
      <c r="E7883" s="6">
        <f>IF((ISBLANK($B$1)),"",Sheet1!Q7895)</f>
        <v>3550</v>
      </c>
      <c r="F7883" s="20" t="s">
        <v>29</v>
      </c>
      <c r="G7883" s="53">
        <f t="shared" si="124"/>
        <v>-1.5587864904876745</v>
      </c>
      <c r="H7883" s="35"/>
      <c r="P7883" s="6"/>
    </row>
    <row r="7884" spans="1:16" ht="14.4" x14ac:dyDescent="0.25">
      <c r="A7884" s="6">
        <v>2979</v>
      </c>
      <c r="B7884" s="6">
        <v>21510</v>
      </c>
      <c r="C7884" s="19">
        <v>41037</v>
      </c>
      <c r="D7884" s="6" t="s">
        <v>17</v>
      </c>
      <c r="E7884" s="6">
        <f>IF((ISBLANK($B$1)),"",Sheet1!Q7896)</f>
        <v>4200</v>
      </c>
      <c r="F7884" s="20" t="s">
        <v>27</v>
      </c>
      <c r="G7884" s="53">
        <f t="shared" si="124"/>
        <v>-0.6611662132264714</v>
      </c>
      <c r="H7884" s="35"/>
      <c r="P7884" s="6"/>
    </row>
    <row r="7885" spans="1:16" ht="14.4" x14ac:dyDescent="0.25">
      <c r="A7885" s="6">
        <v>3026</v>
      </c>
      <c r="B7885" s="6">
        <v>21763</v>
      </c>
      <c r="C7885" s="19">
        <v>41057</v>
      </c>
      <c r="D7885" s="6" t="s">
        <v>25</v>
      </c>
      <c r="E7885" s="6">
        <f>IF((ISBLANK($B$1)),"",Sheet1!Q7897)</f>
        <v>4500</v>
      </c>
      <c r="F7885" s="20" t="s">
        <v>27</v>
      </c>
      <c r="G7885" s="53">
        <f t="shared" si="124"/>
        <v>-0.24687993141360834</v>
      </c>
      <c r="H7885" s="35"/>
      <c r="P7885" s="6"/>
    </row>
    <row r="7886" spans="1:16" ht="14.4" x14ac:dyDescent="0.25">
      <c r="A7886" s="6">
        <v>3101</v>
      </c>
      <c r="B7886" s="6">
        <v>22212</v>
      </c>
      <c r="C7886" s="19">
        <v>40438</v>
      </c>
      <c r="D7886" s="6" t="s">
        <v>16</v>
      </c>
      <c r="E7886" s="6">
        <f>IF((ISBLANK($B$1)),"",Sheet1!Q7898)</f>
        <v>4350</v>
      </c>
      <c r="F7886" s="20" t="s">
        <v>26</v>
      </c>
      <c r="G7886" s="53">
        <f t="shared" si="124"/>
        <v>-0.45402307232003986</v>
      </c>
      <c r="H7886" s="35"/>
      <c r="P7886" s="6"/>
    </row>
    <row r="7887" spans="1:16" ht="14.4" x14ac:dyDescent="0.25">
      <c r="A7887" s="6">
        <v>3213</v>
      </c>
      <c r="B7887" s="6">
        <v>23046</v>
      </c>
      <c r="C7887" s="19">
        <v>40457</v>
      </c>
      <c r="D7887" s="6" t="s">
        <v>30</v>
      </c>
      <c r="E7887" s="6">
        <f>IF((ISBLANK($B$1)),"",Sheet1!Q7899)</f>
        <v>5050</v>
      </c>
      <c r="F7887" s="20" t="s">
        <v>26</v>
      </c>
      <c r="G7887" s="53">
        <f t="shared" si="124"/>
        <v>0.51264491857664052</v>
      </c>
      <c r="H7887" s="35"/>
      <c r="P7887" s="6"/>
    </row>
    <row r="7888" spans="1:16" ht="14.4" x14ac:dyDescent="0.25">
      <c r="A7888" s="6">
        <v>3230</v>
      </c>
      <c r="B7888" s="6">
        <v>23172</v>
      </c>
      <c r="C7888" s="19">
        <v>41023</v>
      </c>
      <c r="D7888" s="6" t="s">
        <v>25</v>
      </c>
      <c r="E7888" s="6">
        <f>IF((ISBLANK($B$1)),"",Sheet1!Q7900)</f>
        <v>4050</v>
      </c>
      <c r="F7888" s="20" t="s">
        <v>27</v>
      </c>
      <c r="G7888" s="53">
        <f t="shared" si="124"/>
        <v>-0.86830935413290289</v>
      </c>
      <c r="H7888" s="35"/>
      <c r="P7888" s="6"/>
    </row>
    <row r="7889" spans="1:16" ht="14.4" x14ac:dyDescent="0.25">
      <c r="A7889" s="6">
        <v>3301</v>
      </c>
      <c r="B7889" s="6">
        <v>23585</v>
      </c>
      <c r="C7889" s="19">
        <v>41213</v>
      </c>
      <c r="D7889" s="6" t="s">
        <v>30</v>
      </c>
      <c r="E7889" s="6">
        <f>IF((ISBLANK($B$1)),"",Sheet1!Q7901)</f>
        <v>5600</v>
      </c>
      <c r="F7889" s="20" t="s">
        <v>26</v>
      </c>
      <c r="G7889" s="53">
        <f t="shared" si="124"/>
        <v>1.2721697685668893</v>
      </c>
      <c r="H7889" s="35"/>
      <c r="P7889" s="6"/>
    </row>
    <row r="7890" spans="1:16" ht="14.4" x14ac:dyDescent="0.25">
      <c r="A7890" s="6">
        <v>3340</v>
      </c>
      <c r="B7890" s="6">
        <v>23906</v>
      </c>
      <c r="C7890" s="19">
        <v>40441</v>
      </c>
      <c r="D7890" s="6" t="s">
        <v>30</v>
      </c>
      <c r="E7890" s="6">
        <f>IF((ISBLANK($B$1)),"",Sheet1!Q7902)</f>
        <v>5250</v>
      </c>
      <c r="F7890" s="20" t="s">
        <v>26</v>
      </c>
      <c r="G7890" s="53">
        <f t="shared" si="124"/>
        <v>0.78883577311854924</v>
      </c>
      <c r="H7890" s="35"/>
      <c r="P7890" s="6"/>
    </row>
    <row r="7891" spans="1:16" ht="14.4" x14ac:dyDescent="0.25">
      <c r="A7891" s="6">
        <v>3449</v>
      </c>
      <c r="B7891" s="6">
        <v>24583</v>
      </c>
      <c r="C7891" s="19">
        <v>40764</v>
      </c>
      <c r="D7891" s="6" t="s">
        <v>30</v>
      </c>
      <c r="E7891" s="6">
        <f>IF((ISBLANK($B$1)),"",Sheet1!Q7903)</f>
        <v>4250</v>
      </c>
      <c r="F7891" s="20" t="s">
        <v>26</v>
      </c>
      <c r="G7891" s="53">
        <f t="shared" si="124"/>
        <v>-0.59211849959099416</v>
      </c>
      <c r="H7891" s="35"/>
      <c r="P7891" s="6"/>
    </row>
    <row r="7892" spans="1:16" ht="14.4" x14ac:dyDescent="0.25">
      <c r="A7892" s="6">
        <v>3540</v>
      </c>
      <c r="B7892" s="6">
        <v>25191</v>
      </c>
      <c r="C7892" s="19">
        <v>40632</v>
      </c>
      <c r="D7892" s="6" t="s">
        <v>16</v>
      </c>
      <c r="E7892" s="6">
        <f>IF((ISBLANK($B$1)),"",Sheet1!Q7904)</f>
        <v>5500</v>
      </c>
      <c r="F7892" s="20" t="s">
        <v>27</v>
      </c>
      <c r="G7892" s="53">
        <f t="shared" si="124"/>
        <v>1.1340743412959351</v>
      </c>
      <c r="H7892" s="35"/>
      <c r="P7892" s="6"/>
    </row>
    <row r="7893" spans="1:16" ht="14.4" x14ac:dyDescent="0.25">
      <c r="A7893" s="6">
        <v>3589</v>
      </c>
      <c r="B7893" s="6">
        <v>25603</v>
      </c>
      <c r="C7893" s="19">
        <v>40607</v>
      </c>
      <c r="D7893" s="6" t="s">
        <v>25</v>
      </c>
      <c r="E7893" s="6">
        <f>IF((ISBLANK($B$1)),"",Sheet1!Q7905)</f>
        <v>4550</v>
      </c>
      <c r="F7893" s="20" t="s">
        <v>26</v>
      </c>
      <c r="G7893" s="53">
        <f t="shared" si="124"/>
        <v>-0.17783221777813119</v>
      </c>
      <c r="H7893" s="35"/>
      <c r="P7893" s="6"/>
    </row>
    <row r="7894" spans="1:16" ht="14.4" x14ac:dyDescent="0.25">
      <c r="A7894" s="6">
        <v>3623</v>
      </c>
      <c r="B7894" s="6">
        <v>25861</v>
      </c>
      <c r="C7894" s="19">
        <v>41128</v>
      </c>
      <c r="D7894" s="6" t="s">
        <v>17</v>
      </c>
      <c r="E7894" s="6">
        <f>IF((ISBLANK($B$1)),"",Sheet1!Q7906)</f>
        <v>5600</v>
      </c>
      <c r="F7894" s="20" t="s">
        <v>27</v>
      </c>
      <c r="G7894" s="53">
        <f t="shared" si="124"/>
        <v>1.2721697685668893</v>
      </c>
      <c r="H7894" s="35"/>
      <c r="P7894" s="6"/>
    </row>
    <row r="7895" spans="1:16" ht="14.4" x14ac:dyDescent="0.25">
      <c r="A7895" s="6">
        <v>3785</v>
      </c>
      <c r="B7895" s="6">
        <v>26979</v>
      </c>
      <c r="C7895" s="19">
        <v>40996</v>
      </c>
      <c r="D7895" s="6" t="s">
        <v>16</v>
      </c>
      <c r="E7895" s="6">
        <f>IF((ISBLANK($B$1)),"",Sheet1!Q7907)</f>
        <v>5550</v>
      </c>
      <c r="F7895" s="20" t="s">
        <v>26</v>
      </c>
      <c r="G7895" s="53">
        <f t="shared" si="124"/>
        <v>1.2031220549314123</v>
      </c>
      <c r="H7895" s="35"/>
      <c r="P7895" s="6"/>
    </row>
    <row r="7896" spans="1:16" ht="14.4" x14ac:dyDescent="0.25">
      <c r="A7896" s="6">
        <v>3786</v>
      </c>
      <c r="B7896" s="6">
        <v>26979</v>
      </c>
      <c r="C7896" s="19">
        <v>40996</v>
      </c>
      <c r="D7896" s="6" t="s">
        <v>16</v>
      </c>
      <c r="E7896" s="6">
        <f>IF((ISBLANK($B$1)),"",Sheet1!Q7908)</f>
        <v>5900</v>
      </c>
      <c r="F7896" s="20" t="s">
        <v>27</v>
      </c>
      <c r="G7896" s="53">
        <f t="shared" si="124"/>
        <v>1.6864560503797523</v>
      </c>
      <c r="H7896" s="35"/>
      <c r="P7896" s="6"/>
    </row>
    <row r="7897" spans="1:16" ht="14.4" x14ac:dyDescent="0.25">
      <c r="A7897" s="6">
        <v>3884</v>
      </c>
      <c r="B7897" s="6">
        <v>27746</v>
      </c>
      <c r="C7897" s="19">
        <v>40516</v>
      </c>
      <c r="D7897" s="6" t="s">
        <v>30</v>
      </c>
      <c r="E7897" s="6">
        <f>IF((ISBLANK($B$1)),"",Sheet1!Q7909)</f>
        <v>3550</v>
      </c>
      <c r="F7897" s="20" t="s">
        <v>29</v>
      </c>
      <c r="G7897" s="53">
        <f t="shared" si="124"/>
        <v>-1.5587864904876745</v>
      </c>
      <c r="H7897" s="35"/>
      <c r="P7897" s="6"/>
    </row>
    <row r="7898" spans="1:16" ht="14.4" x14ac:dyDescent="0.25">
      <c r="A7898" s="6">
        <v>3885</v>
      </c>
      <c r="B7898" s="6">
        <v>27746</v>
      </c>
      <c r="C7898" s="19">
        <v>40516</v>
      </c>
      <c r="D7898" s="6" t="s">
        <v>30</v>
      </c>
      <c r="E7898" s="6">
        <f>IF((ISBLANK($B$1)),"",Sheet1!Q7910)</f>
        <v>5500</v>
      </c>
      <c r="F7898" s="20" t="s">
        <v>26</v>
      </c>
      <c r="G7898" s="53">
        <f t="shared" si="124"/>
        <v>1.1340743412959351</v>
      </c>
      <c r="H7898" s="35"/>
      <c r="P7898" s="6"/>
    </row>
    <row r="7899" spans="1:16" ht="14.4" x14ac:dyDescent="0.25">
      <c r="A7899" s="6">
        <v>3905</v>
      </c>
      <c r="B7899" s="6">
        <v>27844</v>
      </c>
      <c r="C7899" s="19">
        <v>40723</v>
      </c>
      <c r="D7899" s="6" t="s">
        <v>25</v>
      </c>
      <c r="E7899" s="6">
        <f>IF((ISBLANK($B$1)),"",Sheet1!Q7911)</f>
        <v>3450</v>
      </c>
      <c r="F7899" s="20" t="s">
        <v>26</v>
      </c>
      <c r="G7899" s="53">
        <f t="shared" si="124"/>
        <v>-1.696881917758629</v>
      </c>
      <c r="H7899" s="35"/>
      <c r="P7899" s="6"/>
    </row>
    <row r="7900" spans="1:16" ht="14.4" x14ac:dyDescent="0.25">
      <c r="A7900" s="6">
        <v>3943</v>
      </c>
      <c r="B7900" s="6">
        <v>28097</v>
      </c>
      <c r="C7900" s="19">
        <v>39946</v>
      </c>
      <c r="D7900" s="6" t="s">
        <v>16</v>
      </c>
      <c r="E7900" s="6">
        <f>IF((ISBLANK($B$1)),"",Sheet1!Q7912)</f>
        <v>5550</v>
      </c>
      <c r="F7900" s="20" t="s">
        <v>29</v>
      </c>
      <c r="G7900" s="53">
        <f t="shared" si="124"/>
        <v>1.2031220549314123</v>
      </c>
      <c r="H7900" s="35"/>
      <c r="P7900" s="6"/>
    </row>
    <row r="7901" spans="1:16" ht="14.4" x14ac:dyDescent="0.25">
      <c r="A7901" s="6">
        <v>3962</v>
      </c>
      <c r="B7901" s="6">
        <v>28262</v>
      </c>
      <c r="C7901" s="19">
        <v>40543</v>
      </c>
      <c r="D7901" s="6" t="s">
        <v>16</v>
      </c>
      <c r="E7901" s="6">
        <f>IF((ISBLANK($B$1)),"",Sheet1!Q7913)</f>
        <v>4700</v>
      </c>
      <c r="F7901" s="20" t="s">
        <v>26</v>
      </c>
      <c r="G7901" s="53">
        <f t="shared" si="124"/>
        <v>2.9310923128300338E-2</v>
      </c>
      <c r="H7901" s="35"/>
      <c r="P7901" s="6"/>
    </row>
    <row r="7902" spans="1:16" ht="14.4" x14ac:dyDescent="0.25">
      <c r="A7902" s="6">
        <v>3998</v>
      </c>
      <c r="B7902" s="6">
        <v>28519</v>
      </c>
      <c r="C7902" s="19">
        <v>40351</v>
      </c>
      <c r="D7902" s="6" t="s">
        <v>17</v>
      </c>
      <c r="E7902" s="6">
        <f>IF((ISBLANK($B$1)),"",Sheet1!Q7914)</f>
        <v>3600</v>
      </c>
      <c r="F7902" s="20" t="s">
        <v>27</v>
      </c>
      <c r="G7902" s="53">
        <f t="shared" si="124"/>
        <v>-1.4897387768521975</v>
      </c>
      <c r="H7902" s="35"/>
      <c r="P7902" s="6"/>
    </row>
    <row r="7903" spans="1:16" ht="14.4" x14ac:dyDescent="0.25">
      <c r="A7903" s="6">
        <v>4079</v>
      </c>
      <c r="B7903" s="6">
        <v>29058</v>
      </c>
      <c r="C7903" s="19">
        <v>40181</v>
      </c>
      <c r="D7903" s="6" t="s">
        <v>17</v>
      </c>
      <c r="E7903" s="6">
        <f>IF((ISBLANK($B$1)),"",Sheet1!Q7915)</f>
        <v>5050</v>
      </c>
      <c r="F7903" s="20" t="s">
        <v>29</v>
      </c>
      <c r="G7903" s="53">
        <f t="shared" si="124"/>
        <v>0.51264491857664052</v>
      </c>
      <c r="H7903" s="35"/>
      <c r="P7903" s="6"/>
    </row>
    <row r="7904" spans="1:16" ht="14.4" x14ac:dyDescent="0.25">
      <c r="A7904" s="6">
        <v>4094</v>
      </c>
      <c r="B7904" s="6">
        <v>29187</v>
      </c>
      <c r="C7904" s="19">
        <v>40025</v>
      </c>
      <c r="D7904" s="6" t="s">
        <v>25</v>
      </c>
      <c r="E7904" s="6">
        <f>IF((ISBLANK($B$1)),"",Sheet1!Q7916)</f>
        <v>3650</v>
      </c>
      <c r="F7904" s="20" t="s">
        <v>26</v>
      </c>
      <c r="G7904" s="53">
        <f t="shared" si="124"/>
        <v>-1.4206910632167202</v>
      </c>
      <c r="H7904" s="35"/>
      <c r="P7904" s="6"/>
    </row>
    <row r="7905" spans="1:16" ht="14.4" x14ac:dyDescent="0.25">
      <c r="A7905" s="6">
        <v>4095</v>
      </c>
      <c r="B7905" s="6">
        <v>29187</v>
      </c>
      <c r="C7905" s="19">
        <v>40025</v>
      </c>
      <c r="D7905" s="6" t="s">
        <v>25</v>
      </c>
      <c r="E7905" s="6">
        <f>IF((ISBLANK($B$1)),"",Sheet1!Q7917)</f>
        <v>3800</v>
      </c>
      <c r="F7905" s="20" t="s">
        <v>26</v>
      </c>
      <c r="G7905" s="53">
        <f t="shared" si="124"/>
        <v>-1.2135479223102887</v>
      </c>
      <c r="H7905" s="35"/>
      <c r="P7905" s="6"/>
    </row>
    <row r="7906" spans="1:16" ht="14.4" x14ac:dyDescent="0.25">
      <c r="A7906" s="6">
        <v>4096</v>
      </c>
      <c r="B7906" s="6">
        <v>29187</v>
      </c>
      <c r="C7906" s="19">
        <v>40025</v>
      </c>
      <c r="D7906" s="6" t="s">
        <v>25</v>
      </c>
      <c r="E7906" s="6">
        <f>IF((ISBLANK($B$1)),"",Sheet1!Q7918)</f>
        <v>5150</v>
      </c>
      <c r="F7906" s="20" t="s">
        <v>27</v>
      </c>
      <c r="G7906" s="53">
        <f t="shared" si="124"/>
        <v>0.65074034584759488</v>
      </c>
      <c r="H7906" s="35"/>
      <c r="P7906" s="6"/>
    </row>
    <row r="7907" spans="1:16" ht="14.4" x14ac:dyDescent="0.25">
      <c r="A7907" s="6">
        <v>4097</v>
      </c>
      <c r="B7907" s="6">
        <v>29187</v>
      </c>
      <c r="C7907" s="19">
        <v>40025</v>
      </c>
      <c r="D7907" s="6" t="s">
        <v>25</v>
      </c>
      <c r="E7907" s="6">
        <f>IF((ISBLANK($B$1)),"",Sheet1!Q7919)</f>
        <v>3900</v>
      </c>
      <c r="F7907" s="20" t="s">
        <v>26</v>
      </c>
      <c r="G7907" s="53">
        <f t="shared" si="124"/>
        <v>-1.0754524950393345</v>
      </c>
      <c r="H7907" s="35"/>
      <c r="P7907" s="6"/>
    </row>
    <row r="7908" spans="1:16" ht="14.4" x14ac:dyDescent="0.25">
      <c r="A7908" s="6">
        <v>4098</v>
      </c>
      <c r="B7908" s="6">
        <v>29187</v>
      </c>
      <c r="C7908" s="19">
        <v>40025</v>
      </c>
      <c r="D7908" s="6" t="s">
        <v>25</v>
      </c>
      <c r="E7908" s="6">
        <f>IF((ISBLANK($B$1)),"",Sheet1!Q7920)</f>
        <v>5500</v>
      </c>
      <c r="F7908" s="20" t="s">
        <v>26</v>
      </c>
      <c r="G7908" s="53">
        <f t="shared" si="124"/>
        <v>1.1340743412959351</v>
      </c>
      <c r="H7908" s="35"/>
      <c r="P7908" s="6"/>
    </row>
    <row r="7909" spans="1:16" ht="14.4" x14ac:dyDescent="0.25">
      <c r="A7909" s="6">
        <v>4120</v>
      </c>
      <c r="B7909" s="6">
        <v>29317</v>
      </c>
      <c r="C7909" s="19">
        <v>40818</v>
      </c>
      <c r="D7909" s="6" t="s">
        <v>28</v>
      </c>
      <c r="E7909" s="6">
        <f>IF((ISBLANK($B$1)),"",Sheet1!Q7921)</f>
        <v>5400</v>
      </c>
      <c r="F7909" s="20" t="s">
        <v>29</v>
      </c>
      <c r="G7909" s="53">
        <f t="shared" si="124"/>
        <v>0.99597891402498073</v>
      </c>
      <c r="H7909" s="35"/>
      <c r="P7909" s="6"/>
    </row>
    <row r="7910" spans="1:16" ht="14.4" x14ac:dyDescent="0.25">
      <c r="A7910" s="6">
        <v>4121</v>
      </c>
      <c r="B7910" s="6">
        <v>29317</v>
      </c>
      <c r="C7910" s="19">
        <v>40818</v>
      </c>
      <c r="D7910" s="6" t="s">
        <v>28</v>
      </c>
      <c r="E7910" s="6">
        <f>IF((ISBLANK($B$1)),"",Sheet1!Q7922)</f>
        <v>4400</v>
      </c>
      <c r="F7910" s="20" t="s">
        <v>27</v>
      </c>
      <c r="G7910" s="53">
        <f t="shared" si="124"/>
        <v>-0.38497535868456267</v>
      </c>
      <c r="H7910" s="35"/>
      <c r="P7910" s="6"/>
    </row>
    <row r="7911" spans="1:16" ht="14.4" x14ac:dyDescent="0.25">
      <c r="A7911" s="6">
        <v>4122</v>
      </c>
      <c r="B7911" s="6">
        <v>29317</v>
      </c>
      <c r="C7911" s="19">
        <v>40818</v>
      </c>
      <c r="D7911" s="6" t="s">
        <v>28</v>
      </c>
      <c r="E7911" s="6">
        <f>IF((ISBLANK($B$1)),"",Sheet1!Q7923)</f>
        <v>4950</v>
      </c>
      <c r="F7911" s="20" t="s">
        <v>26</v>
      </c>
      <c r="G7911" s="53">
        <f t="shared" si="124"/>
        <v>0.37454949130568621</v>
      </c>
      <c r="H7911" s="35"/>
      <c r="P7911" s="6"/>
    </row>
    <row r="7912" spans="1:16" ht="14.4" x14ac:dyDescent="0.25">
      <c r="A7912" s="6">
        <v>4221</v>
      </c>
      <c r="B7912" s="6">
        <v>29988</v>
      </c>
      <c r="C7912" s="19">
        <v>39976</v>
      </c>
      <c r="D7912" s="6" t="s">
        <v>17</v>
      </c>
      <c r="E7912" s="6">
        <f>IF((ISBLANK($B$1)),"",Sheet1!Q7924)</f>
        <v>4000</v>
      </c>
      <c r="F7912" s="20" t="s">
        <v>27</v>
      </c>
      <c r="G7912" s="53">
        <f t="shared" si="124"/>
        <v>-0.93735706776838001</v>
      </c>
      <c r="H7912" s="35"/>
      <c r="P7912" s="6"/>
    </row>
    <row r="7913" spans="1:16" ht="14.4" x14ac:dyDescent="0.25">
      <c r="A7913" s="6">
        <v>4230</v>
      </c>
      <c r="B7913" s="6">
        <v>30051</v>
      </c>
      <c r="C7913" s="19">
        <v>40988</v>
      </c>
      <c r="D7913" s="6" t="s">
        <v>28</v>
      </c>
      <c r="E7913" s="6">
        <f>IF((ISBLANK($B$1)),"",Sheet1!Q7925)</f>
        <v>5500</v>
      </c>
      <c r="F7913" s="20" t="s">
        <v>26</v>
      </c>
      <c r="G7913" s="53">
        <f t="shared" si="124"/>
        <v>1.1340743412959351</v>
      </c>
      <c r="H7913" s="35"/>
      <c r="P7913" s="6"/>
    </row>
    <row r="7914" spans="1:16" ht="14.4" x14ac:dyDescent="0.25">
      <c r="A7914" s="6">
        <v>4245</v>
      </c>
      <c r="B7914" s="6">
        <v>30211</v>
      </c>
      <c r="C7914" s="19">
        <v>40336</v>
      </c>
      <c r="D7914" s="6" t="s">
        <v>16</v>
      </c>
      <c r="E7914" s="6">
        <f>IF((ISBLANK($B$1)),"",Sheet1!Q7926)</f>
        <v>4350</v>
      </c>
      <c r="F7914" s="20" t="s">
        <v>26</v>
      </c>
      <c r="G7914" s="53">
        <f t="shared" si="124"/>
        <v>-0.45402307232003986</v>
      </c>
      <c r="H7914" s="35"/>
      <c r="P7914" s="6"/>
    </row>
    <row r="7915" spans="1:16" ht="14.4" x14ac:dyDescent="0.25">
      <c r="A7915" s="6">
        <v>4271</v>
      </c>
      <c r="B7915" s="6">
        <v>30401</v>
      </c>
      <c r="C7915" s="19">
        <v>41200</v>
      </c>
      <c r="D7915" s="6" t="s">
        <v>16</v>
      </c>
      <c r="E7915" s="6">
        <f>IF((ISBLANK($B$1)),"",Sheet1!Q7927)</f>
        <v>5350</v>
      </c>
      <c r="F7915" s="20" t="s">
        <v>26</v>
      </c>
      <c r="G7915" s="53">
        <f t="shared" si="124"/>
        <v>0.92693120038950361</v>
      </c>
      <c r="H7915" s="35"/>
      <c r="P7915" s="6"/>
    </row>
    <row r="7916" spans="1:16" ht="14.4" x14ac:dyDescent="0.25">
      <c r="A7916" s="6">
        <v>4316</v>
      </c>
      <c r="B7916" s="6">
        <v>30757</v>
      </c>
      <c r="C7916" s="19">
        <v>40538</v>
      </c>
      <c r="D7916" s="6" t="s">
        <v>16</v>
      </c>
      <c r="E7916" s="6">
        <f>IF((ISBLANK($B$1)),"",Sheet1!Q7928)</f>
        <v>3650</v>
      </c>
      <c r="F7916" s="20" t="s">
        <v>26</v>
      </c>
      <c r="G7916" s="53">
        <f t="shared" si="124"/>
        <v>-1.4206910632167202</v>
      </c>
      <c r="H7916" s="35"/>
      <c r="P7916" s="6"/>
    </row>
    <row r="7917" spans="1:16" ht="14.4" x14ac:dyDescent="0.25">
      <c r="A7917" s="6">
        <v>4317</v>
      </c>
      <c r="B7917" s="6">
        <v>30757</v>
      </c>
      <c r="C7917" s="19">
        <v>40538</v>
      </c>
      <c r="D7917" s="6" t="s">
        <v>16</v>
      </c>
      <c r="E7917" s="6">
        <f>IF((ISBLANK($B$1)),"",Sheet1!Q7929)</f>
        <v>5500</v>
      </c>
      <c r="F7917" s="20" t="s">
        <v>26</v>
      </c>
      <c r="G7917" s="53">
        <f t="shared" si="124"/>
        <v>1.1340743412959351</v>
      </c>
      <c r="H7917" s="35"/>
      <c r="P7917" s="6"/>
    </row>
    <row r="7918" spans="1:16" ht="14.4" x14ac:dyDescent="0.25">
      <c r="A7918" s="6">
        <v>4386</v>
      </c>
      <c r="B7918" s="6">
        <v>31237</v>
      </c>
      <c r="C7918" s="19">
        <v>40753</v>
      </c>
      <c r="D7918" s="6" t="s">
        <v>28</v>
      </c>
      <c r="E7918" s="6">
        <f>IF((ISBLANK($B$1)),"",Sheet1!Q7930)</f>
        <v>4050</v>
      </c>
      <c r="F7918" s="20" t="s">
        <v>26</v>
      </c>
      <c r="G7918" s="53">
        <f t="shared" si="124"/>
        <v>-0.86830935413290289</v>
      </c>
      <c r="H7918" s="35"/>
      <c r="P7918" s="6"/>
    </row>
    <row r="7919" spans="1:16" ht="14.4" x14ac:dyDescent="0.25">
      <c r="A7919" s="6">
        <v>4523</v>
      </c>
      <c r="B7919" s="6">
        <v>32192</v>
      </c>
      <c r="C7919" s="19">
        <v>40957</v>
      </c>
      <c r="D7919" s="6" t="s">
        <v>28</v>
      </c>
      <c r="E7919" s="6">
        <f>IF((ISBLANK($B$1)),"",Sheet1!Q7931)</f>
        <v>3600</v>
      </c>
      <c r="F7919" s="20" t="s">
        <v>27</v>
      </c>
      <c r="G7919" s="53">
        <f t="shared" si="124"/>
        <v>-1.4897387768521975</v>
      </c>
      <c r="H7919" s="35"/>
      <c r="P7919" s="6"/>
    </row>
    <row r="7920" spans="1:16" ht="14.4" x14ac:dyDescent="0.25">
      <c r="A7920" s="6">
        <v>4710</v>
      </c>
      <c r="B7920" s="6">
        <v>33568</v>
      </c>
      <c r="C7920" s="19">
        <v>41111</v>
      </c>
      <c r="D7920" s="6" t="s">
        <v>16</v>
      </c>
      <c r="E7920" s="6">
        <f>IF((ISBLANK($B$1)),"",Sheet1!Q7932)</f>
        <v>3900</v>
      </c>
      <c r="F7920" s="20" t="s">
        <v>29</v>
      </c>
      <c r="G7920" s="53">
        <f t="shared" si="124"/>
        <v>-1.0754524950393345</v>
      </c>
      <c r="H7920" s="35"/>
      <c r="P7920" s="6"/>
    </row>
    <row r="7921" spans="1:16" ht="14.4" x14ac:dyDescent="0.25">
      <c r="A7921" s="6">
        <v>4711</v>
      </c>
      <c r="B7921" s="6">
        <v>33568</v>
      </c>
      <c r="C7921" s="19">
        <v>41111</v>
      </c>
      <c r="D7921" s="6" t="s">
        <v>16</v>
      </c>
      <c r="E7921" s="6">
        <f>IF((ISBLANK($B$1)),"",Sheet1!Q7933)</f>
        <v>4550</v>
      </c>
      <c r="F7921" s="20" t="s">
        <v>26</v>
      </c>
      <c r="G7921" s="53">
        <f t="shared" si="124"/>
        <v>-0.17783221777813119</v>
      </c>
      <c r="H7921" s="35"/>
      <c r="P7921" s="6"/>
    </row>
    <row r="7922" spans="1:16" ht="14.4" x14ac:dyDescent="0.25">
      <c r="A7922" s="6">
        <v>4723</v>
      </c>
      <c r="B7922" s="6">
        <v>33634</v>
      </c>
      <c r="C7922" s="19">
        <v>40421</v>
      </c>
      <c r="D7922" s="6" t="s">
        <v>28</v>
      </c>
      <c r="E7922" s="6">
        <f>IF((ISBLANK($B$1)),"",Sheet1!Q7934)</f>
        <v>5400</v>
      </c>
      <c r="F7922" s="20" t="s">
        <v>26</v>
      </c>
      <c r="G7922" s="53">
        <f t="shared" si="124"/>
        <v>0.99597891402498073</v>
      </c>
      <c r="H7922" s="35"/>
      <c r="P7922" s="6"/>
    </row>
    <row r="7923" spans="1:16" ht="14.4" x14ac:dyDescent="0.25">
      <c r="A7923" s="6">
        <v>4780</v>
      </c>
      <c r="B7923" s="6">
        <v>33925</v>
      </c>
      <c r="C7923" s="19">
        <v>40666</v>
      </c>
      <c r="D7923" s="6" t="s">
        <v>25</v>
      </c>
      <c r="E7923" s="6">
        <f>IF((ISBLANK($B$1)),"",Sheet1!Q7935)</f>
        <v>5750</v>
      </c>
      <c r="F7923" s="20" t="s">
        <v>26</v>
      </c>
      <c r="G7923" s="53">
        <f t="shared" si="124"/>
        <v>1.4793129094733208</v>
      </c>
      <c r="H7923" s="35"/>
      <c r="P7923" s="6"/>
    </row>
    <row r="7924" spans="1:16" ht="14.4" x14ac:dyDescent="0.25">
      <c r="A7924" s="6">
        <v>4830</v>
      </c>
      <c r="B7924" s="6">
        <v>34338</v>
      </c>
      <c r="C7924" s="19">
        <v>40359</v>
      </c>
      <c r="D7924" s="6" t="s">
        <v>25</v>
      </c>
      <c r="E7924" s="6">
        <f>IF((ISBLANK($B$1)),"",Sheet1!Q7936)</f>
        <v>4700</v>
      </c>
      <c r="F7924" s="20" t="s">
        <v>26</v>
      </c>
      <c r="G7924" s="53">
        <f t="shared" si="124"/>
        <v>2.9310923128300338E-2</v>
      </c>
      <c r="H7924" s="35"/>
      <c r="P7924" s="6"/>
    </row>
    <row r="7925" spans="1:16" ht="14.4" x14ac:dyDescent="0.25">
      <c r="A7925" s="6">
        <v>4832</v>
      </c>
      <c r="B7925" s="6">
        <v>34374</v>
      </c>
      <c r="C7925" s="19">
        <v>39994</v>
      </c>
      <c r="D7925" s="6" t="s">
        <v>25</v>
      </c>
      <c r="E7925" s="6">
        <f>IF((ISBLANK($B$1)),"",Sheet1!Q7937)</f>
        <v>5500</v>
      </c>
      <c r="F7925" s="20" t="s">
        <v>27</v>
      </c>
      <c r="G7925" s="53">
        <f t="shared" si="124"/>
        <v>1.1340743412959351</v>
      </c>
      <c r="H7925" s="35"/>
      <c r="P7925" s="6"/>
    </row>
    <row r="7926" spans="1:16" ht="14.4" x14ac:dyDescent="0.25">
      <c r="A7926" s="6">
        <v>4857</v>
      </c>
      <c r="B7926" s="6">
        <v>34565</v>
      </c>
      <c r="C7926" s="19">
        <v>40007</v>
      </c>
      <c r="D7926" s="6" t="s">
        <v>16</v>
      </c>
      <c r="E7926" s="6">
        <f>IF((ISBLANK($B$1)),"",Sheet1!Q7938)</f>
        <v>5750</v>
      </c>
      <c r="F7926" s="20" t="s">
        <v>27</v>
      </c>
      <c r="G7926" s="53">
        <f t="shared" si="124"/>
        <v>1.4793129094733208</v>
      </c>
      <c r="H7926" s="35"/>
      <c r="P7926" s="6"/>
    </row>
    <row r="7927" spans="1:16" ht="14.4" x14ac:dyDescent="0.25">
      <c r="A7927" s="6">
        <v>4909</v>
      </c>
      <c r="B7927" s="6">
        <v>34948</v>
      </c>
      <c r="C7927" s="19">
        <v>40190</v>
      </c>
      <c r="D7927" s="6" t="s">
        <v>30</v>
      </c>
      <c r="E7927" s="6">
        <f>IF((ISBLANK($B$1)),"",Sheet1!Q7939)</f>
        <v>4150</v>
      </c>
      <c r="F7927" s="20" t="s">
        <v>26</v>
      </c>
      <c r="G7927" s="53">
        <f t="shared" si="124"/>
        <v>-0.73021392686194853</v>
      </c>
      <c r="H7927" s="35"/>
      <c r="P7927" s="6"/>
    </row>
    <row r="7928" spans="1:16" ht="14.4" x14ac:dyDescent="0.25">
      <c r="A7928" s="6">
        <v>5003</v>
      </c>
      <c r="B7928" s="6">
        <v>35652</v>
      </c>
      <c r="C7928" s="19">
        <v>40442</v>
      </c>
      <c r="D7928" s="6" t="s">
        <v>25</v>
      </c>
      <c r="E7928" s="6">
        <f>IF((ISBLANK($B$1)),"",Sheet1!Q7940)</f>
        <v>4450</v>
      </c>
      <c r="F7928" s="20" t="s">
        <v>29</v>
      </c>
      <c r="G7928" s="53">
        <f t="shared" si="124"/>
        <v>-0.31592764504908549</v>
      </c>
      <c r="H7928" s="35"/>
      <c r="P7928" s="6"/>
    </row>
    <row r="7929" spans="1:16" ht="14.4" x14ac:dyDescent="0.25">
      <c r="A7929" s="6">
        <v>5055</v>
      </c>
      <c r="B7929" s="6">
        <v>36038</v>
      </c>
      <c r="C7929" s="19">
        <v>41137</v>
      </c>
      <c r="D7929" s="6" t="s">
        <v>17</v>
      </c>
      <c r="E7929" s="6">
        <f>IF((ISBLANK($B$1)),"",Sheet1!Q7941)</f>
        <v>4700</v>
      </c>
      <c r="F7929" s="20" t="s">
        <v>26</v>
      </c>
      <c r="G7929" s="53">
        <f t="shared" si="124"/>
        <v>2.9310923128300338E-2</v>
      </c>
      <c r="H7929" s="35"/>
      <c r="P7929" s="6"/>
    </row>
    <row r="7930" spans="1:16" ht="14.4" x14ac:dyDescent="0.25">
      <c r="A7930" s="6">
        <v>5200</v>
      </c>
      <c r="B7930" s="6">
        <v>36934</v>
      </c>
      <c r="C7930" s="19">
        <v>40169</v>
      </c>
      <c r="D7930" s="6" t="s">
        <v>16</v>
      </c>
      <c r="E7930" s="6">
        <f>IF((ISBLANK($B$1)),"",Sheet1!Q7942)</f>
        <v>3750</v>
      </c>
      <c r="F7930" s="20" t="s">
        <v>27</v>
      </c>
      <c r="G7930" s="53">
        <f t="shared" si="124"/>
        <v>-1.282595635945766</v>
      </c>
      <c r="H7930" s="35"/>
      <c r="P7930" s="6"/>
    </row>
    <row r="7931" spans="1:16" ht="14.4" x14ac:dyDescent="0.25">
      <c r="A7931" s="6">
        <v>5201</v>
      </c>
      <c r="B7931" s="6">
        <v>36934</v>
      </c>
      <c r="C7931" s="19">
        <v>40169</v>
      </c>
      <c r="D7931" s="6" t="s">
        <v>16</v>
      </c>
      <c r="E7931" s="6">
        <f>IF((ISBLANK($B$1)),"",Sheet1!Q7943)</f>
        <v>3500</v>
      </c>
      <c r="F7931" s="20" t="s">
        <v>26</v>
      </c>
      <c r="G7931" s="53">
        <f t="shared" si="124"/>
        <v>-1.6278342041231517</v>
      </c>
      <c r="H7931" s="35"/>
      <c r="P7931" s="6"/>
    </row>
    <row r="7932" spans="1:16" ht="14.4" x14ac:dyDescent="0.25">
      <c r="A7932" s="6">
        <v>5202</v>
      </c>
      <c r="B7932" s="6">
        <v>36934</v>
      </c>
      <c r="C7932" s="19">
        <v>40169</v>
      </c>
      <c r="D7932" s="6" t="s">
        <v>16</v>
      </c>
      <c r="E7932" s="6">
        <f>IF((ISBLANK($B$1)),"",Sheet1!Q7944)</f>
        <v>5650</v>
      </c>
      <c r="F7932" s="20" t="s">
        <v>29</v>
      </c>
      <c r="G7932" s="53">
        <f t="shared" si="124"/>
        <v>1.3412174822023666</v>
      </c>
      <c r="H7932" s="35"/>
      <c r="P7932" s="6"/>
    </row>
    <row r="7933" spans="1:16" ht="14.4" x14ac:dyDescent="0.25">
      <c r="A7933" s="6">
        <v>5259</v>
      </c>
      <c r="B7933" s="6">
        <v>37440</v>
      </c>
      <c r="C7933" s="19">
        <v>40352</v>
      </c>
      <c r="D7933" s="6" t="s">
        <v>28</v>
      </c>
      <c r="E7933" s="6">
        <f>IF((ISBLANK($B$1)),"",Sheet1!Q7945)</f>
        <v>5350</v>
      </c>
      <c r="F7933" s="20" t="s">
        <v>26</v>
      </c>
      <c r="G7933" s="53">
        <f t="shared" si="124"/>
        <v>0.92693120038950361</v>
      </c>
      <c r="H7933" s="35"/>
      <c r="P7933" s="6"/>
    </row>
    <row r="7934" spans="1:16" ht="14.4" x14ac:dyDescent="0.25">
      <c r="A7934" s="6">
        <v>5278</v>
      </c>
      <c r="B7934" s="6">
        <v>37542</v>
      </c>
      <c r="C7934" s="19">
        <v>40014</v>
      </c>
      <c r="D7934" s="6" t="s">
        <v>16</v>
      </c>
      <c r="E7934" s="6">
        <f>IF((ISBLANK($B$1)),"",Sheet1!Q7946)</f>
        <v>4700</v>
      </c>
      <c r="F7934" s="20" t="s">
        <v>27</v>
      </c>
      <c r="G7934" s="53">
        <f t="shared" si="124"/>
        <v>2.9310923128300338E-2</v>
      </c>
      <c r="H7934" s="35"/>
      <c r="P7934" s="6"/>
    </row>
    <row r="7935" spans="1:16" ht="14.4" x14ac:dyDescent="0.25">
      <c r="A7935" s="6">
        <v>5367</v>
      </c>
      <c r="B7935" s="6">
        <v>38146</v>
      </c>
      <c r="C7935" s="19">
        <v>40884</v>
      </c>
      <c r="D7935" s="6" t="s">
        <v>25</v>
      </c>
      <c r="E7935" s="6">
        <f>IF((ISBLANK($B$1)),"",Sheet1!Q7947)</f>
        <v>5650</v>
      </c>
      <c r="F7935" s="20" t="s">
        <v>26</v>
      </c>
      <c r="G7935" s="53">
        <f t="shared" si="124"/>
        <v>1.3412174822023666</v>
      </c>
      <c r="H7935" s="35"/>
      <c r="P7935" s="6"/>
    </row>
    <row r="7936" spans="1:16" ht="14.4" x14ac:dyDescent="0.25">
      <c r="A7936" s="6">
        <v>5370</v>
      </c>
      <c r="B7936" s="6">
        <v>38178</v>
      </c>
      <c r="C7936" s="19">
        <v>41150</v>
      </c>
      <c r="D7936" s="6" t="s">
        <v>16</v>
      </c>
      <c r="E7936" s="6">
        <f>IF((ISBLANK($B$1)),"",Sheet1!Q7948)</f>
        <v>5000</v>
      </c>
      <c r="F7936" s="20" t="s">
        <v>26</v>
      </c>
      <c r="G7936" s="53">
        <f t="shared" si="124"/>
        <v>0.44359720494116334</v>
      </c>
      <c r="H7936" s="35"/>
      <c r="P7936" s="6"/>
    </row>
    <row r="7937" spans="1:16" ht="14.4" x14ac:dyDescent="0.25">
      <c r="A7937" s="6">
        <v>5384</v>
      </c>
      <c r="B7937" s="6">
        <v>38279</v>
      </c>
      <c r="C7937" s="19">
        <v>41028</v>
      </c>
      <c r="D7937" s="6" t="s">
        <v>16</v>
      </c>
      <c r="E7937" s="6">
        <f>IF((ISBLANK($B$1)),"",Sheet1!Q7949)</f>
        <v>3450</v>
      </c>
      <c r="F7937" s="20" t="s">
        <v>29</v>
      </c>
      <c r="G7937" s="53">
        <f t="shared" si="124"/>
        <v>-1.696881917758629</v>
      </c>
      <c r="H7937" s="35"/>
      <c r="P7937" s="6"/>
    </row>
    <row r="7938" spans="1:16" ht="14.4" x14ac:dyDescent="0.25">
      <c r="A7938" s="6">
        <v>5460</v>
      </c>
      <c r="B7938" s="6">
        <v>38787</v>
      </c>
      <c r="C7938" s="19">
        <v>40760</v>
      </c>
      <c r="D7938" s="6" t="s">
        <v>25</v>
      </c>
      <c r="E7938" s="6">
        <f>IF((ISBLANK($B$1)),"",Sheet1!Q7950)</f>
        <v>4500</v>
      </c>
      <c r="F7938" s="20" t="s">
        <v>26</v>
      </c>
      <c r="G7938" s="53">
        <f t="shared" si="124"/>
        <v>-0.24687993141360834</v>
      </c>
      <c r="H7938" s="35"/>
      <c r="P7938" s="6"/>
    </row>
    <row r="7939" spans="1:16" ht="14.4" x14ac:dyDescent="0.25">
      <c r="A7939" s="6">
        <v>5463</v>
      </c>
      <c r="B7939" s="6">
        <v>38791</v>
      </c>
      <c r="C7939" s="19">
        <v>40251</v>
      </c>
      <c r="D7939" s="6" t="s">
        <v>25</v>
      </c>
      <c r="E7939" s="6">
        <f>IF((ISBLANK($B$1)),"",Sheet1!Q7951)</f>
        <v>4600</v>
      </c>
      <c r="F7939" s="20" t="s">
        <v>29</v>
      </c>
      <c r="G7939" s="53">
        <f t="shared" si="124"/>
        <v>-0.108784504142654</v>
      </c>
      <c r="H7939" s="35"/>
      <c r="P7939" s="6"/>
    </row>
    <row r="7940" spans="1:16" ht="14.4" x14ac:dyDescent="0.25">
      <c r="A7940" s="6">
        <v>5464</v>
      </c>
      <c r="B7940" s="6">
        <v>38817</v>
      </c>
      <c r="C7940" s="19">
        <v>41049</v>
      </c>
      <c r="D7940" s="6" t="s">
        <v>28</v>
      </c>
      <c r="E7940" s="6">
        <f>IF((ISBLANK($B$1)),"",Sheet1!Q7952)</f>
        <v>3450</v>
      </c>
      <c r="F7940" s="20" t="s">
        <v>27</v>
      </c>
      <c r="G7940" s="53">
        <f t="shared" si="124"/>
        <v>-1.696881917758629</v>
      </c>
      <c r="H7940" s="35"/>
      <c r="P7940" s="6"/>
    </row>
    <row r="7941" spans="1:16" ht="14.4" x14ac:dyDescent="0.25">
      <c r="A7941" s="6">
        <v>5475</v>
      </c>
      <c r="B7941" s="6">
        <v>38887</v>
      </c>
      <c r="C7941" s="19">
        <v>40110</v>
      </c>
      <c r="D7941" s="6" t="s">
        <v>30</v>
      </c>
      <c r="E7941" s="6">
        <f>IF((ISBLANK($B$1)),"",Sheet1!Q7953)</f>
        <v>4650</v>
      </c>
      <c r="F7941" s="20" t="s">
        <v>26</v>
      </c>
      <c r="G7941" s="53">
        <f t="shared" si="124"/>
        <v>-3.9736790507176829E-2</v>
      </c>
      <c r="H7941" s="35"/>
      <c r="P7941" s="6"/>
    </row>
    <row r="7942" spans="1:16" ht="14.4" x14ac:dyDescent="0.25">
      <c r="A7942" s="6">
        <v>5476</v>
      </c>
      <c r="B7942" s="6">
        <v>38887</v>
      </c>
      <c r="C7942" s="19">
        <v>40110</v>
      </c>
      <c r="D7942" s="6" t="s">
        <v>30</v>
      </c>
      <c r="E7942" s="6">
        <f>IF((ISBLANK($B$1)),"",Sheet1!Q7954)</f>
        <v>5900</v>
      </c>
      <c r="F7942" s="20" t="s">
        <v>26</v>
      </c>
      <c r="G7942" s="53">
        <f t="shared" si="124"/>
        <v>1.6864560503797523</v>
      </c>
      <c r="H7942" s="35"/>
      <c r="P7942" s="6"/>
    </row>
    <row r="7943" spans="1:16" ht="14.4" x14ac:dyDescent="0.25">
      <c r="A7943" s="6">
        <v>5480</v>
      </c>
      <c r="B7943" s="6">
        <v>38914</v>
      </c>
      <c r="C7943" s="19">
        <v>41059</v>
      </c>
      <c r="D7943" s="6" t="s">
        <v>16</v>
      </c>
      <c r="E7943" s="6">
        <f>IF((ISBLANK($B$1)),"",Sheet1!Q7955)</f>
        <v>5550</v>
      </c>
      <c r="F7943" s="20" t="s">
        <v>29</v>
      </c>
      <c r="G7943" s="53">
        <f t="shared" si="124"/>
        <v>1.2031220549314123</v>
      </c>
      <c r="H7943" s="35"/>
      <c r="P7943" s="6"/>
    </row>
    <row r="7944" spans="1:16" ht="14.4" x14ac:dyDescent="0.25">
      <c r="A7944" s="6">
        <v>5509</v>
      </c>
      <c r="B7944" s="6">
        <v>39072</v>
      </c>
      <c r="C7944" s="19">
        <v>39866</v>
      </c>
      <c r="D7944" s="6" t="s">
        <v>17</v>
      </c>
      <c r="E7944" s="6">
        <f>IF((ISBLANK($B$1)),"",Sheet1!Q7956)</f>
        <v>5900</v>
      </c>
      <c r="F7944" s="20" t="s">
        <v>26</v>
      </c>
      <c r="G7944" s="53">
        <f t="shared" ref="G7944:G8007" si="125">STANDARDIZE(E7944,$L$26,$L$35)</f>
        <v>1.6864560503797523</v>
      </c>
      <c r="H7944" s="35"/>
      <c r="P7944" s="6"/>
    </row>
    <row r="7945" spans="1:16" ht="14.4" x14ac:dyDescent="0.25">
      <c r="A7945" s="6">
        <v>5593</v>
      </c>
      <c r="B7945" s="6">
        <v>39652</v>
      </c>
      <c r="C7945" s="19">
        <v>41033</v>
      </c>
      <c r="D7945" s="6" t="s">
        <v>25</v>
      </c>
      <c r="E7945" s="6">
        <f>IF((ISBLANK($B$1)),"",Sheet1!Q7957)</f>
        <v>3650</v>
      </c>
      <c r="F7945" s="20" t="s">
        <v>26</v>
      </c>
      <c r="G7945" s="53">
        <f t="shared" si="125"/>
        <v>-1.4206910632167202</v>
      </c>
      <c r="H7945" s="35"/>
      <c r="P7945" s="6"/>
    </row>
    <row r="7946" spans="1:16" ht="14.4" x14ac:dyDescent="0.25">
      <c r="A7946" s="6">
        <v>5594</v>
      </c>
      <c r="B7946" s="6">
        <v>39652</v>
      </c>
      <c r="C7946" s="19">
        <v>41033</v>
      </c>
      <c r="D7946" s="6" t="s">
        <v>25</v>
      </c>
      <c r="E7946" s="6">
        <f>IF((ISBLANK($B$1)),"",Sheet1!Q7958)</f>
        <v>3600</v>
      </c>
      <c r="F7946" s="20" t="s">
        <v>27</v>
      </c>
      <c r="G7946" s="53">
        <f t="shared" si="125"/>
        <v>-1.4897387768521975</v>
      </c>
      <c r="H7946" s="35"/>
      <c r="P7946" s="6"/>
    </row>
    <row r="7947" spans="1:16" ht="14.4" x14ac:dyDescent="0.25">
      <c r="A7947" s="6">
        <v>5612</v>
      </c>
      <c r="B7947" s="6">
        <v>39750</v>
      </c>
      <c r="C7947" s="19">
        <v>39899</v>
      </c>
      <c r="D7947" s="6" t="s">
        <v>17</v>
      </c>
      <c r="E7947" s="6">
        <f>IF((ISBLANK($B$1)),"",Sheet1!Q7959)</f>
        <v>3750</v>
      </c>
      <c r="F7947" s="20" t="s">
        <v>27</v>
      </c>
      <c r="G7947" s="53">
        <f t="shared" si="125"/>
        <v>-1.282595635945766</v>
      </c>
      <c r="H7947" s="35"/>
      <c r="P7947" s="6"/>
    </row>
    <row r="7948" spans="1:16" ht="14.4" x14ac:dyDescent="0.25">
      <c r="A7948" s="6">
        <v>5654</v>
      </c>
      <c r="B7948" s="6">
        <v>40006</v>
      </c>
      <c r="C7948" s="19">
        <v>39979</v>
      </c>
      <c r="D7948" s="6" t="s">
        <v>28</v>
      </c>
      <c r="E7948" s="6">
        <f>IF((ISBLANK($B$1)),"",Sheet1!Q7960)</f>
        <v>5150</v>
      </c>
      <c r="F7948" s="20" t="s">
        <v>26</v>
      </c>
      <c r="G7948" s="53">
        <f t="shared" si="125"/>
        <v>0.65074034584759488</v>
      </c>
      <c r="H7948" s="35"/>
      <c r="P7948" s="6"/>
    </row>
    <row r="7949" spans="1:16" ht="14.4" x14ac:dyDescent="0.25">
      <c r="A7949" s="6">
        <v>5655</v>
      </c>
      <c r="B7949" s="6">
        <v>40006</v>
      </c>
      <c r="C7949" s="19">
        <v>39979</v>
      </c>
      <c r="D7949" s="6" t="s">
        <v>28</v>
      </c>
      <c r="E7949" s="6">
        <f>IF((ISBLANK($B$1)),"",Sheet1!Q7961)</f>
        <v>5800</v>
      </c>
      <c r="F7949" s="20" t="s">
        <v>26</v>
      </c>
      <c r="G7949" s="53">
        <f t="shared" si="125"/>
        <v>1.5483606231087981</v>
      </c>
      <c r="H7949" s="35"/>
      <c r="P7949" s="6"/>
    </row>
    <row r="7950" spans="1:16" ht="14.4" x14ac:dyDescent="0.25">
      <c r="A7950" s="6">
        <v>5737</v>
      </c>
      <c r="B7950" s="6">
        <v>40770</v>
      </c>
      <c r="C7950" s="19">
        <v>40649</v>
      </c>
      <c r="D7950" s="6" t="s">
        <v>25</v>
      </c>
      <c r="E7950" s="6">
        <f>IF((ISBLANK($B$1)),"",Sheet1!Q7962)</f>
        <v>4350</v>
      </c>
      <c r="F7950" s="20" t="s">
        <v>26</v>
      </c>
      <c r="G7950" s="53">
        <f t="shared" si="125"/>
        <v>-0.45402307232003986</v>
      </c>
      <c r="H7950" s="35"/>
      <c r="P7950" s="6"/>
    </row>
    <row r="7951" spans="1:16" ht="14.4" x14ac:dyDescent="0.25">
      <c r="A7951" s="6">
        <v>5766</v>
      </c>
      <c r="B7951" s="6">
        <v>40933</v>
      </c>
      <c r="C7951" s="19">
        <v>41056</v>
      </c>
      <c r="D7951" s="6" t="s">
        <v>17</v>
      </c>
      <c r="E7951" s="6">
        <f>IF((ISBLANK($B$1)),"",Sheet1!Q7963)</f>
        <v>5250</v>
      </c>
      <c r="F7951" s="20" t="s">
        <v>26</v>
      </c>
      <c r="G7951" s="53">
        <f t="shared" si="125"/>
        <v>0.78883577311854924</v>
      </c>
      <c r="H7951" s="35"/>
      <c r="P7951" s="6"/>
    </row>
    <row r="7952" spans="1:16" ht="14.4" x14ac:dyDescent="0.25">
      <c r="A7952" s="6">
        <v>5975</v>
      </c>
      <c r="B7952" s="6">
        <v>42370</v>
      </c>
      <c r="C7952" s="19">
        <v>40868</v>
      </c>
      <c r="D7952" s="6" t="s">
        <v>17</v>
      </c>
      <c r="E7952" s="6">
        <f>IF((ISBLANK($B$1)),"",Sheet1!Q7964)</f>
        <v>5050</v>
      </c>
      <c r="F7952" s="20" t="s">
        <v>26</v>
      </c>
      <c r="G7952" s="53">
        <f t="shared" si="125"/>
        <v>0.51264491857664052</v>
      </c>
      <c r="H7952" s="35"/>
      <c r="P7952" s="6"/>
    </row>
    <row r="7953" spans="1:16" ht="14.4" x14ac:dyDescent="0.25">
      <c r="A7953" s="6">
        <v>5986</v>
      </c>
      <c r="B7953" s="6">
        <v>42436</v>
      </c>
      <c r="C7953" s="19">
        <v>41130</v>
      </c>
      <c r="D7953" s="6" t="s">
        <v>30</v>
      </c>
      <c r="E7953" s="6">
        <f>IF((ISBLANK($B$1)),"",Sheet1!Q7965)</f>
        <v>4900</v>
      </c>
      <c r="F7953" s="20" t="s">
        <v>27</v>
      </c>
      <c r="G7953" s="53">
        <f t="shared" si="125"/>
        <v>0.30550177767020903</v>
      </c>
      <c r="H7953" s="35"/>
      <c r="P7953" s="6"/>
    </row>
    <row r="7954" spans="1:16" ht="14.4" x14ac:dyDescent="0.25">
      <c r="A7954" s="6">
        <v>6047</v>
      </c>
      <c r="B7954" s="6">
        <v>42855</v>
      </c>
      <c r="C7954" s="19">
        <v>40732</v>
      </c>
      <c r="D7954" s="6" t="s">
        <v>28</v>
      </c>
      <c r="E7954" s="6">
        <f>IF((ISBLANK($B$1)),"",Sheet1!Q7966)</f>
        <v>4250</v>
      </c>
      <c r="F7954" s="20" t="s">
        <v>26</v>
      </c>
      <c r="G7954" s="53">
        <f t="shared" si="125"/>
        <v>-0.59211849959099416</v>
      </c>
      <c r="H7954" s="35"/>
      <c r="P7954" s="6"/>
    </row>
    <row r="7955" spans="1:16" ht="14.4" x14ac:dyDescent="0.25">
      <c r="A7955" s="6">
        <v>6166</v>
      </c>
      <c r="B7955" s="6">
        <v>43686</v>
      </c>
      <c r="C7955" s="19">
        <v>40670</v>
      </c>
      <c r="D7955" s="6" t="s">
        <v>16</v>
      </c>
      <c r="E7955" s="6">
        <f>IF((ISBLANK($B$1)),"",Sheet1!Q7967)</f>
        <v>4200</v>
      </c>
      <c r="F7955" s="20" t="s">
        <v>27</v>
      </c>
      <c r="G7955" s="53">
        <f t="shared" si="125"/>
        <v>-0.6611662132264714</v>
      </c>
      <c r="H7955" s="35"/>
      <c r="P7955" s="6"/>
    </row>
    <row r="7956" spans="1:16" ht="14.4" x14ac:dyDescent="0.25">
      <c r="A7956" s="6">
        <v>6260</v>
      </c>
      <c r="B7956" s="6">
        <v>44295</v>
      </c>
      <c r="C7956" s="19">
        <v>40201</v>
      </c>
      <c r="D7956" s="6" t="s">
        <v>16</v>
      </c>
      <c r="E7956" s="6">
        <f>IF((ISBLANK($B$1)),"",Sheet1!Q7968)</f>
        <v>5750</v>
      </c>
      <c r="F7956" s="20" t="s">
        <v>27</v>
      </c>
      <c r="G7956" s="53">
        <f t="shared" si="125"/>
        <v>1.4793129094733208</v>
      </c>
      <c r="H7956" s="35"/>
      <c r="P7956" s="6"/>
    </row>
    <row r="7957" spans="1:16" ht="14.4" x14ac:dyDescent="0.25">
      <c r="A7957" s="6">
        <v>6333</v>
      </c>
      <c r="B7957" s="6">
        <v>44869</v>
      </c>
      <c r="C7957" s="19">
        <v>41143</v>
      </c>
      <c r="D7957" s="6" t="s">
        <v>16</v>
      </c>
      <c r="E7957" s="6">
        <f>IF((ISBLANK($B$1)),"",Sheet1!Q7969)</f>
        <v>5550</v>
      </c>
      <c r="F7957" s="20" t="s">
        <v>26</v>
      </c>
      <c r="G7957" s="53">
        <f t="shared" si="125"/>
        <v>1.2031220549314123</v>
      </c>
      <c r="H7957" s="35"/>
      <c r="P7957" s="6"/>
    </row>
    <row r="7958" spans="1:16" ht="14.4" x14ac:dyDescent="0.25">
      <c r="A7958" s="6">
        <v>6405</v>
      </c>
      <c r="B7958" s="6">
        <v>45511</v>
      </c>
      <c r="C7958" s="19">
        <v>40411</v>
      </c>
      <c r="D7958" s="6" t="s">
        <v>25</v>
      </c>
      <c r="E7958" s="6">
        <f>IF((ISBLANK($B$1)),"",Sheet1!Q7970)</f>
        <v>4950</v>
      </c>
      <c r="F7958" s="20" t="s">
        <v>29</v>
      </c>
      <c r="G7958" s="53">
        <f t="shared" si="125"/>
        <v>0.37454949130568621</v>
      </c>
      <c r="H7958" s="35"/>
      <c r="P7958" s="6"/>
    </row>
    <row r="7959" spans="1:16" ht="14.4" x14ac:dyDescent="0.25">
      <c r="A7959" s="6">
        <v>6474</v>
      </c>
      <c r="B7959" s="6">
        <v>46053</v>
      </c>
      <c r="C7959" s="19">
        <v>41165</v>
      </c>
      <c r="D7959" s="6" t="s">
        <v>17</v>
      </c>
      <c r="E7959" s="6">
        <f>IF((ISBLANK($B$1)),"",Sheet1!Q7971)</f>
        <v>4650</v>
      </c>
      <c r="F7959" s="20" t="s">
        <v>26</v>
      </c>
      <c r="G7959" s="53">
        <f t="shared" si="125"/>
        <v>-3.9736790507176829E-2</v>
      </c>
      <c r="H7959" s="35"/>
      <c r="P7959" s="6"/>
    </row>
    <row r="7960" spans="1:16" ht="14.4" x14ac:dyDescent="0.25">
      <c r="A7960" s="6">
        <v>6531</v>
      </c>
      <c r="B7960" s="6">
        <v>46469</v>
      </c>
      <c r="C7960" s="19">
        <v>40041</v>
      </c>
      <c r="D7960" s="6" t="s">
        <v>30</v>
      </c>
      <c r="E7960" s="6">
        <f>IF((ISBLANK($B$1)),"",Sheet1!Q7972)</f>
        <v>4250</v>
      </c>
      <c r="F7960" s="20" t="s">
        <v>29</v>
      </c>
      <c r="G7960" s="53">
        <f t="shared" si="125"/>
        <v>-0.59211849959099416</v>
      </c>
      <c r="H7960" s="35"/>
      <c r="P7960" s="6"/>
    </row>
    <row r="7961" spans="1:16" ht="14.4" x14ac:dyDescent="0.25">
      <c r="A7961" s="6">
        <v>6532</v>
      </c>
      <c r="B7961" s="6">
        <v>46469</v>
      </c>
      <c r="C7961" s="19">
        <v>40041</v>
      </c>
      <c r="D7961" s="6" t="s">
        <v>30</v>
      </c>
      <c r="E7961" s="6">
        <f>IF((ISBLANK($B$1)),"",Sheet1!Q7973)</f>
        <v>4300</v>
      </c>
      <c r="F7961" s="20" t="s">
        <v>26</v>
      </c>
      <c r="G7961" s="53">
        <f t="shared" si="125"/>
        <v>-0.52307078595551704</v>
      </c>
      <c r="H7961" s="35"/>
      <c r="P7961" s="6"/>
    </row>
    <row r="7962" spans="1:16" ht="14.4" x14ac:dyDescent="0.25">
      <c r="A7962" s="6">
        <v>6640</v>
      </c>
      <c r="B7962" s="6">
        <v>47207</v>
      </c>
      <c r="C7962" s="19">
        <v>40165</v>
      </c>
      <c r="D7962" s="6" t="s">
        <v>25</v>
      </c>
      <c r="E7962" s="6">
        <f>IF((ISBLANK($B$1)),"",Sheet1!Q7974)</f>
        <v>4150</v>
      </c>
      <c r="F7962" s="20" t="s">
        <v>27</v>
      </c>
      <c r="G7962" s="53">
        <f t="shared" si="125"/>
        <v>-0.73021392686194853</v>
      </c>
      <c r="H7962" s="35"/>
      <c r="P7962" s="6"/>
    </row>
    <row r="7963" spans="1:16" ht="14.4" x14ac:dyDescent="0.25">
      <c r="A7963" s="6">
        <v>6853</v>
      </c>
      <c r="B7963" s="6">
        <v>48801</v>
      </c>
      <c r="C7963" s="19">
        <v>41195</v>
      </c>
      <c r="D7963" s="6" t="s">
        <v>17</v>
      </c>
      <c r="E7963" s="6">
        <f>IF((ISBLANK($B$1)),"",Sheet1!Q7975)</f>
        <v>5550</v>
      </c>
      <c r="F7963" s="20" t="s">
        <v>29</v>
      </c>
      <c r="G7963" s="53">
        <f t="shared" si="125"/>
        <v>1.2031220549314123</v>
      </c>
      <c r="H7963" s="35"/>
      <c r="P7963" s="6"/>
    </row>
    <row r="7964" spans="1:16" ht="14.4" x14ac:dyDescent="0.25">
      <c r="A7964" s="6">
        <v>6994</v>
      </c>
      <c r="B7964" s="6">
        <v>49954</v>
      </c>
      <c r="C7964" s="19">
        <v>40966</v>
      </c>
      <c r="D7964" s="6" t="s">
        <v>30</v>
      </c>
      <c r="E7964" s="6">
        <f>IF((ISBLANK($B$1)),"",Sheet1!Q7976)</f>
        <v>5200</v>
      </c>
      <c r="F7964" s="20" t="s">
        <v>27</v>
      </c>
      <c r="G7964" s="53">
        <f t="shared" si="125"/>
        <v>0.71978805948307201</v>
      </c>
      <c r="H7964" s="35"/>
      <c r="P7964" s="6"/>
    </row>
    <row r="7965" spans="1:16" ht="14.4" x14ac:dyDescent="0.25">
      <c r="A7965" s="6">
        <v>7084</v>
      </c>
      <c r="B7965" s="6">
        <v>50563</v>
      </c>
      <c r="C7965" s="19">
        <v>40740</v>
      </c>
      <c r="D7965" s="6" t="s">
        <v>17</v>
      </c>
      <c r="E7965" s="6">
        <f>IF((ISBLANK($B$1)),"",Sheet1!Q7977)</f>
        <v>3500</v>
      </c>
      <c r="F7965" s="20" t="s">
        <v>26</v>
      </c>
      <c r="G7965" s="53">
        <f t="shared" si="125"/>
        <v>-1.6278342041231517</v>
      </c>
      <c r="H7965" s="35"/>
      <c r="P7965" s="6"/>
    </row>
    <row r="7966" spans="1:16" ht="14.4" x14ac:dyDescent="0.25">
      <c r="A7966" s="6">
        <v>7085</v>
      </c>
      <c r="B7966" s="6">
        <v>50563</v>
      </c>
      <c r="C7966" s="19">
        <v>40740</v>
      </c>
      <c r="D7966" s="6" t="s">
        <v>17</v>
      </c>
      <c r="E7966" s="6">
        <f>IF((ISBLANK($B$1)),"",Sheet1!Q7978)</f>
        <v>4400</v>
      </c>
      <c r="F7966" s="20" t="s">
        <v>27</v>
      </c>
      <c r="G7966" s="53">
        <f t="shared" si="125"/>
        <v>-0.38497535868456267</v>
      </c>
      <c r="H7966" s="35"/>
      <c r="P7966" s="6"/>
    </row>
    <row r="7967" spans="1:16" ht="14.4" x14ac:dyDescent="0.25">
      <c r="A7967" s="6">
        <v>7134</v>
      </c>
      <c r="B7967" s="6">
        <v>50882</v>
      </c>
      <c r="C7967" s="19">
        <v>40421</v>
      </c>
      <c r="D7967" s="6" t="s">
        <v>17</v>
      </c>
      <c r="E7967" s="6">
        <f>IF((ISBLANK($B$1)),"",Sheet1!Q7979)</f>
        <v>5250</v>
      </c>
      <c r="F7967" s="20" t="s">
        <v>26</v>
      </c>
      <c r="G7967" s="53">
        <f t="shared" si="125"/>
        <v>0.78883577311854924</v>
      </c>
      <c r="H7967" s="35"/>
      <c r="P7967" s="6"/>
    </row>
    <row r="7968" spans="1:16" ht="14.4" x14ac:dyDescent="0.25">
      <c r="A7968" s="6">
        <v>7223</v>
      </c>
      <c r="B7968" s="6">
        <v>51553</v>
      </c>
      <c r="C7968" s="19">
        <v>40874</v>
      </c>
      <c r="D7968" s="6" t="s">
        <v>28</v>
      </c>
      <c r="E7968" s="6">
        <f>IF((ISBLANK($B$1)),"",Sheet1!Q7980)</f>
        <v>3550</v>
      </c>
      <c r="F7968" s="20" t="s">
        <v>27</v>
      </c>
      <c r="G7968" s="53">
        <f t="shared" si="125"/>
        <v>-1.5587864904876745</v>
      </c>
      <c r="H7968" s="35"/>
      <c r="P7968" s="6"/>
    </row>
    <row r="7969" spans="1:16" ht="14.4" x14ac:dyDescent="0.25">
      <c r="A7969" s="6">
        <v>7224</v>
      </c>
      <c r="B7969" s="6">
        <v>51553</v>
      </c>
      <c r="C7969" s="19">
        <v>40874</v>
      </c>
      <c r="D7969" s="6" t="s">
        <v>28</v>
      </c>
      <c r="E7969" s="6">
        <f>IF((ISBLANK($B$1)),"",Sheet1!Q7981)</f>
        <v>5100</v>
      </c>
      <c r="F7969" s="20" t="s">
        <v>26</v>
      </c>
      <c r="G7969" s="53">
        <f t="shared" si="125"/>
        <v>0.58169263221211776</v>
      </c>
      <c r="H7969" s="35"/>
      <c r="P7969" s="6"/>
    </row>
    <row r="7970" spans="1:16" ht="14.4" x14ac:dyDescent="0.25">
      <c r="A7970" s="6">
        <v>7225</v>
      </c>
      <c r="B7970" s="6">
        <v>51553</v>
      </c>
      <c r="C7970" s="19">
        <v>40874</v>
      </c>
      <c r="D7970" s="6" t="s">
        <v>28</v>
      </c>
      <c r="E7970" s="6">
        <f>IF((ISBLANK($B$1)),"",Sheet1!Q7982)</f>
        <v>4000</v>
      </c>
      <c r="F7970" s="20" t="s">
        <v>26</v>
      </c>
      <c r="G7970" s="53">
        <f t="shared" si="125"/>
        <v>-0.93735706776838001</v>
      </c>
      <c r="H7970" s="35"/>
      <c r="P7970" s="6"/>
    </row>
    <row r="7971" spans="1:16" ht="14.4" x14ac:dyDescent="0.25">
      <c r="A7971" s="6">
        <v>7226</v>
      </c>
      <c r="B7971" s="6">
        <v>51553</v>
      </c>
      <c r="C7971" s="19">
        <v>40874</v>
      </c>
      <c r="D7971" s="6" t="s">
        <v>28</v>
      </c>
      <c r="E7971" s="6">
        <f>IF((ISBLANK($B$1)),"",Sheet1!Q7983)</f>
        <v>4050</v>
      </c>
      <c r="F7971" s="20" t="s">
        <v>26</v>
      </c>
      <c r="G7971" s="53">
        <f t="shared" si="125"/>
        <v>-0.86830935413290289</v>
      </c>
      <c r="H7971" s="35"/>
      <c r="P7971" s="6"/>
    </row>
    <row r="7972" spans="1:16" ht="14.4" x14ac:dyDescent="0.25">
      <c r="A7972" s="6">
        <v>7327</v>
      </c>
      <c r="B7972" s="6">
        <v>52199</v>
      </c>
      <c r="C7972" s="19">
        <v>40569</v>
      </c>
      <c r="D7972" s="6" t="s">
        <v>16</v>
      </c>
      <c r="E7972" s="6">
        <f>IF((ISBLANK($B$1)),"",Sheet1!Q7984)</f>
        <v>4350</v>
      </c>
      <c r="F7972" s="20" t="s">
        <v>26</v>
      </c>
      <c r="G7972" s="53">
        <f t="shared" si="125"/>
        <v>-0.45402307232003986</v>
      </c>
      <c r="H7972" s="35"/>
      <c r="P7972" s="6"/>
    </row>
    <row r="7973" spans="1:16" ht="14.4" x14ac:dyDescent="0.25">
      <c r="A7973" s="6">
        <v>7341</v>
      </c>
      <c r="B7973" s="6">
        <v>52293</v>
      </c>
      <c r="C7973" s="19">
        <v>40648</v>
      </c>
      <c r="D7973" s="6" t="s">
        <v>17</v>
      </c>
      <c r="E7973" s="6">
        <f>IF((ISBLANK($B$1)),"",Sheet1!Q7985)</f>
        <v>3600</v>
      </c>
      <c r="F7973" s="20" t="s">
        <v>26</v>
      </c>
      <c r="G7973" s="53">
        <f t="shared" si="125"/>
        <v>-1.4897387768521975</v>
      </c>
      <c r="H7973" s="35"/>
      <c r="P7973" s="6"/>
    </row>
    <row r="7974" spans="1:16" ht="14.4" x14ac:dyDescent="0.25">
      <c r="A7974" s="6">
        <v>7407</v>
      </c>
      <c r="B7974" s="6">
        <v>52839</v>
      </c>
      <c r="C7974" s="19">
        <v>40279</v>
      </c>
      <c r="D7974" s="6" t="s">
        <v>17</v>
      </c>
      <c r="E7974" s="6">
        <f>IF((ISBLANK($B$1)),"",Sheet1!Q7986)</f>
        <v>3800</v>
      </c>
      <c r="F7974" s="20" t="s">
        <v>26</v>
      </c>
      <c r="G7974" s="53">
        <f t="shared" si="125"/>
        <v>-1.2135479223102887</v>
      </c>
      <c r="H7974" s="35"/>
      <c r="P7974" s="6"/>
    </row>
    <row r="7975" spans="1:16" ht="14.4" x14ac:dyDescent="0.25">
      <c r="A7975" s="6">
        <v>7408</v>
      </c>
      <c r="B7975" s="6">
        <v>52839</v>
      </c>
      <c r="C7975" s="19">
        <v>40279</v>
      </c>
      <c r="D7975" s="6" t="s">
        <v>17</v>
      </c>
      <c r="E7975" s="6">
        <f>IF((ISBLANK($B$1)),"",Sheet1!Q7987)</f>
        <v>4650</v>
      </c>
      <c r="F7975" s="20" t="s">
        <v>27</v>
      </c>
      <c r="G7975" s="53">
        <f t="shared" si="125"/>
        <v>-3.9736790507176829E-2</v>
      </c>
      <c r="H7975" s="35"/>
      <c r="P7975" s="6"/>
    </row>
    <row r="7976" spans="1:16" ht="14.4" x14ac:dyDescent="0.25">
      <c r="A7976" s="6">
        <v>7484</v>
      </c>
      <c r="B7976" s="6">
        <v>53443</v>
      </c>
      <c r="C7976" s="19">
        <v>40824</v>
      </c>
      <c r="D7976" s="6" t="s">
        <v>30</v>
      </c>
      <c r="E7976" s="6">
        <f>IF((ISBLANK($B$1)),"",Sheet1!Q7988)</f>
        <v>5150</v>
      </c>
      <c r="F7976" s="20" t="s">
        <v>26</v>
      </c>
      <c r="G7976" s="53">
        <f t="shared" si="125"/>
        <v>0.65074034584759488</v>
      </c>
      <c r="H7976" s="35"/>
      <c r="P7976" s="6"/>
    </row>
    <row r="7977" spans="1:16" ht="14.4" x14ac:dyDescent="0.25">
      <c r="A7977" s="6">
        <v>7485</v>
      </c>
      <c r="B7977" s="6">
        <v>53443</v>
      </c>
      <c r="C7977" s="19">
        <v>40824</v>
      </c>
      <c r="D7977" s="6" t="s">
        <v>30</v>
      </c>
      <c r="E7977" s="6">
        <f>IF((ISBLANK($B$1)),"",Sheet1!Q7989)</f>
        <v>3550</v>
      </c>
      <c r="F7977" s="20" t="s">
        <v>26</v>
      </c>
      <c r="G7977" s="53">
        <f t="shared" si="125"/>
        <v>-1.5587864904876745</v>
      </c>
      <c r="H7977" s="35"/>
      <c r="P7977" s="6"/>
    </row>
    <row r="7978" spans="1:16" ht="14.4" x14ac:dyDescent="0.25">
      <c r="A7978" s="6">
        <v>7486</v>
      </c>
      <c r="B7978" s="6">
        <v>53443</v>
      </c>
      <c r="C7978" s="19">
        <v>40824</v>
      </c>
      <c r="D7978" s="6" t="s">
        <v>30</v>
      </c>
      <c r="E7978" s="6">
        <f>IF((ISBLANK($B$1)),"",Sheet1!Q7990)</f>
        <v>4500</v>
      </c>
      <c r="F7978" s="20" t="s">
        <v>26</v>
      </c>
      <c r="G7978" s="53">
        <f t="shared" si="125"/>
        <v>-0.24687993141360834</v>
      </c>
      <c r="H7978" s="35"/>
      <c r="P7978" s="6"/>
    </row>
    <row r="7979" spans="1:16" ht="14.4" x14ac:dyDescent="0.25">
      <c r="A7979" s="6">
        <v>7527</v>
      </c>
      <c r="B7979" s="6">
        <v>53767</v>
      </c>
      <c r="C7979" s="19">
        <v>40781</v>
      </c>
      <c r="D7979" s="6" t="s">
        <v>28</v>
      </c>
      <c r="E7979" s="6">
        <f>IF((ISBLANK($B$1)),"",Sheet1!Q7991)</f>
        <v>5150</v>
      </c>
      <c r="F7979" s="20" t="s">
        <v>26</v>
      </c>
      <c r="G7979" s="53">
        <f t="shared" si="125"/>
        <v>0.65074034584759488</v>
      </c>
      <c r="H7979" s="35"/>
      <c r="P7979" s="6"/>
    </row>
    <row r="7980" spans="1:16" ht="14.4" x14ac:dyDescent="0.25">
      <c r="A7980" s="6">
        <v>7645</v>
      </c>
      <c r="B7980" s="6">
        <v>54787</v>
      </c>
      <c r="C7980" s="19">
        <v>40598</v>
      </c>
      <c r="D7980" s="6" t="s">
        <v>17</v>
      </c>
      <c r="E7980" s="6">
        <f>IF((ISBLANK($B$1)),"",Sheet1!Q7992)</f>
        <v>3750</v>
      </c>
      <c r="F7980" s="20" t="s">
        <v>26</v>
      </c>
      <c r="G7980" s="53">
        <f t="shared" si="125"/>
        <v>-1.282595635945766</v>
      </c>
      <c r="H7980" s="35"/>
      <c r="P7980" s="6"/>
    </row>
    <row r="7981" spans="1:16" ht="14.4" x14ac:dyDescent="0.25">
      <c r="A7981" s="6">
        <v>7671</v>
      </c>
      <c r="B7981" s="6">
        <v>55011</v>
      </c>
      <c r="C7981" s="19">
        <v>40912</v>
      </c>
      <c r="D7981" s="6" t="s">
        <v>30</v>
      </c>
      <c r="E7981" s="6">
        <f>IF((ISBLANK($B$1)),"",Sheet1!Q7993)</f>
        <v>5800</v>
      </c>
      <c r="F7981" s="20" t="s">
        <v>26</v>
      </c>
      <c r="G7981" s="53">
        <f t="shared" si="125"/>
        <v>1.5483606231087981</v>
      </c>
      <c r="H7981" s="35"/>
      <c r="P7981" s="6"/>
    </row>
    <row r="7982" spans="1:16" ht="14.4" x14ac:dyDescent="0.25">
      <c r="A7982" s="6">
        <v>7672</v>
      </c>
      <c r="B7982" s="6">
        <v>55011</v>
      </c>
      <c r="C7982" s="19">
        <v>40912</v>
      </c>
      <c r="D7982" s="6" t="s">
        <v>30</v>
      </c>
      <c r="E7982" s="6">
        <f>IF((ISBLANK($B$1)),"",Sheet1!Q7994)</f>
        <v>4300</v>
      </c>
      <c r="F7982" s="20" t="s">
        <v>26</v>
      </c>
      <c r="G7982" s="53">
        <f t="shared" si="125"/>
        <v>-0.52307078595551704</v>
      </c>
      <c r="H7982" s="35"/>
      <c r="P7982" s="6"/>
    </row>
    <row r="7983" spans="1:16" ht="14.4" x14ac:dyDescent="0.25">
      <c r="A7983" s="6">
        <v>7754</v>
      </c>
      <c r="B7983" s="6">
        <v>55490</v>
      </c>
      <c r="C7983" s="19">
        <v>40133</v>
      </c>
      <c r="D7983" s="6" t="s">
        <v>16</v>
      </c>
      <c r="E7983" s="6">
        <f>IF((ISBLANK($B$1)),"",Sheet1!Q7995)</f>
        <v>3550</v>
      </c>
      <c r="F7983" s="20" t="s">
        <v>29</v>
      </c>
      <c r="G7983" s="53">
        <f t="shared" si="125"/>
        <v>-1.5587864904876745</v>
      </c>
      <c r="H7983" s="35"/>
      <c r="P7983" s="6"/>
    </row>
    <row r="7984" spans="1:16" ht="14.4" x14ac:dyDescent="0.25">
      <c r="A7984" s="6">
        <v>7842</v>
      </c>
      <c r="B7984" s="6">
        <v>56069</v>
      </c>
      <c r="C7984" s="19">
        <v>41196</v>
      </c>
      <c r="D7984" s="6" t="s">
        <v>25</v>
      </c>
      <c r="E7984" s="6">
        <f>IF((ISBLANK($B$1)),"",Sheet1!Q7996)</f>
        <v>3900</v>
      </c>
      <c r="F7984" s="20" t="s">
        <v>26</v>
      </c>
      <c r="G7984" s="53">
        <f t="shared" si="125"/>
        <v>-1.0754524950393345</v>
      </c>
      <c r="H7984" s="35"/>
      <c r="P7984" s="6"/>
    </row>
    <row r="7985" spans="1:16" ht="14.4" x14ac:dyDescent="0.25">
      <c r="A7985" s="6">
        <v>7856</v>
      </c>
      <c r="B7985" s="6">
        <v>56163</v>
      </c>
      <c r="C7985" s="19">
        <v>40036</v>
      </c>
      <c r="D7985" s="6" t="s">
        <v>28</v>
      </c>
      <c r="E7985" s="6">
        <f>IF((ISBLANK($B$1)),"",Sheet1!Q7997)</f>
        <v>3550</v>
      </c>
      <c r="F7985" s="20" t="s">
        <v>26</v>
      </c>
      <c r="G7985" s="53">
        <f t="shared" si="125"/>
        <v>-1.5587864904876745</v>
      </c>
      <c r="H7985" s="35"/>
      <c r="P7985" s="6"/>
    </row>
    <row r="7986" spans="1:16" ht="14.4" x14ac:dyDescent="0.25">
      <c r="A7986" s="6">
        <v>7963</v>
      </c>
      <c r="B7986" s="6">
        <v>56929</v>
      </c>
      <c r="C7986" s="19">
        <v>40812</v>
      </c>
      <c r="D7986" s="6" t="s">
        <v>17</v>
      </c>
      <c r="E7986" s="6">
        <f>IF((ISBLANK($B$1)),"",Sheet1!Q7998)</f>
        <v>4500</v>
      </c>
      <c r="F7986" s="20" t="s">
        <v>27</v>
      </c>
      <c r="G7986" s="53">
        <f t="shared" si="125"/>
        <v>-0.24687993141360834</v>
      </c>
      <c r="H7986" s="35"/>
      <c r="P7986" s="6"/>
    </row>
    <row r="7987" spans="1:16" ht="14.4" x14ac:dyDescent="0.25">
      <c r="A7987" s="6">
        <v>8029</v>
      </c>
      <c r="B7987" s="6">
        <v>57378</v>
      </c>
      <c r="C7987" s="19">
        <v>40175</v>
      </c>
      <c r="D7987" s="6" t="s">
        <v>28</v>
      </c>
      <c r="E7987" s="6">
        <f>IF((ISBLANK($B$1)),"",Sheet1!Q7999)</f>
        <v>3850</v>
      </c>
      <c r="F7987" s="20" t="s">
        <v>27</v>
      </c>
      <c r="G7987" s="53">
        <f t="shared" si="125"/>
        <v>-1.1445002086748115</v>
      </c>
      <c r="H7987" s="35"/>
      <c r="P7987" s="6"/>
    </row>
    <row r="7988" spans="1:16" ht="14.4" x14ac:dyDescent="0.25">
      <c r="A7988" s="6">
        <v>8030</v>
      </c>
      <c r="B7988" s="6">
        <v>57378</v>
      </c>
      <c r="C7988" s="19">
        <v>40175</v>
      </c>
      <c r="D7988" s="6" t="s">
        <v>28</v>
      </c>
      <c r="E7988" s="6">
        <f>IF((ISBLANK($B$1)),"",Sheet1!Q8000)</f>
        <v>3900</v>
      </c>
      <c r="F7988" s="20" t="s">
        <v>26</v>
      </c>
      <c r="G7988" s="53">
        <f t="shared" si="125"/>
        <v>-1.0754524950393345</v>
      </c>
      <c r="H7988" s="35"/>
      <c r="P7988" s="6"/>
    </row>
    <row r="7989" spans="1:16" ht="14.4" x14ac:dyDescent="0.25">
      <c r="A7989" s="6">
        <v>8241</v>
      </c>
      <c r="B7989" s="6">
        <v>58914</v>
      </c>
      <c r="C7989" s="19">
        <v>39912</v>
      </c>
      <c r="D7989" s="6" t="s">
        <v>25</v>
      </c>
      <c r="E7989" s="6">
        <f>IF((ISBLANK($B$1)),"",Sheet1!Q8001)</f>
        <v>5700</v>
      </c>
      <c r="F7989" s="20" t="s">
        <v>27</v>
      </c>
      <c r="G7989" s="53">
        <f t="shared" si="125"/>
        <v>1.4102651958378438</v>
      </c>
      <c r="H7989" s="35"/>
      <c r="P7989" s="6"/>
    </row>
    <row r="7990" spans="1:16" ht="14.4" x14ac:dyDescent="0.25">
      <c r="A7990" s="6">
        <v>8242</v>
      </c>
      <c r="B7990" s="6">
        <v>58914</v>
      </c>
      <c r="C7990" s="19">
        <v>39912</v>
      </c>
      <c r="D7990" s="6" t="s">
        <v>25</v>
      </c>
      <c r="E7990" s="6">
        <f>IF((ISBLANK($B$1)),"",Sheet1!Q8002)</f>
        <v>3950</v>
      </c>
      <c r="F7990" s="20" t="s">
        <v>26</v>
      </c>
      <c r="G7990" s="53">
        <f t="shared" si="125"/>
        <v>-1.0064047814038573</v>
      </c>
      <c r="H7990" s="35"/>
      <c r="P7990" s="6"/>
    </row>
    <row r="7991" spans="1:16" ht="14.4" x14ac:dyDescent="0.25">
      <c r="A7991" s="6">
        <v>8338</v>
      </c>
      <c r="B7991" s="6">
        <v>59586</v>
      </c>
      <c r="C7991" s="19">
        <v>40975</v>
      </c>
      <c r="D7991" s="6" t="s">
        <v>25</v>
      </c>
      <c r="E7991" s="6">
        <f>IF((ISBLANK($B$1)),"",Sheet1!Q8003)</f>
        <v>4650</v>
      </c>
      <c r="F7991" s="20" t="s">
        <v>26</v>
      </c>
      <c r="G7991" s="53">
        <f t="shared" si="125"/>
        <v>-3.9736790507176829E-2</v>
      </c>
      <c r="H7991" s="35"/>
      <c r="P7991" s="6"/>
    </row>
    <row r="7992" spans="1:16" ht="14.4" x14ac:dyDescent="0.25">
      <c r="A7992" s="6">
        <v>64</v>
      </c>
      <c r="B7992" s="6">
        <v>359</v>
      </c>
      <c r="C7992" s="19">
        <v>40165</v>
      </c>
      <c r="D7992" s="6" t="s">
        <v>16</v>
      </c>
      <c r="E7992" s="6">
        <f>IF((ISBLANK($B$1)),"",Sheet1!Q8004)</f>
        <v>4900</v>
      </c>
      <c r="F7992" s="20" t="s">
        <v>29</v>
      </c>
      <c r="G7992" s="53">
        <f t="shared" si="125"/>
        <v>0.30550177767020903</v>
      </c>
      <c r="H7992" s="35"/>
      <c r="P7992" s="6"/>
    </row>
    <row r="7993" spans="1:16" ht="14.4" x14ac:dyDescent="0.25">
      <c r="A7993" s="6">
        <v>129</v>
      </c>
      <c r="B7993" s="6">
        <v>832</v>
      </c>
      <c r="C7993" s="19">
        <v>41017</v>
      </c>
      <c r="D7993" s="6" t="s">
        <v>25</v>
      </c>
      <c r="E7993" s="6">
        <f>IF((ISBLANK($B$1)),"",Sheet1!Q8005)</f>
        <v>3750</v>
      </c>
      <c r="F7993" s="20" t="s">
        <v>26</v>
      </c>
      <c r="G7993" s="53">
        <f t="shared" si="125"/>
        <v>-1.282595635945766</v>
      </c>
      <c r="H7993" s="35"/>
      <c r="P7993" s="6"/>
    </row>
    <row r="7994" spans="1:16" ht="14.4" x14ac:dyDescent="0.25">
      <c r="A7994" s="6">
        <v>210</v>
      </c>
      <c r="B7994" s="6">
        <v>1383</v>
      </c>
      <c r="C7994" s="19">
        <v>40294</v>
      </c>
      <c r="D7994" s="6" t="s">
        <v>17</v>
      </c>
      <c r="E7994" s="6">
        <f>IF((ISBLANK($B$1)),"",Sheet1!Q8006)</f>
        <v>5550</v>
      </c>
      <c r="F7994" s="20" t="s">
        <v>26</v>
      </c>
      <c r="G7994" s="53">
        <f t="shared" si="125"/>
        <v>1.2031220549314123</v>
      </c>
      <c r="H7994" s="35"/>
      <c r="P7994" s="6"/>
    </row>
    <row r="7995" spans="1:16" ht="14.4" x14ac:dyDescent="0.25">
      <c r="A7995" s="6">
        <v>349</v>
      </c>
      <c r="B7995" s="6">
        <v>2433</v>
      </c>
      <c r="C7995" s="19">
        <v>40046</v>
      </c>
      <c r="D7995" s="6" t="s">
        <v>28</v>
      </c>
      <c r="E7995" s="6">
        <f>IF((ISBLANK($B$1)),"",Sheet1!Q8007)</f>
        <v>4100</v>
      </c>
      <c r="F7995" s="20" t="s">
        <v>27</v>
      </c>
      <c r="G7995" s="53">
        <f t="shared" si="125"/>
        <v>-0.79926164049742576</v>
      </c>
      <c r="H7995" s="35"/>
      <c r="P7995" s="6"/>
    </row>
    <row r="7996" spans="1:16" ht="14.4" x14ac:dyDescent="0.25">
      <c r="A7996" s="6">
        <v>388</v>
      </c>
      <c r="B7996" s="6">
        <v>2659</v>
      </c>
      <c r="C7996" s="19">
        <v>40529</v>
      </c>
      <c r="D7996" s="6" t="s">
        <v>28</v>
      </c>
      <c r="E7996" s="6">
        <f>IF((ISBLANK($B$1)),"",Sheet1!Q8008)</f>
        <v>5900</v>
      </c>
      <c r="F7996" s="20" t="s">
        <v>26</v>
      </c>
      <c r="G7996" s="53">
        <f t="shared" si="125"/>
        <v>1.6864560503797523</v>
      </c>
      <c r="H7996" s="35"/>
      <c r="P7996" s="6"/>
    </row>
    <row r="7997" spans="1:16" ht="14.4" x14ac:dyDescent="0.25">
      <c r="A7997" s="6">
        <v>466</v>
      </c>
      <c r="B7997" s="6">
        <v>3172</v>
      </c>
      <c r="C7997" s="19">
        <v>41062</v>
      </c>
      <c r="D7997" s="6" t="s">
        <v>28</v>
      </c>
      <c r="E7997" s="6">
        <f>IF((ISBLANK($B$1)),"",Sheet1!Q8009)</f>
        <v>5050</v>
      </c>
      <c r="F7997" s="20" t="s">
        <v>27</v>
      </c>
      <c r="G7997" s="53">
        <f t="shared" si="125"/>
        <v>0.51264491857664052</v>
      </c>
      <c r="H7997" s="35"/>
      <c r="P7997" s="6"/>
    </row>
    <row r="7998" spans="1:16" ht="14.4" x14ac:dyDescent="0.25">
      <c r="A7998" s="6">
        <v>614</v>
      </c>
      <c r="B7998" s="6">
        <v>4199</v>
      </c>
      <c r="C7998" s="19">
        <v>40951</v>
      </c>
      <c r="D7998" s="6" t="s">
        <v>30</v>
      </c>
      <c r="E7998" s="6">
        <f>IF((ISBLANK($B$1)),"",Sheet1!Q8010)</f>
        <v>5550</v>
      </c>
      <c r="F7998" s="20" t="s">
        <v>29</v>
      </c>
      <c r="G7998" s="53">
        <f t="shared" si="125"/>
        <v>1.2031220549314123</v>
      </c>
      <c r="H7998" s="35"/>
      <c r="P7998" s="6"/>
    </row>
    <row r="7999" spans="1:16" ht="14.4" x14ac:dyDescent="0.25">
      <c r="A7999" s="6">
        <v>744</v>
      </c>
      <c r="B7999" s="6">
        <v>5347</v>
      </c>
      <c r="C7999" s="19">
        <v>40595</v>
      </c>
      <c r="D7999" s="6" t="s">
        <v>16</v>
      </c>
      <c r="E7999" s="6">
        <f>IF((ISBLANK($B$1)),"",Sheet1!Q8011)</f>
        <v>3750</v>
      </c>
      <c r="F7999" s="20" t="s">
        <v>27</v>
      </c>
      <c r="G7999" s="53">
        <f t="shared" si="125"/>
        <v>-1.282595635945766</v>
      </c>
      <c r="H7999" s="35"/>
      <c r="P7999" s="6"/>
    </row>
    <row r="8000" spans="1:16" ht="14.4" x14ac:dyDescent="0.25">
      <c r="A8000" s="6">
        <v>745</v>
      </c>
      <c r="B8000" s="6">
        <v>5347</v>
      </c>
      <c r="C8000" s="19">
        <v>40595</v>
      </c>
      <c r="D8000" s="6" t="s">
        <v>16</v>
      </c>
      <c r="E8000" s="6">
        <f>IF((ISBLANK($B$1)),"",Sheet1!Q8012)</f>
        <v>5350</v>
      </c>
      <c r="F8000" s="20" t="s">
        <v>27</v>
      </c>
      <c r="G8000" s="53">
        <f t="shared" si="125"/>
        <v>0.92693120038950361</v>
      </c>
      <c r="H8000" s="35"/>
      <c r="P8000" s="6"/>
    </row>
    <row r="8001" spans="1:16" ht="14.4" x14ac:dyDescent="0.25">
      <c r="A8001" s="6">
        <v>746</v>
      </c>
      <c r="B8001" s="6">
        <v>5347</v>
      </c>
      <c r="C8001" s="19">
        <v>40595</v>
      </c>
      <c r="D8001" s="6" t="s">
        <v>16</v>
      </c>
      <c r="E8001" s="6">
        <f>IF((ISBLANK($B$1)),"",Sheet1!Q8013)</f>
        <v>3450</v>
      </c>
      <c r="F8001" s="20" t="s">
        <v>27</v>
      </c>
      <c r="G8001" s="53">
        <f t="shared" si="125"/>
        <v>-1.696881917758629</v>
      </c>
      <c r="H8001" s="35"/>
      <c r="P8001" s="6"/>
    </row>
    <row r="8002" spans="1:16" ht="14.4" x14ac:dyDescent="0.25">
      <c r="A8002" s="6">
        <v>803</v>
      </c>
      <c r="B8002" s="6">
        <v>5764</v>
      </c>
      <c r="C8002" s="19">
        <v>40453</v>
      </c>
      <c r="D8002" s="6" t="s">
        <v>28</v>
      </c>
      <c r="E8002" s="6">
        <f>IF((ISBLANK($B$1)),"",Sheet1!Q8014)</f>
        <v>4550</v>
      </c>
      <c r="F8002" s="20" t="s">
        <v>26</v>
      </c>
      <c r="G8002" s="53">
        <f t="shared" si="125"/>
        <v>-0.17783221777813119</v>
      </c>
      <c r="H8002" s="35"/>
      <c r="P8002" s="6"/>
    </row>
    <row r="8003" spans="1:16" ht="14.4" x14ac:dyDescent="0.25">
      <c r="A8003" s="6">
        <v>813</v>
      </c>
      <c r="B8003" s="6">
        <v>5860</v>
      </c>
      <c r="C8003" s="19">
        <v>40958</v>
      </c>
      <c r="D8003" s="6" t="s">
        <v>28</v>
      </c>
      <c r="E8003" s="6">
        <f>IF((ISBLANK($B$1)),"",Sheet1!Q8015)</f>
        <v>4000</v>
      </c>
      <c r="F8003" s="20" t="s">
        <v>26</v>
      </c>
      <c r="G8003" s="53">
        <f t="shared" si="125"/>
        <v>-0.93735706776838001</v>
      </c>
      <c r="H8003" s="35"/>
      <c r="P8003" s="6"/>
    </row>
    <row r="8004" spans="1:16" ht="14.4" x14ac:dyDescent="0.25">
      <c r="A8004" s="6">
        <v>854</v>
      </c>
      <c r="B8004" s="6">
        <v>6117</v>
      </c>
      <c r="C8004" s="19">
        <v>41264</v>
      </c>
      <c r="D8004" s="6" t="s">
        <v>30</v>
      </c>
      <c r="E8004" s="6">
        <f>IF((ISBLANK($B$1)),"",Sheet1!Q8016)</f>
        <v>3750</v>
      </c>
      <c r="F8004" s="20" t="s">
        <v>29</v>
      </c>
      <c r="G8004" s="53">
        <f t="shared" si="125"/>
        <v>-1.282595635945766</v>
      </c>
      <c r="H8004" s="35"/>
      <c r="P8004" s="6"/>
    </row>
    <row r="8005" spans="1:16" ht="14.4" x14ac:dyDescent="0.25">
      <c r="A8005" s="6">
        <v>974</v>
      </c>
      <c r="B8005" s="6">
        <v>7077</v>
      </c>
      <c r="C8005" s="19">
        <v>40898</v>
      </c>
      <c r="D8005" s="6" t="s">
        <v>17</v>
      </c>
      <c r="E8005" s="6">
        <f>IF((ISBLANK($B$1)),"",Sheet1!Q8017)</f>
        <v>4100</v>
      </c>
      <c r="F8005" s="20" t="s">
        <v>26</v>
      </c>
      <c r="G8005" s="53">
        <f t="shared" si="125"/>
        <v>-0.79926164049742576</v>
      </c>
      <c r="H8005" s="35"/>
      <c r="P8005" s="6"/>
    </row>
    <row r="8006" spans="1:16" ht="14.4" x14ac:dyDescent="0.25">
      <c r="A8006" s="6">
        <v>991</v>
      </c>
      <c r="B8006" s="6">
        <v>7142</v>
      </c>
      <c r="C8006" s="19">
        <v>40745</v>
      </c>
      <c r="D8006" s="6" t="s">
        <v>30</v>
      </c>
      <c r="E8006" s="6">
        <f>IF((ISBLANK($B$1)),"",Sheet1!Q8018)</f>
        <v>5200</v>
      </c>
      <c r="F8006" s="20" t="s">
        <v>26</v>
      </c>
      <c r="G8006" s="53">
        <f t="shared" si="125"/>
        <v>0.71978805948307201</v>
      </c>
      <c r="H8006" s="35"/>
      <c r="P8006" s="6"/>
    </row>
    <row r="8007" spans="1:16" ht="14.4" x14ac:dyDescent="0.25">
      <c r="A8007" s="6">
        <v>1011</v>
      </c>
      <c r="B8007" s="6">
        <v>7398</v>
      </c>
      <c r="C8007" s="19">
        <v>39965</v>
      </c>
      <c r="D8007" s="6" t="s">
        <v>28</v>
      </c>
      <c r="E8007" s="6">
        <f>IF((ISBLANK($B$1)),"",Sheet1!Q8019)</f>
        <v>3700</v>
      </c>
      <c r="F8007" s="20" t="s">
        <v>26</v>
      </c>
      <c r="G8007" s="53">
        <f t="shared" si="125"/>
        <v>-1.351643349581243</v>
      </c>
      <c r="H8007" s="35"/>
      <c r="P8007" s="6"/>
    </row>
    <row r="8008" spans="1:16" ht="14.4" x14ac:dyDescent="0.25">
      <c r="A8008" s="6">
        <v>1012</v>
      </c>
      <c r="B8008" s="6">
        <v>7398</v>
      </c>
      <c r="C8008" s="19">
        <v>39965</v>
      </c>
      <c r="D8008" s="6" t="s">
        <v>28</v>
      </c>
      <c r="E8008" s="6">
        <f>IF((ISBLANK($B$1)),"",Sheet1!Q8020)</f>
        <v>5100</v>
      </c>
      <c r="F8008" s="20" t="s">
        <v>26</v>
      </c>
      <c r="G8008" s="53">
        <f t="shared" ref="G8008:G8071" si="126">STANDARDIZE(E8008,$L$26,$L$35)</f>
        <v>0.58169263221211776</v>
      </c>
      <c r="H8008" s="35"/>
      <c r="P8008" s="6"/>
    </row>
    <row r="8009" spans="1:16" ht="14.4" x14ac:dyDescent="0.25">
      <c r="A8009" s="6">
        <v>1018</v>
      </c>
      <c r="B8009" s="6">
        <v>7431</v>
      </c>
      <c r="C8009" s="19">
        <v>39934</v>
      </c>
      <c r="D8009" s="6" t="s">
        <v>16</v>
      </c>
      <c r="E8009" s="6">
        <f>IF((ISBLANK($B$1)),"",Sheet1!Q8021)</f>
        <v>5050</v>
      </c>
      <c r="F8009" s="20" t="s">
        <v>29</v>
      </c>
      <c r="G8009" s="53">
        <f t="shared" si="126"/>
        <v>0.51264491857664052</v>
      </c>
      <c r="H8009" s="35"/>
      <c r="P8009" s="6"/>
    </row>
    <row r="8010" spans="1:16" ht="14.4" x14ac:dyDescent="0.25">
      <c r="A8010" s="6">
        <v>1088</v>
      </c>
      <c r="B8010" s="6">
        <v>8005</v>
      </c>
      <c r="C8010" s="19">
        <v>41004</v>
      </c>
      <c r="D8010" s="6" t="s">
        <v>30</v>
      </c>
      <c r="E8010" s="6">
        <f>IF((ISBLANK($B$1)),"",Sheet1!Q8022)</f>
        <v>4600</v>
      </c>
      <c r="F8010" s="20" t="s">
        <v>26</v>
      </c>
      <c r="G8010" s="53">
        <f t="shared" si="126"/>
        <v>-0.108784504142654</v>
      </c>
      <c r="H8010" s="35"/>
      <c r="P8010" s="6"/>
    </row>
    <row r="8011" spans="1:16" ht="14.4" x14ac:dyDescent="0.25">
      <c r="A8011" s="6">
        <v>1115</v>
      </c>
      <c r="B8011" s="6">
        <v>8165</v>
      </c>
      <c r="C8011" s="19">
        <v>40101</v>
      </c>
      <c r="D8011" s="6" t="s">
        <v>25</v>
      </c>
      <c r="E8011" s="6">
        <f>IF((ISBLANK($B$1)),"",Sheet1!Q8023)</f>
        <v>5150</v>
      </c>
      <c r="F8011" s="20" t="s">
        <v>26</v>
      </c>
      <c r="G8011" s="53">
        <f t="shared" si="126"/>
        <v>0.65074034584759488</v>
      </c>
      <c r="H8011" s="35"/>
      <c r="P8011" s="6"/>
    </row>
    <row r="8012" spans="1:16" ht="14.4" x14ac:dyDescent="0.25">
      <c r="A8012" s="6">
        <v>1213</v>
      </c>
      <c r="B8012" s="6">
        <v>8902</v>
      </c>
      <c r="C8012" s="19">
        <v>40713</v>
      </c>
      <c r="D8012" s="6" t="s">
        <v>17</v>
      </c>
      <c r="E8012" s="6">
        <f>IF((ISBLANK($B$1)),"",Sheet1!Q8024)</f>
        <v>4750</v>
      </c>
      <c r="F8012" s="20" t="s">
        <v>26</v>
      </c>
      <c r="G8012" s="53">
        <f t="shared" si="126"/>
        <v>9.8358636763777513E-2</v>
      </c>
      <c r="H8012" s="35"/>
      <c r="P8012" s="6"/>
    </row>
    <row r="8013" spans="1:16" ht="14.4" x14ac:dyDescent="0.25">
      <c r="A8013" s="6">
        <v>1262</v>
      </c>
      <c r="B8013" s="6">
        <v>9187</v>
      </c>
      <c r="C8013" s="19">
        <v>40046</v>
      </c>
      <c r="D8013" s="6" t="s">
        <v>17</v>
      </c>
      <c r="E8013" s="6">
        <f>IF((ISBLANK($B$1)),"",Sheet1!Q8025)</f>
        <v>5400</v>
      </c>
      <c r="F8013" s="20" t="s">
        <v>26</v>
      </c>
      <c r="G8013" s="53">
        <f t="shared" si="126"/>
        <v>0.99597891402498073</v>
      </c>
      <c r="H8013" s="35"/>
      <c r="P8013" s="6"/>
    </row>
    <row r="8014" spans="1:16" ht="14.4" x14ac:dyDescent="0.25">
      <c r="A8014" s="6">
        <v>1263</v>
      </c>
      <c r="B8014" s="6">
        <v>9187</v>
      </c>
      <c r="C8014" s="19">
        <v>40046</v>
      </c>
      <c r="D8014" s="6" t="s">
        <v>17</v>
      </c>
      <c r="E8014" s="6">
        <f>IF((ISBLANK($B$1)),"",Sheet1!Q8026)</f>
        <v>3800</v>
      </c>
      <c r="F8014" s="20" t="s">
        <v>27</v>
      </c>
      <c r="G8014" s="53">
        <f t="shared" si="126"/>
        <v>-1.2135479223102887</v>
      </c>
      <c r="H8014" s="35"/>
      <c r="P8014" s="6"/>
    </row>
    <row r="8015" spans="1:16" ht="14.4" x14ac:dyDescent="0.25">
      <c r="A8015" s="6">
        <v>1265</v>
      </c>
      <c r="B8015" s="6">
        <v>9219</v>
      </c>
      <c r="C8015" s="19">
        <v>40084</v>
      </c>
      <c r="D8015" s="6" t="s">
        <v>25</v>
      </c>
      <c r="E8015" s="6">
        <f>IF((ISBLANK($B$1)),"",Sheet1!Q8027)</f>
        <v>4600</v>
      </c>
      <c r="F8015" s="20" t="s">
        <v>27</v>
      </c>
      <c r="G8015" s="53">
        <f t="shared" si="126"/>
        <v>-0.108784504142654</v>
      </c>
      <c r="H8015" s="35"/>
      <c r="P8015" s="6"/>
    </row>
    <row r="8016" spans="1:16" ht="14.4" x14ac:dyDescent="0.25">
      <c r="A8016" s="6">
        <v>1266</v>
      </c>
      <c r="B8016" s="6">
        <v>9219</v>
      </c>
      <c r="C8016" s="19">
        <v>40084</v>
      </c>
      <c r="D8016" s="6" t="s">
        <v>25</v>
      </c>
      <c r="E8016" s="6">
        <f>IF((ISBLANK($B$1)),"",Sheet1!Q8028)</f>
        <v>5450</v>
      </c>
      <c r="F8016" s="20" t="s">
        <v>26</v>
      </c>
      <c r="G8016" s="53">
        <f t="shared" si="126"/>
        <v>1.0650266276604579</v>
      </c>
      <c r="H8016" s="35"/>
      <c r="P8016" s="6"/>
    </row>
    <row r="8017" spans="1:16" ht="14.4" x14ac:dyDescent="0.25">
      <c r="A8017" s="6">
        <v>1306</v>
      </c>
      <c r="B8017" s="6">
        <v>9573</v>
      </c>
      <c r="C8017" s="19">
        <v>41073</v>
      </c>
      <c r="D8017" s="6" t="s">
        <v>16</v>
      </c>
      <c r="E8017" s="6">
        <f>IF((ISBLANK($B$1)),"",Sheet1!Q8029)</f>
        <v>4450</v>
      </c>
      <c r="F8017" s="20" t="s">
        <v>26</v>
      </c>
      <c r="G8017" s="53">
        <f t="shared" si="126"/>
        <v>-0.31592764504908549</v>
      </c>
      <c r="H8017" s="35"/>
      <c r="P8017" s="6"/>
    </row>
    <row r="8018" spans="1:16" ht="14.4" x14ac:dyDescent="0.25">
      <c r="A8018" s="6">
        <v>1336</v>
      </c>
      <c r="B8018" s="6">
        <v>9762</v>
      </c>
      <c r="C8018" s="19">
        <v>39816</v>
      </c>
      <c r="D8018" s="6" t="s">
        <v>17</v>
      </c>
      <c r="E8018" s="6">
        <f>IF((ISBLANK($B$1)),"",Sheet1!Q8030)</f>
        <v>4000</v>
      </c>
      <c r="F8018" s="20" t="s">
        <v>29</v>
      </c>
      <c r="G8018" s="53">
        <f t="shared" si="126"/>
        <v>-0.93735706776838001</v>
      </c>
      <c r="H8018" s="35"/>
      <c r="P8018" s="6"/>
    </row>
    <row r="8019" spans="1:16" ht="14.4" x14ac:dyDescent="0.25">
      <c r="A8019" s="6">
        <v>1484</v>
      </c>
      <c r="B8019" s="6">
        <v>10663</v>
      </c>
      <c r="C8019" s="19">
        <v>39956</v>
      </c>
      <c r="D8019" s="6" t="s">
        <v>17</v>
      </c>
      <c r="E8019" s="6">
        <f>IF((ISBLANK($B$1)),"",Sheet1!Q8031)</f>
        <v>5400</v>
      </c>
      <c r="F8019" s="20" t="s">
        <v>26</v>
      </c>
      <c r="G8019" s="53">
        <f t="shared" si="126"/>
        <v>0.99597891402498073</v>
      </c>
      <c r="H8019" s="35"/>
      <c r="P8019" s="6"/>
    </row>
    <row r="8020" spans="1:16" ht="14.4" x14ac:dyDescent="0.25">
      <c r="A8020" s="6">
        <v>1510</v>
      </c>
      <c r="B8020" s="6">
        <v>10917</v>
      </c>
      <c r="C8020" s="19">
        <v>40949</v>
      </c>
      <c r="D8020" s="6" t="s">
        <v>30</v>
      </c>
      <c r="E8020" s="6">
        <f>IF((ISBLANK($B$1)),"",Sheet1!Q8032)</f>
        <v>4100</v>
      </c>
      <c r="F8020" s="20" t="s">
        <v>27</v>
      </c>
      <c r="G8020" s="53">
        <f t="shared" si="126"/>
        <v>-0.79926164049742576</v>
      </c>
      <c r="H8020" s="35"/>
      <c r="P8020" s="6"/>
    </row>
    <row r="8021" spans="1:16" ht="14.4" x14ac:dyDescent="0.25">
      <c r="A8021" s="6">
        <v>1602</v>
      </c>
      <c r="B8021" s="6">
        <v>11648</v>
      </c>
      <c r="C8021" s="19">
        <v>40642</v>
      </c>
      <c r="D8021" s="6" t="s">
        <v>25</v>
      </c>
      <c r="E8021" s="6">
        <f>IF((ISBLANK($B$1)),"",Sheet1!Q8033)</f>
        <v>3450</v>
      </c>
      <c r="F8021" s="20" t="s">
        <v>27</v>
      </c>
      <c r="G8021" s="53">
        <f t="shared" si="126"/>
        <v>-1.696881917758629</v>
      </c>
      <c r="H8021" s="35"/>
      <c r="P8021" s="6"/>
    </row>
    <row r="8022" spans="1:16" ht="14.4" x14ac:dyDescent="0.25">
      <c r="A8022" s="6">
        <v>1603</v>
      </c>
      <c r="B8022" s="6">
        <v>11648</v>
      </c>
      <c r="C8022" s="19">
        <v>40642</v>
      </c>
      <c r="D8022" s="6" t="s">
        <v>25</v>
      </c>
      <c r="E8022" s="6">
        <f>IF((ISBLANK($B$1)),"",Sheet1!Q8034)</f>
        <v>5050</v>
      </c>
      <c r="F8022" s="20" t="s">
        <v>26</v>
      </c>
      <c r="G8022" s="53">
        <f t="shared" si="126"/>
        <v>0.51264491857664052</v>
      </c>
      <c r="H8022" s="35"/>
      <c r="P8022" s="6"/>
    </row>
    <row r="8023" spans="1:16" ht="14.4" x14ac:dyDescent="0.25">
      <c r="A8023" s="6">
        <v>1663</v>
      </c>
      <c r="B8023" s="6">
        <v>11972</v>
      </c>
      <c r="C8023" s="19">
        <v>39816</v>
      </c>
      <c r="D8023" s="6" t="s">
        <v>28</v>
      </c>
      <c r="E8023" s="6">
        <f>IF((ISBLANK($B$1)),"",Sheet1!Q8035)</f>
        <v>3600</v>
      </c>
      <c r="F8023" s="20" t="s">
        <v>27</v>
      </c>
      <c r="G8023" s="53">
        <f t="shared" si="126"/>
        <v>-1.4897387768521975</v>
      </c>
      <c r="H8023" s="35"/>
      <c r="P8023" s="6"/>
    </row>
    <row r="8024" spans="1:16" ht="14.4" x14ac:dyDescent="0.25">
      <c r="A8024" s="6">
        <v>1763</v>
      </c>
      <c r="B8024" s="6">
        <v>12641</v>
      </c>
      <c r="C8024" s="19">
        <v>40596</v>
      </c>
      <c r="D8024" s="6" t="s">
        <v>25</v>
      </c>
      <c r="E8024" s="6">
        <f>IF((ISBLANK($B$1)),"",Sheet1!Q8036)</f>
        <v>3500</v>
      </c>
      <c r="F8024" s="20" t="s">
        <v>26</v>
      </c>
      <c r="G8024" s="53">
        <f t="shared" si="126"/>
        <v>-1.6278342041231517</v>
      </c>
      <c r="H8024" s="35"/>
      <c r="P8024" s="6"/>
    </row>
    <row r="8025" spans="1:16" ht="14.4" x14ac:dyDescent="0.25">
      <c r="A8025" s="6">
        <v>1764</v>
      </c>
      <c r="B8025" s="6">
        <v>12641</v>
      </c>
      <c r="C8025" s="19">
        <v>40596</v>
      </c>
      <c r="D8025" s="6" t="s">
        <v>25</v>
      </c>
      <c r="E8025" s="6">
        <f>IF((ISBLANK($B$1)),"",Sheet1!Q8037)</f>
        <v>4650</v>
      </c>
      <c r="F8025" s="20" t="s">
        <v>26</v>
      </c>
      <c r="G8025" s="53">
        <f t="shared" si="126"/>
        <v>-3.9736790507176829E-2</v>
      </c>
      <c r="H8025" s="35"/>
      <c r="P8025" s="6"/>
    </row>
    <row r="8026" spans="1:16" ht="14.4" x14ac:dyDescent="0.25">
      <c r="A8026" s="6">
        <v>1765</v>
      </c>
      <c r="B8026" s="6">
        <v>12641</v>
      </c>
      <c r="C8026" s="19">
        <v>40596</v>
      </c>
      <c r="D8026" s="6" t="s">
        <v>25</v>
      </c>
      <c r="E8026" s="6">
        <f>IF((ISBLANK($B$1)),"",Sheet1!Q8038)</f>
        <v>4600</v>
      </c>
      <c r="F8026" s="20" t="s">
        <v>26</v>
      </c>
      <c r="G8026" s="53">
        <f t="shared" si="126"/>
        <v>-0.108784504142654</v>
      </c>
      <c r="H8026" s="35"/>
      <c r="P8026" s="6"/>
    </row>
    <row r="8027" spans="1:16" ht="14.4" x14ac:dyDescent="0.25">
      <c r="A8027" s="6">
        <v>1960</v>
      </c>
      <c r="B8027" s="6">
        <v>14018</v>
      </c>
      <c r="C8027" s="19">
        <v>40335</v>
      </c>
      <c r="D8027" s="6" t="s">
        <v>17</v>
      </c>
      <c r="E8027" s="6">
        <f>IF((ISBLANK($B$1)),"",Sheet1!Q8039)</f>
        <v>4900</v>
      </c>
      <c r="F8027" s="20" t="s">
        <v>26</v>
      </c>
      <c r="G8027" s="53">
        <f t="shared" si="126"/>
        <v>0.30550177767020903</v>
      </c>
      <c r="H8027" s="35"/>
      <c r="P8027" s="6"/>
    </row>
    <row r="8028" spans="1:16" ht="14.4" x14ac:dyDescent="0.25">
      <c r="A8028" s="6">
        <v>2086</v>
      </c>
      <c r="B8028" s="6">
        <v>14916</v>
      </c>
      <c r="C8028" s="19">
        <v>39871</v>
      </c>
      <c r="D8028" s="6" t="s">
        <v>25</v>
      </c>
      <c r="E8028" s="6">
        <f>IF((ISBLANK($B$1)),"",Sheet1!Q8040)</f>
        <v>4200</v>
      </c>
      <c r="F8028" s="20" t="s">
        <v>27</v>
      </c>
      <c r="G8028" s="53">
        <f t="shared" si="126"/>
        <v>-0.6611662132264714</v>
      </c>
      <c r="H8028" s="35"/>
      <c r="P8028" s="6"/>
    </row>
    <row r="8029" spans="1:16" ht="14.4" x14ac:dyDescent="0.25">
      <c r="A8029" s="6">
        <v>2142</v>
      </c>
      <c r="B8029" s="6">
        <v>15300</v>
      </c>
      <c r="C8029" s="19">
        <v>40582</v>
      </c>
      <c r="D8029" s="6" t="s">
        <v>17</v>
      </c>
      <c r="E8029" s="6">
        <f>IF((ISBLANK($B$1)),"",Sheet1!Q8041)</f>
        <v>5500</v>
      </c>
      <c r="F8029" s="20" t="s">
        <v>26</v>
      </c>
      <c r="G8029" s="53">
        <f t="shared" si="126"/>
        <v>1.1340743412959351</v>
      </c>
      <c r="H8029" s="35"/>
      <c r="P8029" s="6"/>
    </row>
    <row r="8030" spans="1:16" ht="14.4" x14ac:dyDescent="0.25">
      <c r="A8030" s="6">
        <v>2154</v>
      </c>
      <c r="B8030" s="6">
        <v>15425</v>
      </c>
      <c r="C8030" s="19">
        <v>40749</v>
      </c>
      <c r="D8030" s="6" t="s">
        <v>25</v>
      </c>
      <c r="E8030" s="6">
        <f>IF((ISBLANK($B$1)),"",Sheet1!Q8042)</f>
        <v>4850</v>
      </c>
      <c r="F8030" s="20" t="s">
        <v>27</v>
      </c>
      <c r="G8030" s="53">
        <f t="shared" si="126"/>
        <v>0.23645406403473185</v>
      </c>
      <c r="H8030" s="35"/>
      <c r="P8030" s="6"/>
    </row>
    <row r="8031" spans="1:16" ht="14.4" x14ac:dyDescent="0.25">
      <c r="A8031" s="6">
        <v>2277</v>
      </c>
      <c r="B8031" s="6">
        <v>16390</v>
      </c>
      <c r="C8031" s="19">
        <v>40992</v>
      </c>
      <c r="D8031" s="6" t="s">
        <v>16</v>
      </c>
      <c r="E8031" s="6">
        <f>IF((ISBLANK($B$1)),"",Sheet1!Q8043)</f>
        <v>3800</v>
      </c>
      <c r="F8031" s="20" t="s">
        <v>26</v>
      </c>
      <c r="G8031" s="53">
        <f t="shared" si="126"/>
        <v>-1.2135479223102887</v>
      </c>
      <c r="H8031" s="35"/>
      <c r="P8031" s="6"/>
    </row>
    <row r="8032" spans="1:16" ht="14.4" x14ac:dyDescent="0.25">
      <c r="A8032" s="6">
        <v>2333</v>
      </c>
      <c r="B8032" s="6">
        <v>16805</v>
      </c>
      <c r="C8032" s="19">
        <v>40907</v>
      </c>
      <c r="D8032" s="6" t="s">
        <v>25</v>
      </c>
      <c r="E8032" s="6">
        <f>IF((ISBLANK($B$1)),"",Sheet1!Q8044)</f>
        <v>4850</v>
      </c>
      <c r="F8032" s="20" t="s">
        <v>26</v>
      </c>
      <c r="G8032" s="53">
        <f t="shared" si="126"/>
        <v>0.23645406403473185</v>
      </c>
      <c r="H8032" s="35"/>
      <c r="P8032" s="6"/>
    </row>
    <row r="8033" spans="1:16" ht="14.4" x14ac:dyDescent="0.25">
      <c r="A8033" s="6">
        <v>2334</v>
      </c>
      <c r="B8033" s="6">
        <v>16805</v>
      </c>
      <c r="C8033" s="19">
        <v>40907</v>
      </c>
      <c r="D8033" s="6" t="s">
        <v>25</v>
      </c>
      <c r="E8033" s="6">
        <f>IF((ISBLANK($B$1)),"",Sheet1!Q8045)</f>
        <v>4700</v>
      </c>
      <c r="F8033" s="20" t="s">
        <v>26</v>
      </c>
      <c r="G8033" s="53">
        <f t="shared" si="126"/>
        <v>2.9310923128300338E-2</v>
      </c>
      <c r="H8033" s="35"/>
      <c r="P8033" s="6"/>
    </row>
    <row r="8034" spans="1:16" ht="14.4" x14ac:dyDescent="0.25">
      <c r="A8034" s="6">
        <v>2368</v>
      </c>
      <c r="B8034" s="6">
        <v>17155</v>
      </c>
      <c r="C8034" s="19">
        <v>39841</v>
      </c>
      <c r="D8034" s="6" t="s">
        <v>16</v>
      </c>
      <c r="E8034" s="6">
        <f>IF((ISBLANK($B$1)),"",Sheet1!Q8046)</f>
        <v>5200</v>
      </c>
      <c r="F8034" s="20" t="s">
        <v>26</v>
      </c>
      <c r="G8034" s="53">
        <f t="shared" si="126"/>
        <v>0.71978805948307201</v>
      </c>
      <c r="H8034" s="35"/>
      <c r="P8034" s="6"/>
    </row>
    <row r="8035" spans="1:16" ht="14.4" x14ac:dyDescent="0.25">
      <c r="A8035" s="6">
        <v>2369</v>
      </c>
      <c r="B8035" s="6">
        <v>17155</v>
      </c>
      <c r="C8035" s="19">
        <v>39841</v>
      </c>
      <c r="D8035" s="6" t="s">
        <v>16</v>
      </c>
      <c r="E8035" s="6">
        <f>IF((ISBLANK($B$1)),"",Sheet1!Q8047)</f>
        <v>4950</v>
      </c>
      <c r="F8035" s="20" t="s">
        <v>26</v>
      </c>
      <c r="G8035" s="53">
        <f t="shared" si="126"/>
        <v>0.37454949130568621</v>
      </c>
      <c r="H8035" s="35"/>
      <c r="P8035" s="6"/>
    </row>
    <row r="8036" spans="1:16" ht="14.4" x14ac:dyDescent="0.25">
      <c r="A8036" s="6">
        <v>2554</v>
      </c>
      <c r="B8036" s="6">
        <v>18496</v>
      </c>
      <c r="C8036" s="19">
        <v>39948</v>
      </c>
      <c r="D8036" s="6" t="s">
        <v>17</v>
      </c>
      <c r="E8036" s="6">
        <f>IF((ISBLANK($B$1)),"",Sheet1!Q8048)</f>
        <v>4900</v>
      </c>
      <c r="F8036" s="20" t="s">
        <v>27</v>
      </c>
      <c r="G8036" s="53">
        <f t="shared" si="126"/>
        <v>0.30550177767020903</v>
      </c>
      <c r="H8036" s="35"/>
      <c r="P8036" s="6"/>
    </row>
    <row r="8037" spans="1:16" ht="14.4" x14ac:dyDescent="0.25">
      <c r="A8037" s="6">
        <v>2555</v>
      </c>
      <c r="B8037" s="6">
        <v>18496</v>
      </c>
      <c r="C8037" s="19">
        <v>39948</v>
      </c>
      <c r="D8037" s="6" t="s">
        <v>17</v>
      </c>
      <c r="E8037" s="6">
        <f>IF((ISBLANK($B$1)),"",Sheet1!Q8049)</f>
        <v>4850</v>
      </c>
      <c r="F8037" s="20" t="s">
        <v>26</v>
      </c>
      <c r="G8037" s="53">
        <f t="shared" si="126"/>
        <v>0.23645406403473185</v>
      </c>
      <c r="H8037" s="35"/>
      <c r="P8037" s="6"/>
    </row>
    <row r="8038" spans="1:16" ht="14.4" x14ac:dyDescent="0.25">
      <c r="A8038" s="6">
        <v>2586</v>
      </c>
      <c r="B8038" s="6">
        <v>18688</v>
      </c>
      <c r="C8038" s="19">
        <v>40607</v>
      </c>
      <c r="D8038" s="6" t="s">
        <v>28</v>
      </c>
      <c r="E8038" s="6">
        <f>IF((ISBLANK($B$1)),"",Sheet1!Q8050)</f>
        <v>5850</v>
      </c>
      <c r="F8038" s="20" t="s">
        <v>26</v>
      </c>
      <c r="G8038" s="53">
        <f t="shared" si="126"/>
        <v>1.6174083367442753</v>
      </c>
      <c r="H8038" s="35"/>
      <c r="P8038" s="6"/>
    </row>
    <row r="8039" spans="1:16" ht="14.4" x14ac:dyDescent="0.25">
      <c r="A8039" s="6">
        <v>2587</v>
      </c>
      <c r="B8039" s="6">
        <v>18688</v>
      </c>
      <c r="C8039" s="19">
        <v>40607</v>
      </c>
      <c r="D8039" s="6" t="s">
        <v>28</v>
      </c>
      <c r="E8039" s="6">
        <f>IF((ISBLANK($B$1)),"",Sheet1!Q8051)</f>
        <v>4150</v>
      </c>
      <c r="F8039" s="20" t="s">
        <v>26</v>
      </c>
      <c r="G8039" s="53">
        <f t="shared" si="126"/>
        <v>-0.73021392686194853</v>
      </c>
      <c r="H8039" s="35"/>
      <c r="P8039" s="6"/>
    </row>
    <row r="8040" spans="1:16" ht="14.4" x14ac:dyDescent="0.25">
      <c r="A8040" s="6">
        <v>2588</v>
      </c>
      <c r="B8040" s="6">
        <v>18688</v>
      </c>
      <c r="C8040" s="19">
        <v>40607</v>
      </c>
      <c r="D8040" s="6" t="s">
        <v>28</v>
      </c>
      <c r="E8040" s="6">
        <f>IF((ISBLANK($B$1)),"",Sheet1!Q8052)</f>
        <v>5450</v>
      </c>
      <c r="F8040" s="20" t="s">
        <v>27</v>
      </c>
      <c r="G8040" s="53">
        <f t="shared" si="126"/>
        <v>1.0650266276604579</v>
      </c>
      <c r="H8040" s="35"/>
      <c r="P8040" s="6"/>
    </row>
    <row r="8041" spans="1:16" ht="14.4" x14ac:dyDescent="0.25">
      <c r="A8041" s="6">
        <v>2645</v>
      </c>
      <c r="B8041" s="6">
        <v>19140</v>
      </c>
      <c r="C8041" s="19">
        <v>40086</v>
      </c>
      <c r="D8041" s="6" t="s">
        <v>16</v>
      </c>
      <c r="E8041" s="6">
        <f>IF((ISBLANK($B$1)),"",Sheet1!Q8053)</f>
        <v>5750</v>
      </c>
      <c r="F8041" s="20" t="s">
        <v>26</v>
      </c>
      <c r="G8041" s="53">
        <f t="shared" si="126"/>
        <v>1.4793129094733208</v>
      </c>
      <c r="H8041" s="35"/>
      <c r="P8041" s="6"/>
    </row>
    <row r="8042" spans="1:16" ht="14.4" x14ac:dyDescent="0.25">
      <c r="A8042" s="6">
        <v>2646</v>
      </c>
      <c r="B8042" s="6">
        <v>19140</v>
      </c>
      <c r="C8042" s="19">
        <v>40086</v>
      </c>
      <c r="D8042" s="6" t="s">
        <v>16</v>
      </c>
      <c r="E8042" s="6">
        <f>IF((ISBLANK($B$1)),"",Sheet1!Q8054)</f>
        <v>5900</v>
      </c>
      <c r="F8042" s="20" t="s">
        <v>26</v>
      </c>
      <c r="G8042" s="53">
        <f t="shared" si="126"/>
        <v>1.6864560503797523</v>
      </c>
      <c r="H8042" s="35"/>
      <c r="P8042" s="6"/>
    </row>
    <row r="8043" spans="1:16" ht="14.4" x14ac:dyDescent="0.25">
      <c r="A8043" s="6">
        <v>2652</v>
      </c>
      <c r="B8043" s="6">
        <v>19175</v>
      </c>
      <c r="C8043" s="19">
        <v>40044</v>
      </c>
      <c r="D8043" s="6" t="s">
        <v>25</v>
      </c>
      <c r="E8043" s="6">
        <f>IF((ISBLANK($B$1)),"",Sheet1!Q8055)</f>
        <v>4350</v>
      </c>
      <c r="F8043" s="20" t="s">
        <v>27</v>
      </c>
      <c r="G8043" s="53">
        <f t="shared" si="126"/>
        <v>-0.45402307232003986</v>
      </c>
      <c r="H8043" s="35"/>
      <c r="P8043" s="6"/>
    </row>
    <row r="8044" spans="1:16" ht="14.4" x14ac:dyDescent="0.25">
      <c r="A8044" s="6">
        <v>2688</v>
      </c>
      <c r="B8044" s="6">
        <v>19457</v>
      </c>
      <c r="C8044" s="19">
        <v>40006</v>
      </c>
      <c r="D8044" s="6" t="s">
        <v>17</v>
      </c>
      <c r="E8044" s="6">
        <f>IF((ISBLANK($B$1)),"",Sheet1!Q8056)</f>
        <v>5100</v>
      </c>
      <c r="F8044" s="20" t="s">
        <v>26</v>
      </c>
      <c r="G8044" s="53">
        <f t="shared" si="126"/>
        <v>0.58169263221211776</v>
      </c>
      <c r="H8044" s="35"/>
      <c r="P8044" s="6"/>
    </row>
    <row r="8045" spans="1:16" ht="14.4" x14ac:dyDescent="0.25">
      <c r="A8045" s="6">
        <v>2689</v>
      </c>
      <c r="B8045" s="6">
        <v>19457</v>
      </c>
      <c r="C8045" s="19">
        <v>40006</v>
      </c>
      <c r="D8045" s="6" t="s">
        <v>17</v>
      </c>
      <c r="E8045" s="6">
        <f>IF((ISBLANK($B$1)),"",Sheet1!Q8057)</f>
        <v>5050</v>
      </c>
      <c r="F8045" s="20" t="s">
        <v>27</v>
      </c>
      <c r="G8045" s="53">
        <f t="shared" si="126"/>
        <v>0.51264491857664052</v>
      </c>
      <c r="H8045" s="35"/>
      <c r="P8045" s="6"/>
    </row>
    <row r="8046" spans="1:16" ht="14.4" x14ac:dyDescent="0.25">
      <c r="A8046" s="6">
        <v>2734</v>
      </c>
      <c r="B8046" s="6">
        <v>19745</v>
      </c>
      <c r="C8046" s="19">
        <v>41261</v>
      </c>
      <c r="D8046" s="6" t="s">
        <v>17</v>
      </c>
      <c r="E8046" s="6">
        <f>IF((ISBLANK($B$1)),"",Sheet1!Q8058)</f>
        <v>4650</v>
      </c>
      <c r="F8046" s="20" t="s">
        <v>29</v>
      </c>
      <c r="G8046" s="53">
        <f t="shared" si="126"/>
        <v>-3.9736790507176829E-2</v>
      </c>
      <c r="H8046" s="35"/>
      <c r="P8046" s="6"/>
    </row>
    <row r="8047" spans="1:16" ht="14.4" x14ac:dyDescent="0.25">
      <c r="A8047" s="6">
        <v>2735</v>
      </c>
      <c r="B8047" s="6">
        <v>19745</v>
      </c>
      <c r="C8047" s="19">
        <v>41261</v>
      </c>
      <c r="D8047" s="6" t="s">
        <v>17</v>
      </c>
      <c r="E8047" s="6">
        <f>IF((ISBLANK($B$1)),"",Sheet1!Q8059)</f>
        <v>4850</v>
      </c>
      <c r="F8047" s="20" t="s">
        <v>27</v>
      </c>
      <c r="G8047" s="53">
        <f t="shared" si="126"/>
        <v>0.23645406403473185</v>
      </c>
      <c r="H8047" s="35"/>
      <c r="P8047" s="6"/>
    </row>
    <row r="8048" spans="1:16" ht="14.4" x14ac:dyDescent="0.25">
      <c r="A8048" s="6">
        <v>2736</v>
      </c>
      <c r="B8048" s="6">
        <v>19745</v>
      </c>
      <c r="C8048" s="19">
        <v>41261</v>
      </c>
      <c r="D8048" s="6" t="s">
        <v>17</v>
      </c>
      <c r="E8048" s="6">
        <f>IF((ISBLANK($B$1)),"",Sheet1!Q8060)</f>
        <v>3500</v>
      </c>
      <c r="F8048" s="20" t="s">
        <v>27</v>
      </c>
      <c r="G8048" s="53">
        <f t="shared" si="126"/>
        <v>-1.6278342041231517</v>
      </c>
      <c r="H8048" s="35"/>
      <c r="P8048" s="6"/>
    </row>
    <row r="8049" spans="1:16" ht="14.4" x14ac:dyDescent="0.25">
      <c r="A8049" s="6">
        <v>2737</v>
      </c>
      <c r="B8049" s="6">
        <v>19745</v>
      </c>
      <c r="C8049" s="19">
        <v>41261</v>
      </c>
      <c r="D8049" s="6" t="s">
        <v>17</v>
      </c>
      <c r="E8049" s="6">
        <f>IF((ISBLANK($B$1)),"",Sheet1!Q8061)</f>
        <v>5900</v>
      </c>
      <c r="F8049" s="20" t="s">
        <v>26</v>
      </c>
      <c r="G8049" s="53">
        <f t="shared" si="126"/>
        <v>1.6864560503797523</v>
      </c>
      <c r="H8049" s="35"/>
      <c r="P8049" s="6"/>
    </row>
    <row r="8050" spans="1:16" ht="14.4" x14ac:dyDescent="0.25">
      <c r="A8050" s="6">
        <v>2878</v>
      </c>
      <c r="B8050" s="6">
        <v>20741</v>
      </c>
      <c r="C8050" s="19">
        <v>40481</v>
      </c>
      <c r="D8050" s="6" t="s">
        <v>25</v>
      </c>
      <c r="E8050" s="6">
        <f>IF((ISBLANK($B$1)),"",Sheet1!Q8062)</f>
        <v>5550</v>
      </c>
      <c r="F8050" s="20" t="s">
        <v>26</v>
      </c>
      <c r="G8050" s="53">
        <f t="shared" si="126"/>
        <v>1.2031220549314123</v>
      </c>
      <c r="H8050" s="35"/>
      <c r="P8050" s="6"/>
    </row>
    <row r="8051" spans="1:16" ht="14.4" x14ac:dyDescent="0.25">
      <c r="A8051" s="6">
        <v>3321</v>
      </c>
      <c r="B8051" s="6">
        <v>23746</v>
      </c>
      <c r="C8051" s="19">
        <v>40527</v>
      </c>
      <c r="D8051" s="6" t="s">
        <v>17</v>
      </c>
      <c r="E8051" s="6">
        <f>IF((ISBLANK($B$1)),"",Sheet1!Q8063)</f>
        <v>3900</v>
      </c>
      <c r="F8051" s="20" t="s">
        <v>27</v>
      </c>
      <c r="G8051" s="53">
        <f t="shared" si="126"/>
        <v>-1.0754524950393345</v>
      </c>
      <c r="H8051" s="35"/>
      <c r="P8051" s="6"/>
    </row>
    <row r="8052" spans="1:16" ht="14.4" x14ac:dyDescent="0.25">
      <c r="A8052" s="6">
        <v>3469</v>
      </c>
      <c r="B8052" s="6">
        <v>24705</v>
      </c>
      <c r="C8052" s="19">
        <v>40801</v>
      </c>
      <c r="D8052" s="6" t="s">
        <v>30</v>
      </c>
      <c r="E8052" s="6">
        <f>IF((ISBLANK($B$1)),"",Sheet1!Q8064)</f>
        <v>5100</v>
      </c>
      <c r="F8052" s="20" t="s">
        <v>26</v>
      </c>
      <c r="G8052" s="53">
        <f t="shared" si="126"/>
        <v>0.58169263221211776</v>
      </c>
      <c r="H8052" s="35"/>
      <c r="P8052" s="6"/>
    </row>
    <row r="8053" spans="1:16" ht="14.4" x14ac:dyDescent="0.25">
      <c r="A8053" s="6">
        <v>3470</v>
      </c>
      <c r="B8053" s="6">
        <v>24705</v>
      </c>
      <c r="C8053" s="19">
        <v>40801</v>
      </c>
      <c r="D8053" s="6" t="s">
        <v>30</v>
      </c>
      <c r="E8053" s="6">
        <f>IF((ISBLANK($B$1)),"",Sheet1!Q8065)</f>
        <v>4150</v>
      </c>
      <c r="F8053" s="20" t="s">
        <v>27</v>
      </c>
      <c r="G8053" s="53">
        <f t="shared" si="126"/>
        <v>-0.73021392686194853</v>
      </c>
      <c r="H8053" s="35"/>
      <c r="P8053" s="6"/>
    </row>
    <row r="8054" spans="1:16" ht="14.4" x14ac:dyDescent="0.25">
      <c r="A8054" s="6">
        <v>3512</v>
      </c>
      <c r="B8054" s="6">
        <v>25028</v>
      </c>
      <c r="C8054" s="19">
        <v>40548</v>
      </c>
      <c r="D8054" s="6" t="s">
        <v>30</v>
      </c>
      <c r="E8054" s="6">
        <f>IF((ISBLANK($B$1)),"",Sheet1!Q8066)</f>
        <v>3650</v>
      </c>
      <c r="F8054" s="20" t="s">
        <v>29</v>
      </c>
      <c r="G8054" s="53">
        <f t="shared" si="126"/>
        <v>-1.4206910632167202</v>
      </c>
      <c r="H8054" s="35"/>
      <c r="P8054" s="6"/>
    </row>
    <row r="8055" spans="1:16" ht="14.4" x14ac:dyDescent="0.25">
      <c r="A8055" s="6">
        <v>3513</v>
      </c>
      <c r="B8055" s="6">
        <v>25028</v>
      </c>
      <c r="C8055" s="19">
        <v>40548</v>
      </c>
      <c r="D8055" s="6" t="s">
        <v>30</v>
      </c>
      <c r="E8055" s="6">
        <f>IF((ISBLANK($B$1)),"",Sheet1!Q8067)</f>
        <v>4100</v>
      </c>
      <c r="F8055" s="20" t="s">
        <v>26</v>
      </c>
      <c r="G8055" s="53">
        <f t="shared" si="126"/>
        <v>-0.79926164049742576</v>
      </c>
      <c r="H8055" s="35"/>
      <c r="P8055" s="6"/>
    </row>
    <row r="8056" spans="1:16" ht="14.4" x14ac:dyDescent="0.25">
      <c r="A8056" s="6">
        <v>3522</v>
      </c>
      <c r="B8056" s="6">
        <v>25063</v>
      </c>
      <c r="C8056" s="19">
        <v>39993</v>
      </c>
      <c r="D8056" s="6" t="s">
        <v>28</v>
      </c>
      <c r="E8056" s="6">
        <f>IF((ISBLANK($B$1)),"",Sheet1!Q8068)</f>
        <v>4600</v>
      </c>
      <c r="F8056" s="20" t="s">
        <v>27</v>
      </c>
      <c r="G8056" s="53">
        <f t="shared" si="126"/>
        <v>-0.108784504142654</v>
      </c>
      <c r="H8056" s="35"/>
      <c r="P8056" s="6"/>
    </row>
    <row r="8057" spans="1:16" ht="14.4" x14ac:dyDescent="0.25">
      <c r="A8057" s="6">
        <v>3562</v>
      </c>
      <c r="B8057" s="6">
        <v>25412</v>
      </c>
      <c r="C8057" s="19">
        <v>40700</v>
      </c>
      <c r="D8057" s="6" t="s">
        <v>28</v>
      </c>
      <c r="E8057" s="6">
        <f>IF((ISBLANK($B$1)),"",Sheet1!Q8069)</f>
        <v>4300</v>
      </c>
      <c r="F8057" s="20" t="s">
        <v>26</v>
      </c>
      <c r="G8057" s="53">
        <f t="shared" si="126"/>
        <v>-0.52307078595551704</v>
      </c>
      <c r="H8057" s="35"/>
      <c r="P8057" s="6"/>
    </row>
    <row r="8058" spans="1:16" ht="14.4" x14ac:dyDescent="0.25">
      <c r="A8058" s="6">
        <v>3723</v>
      </c>
      <c r="B8058" s="6">
        <v>26627</v>
      </c>
      <c r="C8058" s="19">
        <v>40116</v>
      </c>
      <c r="D8058" s="6" t="s">
        <v>16</v>
      </c>
      <c r="E8058" s="6">
        <f>IF((ISBLANK($B$1)),"",Sheet1!Q8070)</f>
        <v>4650</v>
      </c>
      <c r="F8058" s="20" t="s">
        <v>26</v>
      </c>
      <c r="G8058" s="53">
        <f t="shared" si="126"/>
        <v>-3.9736790507176829E-2</v>
      </c>
      <c r="H8058" s="35"/>
      <c r="P8058" s="6"/>
    </row>
    <row r="8059" spans="1:16" ht="14.4" x14ac:dyDescent="0.25">
      <c r="A8059" s="6">
        <v>3773</v>
      </c>
      <c r="B8059" s="6">
        <v>26947</v>
      </c>
      <c r="C8059" s="19">
        <v>40333</v>
      </c>
      <c r="D8059" s="6" t="s">
        <v>17</v>
      </c>
      <c r="E8059" s="6">
        <f>IF((ISBLANK($B$1)),"",Sheet1!Q8071)</f>
        <v>3600</v>
      </c>
      <c r="F8059" s="20" t="s">
        <v>29</v>
      </c>
      <c r="G8059" s="53">
        <f t="shared" si="126"/>
        <v>-1.4897387768521975</v>
      </c>
      <c r="H8059" s="35"/>
      <c r="P8059" s="6"/>
    </row>
    <row r="8060" spans="1:16" ht="14.4" x14ac:dyDescent="0.25">
      <c r="A8060" s="6">
        <v>3810</v>
      </c>
      <c r="B8060" s="6">
        <v>27138</v>
      </c>
      <c r="C8060" s="19">
        <v>41059</v>
      </c>
      <c r="D8060" s="6" t="s">
        <v>17</v>
      </c>
      <c r="E8060" s="6">
        <f>IF((ISBLANK($B$1)),"",Sheet1!Q8072)</f>
        <v>4950</v>
      </c>
      <c r="F8060" s="20" t="s">
        <v>29</v>
      </c>
      <c r="G8060" s="53">
        <f t="shared" si="126"/>
        <v>0.37454949130568621</v>
      </c>
      <c r="H8060" s="35"/>
      <c r="P8060" s="6"/>
    </row>
    <row r="8061" spans="1:16" ht="14.4" x14ac:dyDescent="0.25">
      <c r="A8061" s="6">
        <v>3811</v>
      </c>
      <c r="B8061" s="6">
        <v>27138</v>
      </c>
      <c r="C8061" s="19">
        <v>41059</v>
      </c>
      <c r="D8061" s="6" t="s">
        <v>17</v>
      </c>
      <c r="E8061" s="6">
        <f>IF((ISBLANK($B$1)),"",Sheet1!Q8073)</f>
        <v>5250</v>
      </c>
      <c r="F8061" s="20" t="s">
        <v>27</v>
      </c>
      <c r="G8061" s="53">
        <f t="shared" si="126"/>
        <v>0.78883577311854924</v>
      </c>
      <c r="H8061" s="35"/>
      <c r="P8061" s="6"/>
    </row>
    <row r="8062" spans="1:16" ht="14.4" x14ac:dyDescent="0.25">
      <c r="A8062" s="6">
        <v>3919</v>
      </c>
      <c r="B8062" s="6">
        <v>27939</v>
      </c>
      <c r="C8062" s="19">
        <v>41009</v>
      </c>
      <c r="D8062" s="6" t="s">
        <v>16</v>
      </c>
      <c r="E8062" s="6">
        <f>IF((ISBLANK($B$1)),"",Sheet1!Q8074)</f>
        <v>3800</v>
      </c>
      <c r="F8062" s="20" t="s">
        <v>26</v>
      </c>
      <c r="G8062" s="53">
        <f t="shared" si="126"/>
        <v>-1.2135479223102887</v>
      </c>
      <c r="H8062" s="35"/>
      <c r="P8062" s="6"/>
    </row>
    <row r="8063" spans="1:16" ht="14.4" x14ac:dyDescent="0.25">
      <c r="A8063" s="6">
        <v>3999</v>
      </c>
      <c r="B8063" s="6">
        <v>28544</v>
      </c>
      <c r="C8063" s="19">
        <v>41149</v>
      </c>
      <c r="D8063" s="6" t="s">
        <v>30</v>
      </c>
      <c r="E8063" s="6">
        <f>IF((ISBLANK($B$1)),"",Sheet1!Q8075)</f>
        <v>4600</v>
      </c>
      <c r="F8063" s="20" t="s">
        <v>26</v>
      </c>
      <c r="G8063" s="53">
        <f t="shared" si="126"/>
        <v>-0.108784504142654</v>
      </c>
      <c r="H8063" s="35"/>
      <c r="P8063" s="6"/>
    </row>
    <row r="8064" spans="1:16" ht="14.4" x14ac:dyDescent="0.25">
      <c r="A8064" s="6">
        <v>4262</v>
      </c>
      <c r="B8064" s="6">
        <v>30343</v>
      </c>
      <c r="C8064" s="19">
        <v>41050</v>
      </c>
      <c r="D8064" s="6" t="s">
        <v>30</v>
      </c>
      <c r="E8064" s="6">
        <f>IF((ISBLANK($B$1)),"",Sheet1!Q8076)</f>
        <v>5800</v>
      </c>
      <c r="F8064" s="20" t="s">
        <v>27</v>
      </c>
      <c r="G8064" s="53">
        <f t="shared" si="126"/>
        <v>1.5483606231087981</v>
      </c>
      <c r="H8064" s="35"/>
      <c r="P8064" s="6"/>
    </row>
    <row r="8065" spans="1:16" ht="14.4" x14ac:dyDescent="0.25">
      <c r="A8065" s="6">
        <v>4263</v>
      </c>
      <c r="B8065" s="6">
        <v>30343</v>
      </c>
      <c r="C8065" s="19">
        <v>41050</v>
      </c>
      <c r="D8065" s="6" t="s">
        <v>30</v>
      </c>
      <c r="E8065" s="6">
        <f>IF((ISBLANK($B$1)),"",Sheet1!Q8077)</f>
        <v>4800</v>
      </c>
      <c r="F8065" s="20" t="s">
        <v>26</v>
      </c>
      <c r="G8065" s="53">
        <f t="shared" si="126"/>
        <v>0.16740635039925467</v>
      </c>
      <c r="H8065" s="35"/>
      <c r="P8065" s="6"/>
    </row>
    <row r="8066" spans="1:16" ht="14.4" x14ac:dyDescent="0.25">
      <c r="A8066" s="6">
        <v>4272</v>
      </c>
      <c r="B8066" s="6">
        <v>30403</v>
      </c>
      <c r="C8066" s="19">
        <v>41100</v>
      </c>
      <c r="D8066" s="6" t="s">
        <v>17</v>
      </c>
      <c r="E8066" s="6">
        <f>IF((ISBLANK($B$1)),"",Sheet1!Q8078)</f>
        <v>5450</v>
      </c>
      <c r="F8066" s="20" t="s">
        <v>26</v>
      </c>
      <c r="G8066" s="53">
        <f t="shared" si="126"/>
        <v>1.0650266276604579</v>
      </c>
      <c r="H8066" s="35"/>
      <c r="P8066" s="6"/>
    </row>
    <row r="8067" spans="1:16" ht="14.4" x14ac:dyDescent="0.25">
      <c r="A8067" s="6">
        <v>4273</v>
      </c>
      <c r="B8067" s="6">
        <v>30403</v>
      </c>
      <c r="C8067" s="19">
        <v>41100</v>
      </c>
      <c r="D8067" s="6" t="s">
        <v>17</v>
      </c>
      <c r="E8067" s="6">
        <f>IF((ISBLANK($B$1)),"",Sheet1!Q8079)</f>
        <v>4600</v>
      </c>
      <c r="F8067" s="20" t="s">
        <v>26</v>
      </c>
      <c r="G8067" s="53">
        <f t="shared" si="126"/>
        <v>-0.108784504142654</v>
      </c>
      <c r="H8067" s="35"/>
      <c r="P8067" s="6"/>
    </row>
    <row r="8068" spans="1:16" ht="14.4" x14ac:dyDescent="0.25">
      <c r="A8068" s="6">
        <v>4466</v>
      </c>
      <c r="B8068" s="6">
        <v>31844</v>
      </c>
      <c r="C8068" s="19">
        <v>40726</v>
      </c>
      <c r="D8068" s="6" t="s">
        <v>28</v>
      </c>
      <c r="E8068" s="6">
        <f>IF((ISBLANK($B$1)),"",Sheet1!Q8080)</f>
        <v>4100</v>
      </c>
      <c r="F8068" s="20" t="s">
        <v>29</v>
      </c>
      <c r="G8068" s="53">
        <f t="shared" si="126"/>
        <v>-0.79926164049742576</v>
      </c>
      <c r="H8068" s="35"/>
      <c r="P8068" s="6"/>
    </row>
    <row r="8069" spans="1:16" ht="14.4" x14ac:dyDescent="0.25">
      <c r="A8069" s="6">
        <v>4558</v>
      </c>
      <c r="B8069" s="6">
        <v>32449</v>
      </c>
      <c r="C8069" s="19">
        <v>41252</v>
      </c>
      <c r="D8069" s="6" t="s">
        <v>30</v>
      </c>
      <c r="E8069" s="6">
        <f>IF((ISBLANK($B$1)),"",Sheet1!Q8081)</f>
        <v>5350</v>
      </c>
      <c r="F8069" s="20" t="s">
        <v>26</v>
      </c>
      <c r="G8069" s="53">
        <f t="shared" si="126"/>
        <v>0.92693120038950361</v>
      </c>
      <c r="H8069" s="35"/>
      <c r="P8069" s="6"/>
    </row>
    <row r="8070" spans="1:16" ht="14.4" x14ac:dyDescent="0.25">
      <c r="A8070" s="6">
        <v>4559</v>
      </c>
      <c r="B8070" s="6">
        <v>32449</v>
      </c>
      <c r="C8070" s="19">
        <v>41252</v>
      </c>
      <c r="D8070" s="6" t="s">
        <v>30</v>
      </c>
      <c r="E8070" s="6">
        <f>IF((ISBLANK($B$1)),"",Sheet1!Q8082)</f>
        <v>4000</v>
      </c>
      <c r="F8070" s="20" t="s">
        <v>29</v>
      </c>
      <c r="G8070" s="53">
        <f t="shared" si="126"/>
        <v>-0.93735706776838001</v>
      </c>
      <c r="H8070" s="35"/>
      <c r="P8070" s="6"/>
    </row>
    <row r="8071" spans="1:16" ht="14.4" x14ac:dyDescent="0.25">
      <c r="A8071" s="6">
        <v>4560</v>
      </c>
      <c r="B8071" s="6">
        <v>32449</v>
      </c>
      <c r="C8071" s="19">
        <v>41252</v>
      </c>
      <c r="D8071" s="6" t="s">
        <v>30</v>
      </c>
      <c r="E8071" s="6">
        <f>IF((ISBLANK($B$1)),"",Sheet1!Q8083)</f>
        <v>5600</v>
      </c>
      <c r="F8071" s="20" t="s">
        <v>27</v>
      </c>
      <c r="G8071" s="53">
        <f t="shared" si="126"/>
        <v>1.2721697685668893</v>
      </c>
      <c r="H8071" s="35"/>
      <c r="P8071" s="6"/>
    </row>
    <row r="8072" spans="1:16" ht="14.4" x14ac:dyDescent="0.25">
      <c r="A8072" s="6">
        <v>4600</v>
      </c>
      <c r="B8072" s="6">
        <v>32800</v>
      </c>
      <c r="C8072" s="19">
        <v>39834</v>
      </c>
      <c r="D8072" s="6" t="s">
        <v>28</v>
      </c>
      <c r="E8072" s="6">
        <f>IF((ISBLANK($B$1)),"",Sheet1!Q8084)</f>
        <v>5050</v>
      </c>
      <c r="F8072" s="20" t="s">
        <v>29</v>
      </c>
      <c r="G8072" s="53">
        <f t="shared" ref="G8072:G8135" si="127">STANDARDIZE(E8072,$L$26,$L$35)</f>
        <v>0.51264491857664052</v>
      </c>
      <c r="H8072" s="35"/>
      <c r="P8072" s="6"/>
    </row>
    <row r="8073" spans="1:16" ht="14.4" x14ac:dyDescent="0.25">
      <c r="A8073" s="6">
        <v>4601</v>
      </c>
      <c r="B8073" s="6">
        <v>32800</v>
      </c>
      <c r="C8073" s="19">
        <v>39834</v>
      </c>
      <c r="D8073" s="6" t="s">
        <v>28</v>
      </c>
      <c r="E8073" s="6">
        <f>IF((ISBLANK($B$1)),"",Sheet1!Q8085)</f>
        <v>4350</v>
      </c>
      <c r="F8073" s="20" t="s">
        <v>26</v>
      </c>
      <c r="G8073" s="53">
        <f t="shared" si="127"/>
        <v>-0.45402307232003986</v>
      </c>
      <c r="H8073" s="35"/>
      <c r="P8073" s="6"/>
    </row>
    <row r="8074" spans="1:16" ht="14.4" x14ac:dyDescent="0.25">
      <c r="A8074" s="6">
        <v>4602</v>
      </c>
      <c r="B8074" s="6">
        <v>32800</v>
      </c>
      <c r="C8074" s="19">
        <v>39834</v>
      </c>
      <c r="D8074" s="6" t="s">
        <v>28</v>
      </c>
      <c r="E8074" s="6">
        <f>IF((ISBLANK($B$1)),"",Sheet1!Q8086)</f>
        <v>5400</v>
      </c>
      <c r="F8074" s="20" t="s">
        <v>26</v>
      </c>
      <c r="G8074" s="53">
        <f t="shared" si="127"/>
        <v>0.99597891402498073</v>
      </c>
      <c r="H8074" s="35"/>
      <c r="P8074" s="6"/>
    </row>
    <row r="8075" spans="1:16" ht="14.4" x14ac:dyDescent="0.25">
      <c r="A8075" s="6">
        <v>4759</v>
      </c>
      <c r="B8075" s="6">
        <v>33824</v>
      </c>
      <c r="C8075" s="19">
        <v>40604</v>
      </c>
      <c r="D8075" s="6" t="s">
        <v>30</v>
      </c>
      <c r="E8075" s="6">
        <f>IF((ISBLANK($B$1)),"",Sheet1!Q8087)</f>
        <v>4350</v>
      </c>
      <c r="F8075" s="20" t="s">
        <v>26</v>
      </c>
      <c r="G8075" s="53">
        <f t="shared" si="127"/>
        <v>-0.45402307232003986</v>
      </c>
      <c r="H8075" s="35"/>
      <c r="P8075" s="6"/>
    </row>
    <row r="8076" spans="1:16" ht="14.4" x14ac:dyDescent="0.25">
      <c r="A8076" s="6">
        <v>4806</v>
      </c>
      <c r="B8076" s="6">
        <v>34179</v>
      </c>
      <c r="C8076" s="19">
        <v>40849</v>
      </c>
      <c r="D8076" s="6" t="s">
        <v>28</v>
      </c>
      <c r="E8076" s="6">
        <f>IF((ISBLANK($B$1)),"",Sheet1!Q8088)</f>
        <v>4450</v>
      </c>
      <c r="F8076" s="20" t="s">
        <v>27</v>
      </c>
      <c r="G8076" s="53">
        <f t="shared" si="127"/>
        <v>-0.31592764504908549</v>
      </c>
      <c r="H8076" s="35"/>
      <c r="P8076" s="6"/>
    </row>
    <row r="8077" spans="1:16" ht="14.4" x14ac:dyDescent="0.25">
      <c r="A8077" s="6">
        <v>4819</v>
      </c>
      <c r="B8077" s="6">
        <v>34245</v>
      </c>
      <c r="C8077" s="19">
        <v>40216</v>
      </c>
      <c r="D8077" s="6" t="s">
        <v>16</v>
      </c>
      <c r="E8077" s="6">
        <f>IF((ISBLANK($B$1)),"",Sheet1!Q8089)</f>
        <v>5500</v>
      </c>
      <c r="F8077" s="20" t="s">
        <v>26</v>
      </c>
      <c r="G8077" s="53">
        <f t="shared" si="127"/>
        <v>1.1340743412959351</v>
      </c>
      <c r="H8077" s="35"/>
      <c r="P8077" s="6"/>
    </row>
    <row r="8078" spans="1:16" ht="14.4" x14ac:dyDescent="0.25">
      <c r="A8078" s="6">
        <v>4926</v>
      </c>
      <c r="B8078" s="6">
        <v>35046</v>
      </c>
      <c r="C8078" s="19">
        <v>40383</v>
      </c>
      <c r="D8078" s="6" t="s">
        <v>16</v>
      </c>
      <c r="E8078" s="6">
        <f>IF((ISBLANK($B$1)),"",Sheet1!Q8090)</f>
        <v>4450</v>
      </c>
      <c r="F8078" s="20" t="s">
        <v>26</v>
      </c>
      <c r="G8078" s="53">
        <f t="shared" si="127"/>
        <v>-0.31592764504908549</v>
      </c>
      <c r="H8078" s="35"/>
      <c r="P8078" s="6"/>
    </row>
    <row r="8079" spans="1:16" ht="14.4" x14ac:dyDescent="0.25">
      <c r="A8079" s="6">
        <v>4927</v>
      </c>
      <c r="B8079" s="6">
        <v>35046</v>
      </c>
      <c r="C8079" s="19">
        <v>40383</v>
      </c>
      <c r="D8079" s="6" t="s">
        <v>16</v>
      </c>
      <c r="E8079" s="6">
        <f>IF((ISBLANK($B$1)),"",Sheet1!Q8091)</f>
        <v>4050</v>
      </c>
      <c r="F8079" s="20" t="s">
        <v>29</v>
      </c>
      <c r="G8079" s="53">
        <f t="shared" si="127"/>
        <v>-0.86830935413290289</v>
      </c>
      <c r="H8079" s="35"/>
      <c r="P8079" s="6"/>
    </row>
    <row r="8080" spans="1:16" ht="14.4" x14ac:dyDescent="0.25">
      <c r="A8080" s="6">
        <v>4928</v>
      </c>
      <c r="B8080" s="6">
        <v>35046</v>
      </c>
      <c r="C8080" s="19">
        <v>40383</v>
      </c>
      <c r="D8080" s="6" t="s">
        <v>16</v>
      </c>
      <c r="E8080" s="6">
        <f>IF((ISBLANK($B$1)),"",Sheet1!Q8092)</f>
        <v>5650</v>
      </c>
      <c r="F8080" s="20" t="s">
        <v>29</v>
      </c>
      <c r="G8080" s="53">
        <f t="shared" si="127"/>
        <v>1.3412174822023666</v>
      </c>
      <c r="H8080" s="35"/>
      <c r="P8080" s="6"/>
    </row>
    <row r="8081" spans="1:16" ht="14.4" x14ac:dyDescent="0.25">
      <c r="A8081" s="6">
        <v>5004</v>
      </c>
      <c r="B8081" s="6">
        <v>35684</v>
      </c>
      <c r="C8081" s="19">
        <v>40758</v>
      </c>
      <c r="D8081" s="6" t="s">
        <v>25</v>
      </c>
      <c r="E8081" s="6">
        <f>IF((ISBLANK($B$1)),"",Sheet1!Q8093)</f>
        <v>3900</v>
      </c>
      <c r="F8081" s="20" t="s">
        <v>27</v>
      </c>
      <c r="G8081" s="53">
        <f t="shared" si="127"/>
        <v>-1.0754524950393345</v>
      </c>
      <c r="H8081" s="35"/>
      <c r="P8081" s="6"/>
    </row>
    <row r="8082" spans="1:16" ht="14.4" x14ac:dyDescent="0.25">
      <c r="A8082" s="6">
        <v>5064</v>
      </c>
      <c r="B8082" s="6">
        <v>36101</v>
      </c>
      <c r="C8082" s="19">
        <v>41141</v>
      </c>
      <c r="D8082" s="6" t="s">
        <v>17</v>
      </c>
      <c r="E8082" s="6">
        <f>IF((ISBLANK($B$1)),"",Sheet1!Q8094)</f>
        <v>3550</v>
      </c>
      <c r="F8082" s="20" t="s">
        <v>29</v>
      </c>
      <c r="G8082" s="53">
        <f t="shared" si="127"/>
        <v>-1.5587864904876745</v>
      </c>
      <c r="H8082" s="35"/>
      <c r="P8082" s="6"/>
    </row>
    <row r="8083" spans="1:16" ht="14.4" x14ac:dyDescent="0.25">
      <c r="A8083" s="6">
        <v>5107</v>
      </c>
      <c r="B8083" s="6">
        <v>36387</v>
      </c>
      <c r="C8083" s="19">
        <v>40854</v>
      </c>
      <c r="D8083" s="6" t="s">
        <v>17</v>
      </c>
      <c r="E8083" s="6">
        <f>IF((ISBLANK($B$1)),"",Sheet1!Q8095)</f>
        <v>5000</v>
      </c>
      <c r="F8083" s="20" t="s">
        <v>27</v>
      </c>
      <c r="G8083" s="53">
        <f t="shared" si="127"/>
        <v>0.44359720494116334</v>
      </c>
      <c r="H8083" s="35"/>
      <c r="P8083" s="6"/>
    </row>
    <row r="8084" spans="1:16" ht="14.4" x14ac:dyDescent="0.25">
      <c r="A8084" s="6">
        <v>5120</v>
      </c>
      <c r="B8084" s="6">
        <v>36455</v>
      </c>
      <c r="C8084" s="19">
        <v>39863</v>
      </c>
      <c r="D8084" s="6" t="s">
        <v>17</v>
      </c>
      <c r="E8084" s="6">
        <f>IF((ISBLANK($B$1)),"",Sheet1!Q8096)</f>
        <v>5800</v>
      </c>
      <c r="F8084" s="20" t="s">
        <v>27</v>
      </c>
      <c r="G8084" s="53">
        <f t="shared" si="127"/>
        <v>1.5483606231087981</v>
      </c>
      <c r="H8084" s="35"/>
      <c r="P8084" s="6"/>
    </row>
    <row r="8085" spans="1:16" ht="14.4" x14ac:dyDescent="0.25">
      <c r="A8085" s="6">
        <v>5143</v>
      </c>
      <c r="B8085" s="6">
        <v>36673</v>
      </c>
      <c r="C8085" s="19">
        <v>40434</v>
      </c>
      <c r="D8085" s="6" t="s">
        <v>25</v>
      </c>
      <c r="E8085" s="6">
        <f>IF((ISBLANK($B$1)),"",Sheet1!Q8097)</f>
        <v>4400</v>
      </c>
      <c r="F8085" s="20" t="s">
        <v>27</v>
      </c>
      <c r="G8085" s="53">
        <f t="shared" si="127"/>
        <v>-0.38497535868456267</v>
      </c>
      <c r="H8085" s="35"/>
      <c r="P8085" s="6"/>
    </row>
    <row r="8086" spans="1:16" ht="14.4" x14ac:dyDescent="0.25">
      <c r="A8086" s="6">
        <v>5149</v>
      </c>
      <c r="B8086" s="6">
        <v>36704</v>
      </c>
      <c r="C8086" s="19">
        <v>40710</v>
      </c>
      <c r="D8086" s="6" t="s">
        <v>17</v>
      </c>
      <c r="E8086" s="6">
        <f>IF((ISBLANK($B$1)),"",Sheet1!Q8098)</f>
        <v>5550</v>
      </c>
      <c r="F8086" s="20" t="s">
        <v>26</v>
      </c>
      <c r="G8086" s="53">
        <f t="shared" si="127"/>
        <v>1.2031220549314123</v>
      </c>
      <c r="H8086" s="35"/>
      <c r="P8086" s="6"/>
    </row>
    <row r="8087" spans="1:16" ht="14.4" x14ac:dyDescent="0.25">
      <c r="A8087" s="6">
        <v>5150</v>
      </c>
      <c r="B8087" s="6">
        <v>36704</v>
      </c>
      <c r="C8087" s="19">
        <v>40710</v>
      </c>
      <c r="D8087" s="6" t="s">
        <v>17</v>
      </c>
      <c r="E8087" s="6">
        <f>IF((ISBLANK($B$1)),"",Sheet1!Q8099)</f>
        <v>4350</v>
      </c>
      <c r="F8087" s="20" t="s">
        <v>26</v>
      </c>
      <c r="G8087" s="53">
        <f t="shared" si="127"/>
        <v>-0.45402307232003986</v>
      </c>
      <c r="H8087" s="35"/>
      <c r="P8087" s="6"/>
    </row>
    <row r="8088" spans="1:16" ht="14.4" x14ac:dyDescent="0.25">
      <c r="A8088" s="6">
        <v>5226</v>
      </c>
      <c r="B8088" s="6">
        <v>37218</v>
      </c>
      <c r="C8088" s="19">
        <v>40531</v>
      </c>
      <c r="D8088" s="6" t="s">
        <v>17</v>
      </c>
      <c r="E8088" s="6">
        <f>IF((ISBLANK($B$1)),"",Sheet1!Q8100)</f>
        <v>4850</v>
      </c>
      <c r="F8088" s="20" t="s">
        <v>26</v>
      </c>
      <c r="G8088" s="53">
        <f t="shared" si="127"/>
        <v>0.23645406403473185</v>
      </c>
      <c r="H8088" s="35"/>
      <c r="P8088" s="6"/>
    </row>
    <row r="8089" spans="1:16" ht="14.4" x14ac:dyDescent="0.25">
      <c r="A8089" s="6">
        <v>5227</v>
      </c>
      <c r="B8089" s="6">
        <v>37218</v>
      </c>
      <c r="C8089" s="19">
        <v>40531</v>
      </c>
      <c r="D8089" s="6" t="s">
        <v>17</v>
      </c>
      <c r="E8089" s="6">
        <f>IF((ISBLANK($B$1)),"",Sheet1!Q8101)</f>
        <v>4550</v>
      </c>
      <c r="F8089" s="20" t="s">
        <v>26</v>
      </c>
      <c r="G8089" s="53">
        <f t="shared" si="127"/>
        <v>-0.17783221777813119</v>
      </c>
      <c r="H8089" s="35"/>
      <c r="P8089" s="6"/>
    </row>
    <row r="8090" spans="1:16" ht="14.4" x14ac:dyDescent="0.25">
      <c r="A8090" s="6">
        <v>5388</v>
      </c>
      <c r="B8090" s="6">
        <v>38311</v>
      </c>
      <c r="C8090" s="19">
        <v>40656</v>
      </c>
      <c r="D8090" s="6" t="s">
        <v>16</v>
      </c>
      <c r="E8090" s="6">
        <f>IF((ISBLANK($B$1)),"",Sheet1!Q8102)</f>
        <v>3850</v>
      </c>
      <c r="F8090" s="20" t="s">
        <v>26</v>
      </c>
      <c r="G8090" s="53">
        <f t="shared" si="127"/>
        <v>-1.1445002086748115</v>
      </c>
      <c r="H8090" s="35"/>
      <c r="P8090" s="6"/>
    </row>
    <row r="8091" spans="1:16" ht="14.4" x14ac:dyDescent="0.25">
      <c r="A8091" s="6">
        <v>5407</v>
      </c>
      <c r="B8091" s="6">
        <v>38438</v>
      </c>
      <c r="C8091" s="19">
        <v>40694</v>
      </c>
      <c r="D8091" s="6" t="s">
        <v>30</v>
      </c>
      <c r="E8091" s="6">
        <f>IF((ISBLANK($B$1)),"",Sheet1!Q8103)</f>
        <v>4200</v>
      </c>
      <c r="F8091" s="20" t="s">
        <v>27</v>
      </c>
      <c r="G8091" s="53">
        <f t="shared" si="127"/>
        <v>-0.6611662132264714</v>
      </c>
      <c r="H8091" s="35"/>
      <c r="P8091" s="6"/>
    </row>
    <row r="8092" spans="1:16" ht="14.4" x14ac:dyDescent="0.25">
      <c r="A8092" s="6">
        <v>5408</v>
      </c>
      <c r="B8092" s="6">
        <v>38438</v>
      </c>
      <c r="C8092" s="19">
        <v>40694</v>
      </c>
      <c r="D8092" s="6" t="s">
        <v>30</v>
      </c>
      <c r="E8092" s="6">
        <f>IF((ISBLANK($B$1)),"",Sheet1!Q8104)</f>
        <v>4250</v>
      </c>
      <c r="F8092" s="20" t="s">
        <v>26</v>
      </c>
      <c r="G8092" s="53">
        <f t="shared" si="127"/>
        <v>-0.59211849959099416</v>
      </c>
      <c r="H8092" s="35"/>
      <c r="P8092" s="6"/>
    </row>
    <row r="8093" spans="1:16" ht="14.4" x14ac:dyDescent="0.25">
      <c r="A8093" s="6">
        <v>5550</v>
      </c>
      <c r="B8093" s="6">
        <v>39301</v>
      </c>
      <c r="C8093" s="19">
        <v>39894</v>
      </c>
      <c r="D8093" s="6" t="s">
        <v>16</v>
      </c>
      <c r="E8093" s="6">
        <f>IF((ISBLANK($B$1)),"",Sheet1!Q8105)</f>
        <v>3600</v>
      </c>
      <c r="F8093" s="20" t="s">
        <v>26</v>
      </c>
      <c r="G8093" s="53">
        <f t="shared" si="127"/>
        <v>-1.4897387768521975</v>
      </c>
      <c r="H8093" s="35"/>
      <c r="P8093" s="6"/>
    </row>
    <row r="8094" spans="1:16" ht="14.4" x14ac:dyDescent="0.25">
      <c r="A8094" s="6">
        <v>5656</v>
      </c>
      <c r="B8094" s="6">
        <v>40007</v>
      </c>
      <c r="C8094" s="19">
        <v>41151</v>
      </c>
      <c r="D8094" s="6" t="s">
        <v>28</v>
      </c>
      <c r="E8094" s="6">
        <f>IF((ISBLANK($B$1)),"",Sheet1!Q8106)</f>
        <v>5650</v>
      </c>
      <c r="F8094" s="20" t="s">
        <v>26</v>
      </c>
      <c r="G8094" s="53">
        <f t="shared" si="127"/>
        <v>1.3412174822023666</v>
      </c>
      <c r="H8094" s="35"/>
      <c r="P8094" s="6"/>
    </row>
    <row r="8095" spans="1:16" ht="14.4" x14ac:dyDescent="0.25">
      <c r="A8095" s="6">
        <v>5660</v>
      </c>
      <c r="B8095" s="6">
        <v>40065</v>
      </c>
      <c r="C8095" s="19">
        <v>40956</v>
      </c>
      <c r="D8095" s="6" t="s">
        <v>17</v>
      </c>
      <c r="E8095" s="6">
        <f>IF((ISBLANK($B$1)),"",Sheet1!Q8107)</f>
        <v>5850</v>
      </c>
      <c r="F8095" s="20" t="s">
        <v>27</v>
      </c>
      <c r="G8095" s="53">
        <f t="shared" si="127"/>
        <v>1.6174083367442753</v>
      </c>
      <c r="H8095" s="35"/>
      <c r="P8095" s="6"/>
    </row>
    <row r="8096" spans="1:16" ht="14.4" x14ac:dyDescent="0.25">
      <c r="A8096" s="6">
        <v>5661</v>
      </c>
      <c r="B8096" s="6">
        <v>40065</v>
      </c>
      <c r="C8096" s="19">
        <v>40956</v>
      </c>
      <c r="D8096" s="6" t="s">
        <v>17</v>
      </c>
      <c r="E8096" s="6">
        <f>IF((ISBLANK($B$1)),"",Sheet1!Q8108)</f>
        <v>3600</v>
      </c>
      <c r="F8096" s="20" t="s">
        <v>27</v>
      </c>
      <c r="G8096" s="53">
        <f t="shared" si="127"/>
        <v>-1.4897387768521975</v>
      </c>
      <c r="H8096" s="35"/>
      <c r="P8096" s="6"/>
    </row>
    <row r="8097" spans="1:16" ht="14.4" x14ac:dyDescent="0.25">
      <c r="A8097" s="6">
        <v>5671</v>
      </c>
      <c r="B8097" s="6">
        <v>40102</v>
      </c>
      <c r="C8097" s="19">
        <v>40577</v>
      </c>
      <c r="D8097" s="6" t="s">
        <v>16</v>
      </c>
      <c r="E8097" s="6">
        <f>IF((ISBLANK($B$1)),"",Sheet1!Q8109)</f>
        <v>5700</v>
      </c>
      <c r="F8097" s="20" t="s">
        <v>26</v>
      </c>
      <c r="G8097" s="53">
        <f t="shared" si="127"/>
        <v>1.4102651958378438</v>
      </c>
      <c r="H8097" s="35"/>
      <c r="P8097" s="6"/>
    </row>
    <row r="8098" spans="1:16" ht="14.4" x14ac:dyDescent="0.25">
      <c r="A8098" s="6">
        <v>5707</v>
      </c>
      <c r="B8098" s="6">
        <v>40357</v>
      </c>
      <c r="C8098" s="19">
        <v>41111</v>
      </c>
      <c r="D8098" s="6" t="s">
        <v>28</v>
      </c>
      <c r="E8098" s="6">
        <f>IF((ISBLANK($B$1)),"",Sheet1!Q8110)</f>
        <v>3600</v>
      </c>
      <c r="F8098" s="20" t="s">
        <v>26</v>
      </c>
      <c r="G8098" s="53">
        <f t="shared" si="127"/>
        <v>-1.4897387768521975</v>
      </c>
      <c r="H8098" s="35"/>
      <c r="P8098" s="6"/>
    </row>
    <row r="8099" spans="1:16" ht="14.4" x14ac:dyDescent="0.25">
      <c r="A8099" s="6">
        <v>5799</v>
      </c>
      <c r="B8099" s="6">
        <v>41123</v>
      </c>
      <c r="C8099" s="19">
        <v>40518</v>
      </c>
      <c r="D8099" s="6" t="s">
        <v>25</v>
      </c>
      <c r="E8099" s="6">
        <f>IF((ISBLANK($B$1)),"",Sheet1!Q8111)</f>
        <v>4750</v>
      </c>
      <c r="F8099" s="20" t="s">
        <v>26</v>
      </c>
      <c r="G8099" s="53">
        <f t="shared" si="127"/>
        <v>9.8358636763777513E-2</v>
      </c>
      <c r="H8099" s="35"/>
      <c r="P8099" s="6"/>
    </row>
    <row r="8100" spans="1:16" ht="14.4" x14ac:dyDescent="0.25">
      <c r="A8100" s="6">
        <v>5891</v>
      </c>
      <c r="B8100" s="6">
        <v>41794</v>
      </c>
      <c r="C8100" s="19">
        <v>40690</v>
      </c>
      <c r="D8100" s="6" t="s">
        <v>30</v>
      </c>
      <c r="E8100" s="6">
        <f>IF((ISBLANK($B$1)),"",Sheet1!Q8112)</f>
        <v>5800</v>
      </c>
      <c r="F8100" s="20" t="s">
        <v>26</v>
      </c>
      <c r="G8100" s="53">
        <f t="shared" si="127"/>
        <v>1.5483606231087981</v>
      </c>
      <c r="H8100" s="35"/>
      <c r="P8100" s="6"/>
    </row>
    <row r="8101" spans="1:16" ht="14.4" x14ac:dyDescent="0.25">
      <c r="A8101" s="6">
        <v>5892</v>
      </c>
      <c r="B8101" s="6">
        <v>41794</v>
      </c>
      <c r="C8101" s="19">
        <v>40690</v>
      </c>
      <c r="D8101" s="6" t="s">
        <v>30</v>
      </c>
      <c r="E8101" s="6">
        <f>IF((ISBLANK($B$1)),"",Sheet1!Q8113)</f>
        <v>4450</v>
      </c>
      <c r="F8101" s="20" t="s">
        <v>26</v>
      </c>
      <c r="G8101" s="53">
        <f t="shared" si="127"/>
        <v>-0.31592764504908549</v>
      </c>
      <c r="H8101" s="35"/>
      <c r="P8101" s="6"/>
    </row>
    <row r="8102" spans="1:16" ht="14.4" x14ac:dyDescent="0.25">
      <c r="A8102" s="6">
        <v>5893</v>
      </c>
      <c r="B8102" s="6">
        <v>41794</v>
      </c>
      <c r="C8102" s="19">
        <v>40690</v>
      </c>
      <c r="D8102" s="6" t="s">
        <v>30</v>
      </c>
      <c r="E8102" s="6">
        <f>IF((ISBLANK($B$1)),"",Sheet1!Q8114)</f>
        <v>5850</v>
      </c>
      <c r="F8102" s="20" t="s">
        <v>27</v>
      </c>
      <c r="G8102" s="53">
        <f t="shared" si="127"/>
        <v>1.6174083367442753</v>
      </c>
      <c r="H8102" s="35"/>
      <c r="P8102" s="6"/>
    </row>
    <row r="8103" spans="1:16" ht="14.4" x14ac:dyDescent="0.25">
      <c r="A8103" s="6">
        <v>6032</v>
      </c>
      <c r="B8103" s="6">
        <v>42725</v>
      </c>
      <c r="C8103" s="19">
        <v>40665</v>
      </c>
      <c r="D8103" s="6" t="s">
        <v>16</v>
      </c>
      <c r="E8103" s="6">
        <f>IF((ISBLANK($B$1)),"",Sheet1!Q8115)</f>
        <v>4300</v>
      </c>
      <c r="F8103" s="20" t="s">
        <v>26</v>
      </c>
      <c r="G8103" s="53">
        <f t="shared" si="127"/>
        <v>-0.52307078595551704</v>
      </c>
      <c r="H8103" s="35"/>
      <c r="P8103" s="6"/>
    </row>
    <row r="8104" spans="1:16" ht="14.4" x14ac:dyDescent="0.25">
      <c r="A8104" s="6">
        <v>6110</v>
      </c>
      <c r="B8104" s="6">
        <v>43296</v>
      </c>
      <c r="C8104" s="19">
        <v>40971</v>
      </c>
      <c r="D8104" s="6" t="s">
        <v>16</v>
      </c>
      <c r="E8104" s="6">
        <f>IF((ISBLANK($B$1)),"",Sheet1!Q8116)</f>
        <v>5450</v>
      </c>
      <c r="F8104" s="20" t="s">
        <v>26</v>
      </c>
      <c r="G8104" s="53">
        <f t="shared" si="127"/>
        <v>1.0650266276604579</v>
      </c>
      <c r="H8104" s="35"/>
      <c r="P8104" s="6"/>
    </row>
    <row r="8105" spans="1:16" ht="14.4" x14ac:dyDescent="0.25">
      <c r="A8105" s="6">
        <v>6257</v>
      </c>
      <c r="B8105" s="6">
        <v>44294</v>
      </c>
      <c r="C8105" s="19">
        <v>39967</v>
      </c>
      <c r="D8105" s="6" t="s">
        <v>25</v>
      </c>
      <c r="E8105" s="6">
        <f>IF((ISBLANK($B$1)),"",Sheet1!Q8117)</f>
        <v>4150</v>
      </c>
      <c r="F8105" s="20" t="s">
        <v>26</v>
      </c>
      <c r="G8105" s="53">
        <f t="shared" si="127"/>
        <v>-0.73021392686194853</v>
      </c>
      <c r="H8105" s="35"/>
      <c r="P8105" s="6"/>
    </row>
    <row r="8106" spans="1:16" ht="14.4" x14ac:dyDescent="0.25">
      <c r="A8106" s="6">
        <v>6258</v>
      </c>
      <c r="B8106" s="6">
        <v>44294</v>
      </c>
      <c r="C8106" s="19">
        <v>39967</v>
      </c>
      <c r="D8106" s="6" t="s">
        <v>25</v>
      </c>
      <c r="E8106" s="6">
        <f>IF((ISBLANK($B$1)),"",Sheet1!Q8118)</f>
        <v>4050</v>
      </c>
      <c r="F8106" s="20" t="s">
        <v>26</v>
      </c>
      <c r="G8106" s="53">
        <f t="shared" si="127"/>
        <v>-0.86830935413290289</v>
      </c>
      <c r="H8106" s="35"/>
      <c r="P8106" s="6"/>
    </row>
    <row r="8107" spans="1:16" ht="14.4" x14ac:dyDescent="0.25">
      <c r="A8107" s="6">
        <v>6259</v>
      </c>
      <c r="B8107" s="6">
        <v>44294</v>
      </c>
      <c r="C8107" s="19">
        <v>39967</v>
      </c>
      <c r="D8107" s="6" t="s">
        <v>25</v>
      </c>
      <c r="E8107" s="6">
        <f>IF((ISBLANK($B$1)),"",Sheet1!Q8119)</f>
        <v>3800</v>
      </c>
      <c r="F8107" s="20" t="s">
        <v>27</v>
      </c>
      <c r="G8107" s="53">
        <f t="shared" si="127"/>
        <v>-1.2135479223102887</v>
      </c>
      <c r="H8107" s="35"/>
      <c r="P8107" s="6"/>
    </row>
    <row r="8108" spans="1:16" ht="14.4" x14ac:dyDescent="0.25">
      <c r="A8108" s="6">
        <v>6273</v>
      </c>
      <c r="B8108" s="6">
        <v>44391</v>
      </c>
      <c r="C8108" s="19">
        <v>39823</v>
      </c>
      <c r="D8108" s="6" t="s">
        <v>28</v>
      </c>
      <c r="E8108" s="6">
        <f>IF((ISBLANK($B$1)),"",Sheet1!Q8120)</f>
        <v>4200</v>
      </c>
      <c r="F8108" s="20" t="s">
        <v>26</v>
      </c>
      <c r="G8108" s="53">
        <f t="shared" si="127"/>
        <v>-0.6611662132264714</v>
      </c>
      <c r="H8108" s="35"/>
      <c r="P8108" s="6"/>
    </row>
    <row r="8109" spans="1:16" ht="14.4" x14ac:dyDescent="0.25">
      <c r="A8109" s="6">
        <v>6662</v>
      </c>
      <c r="B8109" s="6">
        <v>47456</v>
      </c>
      <c r="C8109" s="19">
        <v>41060</v>
      </c>
      <c r="D8109" s="6" t="s">
        <v>25</v>
      </c>
      <c r="E8109" s="6">
        <f>IF((ISBLANK($B$1)),"",Sheet1!Q8121)</f>
        <v>5550</v>
      </c>
      <c r="F8109" s="20" t="s">
        <v>26</v>
      </c>
      <c r="G8109" s="53">
        <f t="shared" si="127"/>
        <v>1.2031220549314123</v>
      </c>
      <c r="H8109" s="35"/>
      <c r="P8109" s="6"/>
    </row>
    <row r="8110" spans="1:16" ht="14.4" x14ac:dyDescent="0.25">
      <c r="A8110" s="6">
        <v>6709</v>
      </c>
      <c r="B8110" s="6">
        <v>47778</v>
      </c>
      <c r="C8110" s="19">
        <v>40223</v>
      </c>
      <c r="D8110" s="6" t="s">
        <v>30</v>
      </c>
      <c r="E8110" s="6">
        <f>IF((ISBLANK($B$1)),"",Sheet1!Q8122)</f>
        <v>4000</v>
      </c>
      <c r="F8110" s="20" t="s">
        <v>29</v>
      </c>
      <c r="G8110" s="53">
        <f t="shared" si="127"/>
        <v>-0.93735706776838001</v>
      </c>
      <c r="H8110" s="35"/>
      <c r="P8110" s="6"/>
    </row>
    <row r="8111" spans="1:16" ht="14.4" x14ac:dyDescent="0.25">
      <c r="A8111" s="6">
        <v>6740</v>
      </c>
      <c r="B8111" s="6">
        <v>47974</v>
      </c>
      <c r="C8111" s="19">
        <v>40056</v>
      </c>
      <c r="D8111" s="6" t="s">
        <v>16</v>
      </c>
      <c r="E8111" s="6">
        <f>IF((ISBLANK($B$1)),"",Sheet1!Q8123)</f>
        <v>3700</v>
      </c>
      <c r="F8111" s="20" t="s">
        <v>26</v>
      </c>
      <c r="G8111" s="53">
        <f t="shared" si="127"/>
        <v>-1.351643349581243</v>
      </c>
      <c r="H8111" s="35"/>
      <c r="P8111" s="6"/>
    </row>
    <row r="8112" spans="1:16" ht="14.4" x14ac:dyDescent="0.25">
      <c r="A8112" s="6">
        <v>6812</v>
      </c>
      <c r="B8112" s="6">
        <v>48486</v>
      </c>
      <c r="C8112" s="19">
        <v>40675</v>
      </c>
      <c r="D8112" s="6" t="s">
        <v>17</v>
      </c>
      <c r="E8112" s="6">
        <f>IF((ISBLANK($B$1)),"",Sheet1!Q8124)</f>
        <v>5500</v>
      </c>
      <c r="F8112" s="20" t="s">
        <v>26</v>
      </c>
      <c r="G8112" s="53">
        <f t="shared" si="127"/>
        <v>1.1340743412959351</v>
      </c>
      <c r="H8112" s="35"/>
      <c r="P8112" s="6"/>
    </row>
    <row r="8113" spans="1:16" ht="14.4" x14ac:dyDescent="0.25">
      <c r="A8113" s="6">
        <v>6851</v>
      </c>
      <c r="B8113" s="6">
        <v>48775</v>
      </c>
      <c r="C8113" s="19">
        <v>40062</v>
      </c>
      <c r="D8113" s="6" t="s">
        <v>25</v>
      </c>
      <c r="E8113" s="6">
        <f>IF((ISBLANK($B$1)),"",Sheet1!Q8125)</f>
        <v>4250</v>
      </c>
      <c r="F8113" s="20" t="s">
        <v>26</v>
      </c>
      <c r="G8113" s="53">
        <f t="shared" si="127"/>
        <v>-0.59211849959099416</v>
      </c>
      <c r="H8113" s="35"/>
      <c r="P8113" s="6"/>
    </row>
    <row r="8114" spans="1:16" ht="14.4" x14ac:dyDescent="0.25">
      <c r="A8114" s="6">
        <v>6902</v>
      </c>
      <c r="B8114" s="6">
        <v>49218</v>
      </c>
      <c r="C8114" s="19">
        <v>40333</v>
      </c>
      <c r="D8114" s="6" t="s">
        <v>25</v>
      </c>
      <c r="E8114" s="6">
        <f>IF((ISBLANK($B$1)),"",Sheet1!Q8126)</f>
        <v>4450</v>
      </c>
      <c r="F8114" s="20" t="s">
        <v>26</v>
      </c>
      <c r="G8114" s="53">
        <f t="shared" si="127"/>
        <v>-0.31592764504908549</v>
      </c>
      <c r="H8114" s="35"/>
      <c r="P8114" s="6"/>
    </row>
    <row r="8115" spans="1:16" ht="14.4" x14ac:dyDescent="0.25">
      <c r="A8115" s="6">
        <v>6928</v>
      </c>
      <c r="B8115" s="6">
        <v>49442</v>
      </c>
      <c r="C8115" s="19">
        <v>41130</v>
      </c>
      <c r="D8115" s="6" t="s">
        <v>17</v>
      </c>
      <c r="E8115" s="6">
        <f>IF((ISBLANK($B$1)),"",Sheet1!Q8127)</f>
        <v>3950</v>
      </c>
      <c r="F8115" s="20" t="s">
        <v>26</v>
      </c>
      <c r="G8115" s="53">
        <f t="shared" si="127"/>
        <v>-1.0064047814038573</v>
      </c>
      <c r="H8115" s="35"/>
      <c r="P8115" s="6"/>
    </row>
    <row r="8116" spans="1:16" ht="14.4" x14ac:dyDescent="0.25">
      <c r="A8116" s="6">
        <v>7092</v>
      </c>
      <c r="B8116" s="6">
        <v>50625</v>
      </c>
      <c r="C8116" s="19">
        <v>39926</v>
      </c>
      <c r="D8116" s="6" t="s">
        <v>16</v>
      </c>
      <c r="E8116" s="6">
        <f>IF((ISBLANK($B$1)),"",Sheet1!Q8128)</f>
        <v>3900</v>
      </c>
      <c r="F8116" s="20" t="s">
        <v>26</v>
      </c>
      <c r="G8116" s="53">
        <f t="shared" si="127"/>
        <v>-1.0754524950393345</v>
      </c>
      <c r="H8116" s="35"/>
      <c r="P8116" s="6"/>
    </row>
    <row r="8117" spans="1:16" ht="14.4" x14ac:dyDescent="0.25">
      <c r="A8117" s="6">
        <v>7127</v>
      </c>
      <c r="B8117" s="6">
        <v>50849</v>
      </c>
      <c r="C8117" s="19">
        <v>41186</v>
      </c>
      <c r="D8117" s="6" t="s">
        <v>25</v>
      </c>
      <c r="E8117" s="6">
        <f>IF((ISBLANK($B$1)),"",Sheet1!Q8129)</f>
        <v>5750</v>
      </c>
      <c r="F8117" s="20" t="s">
        <v>26</v>
      </c>
      <c r="G8117" s="53">
        <f t="shared" si="127"/>
        <v>1.4793129094733208</v>
      </c>
      <c r="H8117" s="35"/>
      <c r="P8117" s="6"/>
    </row>
    <row r="8118" spans="1:16" ht="14.4" x14ac:dyDescent="0.25">
      <c r="A8118" s="6">
        <v>7230</v>
      </c>
      <c r="B8118" s="6">
        <v>51557</v>
      </c>
      <c r="C8118" s="19">
        <v>40847</v>
      </c>
      <c r="D8118" s="6" t="s">
        <v>17</v>
      </c>
      <c r="E8118" s="6">
        <f>IF((ISBLANK($B$1)),"",Sheet1!Q8130)</f>
        <v>5200</v>
      </c>
      <c r="F8118" s="20" t="s">
        <v>26</v>
      </c>
      <c r="G8118" s="53">
        <f t="shared" si="127"/>
        <v>0.71978805948307201</v>
      </c>
      <c r="H8118" s="35"/>
      <c r="P8118" s="6"/>
    </row>
    <row r="8119" spans="1:16" ht="14.4" x14ac:dyDescent="0.25">
      <c r="A8119" s="6">
        <v>7231</v>
      </c>
      <c r="B8119" s="6">
        <v>51557</v>
      </c>
      <c r="C8119" s="19">
        <v>40847</v>
      </c>
      <c r="D8119" s="6" t="s">
        <v>17</v>
      </c>
      <c r="E8119" s="6">
        <f>IF((ISBLANK($B$1)),"",Sheet1!Q8131)</f>
        <v>4100</v>
      </c>
      <c r="F8119" s="20" t="s">
        <v>26</v>
      </c>
      <c r="G8119" s="53">
        <f t="shared" si="127"/>
        <v>-0.79926164049742576</v>
      </c>
      <c r="H8119" s="35"/>
      <c r="P8119" s="6"/>
    </row>
    <row r="8120" spans="1:16" ht="14.4" x14ac:dyDescent="0.25">
      <c r="A8120" s="6">
        <v>7411</v>
      </c>
      <c r="B8120" s="6">
        <v>52870</v>
      </c>
      <c r="C8120" s="19">
        <v>39881</v>
      </c>
      <c r="D8120" s="6" t="s">
        <v>28</v>
      </c>
      <c r="E8120" s="6">
        <f>IF((ISBLANK($B$1)),"",Sheet1!Q8132)</f>
        <v>4450</v>
      </c>
      <c r="F8120" s="20" t="s">
        <v>26</v>
      </c>
      <c r="G8120" s="53">
        <f t="shared" si="127"/>
        <v>-0.31592764504908549</v>
      </c>
      <c r="H8120" s="35"/>
      <c r="P8120" s="6"/>
    </row>
    <row r="8121" spans="1:16" ht="14.4" x14ac:dyDescent="0.25">
      <c r="A8121" s="6">
        <v>7417</v>
      </c>
      <c r="B8121" s="6">
        <v>52897</v>
      </c>
      <c r="C8121" s="19">
        <v>40047</v>
      </c>
      <c r="D8121" s="6" t="s">
        <v>16</v>
      </c>
      <c r="E8121" s="6">
        <f>IF((ISBLANK($B$1)),"",Sheet1!Q8133)</f>
        <v>5400</v>
      </c>
      <c r="F8121" s="20" t="s">
        <v>26</v>
      </c>
      <c r="G8121" s="53">
        <f t="shared" si="127"/>
        <v>0.99597891402498073</v>
      </c>
      <c r="H8121" s="35"/>
      <c r="P8121" s="6"/>
    </row>
    <row r="8122" spans="1:16" ht="14.4" x14ac:dyDescent="0.25">
      <c r="A8122" s="6">
        <v>7531</v>
      </c>
      <c r="B8122" s="6">
        <v>53798</v>
      </c>
      <c r="C8122" s="19">
        <v>39922</v>
      </c>
      <c r="D8122" s="6" t="s">
        <v>25</v>
      </c>
      <c r="E8122" s="6">
        <f>IF((ISBLANK($B$1)),"",Sheet1!Q8134)</f>
        <v>4850</v>
      </c>
      <c r="F8122" s="20" t="s">
        <v>26</v>
      </c>
      <c r="G8122" s="53">
        <f t="shared" si="127"/>
        <v>0.23645406403473185</v>
      </c>
      <c r="H8122" s="35"/>
      <c r="P8122" s="6"/>
    </row>
    <row r="8123" spans="1:16" ht="14.4" x14ac:dyDescent="0.25">
      <c r="A8123" s="6">
        <v>7532</v>
      </c>
      <c r="B8123" s="6">
        <v>53798</v>
      </c>
      <c r="C8123" s="19">
        <v>39922</v>
      </c>
      <c r="D8123" s="6" t="s">
        <v>25</v>
      </c>
      <c r="E8123" s="6">
        <f>IF((ISBLANK($B$1)),"",Sheet1!Q8135)</f>
        <v>5450</v>
      </c>
      <c r="F8123" s="20" t="s">
        <v>29</v>
      </c>
      <c r="G8123" s="53">
        <f t="shared" si="127"/>
        <v>1.0650266276604579</v>
      </c>
      <c r="H8123" s="35"/>
      <c r="P8123" s="6"/>
    </row>
    <row r="8124" spans="1:16" ht="14.4" x14ac:dyDescent="0.25">
      <c r="A8124" s="6">
        <v>7553</v>
      </c>
      <c r="B8124" s="6">
        <v>54051</v>
      </c>
      <c r="C8124" s="19">
        <v>40766</v>
      </c>
      <c r="D8124" s="6" t="s">
        <v>16</v>
      </c>
      <c r="E8124" s="6">
        <f>IF((ISBLANK($B$1)),"",Sheet1!Q8136)</f>
        <v>4550</v>
      </c>
      <c r="F8124" s="20" t="s">
        <v>29</v>
      </c>
      <c r="G8124" s="53">
        <f t="shared" si="127"/>
        <v>-0.17783221777813119</v>
      </c>
      <c r="H8124" s="35"/>
      <c r="P8124" s="6"/>
    </row>
    <row r="8125" spans="1:16" ht="14.4" x14ac:dyDescent="0.25">
      <c r="A8125" s="6">
        <v>7554</v>
      </c>
      <c r="B8125" s="6">
        <v>54051</v>
      </c>
      <c r="C8125" s="19">
        <v>40766</v>
      </c>
      <c r="D8125" s="6" t="s">
        <v>16</v>
      </c>
      <c r="E8125" s="6">
        <f>IF((ISBLANK($B$1)),"",Sheet1!Q8137)</f>
        <v>4800</v>
      </c>
      <c r="F8125" s="20" t="s">
        <v>26</v>
      </c>
      <c r="G8125" s="53">
        <f t="shared" si="127"/>
        <v>0.16740635039925467</v>
      </c>
      <c r="H8125" s="35"/>
      <c r="P8125" s="6"/>
    </row>
    <row r="8126" spans="1:16" ht="14.4" x14ac:dyDescent="0.25">
      <c r="A8126" s="6">
        <v>7564</v>
      </c>
      <c r="B8126" s="6">
        <v>54116</v>
      </c>
      <c r="C8126" s="19">
        <v>40850</v>
      </c>
      <c r="D8126" s="6" t="s">
        <v>30</v>
      </c>
      <c r="E8126" s="6">
        <f>IF((ISBLANK($B$1)),"",Sheet1!Q8138)</f>
        <v>4500</v>
      </c>
      <c r="F8126" s="20" t="s">
        <v>29</v>
      </c>
      <c r="G8126" s="53">
        <f t="shared" si="127"/>
        <v>-0.24687993141360834</v>
      </c>
      <c r="H8126" s="35"/>
      <c r="P8126" s="6"/>
    </row>
    <row r="8127" spans="1:16" ht="14.4" x14ac:dyDescent="0.25">
      <c r="A8127" s="6">
        <v>7747</v>
      </c>
      <c r="B8127" s="6">
        <v>55459</v>
      </c>
      <c r="C8127" s="19">
        <v>39928</v>
      </c>
      <c r="D8127" s="6" t="s">
        <v>30</v>
      </c>
      <c r="E8127" s="6">
        <f>IF((ISBLANK($B$1)),"",Sheet1!Q8139)</f>
        <v>3650</v>
      </c>
      <c r="F8127" s="20" t="s">
        <v>26</v>
      </c>
      <c r="G8127" s="53">
        <f t="shared" si="127"/>
        <v>-1.4206910632167202</v>
      </c>
      <c r="H8127" s="35"/>
      <c r="P8127" s="6"/>
    </row>
    <row r="8128" spans="1:16" ht="14.4" x14ac:dyDescent="0.25">
      <c r="A8128" s="6">
        <v>7915</v>
      </c>
      <c r="B8128" s="6">
        <v>56582</v>
      </c>
      <c r="C8128" s="19">
        <v>39976</v>
      </c>
      <c r="D8128" s="6" t="s">
        <v>25</v>
      </c>
      <c r="E8128" s="6">
        <f>IF((ISBLANK($B$1)),"",Sheet1!Q8140)</f>
        <v>4650</v>
      </c>
      <c r="F8128" s="20" t="s">
        <v>29</v>
      </c>
      <c r="G8128" s="53">
        <f t="shared" si="127"/>
        <v>-3.9736790507176829E-2</v>
      </c>
      <c r="H8128" s="35"/>
      <c r="P8128" s="6"/>
    </row>
    <row r="8129" spans="1:16" ht="14.4" x14ac:dyDescent="0.25">
      <c r="A8129" s="6">
        <v>7916</v>
      </c>
      <c r="B8129" s="6">
        <v>56582</v>
      </c>
      <c r="C8129" s="19">
        <v>39976</v>
      </c>
      <c r="D8129" s="6" t="s">
        <v>25</v>
      </c>
      <c r="E8129" s="6">
        <f>IF((ISBLANK($B$1)),"",Sheet1!Q8141)</f>
        <v>5750</v>
      </c>
      <c r="F8129" s="20" t="s">
        <v>29</v>
      </c>
      <c r="G8129" s="53">
        <f t="shared" si="127"/>
        <v>1.4793129094733208</v>
      </c>
      <c r="H8129" s="35"/>
      <c r="P8129" s="6"/>
    </row>
    <row r="8130" spans="1:16" ht="14.4" x14ac:dyDescent="0.25">
      <c r="A8130" s="6">
        <v>7989</v>
      </c>
      <c r="B8130" s="6">
        <v>57121</v>
      </c>
      <c r="C8130" s="19">
        <v>40863</v>
      </c>
      <c r="D8130" s="6" t="s">
        <v>28</v>
      </c>
      <c r="E8130" s="6">
        <f>IF((ISBLANK($B$1)),"",Sheet1!Q8142)</f>
        <v>5500</v>
      </c>
      <c r="F8130" s="20" t="s">
        <v>26</v>
      </c>
      <c r="G8130" s="53">
        <f t="shared" si="127"/>
        <v>1.1340743412959351</v>
      </c>
      <c r="H8130" s="35"/>
      <c r="P8130" s="6"/>
    </row>
    <row r="8131" spans="1:16" ht="14.4" x14ac:dyDescent="0.25">
      <c r="A8131" s="6">
        <v>7990</v>
      </c>
      <c r="B8131" s="6">
        <v>57121</v>
      </c>
      <c r="C8131" s="19">
        <v>40863</v>
      </c>
      <c r="D8131" s="6" t="s">
        <v>28</v>
      </c>
      <c r="E8131" s="6">
        <f>IF((ISBLANK($B$1)),"",Sheet1!Q8143)</f>
        <v>3550</v>
      </c>
      <c r="F8131" s="20" t="s">
        <v>27</v>
      </c>
      <c r="G8131" s="53">
        <f t="shared" si="127"/>
        <v>-1.5587864904876745</v>
      </c>
      <c r="H8131" s="35"/>
      <c r="P8131" s="6"/>
    </row>
    <row r="8132" spans="1:16" ht="14.4" x14ac:dyDescent="0.25">
      <c r="A8132" s="6">
        <v>8203</v>
      </c>
      <c r="B8132" s="6">
        <v>58657</v>
      </c>
      <c r="C8132" s="19">
        <v>40264</v>
      </c>
      <c r="D8132" s="6" t="s">
        <v>30</v>
      </c>
      <c r="E8132" s="6">
        <f>IF((ISBLANK($B$1)),"",Sheet1!Q8144)</f>
        <v>5550</v>
      </c>
      <c r="F8132" s="20" t="s">
        <v>27</v>
      </c>
      <c r="G8132" s="53">
        <f t="shared" si="127"/>
        <v>1.2031220549314123</v>
      </c>
      <c r="H8132" s="35"/>
      <c r="P8132" s="6"/>
    </row>
    <row r="8133" spans="1:16" ht="14.4" x14ac:dyDescent="0.25">
      <c r="A8133" s="6">
        <v>8273</v>
      </c>
      <c r="B8133" s="6">
        <v>59170</v>
      </c>
      <c r="C8133" s="19">
        <v>39861</v>
      </c>
      <c r="D8133" s="6" t="s">
        <v>17</v>
      </c>
      <c r="E8133" s="6">
        <f>IF((ISBLANK($B$1)),"",Sheet1!Q8145)</f>
        <v>5600</v>
      </c>
      <c r="F8133" s="20" t="s">
        <v>26</v>
      </c>
      <c r="G8133" s="53">
        <f t="shared" si="127"/>
        <v>1.2721697685668893</v>
      </c>
      <c r="H8133" s="35"/>
      <c r="P8133" s="6"/>
    </row>
    <row r="8134" spans="1:16" ht="14.4" x14ac:dyDescent="0.25">
      <c r="A8134" s="6">
        <v>8274</v>
      </c>
      <c r="B8134" s="6">
        <v>59170</v>
      </c>
      <c r="C8134" s="19">
        <v>39861</v>
      </c>
      <c r="D8134" s="6" t="s">
        <v>17</v>
      </c>
      <c r="E8134" s="6">
        <f>IF((ISBLANK($B$1)),"",Sheet1!Q8146)</f>
        <v>3900</v>
      </c>
      <c r="F8134" s="20" t="s">
        <v>29</v>
      </c>
      <c r="G8134" s="53">
        <f t="shared" si="127"/>
        <v>-1.0754524950393345</v>
      </c>
      <c r="H8134" s="35"/>
      <c r="P8134" s="6"/>
    </row>
    <row r="8135" spans="1:16" ht="14.4" x14ac:dyDescent="0.25">
      <c r="A8135" s="6">
        <v>8275</v>
      </c>
      <c r="B8135" s="6">
        <v>59170</v>
      </c>
      <c r="C8135" s="19">
        <v>39861</v>
      </c>
      <c r="D8135" s="6" t="s">
        <v>17</v>
      </c>
      <c r="E8135" s="6">
        <f>IF((ISBLANK($B$1)),"",Sheet1!Q8147)</f>
        <v>4500</v>
      </c>
      <c r="F8135" s="20" t="s">
        <v>29</v>
      </c>
      <c r="G8135" s="53">
        <f t="shared" si="127"/>
        <v>-0.24687993141360834</v>
      </c>
      <c r="H8135" s="35"/>
      <c r="P8135" s="6"/>
    </row>
    <row r="8136" spans="1:16" ht="14.4" x14ac:dyDescent="0.25">
      <c r="A8136" s="6">
        <v>8276</v>
      </c>
      <c r="B8136" s="6">
        <v>59170</v>
      </c>
      <c r="C8136" s="19">
        <v>39861</v>
      </c>
      <c r="D8136" s="6" t="s">
        <v>17</v>
      </c>
      <c r="E8136" s="6">
        <f>IF((ISBLANK($B$1)),"",Sheet1!Q8148)</f>
        <v>3650</v>
      </c>
      <c r="F8136" s="20" t="s">
        <v>27</v>
      </c>
      <c r="G8136" s="53">
        <f t="shared" ref="G8136:G8199" si="128">STANDARDIZE(E8136,$L$26,$L$35)</f>
        <v>-1.4206910632167202</v>
      </c>
      <c r="H8136" s="35"/>
      <c r="P8136" s="6"/>
    </row>
    <row r="8137" spans="1:16" ht="14.4" x14ac:dyDescent="0.25">
      <c r="A8137" s="6">
        <v>8303</v>
      </c>
      <c r="B8137" s="6">
        <v>59297</v>
      </c>
      <c r="C8137" s="19">
        <v>40156</v>
      </c>
      <c r="D8137" s="6" t="s">
        <v>16</v>
      </c>
      <c r="E8137" s="6">
        <f>IF((ISBLANK($B$1)),"",Sheet1!Q8149)</f>
        <v>4050</v>
      </c>
      <c r="F8137" s="20" t="s">
        <v>27</v>
      </c>
      <c r="G8137" s="53">
        <f t="shared" si="128"/>
        <v>-0.86830935413290289</v>
      </c>
      <c r="H8137" s="35"/>
      <c r="P8137" s="6"/>
    </row>
    <row r="8138" spans="1:16" ht="14.4" x14ac:dyDescent="0.25">
      <c r="A8138" s="6">
        <v>2</v>
      </c>
      <c r="B8138" s="6">
        <v>6</v>
      </c>
      <c r="C8138" s="19">
        <v>40959</v>
      </c>
      <c r="D8138" s="6" t="s">
        <v>28</v>
      </c>
      <c r="E8138" s="6">
        <f>IF((ISBLANK($B$1)),"",Sheet1!Q8150)</f>
        <v>3500</v>
      </c>
      <c r="F8138" s="20" t="s">
        <v>26</v>
      </c>
      <c r="G8138" s="53">
        <f t="shared" si="128"/>
        <v>-1.6278342041231517</v>
      </c>
      <c r="H8138" s="35"/>
      <c r="P8138" s="6"/>
    </row>
    <row r="8139" spans="1:16" ht="14.4" x14ac:dyDescent="0.25">
      <c r="A8139" s="6">
        <v>3</v>
      </c>
      <c r="B8139" s="6">
        <v>32</v>
      </c>
      <c r="C8139" s="19">
        <v>40739</v>
      </c>
      <c r="D8139" s="6" t="s">
        <v>17</v>
      </c>
      <c r="E8139" s="6">
        <f>IF((ISBLANK($B$1)),"",Sheet1!Q8151)</f>
        <v>4700</v>
      </c>
      <c r="F8139" s="20" t="s">
        <v>29</v>
      </c>
      <c r="G8139" s="53">
        <f t="shared" si="128"/>
        <v>2.9310923128300338E-2</v>
      </c>
      <c r="H8139" s="35"/>
      <c r="P8139" s="6"/>
    </row>
    <row r="8140" spans="1:16" ht="14.4" x14ac:dyDescent="0.25">
      <c r="A8140" s="6">
        <v>4</v>
      </c>
      <c r="B8140" s="6">
        <v>32</v>
      </c>
      <c r="C8140" s="19">
        <v>40739</v>
      </c>
      <c r="D8140" s="6" t="s">
        <v>17</v>
      </c>
      <c r="E8140" s="6">
        <f>IF((ISBLANK($B$1)),"",Sheet1!Q8152)</f>
        <v>4600</v>
      </c>
      <c r="F8140" s="20" t="s">
        <v>29</v>
      </c>
      <c r="G8140" s="53">
        <f t="shared" si="128"/>
        <v>-0.108784504142654</v>
      </c>
      <c r="H8140" s="35"/>
      <c r="P8140" s="6"/>
    </row>
    <row r="8141" spans="1:16" ht="14.4" x14ac:dyDescent="0.25">
      <c r="A8141" s="6">
        <v>5</v>
      </c>
      <c r="B8141" s="6">
        <v>32</v>
      </c>
      <c r="C8141" s="19">
        <v>40739</v>
      </c>
      <c r="D8141" s="6" t="s">
        <v>17</v>
      </c>
      <c r="E8141" s="6">
        <f>IF((ISBLANK($B$1)),"",Sheet1!Q8153)</f>
        <v>4550</v>
      </c>
      <c r="F8141" s="20" t="s">
        <v>27</v>
      </c>
      <c r="G8141" s="53">
        <f t="shared" si="128"/>
        <v>-0.17783221777813119</v>
      </c>
      <c r="H8141" s="35"/>
      <c r="P8141" s="6"/>
    </row>
    <row r="8142" spans="1:16" ht="14.4" x14ac:dyDescent="0.25">
      <c r="A8142" s="6">
        <v>72</v>
      </c>
      <c r="B8142" s="6">
        <v>420</v>
      </c>
      <c r="C8142" s="19">
        <v>40846</v>
      </c>
      <c r="D8142" s="6" t="s">
        <v>28</v>
      </c>
      <c r="E8142" s="6">
        <f>IF((ISBLANK($B$1)),"",Sheet1!Q8154)</f>
        <v>3800</v>
      </c>
      <c r="F8142" s="20" t="s">
        <v>26</v>
      </c>
      <c r="G8142" s="53">
        <f t="shared" si="128"/>
        <v>-1.2135479223102887</v>
      </c>
      <c r="H8142" s="35"/>
      <c r="P8142" s="6"/>
    </row>
    <row r="8143" spans="1:16" ht="14.4" x14ac:dyDescent="0.25">
      <c r="A8143" s="6">
        <v>73</v>
      </c>
      <c r="B8143" s="6">
        <v>420</v>
      </c>
      <c r="C8143" s="19">
        <v>40846</v>
      </c>
      <c r="D8143" s="6" t="s">
        <v>28</v>
      </c>
      <c r="E8143" s="6">
        <f>IF((ISBLANK($B$1)),"",Sheet1!Q8155)</f>
        <v>3700</v>
      </c>
      <c r="F8143" s="20" t="s">
        <v>26</v>
      </c>
      <c r="G8143" s="53">
        <f t="shared" si="128"/>
        <v>-1.351643349581243</v>
      </c>
      <c r="H8143" s="35"/>
      <c r="P8143" s="6"/>
    </row>
    <row r="8144" spans="1:16" ht="14.4" x14ac:dyDescent="0.25">
      <c r="A8144" s="6">
        <v>270</v>
      </c>
      <c r="B8144" s="6">
        <v>1857</v>
      </c>
      <c r="C8144" s="19">
        <v>40190</v>
      </c>
      <c r="D8144" s="6" t="s">
        <v>17</v>
      </c>
      <c r="E8144" s="6">
        <f>IF((ISBLANK($B$1)),"",Sheet1!Q8156)</f>
        <v>5250</v>
      </c>
      <c r="F8144" s="20" t="s">
        <v>26</v>
      </c>
      <c r="G8144" s="53">
        <f t="shared" si="128"/>
        <v>0.78883577311854924</v>
      </c>
      <c r="H8144" s="35"/>
      <c r="P8144" s="6"/>
    </row>
    <row r="8145" spans="1:16" ht="14.4" x14ac:dyDescent="0.25">
      <c r="A8145" s="6">
        <v>328</v>
      </c>
      <c r="B8145" s="6">
        <v>2247</v>
      </c>
      <c r="C8145" s="19">
        <v>41122</v>
      </c>
      <c r="D8145" s="6" t="s">
        <v>28</v>
      </c>
      <c r="E8145" s="6">
        <f>IF((ISBLANK($B$1)),"",Sheet1!Q8157)</f>
        <v>3700</v>
      </c>
      <c r="F8145" s="20" t="s">
        <v>27</v>
      </c>
      <c r="G8145" s="53">
        <f t="shared" si="128"/>
        <v>-1.351643349581243</v>
      </c>
      <c r="H8145" s="35"/>
      <c r="P8145" s="6"/>
    </row>
    <row r="8146" spans="1:16" ht="14.4" x14ac:dyDescent="0.25">
      <c r="A8146" s="6">
        <v>429</v>
      </c>
      <c r="B8146" s="6">
        <v>2882</v>
      </c>
      <c r="C8146" s="19">
        <v>40776</v>
      </c>
      <c r="D8146" s="6" t="s">
        <v>17</v>
      </c>
      <c r="E8146" s="6">
        <f>IF((ISBLANK($B$1)),"",Sheet1!Q8158)</f>
        <v>4550</v>
      </c>
      <c r="F8146" s="20" t="s">
        <v>29</v>
      </c>
      <c r="G8146" s="53">
        <f t="shared" si="128"/>
        <v>-0.17783221777813119</v>
      </c>
      <c r="H8146" s="35"/>
      <c r="P8146" s="6"/>
    </row>
    <row r="8147" spans="1:16" ht="14.4" x14ac:dyDescent="0.25">
      <c r="A8147" s="6">
        <v>430</v>
      </c>
      <c r="B8147" s="6">
        <v>2882</v>
      </c>
      <c r="C8147" s="19">
        <v>40776</v>
      </c>
      <c r="D8147" s="6" t="s">
        <v>17</v>
      </c>
      <c r="E8147" s="6">
        <f>IF((ISBLANK($B$1)),"",Sheet1!Q8159)</f>
        <v>3850</v>
      </c>
      <c r="F8147" s="20" t="s">
        <v>27</v>
      </c>
      <c r="G8147" s="53">
        <f t="shared" si="128"/>
        <v>-1.1445002086748115</v>
      </c>
      <c r="H8147" s="35"/>
      <c r="P8147" s="6"/>
    </row>
    <row r="8148" spans="1:16" ht="14.4" x14ac:dyDescent="0.25">
      <c r="A8148" s="6">
        <v>476</v>
      </c>
      <c r="B8148" s="6">
        <v>3297</v>
      </c>
      <c r="C8148" s="19">
        <v>41215</v>
      </c>
      <c r="D8148" s="6" t="s">
        <v>17</v>
      </c>
      <c r="E8148" s="6">
        <f>IF((ISBLANK($B$1)),"",Sheet1!Q8160)</f>
        <v>5400</v>
      </c>
      <c r="F8148" s="20" t="s">
        <v>26</v>
      </c>
      <c r="G8148" s="53">
        <f t="shared" si="128"/>
        <v>0.99597891402498073</v>
      </c>
      <c r="H8148" s="35"/>
      <c r="P8148" s="6"/>
    </row>
    <row r="8149" spans="1:16" ht="14.4" x14ac:dyDescent="0.25">
      <c r="A8149" s="6">
        <v>544</v>
      </c>
      <c r="B8149" s="6">
        <v>3655</v>
      </c>
      <c r="C8149" s="19">
        <v>41187</v>
      </c>
      <c r="D8149" s="6" t="s">
        <v>30</v>
      </c>
      <c r="E8149" s="6">
        <f>IF((ISBLANK($B$1)),"",Sheet1!Q8161)</f>
        <v>3550</v>
      </c>
      <c r="F8149" s="20" t="s">
        <v>26</v>
      </c>
      <c r="G8149" s="53">
        <f t="shared" si="128"/>
        <v>-1.5587864904876745</v>
      </c>
      <c r="H8149" s="35"/>
      <c r="P8149" s="6"/>
    </row>
    <row r="8150" spans="1:16" ht="14.4" x14ac:dyDescent="0.25">
      <c r="A8150" s="6">
        <v>545</v>
      </c>
      <c r="B8150" s="6">
        <v>3655</v>
      </c>
      <c r="C8150" s="19">
        <v>41187</v>
      </c>
      <c r="D8150" s="6" t="s">
        <v>30</v>
      </c>
      <c r="E8150" s="6">
        <f>IF((ISBLANK($B$1)),"",Sheet1!Q8162)</f>
        <v>4600</v>
      </c>
      <c r="F8150" s="20" t="s">
        <v>27</v>
      </c>
      <c r="G8150" s="53">
        <f t="shared" si="128"/>
        <v>-0.108784504142654</v>
      </c>
      <c r="H8150" s="35"/>
      <c r="P8150" s="6"/>
    </row>
    <row r="8151" spans="1:16" ht="14.4" x14ac:dyDescent="0.25">
      <c r="A8151" s="6">
        <v>551</v>
      </c>
      <c r="B8151" s="6">
        <v>3746</v>
      </c>
      <c r="C8151" s="19">
        <v>40066</v>
      </c>
      <c r="D8151" s="6" t="s">
        <v>28</v>
      </c>
      <c r="E8151" s="6">
        <f>IF((ISBLANK($B$1)),"",Sheet1!Q8163)</f>
        <v>4100</v>
      </c>
      <c r="F8151" s="20" t="s">
        <v>27</v>
      </c>
      <c r="G8151" s="53">
        <f t="shared" si="128"/>
        <v>-0.79926164049742576</v>
      </c>
      <c r="H8151" s="35"/>
      <c r="P8151" s="6"/>
    </row>
    <row r="8152" spans="1:16" ht="14.4" x14ac:dyDescent="0.25">
      <c r="A8152" s="6">
        <v>552</v>
      </c>
      <c r="B8152" s="6">
        <v>3746</v>
      </c>
      <c r="C8152" s="19">
        <v>40066</v>
      </c>
      <c r="D8152" s="6" t="s">
        <v>28</v>
      </c>
      <c r="E8152" s="6">
        <f>IF((ISBLANK($B$1)),"",Sheet1!Q8164)</f>
        <v>5300</v>
      </c>
      <c r="F8152" s="20" t="s">
        <v>26</v>
      </c>
      <c r="G8152" s="53">
        <f t="shared" si="128"/>
        <v>0.85788348675402637</v>
      </c>
      <c r="H8152" s="35"/>
      <c r="P8152" s="6"/>
    </row>
    <row r="8153" spans="1:16" ht="14.4" x14ac:dyDescent="0.25">
      <c r="A8153" s="6">
        <v>569</v>
      </c>
      <c r="B8153" s="6">
        <v>3845</v>
      </c>
      <c r="C8153" s="19">
        <v>41024</v>
      </c>
      <c r="D8153" s="6" t="s">
        <v>30</v>
      </c>
      <c r="E8153" s="6">
        <f>IF((ISBLANK($B$1)),"",Sheet1!Q8165)</f>
        <v>3850</v>
      </c>
      <c r="F8153" s="20" t="s">
        <v>26</v>
      </c>
      <c r="G8153" s="53">
        <f t="shared" si="128"/>
        <v>-1.1445002086748115</v>
      </c>
      <c r="H8153" s="35"/>
      <c r="P8153" s="6"/>
    </row>
    <row r="8154" spans="1:16" ht="14.4" x14ac:dyDescent="0.25">
      <c r="A8154" s="6">
        <v>570</v>
      </c>
      <c r="B8154" s="6">
        <v>3845</v>
      </c>
      <c r="C8154" s="19">
        <v>41024</v>
      </c>
      <c r="D8154" s="6" t="s">
        <v>30</v>
      </c>
      <c r="E8154" s="6">
        <f>IF((ISBLANK($B$1)),"",Sheet1!Q8166)</f>
        <v>4500</v>
      </c>
      <c r="F8154" s="20" t="s">
        <v>29</v>
      </c>
      <c r="G8154" s="53">
        <f t="shared" si="128"/>
        <v>-0.24687993141360834</v>
      </c>
      <c r="H8154" s="35"/>
      <c r="P8154" s="6"/>
    </row>
    <row r="8155" spans="1:16" ht="14.4" x14ac:dyDescent="0.25">
      <c r="A8155" s="6">
        <v>571</v>
      </c>
      <c r="B8155" s="6">
        <v>3845</v>
      </c>
      <c r="C8155" s="19">
        <v>41024</v>
      </c>
      <c r="D8155" s="6" t="s">
        <v>30</v>
      </c>
      <c r="E8155" s="6">
        <f>IF((ISBLANK($B$1)),"",Sheet1!Q8167)</f>
        <v>4150</v>
      </c>
      <c r="F8155" s="20" t="s">
        <v>29</v>
      </c>
      <c r="G8155" s="53">
        <f t="shared" si="128"/>
        <v>-0.73021392686194853</v>
      </c>
      <c r="H8155" s="35"/>
      <c r="P8155" s="6"/>
    </row>
    <row r="8156" spans="1:16" ht="14.4" x14ac:dyDescent="0.25">
      <c r="A8156" s="6">
        <v>640</v>
      </c>
      <c r="B8156" s="6">
        <v>4514</v>
      </c>
      <c r="C8156" s="19">
        <v>39932</v>
      </c>
      <c r="D8156" s="6" t="s">
        <v>16</v>
      </c>
      <c r="E8156" s="6">
        <f>IF((ISBLANK($B$1)),"",Sheet1!Q8168)</f>
        <v>4800</v>
      </c>
      <c r="F8156" s="20" t="s">
        <v>27</v>
      </c>
      <c r="G8156" s="53">
        <f t="shared" si="128"/>
        <v>0.16740635039925467</v>
      </c>
      <c r="H8156" s="35"/>
      <c r="P8156" s="6"/>
    </row>
    <row r="8157" spans="1:16" ht="14.4" x14ac:dyDescent="0.25">
      <c r="A8157" s="6">
        <v>666</v>
      </c>
      <c r="B8157" s="6">
        <v>4672</v>
      </c>
      <c r="C8157" s="19">
        <v>40853</v>
      </c>
      <c r="D8157" s="6" t="s">
        <v>30</v>
      </c>
      <c r="E8157" s="6">
        <f>IF((ISBLANK($B$1)),"",Sheet1!Q8169)</f>
        <v>4400</v>
      </c>
      <c r="F8157" s="20" t="s">
        <v>29</v>
      </c>
      <c r="G8157" s="53">
        <f t="shared" si="128"/>
        <v>-0.38497535868456267</v>
      </c>
      <c r="H8157" s="35"/>
      <c r="P8157" s="6"/>
    </row>
    <row r="8158" spans="1:16" ht="14.4" x14ac:dyDescent="0.25">
      <c r="A8158" s="6">
        <v>673</v>
      </c>
      <c r="B8158" s="6">
        <v>4705</v>
      </c>
      <c r="C8158" s="19">
        <v>40989</v>
      </c>
      <c r="D8158" s="6" t="s">
        <v>28</v>
      </c>
      <c r="E8158" s="6">
        <f>IF((ISBLANK($B$1)),"",Sheet1!Q8170)</f>
        <v>4200</v>
      </c>
      <c r="F8158" s="20" t="s">
        <v>26</v>
      </c>
      <c r="G8158" s="53">
        <f t="shared" si="128"/>
        <v>-0.6611662132264714</v>
      </c>
      <c r="H8158" s="35"/>
      <c r="P8158" s="6"/>
    </row>
    <row r="8159" spans="1:16" ht="14.4" x14ac:dyDescent="0.25">
      <c r="A8159" s="6">
        <v>692</v>
      </c>
      <c r="B8159" s="6">
        <v>4805</v>
      </c>
      <c r="C8159" s="19">
        <v>41023</v>
      </c>
      <c r="D8159" s="6" t="s">
        <v>28</v>
      </c>
      <c r="E8159" s="6">
        <f>IF((ISBLANK($B$1)),"",Sheet1!Q8171)</f>
        <v>3750</v>
      </c>
      <c r="F8159" s="20" t="s">
        <v>26</v>
      </c>
      <c r="G8159" s="53">
        <f t="shared" si="128"/>
        <v>-1.282595635945766</v>
      </c>
      <c r="H8159" s="35"/>
      <c r="P8159" s="6"/>
    </row>
    <row r="8160" spans="1:16" ht="14.4" x14ac:dyDescent="0.25">
      <c r="A8160" s="6">
        <v>728</v>
      </c>
      <c r="B8160" s="6">
        <v>5222</v>
      </c>
      <c r="C8160" s="19">
        <v>39959</v>
      </c>
      <c r="D8160" s="6" t="s">
        <v>28</v>
      </c>
      <c r="E8160" s="6">
        <f>IF((ISBLANK($B$1)),"",Sheet1!Q8172)</f>
        <v>5400</v>
      </c>
      <c r="F8160" s="20" t="s">
        <v>29</v>
      </c>
      <c r="G8160" s="53">
        <f t="shared" si="128"/>
        <v>0.99597891402498073</v>
      </c>
      <c r="H8160" s="35"/>
      <c r="P8160" s="6"/>
    </row>
    <row r="8161" spans="1:16" ht="14.4" x14ac:dyDescent="0.25">
      <c r="A8161" s="6">
        <v>757</v>
      </c>
      <c r="B8161" s="6">
        <v>5441</v>
      </c>
      <c r="C8161" s="19">
        <v>40014</v>
      </c>
      <c r="D8161" s="6" t="s">
        <v>28</v>
      </c>
      <c r="E8161" s="6">
        <f>IF((ISBLANK($B$1)),"",Sheet1!Q8173)</f>
        <v>5100</v>
      </c>
      <c r="F8161" s="20" t="s">
        <v>26</v>
      </c>
      <c r="G8161" s="53">
        <f t="shared" si="128"/>
        <v>0.58169263221211776</v>
      </c>
      <c r="H8161" s="35"/>
      <c r="P8161" s="6"/>
    </row>
    <row r="8162" spans="1:16" ht="14.4" x14ac:dyDescent="0.25">
      <c r="A8162" s="6">
        <v>758</v>
      </c>
      <c r="B8162" s="6">
        <v>5441</v>
      </c>
      <c r="C8162" s="19">
        <v>40014</v>
      </c>
      <c r="D8162" s="6" t="s">
        <v>28</v>
      </c>
      <c r="E8162" s="6">
        <f>IF((ISBLANK($B$1)),"",Sheet1!Q8174)</f>
        <v>4200</v>
      </c>
      <c r="F8162" s="20" t="s">
        <v>26</v>
      </c>
      <c r="G8162" s="53">
        <f t="shared" si="128"/>
        <v>-0.6611662132264714</v>
      </c>
      <c r="H8162" s="35"/>
      <c r="P8162" s="6"/>
    </row>
    <row r="8163" spans="1:16" ht="14.4" x14ac:dyDescent="0.25">
      <c r="A8163" s="6">
        <v>902</v>
      </c>
      <c r="B8163" s="6">
        <v>6500</v>
      </c>
      <c r="C8163" s="19">
        <v>41194</v>
      </c>
      <c r="D8163" s="6" t="s">
        <v>30</v>
      </c>
      <c r="E8163" s="6">
        <f>IF((ISBLANK($B$1)),"",Sheet1!Q8175)</f>
        <v>4150</v>
      </c>
      <c r="F8163" s="20" t="s">
        <v>27</v>
      </c>
      <c r="G8163" s="53">
        <f t="shared" si="128"/>
        <v>-0.73021392686194853</v>
      </c>
      <c r="H8163" s="35"/>
      <c r="P8163" s="6"/>
    </row>
    <row r="8164" spans="1:16" ht="14.4" x14ac:dyDescent="0.25">
      <c r="A8164" s="6">
        <v>903</v>
      </c>
      <c r="B8164" s="6">
        <v>6500</v>
      </c>
      <c r="C8164" s="19">
        <v>41194</v>
      </c>
      <c r="D8164" s="6" t="s">
        <v>30</v>
      </c>
      <c r="E8164" s="6">
        <f>IF((ISBLANK($B$1)),"",Sheet1!Q8176)</f>
        <v>4400</v>
      </c>
      <c r="F8164" s="20" t="s">
        <v>26</v>
      </c>
      <c r="G8164" s="53">
        <f t="shared" si="128"/>
        <v>-0.38497535868456267</v>
      </c>
      <c r="H8164" s="35"/>
      <c r="P8164" s="6"/>
    </row>
    <row r="8165" spans="1:16" ht="14.4" x14ac:dyDescent="0.25">
      <c r="A8165" s="6">
        <v>914</v>
      </c>
      <c r="B8165" s="6">
        <v>6562</v>
      </c>
      <c r="C8165" s="19">
        <v>40167</v>
      </c>
      <c r="D8165" s="6" t="s">
        <v>30</v>
      </c>
      <c r="E8165" s="6">
        <f>IF((ISBLANK($B$1)),"",Sheet1!Q8177)</f>
        <v>4000</v>
      </c>
      <c r="F8165" s="20" t="s">
        <v>27</v>
      </c>
      <c r="G8165" s="53">
        <f t="shared" si="128"/>
        <v>-0.93735706776838001</v>
      </c>
      <c r="H8165" s="35"/>
      <c r="P8165" s="6"/>
    </row>
    <row r="8166" spans="1:16" ht="14.4" x14ac:dyDescent="0.25">
      <c r="A8166" s="6">
        <v>998</v>
      </c>
      <c r="B8166" s="6">
        <v>7203</v>
      </c>
      <c r="C8166" s="19">
        <v>39821</v>
      </c>
      <c r="D8166" s="6" t="s">
        <v>17</v>
      </c>
      <c r="E8166" s="6">
        <f>IF((ISBLANK($B$1)),"",Sheet1!Q8178)</f>
        <v>4650</v>
      </c>
      <c r="F8166" s="20" t="s">
        <v>26</v>
      </c>
      <c r="G8166" s="53">
        <f t="shared" si="128"/>
        <v>-3.9736790507176829E-2</v>
      </c>
      <c r="H8166" s="35"/>
      <c r="P8166" s="6"/>
    </row>
    <row r="8167" spans="1:16" ht="14.4" x14ac:dyDescent="0.25">
      <c r="A8167" s="6">
        <v>1035</v>
      </c>
      <c r="B8167" s="6">
        <v>7553</v>
      </c>
      <c r="C8167" s="19">
        <v>40305</v>
      </c>
      <c r="D8167" s="6" t="s">
        <v>16</v>
      </c>
      <c r="E8167" s="6">
        <f>IF((ISBLANK($B$1)),"",Sheet1!Q8179)</f>
        <v>4000</v>
      </c>
      <c r="F8167" s="20" t="s">
        <v>29</v>
      </c>
      <c r="G8167" s="53">
        <f t="shared" si="128"/>
        <v>-0.93735706776838001</v>
      </c>
      <c r="H8167" s="35"/>
      <c r="P8167" s="6"/>
    </row>
    <row r="8168" spans="1:16" ht="14.4" x14ac:dyDescent="0.25">
      <c r="A8168" s="6">
        <v>1036</v>
      </c>
      <c r="B8168" s="6">
        <v>7553</v>
      </c>
      <c r="C8168" s="19">
        <v>40305</v>
      </c>
      <c r="D8168" s="6" t="s">
        <v>16</v>
      </c>
      <c r="E8168" s="6">
        <f>IF((ISBLANK($B$1)),"",Sheet1!Q8180)</f>
        <v>3550</v>
      </c>
      <c r="F8168" s="20" t="s">
        <v>26</v>
      </c>
      <c r="G8168" s="53">
        <f t="shared" si="128"/>
        <v>-1.5587864904876745</v>
      </c>
      <c r="H8168" s="35"/>
      <c r="P8168" s="6"/>
    </row>
    <row r="8169" spans="1:16" ht="14.4" x14ac:dyDescent="0.25">
      <c r="A8169" s="6">
        <v>1046</v>
      </c>
      <c r="B8169" s="6">
        <v>7680</v>
      </c>
      <c r="C8169" s="19">
        <v>40641</v>
      </c>
      <c r="D8169" s="6" t="s">
        <v>28</v>
      </c>
      <c r="E8169" s="6">
        <f>IF((ISBLANK($B$1)),"",Sheet1!Q8181)</f>
        <v>5000</v>
      </c>
      <c r="F8169" s="20" t="s">
        <v>26</v>
      </c>
      <c r="G8169" s="53">
        <f t="shared" si="128"/>
        <v>0.44359720494116334</v>
      </c>
      <c r="H8169" s="35"/>
      <c r="P8169" s="6"/>
    </row>
    <row r="8170" spans="1:16" ht="14.4" x14ac:dyDescent="0.25">
      <c r="A8170" s="6">
        <v>1047</v>
      </c>
      <c r="B8170" s="6">
        <v>7719</v>
      </c>
      <c r="C8170" s="19">
        <v>39893</v>
      </c>
      <c r="D8170" s="6" t="s">
        <v>25</v>
      </c>
      <c r="E8170" s="6">
        <f>IF((ISBLANK($B$1)),"",Sheet1!Q8182)</f>
        <v>5250</v>
      </c>
      <c r="F8170" s="20" t="s">
        <v>26</v>
      </c>
      <c r="G8170" s="53">
        <f t="shared" si="128"/>
        <v>0.78883577311854924</v>
      </c>
      <c r="H8170" s="35"/>
      <c r="P8170" s="6"/>
    </row>
    <row r="8171" spans="1:16" ht="14.4" x14ac:dyDescent="0.25">
      <c r="A8171" s="6">
        <v>1116</v>
      </c>
      <c r="B8171" s="6">
        <v>8167</v>
      </c>
      <c r="C8171" s="19">
        <v>41125</v>
      </c>
      <c r="D8171" s="6" t="s">
        <v>30</v>
      </c>
      <c r="E8171" s="6">
        <f>IF((ISBLANK($B$1)),"",Sheet1!Q8183)</f>
        <v>3600</v>
      </c>
      <c r="F8171" s="20" t="s">
        <v>26</v>
      </c>
      <c r="G8171" s="53">
        <f t="shared" si="128"/>
        <v>-1.4897387768521975</v>
      </c>
      <c r="H8171" s="35"/>
      <c r="P8171" s="6"/>
    </row>
    <row r="8172" spans="1:16" ht="14.4" x14ac:dyDescent="0.25">
      <c r="A8172" s="6">
        <v>1117</v>
      </c>
      <c r="B8172" s="6">
        <v>8167</v>
      </c>
      <c r="C8172" s="19">
        <v>41125</v>
      </c>
      <c r="D8172" s="6" t="s">
        <v>30</v>
      </c>
      <c r="E8172" s="6">
        <f>IF((ISBLANK($B$1)),"",Sheet1!Q8184)</f>
        <v>5800</v>
      </c>
      <c r="F8172" s="20" t="s">
        <v>27</v>
      </c>
      <c r="G8172" s="53">
        <f t="shared" si="128"/>
        <v>1.5483606231087981</v>
      </c>
      <c r="H8172" s="35"/>
      <c r="P8172" s="6"/>
    </row>
    <row r="8173" spans="1:16" ht="14.4" x14ac:dyDescent="0.25">
      <c r="A8173" s="6">
        <v>1146</v>
      </c>
      <c r="B8173" s="6">
        <v>8353</v>
      </c>
      <c r="C8173" s="19">
        <v>39948</v>
      </c>
      <c r="D8173" s="6" t="s">
        <v>16</v>
      </c>
      <c r="E8173" s="6">
        <f>IF((ISBLANK($B$1)),"",Sheet1!Q8185)</f>
        <v>5100</v>
      </c>
      <c r="F8173" s="20" t="s">
        <v>27</v>
      </c>
      <c r="G8173" s="53">
        <f t="shared" si="128"/>
        <v>0.58169263221211776</v>
      </c>
      <c r="H8173" s="35"/>
      <c r="P8173" s="6"/>
    </row>
    <row r="8174" spans="1:16" ht="14.4" x14ac:dyDescent="0.25">
      <c r="A8174" s="6">
        <v>1147</v>
      </c>
      <c r="B8174" s="6">
        <v>8353</v>
      </c>
      <c r="C8174" s="19">
        <v>39948</v>
      </c>
      <c r="D8174" s="6" t="s">
        <v>16</v>
      </c>
      <c r="E8174" s="6">
        <f>IF((ISBLANK($B$1)),"",Sheet1!Q8186)</f>
        <v>4200</v>
      </c>
      <c r="F8174" s="20" t="s">
        <v>26</v>
      </c>
      <c r="G8174" s="53">
        <f t="shared" si="128"/>
        <v>-0.6611662132264714</v>
      </c>
      <c r="H8174" s="35"/>
      <c r="P8174" s="6"/>
    </row>
    <row r="8175" spans="1:16" ht="14.4" x14ac:dyDescent="0.25">
      <c r="A8175" s="6">
        <v>1178</v>
      </c>
      <c r="B8175" s="6">
        <v>8609</v>
      </c>
      <c r="C8175" s="19">
        <v>41013</v>
      </c>
      <c r="D8175" s="6" t="s">
        <v>30</v>
      </c>
      <c r="E8175" s="6">
        <f>IF((ISBLANK($B$1)),"",Sheet1!Q8187)</f>
        <v>3600</v>
      </c>
      <c r="F8175" s="20" t="s">
        <v>27</v>
      </c>
      <c r="G8175" s="53">
        <f t="shared" si="128"/>
        <v>-1.4897387768521975</v>
      </c>
      <c r="H8175" s="35"/>
      <c r="P8175" s="6"/>
    </row>
    <row r="8176" spans="1:16" ht="14.4" x14ac:dyDescent="0.25">
      <c r="A8176" s="6">
        <v>1232</v>
      </c>
      <c r="B8176" s="6">
        <v>8997</v>
      </c>
      <c r="C8176" s="19">
        <v>39995</v>
      </c>
      <c r="D8176" s="6" t="s">
        <v>25</v>
      </c>
      <c r="E8176" s="6">
        <f>IF((ISBLANK($B$1)),"",Sheet1!Q8188)</f>
        <v>5400</v>
      </c>
      <c r="F8176" s="20" t="s">
        <v>27</v>
      </c>
      <c r="G8176" s="53">
        <f t="shared" si="128"/>
        <v>0.99597891402498073</v>
      </c>
      <c r="H8176" s="35"/>
      <c r="P8176" s="6"/>
    </row>
    <row r="8177" spans="1:16" ht="14.4" x14ac:dyDescent="0.25">
      <c r="A8177" s="6">
        <v>1233</v>
      </c>
      <c r="B8177" s="6">
        <v>8997</v>
      </c>
      <c r="C8177" s="19">
        <v>39995</v>
      </c>
      <c r="D8177" s="6" t="s">
        <v>25</v>
      </c>
      <c r="E8177" s="6">
        <f>IF((ISBLANK($B$1)),"",Sheet1!Q8189)</f>
        <v>4400</v>
      </c>
      <c r="F8177" s="20" t="s">
        <v>26</v>
      </c>
      <c r="G8177" s="53">
        <f t="shared" si="128"/>
        <v>-0.38497535868456267</v>
      </c>
      <c r="H8177" s="35"/>
      <c r="P8177" s="6"/>
    </row>
    <row r="8178" spans="1:16" ht="14.4" x14ac:dyDescent="0.25">
      <c r="A8178" s="6">
        <v>1248</v>
      </c>
      <c r="B8178" s="6">
        <v>9089</v>
      </c>
      <c r="C8178" s="19">
        <v>40321</v>
      </c>
      <c r="D8178" s="6" t="s">
        <v>30</v>
      </c>
      <c r="E8178" s="6">
        <f>IF((ISBLANK($B$1)),"",Sheet1!Q8190)</f>
        <v>3800</v>
      </c>
      <c r="F8178" s="20" t="s">
        <v>27</v>
      </c>
      <c r="G8178" s="53">
        <f t="shared" si="128"/>
        <v>-1.2135479223102887</v>
      </c>
      <c r="H8178" s="35"/>
      <c r="P8178" s="6"/>
    </row>
    <row r="8179" spans="1:16" ht="14.4" x14ac:dyDescent="0.25">
      <c r="A8179" s="6">
        <v>1267</v>
      </c>
      <c r="B8179" s="6">
        <v>9221</v>
      </c>
      <c r="C8179" s="19">
        <v>40546</v>
      </c>
      <c r="D8179" s="6" t="s">
        <v>25</v>
      </c>
      <c r="E8179" s="6">
        <f>IF((ISBLANK($B$1)),"",Sheet1!Q8191)</f>
        <v>3850</v>
      </c>
      <c r="F8179" s="20" t="s">
        <v>26</v>
      </c>
      <c r="G8179" s="53">
        <f t="shared" si="128"/>
        <v>-1.1445002086748115</v>
      </c>
      <c r="H8179" s="35"/>
      <c r="P8179" s="6"/>
    </row>
    <row r="8180" spans="1:16" ht="14.4" x14ac:dyDescent="0.25">
      <c r="A8180" s="6">
        <v>1268</v>
      </c>
      <c r="B8180" s="6">
        <v>9221</v>
      </c>
      <c r="C8180" s="19">
        <v>40546</v>
      </c>
      <c r="D8180" s="6" t="s">
        <v>25</v>
      </c>
      <c r="E8180" s="6">
        <f>IF((ISBLANK($B$1)),"",Sheet1!Q8192)</f>
        <v>4650</v>
      </c>
      <c r="F8180" s="20" t="s">
        <v>26</v>
      </c>
      <c r="G8180" s="53">
        <f t="shared" si="128"/>
        <v>-3.9736790507176829E-2</v>
      </c>
      <c r="H8180" s="35"/>
      <c r="P8180" s="6"/>
    </row>
    <row r="8181" spans="1:16" ht="14.4" x14ac:dyDescent="0.25">
      <c r="A8181" s="6">
        <v>1280</v>
      </c>
      <c r="B8181" s="6">
        <v>9286</v>
      </c>
      <c r="C8181" s="19">
        <v>40636</v>
      </c>
      <c r="D8181" s="6" t="s">
        <v>30</v>
      </c>
      <c r="E8181" s="6">
        <f>IF((ISBLANK($B$1)),"",Sheet1!Q8193)</f>
        <v>4700</v>
      </c>
      <c r="F8181" s="20" t="s">
        <v>26</v>
      </c>
      <c r="G8181" s="53">
        <f t="shared" si="128"/>
        <v>2.9310923128300338E-2</v>
      </c>
      <c r="H8181" s="35"/>
      <c r="P8181" s="6"/>
    </row>
    <row r="8182" spans="1:16" ht="14.4" x14ac:dyDescent="0.25">
      <c r="A8182" s="6">
        <v>1293</v>
      </c>
      <c r="B8182" s="6">
        <v>9476</v>
      </c>
      <c r="C8182" s="19">
        <v>39958</v>
      </c>
      <c r="D8182" s="6" t="s">
        <v>28</v>
      </c>
      <c r="E8182" s="6">
        <f>IF((ISBLANK($B$1)),"",Sheet1!Q8194)</f>
        <v>3900</v>
      </c>
      <c r="F8182" s="20" t="s">
        <v>26</v>
      </c>
      <c r="G8182" s="53">
        <f t="shared" si="128"/>
        <v>-1.0754524950393345</v>
      </c>
      <c r="H8182" s="35"/>
      <c r="P8182" s="6"/>
    </row>
    <row r="8183" spans="1:16" ht="14.4" x14ac:dyDescent="0.25">
      <c r="A8183" s="6">
        <v>1313</v>
      </c>
      <c r="B8183" s="6">
        <v>9632</v>
      </c>
      <c r="C8183" s="19">
        <v>40924</v>
      </c>
      <c r="D8183" s="6" t="s">
        <v>25</v>
      </c>
      <c r="E8183" s="6">
        <f>IF((ISBLANK($B$1)),"",Sheet1!Q8195)</f>
        <v>5050</v>
      </c>
      <c r="F8183" s="20" t="s">
        <v>26</v>
      </c>
      <c r="G8183" s="53">
        <f t="shared" si="128"/>
        <v>0.51264491857664052</v>
      </c>
      <c r="H8183" s="35"/>
      <c r="P8183" s="6"/>
    </row>
    <row r="8184" spans="1:16" ht="14.4" x14ac:dyDescent="0.25">
      <c r="A8184" s="6">
        <v>1341</v>
      </c>
      <c r="B8184" s="6">
        <v>9796</v>
      </c>
      <c r="C8184" s="19">
        <v>40431</v>
      </c>
      <c r="D8184" s="6" t="s">
        <v>30</v>
      </c>
      <c r="E8184" s="6">
        <f>IF((ISBLANK($B$1)),"",Sheet1!Q8196)</f>
        <v>4850</v>
      </c>
      <c r="F8184" s="20" t="s">
        <v>27</v>
      </c>
      <c r="G8184" s="53">
        <f t="shared" si="128"/>
        <v>0.23645406403473185</v>
      </c>
      <c r="H8184" s="35"/>
      <c r="P8184" s="6"/>
    </row>
    <row r="8185" spans="1:16" ht="14.4" x14ac:dyDescent="0.25">
      <c r="A8185" s="6">
        <v>1377</v>
      </c>
      <c r="B8185" s="6">
        <v>9955</v>
      </c>
      <c r="C8185" s="19">
        <v>40790</v>
      </c>
      <c r="D8185" s="6" t="s">
        <v>30</v>
      </c>
      <c r="E8185" s="6">
        <f>IF((ISBLANK($B$1)),"",Sheet1!Q8197)</f>
        <v>5250</v>
      </c>
      <c r="F8185" s="20" t="s">
        <v>27</v>
      </c>
      <c r="G8185" s="53">
        <f t="shared" si="128"/>
        <v>0.78883577311854924</v>
      </c>
      <c r="H8185" s="35"/>
      <c r="P8185" s="6"/>
    </row>
    <row r="8186" spans="1:16" ht="14.4" x14ac:dyDescent="0.25">
      <c r="A8186" s="6">
        <v>1379</v>
      </c>
      <c r="B8186" s="6">
        <v>9985</v>
      </c>
      <c r="C8186" s="19">
        <v>40397</v>
      </c>
      <c r="D8186" s="6" t="s">
        <v>25</v>
      </c>
      <c r="E8186" s="6">
        <f>IF((ISBLANK($B$1)),"",Sheet1!Q8198)</f>
        <v>4000</v>
      </c>
      <c r="F8186" s="20" t="s">
        <v>26</v>
      </c>
      <c r="G8186" s="53">
        <f t="shared" si="128"/>
        <v>-0.93735706776838001</v>
      </c>
      <c r="H8186" s="35"/>
      <c r="P8186" s="6"/>
    </row>
    <row r="8187" spans="1:16" ht="14.4" x14ac:dyDescent="0.25">
      <c r="A8187" s="6">
        <v>1405</v>
      </c>
      <c r="B8187" s="6">
        <v>10212</v>
      </c>
      <c r="C8187" s="19">
        <v>40321</v>
      </c>
      <c r="D8187" s="6" t="s">
        <v>25</v>
      </c>
      <c r="E8187" s="6">
        <f>IF((ISBLANK($B$1)),"",Sheet1!Q8199)</f>
        <v>4100</v>
      </c>
      <c r="F8187" s="20" t="s">
        <v>29</v>
      </c>
      <c r="G8187" s="53">
        <f t="shared" si="128"/>
        <v>-0.79926164049742576</v>
      </c>
      <c r="H8187" s="35"/>
      <c r="P8187" s="6"/>
    </row>
    <row r="8188" spans="1:16" ht="14.4" x14ac:dyDescent="0.25">
      <c r="A8188" s="6">
        <v>1406</v>
      </c>
      <c r="B8188" s="6">
        <v>10212</v>
      </c>
      <c r="C8188" s="19">
        <v>40321</v>
      </c>
      <c r="D8188" s="6" t="s">
        <v>25</v>
      </c>
      <c r="E8188" s="6">
        <f>IF((ISBLANK($B$1)),"",Sheet1!Q8200)</f>
        <v>4500</v>
      </c>
      <c r="F8188" s="20" t="s">
        <v>26</v>
      </c>
      <c r="G8188" s="53">
        <f t="shared" si="128"/>
        <v>-0.24687993141360834</v>
      </c>
      <c r="H8188" s="35"/>
      <c r="P8188" s="6"/>
    </row>
    <row r="8189" spans="1:16" ht="14.4" x14ac:dyDescent="0.25">
      <c r="A8189" s="6">
        <v>1446</v>
      </c>
      <c r="B8189" s="6">
        <v>10439</v>
      </c>
      <c r="C8189" s="19">
        <v>40996</v>
      </c>
      <c r="D8189" s="6" t="s">
        <v>28</v>
      </c>
      <c r="E8189" s="6">
        <f>IF((ISBLANK($B$1)),"",Sheet1!Q8201)</f>
        <v>5450</v>
      </c>
      <c r="F8189" s="20" t="s">
        <v>26</v>
      </c>
      <c r="G8189" s="53">
        <f t="shared" si="128"/>
        <v>1.0650266276604579</v>
      </c>
      <c r="H8189" s="35"/>
      <c r="P8189" s="6"/>
    </row>
    <row r="8190" spans="1:16" ht="14.4" x14ac:dyDescent="0.25">
      <c r="A8190" s="6">
        <v>1447</v>
      </c>
      <c r="B8190" s="6">
        <v>10439</v>
      </c>
      <c r="C8190" s="19">
        <v>40996</v>
      </c>
      <c r="D8190" s="6" t="s">
        <v>28</v>
      </c>
      <c r="E8190" s="6">
        <f>IF((ISBLANK($B$1)),"",Sheet1!Q8202)</f>
        <v>4900</v>
      </c>
      <c r="F8190" s="20" t="s">
        <v>27</v>
      </c>
      <c r="G8190" s="53">
        <f t="shared" si="128"/>
        <v>0.30550177767020903</v>
      </c>
      <c r="H8190" s="35"/>
      <c r="P8190" s="6"/>
    </row>
    <row r="8191" spans="1:16" ht="14.4" x14ac:dyDescent="0.25">
      <c r="A8191" s="6">
        <v>1448</v>
      </c>
      <c r="B8191" s="6">
        <v>10439</v>
      </c>
      <c r="C8191" s="19">
        <v>40996</v>
      </c>
      <c r="D8191" s="6" t="s">
        <v>28</v>
      </c>
      <c r="E8191" s="6">
        <f>IF((ISBLANK($B$1)),"",Sheet1!Q8203)</f>
        <v>4750</v>
      </c>
      <c r="F8191" s="20" t="s">
        <v>26</v>
      </c>
      <c r="G8191" s="53">
        <f t="shared" si="128"/>
        <v>9.8358636763777513E-2</v>
      </c>
      <c r="H8191" s="35"/>
      <c r="P8191" s="6"/>
    </row>
    <row r="8192" spans="1:16" ht="14.4" x14ac:dyDescent="0.25">
      <c r="A8192" s="6">
        <v>1449</v>
      </c>
      <c r="B8192" s="6">
        <v>10439</v>
      </c>
      <c r="C8192" s="19">
        <v>40996</v>
      </c>
      <c r="D8192" s="6" t="s">
        <v>28</v>
      </c>
      <c r="E8192" s="6">
        <f>IF((ISBLANK($B$1)),"",Sheet1!Q8204)</f>
        <v>5700</v>
      </c>
      <c r="F8192" s="20" t="s">
        <v>29</v>
      </c>
      <c r="G8192" s="53">
        <f t="shared" si="128"/>
        <v>1.4102651958378438</v>
      </c>
      <c r="H8192" s="35"/>
      <c r="P8192" s="6"/>
    </row>
    <row r="8193" spans="1:16" ht="14.4" x14ac:dyDescent="0.25">
      <c r="A8193" s="6">
        <v>1450</v>
      </c>
      <c r="B8193" s="6">
        <v>10464</v>
      </c>
      <c r="C8193" s="19">
        <v>40035</v>
      </c>
      <c r="D8193" s="6" t="s">
        <v>30</v>
      </c>
      <c r="E8193" s="6">
        <f>IF((ISBLANK($B$1)),"",Sheet1!Q8205)</f>
        <v>4550</v>
      </c>
      <c r="F8193" s="20" t="s">
        <v>26</v>
      </c>
      <c r="G8193" s="53">
        <f t="shared" si="128"/>
        <v>-0.17783221777813119</v>
      </c>
      <c r="H8193" s="35"/>
      <c r="P8193" s="6"/>
    </row>
    <row r="8194" spans="1:16" ht="14.4" x14ac:dyDescent="0.25">
      <c r="A8194" s="6">
        <v>1498</v>
      </c>
      <c r="B8194" s="6">
        <v>10820</v>
      </c>
      <c r="C8194" s="19">
        <v>40904</v>
      </c>
      <c r="D8194" s="6" t="s">
        <v>28</v>
      </c>
      <c r="E8194" s="6">
        <f>IF((ISBLANK($B$1)),"",Sheet1!Q8206)</f>
        <v>5850</v>
      </c>
      <c r="F8194" s="20" t="s">
        <v>26</v>
      </c>
      <c r="G8194" s="53">
        <f t="shared" si="128"/>
        <v>1.6174083367442753</v>
      </c>
      <c r="H8194" s="35"/>
      <c r="P8194" s="6"/>
    </row>
    <row r="8195" spans="1:16" ht="14.4" x14ac:dyDescent="0.25">
      <c r="A8195" s="6">
        <v>1499</v>
      </c>
      <c r="B8195" s="6">
        <v>10820</v>
      </c>
      <c r="C8195" s="19">
        <v>40904</v>
      </c>
      <c r="D8195" s="6" t="s">
        <v>28</v>
      </c>
      <c r="E8195" s="6">
        <f>IF((ISBLANK($B$1)),"",Sheet1!Q8207)</f>
        <v>5050</v>
      </c>
      <c r="F8195" s="20" t="s">
        <v>26</v>
      </c>
      <c r="G8195" s="53">
        <f t="shared" si="128"/>
        <v>0.51264491857664052</v>
      </c>
      <c r="H8195" s="35"/>
      <c r="P8195" s="6"/>
    </row>
    <row r="8196" spans="1:16" ht="14.4" x14ac:dyDescent="0.25">
      <c r="A8196" s="6">
        <v>1529</v>
      </c>
      <c r="B8196" s="6">
        <v>11013</v>
      </c>
      <c r="C8196" s="19">
        <v>39920</v>
      </c>
      <c r="D8196" s="6" t="s">
        <v>17</v>
      </c>
      <c r="E8196" s="6">
        <f>IF((ISBLANK($B$1)),"",Sheet1!Q8208)</f>
        <v>3500</v>
      </c>
      <c r="F8196" s="20" t="s">
        <v>27</v>
      </c>
      <c r="G8196" s="53">
        <f t="shared" si="128"/>
        <v>-1.6278342041231517</v>
      </c>
      <c r="H8196" s="35"/>
      <c r="P8196" s="6"/>
    </row>
    <row r="8197" spans="1:16" ht="14.4" x14ac:dyDescent="0.25">
      <c r="A8197" s="6">
        <v>1546</v>
      </c>
      <c r="B8197" s="6">
        <v>11169</v>
      </c>
      <c r="C8197" s="19">
        <v>40319</v>
      </c>
      <c r="D8197" s="6" t="s">
        <v>16</v>
      </c>
      <c r="E8197" s="6">
        <f>IF((ISBLANK($B$1)),"",Sheet1!Q8209)</f>
        <v>5700</v>
      </c>
      <c r="F8197" s="20" t="s">
        <v>26</v>
      </c>
      <c r="G8197" s="53">
        <f t="shared" si="128"/>
        <v>1.4102651958378438</v>
      </c>
      <c r="H8197" s="35"/>
      <c r="P8197" s="6"/>
    </row>
    <row r="8198" spans="1:16" ht="14.4" x14ac:dyDescent="0.25">
      <c r="A8198" s="6">
        <v>1547</v>
      </c>
      <c r="B8198" s="6">
        <v>11169</v>
      </c>
      <c r="C8198" s="19">
        <v>40319</v>
      </c>
      <c r="D8198" s="6" t="s">
        <v>16</v>
      </c>
      <c r="E8198" s="6">
        <f>IF((ISBLANK($B$1)),"",Sheet1!Q8210)</f>
        <v>5600</v>
      </c>
      <c r="F8198" s="20" t="s">
        <v>26</v>
      </c>
      <c r="G8198" s="53">
        <f t="shared" si="128"/>
        <v>1.2721697685668893</v>
      </c>
      <c r="H8198" s="35"/>
      <c r="P8198" s="6"/>
    </row>
    <row r="8199" spans="1:16" ht="14.4" x14ac:dyDescent="0.25">
      <c r="A8199" s="6">
        <v>1548</v>
      </c>
      <c r="B8199" s="6">
        <v>11169</v>
      </c>
      <c r="C8199" s="19">
        <v>40319</v>
      </c>
      <c r="D8199" s="6" t="s">
        <v>16</v>
      </c>
      <c r="E8199" s="6">
        <f>IF((ISBLANK($B$1)),"",Sheet1!Q8211)</f>
        <v>3650</v>
      </c>
      <c r="F8199" s="20" t="s">
        <v>26</v>
      </c>
      <c r="G8199" s="53">
        <f t="shared" si="128"/>
        <v>-1.4206910632167202</v>
      </c>
      <c r="H8199" s="35"/>
      <c r="P8199" s="6"/>
    </row>
    <row r="8200" spans="1:16" ht="14.4" x14ac:dyDescent="0.25">
      <c r="A8200" s="6">
        <v>1606</v>
      </c>
      <c r="B8200" s="6">
        <v>11651</v>
      </c>
      <c r="C8200" s="19">
        <v>40596</v>
      </c>
      <c r="D8200" s="6" t="s">
        <v>16</v>
      </c>
      <c r="E8200" s="6">
        <f>IF((ISBLANK($B$1)),"",Sheet1!Q8212)</f>
        <v>4350</v>
      </c>
      <c r="F8200" s="20" t="s">
        <v>26</v>
      </c>
      <c r="G8200" s="53">
        <f t="shared" ref="G8200:G8263" si="129">STANDARDIZE(E8200,$L$26,$L$35)</f>
        <v>-0.45402307232003986</v>
      </c>
      <c r="H8200" s="35"/>
      <c r="P8200" s="6"/>
    </row>
    <row r="8201" spans="1:16" ht="14.4" x14ac:dyDescent="0.25">
      <c r="A8201" s="6">
        <v>1635</v>
      </c>
      <c r="B8201" s="6">
        <v>11840</v>
      </c>
      <c r="C8201" s="19">
        <v>40039</v>
      </c>
      <c r="D8201" s="6" t="s">
        <v>30</v>
      </c>
      <c r="E8201" s="6">
        <f>IF((ISBLANK($B$1)),"",Sheet1!Q8213)</f>
        <v>5550</v>
      </c>
      <c r="F8201" s="20" t="s">
        <v>26</v>
      </c>
      <c r="G8201" s="53">
        <f t="shared" si="129"/>
        <v>1.2031220549314123</v>
      </c>
      <c r="H8201" s="35"/>
      <c r="P8201" s="6"/>
    </row>
    <row r="8202" spans="1:16" ht="14.4" x14ac:dyDescent="0.25">
      <c r="A8202" s="6">
        <v>1652</v>
      </c>
      <c r="B8202" s="6">
        <v>11909</v>
      </c>
      <c r="C8202" s="19">
        <v>40141</v>
      </c>
      <c r="D8202" s="6" t="s">
        <v>28</v>
      </c>
      <c r="E8202" s="6">
        <f>IF((ISBLANK($B$1)),"",Sheet1!Q8214)</f>
        <v>3950</v>
      </c>
      <c r="F8202" s="20" t="s">
        <v>27</v>
      </c>
      <c r="G8202" s="53">
        <f t="shared" si="129"/>
        <v>-1.0064047814038573</v>
      </c>
      <c r="H8202" s="35"/>
      <c r="P8202" s="6"/>
    </row>
    <row r="8203" spans="1:16" ht="14.4" x14ac:dyDescent="0.25">
      <c r="A8203" s="6">
        <v>1653</v>
      </c>
      <c r="B8203" s="6">
        <v>11910</v>
      </c>
      <c r="C8203" s="19">
        <v>40709</v>
      </c>
      <c r="D8203" s="6" t="s">
        <v>17</v>
      </c>
      <c r="E8203" s="6">
        <f>IF((ISBLANK($B$1)),"",Sheet1!Q8215)</f>
        <v>4450</v>
      </c>
      <c r="F8203" s="20" t="s">
        <v>26</v>
      </c>
      <c r="G8203" s="53">
        <f t="shared" si="129"/>
        <v>-0.31592764504908549</v>
      </c>
      <c r="H8203" s="35"/>
      <c r="P8203" s="6"/>
    </row>
    <row r="8204" spans="1:16" ht="14.4" x14ac:dyDescent="0.25">
      <c r="A8204" s="6">
        <v>1657</v>
      </c>
      <c r="B8204" s="6">
        <v>11943</v>
      </c>
      <c r="C8204" s="19">
        <v>40275</v>
      </c>
      <c r="D8204" s="6" t="s">
        <v>25</v>
      </c>
      <c r="E8204" s="6">
        <f>IF((ISBLANK($B$1)),"",Sheet1!Q8216)</f>
        <v>5850</v>
      </c>
      <c r="F8204" s="20" t="s">
        <v>26</v>
      </c>
      <c r="G8204" s="53">
        <f t="shared" si="129"/>
        <v>1.6174083367442753</v>
      </c>
      <c r="H8204" s="35"/>
      <c r="P8204" s="6"/>
    </row>
    <row r="8205" spans="1:16" ht="14.4" x14ac:dyDescent="0.25">
      <c r="A8205" s="6">
        <v>1658</v>
      </c>
      <c r="B8205" s="6">
        <v>11943</v>
      </c>
      <c r="C8205" s="19">
        <v>40275</v>
      </c>
      <c r="D8205" s="6" t="s">
        <v>25</v>
      </c>
      <c r="E8205" s="6">
        <f>IF((ISBLANK($B$1)),"",Sheet1!Q8217)</f>
        <v>4350</v>
      </c>
      <c r="F8205" s="20" t="s">
        <v>29</v>
      </c>
      <c r="G8205" s="53">
        <f t="shared" si="129"/>
        <v>-0.45402307232003986</v>
      </c>
      <c r="H8205" s="35"/>
      <c r="P8205" s="6"/>
    </row>
    <row r="8206" spans="1:16" ht="14.4" x14ac:dyDescent="0.25">
      <c r="A8206" s="6">
        <v>1722</v>
      </c>
      <c r="B8206" s="6">
        <v>12356</v>
      </c>
      <c r="C8206" s="19">
        <v>41200</v>
      </c>
      <c r="D8206" s="6" t="s">
        <v>30</v>
      </c>
      <c r="E8206" s="6">
        <f>IF((ISBLANK($B$1)),"",Sheet1!Q8218)</f>
        <v>5350</v>
      </c>
      <c r="F8206" s="20" t="s">
        <v>26</v>
      </c>
      <c r="G8206" s="53">
        <f t="shared" si="129"/>
        <v>0.92693120038950361</v>
      </c>
      <c r="H8206" s="35"/>
      <c r="P8206" s="6"/>
    </row>
    <row r="8207" spans="1:16" ht="14.4" x14ac:dyDescent="0.25">
      <c r="A8207" s="6">
        <v>1756</v>
      </c>
      <c r="B8207" s="6">
        <v>12581</v>
      </c>
      <c r="C8207" s="19">
        <v>40106</v>
      </c>
      <c r="D8207" s="6" t="s">
        <v>17</v>
      </c>
      <c r="E8207" s="6">
        <f>IF((ISBLANK($B$1)),"",Sheet1!Q8219)</f>
        <v>4950</v>
      </c>
      <c r="F8207" s="20" t="s">
        <v>27</v>
      </c>
      <c r="G8207" s="53">
        <f t="shared" si="129"/>
        <v>0.37454949130568621</v>
      </c>
      <c r="H8207" s="35"/>
      <c r="P8207" s="6"/>
    </row>
    <row r="8208" spans="1:16" ht="14.4" x14ac:dyDescent="0.25">
      <c r="A8208" s="6">
        <v>1818</v>
      </c>
      <c r="B8208" s="6">
        <v>13031</v>
      </c>
      <c r="C8208" s="19">
        <v>41247</v>
      </c>
      <c r="D8208" s="6" t="s">
        <v>25</v>
      </c>
      <c r="E8208" s="6">
        <f>IF((ISBLANK($B$1)),"",Sheet1!Q8220)</f>
        <v>5100</v>
      </c>
      <c r="F8208" s="20" t="s">
        <v>26</v>
      </c>
      <c r="G8208" s="53">
        <f t="shared" si="129"/>
        <v>0.58169263221211776</v>
      </c>
      <c r="H8208" s="35"/>
      <c r="P8208" s="6"/>
    </row>
    <row r="8209" spans="1:16" ht="14.4" x14ac:dyDescent="0.25">
      <c r="A8209" s="6">
        <v>1831</v>
      </c>
      <c r="B8209" s="6">
        <v>13126</v>
      </c>
      <c r="C8209" s="19">
        <v>40835</v>
      </c>
      <c r="D8209" s="6" t="s">
        <v>28</v>
      </c>
      <c r="E8209" s="6">
        <f>IF((ISBLANK($B$1)),"",Sheet1!Q8221)</f>
        <v>5550</v>
      </c>
      <c r="F8209" s="20" t="s">
        <v>27</v>
      </c>
      <c r="G8209" s="53">
        <f t="shared" si="129"/>
        <v>1.2031220549314123</v>
      </c>
      <c r="H8209" s="35"/>
      <c r="P8209" s="6"/>
    </row>
    <row r="8210" spans="1:16" ht="14.4" x14ac:dyDescent="0.25">
      <c r="A8210" s="6">
        <v>1832</v>
      </c>
      <c r="B8210" s="6">
        <v>13126</v>
      </c>
      <c r="C8210" s="19">
        <v>40835</v>
      </c>
      <c r="D8210" s="6" t="s">
        <v>28</v>
      </c>
      <c r="E8210" s="6">
        <f>IF((ISBLANK($B$1)),"",Sheet1!Q8222)</f>
        <v>5650</v>
      </c>
      <c r="F8210" s="20" t="s">
        <v>29</v>
      </c>
      <c r="G8210" s="53">
        <f t="shared" si="129"/>
        <v>1.3412174822023666</v>
      </c>
      <c r="H8210" s="35"/>
      <c r="P8210" s="6"/>
    </row>
    <row r="8211" spans="1:16" ht="14.4" x14ac:dyDescent="0.25">
      <c r="A8211" s="6">
        <v>1833</v>
      </c>
      <c r="B8211" s="6">
        <v>13126</v>
      </c>
      <c r="C8211" s="19">
        <v>40835</v>
      </c>
      <c r="D8211" s="6" t="s">
        <v>28</v>
      </c>
      <c r="E8211" s="6">
        <f>IF((ISBLANK($B$1)),"",Sheet1!Q8223)</f>
        <v>3500</v>
      </c>
      <c r="F8211" s="20" t="s">
        <v>29</v>
      </c>
      <c r="G8211" s="53">
        <f t="shared" si="129"/>
        <v>-1.6278342041231517</v>
      </c>
      <c r="H8211" s="35"/>
      <c r="P8211" s="6"/>
    </row>
    <row r="8212" spans="1:16" ht="14.4" x14ac:dyDescent="0.25">
      <c r="A8212" s="6">
        <v>1844</v>
      </c>
      <c r="B8212" s="6">
        <v>13282</v>
      </c>
      <c r="C8212" s="19">
        <v>41038</v>
      </c>
      <c r="D8212" s="6" t="s">
        <v>25</v>
      </c>
      <c r="E8212" s="6">
        <f>IF((ISBLANK($B$1)),"",Sheet1!Q8224)</f>
        <v>4500</v>
      </c>
      <c r="F8212" s="20" t="s">
        <v>27</v>
      </c>
      <c r="G8212" s="53">
        <f t="shared" si="129"/>
        <v>-0.24687993141360834</v>
      </c>
      <c r="H8212" s="35"/>
      <c r="P8212" s="6"/>
    </row>
    <row r="8213" spans="1:16" ht="14.4" x14ac:dyDescent="0.25">
      <c r="A8213" s="6">
        <v>1845</v>
      </c>
      <c r="B8213" s="6">
        <v>13282</v>
      </c>
      <c r="C8213" s="19">
        <v>41038</v>
      </c>
      <c r="D8213" s="6" t="s">
        <v>25</v>
      </c>
      <c r="E8213" s="6">
        <f>IF((ISBLANK($B$1)),"",Sheet1!Q8225)</f>
        <v>3500</v>
      </c>
      <c r="F8213" s="20" t="s">
        <v>26</v>
      </c>
      <c r="G8213" s="53">
        <f t="shared" si="129"/>
        <v>-1.6278342041231517</v>
      </c>
      <c r="H8213" s="35"/>
      <c r="P8213" s="6"/>
    </row>
    <row r="8214" spans="1:16" ht="14.4" x14ac:dyDescent="0.25">
      <c r="A8214" s="6">
        <v>1933</v>
      </c>
      <c r="B8214" s="6">
        <v>13825</v>
      </c>
      <c r="C8214" s="19">
        <v>39893</v>
      </c>
      <c r="D8214" s="6" t="s">
        <v>17</v>
      </c>
      <c r="E8214" s="6">
        <f>IF((ISBLANK($B$1)),"",Sheet1!Q8226)</f>
        <v>4900</v>
      </c>
      <c r="F8214" s="20" t="s">
        <v>26</v>
      </c>
      <c r="G8214" s="53">
        <f t="shared" si="129"/>
        <v>0.30550177767020903</v>
      </c>
      <c r="H8214" s="35"/>
      <c r="P8214" s="6"/>
    </row>
    <row r="8215" spans="1:16" ht="14.4" x14ac:dyDescent="0.25">
      <c r="A8215" s="6">
        <v>1992</v>
      </c>
      <c r="B8215" s="6">
        <v>14212</v>
      </c>
      <c r="C8215" s="19">
        <v>40955</v>
      </c>
      <c r="D8215" s="6" t="s">
        <v>30</v>
      </c>
      <c r="E8215" s="6">
        <f>IF((ISBLANK($B$1)),"",Sheet1!Q8227)</f>
        <v>3600</v>
      </c>
      <c r="F8215" s="20" t="s">
        <v>29</v>
      </c>
      <c r="G8215" s="53">
        <f t="shared" si="129"/>
        <v>-1.4897387768521975</v>
      </c>
      <c r="H8215" s="35"/>
      <c r="P8215" s="6"/>
    </row>
    <row r="8216" spans="1:16" ht="14.4" x14ac:dyDescent="0.25">
      <c r="A8216" s="6">
        <v>1993</v>
      </c>
      <c r="B8216" s="6">
        <v>14212</v>
      </c>
      <c r="C8216" s="19">
        <v>40955</v>
      </c>
      <c r="D8216" s="6" t="s">
        <v>30</v>
      </c>
      <c r="E8216" s="6">
        <f>IF((ISBLANK($B$1)),"",Sheet1!Q8228)</f>
        <v>3800</v>
      </c>
      <c r="F8216" s="20" t="s">
        <v>26</v>
      </c>
      <c r="G8216" s="53">
        <f t="shared" si="129"/>
        <v>-1.2135479223102887</v>
      </c>
      <c r="H8216" s="35"/>
      <c r="P8216" s="6"/>
    </row>
    <row r="8217" spans="1:16" ht="14.4" x14ac:dyDescent="0.25">
      <c r="A8217" s="6">
        <v>2067</v>
      </c>
      <c r="B8217" s="6">
        <v>14789</v>
      </c>
      <c r="C8217" s="19">
        <v>40511</v>
      </c>
      <c r="D8217" s="6" t="s">
        <v>28</v>
      </c>
      <c r="E8217" s="6">
        <f>IF((ISBLANK($B$1)),"",Sheet1!Q8229)</f>
        <v>5250</v>
      </c>
      <c r="F8217" s="20" t="s">
        <v>26</v>
      </c>
      <c r="G8217" s="53">
        <f t="shared" si="129"/>
        <v>0.78883577311854924</v>
      </c>
      <c r="H8217" s="35"/>
      <c r="P8217" s="6"/>
    </row>
    <row r="8218" spans="1:16" ht="14.4" x14ac:dyDescent="0.25">
      <c r="A8218" s="6">
        <v>2068</v>
      </c>
      <c r="B8218" s="6">
        <v>14789</v>
      </c>
      <c r="C8218" s="19">
        <v>40511</v>
      </c>
      <c r="D8218" s="6" t="s">
        <v>28</v>
      </c>
      <c r="E8218" s="6">
        <f>IF((ISBLANK($B$1)),"",Sheet1!Q8230)</f>
        <v>4350</v>
      </c>
      <c r="F8218" s="20" t="s">
        <v>26</v>
      </c>
      <c r="G8218" s="53">
        <f t="shared" si="129"/>
        <v>-0.45402307232003986</v>
      </c>
      <c r="H8218" s="35"/>
      <c r="P8218" s="6"/>
    </row>
    <row r="8219" spans="1:16" ht="14.4" x14ac:dyDescent="0.25">
      <c r="A8219" s="6">
        <v>2192</v>
      </c>
      <c r="B8219" s="6">
        <v>15782</v>
      </c>
      <c r="C8219" s="19">
        <v>40998</v>
      </c>
      <c r="D8219" s="6" t="s">
        <v>17</v>
      </c>
      <c r="E8219" s="6">
        <f>IF((ISBLANK($B$1)),"",Sheet1!Q8231)</f>
        <v>5150</v>
      </c>
      <c r="F8219" s="20" t="s">
        <v>29</v>
      </c>
      <c r="G8219" s="53">
        <f t="shared" si="129"/>
        <v>0.65074034584759488</v>
      </c>
      <c r="H8219" s="35"/>
      <c r="P8219" s="6"/>
    </row>
    <row r="8220" spans="1:16" ht="14.4" x14ac:dyDescent="0.25">
      <c r="A8220" s="6">
        <v>2232</v>
      </c>
      <c r="B8220" s="6">
        <v>16132</v>
      </c>
      <c r="C8220" s="19">
        <v>41209</v>
      </c>
      <c r="D8220" s="6" t="s">
        <v>16</v>
      </c>
      <c r="E8220" s="6">
        <f>IF((ISBLANK($B$1)),"",Sheet1!Q8232)</f>
        <v>4700</v>
      </c>
      <c r="F8220" s="20" t="s">
        <v>26</v>
      </c>
      <c r="G8220" s="53">
        <f t="shared" si="129"/>
        <v>2.9310923128300338E-2</v>
      </c>
      <c r="H8220" s="35"/>
      <c r="P8220" s="6"/>
    </row>
    <row r="8221" spans="1:16" ht="14.4" x14ac:dyDescent="0.25">
      <c r="A8221" s="6">
        <v>2377</v>
      </c>
      <c r="B8221" s="6">
        <v>17251</v>
      </c>
      <c r="C8221" s="19">
        <v>40113</v>
      </c>
      <c r="D8221" s="6" t="s">
        <v>28</v>
      </c>
      <c r="E8221" s="6">
        <f>IF((ISBLANK($B$1)),"",Sheet1!Q8233)</f>
        <v>4700</v>
      </c>
      <c r="F8221" s="20" t="s">
        <v>27</v>
      </c>
      <c r="G8221" s="53">
        <f t="shared" si="129"/>
        <v>2.9310923128300338E-2</v>
      </c>
      <c r="H8221" s="35"/>
      <c r="P8221" s="6"/>
    </row>
    <row r="8222" spans="1:16" ht="14.4" x14ac:dyDescent="0.25">
      <c r="A8222" s="6">
        <v>2380</v>
      </c>
      <c r="B8222" s="6">
        <v>17253</v>
      </c>
      <c r="C8222" s="19">
        <v>40772</v>
      </c>
      <c r="D8222" s="6" t="s">
        <v>30</v>
      </c>
      <c r="E8222" s="6">
        <f>IF((ISBLANK($B$1)),"",Sheet1!Q8234)</f>
        <v>4050</v>
      </c>
      <c r="F8222" s="20" t="s">
        <v>26</v>
      </c>
      <c r="G8222" s="53">
        <f t="shared" si="129"/>
        <v>-0.86830935413290289</v>
      </c>
      <c r="H8222" s="35"/>
      <c r="P8222" s="6"/>
    </row>
    <row r="8223" spans="1:16" ht="14.4" x14ac:dyDescent="0.25">
      <c r="A8223" s="6">
        <v>2385</v>
      </c>
      <c r="B8223" s="6">
        <v>17287</v>
      </c>
      <c r="C8223" s="19">
        <v>40638</v>
      </c>
      <c r="D8223" s="6" t="s">
        <v>17</v>
      </c>
      <c r="E8223" s="6">
        <f>IF((ISBLANK($B$1)),"",Sheet1!Q8235)</f>
        <v>5300</v>
      </c>
      <c r="F8223" s="20" t="s">
        <v>27</v>
      </c>
      <c r="G8223" s="53">
        <f t="shared" si="129"/>
        <v>0.85788348675402637</v>
      </c>
      <c r="H8223" s="35"/>
      <c r="P8223" s="6"/>
    </row>
    <row r="8224" spans="1:16" ht="14.4" x14ac:dyDescent="0.25">
      <c r="A8224" s="6">
        <v>2386</v>
      </c>
      <c r="B8224" s="6">
        <v>17287</v>
      </c>
      <c r="C8224" s="19">
        <v>40638</v>
      </c>
      <c r="D8224" s="6" t="s">
        <v>17</v>
      </c>
      <c r="E8224" s="6">
        <f>IF((ISBLANK($B$1)),"",Sheet1!Q8236)</f>
        <v>3950</v>
      </c>
      <c r="F8224" s="20" t="s">
        <v>26</v>
      </c>
      <c r="G8224" s="53">
        <f t="shared" si="129"/>
        <v>-1.0064047814038573</v>
      </c>
      <c r="H8224" s="35"/>
      <c r="P8224" s="6"/>
    </row>
    <row r="8225" spans="1:16" ht="14.4" x14ac:dyDescent="0.25">
      <c r="A8225" s="6">
        <v>2387</v>
      </c>
      <c r="B8225" s="6">
        <v>17287</v>
      </c>
      <c r="C8225" s="19">
        <v>40638</v>
      </c>
      <c r="D8225" s="6" t="s">
        <v>17</v>
      </c>
      <c r="E8225" s="6">
        <f>IF((ISBLANK($B$1)),"",Sheet1!Q8237)</f>
        <v>4700</v>
      </c>
      <c r="F8225" s="20" t="s">
        <v>27</v>
      </c>
      <c r="G8225" s="53">
        <f t="shared" si="129"/>
        <v>2.9310923128300338E-2</v>
      </c>
      <c r="H8225" s="35"/>
      <c r="P8225" s="6"/>
    </row>
    <row r="8226" spans="1:16" ht="14.4" x14ac:dyDescent="0.25">
      <c r="A8226" s="6">
        <v>2516</v>
      </c>
      <c r="B8226" s="6">
        <v>18279</v>
      </c>
      <c r="C8226" s="19">
        <v>39870</v>
      </c>
      <c r="D8226" s="6" t="s">
        <v>16</v>
      </c>
      <c r="E8226" s="6">
        <f>IF((ISBLANK($B$1)),"",Sheet1!Q8238)</f>
        <v>4500</v>
      </c>
      <c r="F8226" s="20" t="s">
        <v>27</v>
      </c>
      <c r="G8226" s="53">
        <f t="shared" si="129"/>
        <v>-0.24687993141360834</v>
      </c>
      <c r="H8226" s="35"/>
      <c r="P8226" s="6"/>
    </row>
    <row r="8227" spans="1:16" ht="14.4" x14ac:dyDescent="0.25">
      <c r="A8227" s="6">
        <v>2517</v>
      </c>
      <c r="B8227" s="6">
        <v>18279</v>
      </c>
      <c r="C8227" s="19">
        <v>39870</v>
      </c>
      <c r="D8227" s="6" t="s">
        <v>16</v>
      </c>
      <c r="E8227" s="6">
        <f>IF((ISBLANK($B$1)),"",Sheet1!Q8239)</f>
        <v>4400</v>
      </c>
      <c r="F8227" s="20" t="s">
        <v>27</v>
      </c>
      <c r="G8227" s="53">
        <f t="shared" si="129"/>
        <v>-0.38497535868456267</v>
      </c>
      <c r="H8227" s="35"/>
      <c r="P8227" s="6"/>
    </row>
    <row r="8228" spans="1:16" ht="14.4" x14ac:dyDescent="0.25">
      <c r="A8228" s="6">
        <v>2559</v>
      </c>
      <c r="B8228" s="6">
        <v>18503</v>
      </c>
      <c r="C8228" s="19">
        <v>40668</v>
      </c>
      <c r="D8228" s="6" t="s">
        <v>28</v>
      </c>
      <c r="E8228" s="6">
        <f>IF((ISBLANK($B$1)),"",Sheet1!Q8240)</f>
        <v>5700</v>
      </c>
      <c r="F8228" s="20" t="s">
        <v>27</v>
      </c>
      <c r="G8228" s="53">
        <f t="shared" si="129"/>
        <v>1.4102651958378438</v>
      </c>
      <c r="H8228" s="35"/>
      <c r="P8228" s="6"/>
    </row>
    <row r="8229" spans="1:16" ht="14.4" x14ac:dyDescent="0.25">
      <c r="A8229" s="6">
        <v>2560</v>
      </c>
      <c r="B8229" s="6">
        <v>18503</v>
      </c>
      <c r="C8229" s="19">
        <v>40668</v>
      </c>
      <c r="D8229" s="6" t="s">
        <v>28</v>
      </c>
      <c r="E8229" s="6">
        <f>IF((ISBLANK($B$1)),"",Sheet1!Q8241)</f>
        <v>4050</v>
      </c>
      <c r="F8229" s="20" t="s">
        <v>27</v>
      </c>
      <c r="G8229" s="53">
        <f t="shared" si="129"/>
        <v>-0.86830935413290289</v>
      </c>
      <c r="H8229" s="35"/>
      <c r="P8229" s="6"/>
    </row>
    <row r="8230" spans="1:16" ht="14.4" x14ac:dyDescent="0.25">
      <c r="A8230" s="6">
        <v>2589</v>
      </c>
      <c r="B8230" s="6">
        <v>18689</v>
      </c>
      <c r="C8230" s="19">
        <v>40171</v>
      </c>
      <c r="D8230" s="6" t="s">
        <v>28</v>
      </c>
      <c r="E8230" s="6">
        <f>IF((ISBLANK($B$1)),"",Sheet1!Q8242)</f>
        <v>5300</v>
      </c>
      <c r="F8230" s="20" t="s">
        <v>26</v>
      </c>
      <c r="G8230" s="53">
        <f t="shared" si="129"/>
        <v>0.85788348675402637</v>
      </c>
      <c r="H8230" s="35"/>
      <c r="P8230" s="6"/>
    </row>
    <row r="8231" spans="1:16" ht="14.4" x14ac:dyDescent="0.25">
      <c r="A8231" s="6">
        <v>2590</v>
      </c>
      <c r="B8231" s="6">
        <v>18689</v>
      </c>
      <c r="C8231" s="19">
        <v>40171</v>
      </c>
      <c r="D8231" s="6" t="s">
        <v>28</v>
      </c>
      <c r="E8231" s="6">
        <f>IF((ISBLANK($B$1)),"",Sheet1!Q8243)</f>
        <v>3900</v>
      </c>
      <c r="F8231" s="20" t="s">
        <v>26</v>
      </c>
      <c r="G8231" s="53">
        <f t="shared" si="129"/>
        <v>-1.0754524950393345</v>
      </c>
      <c r="H8231" s="35"/>
      <c r="P8231" s="6"/>
    </row>
    <row r="8232" spans="1:16" ht="14.4" x14ac:dyDescent="0.25">
      <c r="A8232" s="6">
        <v>2599</v>
      </c>
      <c r="B8232" s="6">
        <v>18758</v>
      </c>
      <c r="C8232" s="19">
        <v>40288</v>
      </c>
      <c r="D8232" s="6" t="s">
        <v>28</v>
      </c>
      <c r="E8232" s="6">
        <f>IF((ISBLANK($B$1)),"",Sheet1!Q8244)</f>
        <v>4400</v>
      </c>
      <c r="F8232" s="20" t="s">
        <v>29</v>
      </c>
      <c r="G8232" s="53">
        <f t="shared" si="129"/>
        <v>-0.38497535868456267</v>
      </c>
      <c r="H8232" s="35"/>
      <c r="P8232" s="6"/>
    </row>
    <row r="8233" spans="1:16" ht="14.4" x14ac:dyDescent="0.25">
      <c r="A8233" s="6">
        <v>2696</v>
      </c>
      <c r="B8233" s="6">
        <v>19521</v>
      </c>
      <c r="C8233" s="19">
        <v>40140</v>
      </c>
      <c r="D8233" s="6" t="s">
        <v>28</v>
      </c>
      <c r="E8233" s="6">
        <f>IF((ISBLANK($B$1)),"",Sheet1!Q8245)</f>
        <v>3850</v>
      </c>
      <c r="F8233" s="20" t="s">
        <v>26</v>
      </c>
      <c r="G8233" s="53">
        <f t="shared" si="129"/>
        <v>-1.1445002086748115</v>
      </c>
      <c r="H8233" s="35"/>
      <c r="P8233" s="6"/>
    </row>
    <row r="8234" spans="1:16" ht="14.4" x14ac:dyDescent="0.25">
      <c r="A8234" s="6">
        <v>2847</v>
      </c>
      <c r="B8234" s="6">
        <v>20513</v>
      </c>
      <c r="C8234" s="19">
        <v>40001</v>
      </c>
      <c r="D8234" s="6" t="s">
        <v>17</v>
      </c>
      <c r="E8234" s="6">
        <f>IF((ISBLANK($B$1)),"",Sheet1!Q8246)</f>
        <v>4050</v>
      </c>
      <c r="F8234" s="20" t="s">
        <v>26</v>
      </c>
      <c r="G8234" s="53">
        <f t="shared" si="129"/>
        <v>-0.86830935413290289</v>
      </c>
      <c r="H8234" s="35"/>
      <c r="P8234" s="6"/>
    </row>
    <row r="8235" spans="1:16" ht="14.4" x14ac:dyDescent="0.25">
      <c r="A8235" s="6">
        <v>2934</v>
      </c>
      <c r="B8235" s="6">
        <v>21253</v>
      </c>
      <c r="C8235" s="19">
        <v>41016</v>
      </c>
      <c r="D8235" s="6" t="s">
        <v>16</v>
      </c>
      <c r="E8235" s="6">
        <f>IF((ISBLANK($B$1)),"",Sheet1!Q8247)</f>
        <v>3650</v>
      </c>
      <c r="F8235" s="20" t="s">
        <v>26</v>
      </c>
      <c r="G8235" s="53">
        <f t="shared" si="129"/>
        <v>-1.4206910632167202</v>
      </c>
      <c r="H8235" s="35"/>
      <c r="P8235" s="6"/>
    </row>
    <row r="8236" spans="1:16" ht="14.4" x14ac:dyDescent="0.25">
      <c r="A8236" s="6">
        <v>3023</v>
      </c>
      <c r="B8236" s="6">
        <v>21735</v>
      </c>
      <c r="C8236" s="19">
        <v>40246</v>
      </c>
      <c r="D8236" s="6" t="s">
        <v>28</v>
      </c>
      <c r="E8236" s="6">
        <f>IF((ISBLANK($B$1)),"",Sheet1!Q8248)</f>
        <v>4550</v>
      </c>
      <c r="F8236" s="20" t="s">
        <v>29</v>
      </c>
      <c r="G8236" s="53">
        <f t="shared" si="129"/>
        <v>-0.17783221777813119</v>
      </c>
      <c r="H8236" s="35"/>
      <c r="P8236" s="6"/>
    </row>
    <row r="8237" spans="1:16" ht="14.4" x14ac:dyDescent="0.25">
      <c r="A8237" s="6">
        <v>3024</v>
      </c>
      <c r="B8237" s="6">
        <v>21735</v>
      </c>
      <c r="C8237" s="19">
        <v>40246</v>
      </c>
      <c r="D8237" s="6" t="s">
        <v>28</v>
      </c>
      <c r="E8237" s="6">
        <f>IF((ISBLANK($B$1)),"",Sheet1!Q8249)</f>
        <v>4100</v>
      </c>
      <c r="F8237" s="20" t="s">
        <v>27</v>
      </c>
      <c r="G8237" s="53">
        <f t="shared" si="129"/>
        <v>-0.79926164049742576</v>
      </c>
      <c r="H8237" s="35"/>
      <c r="P8237" s="6"/>
    </row>
    <row r="8238" spans="1:16" ht="14.4" x14ac:dyDescent="0.25">
      <c r="A8238" s="6">
        <v>3116</v>
      </c>
      <c r="B8238" s="6">
        <v>22375</v>
      </c>
      <c r="C8238" s="19">
        <v>40640</v>
      </c>
      <c r="D8238" s="6" t="s">
        <v>28</v>
      </c>
      <c r="E8238" s="6">
        <f>IF((ISBLANK($B$1)),"",Sheet1!Q8250)</f>
        <v>5550</v>
      </c>
      <c r="F8238" s="20" t="s">
        <v>26</v>
      </c>
      <c r="G8238" s="53">
        <f t="shared" si="129"/>
        <v>1.2031220549314123</v>
      </c>
      <c r="H8238" s="35"/>
      <c r="P8238" s="6"/>
    </row>
    <row r="8239" spans="1:16" ht="14.4" x14ac:dyDescent="0.25">
      <c r="A8239" s="6">
        <v>3170</v>
      </c>
      <c r="B8239" s="6">
        <v>22817</v>
      </c>
      <c r="C8239" s="19">
        <v>41234</v>
      </c>
      <c r="D8239" s="6" t="s">
        <v>30</v>
      </c>
      <c r="E8239" s="6">
        <f>IF((ISBLANK($B$1)),"",Sheet1!Q8251)</f>
        <v>4750</v>
      </c>
      <c r="F8239" s="20" t="s">
        <v>29</v>
      </c>
      <c r="G8239" s="53">
        <f t="shared" si="129"/>
        <v>9.8358636763777513E-2</v>
      </c>
      <c r="H8239" s="35"/>
      <c r="P8239" s="6"/>
    </row>
    <row r="8240" spans="1:16" ht="14.4" x14ac:dyDescent="0.25">
      <c r="A8240" s="6">
        <v>3333</v>
      </c>
      <c r="B8240" s="6">
        <v>23842</v>
      </c>
      <c r="C8240" s="19">
        <v>40438</v>
      </c>
      <c r="D8240" s="6" t="s">
        <v>25</v>
      </c>
      <c r="E8240" s="6">
        <f>IF((ISBLANK($B$1)),"",Sheet1!Q8252)</f>
        <v>4400</v>
      </c>
      <c r="F8240" s="20" t="s">
        <v>26</v>
      </c>
      <c r="G8240" s="53">
        <f t="shared" si="129"/>
        <v>-0.38497535868456267</v>
      </c>
      <c r="H8240" s="35"/>
      <c r="P8240" s="6"/>
    </row>
    <row r="8241" spans="1:16" ht="14.4" x14ac:dyDescent="0.25">
      <c r="A8241" s="6">
        <v>3342</v>
      </c>
      <c r="B8241" s="6">
        <v>23911</v>
      </c>
      <c r="C8241" s="19">
        <v>41061</v>
      </c>
      <c r="D8241" s="6" t="s">
        <v>30</v>
      </c>
      <c r="E8241" s="6">
        <f>IF((ISBLANK($B$1)),"",Sheet1!Q8253)</f>
        <v>4450</v>
      </c>
      <c r="F8241" s="20" t="s">
        <v>29</v>
      </c>
      <c r="G8241" s="53">
        <f t="shared" si="129"/>
        <v>-0.31592764504908549</v>
      </c>
      <c r="H8241" s="35"/>
      <c r="P8241" s="6"/>
    </row>
    <row r="8242" spans="1:16" ht="14.4" x14ac:dyDescent="0.25">
      <c r="A8242" s="6">
        <v>3343</v>
      </c>
      <c r="B8242" s="6">
        <v>23911</v>
      </c>
      <c r="C8242" s="19">
        <v>41061</v>
      </c>
      <c r="D8242" s="6" t="s">
        <v>30</v>
      </c>
      <c r="E8242" s="6">
        <f>IF((ISBLANK($B$1)),"",Sheet1!Q8254)</f>
        <v>4350</v>
      </c>
      <c r="F8242" s="20" t="s">
        <v>27</v>
      </c>
      <c r="G8242" s="53">
        <f t="shared" si="129"/>
        <v>-0.45402307232003986</v>
      </c>
      <c r="H8242" s="35"/>
      <c r="P8242" s="6"/>
    </row>
    <row r="8243" spans="1:16" ht="14.4" x14ac:dyDescent="0.25">
      <c r="A8243" s="6">
        <v>3344</v>
      </c>
      <c r="B8243" s="6">
        <v>23911</v>
      </c>
      <c r="C8243" s="19">
        <v>41061</v>
      </c>
      <c r="D8243" s="6" t="s">
        <v>30</v>
      </c>
      <c r="E8243" s="6">
        <f>IF((ISBLANK($B$1)),"",Sheet1!Q8255)</f>
        <v>3550</v>
      </c>
      <c r="F8243" s="20" t="s">
        <v>26</v>
      </c>
      <c r="G8243" s="53">
        <f t="shared" si="129"/>
        <v>-1.5587864904876745</v>
      </c>
      <c r="H8243" s="35"/>
      <c r="P8243" s="6"/>
    </row>
    <row r="8244" spans="1:16" ht="14.4" x14ac:dyDescent="0.25">
      <c r="A8244" s="6">
        <v>3422</v>
      </c>
      <c r="B8244" s="6">
        <v>24391</v>
      </c>
      <c r="C8244" s="19">
        <v>39878</v>
      </c>
      <c r="D8244" s="6" t="s">
        <v>25</v>
      </c>
      <c r="E8244" s="6">
        <f>IF((ISBLANK($B$1)),"",Sheet1!Q8256)</f>
        <v>4100</v>
      </c>
      <c r="F8244" s="20" t="s">
        <v>29</v>
      </c>
      <c r="G8244" s="53">
        <f t="shared" si="129"/>
        <v>-0.79926164049742576</v>
      </c>
      <c r="H8244" s="35"/>
      <c r="P8244" s="6"/>
    </row>
    <row r="8245" spans="1:16" ht="14.4" x14ac:dyDescent="0.25">
      <c r="A8245" s="6">
        <v>3485</v>
      </c>
      <c r="B8245" s="6">
        <v>24802</v>
      </c>
      <c r="C8245" s="19">
        <v>39836</v>
      </c>
      <c r="D8245" s="6" t="s">
        <v>16</v>
      </c>
      <c r="E8245" s="6">
        <f>IF((ISBLANK($B$1)),"",Sheet1!Q8257)</f>
        <v>4300</v>
      </c>
      <c r="F8245" s="20" t="s">
        <v>27</v>
      </c>
      <c r="G8245" s="53">
        <f t="shared" si="129"/>
        <v>-0.52307078595551704</v>
      </c>
      <c r="H8245" s="35"/>
      <c r="P8245" s="6"/>
    </row>
    <row r="8246" spans="1:16" ht="14.4" x14ac:dyDescent="0.25">
      <c r="A8246" s="6">
        <v>3509</v>
      </c>
      <c r="B8246" s="6">
        <v>24996</v>
      </c>
      <c r="C8246" s="19">
        <v>40811</v>
      </c>
      <c r="D8246" s="6" t="s">
        <v>30</v>
      </c>
      <c r="E8246" s="6">
        <f>IF((ISBLANK($B$1)),"",Sheet1!Q8258)</f>
        <v>5200</v>
      </c>
      <c r="F8246" s="20" t="s">
        <v>26</v>
      </c>
      <c r="G8246" s="53">
        <f t="shared" si="129"/>
        <v>0.71978805948307201</v>
      </c>
      <c r="H8246" s="35"/>
      <c r="P8246" s="6"/>
    </row>
    <row r="8247" spans="1:16" ht="14.4" x14ac:dyDescent="0.25">
      <c r="A8247" s="6">
        <v>3510</v>
      </c>
      <c r="B8247" s="6">
        <v>24996</v>
      </c>
      <c r="C8247" s="19">
        <v>40811</v>
      </c>
      <c r="D8247" s="6" t="s">
        <v>30</v>
      </c>
      <c r="E8247" s="6">
        <f>IF((ISBLANK($B$1)),"",Sheet1!Q8259)</f>
        <v>3500</v>
      </c>
      <c r="F8247" s="20" t="s">
        <v>27</v>
      </c>
      <c r="G8247" s="53">
        <f t="shared" si="129"/>
        <v>-1.6278342041231517</v>
      </c>
      <c r="H8247" s="35"/>
      <c r="P8247" s="6"/>
    </row>
    <row r="8248" spans="1:16" ht="14.4" x14ac:dyDescent="0.25">
      <c r="A8248" s="6">
        <v>3609</v>
      </c>
      <c r="B8248" s="6">
        <v>25824</v>
      </c>
      <c r="C8248" s="19">
        <v>40060</v>
      </c>
      <c r="D8248" s="6" t="s">
        <v>16</v>
      </c>
      <c r="E8248" s="6">
        <f>IF((ISBLANK($B$1)),"",Sheet1!Q8260)</f>
        <v>3650</v>
      </c>
      <c r="F8248" s="20" t="s">
        <v>26</v>
      </c>
      <c r="G8248" s="53">
        <f t="shared" si="129"/>
        <v>-1.4206910632167202</v>
      </c>
      <c r="H8248" s="35"/>
      <c r="P8248" s="6"/>
    </row>
    <row r="8249" spans="1:16" ht="14.4" x14ac:dyDescent="0.25">
      <c r="A8249" s="6">
        <v>3610</v>
      </c>
      <c r="B8249" s="6">
        <v>25824</v>
      </c>
      <c r="C8249" s="19">
        <v>40060</v>
      </c>
      <c r="D8249" s="6" t="s">
        <v>16</v>
      </c>
      <c r="E8249" s="6">
        <f>IF((ISBLANK($B$1)),"",Sheet1!Q8261)</f>
        <v>5250</v>
      </c>
      <c r="F8249" s="20" t="s">
        <v>26</v>
      </c>
      <c r="G8249" s="53">
        <f t="shared" si="129"/>
        <v>0.78883577311854924</v>
      </c>
      <c r="H8249" s="35"/>
      <c r="P8249" s="6"/>
    </row>
    <row r="8250" spans="1:16" ht="14.4" x14ac:dyDescent="0.25">
      <c r="A8250" s="6">
        <v>3611</v>
      </c>
      <c r="B8250" s="6">
        <v>25824</v>
      </c>
      <c r="C8250" s="19">
        <v>40060</v>
      </c>
      <c r="D8250" s="6" t="s">
        <v>16</v>
      </c>
      <c r="E8250" s="6">
        <f>IF((ISBLANK($B$1)),"",Sheet1!Q8262)</f>
        <v>5350</v>
      </c>
      <c r="F8250" s="20" t="s">
        <v>29</v>
      </c>
      <c r="G8250" s="53">
        <f t="shared" si="129"/>
        <v>0.92693120038950361</v>
      </c>
      <c r="H8250" s="35"/>
      <c r="P8250" s="6"/>
    </row>
    <row r="8251" spans="1:16" ht="14.4" x14ac:dyDescent="0.25">
      <c r="A8251" s="6">
        <v>3612</v>
      </c>
      <c r="B8251" s="6">
        <v>25824</v>
      </c>
      <c r="C8251" s="19">
        <v>40060</v>
      </c>
      <c r="D8251" s="6" t="s">
        <v>16</v>
      </c>
      <c r="E8251" s="6">
        <f>IF((ISBLANK($B$1)),"",Sheet1!Q8263)</f>
        <v>3700</v>
      </c>
      <c r="F8251" s="20" t="s">
        <v>27</v>
      </c>
      <c r="G8251" s="53">
        <f t="shared" si="129"/>
        <v>-1.351643349581243</v>
      </c>
      <c r="H8251" s="35"/>
      <c r="P8251" s="6"/>
    </row>
    <row r="8252" spans="1:16" ht="14.4" x14ac:dyDescent="0.25">
      <c r="A8252" s="6">
        <v>3677</v>
      </c>
      <c r="B8252" s="6">
        <v>26309</v>
      </c>
      <c r="C8252" s="19">
        <v>40958</v>
      </c>
      <c r="D8252" s="6" t="s">
        <v>25</v>
      </c>
      <c r="E8252" s="6">
        <f>IF((ISBLANK($B$1)),"",Sheet1!Q8264)</f>
        <v>5500</v>
      </c>
      <c r="F8252" s="20" t="s">
        <v>26</v>
      </c>
      <c r="G8252" s="53">
        <f t="shared" si="129"/>
        <v>1.1340743412959351</v>
      </c>
      <c r="H8252" s="35"/>
      <c r="P8252" s="6"/>
    </row>
    <row r="8253" spans="1:16" ht="14.4" x14ac:dyDescent="0.25">
      <c r="A8253" s="6">
        <v>3738</v>
      </c>
      <c r="B8253" s="6">
        <v>26723</v>
      </c>
      <c r="C8253" s="19">
        <v>40605</v>
      </c>
      <c r="D8253" s="6" t="s">
        <v>25</v>
      </c>
      <c r="E8253" s="6">
        <f>IF((ISBLANK($B$1)),"",Sheet1!Q8265)</f>
        <v>3800</v>
      </c>
      <c r="F8253" s="20" t="s">
        <v>27</v>
      </c>
      <c r="G8253" s="53">
        <f t="shared" si="129"/>
        <v>-1.2135479223102887</v>
      </c>
      <c r="H8253" s="35"/>
      <c r="P8253" s="6"/>
    </row>
    <row r="8254" spans="1:16" ht="14.4" x14ac:dyDescent="0.25">
      <c r="A8254" s="6">
        <v>3852</v>
      </c>
      <c r="B8254" s="6">
        <v>27463</v>
      </c>
      <c r="C8254" s="19">
        <v>40130</v>
      </c>
      <c r="D8254" s="6" t="s">
        <v>16</v>
      </c>
      <c r="E8254" s="6">
        <f>IF((ISBLANK($B$1)),"",Sheet1!Q8266)</f>
        <v>4950</v>
      </c>
      <c r="F8254" s="20" t="s">
        <v>29</v>
      </c>
      <c r="G8254" s="53">
        <f t="shared" si="129"/>
        <v>0.37454949130568621</v>
      </c>
      <c r="H8254" s="35"/>
      <c r="P8254" s="6"/>
    </row>
    <row r="8255" spans="1:16" ht="14.4" x14ac:dyDescent="0.25">
      <c r="A8255" s="6">
        <v>3853</v>
      </c>
      <c r="B8255" s="6">
        <v>27463</v>
      </c>
      <c r="C8255" s="19">
        <v>40130</v>
      </c>
      <c r="D8255" s="6" t="s">
        <v>16</v>
      </c>
      <c r="E8255" s="6">
        <f>IF((ISBLANK($B$1)),"",Sheet1!Q8267)</f>
        <v>3900</v>
      </c>
      <c r="F8255" s="20" t="s">
        <v>26</v>
      </c>
      <c r="G8255" s="53">
        <f t="shared" si="129"/>
        <v>-1.0754524950393345</v>
      </c>
      <c r="H8255" s="35"/>
      <c r="P8255" s="6"/>
    </row>
    <row r="8256" spans="1:16" ht="14.4" x14ac:dyDescent="0.25">
      <c r="A8256" s="6">
        <v>3941</v>
      </c>
      <c r="B8256" s="6">
        <v>28069</v>
      </c>
      <c r="C8256" s="19">
        <v>39954</v>
      </c>
      <c r="D8256" s="6" t="s">
        <v>25</v>
      </c>
      <c r="E8256" s="6">
        <f>IF((ISBLANK($B$1)),"",Sheet1!Q8268)</f>
        <v>3450</v>
      </c>
      <c r="F8256" s="20" t="s">
        <v>26</v>
      </c>
      <c r="G8256" s="53">
        <f t="shared" si="129"/>
        <v>-1.696881917758629</v>
      </c>
      <c r="H8256" s="35"/>
      <c r="P8256" s="6"/>
    </row>
    <row r="8257" spans="1:16" ht="14.4" x14ac:dyDescent="0.25">
      <c r="A8257" s="6">
        <v>3942</v>
      </c>
      <c r="B8257" s="6">
        <v>28069</v>
      </c>
      <c r="C8257" s="19">
        <v>39954</v>
      </c>
      <c r="D8257" s="6" t="s">
        <v>25</v>
      </c>
      <c r="E8257" s="6">
        <f>IF((ISBLANK($B$1)),"",Sheet1!Q8269)</f>
        <v>3600</v>
      </c>
      <c r="F8257" s="20" t="s">
        <v>26</v>
      </c>
      <c r="G8257" s="53">
        <f t="shared" si="129"/>
        <v>-1.4897387768521975</v>
      </c>
      <c r="H8257" s="35"/>
      <c r="P8257" s="6"/>
    </row>
    <row r="8258" spans="1:16" ht="14.4" x14ac:dyDescent="0.25">
      <c r="A8258" s="6">
        <v>4066</v>
      </c>
      <c r="B8258" s="6">
        <v>28934</v>
      </c>
      <c r="C8258" s="19">
        <v>41241</v>
      </c>
      <c r="D8258" s="6" t="s">
        <v>16</v>
      </c>
      <c r="E8258" s="6">
        <f>IF((ISBLANK($B$1)),"",Sheet1!Q8270)</f>
        <v>4000</v>
      </c>
      <c r="F8258" s="20" t="s">
        <v>27</v>
      </c>
      <c r="G8258" s="53">
        <f t="shared" si="129"/>
        <v>-0.93735706776838001</v>
      </c>
      <c r="H8258" s="35"/>
      <c r="P8258" s="6"/>
    </row>
    <row r="8259" spans="1:16" ht="14.4" x14ac:dyDescent="0.25">
      <c r="A8259" s="6">
        <v>4067</v>
      </c>
      <c r="B8259" s="6">
        <v>28934</v>
      </c>
      <c r="C8259" s="19">
        <v>41241</v>
      </c>
      <c r="D8259" s="6" t="s">
        <v>16</v>
      </c>
      <c r="E8259" s="6">
        <f>IF((ISBLANK($B$1)),"",Sheet1!Q8271)</f>
        <v>4700</v>
      </c>
      <c r="F8259" s="20" t="s">
        <v>29</v>
      </c>
      <c r="G8259" s="53">
        <f t="shared" si="129"/>
        <v>2.9310923128300338E-2</v>
      </c>
      <c r="H8259" s="35"/>
      <c r="P8259" s="6"/>
    </row>
    <row r="8260" spans="1:16" ht="14.4" x14ac:dyDescent="0.25">
      <c r="A8260" s="6">
        <v>4068</v>
      </c>
      <c r="B8260" s="6">
        <v>28934</v>
      </c>
      <c r="C8260" s="19">
        <v>41241</v>
      </c>
      <c r="D8260" s="6" t="s">
        <v>16</v>
      </c>
      <c r="E8260" s="6">
        <f>IF((ISBLANK($B$1)),"",Sheet1!Q8272)</f>
        <v>4700</v>
      </c>
      <c r="F8260" s="20" t="s">
        <v>27</v>
      </c>
      <c r="G8260" s="53">
        <f t="shared" si="129"/>
        <v>2.9310923128300338E-2</v>
      </c>
      <c r="H8260" s="35"/>
      <c r="P8260" s="6"/>
    </row>
    <row r="8261" spans="1:16" ht="14.4" x14ac:dyDescent="0.25">
      <c r="A8261" s="6">
        <v>4102</v>
      </c>
      <c r="B8261" s="6">
        <v>29218</v>
      </c>
      <c r="C8261" s="19">
        <v>41058</v>
      </c>
      <c r="D8261" s="6" t="s">
        <v>25</v>
      </c>
      <c r="E8261" s="6">
        <f>IF((ISBLANK($B$1)),"",Sheet1!Q8273)</f>
        <v>4350</v>
      </c>
      <c r="F8261" s="20" t="s">
        <v>29</v>
      </c>
      <c r="G8261" s="53">
        <f t="shared" si="129"/>
        <v>-0.45402307232003986</v>
      </c>
      <c r="H8261" s="35"/>
      <c r="P8261" s="6"/>
    </row>
    <row r="8262" spans="1:16" ht="14.4" x14ac:dyDescent="0.25">
      <c r="A8262" s="6">
        <v>4103</v>
      </c>
      <c r="B8262" s="6">
        <v>29218</v>
      </c>
      <c r="C8262" s="19">
        <v>41058</v>
      </c>
      <c r="D8262" s="6" t="s">
        <v>25</v>
      </c>
      <c r="E8262" s="6">
        <f>IF((ISBLANK($B$1)),"",Sheet1!Q8274)</f>
        <v>4700</v>
      </c>
      <c r="F8262" s="20" t="s">
        <v>26</v>
      </c>
      <c r="G8262" s="53">
        <f t="shared" si="129"/>
        <v>2.9310923128300338E-2</v>
      </c>
      <c r="H8262" s="35"/>
      <c r="P8262" s="6"/>
    </row>
    <row r="8263" spans="1:16" ht="14.4" x14ac:dyDescent="0.25">
      <c r="A8263" s="6">
        <v>4104</v>
      </c>
      <c r="B8263" s="6">
        <v>29218</v>
      </c>
      <c r="C8263" s="19">
        <v>41058</v>
      </c>
      <c r="D8263" s="6" t="s">
        <v>25</v>
      </c>
      <c r="E8263" s="6">
        <f>IF((ISBLANK($B$1)),"",Sheet1!Q8275)</f>
        <v>4050</v>
      </c>
      <c r="F8263" s="20" t="s">
        <v>27</v>
      </c>
      <c r="G8263" s="53">
        <f t="shared" si="129"/>
        <v>-0.86830935413290289</v>
      </c>
      <c r="H8263" s="35"/>
      <c r="P8263" s="6"/>
    </row>
    <row r="8264" spans="1:16" ht="14.4" x14ac:dyDescent="0.25">
      <c r="A8264" s="6">
        <v>4117</v>
      </c>
      <c r="B8264" s="6">
        <v>29286</v>
      </c>
      <c r="C8264" s="19">
        <v>40022</v>
      </c>
      <c r="D8264" s="6" t="s">
        <v>30</v>
      </c>
      <c r="E8264" s="6">
        <f>IF((ISBLANK($B$1)),"",Sheet1!Q8276)</f>
        <v>3600</v>
      </c>
      <c r="F8264" s="20" t="s">
        <v>27</v>
      </c>
      <c r="G8264" s="53">
        <f t="shared" ref="G8264:G8327" si="130">STANDARDIZE(E8264,$L$26,$L$35)</f>
        <v>-1.4897387768521975</v>
      </c>
      <c r="H8264" s="35"/>
      <c r="P8264" s="6"/>
    </row>
    <row r="8265" spans="1:16" ht="14.4" x14ac:dyDescent="0.25">
      <c r="A8265" s="6">
        <v>4165</v>
      </c>
      <c r="B8265" s="6">
        <v>29536</v>
      </c>
      <c r="C8265" s="19">
        <v>41159</v>
      </c>
      <c r="D8265" s="6" t="s">
        <v>16</v>
      </c>
      <c r="E8265" s="6">
        <f>IF((ISBLANK($B$1)),"",Sheet1!Q8277)</f>
        <v>3650</v>
      </c>
      <c r="F8265" s="20" t="s">
        <v>26</v>
      </c>
      <c r="G8265" s="53">
        <f t="shared" si="130"/>
        <v>-1.4206910632167202</v>
      </c>
      <c r="H8265" s="35"/>
      <c r="P8265" s="6"/>
    </row>
    <row r="8266" spans="1:16" ht="14.4" x14ac:dyDescent="0.25">
      <c r="A8266" s="6">
        <v>4166</v>
      </c>
      <c r="B8266" s="6">
        <v>29536</v>
      </c>
      <c r="C8266" s="19">
        <v>41159</v>
      </c>
      <c r="D8266" s="6" t="s">
        <v>16</v>
      </c>
      <c r="E8266" s="6">
        <f>IF((ISBLANK($B$1)),"",Sheet1!Q8278)</f>
        <v>3950</v>
      </c>
      <c r="F8266" s="20" t="s">
        <v>29</v>
      </c>
      <c r="G8266" s="53">
        <f t="shared" si="130"/>
        <v>-1.0064047814038573</v>
      </c>
      <c r="H8266" s="35"/>
      <c r="P8266" s="6"/>
    </row>
    <row r="8267" spans="1:16" ht="14.4" x14ac:dyDescent="0.25">
      <c r="A8267" s="6">
        <v>4167</v>
      </c>
      <c r="B8267" s="6">
        <v>29536</v>
      </c>
      <c r="C8267" s="19">
        <v>41159</v>
      </c>
      <c r="D8267" s="6" t="s">
        <v>16</v>
      </c>
      <c r="E8267" s="6">
        <f>IF((ISBLANK($B$1)),"",Sheet1!Q8279)</f>
        <v>4700</v>
      </c>
      <c r="F8267" s="20" t="s">
        <v>26</v>
      </c>
      <c r="G8267" s="53">
        <f t="shared" si="130"/>
        <v>2.9310923128300338E-2</v>
      </c>
      <c r="H8267" s="35"/>
      <c r="P8267" s="6"/>
    </row>
    <row r="8268" spans="1:16" ht="14.4" x14ac:dyDescent="0.25">
      <c r="A8268" s="6">
        <v>4170</v>
      </c>
      <c r="B8268" s="6">
        <v>29569</v>
      </c>
      <c r="C8268" s="19">
        <v>40727</v>
      </c>
      <c r="D8268" s="6" t="s">
        <v>17</v>
      </c>
      <c r="E8268" s="6">
        <f>IF((ISBLANK($B$1)),"",Sheet1!Q8280)</f>
        <v>5700</v>
      </c>
      <c r="F8268" s="20" t="s">
        <v>27</v>
      </c>
      <c r="G8268" s="53">
        <f t="shared" si="130"/>
        <v>1.4102651958378438</v>
      </c>
      <c r="H8268" s="35"/>
      <c r="P8268" s="6"/>
    </row>
    <row r="8269" spans="1:16" ht="14.4" x14ac:dyDescent="0.25">
      <c r="A8269" s="6">
        <v>4171</v>
      </c>
      <c r="B8269" s="6">
        <v>29569</v>
      </c>
      <c r="C8269" s="19">
        <v>40727</v>
      </c>
      <c r="D8269" s="6" t="s">
        <v>17</v>
      </c>
      <c r="E8269" s="6">
        <f>IF((ISBLANK($B$1)),"",Sheet1!Q8281)</f>
        <v>4850</v>
      </c>
      <c r="F8269" s="20" t="s">
        <v>26</v>
      </c>
      <c r="G8269" s="53">
        <f t="shared" si="130"/>
        <v>0.23645406403473185</v>
      </c>
      <c r="H8269" s="35"/>
      <c r="P8269" s="6"/>
    </row>
    <row r="8270" spans="1:16" ht="14.4" x14ac:dyDescent="0.25">
      <c r="A8270" s="6">
        <v>4197</v>
      </c>
      <c r="B8270" s="6">
        <v>29827</v>
      </c>
      <c r="C8270" s="19">
        <v>40738</v>
      </c>
      <c r="D8270" s="6" t="s">
        <v>30</v>
      </c>
      <c r="E8270" s="6">
        <f>IF((ISBLANK($B$1)),"",Sheet1!Q8282)</f>
        <v>5150</v>
      </c>
      <c r="F8270" s="20" t="s">
        <v>27</v>
      </c>
      <c r="G8270" s="53">
        <f t="shared" si="130"/>
        <v>0.65074034584759488</v>
      </c>
      <c r="H8270" s="35"/>
      <c r="P8270" s="6"/>
    </row>
    <row r="8271" spans="1:16" ht="14.4" x14ac:dyDescent="0.25">
      <c r="A8271" s="6">
        <v>4210</v>
      </c>
      <c r="B8271" s="6">
        <v>29926</v>
      </c>
      <c r="C8271" s="19">
        <v>40990</v>
      </c>
      <c r="D8271" s="6" t="s">
        <v>16</v>
      </c>
      <c r="E8271" s="6">
        <f>IF((ISBLANK($B$1)),"",Sheet1!Q8283)</f>
        <v>3850</v>
      </c>
      <c r="F8271" s="20" t="s">
        <v>26</v>
      </c>
      <c r="G8271" s="53">
        <f t="shared" si="130"/>
        <v>-1.1445002086748115</v>
      </c>
      <c r="H8271" s="35"/>
      <c r="P8271" s="6"/>
    </row>
    <row r="8272" spans="1:16" ht="14.4" x14ac:dyDescent="0.25">
      <c r="A8272" s="6">
        <v>4337</v>
      </c>
      <c r="B8272" s="6">
        <v>30913</v>
      </c>
      <c r="C8272" s="19">
        <v>41174</v>
      </c>
      <c r="D8272" s="6" t="s">
        <v>16</v>
      </c>
      <c r="E8272" s="6">
        <f>IF((ISBLANK($B$1)),"",Sheet1!Q8284)</f>
        <v>4550</v>
      </c>
      <c r="F8272" s="20" t="s">
        <v>26</v>
      </c>
      <c r="G8272" s="53">
        <f t="shared" si="130"/>
        <v>-0.17783221777813119</v>
      </c>
      <c r="H8272" s="35"/>
      <c r="P8272" s="6"/>
    </row>
    <row r="8273" spans="1:16" ht="14.4" x14ac:dyDescent="0.25">
      <c r="A8273" s="6">
        <v>4338</v>
      </c>
      <c r="B8273" s="6">
        <v>30913</v>
      </c>
      <c r="C8273" s="19">
        <v>41174</v>
      </c>
      <c r="D8273" s="6" t="s">
        <v>16</v>
      </c>
      <c r="E8273" s="6">
        <f>IF((ISBLANK($B$1)),"",Sheet1!Q8285)</f>
        <v>5200</v>
      </c>
      <c r="F8273" s="20" t="s">
        <v>27</v>
      </c>
      <c r="G8273" s="53">
        <f t="shared" si="130"/>
        <v>0.71978805948307201</v>
      </c>
      <c r="H8273" s="35"/>
      <c r="P8273" s="6"/>
    </row>
    <row r="8274" spans="1:16" ht="14.4" x14ac:dyDescent="0.25">
      <c r="A8274" s="6">
        <v>4339</v>
      </c>
      <c r="B8274" s="6">
        <v>30913</v>
      </c>
      <c r="C8274" s="19">
        <v>41174</v>
      </c>
      <c r="D8274" s="6" t="s">
        <v>16</v>
      </c>
      <c r="E8274" s="6">
        <f>IF((ISBLANK($B$1)),"",Sheet1!Q8286)</f>
        <v>5600</v>
      </c>
      <c r="F8274" s="20" t="s">
        <v>26</v>
      </c>
      <c r="G8274" s="53">
        <f t="shared" si="130"/>
        <v>1.2721697685668893</v>
      </c>
      <c r="H8274" s="35"/>
      <c r="P8274" s="6"/>
    </row>
    <row r="8275" spans="1:16" ht="14.4" x14ac:dyDescent="0.25">
      <c r="A8275" s="6">
        <v>4340</v>
      </c>
      <c r="B8275" s="6">
        <v>30913</v>
      </c>
      <c r="C8275" s="19">
        <v>41174</v>
      </c>
      <c r="D8275" s="6" t="s">
        <v>16</v>
      </c>
      <c r="E8275" s="6">
        <f>IF((ISBLANK($B$1)),"",Sheet1!Q8287)</f>
        <v>4600</v>
      </c>
      <c r="F8275" s="20" t="s">
        <v>29</v>
      </c>
      <c r="G8275" s="53">
        <f t="shared" si="130"/>
        <v>-0.108784504142654</v>
      </c>
      <c r="H8275" s="35"/>
      <c r="P8275" s="6"/>
    </row>
    <row r="8276" spans="1:16" ht="14.4" x14ac:dyDescent="0.25">
      <c r="A8276" s="6">
        <v>4393</v>
      </c>
      <c r="B8276" s="6">
        <v>31271</v>
      </c>
      <c r="C8276" s="19">
        <v>40653</v>
      </c>
      <c r="D8276" s="6" t="s">
        <v>25</v>
      </c>
      <c r="E8276" s="6">
        <f>IF((ISBLANK($B$1)),"",Sheet1!Q8288)</f>
        <v>3600</v>
      </c>
      <c r="F8276" s="20" t="s">
        <v>29</v>
      </c>
      <c r="G8276" s="53">
        <f t="shared" si="130"/>
        <v>-1.4897387768521975</v>
      </c>
      <c r="H8276" s="35"/>
      <c r="P8276" s="6"/>
    </row>
    <row r="8277" spans="1:16" ht="14.4" x14ac:dyDescent="0.25">
      <c r="A8277" s="6">
        <v>4406</v>
      </c>
      <c r="B8277" s="6">
        <v>31399</v>
      </c>
      <c r="C8277" s="19">
        <v>40852</v>
      </c>
      <c r="D8277" s="6" t="s">
        <v>28</v>
      </c>
      <c r="E8277" s="6">
        <f>IF((ISBLANK($B$1)),"",Sheet1!Q8289)</f>
        <v>3850</v>
      </c>
      <c r="F8277" s="20" t="s">
        <v>27</v>
      </c>
      <c r="G8277" s="53">
        <f t="shared" si="130"/>
        <v>-1.1445002086748115</v>
      </c>
      <c r="H8277" s="35"/>
      <c r="P8277" s="6"/>
    </row>
    <row r="8278" spans="1:16" ht="14.4" x14ac:dyDescent="0.25">
      <c r="A8278" s="6">
        <v>4498</v>
      </c>
      <c r="B8278" s="6">
        <v>32007</v>
      </c>
      <c r="C8278" s="19">
        <v>40579</v>
      </c>
      <c r="D8278" s="6" t="s">
        <v>25</v>
      </c>
      <c r="E8278" s="6">
        <f>IF((ISBLANK($B$1)),"",Sheet1!Q8290)</f>
        <v>5450</v>
      </c>
      <c r="F8278" s="20" t="s">
        <v>29</v>
      </c>
      <c r="G8278" s="53">
        <f t="shared" si="130"/>
        <v>1.0650266276604579</v>
      </c>
      <c r="H8278" s="35"/>
      <c r="P8278" s="6"/>
    </row>
    <row r="8279" spans="1:16" ht="14.4" x14ac:dyDescent="0.25">
      <c r="A8279" s="6">
        <v>4518</v>
      </c>
      <c r="B8279" s="6">
        <v>32164</v>
      </c>
      <c r="C8279" s="19">
        <v>40211</v>
      </c>
      <c r="D8279" s="6" t="s">
        <v>28</v>
      </c>
      <c r="E8279" s="6">
        <f>IF((ISBLANK($B$1)),"",Sheet1!Q8291)</f>
        <v>4000</v>
      </c>
      <c r="F8279" s="20" t="s">
        <v>26</v>
      </c>
      <c r="G8279" s="53">
        <f t="shared" si="130"/>
        <v>-0.93735706776838001</v>
      </c>
      <c r="H8279" s="35"/>
      <c r="P8279" s="6"/>
    </row>
    <row r="8280" spans="1:16" ht="14.4" x14ac:dyDescent="0.25">
      <c r="A8280" s="6">
        <v>4519</v>
      </c>
      <c r="B8280" s="6">
        <v>32164</v>
      </c>
      <c r="C8280" s="19">
        <v>40211</v>
      </c>
      <c r="D8280" s="6" t="s">
        <v>28</v>
      </c>
      <c r="E8280" s="6">
        <f>IF((ISBLANK($B$1)),"",Sheet1!Q8292)</f>
        <v>5100</v>
      </c>
      <c r="F8280" s="20" t="s">
        <v>26</v>
      </c>
      <c r="G8280" s="53">
        <f t="shared" si="130"/>
        <v>0.58169263221211776</v>
      </c>
      <c r="H8280" s="35"/>
      <c r="P8280" s="6"/>
    </row>
    <row r="8281" spans="1:16" ht="14.4" x14ac:dyDescent="0.25">
      <c r="A8281" s="6">
        <v>4520</v>
      </c>
      <c r="B8281" s="6">
        <v>32164</v>
      </c>
      <c r="C8281" s="19">
        <v>40211</v>
      </c>
      <c r="D8281" s="6" t="s">
        <v>28</v>
      </c>
      <c r="E8281" s="6">
        <f>IF((ISBLANK($B$1)),"",Sheet1!Q8293)</f>
        <v>4550</v>
      </c>
      <c r="F8281" s="20" t="s">
        <v>29</v>
      </c>
      <c r="G8281" s="53">
        <f t="shared" si="130"/>
        <v>-0.17783221777813119</v>
      </c>
      <c r="H8281" s="35"/>
      <c r="P8281" s="6"/>
    </row>
    <row r="8282" spans="1:16" ht="14.4" x14ac:dyDescent="0.25">
      <c r="A8282" s="6">
        <v>4531</v>
      </c>
      <c r="B8282" s="6">
        <v>32228</v>
      </c>
      <c r="C8282" s="19">
        <v>40486</v>
      </c>
      <c r="D8282" s="6" t="s">
        <v>30</v>
      </c>
      <c r="E8282" s="6">
        <f>IF((ISBLANK($B$1)),"",Sheet1!Q8294)</f>
        <v>5150</v>
      </c>
      <c r="F8282" s="20" t="s">
        <v>26</v>
      </c>
      <c r="G8282" s="53">
        <f t="shared" si="130"/>
        <v>0.65074034584759488</v>
      </c>
      <c r="H8282" s="35"/>
      <c r="P8282" s="6"/>
    </row>
    <row r="8283" spans="1:16" ht="14.4" x14ac:dyDescent="0.25">
      <c r="A8283" s="6">
        <v>4551</v>
      </c>
      <c r="B8283" s="6">
        <v>32386</v>
      </c>
      <c r="C8283" s="19">
        <v>41017</v>
      </c>
      <c r="D8283" s="6" t="s">
        <v>30</v>
      </c>
      <c r="E8283" s="6">
        <f>IF((ISBLANK($B$1)),"",Sheet1!Q8295)</f>
        <v>3450</v>
      </c>
      <c r="F8283" s="20" t="s">
        <v>27</v>
      </c>
      <c r="G8283" s="53">
        <f t="shared" si="130"/>
        <v>-1.696881917758629</v>
      </c>
      <c r="H8283" s="35"/>
      <c r="P8283" s="6"/>
    </row>
    <row r="8284" spans="1:16" ht="14.4" x14ac:dyDescent="0.25">
      <c r="A8284" s="6">
        <v>4578</v>
      </c>
      <c r="B8284" s="6">
        <v>32610</v>
      </c>
      <c r="C8284" s="19">
        <v>41140</v>
      </c>
      <c r="D8284" s="6" t="s">
        <v>28</v>
      </c>
      <c r="E8284" s="6">
        <f>IF((ISBLANK($B$1)),"",Sheet1!Q8296)</f>
        <v>5750</v>
      </c>
      <c r="F8284" s="20" t="s">
        <v>26</v>
      </c>
      <c r="G8284" s="53">
        <f t="shared" si="130"/>
        <v>1.4793129094733208</v>
      </c>
      <c r="H8284" s="35"/>
      <c r="P8284" s="6"/>
    </row>
    <row r="8285" spans="1:16" ht="14.4" x14ac:dyDescent="0.25">
      <c r="A8285" s="6">
        <v>4579</v>
      </c>
      <c r="B8285" s="6">
        <v>32610</v>
      </c>
      <c r="C8285" s="19">
        <v>41140</v>
      </c>
      <c r="D8285" s="6" t="s">
        <v>28</v>
      </c>
      <c r="E8285" s="6">
        <f>IF((ISBLANK($B$1)),"",Sheet1!Q8297)</f>
        <v>4400</v>
      </c>
      <c r="F8285" s="20" t="s">
        <v>27</v>
      </c>
      <c r="G8285" s="53">
        <f t="shared" si="130"/>
        <v>-0.38497535868456267</v>
      </c>
      <c r="H8285" s="35"/>
      <c r="P8285" s="6"/>
    </row>
    <row r="8286" spans="1:16" ht="14.4" x14ac:dyDescent="0.25">
      <c r="A8286" s="6">
        <v>4634</v>
      </c>
      <c r="B8286" s="6">
        <v>32994</v>
      </c>
      <c r="C8286" s="19">
        <v>41168</v>
      </c>
      <c r="D8286" s="6" t="s">
        <v>30</v>
      </c>
      <c r="E8286" s="6">
        <f>IF((ISBLANK($B$1)),"",Sheet1!Q8298)</f>
        <v>5100</v>
      </c>
      <c r="F8286" s="20" t="s">
        <v>26</v>
      </c>
      <c r="G8286" s="53">
        <f t="shared" si="130"/>
        <v>0.58169263221211776</v>
      </c>
      <c r="H8286" s="35"/>
      <c r="P8286" s="6"/>
    </row>
    <row r="8287" spans="1:16" ht="14.4" x14ac:dyDescent="0.25">
      <c r="A8287" s="6">
        <v>4677</v>
      </c>
      <c r="B8287" s="6">
        <v>33283</v>
      </c>
      <c r="C8287" s="19">
        <v>40257</v>
      </c>
      <c r="D8287" s="6" t="s">
        <v>16</v>
      </c>
      <c r="E8287" s="6">
        <f>IF((ISBLANK($B$1)),"",Sheet1!Q8299)</f>
        <v>5800</v>
      </c>
      <c r="F8287" s="20" t="s">
        <v>29</v>
      </c>
      <c r="G8287" s="53">
        <f t="shared" si="130"/>
        <v>1.5483606231087981</v>
      </c>
      <c r="H8287" s="35"/>
      <c r="P8287" s="6"/>
    </row>
    <row r="8288" spans="1:16" ht="14.4" x14ac:dyDescent="0.25">
      <c r="A8288" s="6">
        <v>4750</v>
      </c>
      <c r="B8288" s="6">
        <v>33764</v>
      </c>
      <c r="C8288" s="19">
        <v>40584</v>
      </c>
      <c r="D8288" s="6" t="s">
        <v>30</v>
      </c>
      <c r="E8288" s="6">
        <f>IF((ISBLANK($B$1)),"",Sheet1!Q8300)</f>
        <v>3600</v>
      </c>
      <c r="F8288" s="20" t="s">
        <v>26</v>
      </c>
      <c r="G8288" s="53">
        <f t="shared" si="130"/>
        <v>-1.4897387768521975</v>
      </c>
      <c r="H8288" s="35"/>
      <c r="P8288" s="6"/>
    </row>
    <row r="8289" spans="1:16" ht="14.4" x14ac:dyDescent="0.25">
      <c r="A8289" s="6">
        <v>4751</v>
      </c>
      <c r="B8289" s="6">
        <v>33764</v>
      </c>
      <c r="C8289" s="19">
        <v>40584</v>
      </c>
      <c r="D8289" s="6" t="s">
        <v>30</v>
      </c>
      <c r="E8289" s="6">
        <f>IF((ISBLANK($B$1)),"",Sheet1!Q8301)</f>
        <v>3700</v>
      </c>
      <c r="F8289" s="20" t="s">
        <v>27</v>
      </c>
      <c r="G8289" s="53">
        <f t="shared" si="130"/>
        <v>-1.351643349581243</v>
      </c>
      <c r="H8289" s="35"/>
      <c r="P8289" s="6"/>
    </row>
    <row r="8290" spans="1:16" ht="14.4" x14ac:dyDescent="0.25">
      <c r="A8290" s="6">
        <v>4800</v>
      </c>
      <c r="B8290" s="6">
        <v>34117</v>
      </c>
      <c r="C8290" s="19">
        <v>40946</v>
      </c>
      <c r="D8290" s="6" t="s">
        <v>17</v>
      </c>
      <c r="E8290" s="6">
        <f>IF((ISBLANK($B$1)),"",Sheet1!Q8302)</f>
        <v>5650</v>
      </c>
      <c r="F8290" s="20" t="s">
        <v>26</v>
      </c>
      <c r="G8290" s="53">
        <f t="shared" si="130"/>
        <v>1.3412174822023666</v>
      </c>
      <c r="H8290" s="35"/>
      <c r="P8290" s="6"/>
    </row>
    <row r="8291" spans="1:16" ht="14.4" x14ac:dyDescent="0.25">
      <c r="A8291" s="6">
        <v>4974</v>
      </c>
      <c r="B8291" s="6">
        <v>35366</v>
      </c>
      <c r="C8291" s="19">
        <v>40736</v>
      </c>
      <c r="D8291" s="6" t="s">
        <v>25</v>
      </c>
      <c r="E8291" s="6">
        <f>IF((ISBLANK($B$1)),"",Sheet1!Q8303)</f>
        <v>4550</v>
      </c>
      <c r="F8291" s="20" t="s">
        <v>26</v>
      </c>
      <c r="G8291" s="53">
        <f t="shared" si="130"/>
        <v>-0.17783221777813119</v>
      </c>
      <c r="H8291" s="35"/>
      <c r="P8291" s="6"/>
    </row>
    <row r="8292" spans="1:16" ht="14.4" x14ac:dyDescent="0.25">
      <c r="A8292" s="6">
        <v>4979</v>
      </c>
      <c r="B8292" s="6">
        <v>35426</v>
      </c>
      <c r="C8292" s="19">
        <v>40454</v>
      </c>
      <c r="D8292" s="6" t="s">
        <v>17</v>
      </c>
      <c r="E8292" s="6">
        <f>IF((ISBLANK($B$1)),"",Sheet1!Q8304)</f>
        <v>3650</v>
      </c>
      <c r="F8292" s="20" t="s">
        <v>26</v>
      </c>
      <c r="G8292" s="53">
        <f t="shared" si="130"/>
        <v>-1.4206910632167202</v>
      </c>
      <c r="H8292" s="35"/>
      <c r="P8292" s="6"/>
    </row>
    <row r="8293" spans="1:16" ht="14.4" x14ac:dyDescent="0.25">
      <c r="A8293" s="6">
        <v>4987</v>
      </c>
      <c r="B8293" s="6">
        <v>35490</v>
      </c>
      <c r="C8293" s="19">
        <v>40519</v>
      </c>
      <c r="D8293" s="6" t="s">
        <v>17</v>
      </c>
      <c r="E8293" s="6">
        <f>IF((ISBLANK($B$1)),"",Sheet1!Q8305)</f>
        <v>3750</v>
      </c>
      <c r="F8293" s="20" t="s">
        <v>26</v>
      </c>
      <c r="G8293" s="53">
        <f t="shared" si="130"/>
        <v>-1.282595635945766</v>
      </c>
      <c r="H8293" s="35"/>
      <c r="P8293" s="6"/>
    </row>
    <row r="8294" spans="1:16" ht="14.4" x14ac:dyDescent="0.25">
      <c r="A8294" s="6">
        <v>4988</v>
      </c>
      <c r="B8294" s="6">
        <v>35490</v>
      </c>
      <c r="C8294" s="19">
        <v>40519</v>
      </c>
      <c r="D8294" s="6" t="s">
        <v>17</v>
      </c>
      <c r="E8294" s="6">
        <f>IF((ISBLANK($B$1)),"",Sheet1!Q8306)</f>
        <v>5450</v>
      </c>
      <c r="F8294" s="20" t="s">
        <v>27</v>
      </c>
      <c r="G8294" s="53">
        <f t="shared" si="130"/>
        <v>1.0650266276604579</v>
      </c>
      <c r="H8294" s="35"/>
      <c r="P8294" s="6"/>
    </row>
    <row r="8295" spans="1:16" ht="14.4" x14ac:dyDescent="0.25">
      <c r="A8295" s="6">
        <v>5005</v>
      </c>
      <c r="B8295" s="6">
        <v>35686</v>
      </c>
      <c r="C8295" s="19">
        <v>40453</v>
      </c>
      <c r="D8295" s="6" t="s">
        <v>17</v>
      </c>
      <c r="E8295" s="6">
        <f>IF((ISBLANK($B$1)),"",Sheet1!Q8307)</f>
        <v>5800</v>
      </c>
      <c r="F8295" s="20" t="s">
        <v>26</v>
      </c>
      <c r="G8295" s="53">
        <f t="shared" si="130"/>
        <v>1.5483606231087981</v>
      </c>
      <c r="H8295" s="35"/>
      <c r="P8295" s="6"/>
    </row>
    <row r="8296" spans="1:16" ht="14.4" x14ac:dyDescent="0.25">
      <c r="A8296" s="6">
        <v>5010</v>
      </c>
      <c r="B8296" s="6">
        <v>35744</v>
      </c>
      <c r="C8296" s="19">
        <v>39893</v>
      </c>
      <c r="D8296" s="6" t="s">
        <v>28</v>
      </c>
      <c r="E8296" s="6">
        <f>IF((ISBLANK($B$1)),"",Sheet1!Q8308)</f>
        <v>5600</v>
      </c>
      <c r="F8296" s="20" t="s">
        <v>27</v>
      </c>
      <c r="G8296" s="53">
        <f t="shared" si="130"/>
        <v>1.2721697685668893</v>
      </c>
      <c r="H8296" s="35"/>
      <c r="P8296" s="6"/>
    </row>
    <row r="8297" spans="1:16" ht="14.4" x14ac:dyDescent="0.25">
      <c r="A8297" s="6">
        <v>5042</v>
      </c>
      <c r="B8297" s="6">
        <v>35936</v>
      </c>
      <c r="C8297" s="19">
        <v>39834</v>
      </c>
      <c r="D8297" s="6" t="s">
        <v>16</v>
      </c>
      <c r="E8297" s="6">
        <f>IF((ISBLANK($B$1)),"",Sheet1!Q8309)</f>
        <v>5450</v>
      </c>
      <c r="F8297" s="20" t="s">
        <v>26</v>
      </c>
      <c r="G8297" s="53">
        <f t="shared" si="130"/>
        <v>1.0650266276604579</v>
      </c>
      <c r="H8297" s="35"/>
      <c r="P8297" s="6"/>
    </row>
    <row r="8298" spans="1:16" ht="14.4" x14ac:dyDescent="0.25">
      <c r="A8298" s="6">
        <v>5043</v>
      </c>
      <c r="B8298" s="6">
        <v>35936</v>
      </c>
      <c r="C8298" s="19">
        <v>39834</v>
      </c>
      <c r="D8298" s="6" t="s">
        <v>16</v>
      </c>
      <c r="E8298" s="6">
        <f>IF((ISBLANK($B$1)),"",Sheet1!Q8310)</f>
        <v>5400</v>
      </c>
      <c r="F8298" s="20" t="s">
        <v>29</v>
      </c>
      <c r="G8298" s="53">
        <f t="shared" si="130"/>
        <v>0.99597891402498073</v>
      </c>
      <c r="H8298" s="35"/>
      <c r="P8298" s="6"/>
    </row>
    <row r="8299" spans="1:16" ht="14.4" x14ac:dyDescent="0.25">
      <c r="A8299" s="6">
        <v>5085</v>
      </c>
      <c r="B8299" s="6">
        <v>36257</v>
      </c>
      <c r="C8299" s="19">
        <v>40966</v>
      </c>
      <c r="D8299" s="6" t="s">
        <v>17</v>
      </c>
      <c r="E8299" s="6">
        <f>IF((ISBLANK($B$1)),"",Sheet1!Q8311)</f>
        <v>5550</v>
      </c>
      <c r="F8299" s="20" t="s">
        <v>27</v>
      </c>
      <c r="G8299" s="53">
        <f t="shared" si="130"/>
        <v>1.2031220549314123</v>
      </c>
      <c r="H8299" s="35"/>
      <c r="P8299" s="6"/>
    </row>
    <row r="8300" spans="1:16" ht="14.4" x14ac:dyDescent="0.25">
      <c r="A8300" s="6">
        <v>5086</v>
      </c>
      <c r="B8300" s="6">
        <v>36262</v>
      </c>
      <c r="C8300" s="19">
        <v>40386</v>
      </c>
      <c r="D8300" s="6" t="s">
        <v>28</v>
      </c>
      <c r="E8300" s="6">
        <f>IF((ISBLANK($B$1)),"",Sheet1!Q8312)</f>
        <v>4550</v>
      </c>
      <c r="F8300" s="20" t="s">
        <v>26</v>
      </c>
      <c r="G8300" s="53">
        <f t="shared" si="130"/>
        <v>-0.17783221777813119</v>
      </c>
      <c r="H8300" s="35"/>
      <c r="P8300" s="6"/>
    </row>
    <row r="8301" spans="1:16" ht="14.4" x14ac:dyDescent="0.25">
      <c r="A8301" s="6">
        <v>5087</v>
      </c>
      <c r="B8301" s="6">
        <v>36262</v>
      </c>
      <c r="C8301" s="19">
        <v>40386</v>
      </c>
      <c r="D8301" s="6" t="s">
        <v>28</v>
      </c>
      <c r="E8301" s="6">
        <f>IF((ISBLANK($B$1)),"",Sheet1!Q8313)</f>
        <v>4550</v>
      </c>
      <c r="F8301" s="20" t="s">
        <v>26</v>
      </c>
      <c r="G8301" s="53">
        <f t="shared" si="130"/>
        <v>-0.17783221777813119</v>
      </c>
      <c r="H8301" s="35"/>
      <c r="P8301" s="6"/>
    </row>
    <row r="8302" spans="1:16" ht="14.4" x14ac:dyDescent="0.25">
      <c r="A8302" s="6">
        <v>5088</v>
      </c>
      <c r="B8302" s="6">
        <v>36262</v>
      </c>
      <c r="C8302" s="19">
        <v>40386</v>
      </c>
      <c r="D8302" s="6" t="s">
        <v>28</v>
      </c>
      <c r="E8302" s="6">
        <f>IF((ISBLANK($B$1)),"",Sheet1!Q8314)</f>
        <v>4700</v>
      </c>
      <c r="F8302" s="20" t="s">
        <v>27</v>
      </c>
      <c r="G8302" s="53">
        <f t="shared" si="130"/>
        <v>2.9310923128300338E-2</v>
      </c>
      <c r="H8302" s="35"/>
      <c r="P8302" s="6"/>
    </row>
    <row r="8303" spans="1:16" ht="14.4" x14ac:dyDescent="0.25">
      <c r="A8303" s="6">
        <v>5089</v>
      </c>
      <c r="B8303" s="6">
        <v>36292</v>
      </c>
      <c r="C8303" s="19">
        <v>40216</v>
      </c>
      <c r="D8303" s="6" t="s">
        <v>30</v>
      </c>
      <c r="E8303" s="6">
        <f>IF((ISBLANK($B$1)),"",Sheet1!Q8315)</f>
        <v>4450</v>
      </c>
      <c r="F8303" s="20" t="s">
        <v>26</v>
      </c>
      <c r="G8303" s="53">
        <f t="shared" si="130"/>
        <v>-0.31592764504908549</v>
      </c>
      <c r="H8303" s="35"/>
      <c r="P8303" s="6"/>
    </row>
    <row r="8304" spans="1:16" ht="14.4" x14ac:dyDescent="0.25">
      <c r="A8304" s="6">
        <v>5090</v>
      </c>
      <c r="B8304" s="6">
        <v>36292</v>
      </c>
      <c r="C8304" s="19">
        <v>40216</v>
      </c>
      <c r="D8304" s="6" t="s">
        <v>30</v>
      </c>
      <c r="E8304" s="6">
        <f>IF((ISBLANK($B$1)),"",Sheet1!Q8316)</f>
        <v>5250</v>
      </c>
      <c r="F8304" s="20" t="s">
        <v>26</v>
      </c>
      <c r="G8304" s="53">
        <f t="shared" si="130"/>
        <v>0.78883577311854924</v>
      </c>
      <c r="H8304" s="35"/>
      <c r="P8304" s="6"/>
    </row>
    <row r="8305" spans="1:16" ht="14.4" x14ac:dyDescent="0.25">
      <c r="A8305" s="6">
        <v>5103</v>
      </c>
      <c r="B8305" s="6">
        <v>36357</v>
      </c>
      <c r="C8305" s="19">
        <v>40922</v>
      </c>
      <c r="D8305" s="6" t="s">
        <v>28</v>
      </c>
      <c r="E8305" s="6">
        <f>IF((ISBLANK($B$1)),"",Sheet1!Q8317)</f>
        <v>5300</v>
      </c>
      <c r="F8305" s="20" t="s">
        <v>27</v>
      </c>
      <c r="G8305" s="53">
        <f t="shared" si="130"/>
        <v>0.85788348675402637</v>
      </c>
      <c r="H8305" s="35"/>
      <c r="P8305" s="6"/>
    </row>
    <row r="8306" spans="1:16" ht="14.4" x14ac:dyDescent="0.25">
      <c r="A8306" s="6">
        <v>5122</v>
      </c>
      <c r="B8306" s="6">
        <v>36482</v>
      </c>
      <c r="C8306" s="19">
        <v>40729</v>
      </c>
      <c r="D8306" s="6" t="s">
        <v>16</v>
      </c>
      <c r="E8306" s="6">
        <f>IF((ISBLANK($B$1)),"",Sheet1!Q8318)</f>
        <v>3750</v>
      </c>
      <c r="F8306" s="20" t="s">
        <v>26</v>
      </c>
      <c r="G8306" s="53">
        <f t="shared" si="130"/>
        <v>-1.282595635945766</v>
      </c>
      <c r="H8306" s="35"/>
      <c r="P8306" s="6"/>
    </row>
    <row r="8307" spans="1:16" ht="14.4" x14ac:dyDescent="0.25">
      <c r="A8307" s="6">
        <v>5123</v>
      </c>
      <c r="B8307" s="6">
        <v>36482</v>
      </c>
      <c r="C8307" s="19">
        <v>40729</v>
      </c>
      <c r="D8307" s="6" t="s">
        <v>16</v>
      </c>
      <c r="E8307" s="6">
        <f>IF((ISBLANK($B$1)),"",Sheet1!Q8319)</f>
        <v>5750</v>
      </c>
      <c r="F8307" s="20" t="s">
        <v>26</v>
      </c>
      <c r="G8307" s="53">
        <f t="shared" si="130"/>
        <v>1.4793129094733208</v>
      </c>
      <c r="H8307" s="35"/>
      <c r="P8307" s="6"/>
    </row>
    <row r="8308" spans="1:16" ht="14.4" x14ac:dyDescent="0.25">
      <c r="A8308" s="6">
        <v>5124</v>
      </c>
      <c r="B8308" s="6">
        <v>36482</v>
      </c>
      <c r="C8308" s="19">
        <v>40729</v>
      </c>
      <c r="D8308" s="6" t="s">
        <v>16</v>
      </c>
      <c r="E8308" s="6">
        <f>IF((ISBLANK($B$1)),"",Sheet1!Q8320)</f>
        <v>4750</v>
      </c>
      <c r="F8308" s="20" t="s">
        <v>29</v>
      </c>
      <c r="G8308" s="53">
        <f t="shared" si="130"/>
        <v>9.8358636763777513E-2</v>
      </c>
      <c r="H8308" s="35"/>
      <c r="P8308" s="6"/>
    </row>
    <row r="8309" spans="1:16" ht="14.4" x14ac:dyDescent="0.25">
      <c r="A8309" s="6">
        <v>5168</v>
      </c>
      <c r="B8309" s="6">
        <v>36772</v>
      </c>
      <c r="C8309" s="19">
        <v>40313</v>
      </c>
      <c r="D8309" s="6" t="s">
        <v>16</v>
      </c>
      <c r="E8309" s="6">
        <f>IF((ISBLANK($B$1)),"",Sheet1!Q8321)</f>
        <v>5750</v>
      </c>
      <c r="F8309" s="20" t="s">
        <v>26</v>
      </c>
      <c r="G8309" s="53">
        <f t="shared" si="130"/>
        <v>1.4793129094733208</v>
      </c>
      <c r="H8309" s="35"/>
      <c r="P8309" s="6"/>
    </row>
    <row r="8310" spans="1:16" ht="14.4" x14ac:dyDescent="0.25">
      <c r="A8310" s="6">
        <v>5206</v>
      </c>
      <c r="B8310" s="6">
        <v>36998</v>
      </c>
      <c r="C8310" s="19">
        <v>41181</v>
      </c>
      <c r="D8310" s="6" t="s">
        <v>25</v>
      </c>
      <c r="E8310" s="6">
        <f>IF((ISBLANK($B$1)),"",Sheet1!Q8322)</f>
        <v>5900</v>
      </c>
      <c r="F8310" s="20" t="s">
        <v>29</v>
      </c>
      <c r="G8310" s="53">
        <f t="shared" si="130"/>
        <v>1.6864560503797523</v>
      </c>
      <c r="H8310" s="35"/>
      <c r="P8310" s="6"/>
    </row>
    <row r="8311" spans="1:16" ht="14.4" x14ac:dyDescent="0.25">
      <c r="A8311" s="6">
        <v>5207</v>
      </c>
      <c r="B8311" s="6">
        <v>36998</v>
      </c>
      <c r="C8311" s="19">
        <v>41181</v>
      </c>
      <c r="D8311" s="6" t="s">
        <v>25</v>
      </c>
      <c r="E8311" s="6">
        <f>IF((ISBLANK($B$1)),"",Sheet1!Q8323)</f>
        <v>5450</v>
      </c>
      <c r="F8311" s="20" t="s">
        <v>26</v>
      </c>
      <c r="G8311" s="53">
        <f t="shared" si="130"/>
        <v>1.0650266276604579</v>
      </c>
      <c r="H8311" s="35"/>
      <c r="P8311" s="6"/>
    </row>
    <row r="8312" spans="1:16" ht="14.4" x14ac:dyDescent="0.25">
      <c r="A8312" s="6">
        <v>5208</v>
      </c>
      <c r="B8312" s="6">
        <v>36998</v>
      </c>
      <c r="C8312" s="19">
        <v>41181</v>
      </c>
      <c r="D8312" s="6" t="s">
        <v>25</v>
      </c>
      <c r="E8312" s="6">
        <f>IF((ISBLANK($B$1)),"",Sheet1!Q8324)</f>
        <v>3800</v>
      </c>
      <c r="F8312" s="20" t="s">
        <v>26</v>
      </c>
      <c r="G8312" s="53">
        <f t="shared" si="130"/>
        <v>-1.2135479223102887</v>
      </c>
      <c r="H8312" s="35"/>
      <c r="P8312" s="6"/>
    </row>
    <row r="8313" spans="1:16" ht="14.4" x14ac:dyDescent="0.25">
      <c r="A8313" s="6">
        <v>5213</v>
      </c>
      <c r="B8313" s="6">
        <v>37095</v>
      </c>
      <c r="C8313" s="19">
        <v>39882</v>
      </c>
      <c r="D8313" s="6" t="s">
        <v>25</v>
      </c>
      <c r="E8313" s="6">
        <f>IF((ISBLANK($B$1)),"",Sheet1!Q8325)</f>
        <v>3550</v>
      </c>
      <c r="F8313" s="20" t="s">
        <v>27</v>
      </c>
      <c r="G8313" s="53">
        <f t="shared" si="130"/>
        <v>-1.5587864904876745</v>
      </c>
      <c r="H8313" s="35"/>
      <c r="P8313" s="6"/>
    </row>
    <row r="8314" spans="1:16" ht="14.4" x14ac:dyDescent="0.25">
      <c r="A8314" s="6">
        <v>5248</v>
      </c>
      <c r="B8314" s="6">
        <v>37319</v>
      </c>
      <c r="C8314" s="19">
        <v>40029</v>
      </c>
      <c r="D8314" s="6" t="s">
        <v>30</v>
      </c>
      <c r="E8314" s="6">
        <f>IF((ISBLANK($B$1)),"",Sheet1!Q8326)</f>
        <v>5250</v>
      </c>
      <c r="F8314" s="20" t="s">
        <v>26</v>
      </c>
      <c r="G8314" s="53">
        <f t="shared" si="130"/>
        <v>0.78883577311854924</v>
      </c>
      <c r="H8314" s="35"/>
      <c r="P8314" s="6"/>
    </row>
    <row r="8315" spans="1:16" ht="14.4" x14ac:dyDescent="0.25">
      <c r="A8315" s="6">
        <v>5474</v>
      </c>
      <c r="B8315" s="6">
        <v>38886</v>
      </c>
      <c r="C8315" s="19">
        <v>40032</v>
      </c>
      <c r="D8315" s="6" t="s">
        <v>17</v>
      </c>
      <c r="E8315" s="6">
        <f>IF((ISBLANK($B$1)),"",Sheet1!Q8327)</f>
        <v>4700</v>
      </c>
      <c r="F8315" s="20" t="s">
        <v>26</v>
      </c>
      <c r="G8315" s="53">
        <f t="shared" si="130"/>
        <v>2.9310923128300338E-2</v>
      </c>
      <c r="H8315" s="35"/>
      <c r="P8315" s="6"/>
    </row>
    <row r="8316" spans="1:16" ht="14.4" x14ac:dyDescent="0.25">
      <c r="A8316" s="6">
        <v>5523</v>
      </c>
      <c r="B8316" s="6">
        <v>39140</v>
      </c>
      <c r="C8316" s="19">
        <v>40448</v>
      </c>
      <c r="D8316" s="6" t="s">
        <v>25</v>
      </c>
      <c r="E8316" s="6">
        <f>IF((ISBLANK($B$1)),"",Sheet1!Q8328)</f>
        <v>4700</v>
      </c>
      <c r="F8316" s="20" t="s">
        <v>29</v>
      </c>
      <c r="G8316" s="53">
        <f t="shared" si="130"/>
        <v>2.9310923128300338E-2</v>
      </c>
      <c r="H8316" s="35"/>
      <c r="P8316" s="6"/>
    </row>
    <row r="8317" spans="1:16" ht="14.4" x14ac:dyDescent="0.25">
      <c r="A8317" s="6">
        <v>5597</v>
      </c>
      <c r="B8317" s="6">
        <v>39682</v>
      </c>
      <c r="C8317" s="19">
        <v>40491</v>
      </c>
      <c r="D8317" s="6" t="s">
        <v>16</v>
      </c>
      <c r="E8317" s="6">
        <f>IF((ISBLANK($B$1)),"",Sheet1!Q8329)</f>
        <v>5550</v>
      </c>
      <c r="F8317" s="20" t="s">
        <v>26</v>
      </c>
      <c r="G8317" s="53">
        <f t="shared" si="130"/>
        <v>1.2031220549314123</v>
      </c>
      <c r="H8317" s="35"/>
      <c r="P8317" s="6"/>
    </row>
    <row r="8318" spans="1:16" ht="14.4" x14ac:dyDescent="0.25">
      <c r="A8318" s="6">
        <v>5621</v>
      </c>
      <c r="B8318" s="6">
        <v>39813</v>
      </c>
      <c r="C8318" s="19">
        <v>40941</v>
      </c>
      <c r="D8318" s="6" t="s">
        <v>30</v>
      </c>
      <c r="E8318" s="6">
        <f>IF((ISBLANK($B$1)),"",Sheet1!Q8330)</f>
        <v>5800</v>
      </c>
      <c r="F8318" s="20" t="s">
        <v>26</v>
      </c>
      <c r="G8318" s="53">
        <f t="shared" si="130"/>
        <v>1.5483606231087981</v>
      </c>
      <c r="H8318" s="35"/>
      <c r="P8318" s="6"/>
    </row>
    <row r="8319" spans="1:16" ht="14.4" x14ac:dyDescent="0.25">
      <c r="A8319" s="6">
        <v>5644</v>
      </c>
      <c r="B8319" s="6">
        <v>39937</v>
      </c>
      <c r="C8319" s="19">
        <v>40686</v>
      </c>
      <c r="D8319" s="6" t="s">
        <v>16</v>
      </c>
      <c r="E8319" s="6">
        <f>IF((ISBLANK($B$1)),"",Sheet1!Q8331)</f>
        <v>5500</v>
      </c>
      <c r="F8319" s="20" t="s">
        <v>26</v>
      </c>
      <c r="G8319" s="53">
        <f t="shared" si="130"/>
        <v>1.1340743412959351</v>
      </c>
      <c r="H8319" s="35"/>
      <c r="P8319" s="6"/>
    </row>
    <row r="8320" spans="1:16" ht="14.4" x14ac:dyDescent="0.25">
      <c r="A8320" s="6">
        <v>5658</v>
      </c>
      <c r="B8320" s="6">
        <v>40034</v>
      </c>
      <c r="C8320" s="19">
        <v>40612</v>
      </c>
      <c r="D8320" s="6" t="s">
        <v>16</v>
      </c>
      <c r="E8320" s="6">
        <f>IF((ISBLANK($B$1)),"",Sheet1!Q8332)</f>
        <v>5750</v>
      </c>
      <c r="F8320" s="20" t="s">
        <v>26</v>
      </c>
      <c r="G8320" s="53">
        <f t="shared" si="130"/>
        <v>1.4793129094733208</v>
      </c>
      <c r="H8320" s="35"/>
      <c r="P8320" s="6"/>
    </row>
    <row r="8321" spans="1:16" ht="14.4" x14ac:dyDescent="0.25">
      <c r="A8321" s="6">
        <v>5673</v>
      </c>
      <c r="B8321" s="6">
        <v>40128</v>
      </c>
      <c r="C8321" s="19">
        <v>39853</v>
      </c>
      <c r="D8321" s="6" t="s">
        <v>25</v>
      </c>
      <c r="E8321" s="6">
        <f>IF((ISBLANK($B$1)),"",Sheet1!Q8333)</f>
        <v>5550</v>
      </c>
      <c r="F8321" s="20" t="s">
        <v>29</v>
      </c>
      <c r="G8321" s="53">
        <f t="shared" si="130"/>
        <v>1.2031220549314123</v>
      </c>
      <c r="H8321" s="35"/>
      <c r="P8321" s="6"/>
    </row>
    <row r="8322" spans="1:16" ht="14.4" x14ac:dyDescent="0.25">
      <c r="A8322" s="6">
        <v>5720</v>
      </c>
      <c r="B8322" s="6">
        <v>40519</v>
      </c>
      <c r="C8322" s="19">
        <v>40533</v>
      </c>
      <c r="D8322" s="6" t="s">
        <v>30</v>
      </c>
      <c r="E8322" s="6">
        <f>IF((ISBLANK($B$1)),"",Sheet1!Q8334)</f>
        <v>5300</v>
      </c>
      <c r="F8322" s="20" t="s">
        <v>26</v>
      </c>
      <c r="G8322" s="53">
        <f t="shared" si="130"/>
        <v>0.85788348675402637</v>
      </c>
      <c r="H8322" s="35"/>
      <c r="P8322" s="6"/>
    </row>
    <row r="8323" spans="1:16" ht="14.4" x14ac:dyDescent="0.25">
      <c r="A8323" s="6">
        <v>5753</v>
      </c>
      <c r="B8323" s="6">
        <v>40838</v>
      </c>
      <c r="C8323" s="19">
        <v>41239</v>
      </c>
      <c r="D8323" s="6" t="s">
        <v>28</v>
      </c>
      <c r="E8323" s="6">
        <f>IF((ISBLANK($B$1)),"",Sheet1!Q8335)</f>
        <v>5400</v>
      </c>
      <c r="F8323" s="20" t="s">
        <v>29</v>
      </c>
      <c r="G8323" s="53">
        <f t="shared" si="130"/>
        <v>0.99597891402498073</v>
      </c>
      <c r="H8323" s="35"/>
      <c r="P8323" s="6"/>
    </row>
    <row r="8324" spans="1:16" ht="14.4" x14ac:dyDescent="0.25">
      <c r="A8324" s="6">
        <v>5754</v>
      </c>
      <c r="B8324" s="6">
        <v>40838</v>
      </c>
      <c r="C8324" s="19">
        <v>41239</v>
      </c>
      <c r="D8324" s="6" t="s">
        <v>28</v>
      </c>
      <c r="E8324" s="6">
        <f>IF((ISBLANK($B$1)),"",Sheet1!Q8336)</f>
        <v>3900</v>
      </c>
      <c r="F8324" s="20" t="s">
        <v>27</v>
      </c>
      <c r="G8324" s="53">
        <f t="shared" si="130"/>
        <v>-1.0754524950393345</v>
      </c>
      <c r="H8324" s="35"/>
      <c r="P8324" s="6"/>
    </row>
    <row r="8325" spans="1:16" ht="14.4" x14ac:dyDescent="0.25">
      <c r="A8325" s="6">
        <v>5811</v>
      </c>
      <c r="B8325" s="6">
        <v>41189</v>
      </c>
      <c r="C8325" s="19">
        <v>40008</v>
      </c>
      <c r="D8325" s="6" t="s">
        <v>25</v>
      </c>
      <c r="E8325" s="6">
        <f>IF((ISBLANK($B$1)),"",Sheet1!Q8337)</f>
        <v>4900</v>
      </c>
      <c r="F8325" s="20" t="s">
        <v>26</v>
      </c>
      <c r="G8325" s="53">
        <f t="shared" si="130"/>
        <v>0.30550177767020903</v>
      </c>
      <c r="H8325" s="35"/>
      <c r="P8325" s="6"/>
    </row>
    <row r="8326" spans="1:16" ht="14.4" x14ac:dyDescent="0.25">
      <c r="A8326" s="6">
        <v>5818</v>
      </c>
      <c r="B8326" s="6">
        <v>41255</v>
      </c>
      <c r="C8326" s="19">
        <v>40104</v>
      </c>
      <c r="D8326" s="6" t="s">
        <v>25</v>
      </c>
      <c r="E8326" s="6">
        <f>IF((ISBLANK($B$1)),"",Sheet1!Q8338)</f>
        <v>4500</v>
      </c>
      <c r="F8326" s="20" t="s">
        <v>29</v>
      </c>
      <c r="G8326" s="53">
        <f t="shared" si="130"/>
        <v>-0.24687993141360834</v>
      </c>
      <c r="H8326" s="35"/>
      <c r="P8326" s="6"/>
    </row>
    <row r="8327" spans="1:16" ht="14.4" x14ac:dyDescent="0.25">
      <c r="A8327" s="6">
        <v>5882</v>
      </c>
      <c r="B8327" s="6">
        <v>41760</v>
      </c>
      <c r="C8327" s="19">
        <v>40935</v>
      </c>
      <c r="D8327" s="6" t="s">
        <v>25</v>
      </c>
      <c r="E8327" s="6">
        <f>IF((ISBLANK($B$1)),"",Sheet1!Q8339)</f>
        <v>4450</v>
      </c>
      <c r="F8327" s="20" t="s">
        <v>26</v>
      </c>
      <c r="G8327" s="53">
        <f t="shared" si="130"/>
        <v>-0.31592764504908549</v>
      </c>
      <c r="H8327" s="35"/>
      <c r="P8327" s="6"/>
    </row>
    <row r="8328" spans="1:16" ht="14.4" x14ac:dyDescent="0.25">
      <c r="A8328" s="6">
        <v>5883</v>
      </c>
      <c r="B8328" s="6">
        <v>41760</v>
      </c>
      <c r="C8328" s="19">
        <v>40935</v>
      </c>
      <c r="D8328" s="6" t="s">
        <v>25</v>
      </c>
      <c r="E8328" s="6">
        <f>IF((ISBLANK($B$1)),"",Sheet1!Q8340)</f>
        <v>4500</v>
      </c>
      <c r="F8328" s="20" t="s">
        <v>29</v>
      </c>
      <c r="G8328" s="53">
        <f t="shared" ref="G8328:G8391" si="131">STANDARDIZE(E8328,$L$26,$L$35)</f>
        <v>-0.24687993141360834</v>
      </c>
      <c r="H8328" s="35"/>
      <c r="P8328" s="6"/>
    </row>
    <row r="8329" spans="1:16" ht="14.4" x14ac:dyDescent="0.25">
      <c r="A8329" s="6">
        <v>5884</v>
      </c>
      <c r="B8329" s="6">
        <v>41760</v>
      </c>
      <c r="C8329" s="19">
        <v>40935</v>
      </c>
      <c r="D8329" s="6" t="s">
        <v>25</v>
      </c>
      <c r="E8329" s="6">
        <f>IF((ISBLANK($B$1)),"",Sheet1!Q8341)</f>
        <v>3750</v>
      </c>
      <c r="F8329" s="20" t="s">
        <v>27</v>
      </c>
      <c r="G8329" s="53">
        <f t="shared" si="131"/>
        <v>-1.282595635945766</v>
      </c>
      <c r="H8329" s="35"/>
      <c r="P8329" s="6"/>
    </row>
    <row r="8330" spans="1:16" ht="14.4" x14ac:dyDescent="0.25">
      <c r="A8330" s="6">
        <v>5885</v>
      </c>
      <c r="B8330" s="6">
        <v>41760</v>
      </c>
      <c r="C8330" s="19">
        <v>40935</v>
      </c>
      <c r="D8330" s="6" t="s">
        <v>25</v>
      </c>
      <c r="E8330" s="6">
        <f>IF((ISBLANK($B$1)),"",Sheet1!Q8342)</f>
        <v>5400</v>
      </c>
      <c r="F8330" s="20" t="s">
        <v>27</v>
      </c>
      <c r="G8330" s="53">
        <f t="shared" si="131"/>
        <v>0.99597891402498073</v>
      </c>
      <c r="H8330" s="35"/>
      <c r="P8330" s="6"/>
    </row>
    <row r="8331" spans="1:16" ht="14.4" x14ac:dyDescent="0.25">
      <c r="A8331" s="6">
        <v>6046</v>
      </c>
      <c r="B8331" s="6">
        <v>42852</v>
      </c>
      <c r="C8331" s="19">
        <v>40167</v>
      </c>
      <c r="D8331" s="6" t="s">
        <v>28</v>
      </c>
      <c r="E8331" s="6">
        <f>IF((ISBLANK($B$1)),"",Sheet1!Q8343)</f>
        <v>4050</v>
      </c>
      <c r="F8331" s="20" t="s">
        <v>26</v>
      </c>
      <c r="G8331" s="53">
        <f t="shared" si="131"/>
        <v>-0.86830935413290289</v>
      </c>
      <c r="H8331" s="35"/>
      <c r="P8331" s="6"/>
    </row>
    <row r="8332" spans="1:16" ht="14.4" x14ac:dyDescent="0.25">
      <c r="A8332" s="6">
        <v>6069</v>
      </c>
      <c r="B8332" s="6">
        <v>42982</v>
      </c>
      <c r="C8332" s="19">
        <v>41117</v>
      </c>
      <c r="D8332" s="6" t="s">
        <v>25</v>
      </c>
      <c r="E8332" s="6">
        <f>IF((ISBLANK($B$1)),"",Sheet1!Q8344)</f>
        <v>5500</v>
      </c>
      <c r="F8332" s="20" t="s">
        <v>29</v>
      </c>
      <c r="G8332" s="53">
        <f t="shared" si="131"/>
        <v>1.1340743412959351</v>
      </c>
      <c r="H8332" s="35"/>
      <c r="P8332" s="6"/>
    </row>
    <row r="8333" spans="1:16" ht="14.4" x14ac:dyDescent="0.25">
      <c r="A8333" s="6">
        <v>6111</v>
      </c>
      <c r="B8333" s="6">
        <v>43298</v>
      </c>
      <c r="C8333" s="19">
        <v>40734</v>
      </c>
      <c r="D8333" s="6" t="s">
        <v>28</v>
      </c>
      <c r="E8333" s="6">
        <f>IF((ISBLANK($B$1)),"",Sheet1!Q8345)</f>
        <v>5050</v>
      </c>
      <c r="F8333" s="20" t="s">
        <v>27</v>
      </c>
      <c r="G8333" s="53">
        <f t="shared" si="131"/>
        <v>0.51264491857664052</v>
      </c>
      <c r="H8333" s="35"/>
      <c r="P8333" s="6"/>
    </row>
    <row r="8334" spans="1:16" ht="14.4" x14ac:dyDescent="0.25">
      <c r="A8334" s="6">
        <v>6112</v>
      </c>
      <c r="B8334" s="6">
        <v>43298</v>
      </c>
      <c r="C8334" s="19">
        <v>40734</v>
      </c>
      <c r="D8334" s="6" t="s">
        <v>28</v>
      </c>
      <c r="E8334" s="6">
        <f>IF((ISBLANK($B$1)),"",Sheet1!Q8346)</f>
        <v>4150</v>
      </c>
      <c r="F8334" s="20" t="s">
        <v>26</v>
      </c>
      <c r="G8334" s="53">
        <f t="shared" si="131"/>
        <v>-0.73021392686194853</v>
      </c>
      <c r="H8334" s="35"/>
      <c r="P8334" s="6"/>
    </row>
    <row r="8335" spans="1:16" ht="14.4" x14ac:dyDescent="0.25">
      <c r="A8335" s="6">
        <v>6288</v>
      </c>
      <c r="B8335" s="6">
        <v>44516</v>
      </c>
      <c r="C8335" s="19">
        <v>40723</v>
      </c>
      <c r="D8335" s="6" t="s">
        <v>30</v>
      </c>
      <c r="E8335" s="6">
        <f>IF((ISBLANK($B$1)),"",Sheet1!Q8347)</f>
        <v>4250</v>
      </c>
      <c r="F8335" s="20" t="s">
        <v>26</v>
      </c>
      <c r="G8335" s="53">
        <f t="shared" si="131"/>
        <v>-0.59211849959099416</v>
      </c>
      <c r="H8335" s="35"/>
      <c r="P8335" s="6"/>
    </row>
    <row r="8336" spans="1:16" ht="14.4" x14ac:dyDescent="0.25">
      <c r="A8336" s="6">
        <v>6357</v>
      </c>
      <c r="B8336" s="6">
        <v>45088</v>
      </c>
      <c r="C8336" s="19">
        <v>40504</v>
      </c>
      <c r="D8336" s="6" t="s">
        <v>25</v>
      </c>
      <c r="E8336" s="6">
        <f>IF((ISBLANK($B$1)),"",Sheet1!Q8348)</f>
        <v>3850</v>
      </c>
      <c r="F8336" s="20" t="s">
        <v>27</v>
      </c>
      <c r="G8336" s="53">
        <f t="shared" si="131"/>
        <v>-1.1445002086748115</v>
      </c>
      <c r="H8336" s="35"/>
      <c r="P8336" s="6"/>
    </row>
    <row r="8337" spans="1:16" ht="14.4" x14ac:dyDescent="0.25">
      <c r="A8337" s="6">
        <v>6555</v>
      </c>
      <c r="B8337" s="6">
        <v>46599</v>
      </c>
      <c r="C8337" s="19">
        <v>40434</v>
      </c>
      <c r="D8337" s="6" t="s">
        <v>28</v>
      </c>
      <c r="E8337" s="6">
        <f>IF((ISBLANK($B$1)),"",Sheet1!Q8349)</f>
        <v>3600</v>
      </c>
      <c r="F8337" s="20" t="s">
        <v>29</v>
      </c>
      <c r="G8337" s="53">
        <f t="shared" si="131"/>
        <v>-1.4897387768521975</v>
      </c>
      <c r="H8337" s="35"/>
      <c r="P8337" s="6"/>
    </row>
    <row r="8338" spans="1:16" ht="14.4" x14ac:dyDescent="0.25">
      <c r="A8338" s="6">
        <v>6681</v>
      </c>
      <c r="B8338" s="6">
        <v>47524</v>
      </c>
      <c r="C8338" s="19">
        <v>40283</v>
      </c>
      <c r="D8338" s="6" t="s">
        <v>16</v>
      </c>
      <c r="E8338" s="6">
        <f>IF((ISBLANK($B$1)),"",Sheet1!Q8350)</f>
        <v>3800</v>
      </c>
      <c r="F8338" s="20" t="s">
        <v>27</v>
      </c>
      <c r="G8338" s="53">
        <f t="shared" si="131"/>
        <v>-1.2135479223102887</v>
      </c>
      <c r="H8338" s="35"/>
      <c r="P8338" s="6"/>
    </row>
    <row r="8339" spans="1:16" ht="14.4" x14ac:dyDescent="0.25">
      <c r="A8339" s="6">
        <v>6741</v>
      </c>
      <c r="B8339" s="6">
        <v>48000</v>
      </c>
      <c r="C8339" s="19">
        <v>41134</v>
      </c>
      <c r="D8339" s="6" t="s">
        <v>17</v>
      </c>
      <c r="E8339" s="6">
        <f>IF((ISBLANK($B$1)),"",Sheet1!Q8351)</f>
        <v>4000</v>
      </c>
      <c r="F8339" s="20" t="s">
        <v>27</v>
      </c>
      <c r="G8339" s="53">
        <f t="shared" si="131"/>
        <v>-0.93735706776838001</v>
      </c>
      <c r="H8339" s="35"/>
      <c r="P8339" s="6"/>
    </row>
    <row r="8340" spans="1:16" ht="14.4" x14ac:dyDescent="0.25">
      <c r="A8340" s="6">
        <v>6790</v>
      </c>
      <c r="B8340" s="6">
        <v>48385</v>
      </c>
      <c r="C8340" s="19">
        <v>40074</v>
      </c>
      <c r="D8340" s="6" t="s">
        <v>16</v>
      </c>
      <c r="E8340" s="6">
        <f>IF((ISBLANK($B$1)),"",Sheet1!Q8352)</f>
        <v>4200</v>
      </c>
      <c r="F8340" s="20" t="s">
        <v>27</v>
      </c>
      <c r="G8340" s="53">
        <f t="shared" si="131"/>
        <v>-0.6611662132264714</v>
      </c>
      <c r="H8340" s="35"/>
      <c r="P8340" s="6"/>
    </row>
    <row r="8341" spans="1:16" ht="14.4" x14ac:dyDescent="0.25">
      <c r="A8341" s="6">
        <v>6945</v>
      </c>
      <c r="B8341" s="6">
        <v>49602</v>
      </c>
      <c r="C8341" s="19">
        <v>40976</v>
      </c>
      <c r="D8341" s="6" t="s">
        <v>28</v>
      </c>
      <c r="E8341" s="6">
        <f>IF((ISBLANK($B$1)),"",Sheet1!Q8353)</f>
        <v>4950</v>
      </c>
      <c r="F8341" s="20" t="s">
        <v>29</v>
      </c>
      <c r="G8341" s="53">
        <f t="shared" si="131"/>
        <v>0.37454949130568621</v>
      </c>
      <c r="H8341" s="35"/>
      <c r="P8341" s="6"/>
    </row>
    <row r="8342" spans="1:16" ht="14.4" x14ac:dyDescent="0.25">
      <c r="A8342" s="6">
        <v>7026</v>
      </c>
      <c r="B8342" s="6">
        <v>50146</v>
      </c>
      <c r="C8342" s="19">
        <v>40399</v>
      </c>
      <c r="D8342" s="6" t="s">
        <v>28</v>
      </c>
      <c r="E8342" s="6">
        <f>IF((ISBLANK($B$1)),"",Sheet1!Q8354)</f>
        <v>5000</v>
      </c>
      <c r="F8342" s="20" t="s">
        <v>27</v>
      </c>
      <c r="G8342" s="53">
        <f t="shared" si="131"/>
        <v>0.44359720494116334</v>
      </c>
      <c r="H8342" s="35"/>
      <c r="P8342" s="6"/>
    </row>
    <row r="8343" spans="1:16" ht="14.4" x14ac:dyDescent="0.25">
      <c r="A8343" s="6">
        <v>7029</v>
      </c>
      <c r="B8343" s="6">
        <v>50148</v>
      </c>
      <c r="C8343" s="19">
        <v>40940</v>
      </c>
      <c r="D8343" s="6" t="s">
        <v>16</v>
      </c>
      <c r="E8343" s="6">
        <f>IF((ISBLANK($B$1)),"",Sheet1!Q8355)</f>
        <v>3850</v>
      </c>
      <c r="F8343" s="20" t="s">
        <v>27</v>
      </c>
      <c r="G8343" s="53">
        <f t="shared" si="131"/>
        <v>-1.1445002086748115</v>
      </c>
      <c r="H8343" s="35"/>
      <c r="P8343" s="6"/>
    </row>
    <row r="8344" spans="1:16" ht="14.4" x14ac:dyDescent="0.25">
      <c r="A8344" s="6">
        <v>7090</v>
      </c>
      <c r="B8344" s="6">
        <v>50594</v>
      </c>
      <c r="C8344" s="19">
        <v>40315</v>
      </c>
      <c r="D8344" s="6" t="s">
        <v>25</v>
      </c>
      <c r="E8344" s="6">
        <f>IF((ISBLANK($B$1)),"",Sheet1!Q8356)</f>
        <v>5350</v>
      </c>
      <c r="F8344" s="20" t="s">
        <v>26</v>
      </c>
      <c r="G8344" s="53">
        <f t="shared" si="131"/>
        <v>0.92693120038950361</v>
      </c>
      <c r="H8344" s="35"/>
      <c r="P8344" s="6"/>
    </row>
    <row r="8345" spans="1:16" ht="14.4" x14ac:dyDescent="0.25">
      <c r="A8345" s="6">
        <v>7091</v>
      </c>
      <c r="B8345" s="6">
        <v>50594</v>
      </c>
      <c r="C8345" s="19">
        <v>40315</v>
      </c>
      <c r="D8345" s="6" t="s">
        <v>25</v>
      </c>
      <c r="E8345" s="6">
        <f>IF((ISBLANK($B$1)),"",Sheet1!Q8357)</f>
        <v>5800</v>
      </c>
      <c r="F8345" s="20" t="s">
        <v>27</v>
      </c>
      <c r="G8345" s="53">
        <f t="shared" si="131"/>
        <v>1.5483606231087981</v>
      </c>
      <c r="H8345" s="35"/>
      <c r="P8345" s="6"/>
    </row>
    <row r="8346" spans="1:16" ht="14.4" x14ac:dyDescent="0.25">
      <c r="A8346" s="6">
        <v>7109</v>
      </c>
      <c r="B8346" s="6">
        <v>50726</v>
      </c>
      <c r="C8346" s="19">
        <v>40847</v>
      </c>
      <c r="D8346" s="6" t="s">
        <v>25</v>
      </c>
      <c r="E8346" s="6">
        <f>IF((ISBLANK($B$1)),"",Sheet1!Q8358)</f>
        <v>5650</v>
      </c>
      <c r="F8346" s="20" t="s">
        <v>29</v>
      </c>
      <c r="G8346" s="53">
        <f t="shared" si="131"/>
        <v>1.3412174822023666</v>
      </c>
      <c r="H8346" s="35"/>
      <c r="P8346" s="6"/>
    </row>
    <row r="8347" spans="1:16" ht="14.4" x14ac:dyDescent="0.25">
      <c r="A8347" s="6">
        <v>7110</v>
      </c>
      <c r="B8347" s="6">
        <v>50726</v>
      </c>
      <c r="C8347" s="19">
        <v>40847</v>
      </c>
      <c r="D8347" s="6" t="s">
        <v>25</v>
      </c>
      <c r="E8347" s="6">
        <f>IF((ISBLANK($B$1)),"",Sheet1!Q8359)</f>
        <v>4450</v>
      </c>
      <c r="F8347" s="20" t="s">
        <v>26</v>
      </c>
      <c r="G8347" s="53">
        <f t="shared" si="131"/>
        <v>-0.31592764504908549</v>
      </c>
      <c r="H8347" s="35"/>
      <c r="P8347" s="6"/>
    </row>
    <row r="8348" spans="1:16" ht="14.4" x14ac:dyDescent="0.25">
      <c r="A8348" s="6">
        <v>7119</v>
      </c>
      <c r="B8348" s="6">
        <v>50790</v>
      </c>
      <c r="C8348" s="19">
        <v>40740</v>
      </c>
      <c r="D8348" s="6" t="s">
        <v>30</v>
      </c>
      <c r="E8348" s="6">
        <f>IF((ISBLANK($B$1)),"",Sheet1!Q8360)</f>
        <v>5750</v>
      </c>
      <c r="F8348" s="20" t="s">
        <v>29</v>
      </c>
      <c r="G8348" s="53">
        <f t="shared" si="131"/>
        <v>1.4793129094733208</v>
      </c>
      <c r="H8348" s="35"/>
      <c r="P8348" s="6"/>
    </row>
    <row r="8349" spans="1:16" ht="14.4" x14ac:dyDescent="0.25">
      <c r="A8349" s="6">
        <v>7206</v>
      </c>
      <c r="B8349" s="6">
        <v>51424</v>
      </c>
      <c r="C8349" s="19">
        <v>40917</v>
      </c>
      <c r="D8349" s="6" t="s">
        <v>28</v>
      </c>
      <c r="E8349" s="6">
        <f>IF((ISBLANK($B$1)),"",Sheet1!Q8361)</f>
        <v>5800</v>
      </c>
      <c r="F8349" s="20" t="s">
        <v>26</v>
      </c>
      <c r="G8349" s="53">
        <f t="shared" si="131"/>
        <v>1.5483606231087981</v>
      </c>
      <c r="H8349" s="35"/>
      <c r="P8349" s="6"/>
    </row>
    <row r="8350" spans="1:16" ht="14.4" x14ac:dyDescent="0.25">
      <c r="A8350" s="6">
        <v>7207</v>
      </c>
      <c r="B8350" s="6">
        <v>51424</v>
      </c>
      <c r="C8350" s="19">
        <v>40917</v>
      </c>
      <c r="D8350" s="6" t="s">
        <v>28</v>
      </c>
      <c r="E8350" s="6">
        <f>IF((ISBLANK($B$1)),"",Sheet1!Q8362)</f>
        <v>3650</v>
      </c>
      <c r="F8350" s="20" t="s">
        <v>26</v>
      </c>
      <c r="G8350" s="53">
        <f t="shared" si="131"/>
        <v>-1.4206910632167202</v>
      </c>
      <c r="H8350" s="35"/>
      <c r="P8350" s="6"/>
    </row>
    <row r="8351" spans="1:16" ht="14.4" x14ac:dyDescent="0.25">
      <c r="A8351" s="6">
        <v>7268</v>
      </c>
      <c r="B8351" s="6">
        <v>51872</v>
      </c>
      <c r="C8351" s="19">
        <v>41022</v>
      </c>
      <c r="D8351" s="6" t="s">
        <v>16</v>
      </c>
      <c r="E8351" s="6">
        <f>IF((ISBLANK($B$1)),"",Sheet1!Q8363)</f>
        <v>3900</v>
      </c>
      <c r="F8351" s="20" t="s">
        <v>29</v>
      </c>
      <c r="G8351" s="53">
        <f t="shared" si="131"/>
        <v>-1.0754524950393345</v>
      </c>
      <c r="H8351" s="35"/>
      <c r="P8351" s="6"/>
    </row>
    <row r="8352" spans="1:16" ht="14.4" x14ac:dyDescent="0.25">
      <c r="A8352" s="6">
        <v>7269</v>
      </c>
      <c r="B8352" s="6">
        <v>51872</v>
      </c>
      <c r="C8352" s="19">
        <v>41022</v>
      </c>
      <c r="D8352" s="6" t="s">
        <v>16</v>
      </c>
      <c r="E8352" s="6">
        <f>IF((ISBLANK($B$1)),"",Sheet1!Q8364)</f>
        <v>3950</v>
      </c>
      <c r="F8352" s="20" t="s">
        <v>27</v>
      </c>
      <c r="G8352" s="53">
        <f t="shared" si="131"/>
        <v>-1.0064047814038573</v>
      </c>
      <c r="H8352" s="35"/>
      <c r="P8352" s="6"/>
    </row>
    <row r="8353" spans="1:16" ht="14.4" x14ac:dyDescent="0.25">
      <c r="A8353" s="6">
        <v>7270</v>
      </c>
      <c r="B8353" s="6">
        <v>51872</v>
      </c>
      <c r="C8353" s="19">
        <v>41022</v>
      </c>
      <c r="D8353" s="6" t="s">
        <v>16</v>
      </c>
      <c r="E8353" s="6">
        <f>IF((ISBLANK($B$1)),"",Sheet1!Q8365)</f>
        <v>5250</v>
      </c>
      <c r="F8353" s="20" t="s">
        <v>27</v>
      </c>
      <c r="G8353" s="53">
        <f t="shared" si="131"/>
        <v>0.78883577311854924</v>
      </c>
      <c r="H8353" s="35"/>
      <c r="P8353" s="6"/>
    </row>
    <row r="8354" spans="1:16" ht="14.4" x14ac:dyDescent="0.25">
      <c r="A8354" s="6">
        <v>7331</v>
      </c>
      <c r="B8354" s="6">
        <v>52230</v>
      </c>
      <c r="C8354" s="19">
        <v>41151</v>
      </c>
      <c r="D8354" s="6" t="s">
        <v>30</v>
      </c>
      <c r="E8354" s="6">
        <f>IF((ISBLANK($B$1)),"",Sheet1!Q8366)</f>
        <v>4850</v>
      </c>
      <c r="F8354" s="20" t="s">
        <v>29</v>
      </c>
      <c r="G8354" s="53">
        <f t="shared" si="131"/>
        <v>0.23645406403473185</v>
      </c>
      <c r="H8354" s="35"/>
      <c r="P8354" s="6"/>
    </row>
    <row r="8355" spans="1:16" ht="14.4" x14ac:dyDescent="0.25">
      <c r="A8355" s="6">
        <v>7371</v>
      </c>
      <c r="B8355" s="6">
        <v>52518</v>
      </c>
      <c r="C8355" s="19">
        <v>41002</v>
      </c>
      <c r="D8355" s="6" t="s">
        <v>30</v>
      </c>
      <c r="E8355" s="6">
        <f>IF((ISBLANK($B$1)),"",Sheet1!Q8367)</f>
        <v>3800</v>
      </c>
      <c r="F8355" s="20" t="s">
        <v>27</v>
      </c>
      <c r="G8355" s="53">
        <f t="shared" si="131"/>
        <v>-1.2135479223102887</v>
      </c>
      <c r="H8355" s="35"/>
      <c r="P8355" s="6"/>
    </row>
    <row r="8356" spans="1:16" ht="14.4" x14ac:dyDescent="0.25">
      <c r="A8356" s="6">
        <v>7390</v>
      </c>
      <c r="B8356" s="6">
        <v>52673</v>
      </c>
      <c r="C8356" s="19">
        <v>41037</v>
      </c>
      <c r="D8356" s="6" t="s">
        <v>16</v>
      </c>
      <c r="E8356" s="6">
        <f>IF((ISBLANK($B$1)),"",Sheet1!Q8368)</f>
        <v>4100</v>
      </c>
      <c r="F8356" s="20" t="s">
        <v>27</v>
      </c>
      <c r="G8356" s="53">
        <f t="shared" si="131"/>
        <v>-0.79926164049742576</v>
      </c>
      <c r="H8356" s="35"/>
      <c r="P8356" s="6"/>
    </row>
    <row r="8357" spans="1:16" ht="14.4" x14ac:dyDescent="0.25">
      <c r="A8357" s="6">
        <v>7391</v>
      </c>
      <c r="B8357" s="6">
        <v>52673</v>
      </c>
      <c r="C8357" s="19">
        <v>41037</v>
      </c>
      <c r="D8357" s="6" t="s">
        <v>16</v>
      </c>
      <c r="E8357" s="6">
        <f>IF((ISBLANK($B$1)),"",Sheet1!Q8369)</f>
        <v>3600</v>
      </c>
      <c r="F8357" s="20" t="s">
        <v>26</v>
      </c>
      <c r="G8357" s="53">
        <f t="shared" si="131"/>
        <v>-1.4897387768521975</v>
      </c>
      <c r="H8357" s="35"/>
      <c r="P8357" s="6"/>
    </row>
    <row r="8358" spans="1:16" ht="14.4" x14ac:dyDescent="0.25">
      <c r="A8358" s="6">
        <v>7438</v>
      </c>
      <c r="B8358" s="6">
        <v>53026</v>
      </c>
      <c r="C8358" s="19">
        <v>40965</v>
      </c>
      <c r="D8358" s="6" t="s">
        <v>25</v>
      </c>
      <c r="E8358" s="6">
        <f>IF((ISBLANK($B$1)),"",Sheet1!Q8370)</f>
        <v>5150</v>
      </c>
      <c r="F8358" s="20" t="s">
        <v>26</v>
      </c>
      <c r="G8358" s="53">
        <f t="shared" si="131"/>
        <v>0.65074034584759488</v>
      </c>
      <c r="H8358" s="35"/>
      <c r="P8358" s="6"/>
    </row>
    <row r="8359" spans="1:16" ht="14.4" x14ac:dyDescent="0.25">
      <c r="A8359" s="6">
        <v>7549</v>
      </c>
      <c r="B8359" s="6">
        <v>54019</v>
      </c>
      <c r="C8359" s="19">
        <v>39995</v>
      </c>
      <c r="D8359" s="6" t="s">
        <v>25</v>
      </c>
      <c r="E8359" s="6">
        <f>IF((ISBLANK($B$1)),"",Sheet1!Q8371)</f>
        <v>5150</v>
      </c>
      <c r="F8359" s="20" t="s">
        <v>27</v>
      </c>
      <c r="G8359" s="53">
        <f t="shared" si="131"/>
        <v>0.65074034584759488</v>
      </c>
      <c r="H8359" s="35"/>
      <c r="P8359" s="6"/>
    </row>
    <row r="8360" spans="1:16" ht="14.4" x14ac:dyDescent="0.25">
      <c r="A8360" s="6">
        <v>7658</v>
      </c>
      <c r="B8360" s="6">
        <v>54913</v>
      </c>
      <c r="C8360" s="19">
        <v>40362</v>
      </c>
      <c r="D8360" s="6" t="s">
        <v>17</v>
      </c>
      <c r="E8360" s="6">
        <f>IF((ISBLANK($B$1)),"",Sheet1!Q8372)</f>
        <v>3950</v>
      </c>
      <c r="F8360" s="20" t="s">
        <v>26</v>
      </c>
      <c r="G8360" s="53">
        <f t="shared" si="131"/>
        <v>-1.0064047814038573</v>
      </c>
      <c r="H8360" s="35"/>
      <c r="P8360" s="6"/>
    </row>
    <row r="8361" spans="1:16" ht="14.4" x14ac:dyDescent="0.25">
      <c r="A8361" s="6">
        <v>7738</v>
      </c>
      <c r="B8361" s="6">
        <v>55424</v>
      </c>
      <c r="C8361" s="19">
        <v>40239</v>
      </c>
      <c r="D8361" s="6" t="s">
        <v>16</v>
      </c>
      <c r="E8361" s="6">
        <f>IF((ISBLANK($B$1)),"",Sheet1!Q8373)</f>
        <v>3700</v>
      </c>
      <c r="F8361" s="20" t="s">
        <v>29</v>
      </c>
      <c r="G8361" s="53">
        <f t="shared" si="131"/>
        <v>-1.351643349581243</v>
      </c>
      <c r="H8361" s="35"/>
      <c r="P8361" s="6"/>
    </row>
    <row r="8362" spans="1:16" ht="14.4" x14ac:dyDescent="0.25">
      <c r="A8362" s="6">
        <v>7812</v>
      </c>
      <c r="B8362" s="6">
        <v>55874</v>
      </c>
      <c r="C8362" s="19">
        <v>39860</v>
      </c>
      <c r="D8362" s="6" t="s">
        <v>16</v>
      </c>
      <c r="E8362" s="6">
        <f>IF((ISBLANK($B$1)),"",Sheet1!Q8374)</f>
        <v>4600</v>
      </c>
      <c r="F8362" s="20" t="s">
        <v>26</v>
      </c>
      <c r="G8362" s="53">
        <f t="shared" si="131"/>
        <v>-0.108784504142654</v>
      </c>
      <c r="H8362" s="35"/>
      <c r="P8362" s="6"/>
    </row>
    <row r="8363" spans="1:16" ht="14.4" x14ac:dyDescent="0.25">
      <c r="A8363" s="6">
        <v>7878</v>
      </c>
      <c r="B8363" s="6">
        <v>56327</v>
      </c>
      <c r="C8363" s="19">
        <v>40189</v>
      </c>
      <c r="D8363" s="6" t="s">
        <v>16</v>
      </c>
      <c r="E8363" s="6">
        <f>IF((ISBLANK($B$1)),"",Sheet1!Q8375)</f>
        <v>5500</v>
      </c>
      <c r="F8363" s="20" t="s">
        <v>26</v>
      </c>
      <c r="G8363" s="53">
        <f t="shared" si="131"/>
        <v>1.1340743412959351</v>
      </c>
      <c r="H8363" s="35"/>
      <c r="P8363" s="6"/>
    </row>
    <row r="8364" spans="1:16" ht="14.4" x14ac:dyDescent="0.25">
      <c r="A8364" s="6">
        <v>7879</v>
      </c>
      <c r="B8364" s="6">
        <v>56327</v>
      </c>
      <c r="C8364" s="19">
        <v>40189</v>
      </c>
      <c r="D8364" s="6" t="s">
        <v>16</v>
      </c>
      <c r="E8364" s="6">
        <f>IF((ISBLANK($B$1)),"",Sheet1!Q8376)</f>
        <v>3950</v>
      </c>
      <c r="F8364" s="20" t="s">
        <v>26</v>
      </c>
      <c r="G8364" s="53">
        <f t="shared" si="131"/>
        <v>-1.0064047814038573</v>
      </c>
      <c r="H8364" s="35"/>
      <c r="P8364" s="6"/>
    </row>
    <row r="8365" spans="1:16" ht="14.4" x14ac:dyDescent="0.25">
      <c r="A8365" s="6">
        <v>7880</v>
      </c>
      <c r="B8365" s="6">
        <v>56327</v>
      </c>
      <c r="C8365" s="19">
        <v>40189</v>
      </c>
      <c r="D8365" s="6" t="s">
        <v>16</v>
      </c>
      <c r="E8365" s="6">
        <f>IF((ISBLANK($B$1)),"",Sheet1!Q8377)</f>
        <v>5750</v>
      </c>
      <c r="F8365" s="20" t="s">
        <v>29</v>
      </c>
      <c r="G8365" s="53">
        <f t="shared" si="131"/>
        <v>1.4793129094733208</v>
      </c>
      <c r="H8365" s="35"/>
      <c r="P8365" s="6"/>
    </row>
    <row r="8366" spans="1:16" ht="14.4" x14ac:dyDescent="0.25">
      <c r="A8366" s="6">
        <v>7933</v>
      </c>
      <c r="B8366" s="6">
        <v>56706</v>
      </c>
      <c r="C8366" s="19">
        <v>40127</v>
      </c>
      <c r="D8366" s="6" t="s">
        <v>17</v>
      </c>
      <c r="E8366" s="6">
        <f>IF((ISBLANK($B$1)),"",Sheet1!Q8378)</f>
        <v>3750</v>
      </c>
      <c r="F8366" s="20" t="s">
        <v>27</v>
      </c>
      <c r="G8366" s="53">
        <f t="shared" si="131"/>
        <v>-1.282595635945766</v>
      </c>
      <c r="H8366" s="35"/>
      <c r="P8366" s="6"/>
    </row>
    <row r="8367" spans="1:16" ht="14.4" x14ac:dyDescent="0.25">
      <c r="A8367" s="6">
        <v>7991</v>
      </c>
      <c r="B8367" s="6">
        <v>57125</v>
      </c>
      <c r="C8367" s="19">
        <v>40332</v>
      </c>
      <c r="D8367" s="6" t="s">
        <v>16</v>
      </c>
      <c r="E8367" s="6">
        <f>IF((ISBLANK($B$1)),"",Sheet1!Q8379)</f>
        <v>4350</v>
      </c>
      <c r="F8367" s="20" t="s">
        <v>26</v>
      </c>
      <c r="G8367" s="53">
        <f t="shared" si="131"/>
        <v>-0.45402307232003986</v>
      </c>
      <c r="H8367" s="35"/>
      <c r="P8367" s="6"/>
    </row>
    <row r="8368" spans="1:16" ht="14.4" x14ac:dyDescent="0.25">
      <c r="A8368" s="6">
        <v>7992</v>
      </c>
      <c r="B8368" s="6">
        <v>57125</v>
      </c>
      <c r="C8368" s="19">
        <v>40332</v>
      </c>
      <c r="D8368" s="6" t="s">
        <v>16</v>
      </c>
      <c r="E8368" s="6">
        <f>IF((ISBLANK($B$1)),"",Sheet1!Q8380)</f>
        <v>4950</v>
      </c>
      <c r="F8368" s="20" t="s">
        <v>26</v>
      </c>
      <c r="G8368" s="53">
        <f t="shared" si="131"/>
        <v>0.37454949130568621</v>
      </c>
      <c r="H8368" s="35"/>
      <c r="P8368" s="6"/>
    </row>
    <row r="8369" spans="1:16" ht="14.4" x14ac:dyDescent="0.25">
      <c r="A8369" s="6">
        <v>7994</v>
      </c>
      <c r="B8369" s="6">
        <v>57152</v>
      </c>
      <c r="C8369" s="19">
        <v>41155</v>
      </c>
      <c r="D8369" s="6" t="s">
        <v>25</v>
      </c>
      <c r="E8369" s="6">
        <f>IF((ISBLANK($B$1)),"",Sheet1!Q8381)</f>
        <v>3700</v>
      </c>
      <c r="F8369" s="20" t="s">
        <v>26</v>
      </c>
      <c r="G8369" s="53">
        <f t="shared" si="131"/>
        <v>-1.351643349581243</v>
      </c>
      <c r="H8369" s="35"/>
      <c r="P8369" s="6"/>
    </row>
    <row r="8370" spans="1:16" ht="14.4" x14ac:dyDescent="0.25">
      <c r="A8370" s="6">
        <v>7995</v>
      </c>
      <c r="B8370" s="6">
        <v>57152</v>
      </c>
      <c r="C8370" s="19">
        <v>41155</v>
      </c>
      <c r="D8370" s="6" t="s">
        <v>25</v>
      </c>
      <c r="E8370" s="6">
        <f>IF((ISBLANK($B$1)),"",Sheet1!Q8382)</f>
        <v>4300</v>
      </c>
      <c r="F8370" s="20" t="s">
        <v>26</v>
      </c>
      <c r="G8370" s="53">
        <f t="shared" si="131"/>
        <v>-0.52307078595551704</v>
      </c>
      <c r="H8370" s="35"/>
      <c r="P8370" s="6"/>
    </row>
    <row r="8371" spans="1:16" ht="14.4" x14ac:dyDescent="0.25">
      <c r="A8371" s="6">
        <v>8006</v>
      </c>
      <c r="B8371" s="6">
        <v>57216</v>
      </c>
      <c r="C8371" s="19">
        <v>40388</v>
      </c>
      <c r="D8371" s="6" t="s">
        <v>17</v>
      </c>
      <c r="E8371" s="6">
        <f>IF((ISBLANK($B$1)),"",Sheet1!Q8383)</f>
        <v>5700</v>
      </c>
      <c r="F8371" s="20" t="s">
        <v>29</v>
      </c>
      <c r="G8371" s="53">
        <f t="shared" si="131"/>
        <v>1.4102651958378438</v>
      </c>
      <c r="H8371" s="35"/>
      <c r="P8371" s="6"/>
    </row>
    <row r="8372" spans="1:16" ht="14.4" x14ac:dyDescent="0.25">
      <c r="A8372" s="6">
        <v>8007</v>
      </c>
      <c r="B8372" s="6">
        <v>57216</v>
      </c>
      <c r="C8372" s="19">
        <v>40388</v>
      </c>
      <c r="D8372" s="6" t="s">
        <v>17</v>
      </c>
      <c r="E8372" s="6">
        <f>IF((ISBLANK($B$1)),"",Sheet1!Q8384)</f>
        <v>5800</v>
      </c>
      <c r="F8372" s="20" t="s">
        <v>26</v>
      </c>
      <c r="G8372" s="53">
        <f t="shared" si="131"/>
        <v>1.5483606231087981</v>
      </c>
      <c r="H8372" s="35"/>
      <c r="P8372" s="6"/>
    </row>
    <row r="8373" spans="1:16" ht="14.4" x14ac:dyDescent="0.25">
      <c r="A8373" s="6">
        <v>8017</v>
      </c>
      <c r="B8373" s="6">
        <v>57281</v>
      </c>
      <c r="C8373" s="19">
        <v>40288</v>
      </c>
      <c r="D8373" s="6" t="s">
        <v>17</v>
      </c>
      <c r="E8373" s="6">
        <f>IF((ISBLANK($B$1)),"",Sheet1!Q8385)</f>
        <v>4700</v>
      </c>
      <c r="F8373" s="20" t="s">
        <v>26</v>
      </c>
      <c r="G8373" s="53">
        <f t="shared" si="131"/>
        <v>2.9310923128300338E-2</v>
      </c>
      <c r="H8373" s="35"/>
      <c r="P8373" s="6"/>
    </row>
    <row r="8374" spans="1:16" ht="14.4" x14ac:dyDescent="0.25">
      <c r="A8374" s="6">
        <v>8018</v>
      </c>
      <c r="B8374" s="6">
        <v>57281</v>
      </c>
      <c r="C8374" s="19">
        <v>40288</v>
      </c>
      <c r="D8374" s="6" t="s">
        <v>17</v>
      </c>
      <c r="E8374" s="6">
        <f>IF((ISBLANK($B$1)),"",Sheet1!Q8386)</f>
        <v>4350</v>
      </c>
      <c r="F8374" s="20" t="s">
        <v>29</v>
      </c>
      <c r="G8374" s="53">
        <f t="shared" si="131"/>
        <v>-0.45402307232003986</v>
      </c>
      <c r="H8374" s="35"/>
      <c r="P8374" s="6"/>
    </row>
    <row r="8375" spans="1:16" ht="14.4" x14ac:dyDescent="0.25">
      <c r="A8375" s="6">
        <v>8102</v>
      </c>
      <c r="B8375" s="6">
        <v>57827</v>
      </c>
      <c r="C8375" s="19">
        <v>39996</v>
      </c>
      <c r="D8375" s="6" t="s">
        <v>16</v>
      </c>
      <c r="E8375" s="6">
        <f>IF((ISBLANK($B$1)),"",Sheet1!Q8387)</f>
        <v>4600</v>
      </c>
      <c r="F8375" s="20" t="s">
        <v>29</v>
      </c>
      <c r="G8375" s="53">
        <f t="shared" si="131"/>
        <v>-0.108784504142654</v>
      </c>
      <c r="H8375" s="35"/>
      <c r="P8375" s="6"/>
    </row>
    <row r="8376" spans="1:16" ht="14.4" x14ac:dyDescent="0.25">
      <c r="A8376" s="6">
        <v>8103</v>
      </c>
      <c r="B8376" s="6">
        <v>57827</v>
      </c>
      <c r="C8376" s="19">
        <v>39996</v>
      </c>
      <c r="D8376" s="6" t="s">
        <v>16</v>
      </c>
      <c r="E8376" s="6">
        <f>IF((ISBLANK($B$1)),"",Sheet1!Q8388)</f>
        <v>4850</v>
      </c>
      <c r="F8376" s="20" t="s">
        <v>26</v>
      </c>
      <c r="G8376" s="53">
        <f t="shared" si="131"/>
        <v>0.23645406403473185</v>
      </c>
      <c r="H8376" s="35"/>
      <c r="P8376" s="6"/>
    </row>
    <row r="8377" spans="1:16" ht="14.4" x14ac:dyDescent="0.25">
      <c r="A8377" s="6">
        <v>8247</v>
      </c>
      <c r="B8377" s="6">
        <v>58949</v>
      </c>
      <c r="C8377" s="19">
        <v>41259</v>
      </c>
      <c r="D8377" s="6" t="s">
        <v>30</v>
      </c>
      <c r="E8377" s="6">
        <f>IF((ISBLANK($B$1)),"",Sheet1!Q8389)</f>
        <v>5900</v>
      </c>
      <c r="F8377" s="20" t="s">
        <v>27</v>
      </c>
      <c r="G8377" s="53">
        <f t="shared" si="131"/>
        <v>1.6864560503797523</v>
      </c>
      <c r="H8377" s="35"/>
      <c r="P8377" s="6"/>
    </row>
    <row r="8378" spans="1:16" ht="14.4" x14ac:dyDescent="0.25">
      <c r="A8378" s="6">
        <v>188</v>
      </c>
      <c r="B8378" s="6">
        <v>1222</v>
      </c>
      <c r="C8378" s="19">
        <v>40213</v>
      </c>
      <c r="D8378" s="6" t="s">
        <v>16</v>
      </c>
      <c r="E8378" s="6">
        <f>IF((ISBLANK($B$1)),"",Sheet1!Q8390)</f>
        <v>5800</v>
      </c>
      <c r="F8378" s="20" t="s">
        <v>26</v>
      </c>
      <c r="G8378" s="53">
        <f t="shared" si="131"/>
        <v>1.5483606231087981</v>
      </c>
      <c r="H8378" s="35"/>
      <c r="P8378" s="6"/>
    </row>
    <row r="8379" spans="1:16" ht="14.4" x14ac:dyDescent="0.25">
      <c r="A8379" s="6">
        <v>805</v>
      </c>
      <c r="B8379" s="6">
        <v>5767</v>
      </c>
      <c r="C8379" s="19">
        <v>41027</v>
      </c>
      <c r="D8379" s="6" t="s">
        <v>17</v>
      </c>
      <c r="E8379" s="6">
        <f>IF((ISBLANK($B$1)),"",Sheet1!Q8391)</f>
        <v>5200</v>
      </c>
      <c r="F8379" s="20" t="s">
        <v>26</v>
      </c>
      <c r="G8379" s="53">
        <f t="shared" si="131"/>
        <v>0.71978805948307201</v>
      </c>
      <c r="H8379" s="35"/>
      <c r="P8379" s="6"/>
    </row>
    <row r="8380" spans="1:16" ht="14.4" x14ac:dyDescent="0.25">
      <c r="A8380" s="6">
        <v>806</v>
      </c>
      <c r="B8380" s="6">
        <v>5767</v>
      </c>
      <c r="C8380" s="19">
        <v>41027</v>
      </c>
      <c r="D8380" s="6" t="s">
        <v>17</v>
      </c>
      <c r="E8380" s="6">
        <f>IF((ISBLANK($B$1)),"",Sheet1!Q8392)</f>
        <v>4950</v>
      </c>
      <c r="F8380" s="20" t="s">
        <v>27</v>
      </c>
      <c r="G8380" s="53">
        <f t="shared" si="131"/>
        <v>0.37454949130568621</v>
      </c>
      <c r="H8380" s="35"/>
      <c r="P8380" s="6"/>
    </row>
    <row r="8381" spans="1:16" ht="14.4" x14ac:dyDescent="0.25">
      <c r="A8381" s="6">
        <v>1219</v>
      </c>
      <c r="B8381" s="6">
        <v>8961</v>
      </c>
      <c r="C8381" s="19">
        <v>40722</v>
      </c>
      <c r="D8381" s="6" t="s">
        <v>25</v>
      </c>
      <c r="E8381" s="6">
        <f>IF((ISBLANK($B$1)),"",Sheet1!Q8393)</f>
        <v>5800</v>
      </c>
      <c r="F8381" s="20" t="s">
        <v>29</v>
      </c>
      <c r="G8381" s="53">
        <f t="shared" si="131"/>
        <v>1.5483606231087981</v>
      </c>
      <c r="H8381" s="35"/>
      <c r="P8381" s="6"/>
    </row>
    <row r="8382" spans="1:16" ht="14.4" x14ac:dyDescent="0.25">
      <c r="A8382" s="6">
        <v>1617</v>
      </c>
      <c r="B8382" s="6">
        <v>11712</v>
      </c>
      <c r="C8382" s="19">
        <v>39929</v>
      </c>
      <c r="D8382" s="6" t="s">
        <v>25</v>
      </c>
      <c r="E8382" s="6">
        <f>IF((ISBLANK($B$1)),"",Sheet1!Q8394)</f>
        <v>3850</v>
      </c>
      <c r="F8382" s="20" t="s">
        <v>26</v>
      </c>
      <c r="G8382" s="53">
        <f t="shared" si="131"/>
        <v>-1.1445002086748115</v>
      </c>
      <c r="H8382" s="35"/>
      <c r="P8382" s="6"/>
    </row>
    <row r="8383" spans="1:16" ht="14.4" x14ac:dyDescent="0.25">
      <c r="A8383" s="6">
        <v>2082</v>
      </c>
      <c r="B8383" s="6">
        <v>14883</v>
      </c>
      <c r="C8383" s="19">
        <v>40669</v>
      </c>
      <c r="D8383" s="6" t="s">
        <v>25</v>
      </c>
      <c r="E8383" s="6">
        <f>IF((ISBLANK($B$1)),"",Sheet1!Q8395)</f>
        <v>5300</v>
      </c>
      <c r="F8383" s="20" t="s">
        <v>29</v>
      </c>
      <c r="G8383" s="53">
        <f t="shared" si="131"/>
        <v>0.85788348675402637</v>
      </c>
      <c r="H8383" s="35"/>
      <c r="P8383" s="6"/>
    </row>
    <row r="8384" spans="1:16" ht="14.4" x14ac:dyDescent="0.25">
      <c r="A8384" s="6">
        <v>2083</v>
      </c>
      <c r="B8384" s="6">
        <v>14883</v>
      </c>
      <c r="C8384" s="19">
        <v>40669</v>
      </c>
      <c r="D8384" s="6" t="s">
        <v>25</v>
      </c>
      <c r="E8384" s="6">
        <f>IF((ISBLANK($B$1)),"",Sheet1!Q8396)</f>
        <v>5750</v>
      </c>
      <c r="F8384" s="20" t="s">
        <v>27</v>
      </c>
      <c r="G8384" s="53">
        <f t="shared" si="131"/>
        <v>1.4793129094733208</v>
      </c>
      <c r="H8384" s="35"/>
      <c r="P8384" s="6"/>
    </row>
    <row r="8385" spans="1:16" ht="14.4" x14ac:dyDescent="0.25">
      <c r="A8385" s="6">
        <v>2800</v>
      </c>
      <c r="B8385" s="6">
        <v>20193</v>
      </c>
      <c r="C8385" s="19">
        <v>40489</v>
      </c>
      <c r="D8385" s="6" t="s">
        <v>16</v>
      </c>
      <c r="E8385" s="6">
        <f>IF((ISBLANK($B$1)),"",Sheet1!Q8397)</f>
        <v>4550</v>
      </c>
      <c r="F8385" s="20" t="s">
        <v>26</v>
      </c>
      <c r="G8385" s="53">
        <f t="shared" si="131"/>
        <v>-0.17783221777813119</v>
      </c>
      <c r="H8385" s="35"/>
      <c r="P8385" s="6"/>
    </row>
    <row r="8386" spans="1:16" ht="14.4" x14ac:dyDescent="0.25">
      <c r="A8386" s="6">
        <v>5166</v>
      </c>
      <c r="B8386" s="6">
        <v>36772</v>
      </c>
      <c r="C8386" s="19">
        <v>40313</v>
      </c>
      <c r="D8386" s="6" t="s">
        <v>16</v>
      </c>
      <c r="E8386" s="6">
        <f>IF((ISBLANK($B$1)),"",Sheet1!Q8398)</f>
        <v>3800</v>
      </c>
      <c r="F8386" s="20" t="s">
        <v>26</v>
      </c>
      <c r="G8386" s="53">
        <f t="shared" si="131"/>
        <v>-1.2135479223102887</v>
      </c>
      <c r="H8386" s="35"/>
      <c r="P8386" s="6"/>
    </row>
    <row r="8387" spans="1:16" ht="14.4" x14ac:dyDescent="0.25">
      <c r="A8387" s="6">
        <v>5167</v>
      </c>
      <c r="B8387" s="6">
        <v>36772</v>
      </c>
      <c r="C8387" s="19">
        <v>40313</v>
      </c>
      <c r="D8387" s="6" t="s">
        <v>16</v>
      </c>
      <c r="E8387" s="6">
        <f>IF((ISBLANK($B$1)),"",Sheet1!Q8399)</f>
        <v>4200</v>
      </c>
      <c r="F8387" s="20" t="s">
        <v>27</v>
      </c>
      <c r="G8387" s="53">
        <f t="shared" si="131"/>
        <v>-0.6611662132264714</v>
      </c>
      <c r="H8387" s="35"/>
      <c r="P8387" s="6"/>
    </row>
    <row r="8388" spans="1:16" ht="14.4" x14ac:dyDescent="0.25">
      <c r="A8388" s="6">
        <v>5577</v>
      </c>
      <c r="B8388" s="6">
        <v>39492</v>
      </c>
      <c r="C8388" s="19">
        <v>40650</v>
      </c>
      <c r="D8388" s="6" t="s">
        <v>28</v>
      </c>
      <c r="E8388" s="6">
        <f>IF((ISBLANK($B$1)),"",Sheet1!Q8400)</f>
        <v>4950</v>
      </c>
      <c r="F8388" s="20" t="s">
        <v>27</v>
      </c>
      <c r="G8388" s="53">
        <f t="shared" si="131"/>
        <v>0.37454949130568621</v>
      </c>
      <c r="H8388" s="35"/>
      <c r="P8388" s="6"/>
    </row>
    <row r="8389" spans="1:16" ht="14.4" x14ac:dyDescent="0.25">
      <c r="A8389" s="6">
        <v>6492</v>
      </c>
      <c r="B8389" s="6">
        <v>46212</v>
      </c>
      <c r="C8389" s="19">
        <v>41164</v>
      </c>
      <c r="D8389" s="6" t="s">
        <v>28</v>
      </c>
      <c r="E8389" s="6">
        <f>IF((ISBLANK($B$1)),"",Sheet1!Q8401)</f>
        <v>5550</v>
      </c>
      <c r="F8389" s="20" t="s">
        <v>26</v>
      </c>
      <c r="G8389" s="53">
        <f t="shared" si="131"/>
        <v>1.2031220549314123</v>
      </c>
      <c r="H8389" s="35"/>
      <c r="P8389" s="6"/>
    </row>
    <row r="8390" spans="1:16" ht="14.4" x14ac:dyDescent="0.25">
      <c r="A8390" s="6">
        <v>6526</v>
      </c>
      <c r="B8390" s="6">
        <v>46437</v>
      </c>
      <c r="C8390" s="19">
        <v>40071</v>
      </c>
      <c r="D8390" s="6" t="s">
        <v>16</v>
      </c>
      <c r="E8390" s="6">
        <f>IF((ISBLANK($B$1)),"",Sheet1!Q8402)</f>
        <v>5850</v>
      </c>
      <c r="F8390" s="20" t="s">
        <v>29</v>
      </c>
      <c r="G8390" s="53">
        <f t="shared" si="131"/>
        <v>1.6174083367442753</v>
      </c>
      <c r="H8390" s="35"/>
      <c r="P8390" s="6"/>
    </row>
    <row r="8391" spans="1:16" ht="14.4" x14ac:dyDescent="0.25">
      <c r="A8391" s="6">
        <v>6657</v>
      </c>
      <c r="B8391" s="6">
        <v>47360</v>
      </c>
      <c r="C8391" s="19">
        <v>40459</v>
      </c>
      <c r="D8391" s="6" t="s">
        <v>28</v>
      </c>
      <c r="E8391" s="6">
        <f>IF((ISBLANK($B$1)),"",Sheet1!Q8403)</f>
        <v>4650</v>
      </c>
      <c r="F8391" s="20" t="s">
        <v>29</v>
      </c>
      <c r="G8391" s="53">
        <f t="shared" si="131"/>
        <v>-3.9736790507176829E-2</v>
      </c>
      <c r="H8391" s="35"/>
      <c r="P8391" s="6"/>
    </row>
    <row r="8392" spans="1:16" ht="14.4" x14ac:dyDescent="0.25">
      <c r="A8392" s="6">
        <v>7396</v>
      </c>
      <c r="B8392" s="6">
        <v>52706</v>
      </c>
      <c r="C8392" s="19">
        <v>41099</v>
      </c>
      <c r="D8392" s="6" t="s">
        <v>25</v>
      </c>
      <c r="E8392" s="6">
        <f>IF((ISBLANK($B$1)),"",Sheet1!Q8404)</f>
        <v>5100</v>
      </c>
      <c r="F8392" s="20" t="s">
        <v>26</v>
      </c>
      <c r="G8392" s="53">
        <f t="shared" ref="G8392:G8398" si="132">STANDARDIZE(E8392,$L$26,$L$35)</f>
        <v>0.58169263221211776</v>
      </c>
      <c r="H8392" s="35"/>
      <c r="P8392" s="6"/>
    </row>
    <row r="8393" spans="1:16" ht="14.4" x14ac:dyDescent="0.25">
      <c r="A8393" s="6">
        <v>7586</v>
      </c>
      <c r="B8393" s="6">
        <v>54279</v>
      </c>
      <c r="C8393" s="19">
        <v>40754</v>
      </c>
      <c r="D8393" s="6" t="s">
        <v>17</v>
      </c>
      <c r="E8393" s="6">
        <f>IF((ISBLANK($B$1)),"",Sheet1!Q8405)</f>
        <v>5450</v>
      </c>
      <c r="F8393" s="20" t="s">
        <v>27</v>
      </c>
      <c r="G8393" s="53">
        <f t="shared" si="132"/>
        <v>1.0650266276604579</v>
      </c>
      <c r="H8393" s="35"/>
      <c r="P8393" s="6"/>
    </row>
    <row r="8394" spans="1:16" ht="14.4" x14ac:dyDescent="0.25">
      <c r="A8394" s="6">
        <v>7765</v>
      </c>
      <c r="B8394" s="6">
        <v>55558</v>
      </c>
      <c r="C8394" s="19">
        <v>40399</v>
      </c>
      <c r="D8394" s="6" t="s">
        <v>16</v>
      </c>
      <c r="E8394" s="6">
        <f>IF((ISBLANK($B$1)),"",Sheet1!Q8406)</f>
        <v>3800</v>
      </c>
      <c r="F8394" s="20" t="s">
        <v>29</v>
      </c>
      <c r="G8394" s="53">
        <f t="shared" si="132"/>
        <v>-1.2135479223102887</v>
      </c>
      <c r="H8394" s="35"/>
      <c r="P8394" s="6"/>
    </row>
    <row r="8395" spans="1:16" ht="14.4" x14ac:dyDescent="0.25">
      <c r="A8395" s="6">
        <v>7766</v>
      </c>
      <c r="B8395" s="6">
        <v>55558</v>
      </c>
      <c r="C8395" s="19">
        <v>40399</v>
      </c>
      <c r="D8395" s="6" t="s">
        <v>16</v>
      </c>
      <c r="E8395" s="6">
        <f>IF((ISBLANK($B$1)),"",Sheet1!Q8407)</f>
        <v>4550</v>
      </c>
      <c r="F8395" s="20" t="s">
        <v>26</v>
      </c>
      <c r="G8395" s="53">
        <f t="shared" si="132"/>
        <v>-0.17783221777813119</v>
      </c>
      <c r="H8395" s="35"/>
      <c r="P8395" s="6"/>
    </row>
    <row r="8396" spans="1:16" ht="14.4" x14ac:dyDescent="0.25">
      <c r="A8396" s="6">
        <v>7906</v>
      </c>
      <c r="B8396" s="6">
        <v>56550</v>
      </c>
      <c r="C8396" s="19">
        <v>40641</v>
      </c>
      <c r="D8396" s="6" t="s">
        <v>28</v>
      </c>
      <c r="E8396" s="6">
        <f>IF((ISBLANK($B$1)),"",Sheet1!Q8408)</f>
        <v>5250</v>
      </c>
      <c r="F8396" s="20" t="s">
        <v>29</v>
      </c>
      <c r="G8396" s="53">
        <f t="shared" si="132"/>
        <v>0.78883577311854924</v>
      </c>
      <c r="H8396" s="35"/>
      <c r="P8396" s="6"/>
    </row>
    <row r="8397" spans="1:16" ht="14.4" x14ac:dyDescent="0.25">
      <c r="A8397" s="6">
        <v>7907</v>
      </c>
      <c r="B8397" s="6">
        <v>56550</v>
      </c>
      <c r="C8397" s="19">
        <v>40641</v>
      </c>
      <c r="D8397" s="6" t="s">
        <v>28</v>
      </c>
      <c r="E8397" s="6">
        <f>IF((ISBLANK($B$1)),"",Sheet1!Q8409)</f>
        <v>3800</v>
      </c>
      <c r="F8397" s="20" t="s">
        <v>27</v>
      </c>
      <c r="G8397" s="53">
        <f t="shared" si="132"/>
        <v>-1.2135479223102887</v>
      </c>
      <c r="H8397" s="35"/>
      <c r="P8397" s="6"/>
    </row>
    <row r="8398" spans="1:16" ht="14.4" x14ac:dyDescent="0.25">
      <c r="A8398" s="6">
        <v>7914</v>
      </c>
      <c r="B8398" s="6">
        <v>56581</v>
      </c>
      <c r="C8398" s="19">
        <v>39852</v>
      </c>
      <c r="D8398" s="6" t="s">
        <v>17</v>
      </c>
      <c r="E8398" s="6">
        <f>IF((ISBLANK($B$1)),"",Sheet1!Q8410)</f>
        <v>4400</v>
      </c>
      <c r="F8398" s="20" t="s">
        <v>29</v>
      </c>
      <c r="G8398" s="53">
        <f t="shared" si="132"/>
        <v>-0.38497535868456267</v>
      </c>
      <c r="H8398" s="35"/>
      <c r="P8398" s="6"/>
    </row>
    <row r="8399" spans="1:16" x14ac:dyDescent="0.2">
      <c r="P8399" s="6"/>
    </row>
    <row r="8400" spans="1:16" x14ac:dyDescent="0.2">
      <c r="P8400" s="6"/>
    </row>
    <row r="8401" spans="16:16" x14ac:dyDescent="0.2">
      <c r="P8401" s="6"/>
    </row>
    <row r="8402" spans="16:16" x14ac:dyDescent="0.2">
      <c r="P8402" s="6"/>
    </row>
    <row r="8403" spans="16:16" x14ac:dyDescent="0.2">
      <c r="P8403" s="6"/>
    </row>
    <row r="8404" spans="16:16" x14ac:dyDescent="0.2">
      <c r="P8404" s="6"/>
    </row>
    <row r="8405" spans="16:16" x14ac:dyDescent="0.2">
      <c r="P8405" s="6"/>
    </row>
    <row r="8406" spans="16:16" x14ac:dyDescent="0.2">
      <c r="P8406" s="6"/>
    </row>
    <row r="8407" spans="16:16" x14ac:dyDescent="0.2">
      <c r="P8407" s="6"/>
    </row>
    <row r="8408" spans="16:16" x14ac:dyDescent="0.2">
      <c r="P8408" s="6"/>
    </row>
    <row r="8409" spans="16:16" x14ac:dyDescent="0.2">
      <c r="P8409" s="6"/>
    </row>
    <row r="8410" spans="16:16" x14ac:dyDescent="0.2">
      <c r="P8410" s="6"/>
    </row>
    <row r="8411" spans="16:16" x14ac:dyDescent="0.2">
      <c r="P8411" s="6"/>
    </row>
    <row r="8412" spans="16:16" x14ac:dyDescent="0.2">
      <c r="P8412" s="6"/>
    </row>
    <row r="8413" spans="16:16" x14ac:dyDescent="0.2">
      <c r="P8413" s="6"/>
    </row>
    <row r="8414" spans="16:16" x14ac:dyDescent="0.2">
      <c r="P8414" s="6"/>
    </row>
    <row r="8415" spans="16:16" x14ac:dyDescent="0.2">
      <c r="P8415" s="6"/>
    </row>
    <row r="8416" spans="16:16" x14ac:dyDescent="0.2">
      <c r="P8416" s="6"/>
    </row>
    <row r="8417" spans="16:16" x14ac:dyDescent="0.2">
      <c r="P8417" s="6"/>
    </row>
    <row r="8418" spans="16:16" x14ac:dyDescent="0.2">
      <c r="P8418" s="6"/>
    </row>
    <row r="8419" spans="16:16" x14ac:dyDescent="0.2">
      <c r="P8419" s="6"/>
    </row>
    <row r="8420" spans="16:16" x14ac:dyDescent="0.2">
      <c r="P8420" s="6"/>
    </row>
    <row r="8421" spans="16:16" x14ac:dyDescent="0.2">
      <c r="P8421" s="6"/>
    </row>
    <row r="8422" spans="16:16" x14ac:dyDescent="0.2">
      <c r="P8422" s="6"/>
    </row>
    <row r="8423" spans="16:16" x14ac:dyDescent="0.2">
      <c r="P8423" s="6"/>
    </row>
    <row r="8424" spans="16:16" x14ac:dyDescent="0.2">
      <c r="P8424" s="6"/>
    </row>
    <row r="8425" spans="16:16" x14ac:dyDescent="0.2">
      <c r="P8425" s="6"/>
    </row>
    <row r="8426" spans="16:16" x14ac:dyDescent="0.2">
      <c r="P8426" s="6"/>
    </row>
    <row r="8427" spans="16:16" x14ac:dyDescent="0.2">
      <c r="P8427" s="6"/>
    </row>
    <row r="8428" spans="16:16" x14ac:dyDescent="0.2">
      <c r="P8428" s="6"/>
    </row>
    <row r="8429" spans="16:16" x14ac:dyDescent="0.2">
      <c r="P8429" s="6"/>
    </row>
    <row r="8430" spans="16:16" x14ac:dyDescent="0.2">
      <c r="P8430" s="6"/>
    </row>
    <row r="8431" spans="16:16" x14ac:dyDescent="0.2">
      <c r="P8431" s="6"/>
    </row>
    <row r="8432" spans="16:16" x14ac:dyDescent="0.2">
      <c r="P8432" s="6"/>
    </row>
    <row r="8433" spans="16:16" x14ac:dyDescent="0.2">
      <c r="P8433" s="6"/>
    </row>
    <row r="8434" spans="16:16" x14ac:dyDescent="0.2">
      <c r="P8434" s="6"/>
    </row>
    <row r="8435" spans="16:16" x14ac:dyDescent="0.2">
      <c r="P8435" s="6"/>
    </row>
    <row r="8436" spans="16:16" x14ac:dyDescent="0.2">
      <c r="P8436" s="6"/>
    </row>
    <row r="8437" spans="16:16" x14ac:dyDescent="0.2">
      <c r="P8437" s="6"/>
    </row>
    <row r="8438" spans="16:16" x14ac:dyDescent="0.2">
      <c r="P8438" s="6"/>
    </row>
  </sheetData>
  <sortState ref="L48:L52">
    <sortCondition ref="L48"/>
  </sortState>
  <mergeCells count="1">
    <mergeCell ref="A2:A3"/>
  </mergeCells>
  <conditionalFormatting sqref="B1">
    <cfRule type="containsBlanks" dxfId="4" priority="5">
      <formula>LEN(TRIM(B1))=0</formula>
    </cfRule>
  </conditionalFormatting>
  <conditionalFormatting sqref="G8:H8398">
    <cfRule type="cellIs" dxfId="3" priority="3" operator="lessThan">
      <formula>-3</formula>
    </cfRule>
    <cfRule type="cellIs" dxfId="2" priority="4" operator="greaterThan">
      <formula>3</formula>
    </cfRule>
  </conditionalFormatting>
  <conditionalFormatting sqref="Q17:Q24">
    <cfRule type="cellIs" dxfId="1" priority="1" operator="lessThan">
      <formula>-3</formula>
    </cfRule>
    <cfRule type="cellIs" dxfId="0" priority="2" operator="greaterThan">
      <formula>3</formula>
    </cfRule>
  </conditionalFormatting>
  <pageMargins left="0.75" right="0.75" top="1" bottom="1" header="0.5" footer="0.5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10"/>
  <sheetViews>
    <sheetView topLeftCell="K1" workbookViewId="0">
      <selection activeCell="M12" sqref="M12"/>
    </sheetView>
  </sheetViews>
  <sheetFormatPr defaultColWidth="11.375" defaultRowHeight="13" x14ac:dyDescent="0.2"/>
  <cols>
    <col min="7" max="7" width="10.875" style="10"/>
    <col min="8" max="8" width="11" style="10" customWidth="1"/>
    <col min="9" max="9" width="18.125" style="17" customWidth="1"/>
    <col min="10" max="10" width="15.875" style="10" customWidth="1"/>
    <col min="11" max="11" width="16.875" style="10" customWidth="1"/>
    <col min="12" max="12" width="15.375" bestFit="1" customWidth="1"/>
    <col min="13" max="13" width="15.375" customWidth="1"/>
  </cols>
  <sheetData>
    <row r="1" spans="1:22" x14ac:dyDescent="0.2">
      <c r="N1" t="s">
        <v>36</v>
      </c>
      <c r="P1">
        <f>QUARTILE(P12:P8410,1)</f>
        <v>4050</v>
      </c>
      <c r="Q1">
        <f>QUARTILE(Q12:Q8410,1)</f>
        <v>4050</v>
      </c>
    </row>
    <row r="2" spans="1:22" x14ac:dyDescent="0.2">
      <c r="N2" t="s">
        <v>40</v>
      </c>
      <c r="P2">
        <f>QUARTILE(P12:P8410,3)</f>
        <v>5300</v>
      </c>
      <c r="Q2">
        <f>QUARTILE(Q12:Q8410,3)</f>
        <v>5300</v>
      </c>
    </row>
    <row r="3" spans="1:22" x14ac:dyDescent="0.2">
      <c r="N3" t="s">
        <v>41</v>
      </c>
      <c r="P3">
        <f>P2-P1</f>
        <v>1250</v>
      </c>
      <c r="Q3">
        <f>Q2-Q1</f>
        <v>1250</v>
      </c>
    </row>
    <row r="4" spans="1:22" x14ac:dyDescent="0.2">
      <c r="J4" s="10" t="s">
        <v>32</v>
      </c>
      <c r="K4" s="10">
        <f>AVERAGE(K12:K8410)</f>
        <v>25.571734730325037</v>
      </c>
      <c r="N4" t="s">
        <v>39</v>
      </c>
      <c r="P4" s="10">
        <f>AVERAGE(P12:P8410)</f>
        <v>4678.5867365162521</v>
      </c>
      <c r="Q4" s="10">
        <f>AVERAGE(Q12:Q8410)</f>
        <v>4679.3368258125965</v>
      </c>
      <c r="R4" s="10"/>
      <c r="S4" s="10"/>
    </row>
    <row r="5" spans="1:22" x14ac:dyDescent="0.2">
      <c r="J5" s="10" t="s">
        <v>33</v>
      </c>
      <c r="N5" t="s">
        <v>35</v>
      </c>
      <c r="P5" s="10">
        <f>_xlfn.STDEV.P(P12:P8410)</f>
        <v>724.01045076771186</v>
      </c>
      <c r="Q5" s="10">
        <f>_xlfn.STDEV.P(Q12:Q8410)</f>
        <v>745.53769606844946</v>
      </c>
      <c r="R5" s="10"/>
      <c r="S5" s="10"/>
    </row>
    <row r="6" spans="1:22" x14ac:dyDescent="0.2">
      <c r="J6" s="10" t="s">
        <v>34</v>
      </c>
      <c r="P6" s="10" t="s">
        <v>43</v>
      </c>
      <c r="Q6" s="10" t="s">
        <v>50</v>
      </c>
      <c r="R6" s="10"/>
      <c r="S6" s="10"/>
      <c r="T6">
        <f>COUNTIF(T12:T8410,"&gt;3")</f>
        <v>3</v>
      </c>
    </row>
    <row r="7" spans="1:22" x14ac:dyDescent="0.2">
      <c r="H7" s="10" t="s">
        <v>15</v>
      </c>
      <c r="J7" s="10" t="s">
        <v>35</v>
      </c>
      <c r="K7" s="10">
        <f>_xlfn.STDEV.P(K12:K8410)</f>
        <v>14.480209015354237</v>
      </c>
      <c r="P7" t="s">
        <v>42</v>
      </c>
      <c r="Q7" t="s">
        <v>51</v>
      </c>
      <c r="T7">
        <f>COUNTIF(T12:T8410,"&lt;-3")</f>
        <v>5</v>
      </c>
    </row>
    <row r="8" spans="1:22" x14ac:dyDescent="0.2">
      <c r="N8" t="s">
        <v>44</v>
      </c>
      <c r="P8">
        <f>P1-1.5*P3</f>
        <v>2175</v>
      </c>
      <c r="Q8">
        <f>Q1-1.5*Q3</f>
        <v>2175</v>
      </c>
      <c r="T8">
        <f>COUNTIF(Q12:Q8410,"&lt;"&amp;P8)</f>
        <v>5</v>
      </c>
    </row>
    <row r="9" spans="1:22" x14ac:dyDescent="0.2">
      <c r="N9" t="s">
        <v>45</v>
      </c>
      <c r="P9">
        <f>P2+1.5*P3</f>
        <v>7175</v>
      </c>
      <c r="Q9">
        <f>Q2+1.5*Q3</f>
        <v>7175</v>
      </c>
      <c r="T9">
        <f>COUNTIF(Q12:Q8410,"&gt;"&amp;Q9)</f>
        <v>3</v>
      </c>
    </row>
    <row r="10" spans="1:22" x14ac:dyDescent="0.2">
      <c r="N10" t="s">
        <v>38</v>
      </c>
      <c r="P10">
        <f>50*(MOD(B20,100)+1)</f>
        <v>3400</v>
      </c>
    </row>
    <row r="11" spans="1:22" x14ac:dyDescent="0.2">
      <c r="A11" t="s">
        <v>3</v>
      </c>
      <c r="B11">
        <f>BDA501_DS_question3!B1</f>
        <v>1</v>
      </c>
      <c r="C11">
        <v>5489</v>
      </c>
      <c r="D11">
        <v>1</v>
      </c>
      <c r="G11" s="11" t="s">
        <v>20</v>
      </c>
      <c r="H11" s="11" t="s">
        <v>21</v>
      </c>
      <c r="I11" s="12" t="s">
        <v>22</v>
      </c>
      <c r="J11" s="12" t="s">
        <v>23</v>
      </c>
      <c r="K11" s="8" t="s">
        <v>19</v>
      </c>
      <c r="L11" s="13" t="s">
        <v>24</v>
      </c>
      <c r="M11" s="18" t="s">
        <v>37</v>
      </c>
      <c r="N11" t="s">
        <v>31</v>
      </c>
      <c r="P11" t="s">
        <v>48</v>
      </c>
      <c r="Q11" t="s">
        <v>49</v>
      </c>
      <c r="T11" s="18" t="s">
        <v>37</v>
      </c>
      <c r="U11" s="18" t="s">
        <v>46</v>
      </c>
      <c r="V11" s="18" t="s">
        <v>47</v>
      </c>
    </row>
    <row r="12" spans="1:22" ht="14.4" x14ac:dyDescent="0.25">
      <c r="A12" t="s">
        <v>4</v>
      </c>
      <c r="B12">
        <f>MOD(B11*$C$11+$D$11,POWER(2,31))</f>
        <v>5490</v>
      </c>
      <c r="G12" s="10">
        <v>1</v>
      </c>
      <c r="H12" s="9">
        <v>3</v>
      </c>
      <c r="I12" s="14">
        <f>DATE(2012,12,31)-810</f>
        <v>40464</v>
      </c>
      <c r="J12" s="15" t="s">
        <v>25</v>
      </c>
      <c r="K12" s="9">
        <v>6</v>
      </c>
      <c r="L12" s="16" t="s">
        <v>26</v>
      </c>
      <c r="M12" s="16">
        <f>(K12-$K$4)/$K$7</f>
        <v>-1.3516196285269051</v>
      </c>
      <c r="N12">
        <f t="shared" ref="N12:N76" si="0">IF(MOD($B$20+G12,1000)=0,1,0)</f>
        <v>0</v>
      </c>
      <c r="O12">
        <f>+ROUND(N12*(IF(K12&lt;$K$4,-4.5,10.5)*$P$5),-2)</f>
        <v>0</v>
      </c>
      <c r="P12">
        <f t="shared" ref="P12:P75" si="1">50*K12+$P$10</f>
        <v>3700</v>
      </c>
      <c r="Q12">
        <f>P12+O12</f>
        <v>3700</v>
      </c>
      <c r="T12" s="16">
        <f>(Q12-$P$4)/$P$5</f>
        <v>-1.3516196285269055</v>
      </c>
    </row>
    <row r="13" spans="1:22" ht="14.4" x14ac:dyDescent="0.25">
      <c r="A13" t="s">
        <v>5</v>
      </c>
      <c r="B13">
        <f t="shared" ref="B13:B18" si="2">MOD(B12*$C$11+$D$11,POWER(2,31))</f>
        <v>30134611</v>
      </c>
      <c r="G13" s="10">
        <v>49</v>
      </c>
      <c r="H13" s="9">
        <v>293</v>
      </c>
      <c r="I13" s="14">
        <f>DATE(2012,12,31)-91</f>
        <v>41183</v>
      </c>
      <c r="J13" s="15" t="s">
        <v>17</v>
      </c>
      <c r="K13" s="9">
        <v>49</v>
      </c>
      <c r="L13" s="16" t="s">
        <v>26</v>
      </c>
      <c r="M13" s="16">
        <f t="shared" ref="M13:M76" si="3">(K13-$K$4)/$K$7</f>
        <v>1.6179507660996166</v>
      </c>
      <c r="N13">
        <f t="shared" si="0"/>
        <v>0</v>
      </c>
      <c r="O13">
        <f t="shared" ref="O13:O76" si="4">+ROUND(N13*(IF(K13&lt;$K$4,-4.5,10.5)*$P$5),-2)</f>
        <v>0</v>
      </c>
      <c r="P13">
        <f t="shared" si="1"/>
        <v>5850</v>
      </c>
      <c r="Q13">
        <f t="shared" ref="Q13:Q76" si="5">P13+O13</f>
        <v>5850</v>
      </c>
      <c r="T13" s="16">
        <f t="shared" ref="T13:T76" si="6">(Q13-$P$4)/$P$5</f>
        <v>1.6179507660996162</v>
      </c>
    </row>
    <row r="14" spans="1:22" ht="14.4" x14ac:dyDescent="0.25">
      <c r="A14" t="s">
        <v>6</v>
      </c>
      <c r="B14">
        <f t="shared" si="2"/>
        <v>52638884</v>
      </c>
      <c r="G14" s="10">
        <v>50</v>
      </c>
      <c r="H14" s="9">
        <v>293</v>
      </c>
      <c r="I14" s="14">
        <f>DATE(2012,12,31)-91</f>
        <v>41183</v>
      </c>
      <c r="J14" s="15" t="s">
        <v>17</v>
      </c>
      <c r="K14" s="9">
        <v>27</v>
      </c>
      <c r="L14" s="16" t="s">
        <v>26</v>
      </c>
      <c r="M14" s="16">
        <f t="shared" si="3"/>
        <v>9.8635680476745008E-2</v>
      </c>
      <c r="N14">
        <f t="shared" si="0"/>
        <v>0</v>
      </c>
      <c r="O14">
        <f t="shared" si="4"/>
        <v>0</v>
      </c>
      <c r="P14">
        <f t="shared" si="1"/>
        <v>4750</v>
      </c>
      <c r="Q14">
        <f t="shared" si="5"/>
        <v>4750</v>
      </c>
      <c r="T14" s="16">
        <f t="shared" si="6"/>
        <v>9.8635680476744619E-2</v>
      </c>
    </row>
    <row r="15" spans="1:22" ht="14.4" x14ac:dyDescent="0.25">
      <c r="A15" t="s">
        <v>7</v>
      </c>
      <c r="B15">
        <f t="shared" si="2"/>
        <v>1172025445</v>
      </c>
      <c r="G15" s="10">
        <v>80</v>
      </c>
      <c r="H15" s="9">
        <v>483</v>
      </c>
      <c r="I15" s="14">
        <f>DATE(2012,12,31)-540</f>
        <v>40734</v>
      </c>
      <c r="J15" s="15" t="s">
        <v>17</v>
      </c>
      <c r="K15" s="9">
        <v>30</v>
      </c>
      <c r="L15" s="16" t="s">
        <v>27</v>
      </c>
      <c r="M15" s="16">
        <f t="shared" si="3"/>
        <v>0.30581501033440933</v>
      </c>
      <c r="N15">
        <f t="shared" si="0"/>
        <v>0</v>
      </c>
      <c r="O15">
        <f t="shared" si="4"/>
        <v>0</v>
      </c>
      <c r="P15">
        <f t="shared" si="1"/>
        <v>4900</v>
      </c>
      <c r="Q15">
        <f t="shared" si="5"/>
        <v>4900</v>
      </c>
      <c r="T15" s="16">
        <f t="shared" si="6"/>
        <v>0.30581501033440894</v>
      </c>
    </row>
    <row r="16" spans="1:22" ht="14.4" x14ac:dyDescent="0.25">
      <c r="A16" t="s">
        <v>8</v>
      </c>
      <c r="B16">
        <f t="shared" si="2"/>
        <v>1534141846</v>
      </c>
      <c r="G16" s="10">
        <v>85</v>
      </c>
      <c r="H16" s="9">
        <v>515</v>
      </c>
      <c r="I16" s="14">
        <f>DATE(2012,12,31)-856</f>
        <v>40418</v>
      </c>
      <c r="J16" s="15" t="s">
        <v>28</v>
      </c>
      <c r="K16" s="9">
        <v>19</v>
      </c>
      <c r="L16" s="16" t="s">
        <v>26</v>
      </c>
      <c r="M16" s="16">
        <f t="shared" si="3"/>
        <v>-0.45384253247702649</v>
      </c>
      <c r="N16">
        <f t="shared" si="0"/>
        <v>0</v>
      </c>
      <c r="O16">
        <f t="shared" si="4"/>
        <v>0</v>
      </c>
      <c r="P16">
        <f t="shared" si="1"/>
        <v>4350</v>
      </c>
      <c r="Q16">
        <f t="shared" si="5"/>
        <v>4350</v>
      </c>
      <c r="T16" s="16">
        <f t="shared" si="6"/>
        <v>-0.45384253247702688</v>
      </c>
    </row>
    <row r="17" spans="1:20" ht="14.4" x14ac:dyDescent="0.25">
      <c r="A17" t="s">
        <v>9</v>
      </c>
      <c r="B17">
        <f t="shared" si="2"/>
        <v>621208887</v>
      </c>
      <c r="G17" s="10">
        <v>86</v>
      </c>
      <c r="H17" s="9">
        <v>515</v>
      </c>
      <c r="I17" s="14">
        <f>DATE(2012,12,31)-856</f>
        <v>40418</v>
      </c>
      <c r="J17" s="15" t="s">
        <v>28</v>
      </c>
      <c r="K17" s="9">
        <v>21</v>
      </c>
      <c r="L17" s="16" t="s">
        <v>29</v>
      </c>
      <c r="M17" s="16">
        <f t="shared" si="3"/>
        <v>-0.31572297923858361</v>
      </c>
      <c r="N17">
        <f t="shared" si="0"/>
        <v>0</v>
      </c>
      <c r="O17">
        <f t="shared" si="4"/>
        <v>0</v>
      </c>
      <c r="P17">
        <f t="shared" si="1"/>
        <v>4450</v>
      </c>
      <c r="Q17">
        <f t="shared" si="5"/>
        <v>4450</v>
      </c>
      <c r="T17" s="16">
        <f t="shared" si="6"/>
        <v>-0.315722979238584</v>
      </c>
    </row>
    <row r="18" spans="1:20" ht="14.4" x14ac:dyDescent="0.25">
      <c r="A18" t="s">
        <v>10</v>
      </c>
      <c r="B18">
        <f t="shared" si="2"/>
        <v>1759031368</v>
      </c>
      <c r="G18" s="10">
        <v>97</v>
      </c>
      <c r="H18" s="9">
        <v>613</v>
      </c>
      <c r="I18" s="14">
        <f>DATE(2012,12,31)-563</f>
        <v>40711</v>
      </c>
      <c r="J18" s="15" t="s">
        <v>17</v>
      </c>
      <c r="K18" s="9">
        <v>12</v>
      </c>
      <c r="L18" s="16" t="s">
        <v>26</v>
      </c>
      <c r="M18" s="16">
        <f t="shared" si="3"/>
        <v>-0.9372609688115765</v>
      </c>
      <c r="N18">
        <f t="shared" si="0"/>
        <v>0</v>
      </c>
      <c r="O18">
        <f t="shared" si="4"/>
        <v>0</v>
      </c>
      <c r="P18">
        <f t="shared" si="1"/>
        <v>4000</v>
      </c>
      <c r="Q18">
        <f t="shared" si="5"/>
        <v>4000</v>
      </c>
      <c r="T18" s="16">
        <f t="shared" si="6"/>
        <v>-0.93726096881157694</v>
      </c>
    </row>
    <row r="19" spans="1:20" ht="14.4" x14ac:dyDescent="0.25">
      <c r="A19" t="s">
        <v>11</v>
      </c>
      <c r="B19">
        <f>MOD(B18*$C$11+$D$11,POWER(2,31))</f>
        <v>236697545</v>
      </c>
      <c r="G19" s="10">
        <v>98</v>
      </c>
      <c r="H19" s="9">
        <v>613</v>
      </c>
      <c r="I19" s="14">
        <f>DATE(2012,12,31)-563</f>
        <v>40711</v>
      </c>
      <c r="J19" s="15" t="s">
        <v>17</v>
      </c>
      <c r="K19" s="9">
        <v>22</v>
      </c>
      <c r="L19" s="16" t="s">
        <v>26</v>
      </c>
      <c r="M19" s="16">
        <f t="shared" si="3"/>
        <v>-0.24666320261936217</v>
      </c>
      <c r="N19">
        <f t="shared" si="0"/>
        <v>0</v>
      </c>
      <c r="O19">
        <f t="shared" si="4"/>
        <v>0</v>
      </c>
      <c r="P19">
        <f t="shared" si="1"/>
        <v>4500</v>
      </c>
      <c r="Q19">
        <f t="shared" si="5"/>
        <v>4500</v>
      </c>
      <c r="T19" s="16">
        <f t="shared" si="6"/>
        <v>-0.24666320261936256</v>
      </c>
    </row>
    <row r="20" spans="1:20" ht="14.4" x14ac:dyDescent="0.25">
      <c r="A20" t="s">
        <v>12</v>
      </c>
      <c r="B20">
        <f>MOD(MOD(B19*$C$11+$D$11,POWER(2,31)),1000)+1</f>
        <v>467</v>
      </c>
      <c r="G20" s="10">
        <v>103</v>
      </c>
      <c r="H20" s="9">
        <v>643</v>
      </c>
      <c r="I20" s="14">
        <f>DATE(2012,12,31)-648</f>
        <v>40626</v>
      </c>
      <c r="J20" s="15" t="s">
        <v>17</v>
      </c>
      <c r="K20" s="9">
        <v>21</v>
      </c>
      <c r="L20" s="16" t="s">
        <v>26</v>
      </c>
      <c r="M20" s="16">
        <f t="shared" si="3"/>
        <v>-0.31572297923858361</v>
      </c>
      <c r="N20">
        <f t="shared" si="0"/>
        <v>0</v>
      </c>
      <c r="O20">
        <f t="shared" si="4"/>
        <v>0</v>
      </c>
      <c r="P20">
        <f t="shared" si="1"/>
        <v>4450</v>
      </c>
      <c r="Q20">
        <f t="shared" si="5"/>
        <v>4450</v>
      </c>
      <c r="T20" s="16">
        <f t="shared" si="6"/>
        <v>-0.315722979238584</v>
      </c>
    </row>
    <row r="21" spans="1:20" ht="14.4" x14ac:dyDescent="0.25">
      <c r="G21" s="10">
        <v>107</v>
      </c>
      <c r="H21" s="9">
        <v>678</v>
      </c>
      <c r="I21" s="14">
        <f>DATE(2012,12,31)-1039</f>
        <v>40235</v>
      </c>
      <c r="J21" s="15" t="s">
        <v>25</v>
      </c>
      <c r="K21" s="9">
        <v>44</v>
      </c>
      <c r="L21" s="16" t="s">
        <v>26</v>
      </c>
      <c r="M21" s="16">
        <f t="shared" si="3"/>
        <v>1.2726518830035094</v>
      </c>
      <c r="N21">
        <f t="shared" si="0"/>
        <v>0</v>
      </c>
      <c r="O21">
        <f t="shared" si="4"/>
        <v>0</v>
      </c>
      <c r="P21">
        <f t="shared" si="1"/>
        <v>5600</v>
      </c>
      <c r="Q21">
        <f t="shared" si="5"/>
        <v>5600</v>
      </c>
      <c r="T21" s="16">
        <f t="shared" si="6"/>
        <v>1.272651883003509</v>
      </c>
    </row>
    <row r="22" spans="1:20" ht="14.4" x14ac:dyDescent="0.25">
      <c r="G22" s="10">
        <v>127</v>
      </c>
      <c r="H22" s="9">
        <v>807</v>
      </c>
      <c r="I22" s="14">
        <f>DATE(2012,12,31)-769</f>
        <v>40505</v>
      </c>
      <c r="J22" s="15" t="s">
        <v>16</v>
      </c>
      <c r="K22" s="9">
        <v>45</v>
      </c>
      <c r="L22" s="16" t="s">
        <v>26</v>
      </c>
      <c r="M22" s="16">
        <f t="shared" si="3"/>
        <v>1.3417116596227308</v>
      </c>
      <c r="N22">
        <f t="shared" si="0"/>
        <v>0</v>
      </c>
      <c r="O22">
        <f t="shared" si="4"/>
        <v>0</v>
      </c>
      <c r="P22">
        <f t="shared" si="1"/>
        <v>5650</v>
      </c>
      <c r="Q22">
        <f t="shared" si="5"/>
        <v>5650</v>
      </c>
      <c r="T22" s="16">
        <f t="shared" si="6"/>
        <v>1.3417116596227305</v>
      </c>
    </row>
    <row r="23" spans="1:20" ht="14.4" x14ac:dyDescent="0.25">
      <c r="G23" s="10">
        <v>128</v>
      </c>
      <c r="H23" s="9">
        <v>807</v>
      </c>
      <c r="I23" s="14">
        <f>DATE(2012,12,31)-769</f>
        <v>40505</v>
      </c>
      <c r="J23" s="15" t="s">
        <v>16</v>
      </c>
      <c r="K23" s="9">
        <v>32</v>
      </c>
      <c r="L23" s="16" t="s">
        <v>26</v>
      </c>
      <c r="M23" s="16">
        <f t="shared" si="3"/>
        <v>0.44393456357285216</v>
      </c>
      <c r="N23">
        <f t="shared" si="0"/>
        <v>0</v>
      </c>
      <c r="O23">
        <f t="shared" si="4"/>
        <v>0</v>
      </c>
      <c r="P23">
        <f t="shared" si="1"/>
        <v>5000</v>
      </c>
      <c r="Q23">
        <f t="shared" si="5"/>
        <v>5000</v>
      </c>
      <c r="T23" s="16">
        <f t="shared" si="6"/>
        <v>0.44393456357285183</v>
      </c>
    </row>
    <row r="24" spans="1:20" ht="14.4" x14ac:dyDescent="0.25">
      <c r="G24" s="10">
        <v>134</v>
      </c>
      <c r="H24" s="9">
        <v>868</v>
      </c>
      <c r="I24" s="14">
        <f>DATE(2012,12,31)-206</f>
        <v>41068</v>
      </c>
      <c r="J24" s="15" t="s">
        <v>28</v>
      </c>
      <c r="K24" s="9">
        <v>32</v>
      </c>
      <c r="L24" s="16" t="s">
        <v>26</v>
      </c>
      <c r="M24" s="16">
        <f t="shared" si="3"/>
        <v>0.44393456357285216</v>
      </c>
      <c r="N24">
        <f t="shared" si="0"/>
        <v>0</v>
      </c>
      <c r="O24">
        <f t="shared" si="4"/>
        <v>0</v>
      </c>
      <c r="P24">
        <f t="shared" si="1"/>
        <v>5000</v>
      </c>
      <c r="Q24">
        <f t="shared" si="5"/>
        <v>5000</v>
      </c>
      <c r="T24" s="16">
        <f t="shared" si="6"/>
        <v>0.44393456357285183</v>
      </c>
    </row>
    <row r="25" spans="1:20" ht="14.4" x14ac:dyDescent="0.25">
      <c r="G25" s="10">
        <v>135</v>
      </c>
      <c r="H25" s="9">
        <v>868</v>
      </c>
      <c r="I25" s="14">
        <f>DATE(2012,12,31)-206</f>
        <v>41068</v>
      </c>
      <c r="J25" s="15" t="s">
        <v>28</v>
      </c>
      <c r="K25" s="9">
        <v>31</v>
      </c>
      <c r="L25" s="16" t="s">
        <v>27</v>
      </c>
      <c r="M25" s="16">
        <f t="shared" si="3"/>
        <v>0.37487478695363075</v>
      </c>
      <c r="N25">
        <f t="shared" si="0"/>
        <v>0</v>
      </c>
      <c r="O25">
        <f t="shared" si="4"/>
        <v>0</v>
      </c>
      <c r="P25">
        <f t="shared" si="1"/>
        <v>4950</v>
      </c>
      <c r="Q25">
        <f t="shared" si="5"/>
        <v>4950</v>
      </c>
      <c r="T25" s="16">
        <f t="shared" si="6"/>
        <v>0.37487478695363036</v>
      </c>
    </row>
    <row r="26" spans="1:20" ht="14.4" x14ac:dyDescent="0.25">
      <c r="G26" s="10">
        <v>149</v>
      </c>
      <c r="H26" s="9">
        <v>933</v>
      </c>
      <c r="I26" s="14">
        <f>DATE(2012,12,31)-149</f>
        <v>41125</v>
      </c>
      <c r="J26" s="15" t="s">
        <v>28</v>
      </c>
      <c r="K26" s="9">
        <v>15</v>
      </c>
      <c r="L26" s="16" t="s">
        <v>26</v>
      </c>
      <c r="M26" s="16">
        <f t="shared" si="3"/>
        <v>-0.7300816389539122</v>
      </c>
      <c r="N26">
        <f t="shared" si="0"/>
        <v>0</v>
      </c>
      <c r="O26">
        <f t="shared" si="4"/>
        <v>0</v>
      </c>
      <c r="P26">
        <f t="shared" si="1"/>
        <v>4150</v>
      </c>
      <c r="Q26">
        <f t="shared" si="5"/>
        <v>4150</v>
      </c>
      <c r="T26" s="16">
        <f t="shared" si="6"/>
        <v>-0.73008163895391265</v>
      </c>
    </row>
    <row r="27" spans="1:20" ht="14.4" x14ac:dyDescent="0.25">
      <c r="G27" s="10">
        <v>160</v>
      </c>
      <c r="H27" s="9">
        <v>995</v>
      </c>
      <c r="I27" s="14">
        <f>DATE(2012,12,31)-581</f>
        <v>40693</v>
      </c>
      <c r="J27" s="15" t="s">
        <v>16</v>
      </c>
      <c r="K27" s="9">
        <v>46</v>
      </c>
      <c r="L27" s="16" t="s">
        <v>29</v>
      </c>
      <c r="M27" s="16">
        <f t="shared" si="3"/>
        <v>1.4107714362419523</v>
      </c>
      <c r="N27">
        <f t="shared" si="0"/>
        <v>0</v>
      </c>
      <c r="O27">
        <f t="shared" si="4"/>
        <v>0</v>
      </c>
      <c r="P27">
        <f t="shared" si="1"/>
        <v>5700</v>
      </c>
      <c r="Q27">
        <f t="shared" si="5"/>
        <v>5700</v>
      </c>
      <c r="T27" s="16">
        <f t="shared" si="6"/>
        <v>1.4107714362419519</v>
      </c>
    </row>
    <row r="28" spans="1:20" ht="14.4" x14ac:dyDescent="0.25">
      <c r="G28" s="10">
        <v>161</v>
      </c>
      <c r="H28" s="9">
        <v>998</v>
      </c>
      <c r="I28" s="14">
        <f>DATE(2012,12,31)-1132</f>
        <v>40142</v>
      </c>
      <c r="J28" s="15" t="s">
        <v>28</v>
      </c>
      <c r="K28" s="9">
        <v>16</v>
      </c>
      <c r="L28" s="16" t="s">
        <v>26</v>
      </c>
      <c r="M28" s="16">
        <f t="shared" si="3"/>
        <v>-0.66102186233469074</v>
      </c>
      <c r="N28">
        <f t="shared" si="0"/>
        <v>0</v>
      </c>
      <c r="O28">
        <f t="shared" si="4"/>
        <v>0</v>
      </c>
      <c r="P28">
        <f t="shared" si="1"/>
        <v>4200</v>
      </c>
      <c r="Q28">
        <f t="shared" si="5"/>
        <v>4200</v>
      </c>
      <c r="T28" s="16">
        <f t="shared" si="6"/>
        <v>-0.66102186233469118</v>
      </c>
    </row>
    <row r="29" spans="1:20" ht="14.4" x14ac:dyDescent="0.25">
      <c r="G29" s="10">
        <v>175</v>
      </c>
      <c r="H29" s="9">
        <v>1154</v>
      </c>
      <c r="I29" s="14">
        <f>DATE(2012,12,31)-321</f>
        <v>40953</v>
      </c>
      <c r="J29" s="15" t="s">
        <v>30</v>
      </c>
      <c r="K29" s="9">
        <v>44</v>
      </c>
      <c r="L29" s="16" t="s">
        <v>29</v>
      </c>
      <c r="M29" s="16">
        <f t="shared" si="3"/>
        <v>1.2726518830035094</v>
      </c>
      <c r="N29">
        <f t="shared" si="0"/>
        <v>0</v>
      </c>
      <c r="O29">
        <f t="shared" si="4"/>
        <v>0</v>
      </c>
      <c r="P29">
        <f t="shared" si="1"/>
        <v>5600</v>
      </c>
      <c r="Q29">
        <f t="shared" si="5"/>
        <v>5600</v>
      </c>
      <c r="T29" s="16">
        <f t="shared" si="6"/>
        <v>1.272651883003509</v>
      </c>
    </row>
    <row r="30" spans="1:20" ht="14.4" x14ac:dyDescent="0.25">
      <c r="G30" s="10">
        <v>176</v>
      </c>
      <c r="H30" s="9">
        <v>1154</v>
      </c>
      <c r="I30" s="14">
        <f>DATE(2012,12,31)-321</f>
        <v>40953</v>
      </c>
      <c r="J30" s="15" t="s">
        <v>30</v>
      </c>
      <c r="K30" s="9">
        <v>11</v>
      </c>
      <c r="L30" s="16" t="s">
        <v>29</v>
      </c>
      <c r="M30" s="16">
        <f t="shared" si="3"/>
        <v>-1.0063207454307979</v>
      </c>
      <c r="N30">
        <f t="shared" si="0"/>
        <v>0</v>
      </c>
      <c r="O30">
        <f t="shared" si="4"/>
        <v>0</v>
      </c>
      <c r="P30">
        <f t="shared" si="1"/>
        <v>3950</v>
      </c>
      <c r="Q30">
        <f t="shared" si="5"/>
        <v>3950</v>
      </c>
      <c r="T30" s="16">
        <f t="shared" si="6"/>
        <v>-1.0063207454307983</v>
      </c>
    </row>
    <row r="31" spans="1:20" ht="14.4" x14ac:dyDescent="0.25">
      <c r="G31" s="10">
        <v>203</v>
      </c>
      <c r="H31" s="9">
        <v>1344</v>
      </c>
      <c r="I31" s="14">
        <f>DATE(2012,12,31)-260</f>
        <v>41014</v>
      </c>
      <c r="J31" s="15" t="s">
        <v>25</v>
      </c>
      <c r="K31" s="9">
        <v>15</v>
      </c>
      <c r="L31" s="16" t="s">
        <v>27</v>
      </c>
      <c r="M31" s="16">
        <f t="shared" si="3"/>
        <v>-0.7300816389539122</v>
      </c>
      <c r="N31">
        <f t="shared" si="0"/>
        <v>0</v>
      </c>
      <c r="O31">
        <f t="shared" si="4"/>
        <v>0</v>
      </c>
      <c r="P31">
        <f t="shared" si="1"/>
        <v>4150</v>
      </c>
      <c r="Q31">
        <f t="shared" si="5"/>
        <v>4150</v>
      </c>
      <c r="T31" s="16">
        <f t="shared" si="6"/>
        <v>-0.73008163895391265</v>
      </c>
    </row>
    <row r="32" spans="1:20" ht="14.4" x14ac:dyDescent="0.25">
      <c r="G32" s="10">
        <v>204</v>
      </c>
      <c r="H32" s="9">
        <v>1344</v>
      </c>
      <c r="I32" s="14">
        <f>DATE(2012,12,31)-260</f>
        <v>41014</v>
      </c>
      <c r="J32" s="15" t="s">
        <v>25</v>
      </c>
      <c r="K32" s="9">
        <v>18</v>
      </c>
      <c r="L32" s="16" t="s">
        <v>27</v>
      </c>
      <c r="M32" s="16">
        <f t="shared" si="3"/>
        <v>-0.52290230909624791</v>
      </c>
      <c r="N32">
        <f t="shared" si="0"/>
        <v>0</v>
      </c>
      <c r="O32">
        <f t="shared" si="4"/>
        <v>0</v>
      </c>
      <c r="P32">
        <f t="shared" si="1"/>
        <v>4300</v>
      </c>
      <c r="Q32">
        <f t="shared" si="5"/>
        <v>4300</v>
      </c>
      <c r="T32" s="16">
        <f t="shared" si="6"/>
        <v>-0.52290230909624835</v>
      </c>
    </row>
    <row r="33" spans="7:20" ht="14.4" x14ac:dyDescent="0.25">
      <c r="G33" s="10">
        <v>213</v>
      </c>
      <c r="H33" s="9">
        <v>1412</v>
      </c>
      <c r="I33" s="14">
        <f>DATE(2012,12,31)-1025</f>
        <v>40249</v>
      </c>
      <c r="J33" s="15" t="s">
        <v>28</v>
      </c>
      <c r="K33" s="9">
        <v>13</v>
      </c>
      <c r="L33" s="16" t="s">
        <v>26</v>
      </c>
      <c r="M33" s="16">
        <f t="shared" si="3"/>
        <v>-0.86820119219235514</v>
      </c>
      <c r="N33">
        <f t="shared" si="0"/>
        <v>0</v>
      </c>
      <c r="O33">
        <f t="shared" si="4"/>
        <v>0</v>
      </c>
      <c r="P33">
        <f t="shared" si="1"/>
        <v>4050</v>
      </c>
      <c r="Q33">
        <f t="shared" si="5"/>
        <v>4050</v>
      </c>
      <c r="T33" s="16">
        <f t="shared" si="6"/>
        <v>-0.86820119219235548</v>
      </c>
    </row>
    <row r="34" spans="7:20" ht="14.4" x14ac:dyDescent="0.25">
      <c r="G34" s="10">
        <v>214</v>
      </c>
      <c r="H34" s="9">
        <v>1412</v>
      </c>
      <c r="I34" s="14">
        <f>DATE(2012,12,31)-1025</f>
        <v>40249</v>
      </c>
      <c r="J34" s="15" t="s">
        <v>28</v>
      </c>
      <c r="K34" s="9">
        <v>21</v>
      </c>
      <c r="L34" s="16" t="s">
        <v>26</v>
      </c>
      <c r="M34" s="16">
        <f t="shared" si="3"/>
        <v>-0.31572297923858361</v>
      </c>
      <c r="N34">
        <f t="shared" si="0"/>
        <v>0</v>
      </c>
      <c r="O34">
        <f t="shared" si="4"/>
        <v>0</v>
      </c>
      <c r="P34">
        <f t="shared" si="1"/>
        <v>4450</v>
      </c>
      <c r="Q34">
        <f t="shared" si="5"/>
        <v>4450</v>
      </c>
      <c r="T34" s="16">
        <f t="shared" si="6"/>
        <v>-0.315722979238584</v>
      </c>
    </row>
    <row r="35" spans="7:20" ht="14.4" x14ac:dyDescent="0.25">
      <c r="G35" s="10">
        <v>229</v>
      </c>
      <c r="H35" s="9">
        <v>1539</v>
      </c>
      <c r="I35" s="14">
        <f>DATE(2012,12,31)-663</f>
        <v>40611</v>
      </c>
      <c r="J35" s="15" t="s">
        <v>25</v>
      </c>
      <c r="K35" s="9">
        <v>33</v>
      </c>
      <c r="L35" s="16" t="s">
        <v>26</v>
      </c>
      <c r="M35" s="16">
        <f t="shared" si="3"/>
        <v>0.51299434019207357</v>
      </c>
      <c r="N35">
        <f t="shared" si="0"/>
        <v>0</v>
      </c>
      <c r="O35">
        <f t="shared" si="4"/>
        <v>0</v>
      </c>
      <c r="P35">
        <f t="shared" si="1"/>
        <v>5050</v>
      </c>
      <c r="Q35">
        <f t="shared" si="5"/>
        <v>5050</v>
      </c>
      <c r="T35" s="16">
        <f t="shared" si="6"/>
        <v>0.51299434019207324</v>
      </c>
    </row>
    <row r="36" spans="7:20" ht="14.4" x14ac:dyDescent="0.25">
      <c r="G36" s="10">
        <v>230</v>
      </c>
      <c r="H36" s="9">
        <v>1539</v>
      </c>
      <c r="I36" s="14">
        <f>DATE(2012,12,31)-663</f>
        <v>40611</v>
      </c>
      <c r="J36" s="15" t="s">
        <v>25</v>
      </c>
      <c r="K36" s="9">
        <v>38</v>
      </c>
      <c r="L36" s="16" t="s">
        <v>27</v>
      </c>
      <c r="M36" s="16">
        <f t="shared" si="3"/>
        <v>0.85829322328818081</v>
      </c>
      <c r="N36">
        <f t="shared" si="0"/>
        <v>0</v>
      </c>
      <c r="O36">
        <f t="shared" si="4"/>
        <v>0</v>
      </c>
      <c r="P36">
        <f t="shared" si="1"/>
        <v>5300</v>
      </c>
      <c r="Q36">
        <f t="shared" si="5"/>
        <v>5300</v>
      </c>
      <c r="T36" s="16">
        <f t="shared" si="6"/>
        <v>0.85829322328818036</v>
      </c>
    </row>
    <row r="37" spans="7:20" ht="14.4" x14ac:dyDescent="0.25">
      <c r="G37" s="10">
        <v>231</v>
      </c>
      <c r="H37" s="9">
        <v>1540</v>
      </c>
      <c r="I37" s="14">
        <f>DATE(2012,12,31)-149</f>
        <v>41125</v>
      </c>
      <c r="J37" s="15" t="s">
        <v>17</v>
      </c>
      <c r="K37" s="9">
        <v>30</v>
      </c>
      <c r="L37" s="16" t="s">
        <v>26</v>
      </c>
      <c r="M37" s="16">
        <f t="shared" si="3"/>
        <v>0.30581501033440933</v>
      </c>
      <c r="N37">
        <f t="shared" si="0"/>
        <v>0</v>
      </c>
      <c r="O37">
        <f t="shared" si="4"/>
        <v>0</v>
      </c>
      <c r="P37">
        <f t="shared" si="1"/>
        <v>4900</v>
      </c>
      <c r="Q37">
        <f t="shared" si="5"/>
        <v>4900</v>
      </c>
      <c r="T37" s="16">
        <f t="shared" si="6"/>
        <v>0.30581501033440894</v>
      </c>
    </row>
    <row r="38" spans="7:20" ht="14.4" x14ac:dyDescent="0.25">
      <c r="G38" s="10">
        <v>249</v>
      </c>
      <c r="H38" s="9">
        <v>1702</v>
      </c>
      <c r="I38" s="14">
        <f>DATE(2012,12,31)-605</f>
        <v>40669</v>
      </c>
      <c r="J38" s="15" t="s">
        <v>17</v>
      </c>
      <c r="K38" s="9">
        <v>23</v>
      </c>
      <c r="L38" s="16" t="s">
        <v>26</v>
      </c>
      <c r="M38" s="16">
        <f t="shared" si="3"/>
        <v>-0.17760342600014073</v>
      </c>
      <c r="N38">
        <f t="shared" si="0"/>
        <v>0</v>
      </c>
      <c r="O38">
        <f t="shared" si="4"/>
        <v>0</v>
      </c>
      <c r="P38">
        <f t="shared" si="1"/>
        <v>4550</v>
      </c>
      <c r="Q38">
        <f t="shared" si="5"/>
        <v>4550</v>
      </c>
      <c r="T38" s="16">
        <f t="shared" si="6"/>
        <v>-0.17760342600014112</v>
      </c>
    </row>
    <row r="39" spans="7:20" ht="14.4" x14ac:dyDescent="0.25">
      <c r="G39" s="10">
        <v>250</v>
      </c>
      <c r="H39" s="9">
        <v>1761</v>
      </c>
      <c r="I39" s="14">
        <f>DATE(2012,12,31)-739</f>
        <v>40535</v>
      </c>
      <c r="J39" s="15" t="s">
        <v>17</v>
      </c>
      <c r="K39" s="9">
        <v>25</v>
      </c>
      <c r="L39" s="16" t="s">
        <v>27</v>
      </c>
      <c r="M39" s="16">
        <f t="shared" si="3"/>
        <v>-3.9483872761697868E-2</v>
      </c>
      <c r="N39">
        <f t="shared" si="0"/>
        <v>0</v>
      </c>
      <c r="O39">
        <f t="shared" si="4"/>
        <v>0</v>
      </c>
      <c r="P39">
        <f t="shared" si="1"/>
        <v>4650</v>
      </c>
      <c r="Q39">
        <f t="shared" si="5"/>
        <v>4650</v>
      </c>
      <c r="T39" s="16">
        <f t="shared" si="6"/>
        <v>-3.9483872761698249E-2</v>
      </c>
    </row>
    <row r="40" spans="7:20" ht="14.4" x14ac:dyDescent="0.25">
      <c r="G40" s="10">
        <v>256</v>
      </c>
      <c r="H40" s="9">
        <v>1792</v>
      </c>
      <c r="I40" s="14">
        <f>DATE(2012,12,31)-784</f>
        <v>40490</v>
      </c>
      <c r="J40" s="15" t="s">
        <v>25</v>
      </c>
      <c r="K40" s="9">
        <v>28</v>
      </c>
      <c r="L40" s="16" t="s">
        <v>26</v>
      </c>
      <c r="M40" s="16">
        <f t="shared" si="3"/>
        <v>0.16769545709596645</v>
      </c>
      <c r="N40">
        <f t="shared" si="0"/>
        <v>0</v>
      </c>
      <c r="O40">
        <f t="shared" si="4"/>
        <v>0</v>
      </c>
      <c r="P40">
        <f t="shared" si="1"/>
        <v>4800</v>
      </c>
      <c r="Q40">
        <f t="shared" si="5"/>
        <v>4800</v>
      </c>
      <c r="T40" s="16">
        <f t="shared" si="6"/>
        <v>0.16769545709596606</v>
      </c>
    </row>
    <row r="41" spans="7:20" ht="14.4" x14ac:dyDescent="0.25">
      <c r="G41" s="10">
        <v>330</v>
      </c>
      <c r="H41" s="9">
        <v>2275</v>
      </c>
      <c r="I41" s="14">
        <f>DATE(2012,12,31)-71</f>
        <v>41203</v>
      </c>
      <c r="J41" s="15" t="s">
        <v>28</v>
      </c>
      <c r="K41" s="9">
        <v>49</v>
      </c>
      <c r="L41" s="16" t="s">
        <v>26</v>
      </c>
      <c r="M41" s="16">
        <f t="shared" si="3"/>
        <v>1.6179507660996166</v>
      </c>
      <c r="N41">
        <f t="shared" si="0"/>
        <v>0</v>
      </c>
      <c r="O41">
        <f t="shared" si="4"/>
        <v>0</v>
      </c>
      <c r="P41">
        <f t="shared" si="1"/>
        <v>5850</v>
      </c>
      <c r="Q41">
        <f t="shared" si="5"/>
        <v>5850</v>
      </c>
      <c r="T41" s="16">
        <f t="shared" si="6"/>
        <v>1.6179507660996162</v>
      </c>
    </row>
    <row r="42" spans="7:20" ht="14.4" x14ac:dyDescent="0.25">
      <c r="G42" s="10">
        <v>331</v>
      </c>
      <c r="H42" s="9">
        <v>2277</v>
      </c>
      <c r="I42" s="14">
        <f>DATE(2012,12,31)-730</f>
        <v>40544</v>
      </c>
      <c r="J42" s="15" t="s">
        <v>28</v>
      </c>
      <c r="K42" s="9">
        <v>10</v>
      </c>
      <c r="L42" s="16" t="s">
        <v>27</v>
      </c>
      <c r="M42" s="16">
        <f t="shared" si="3"/>
        <v>-1.0753805220500194</v>
      </c>
      <c r="N42">
        <f t="shared" si="0"/>
        <v>0</v>
      </c>
      <c r="O42">
        <f t="shared" si="4"/>
        <v>0</v>
      </c>
      <c r="P42">
        <f t="shared" si="1"/>
        <v>3900</v>
      </c>
      <c r="Q42">
        <f t="shared" si="5"/>
        <v>3900</v>
      </c>
      <c r="T42" s="16">
        <f t="shared" si="6"/>
        <v>-1.0753805220500199</v>
      </c>
    </row>
    <row r="43" spans="7:20" ht="14.4" x14ac:dyDescent="0.25">
      <c r="G43" s="10">
        <v>332</v>
      </c>
      <c r="H43" s="9">
        <v>2277</v>
      </c>
      <c r="I43" s="14">
        <f>DATE(2012,12,31)-730</f>
        <v>40544</v>
      </c>
      <c r="J43" s="15" t="s">
        <v>28</v>
      </c>
      <c r="K43" s="9">
        <v>21</v>
      </c>
      <c r="L43" s="16" t="s">
        <v>26</v>
      </c>
      <c r="M43" s="16">
        <f t="shared" si="3"/>
        <v>-0.31572297923858361</v>
      </c>
      <c r="N43">
        <f t="shared" si="0"/>
        <v>0</v>
      </c>
      <c r="O43">
        <f t="shared" si="4"/>
        <v>0</v>
      </c>
      <c r="P43">
        <f t="shared" si="1"/>
        <v>4450</v>
      </c>
      <c r="Q43">
        <f t="shared" si="5"/>
        <v>4450</v>
      </c>
      <c r="T43" s="16">
        <f t="shared" si="6"/>
        <v>-0.315722979238584</v>
      </c>
    </row>
    <row r="44" spans="7:20" ht="14.4" x14ac:dyDescent="0.25">
      <c r="G44" s="10">
        <v>362</v>
      </c>
      <c r="H44" s="9">
        <v>2532</v>
      </c>
      <c r="I44" s="14">
        <f>DATE(2012,12,31)-448</f>
        <v>40826</v>
      </c>
      <c r="J44" s="15" t="s">
        <v>17</v>
      </c>
      <c r="K44" s="9">
        <v>39</v>
      </c>
      <c r="L44" s="16" t="s">
        <v>26</v>
      </c>
      <c r="M44" s="16">
        <f t="shared" si="3"/>
        <v>0.92735299990740228</v>
      </c>
      <c r="N44">
        <f t="shared" si="0"/>
        <v>0</v>
      </c>
      <c r="O44">
        <f t="shared" si="4"/>
        <v>0</v>
      </c>
      <c r="P44">
        <f t="shared" si="1"/>
        <v>5350</v>
      </c>
      <c r="Q44">
        <f t="shared" si="5"/>
        <v>5350</v>
      </c>
      <c r="T44" s="16">
        <f t="shared" si="6"/>
        <v>0.92735299990740183</v>
      </c>
    </row>
    <row r="45" spans="7:20" ht="14.4" x14ac:dyDescent="0.25">
      <c r="G45" s="10">
        <v>363</v>
      </c>
      <c r="H45" s="9">
        <v>2532</v>
      </c>
      <c r="I45" s="14">
        <f>DATE(2012,12,31)-448</f>
        <v>40826</v>
      </c>
      <c r="J45" s="15" t="s">
        <v>17</v>
      </c>
      <c r="K45" s="9">
        <v>24</v>
      </c>
      <c r="L45" s="16" t="s">
        <v>27</v>
      </c>
      <c r="M45" s="16">
        <f t="shared" si="3"/>
        <v>-0.1085436493809193</v>
      </c>
      <c r="N45">
        <f t="shared" si="0"/>
        <v>0</v>
      </c>
      <c r="O45">
        <f t="shared" si="4"/>
        <v>0</v>
      </c>
      <c r="P45">
        <f t="shared" si="1"/>
        <v>4600</v>
      </c>
      <c r="Q45">
        <f t="shared" si="5"/>
        <v>4600</v>
      </c>
      <c r="T45" s="16">
        <f t="shared" si="6"/>
        <v>-0.10854364938091969</v>
      </c>
    </row>
    <row r="46" spans="7:20" ht="14.4" x14ac:dyDescent="0.25">
      <c r="G46" s="10">
        <v>381</v>
      </c>
      <c r="H46" s="9">
        <v>2631</v>
      </c>
      <c r="I46" s="14">
        <f>DATE(2012,12,31)-830</f>
        <v>40444</v>
      </c>
      <c r="J46" s="15" t="s">
        <v>25</v>
      </c>
      <c r="K46" s="9">
        <v>27</v>
      </c>
      <c r="L46" s="16" t="s">
        <v>27</v>
      </c>
      <c r="M46" s="16">
        <f t="shared" si="3"/>
        <v>9.8635680476745008E-2</v>
      </c>
      <c r="N46">
        <f t="shared" si="0"/>
        <v>0</v>
      </c>
      <c r="O46">
        <f t="shared" si="4"/>
        <v>0</v>
      </c>
      <c r="P46">
        <f t="shared" si="1"/>
        <v>4750</v>
      </c>
      <c r="Q46">
        <f t="shared" si="5"/>
        <v>4750</v>
      </c>
      <c r="T46" s="16">
        <f t="shared" si="6"/>
        <v>9.8635680476744619E-2</v>
      </c>
    </row>
    <row r="47" spans="7:20" ht="14.4" x14ac:dyDescent="0.25">
      <c r="G47" s="10">
        <v>406</v>
      </c>
      <c r="H47" s="9">
        <v>2757</v>
      </c>
      <c r="I47" s="14">
        <f>DATE(2012,12,31)-531</f>
        <v>40743</v>
      </c>
      <c r="J47" s="15" t="s">
        <v>30</v>
      </c>
      <c r="K47" s="9">
        <v>39</v>
      </c>
      <c r="L47" s="16" t="s">
        <v>29</v>
      </c>
      <c r="M47" s="16">
        <f t="shared" si="3"/>
        <v>0.92735299990740228</v>
      </c>
      <c r="N47">
        <f t="shared" si="0"/>
        <v>0</v>
      </c>
      <c r="O47">
        <f t="shared" si="4"/>
        <v>0</v>
      </c>
      <c r="P47">
        <f t="shared" si="1"/>
        <v>5350</v>
      </c>
      <c r="Q47">
        <f t="shared" si="5"/>
        <v>5350</v>
      </c>
      <c r="T47" s="16">
        <f t="shared" si="6"/>
        <v>0.92735299990740183</v>
      </c>
    </row>
    <row r="48" spans="7:20" ht="14.4" x14ac:dyDescent="0.25">
      <c r="G48" s="10">
        <v>413</v>
      </c>
      <c r="H48" s="9">
        <v>2791</v>
      </c>
      <c r="I48" s="14">
        <f>DATE(2012,12,31)-1179</f>
        <v>40095</v>
      </c>
      <c r="J48" s="15" t="s">
        <v>17</v>
      </c>
      <c r="K48" s="9">
        <v>47</v>
      </c>
      <c r="L48" s="16" t="s">
        <v>26</v>
      </c>
      <c r="M48" s="16">
        <f t="shared" si="3"/>
        <v>1.4798312128611737</v>
      </c>
      <c r="N48">
        <f t="shared" si="0"/>
        <v>0</v>
      </c>
      <c r="O48">
        <f t="shared" si="4"/>
        <v>0</v>
      </c>
      <c r="P48">
        <f t="shared" si="1"/>
        <v>5750</v>
      </c>
      <c r="Q48">
        <f t="shared" si="5"/>
        <v>5750</v>
      </c>
      <c r="T48" s="16">
        <f t="shared" si="6"/>
        <v>1.4798312128611733</v>
      </c>
    </row>
    <row r="49" spans="7:20" ht="14.4" x14ac:dyDescent="0.25">
      <c r="G49" s="10">
        <v>414</v>
      </c>
      <c r="H49" s="9">
        <v>2791</v>
      </c>
      <c r="I49" s="14">
        <f>DATE(2012,12,31)-1179</f>
        <v>40095</v>
      </c>
      <c r="J49" s="15" t="s">
        <v>17</v>
      </c>
      <c r="K49" s="9">
        <v>49</v>
      </c>
      <c r="L49" s="16" t="s">
        <v>29</v>
      </c>
      <c r="M49" s="16">
        <f t="shared" si="3"/>
        <v>1.6179507660996166</v>
      </c>
      <c r="N49">
        <f t="shared" si="0"/>
        <v>0</v>
      </c>
      <c r="O49">
        <f t="shared" si="4"/>
        <v>0</v>
      </c>
      <c r="P49">
        <f t="shared" si="1"/>
        <v>5850</v>
      </c>
      <c r="Q49">
        <f t="shared" si="5"/>
        <v>5850</v>
      </c>
      <c r="T49" s="16">
        <f t="shared" si="6"/>
        <v>1.6179507660996162</v>
      </c>
    </row>
    <row r="50" spans="7:20" ht="14.4" x14ac:dyDescent="0.25">
      <c r="G50" s="10">
        <v>415</v>
      </c>
      <c r="H50" s="9">
        <v>2791</v>
      </c>
      <c r="I50" s="14">
        <f>DATE(2012,12,31)-1179</f>
        <v>40095</v>
      </c>
      <c r="J50" s="15" t="s">
        <v>17</v>
      </c>
      <c r="K50" s="9">
        <v>18</v>
      </c>
      <c r="L50" s="16" t="s">
        <v>26</v>
      </c>
      <c r="M50" s="16">
        <f t="shared" si="3"/>
        <v>-0.52290230909624791</v>
      </c>
      <c r="N50">
        <f t="shared" si="0"/>
        <v>0</v>
      </c>
      <c r="O50">
        <f t="shared" si="4"/>
        <v>0</v>
      </c>
      <c r="P50">
        <f t="shared" si="1"/>
        <v>4300</v>
      </c>
      <c r="Q50">
        <f t="shared" si="5"/>
        <v>4300</v>
      </c>
      <c r="T50" s="16">
        <f t="shared" si="6"/>
        <v>-0.52290230909624835</v>
      </c>
    </row>
    <row r="51" spans="7:20" ht="14.4" x14ac:dyDescent="0.25">
      <c r="G51" s="10">
        <v>440</v>
      </c>
      <c r="H51" s="9">
        <v>2976</v>
      </c>
      <c r="I51" s="14">
        <f>DATE(2012,12,31)-753</f>
        <v>40521</v>
      </c>
      <c r="J51" s="15" t="s">
        <v>28</v>
      </c>
      <c r="K51" s="9">
        <v>30</v>
      </c>
      <c r="L51" s="16" t="s">
        <v>29</v>
      </c>
      <c r="M51" s="16">
        <f t="shared" si="3"/>
        <v>0.30581501033440933</v>
      </c>
      <c r="N51">
        <f t="shared" si="0"/>
        <v>0</v>
      </c>
      <c r="O51">
        <f t="shared" si="4"/>
        <v>0</v>
      </c>
      <c r="P51">
        <f t="shared" si="1"/>
        <v>4900</v>
      </c>
      <c r="Q51">
        <f t="shared" si="5"/>
        <v>4900</v>
      </c>
      <c r="T51" s="16">
        <f t="shared" si="6"/>
        <v>0.30581501033440894</v>
      </c>
    </row>
    <row r="52" spans="7:20" ht="14.4" x14ac:dyDescent="0.25">
      <c r="G52" s="10">
        <v>471</v>
      </c>
      <c r="H52" s="9">
        <v>3232</v>
      </c>
      <c r="I52" s="14">
        <f>DATE(2012,12,31)-84</f>
        <v>41190</v>
      </c>
      <c r="J52" s="15" t="s">
        <v>30</v>
      </c>
      <c r="K52" s="9">
        <v>5</v>
      </c>
      <c r="L52" s="16" t="s">
        <v>26</v>
      </c>
      <c r="M52" s="16">
        <f t="shared" si="3"/>
        <v>-1.4206794051461267</v>
      </c>
      <c r="N52">
        <f t="shared" si="0"/>
        <v>0</v>
      </c>
      <c r="O52">
        <f t="shared" si="4"/>
        <v>0</v>
      </c>
      <c r="P52">
        <f t="shared" si="1"/>
        <v>3650</v>
      </c>
      <c r="Q52">
        <f t="shared" si="5"/>
        <v>3650</v>
      </c>
      <c r="T52" s="16">
        <f t="shared" si="6"/>
        <v>-1.4206794051461269</v>
      </c>
    </row>
    <row r="53" spans="7:20" ht="14.4" x14ac:dyDescent="0.25">
      <c r="G53" s="10">
        <v>513</v>
      </c>
      <c r="H53" s="9">
        <v>3524</v>
      </c>
      <c r="I53" s="14">
        <f>DATE(2012,12,31)-243</f>
        <v>41031</v>
      </c>
      <c r="J53" s="15" t="s">
        <v>17</v>
      </c>
      <c r="K53" s="9">
        <v>21</v>
      </c>
      <c r="L53" s="16" t="s">
        <v>26</v>
      </c>
      <c r="M53" s="16">
        <f t="shared" si="3"/>
        <v>-0.31572297923858361</v>
      </c>
      <c r="N53">
        <f t="shared" si="0"/>
        <v>0</v>
      </c>
      <c r="O53">
        <f t="shared" si="4"/>
        <v>0</v>
      </c>
      <c r="P53">
        <f t="shared" si="1"/>
        <v>4450</v>
      </c>
      <c r="Q53">
        <f t="shared" si="5"/>
        <v>4450</v>
      </c>
      <c r="T53" s="16">
        <f t="shared" si="6"/>
        <v>-0.315722979238584</v>
      </c>
    </row>
    <row r="54" spans="7:20" ht="14.4" x14ac:dyDescent="0.25">
      <c r="G54" s="10">
        <v>577</v>
      </c>
      <c r="H54" s="9">
        <v>3908</v>
      </c>
      <c r="I54" s="14">
        <f>DATE(2012,12,31)-1029</f>
        <v>40245</v>
      </c>
      <c r="J54" s="15" t="s">
        <v>16</v>
      </c>
      <c r="K54" s="9">
        <v>8</v>
      </c>
      <c r="L54" s="16" t="s">
        <v>27</v>
      </c>
      <c r="M54" s="16">
        <f t="shared" si="3"/>
        <v>-1.2135000752884624</v>
      </c>
      <c r="N54">
        <f t="shared" si="0"/>
        <v>0</v>
      </c>
      <c r="O54">
        <f t="shared" si="4"/>
        <v>0</v>
      </c>
      <c r="P54">
        <f t="shared" si="1"/>
        <v>3800</v>
      </c>
      <c r="Q54">
        <f t="shared" si="5"/>
        <v>3800</v>
      </c>
      <c r="T54" s="16">
        <f t="shared" si="6"/>
        <v>-1.2135000752884626</v>
      </c>
    </row>
    <row r="55" spans="7:20" ht="14.4" x14ac:dyDescent="0.25">
      <c r="G55" s="10">
        <v>606</v>
      </c>
      <c r="H55" s="9">
        <v>4132</v>
      </c>
      <c r="I55" s="14">
        <f>DATE(2012,12,31)-583</f>
        <v>40691</v>
      </c>
      <c r="J55" s="15" t="s">
        <v>28</v>
      </c>
      <c r="K55" s="9">
        <v>5</v>
      </c>
      <c r="L55" s="16" t="s">
        <v>26</v>
      </c>
      <c r="M55" s="16">
        <f t="shared" si="3"/>
        <v>-1.4206794051461267</v>
      </c>
      <c r="N55">
        <f t="shared" si="0"/>
        <v>0</v>
      </c>
      <c r="O55">
        <f t="shared" si="4"/>
        <v>0</v>
      </c>
      <c r="P55">
        <f t="shared" si="1"/>
        <v>3650</v>
      </c>
      <c r="Q55">
        <f t="shared" si="5"/>
        <v>3650</v>
      </c>
      <c r="T55" s="16">
        <f t="shared" si="6"/>
        <v>-1.4206794051461269</v>
      </c>
    </row>
    <row r="56" spans="7:20" ht="14.4" x14ac:dyDescent="0.25">
      <c r="G56" s="10">
        <v>656</v>
      </c>
      <c r="H56" s="9">
        <v>4612</v>
      </c>
      <c r="I56" s="14">
        <f>DATE(2012,12,31)-834</f>
        <v>40440</v>
      </c>
      <c r="J56" s="15" t="s">
        <v>16</v>
      </c>
      <c r="K56" s="9">
        <v>9</v>
      </c>
      <c r="L56" s="16" t="s">
        <v>26</v>
      </c>
      <c r="M56" s="16">
        <f t="shared" si="3"/>
        <v>-1.1444402986692408</v>
      </c>
      <c r="N56">
        <f t="shared" si="0"/>
        <v>0</v>
      </c>
      <c r="O56">
        <f t="shared" si="4"/>
        <v>0</v>
      </c>
      <c r="P56">
        <f t="shared" si="1"/>
        <v>3850</v>
      </c>
      <c r="Q56">
        <f t="shared" si="5"/>
        <v>3850</v>
      </c>
      <c r="T56" s="16">
        <f t="shared" si="6"/>
        <v>-1.1444402986692412</v>
      </c>
    </row>
    <row r="57" spans="7:20" ht="14.4" x14ac:dyDescent="0.25">
      <c r="G57" s="10">
        <v>669</v>
      </c>
      <c r="H57" s="9">
        <v>4676</v>
      </c>
      <c r="I57" s="14">
        <f>DATE(2012,12,31)-488</f>
        <v>40786</v>
      </c>
      <c r="J57" s="15" t="s">
        <v>17</v>
      </c>
      <c r="K57" s="9">
        <v>11</v>
      </c>
      <c r="L57" s="16" t="s">
        <v>27</v>
      </c>
      <c r="M57" s="16">
        <f t="shared" si="3"/>
        <v>-1.0063207454307979</v>
      </c>
      <c r="N57">
        <f t="shared" si="0"/>
        <v>0</v>
      </c>
      <c r="O57">
        <f t="shared" si="4"/>
        <v>0</v>
      </c>
      <c r="P57">
        <f t="shared" si="1"/>
        <v>3950</v>
      </c>
      <c r="Q57">
        <f t="shared" si="5"/>
        <v>3950</v>
      </c>
      <c r="T57" s="16">
        <f t="shared" si="6"/>
        <v>-1.0063207454307983</v>
      </c>
    </row>
    <row r="58" spans="7:20" ht="14.4" x14ac:dyDescent="0.25">
      <c r="G58" s="10">
        <v>670</v>
      </c>
      <c r="H58" s="9">
        <v>4676</v>
      </c>
      <c r="I58" s="14">
        <f>DATE(2012,12,31)-488</f>
        <v>40786</v>
      </c>
      <c r="J58" s="15" t="s">
        <v>17</v>
      </c>
      <c r="K58" s="9">
        <v>50</v>
      </c>
      <c r="L58" s="16" t="s">
        <v>26</v>
      </c>
      <c r="M58" s="16">
        <f t="shared" si="3"/>
        <v>1.687010542718838</v>
      </c>
      <c r="N58">
        <f t="shared" si="0"/>
        <v>0</v>
      </c>
      <c r="O58">
        <f t="shared" si="4"/>
        <v>0</v>
      </c>
      <c r="P58">
        <f t="shared" si="1"/>
        <v>5900</v>
      </c>
      <c r="Q58">
        <f t="shared" si="5"/>
        <v>5900</v>
      </c>
      <c r="T58" s="16">
        <f t="shared" si="6"/>
        <v>1.6870105427188375</v>
      </c>
    </row>
    <row r="59" spans="7:20" ht="14.4" x14ac:dyDescent="0.25">
      <c r="G59" s="10">
        <v>671</v>
      </c>
      <c r="H59" s="9">
        <v>4676</v>
      </c>
      <c r="I59" s="14">
        <f>DATE(2012,12,31)-488</f>
        <v>40786</v>
      </c>
      <c r="J59" s="15" t="s">
        <v>17</v>
      </c>
      <c r="K59" s="9">
        <v>3</v>
      </c>
      <c r="L59" s="16" t="s">
        <v>26</v>
      </c>
      <c r="M59" s="16">
        <f t="shared" si="3"/>
        <v>-1.5587989583845694</v>
      </c>
      <c r="N59">
        <f t="shared" si="0"/>
        <v>0</v>
      </c>
      <c r="O59">
        <f t="shared" si="4"/>
        <v>0</v>
      </c>
      <c r="P59">
        <f t="shared" si="1"/>
        <v>3550</v>
      </c>
      <c r="Q59">
        <f t="shared" si="5"/>
        <v>3550</v>
      </c>
      <c r="T59" s="16">
        <f t="shared" si="6"/>
        <v>-1.5587989583845698</v>
      </c>
    </row>
    <row r="60" spans="7:20" ht="14.4" x14ac:dyDescent="0.25">
      <c r="G60" s="10">
        <v>672</v>
      </c>
      <c r="H60" s="9">
        <v>4676</v>
      </c>
      <c r="I60" s="14">
        <f>DATE(2012,12,31)-488</f>
        <v>40786</v>
      </c>
      <c r="J60" s="15" t="s">
        <v>17</v>
      </c>
      <c r="K60" s="9">
        <v>30</v>
      </c>
      <c r="L60" s="16" t="s">
        <v>27</v>
      </c>
      <c r="M60" s="16">
        <f t="shared" si="3"/>
        <v>0.30581501033440933</v>
      </c>
      <c r="N60">
        <f t="shared" si="0"/>
        <v>0</v>
      </c>
      <c r="O60">
        <f t="shared" si="4"/>
        <v>0</v>
      </c>
      <c r="P60">
        <f t="shared" si="1"/>
        <v>4900</v>
      </c>
      <c r="Q60">
        <f t="shared" si="5"/>
        <v>4900</v>
      </c>
      <c r="T60" s="16">
        <f t="shared" si="6"/>
        <v>0.30581501033440894</v>
      </c>
    </row>
    <row r="61" spans="7:20" ht="14.4" x14ac:dyDescent="0.25">
      <c r="G61" s="10">
        <v>734</v>
      </c>
      <c r="H61" s="9">
        <v>5284</v>
      </c>
      <c r="I61" s="14">
        <f>DATE(2012,12,31)-542</f>
        <v>40732</v>
      </c>
      <c r="J61" s="15" t="s">
        <v>28</v>
      </c>
      <c r="K61" s="9">
        <v>7</v>
      </c>
      <c r="L61" s="16" t="s">
        <v>26</v>
      </c>
      <c r="M61" s="16">
        <f t="shared" si="3"/>
        <v>-1.2825598519076837</v>
      </c>
      <c r="N61">
        <f t="shared" si="0"/>
        <v>0</v>
      </c>
      <c r="O61">
        <f t="shared" si="4"/>
        <v>0</v>
      </c>
      <c r="P61">
        <f t="shared" si="1"/>
        <v>3750</v>
      </c>
      <c r="Q61">
        <f t="shared" si="5"/>
        <v>3750</v>
      </c>
      <c r="T61" s="16">
        <f t="shared" si="6"/>
        <v>-1.2825598519076842</v>
      </c>
    </row>
    <row r="62" spans="7:20" ht="14.4" x14ac:dyDescent="0.25">
      <c r="G62" s="10">
        <v>735</v>
      </c>
      <c r="H62" s="9">
        <v>5316</v>
      </c>
      <c r="I62" s="14">
        <f>DATE(2012,12,31)-1431</f>
        <v>39843</v>
      </c>
      <c r="J62" s="15" t="s">
        <v>30</v>
      </c>
      <c r="K62" s="9">
        <v>42</v>
      </c>
      <c r="L62" s="16" t="s">
        <v>27</v>
      </c>
      <c r="M62" s="16">
        <f t="shared" si="3"/>
        <v>1.1345323297650665</v>
      </c>
      <c r="N62">
        <f t="shared" si="0"/>
        <v>0</v>
      </c>
      <c r="O62">
        <f t="shared" si="4"/>
        <v>0</v>
      </c>
      <c r="P62">
        <f t="shared" si="1"/>
        <v>5500</v>
      </c>
      <c r="Q62">
        <f t="shared" si="5"/>
        <v>5500</v>
      </c>
      <c r="T62" s="16">
        <f t="shared" si="6"/>
        <v>1.1345323297650662</v>
      </c>
    </row>
    <row r="63" spans="7:20" ht="14.4" x14ac:dyDescent="0.25">
      <c r="G63" s="10">
        <v>755</v>
      </c>
      <c r="H63" s="9">
        <v>5409</v>
      </c>
      <c r="I63" s="14">
        <f>DATE(2012,12,31)-358</f>
        <v>40916</v>
      </c>
      <c r="J63" s="15" t="s">
        <v>25</v>
      </c>
      <c r="K63" s="9">
        <v>11</v>
      </c>
      <c r="L63" s="16" t="s">
        <v>26</v>
      </c>
      <c r="M63" s="16">
        <f t="shared" si="3"/>
        <v>-1.0063207454307979</v>
      </c>
      <c r="N63">
        <f t="shared" si="0"/>
        <v>0</v>
      </c>
      <c r="O63">
        <f t="shared" si="4"/>
        <v>0</v>
      </c>
      <c r="P63">
        <f t="shared" si="1"/>
        <v>3950</v>
      </c>
      <c r="Q63">
        <f t="shared" si="5"/>
        <v>3950</v>
      </c>
      <c r="T63" s="16">
        <f t="shared" si="6"/>
        <v>-1.0063207454307983</v>
      </c>
    </row>
    <row r="64" spans="7:20" ht="14.4" x14ac:dyDescent="0.25">
      <c r="G64" s="10">
        <v>769</v>
      </c>
      <c r="H64" s="9">
        <v>5506</v>
      </c>
      <c r="I64" s="14">
        <f>DATE(2012,12,31)-785</f>
        <v>40489</v>
      </c>
      <c r="J64" s="15" t="s">
        <v>30</v>
      </c>
      <c r="K64" s="9">
        <v>22</v>
      </c>
      <c r="L64" s="16" t="s">
        <v>26</v>
      </c>
      <c r="M64" s="16">
        <f t="shared" si="3"/>
        <v>-0.24666320261936217</v>
      </c>
      <c r="N64">
        <f t="shared" si="0"/>
        <v>0</v>
      </c>
      <c r="O64">
        <f t="shared" si="4"/>
        <v>0</v>
      </c>
      <c r="P64">
        <f t="shared" si="1"/>
        <v>4500</v>
      </c>
      <c r="Q64">
        <f t="shared" si="5"/>
        <v>4500</v>
      </c>
      <c r="T64" s="16">
        <f t="shared" si="6"/>
        <v>-0.24666320261936256</v>
      </c>
    </row>
    <row r="65" spans="7:20" ht="14.4" x14ac:dyDescent="0.25">
      <c r="G65" s="10">
        <v>782</v>
      </c>
      <c r="H65" s="9">
        <v>5569</v>
      </c>
      <c r="I65" s="14">
        <f>DATE(2012,12,31)-977</f>
        <v>40297</v>
      </c>
      <c r="J65" s="15" t="s">
        <v>28</v>
      </c>
      <c r="K65" s="9">
        <v>12</v>
      </c>
      <c r="L65" s="16" t="s">
        <v>29</v>
      </c>
      <c r="M65" s="16">
        <f t="shared" si="3"/>
        <v>-0.9372609688115765</v>
      </c>
      <c r="N65">
        <f t="shared" si="0"/>
        <v>0</v>
      </c>
      <c r="O65">
        <f t="shared" si="4"/>
        <v>0</v>
      </c>
      <c r="P65">
        <f t="shared" si="1"/>
        <v>4000</v>
      </c>
      <c r="Q65">
        <f t="shared" si="5"/>
        <v>4000</v>
      </c>
      <c r="T65" s="16">
        <f t="shared" si="6"/>
        <v>-0.93726096881157694</v>
      </c>
    </row>
    <row r="66" spans="7:20" ht="14.4" x14ac:dyDescent="0.25">
      <c r="G66" s="10">
        <v>786</v>
      </c>
      <c r="H66" s="9">
        <v>5607</v>
      </c>
      <c r="I66" s="14">
        <f>DATE(2012,12,31)-366</f>
        <v>40908</v>
      </c>
      <c r="J66" s="15" t="s">
        <v>28</v>
      </c>
      <c r="K66" s="9">
        <v>8</v>
      </c>
      <c r="L66" s="16" t="s">
        <v>27</v>
      </c>
      <c r="M66" s="16">
        <f t="shared" si="3"/>
        <v>-1.2135000752884624</v>
      </c>
      <c r="N66">
        <f t="shared" si="0"/>
        <v>0</v>
      </c>
      <c r="O66">
        <f t="shared" si="4"/>
        <v>0</v>
      </c>
      <c r="P66">
        <f t="shared" si="1"/>
        <v>3800</v>
      </c>
      <c r="Q66">
        <f t="shared" si="5"/>
        <v>3800</v>
      </c>
      <c r="T66" s="16">
        <f t="shared" si="6"/>
        <v>-1.2135000752884626</v>
      </c>
    </row>
    <row r="67" spans="7:20" ht="14.4" x14ac:dyDescent="0.25">
      <c r="G67" s="10">
        <v>817</v>
      </c>
      <c r="H67" s="9">
        <v>5894</v>
      </c>
      <c r="I67" s="14">
        <f>DATE(2012,12,31)-1237</f>
        <v>40037</v>
      </c>
      <c r="J67" s="15" t="s">
        <v>17</v>
      </c>
      <c r="K67" s="9">
        <v>7</v>
      </c>
      <c r="L67" s="16" t="s">
        <v>26</v>
      </c>
      <c r="M67" s="16">
        <f t="shared" si="3"/>
        <v>-1.2825598519076837</v>
      </c>
      <c r="N67">
        <f t="shared" si="0"/>
        <v>0</v>
      </c>
      <c r="O67">
        <f t="shared" si="4"/>
        <v>0</v>
      </c>
      <c r="P67">
        <f t="shared" si="1"/>
        <v>3750</v>
      </c>
      <c r="Q67">
        <f t="shared" si="5"/>
        <v>3750</v>
      </c>
      <c r="T67" s="16">
        <f t="shared" si="6"/>
        <v>-1.2825598519076842</v>
      </c>
    </row>
    <row r="68" spans="7:20" ht="14.4" x14ac:dyDescent="0.25">
      <c r="G68" s="10">
        <v>818</v>
      </c>
      <c r="H68" s="9">
        <v>5894</v>
      </c>
      <c r="I68" s="14">
        <f>DATE(2012,12,31)-1237</f>
        <v>40037</v>
      </c>
      <c r="J68" s="15" t="s">
        <v>17</v>
      </c>
      <c r="K68" s="9">
        <v>3</v>
      </c>
      <c r="L68" s="16" t="s">
        <v>26</v>
      </c>
      <c r="M68" s="16">
        <f t="shared" si="3"/>
        <v>-1.5587989583845694</v>
      </c>
      <c r="N68">
        <f t="shared" si="0"/>
        <v>0</v>
      </c>
      <c r="O68">
        <f t="shared" si="4"/>
        <v>0</v>
      </c>
      <c r="P68">
        <f t="shared" si="1"/>
        <v>3550</v>
      </c>
      <c r="Q68">
        <f t="shared" si="5"/>
        <v>3550</v>
      </c>
      <c r="T68" s="16">
        <f t="shared" si="6"/>
        <v>-1.5587989583845698</v>
      </c>
    </row>
    <row r="69" spans="7:20" ht="14.4" x14ac:dyDescent="0.25">
      <c r="G69" s="10">
        <v>821</v>
      </c>
      <c r="H69" s="9">
        <v>5925</v>
      </c>
      <c r="I69" s="14">
        <f>DATE(2012,12,31)-415</f>
        <v>40859</v>
      </c>
      <c r="J69" s="15" t="s">
        <v>25</v>
      </c>
      <c r="K69" s="9">
        <v>44</v>
      </c>
      <c r="L69" s="16" t="s">
        <v>29</v>
      </c>
      <c r="M69" s="16">
        <f t="shared" si="3"/>
        <v>1.2726518830035094</v>
      </c>
      <c r="N69">
        <f t="shared" si="0"/>
        <v>0</v>
      </c>
      <c r="O69">
        <f t="shared" si="4"/>
        <v>0</v>
      </c>
      <c r="P69">
        <f t="shared" si="1"/>
        <v>5600</v>
      </c>
      <c r="Q69">
        <f t="shared" si="5"/>
        <v>5600</v>
      </c>
      <c r="T69" s="16">
        <f t="shared" si="6"/>
        <v>1.272651883003509</v>
      </c>
    </row>
    <row r="70" spans="7:20" ht="14.4" x14ac:dyDescent="0.25">
      <c r="G70" s="10">
        <v>822</v>
      </c>
      <c r="H70" s="9">
        <v>5925</v>
      </c>
      <c r="I70" s="14">
        <f>DATE(2012,12,31)-415</f>
        <v>40859</v>
      </c>
      <c r="J70" s="15" t="s">
        <v>25</v>
      </c>
      <c r="K70" s="9">
        <v>25</v>
      </c>
      <c r="L70" s="16" t="s">
        <v>27</v>
      </c>
      <c r="M70" s="16">
        <f t="shared" si="3"/>
        <v>-3.9483872761697868E-2</v>
      </c>
      <c r="N70">
        <f t="shared" si="0"/>
        <v>0</v>
      </c>
      <c r="O70">
        <f t="shared" si="4"/>
        <v>0</v>
      </c>
      <c r="P70">
        <f t="shared" si="1"/>
        <v>4650</v>
      </c>
      <c r="Q70">
        <f t="shared" si="5"/>
        <v>4650</v>
      </c>
      <c r="T70" s="16">
        <f t="shared" si="6"/>
        <v>-3.9483872761698249E-2</v>
      </c>
    </row>
    <row r="71" spans="7:20" ht="14.4" x14ac:dyDescent="0.25">
      <c r="G71" s="10">
        <v>839</v>
      </c>
      <c r="H71" s="9">
        <v>6016</v>
      </c>
      <c r="I71" s="14">
        <f>DATE(2012,12,31)-346</f>
        <v>40928</v>
      </c>
      <c r="J71" s="15" t="s">
        <v>17</v>
      </c>
      <c r="K71" s="9">
        <v>19</v>
      </c>
      <c r="L71" s="16" t="s">
        <v>26</v>
      </c>
      <c r="M71" s="16">
        <f t="shared" si="3"/>
        <v>-0.45384253247702649</v>
      </c>
      <c r="N71">
        <f t="shared" si="0"/>
        <v>0</v>
      </c>
      <c r="O71">
        <f t="shared" si="4"/>
        <v>0</v>
      </c>
      <c r="P71">
        <f t="shared" si="1"/>
        <v>4350</v>
      </c>
      <c r="Q71">
        <f t="shared" si="5"/>
        <v>4350</v>
      </c>
      <c r="T71" s="16">
        <f t="shared" si="6"/>
        <v>-0.45384253247702688</v>
      </c>
    </row>
    <row r="72" spans="7:20" ht="14.4" x14ac:dyDescent="0.25">
      <c r="G72" s="10">
        <v>853</v>
      </c>
      <c r="H72" s="9">
        <v>6116</v>
      </c>
      <c r="I72" s="14">
        <f>DATE(2012,12,31)-1382</f>
        <v>39892</v>
      </c>
      <c r="J72" s="15" t="s">
        <v>16</v>
      </c>
      <c r="K72" s="9">
        <v>6</v>
      </c>
      <c r="L72" s="16" t="s">
        <v>26</v>
      </c>
      <c r="M72" s="16">
        <f t="shared" si="3"/>
        <v>-1.3516196285269051</v>
      </c>
      <c r="N72">
        <f t="shared" si="0"/>
        <v>0</v>
      </c>
      <c r="O72">
        <f t="shared" si="4"/>
        <v>0</v>
      </c>
      <c r="P72">
        <f t="shared" si="1"/>
        <v>3700</v>
      </c>
      <c r="Q72">
        <f t="shared" si="5"/>
        <v>3700</v>
      </c>
      <c r="T72" s="16">
        <f t="shared" si="6"/>
        <v>-1.3516196285269055</v>
      </c>
    </row>
    <row r="73" spans="7:20" ht="14.4" x14ac:dyDescent="0.25">
      <c r="G73" s="10">
        <v>863</v>
      </c>
      <c r="H73" s="9">
        <v>6182</v>
      </c>
      <c r="I73" s="14">
        <f>DATE(2012,12,31)-163</f>
        <v>41111</v>
      </c>
      <c r="J73" s="15" t="s">
        <v>25</v>
      </c>
      <c r="K73" s="9">
        <v>40</v>
      </c>
      <c r="L73" s="16" t="s">
        <v>26</v>
      </c>
      <c r="M73" s="16">
        <f t="shared" si="3"/>
        <v>0.99641277652662363</v>
      </c>
      <c r="N73">
        <f t="shared" si="0"/>
        <v>0</v>
      </c>
      <c r="O73">
        <f t="shared" si="4"/>
        <v>0</v>
      </c>
      <c r="P73">
        <f t="shared" si="1"/>
        <v>5400</v>
      </c>
      <c r="Q73">
        <f t="shared" si="5"/>
        <v>5400</v>
      </c>
      <c r="T73" s="16">
        <f t="shared" si="6"/>
        <v>0.9964127765266233</v>
      </c>
    </row>
    <row r="74" spans="7:20" ht="14.4" x14ac:dyDescent="0.25">
      <c r="G74" s="10">
        <v>864</v>
      </c>
      <c r="H74" s="9">
        <v>6182</v>
      </c>
      <c r="I74" s="14">
        <f>DATE(2012,12,31)-163</f>
        <v>41111</v>
      </c>
      <c r="J74" s="15" t="s">
        <v>25</v>
      </c>
      <c r="K74" s="9">
        <v>18</v>
      </c>
      <c r="L74" s="16" t="s">
        <v>26</v>
      </c>
      <c r="M74" s="16">
        <f t="shared" si="3"/>
        <v>-0.52290230909624791</v>
      </c>
      <c r="N74">
        <f t="shared" si="0"/>
        <v>0</v>
      </c>
      <c r="O74">
        <f t="shared" si="4"/>
        <v>0</v>
      </c>
      <c r="P74">
        <f t="shared" si="1"/>
        <v>4300</v>
      </c>
      <c r="Q74">
        <f t="shared" si="5"/>
        <v>4300</v>
      </c>
      <c r="T74" s="16">
        <f t="shared" si="6"/>
        <v>-0.52290230909624835</v>
      </c>
    </row>
    <row r="75" spans="7:20" ht="14.4" x14ac:dyDescent="0.25">
      <c r="G75" s="10">
        <v>911</v>
      </c>
      <c r="H75" s="9">
        <v>6535</v>
      </c>
      <c r="I75" s="14">
        <f>DATE(2012,12,31)-202</f>
        <v>41072</v>
      </c>
      <c r="J75" s="15" t="s">
        <v>30</v>
      </c>
      <c r="K75" s="9">
        <v>11</v>
      </c>
      <c r="L75" s="16" t="s">
        <v>26</v>
      </c>
      <c r="M75" s="16">
        <f t="shared" si="3"/>
        <v>-1.0063207454307979</v>
      </c>
      <c r="N75">
        <f t="shared" si="0"/>
        <v>0</v>
      </c>
      <c r="O75">
        <f t="shared" si="4"/>
        <v>0</v>
      </c>
      <c r="P75">
        <f t="shared" si="1"/>
        <v>3950</v>
      </c>
      <c r="Q75">
        <f t="shared" si="5"/>
        <v>3950</v>
      </c>
      <c r="T75" s="16">
        <f t="shared" si="6"/>
        <v>-1.0063207454307983</v>
      </c>
    </row>
    <row r="76" spans="7:20" ht="14.4" x14ac:dyDescent="0.25">
      <c r="G76" s="10">
        <v>950</v>
      </c>
      <c r="H76" s="9">
        <v>6884</v>
      </c>
      <c r="I76" s="14">
        <f>DATE(2012,12,31)-1446</f>
        <v>39828</v>
      </c>
      <c r="J76" s="15" t="s">
        <v>25</v>
      </c>
      <c r="K76" s="9">
        <v>41</v>
      </c>
      <c r="L76" s="16" t="s">
        <v>26</v>
      </c>
      <c r="M76" s="16">
        <f t="shared" si="3"/>
        <v>1.0654725531458451</v>
      </c>
      <c r="N76">
        <f t="shared" si="0"/>
        <v>0</v>
      </c>
      <c r="O76">
        <f t="shared" si="4"/>
        <v>0</v>
      </c>
      <c r="P76">
        <f t="shared" ref="P76:P139" si="7">50*K76+$P$10</f>
        <v>5450</v>
      </c>
      <c r="Q76">
        <f t="shared" si="5"/>
        <v>5450</v>
      </c>
      <c r="T76" s="16">
        <f t="shared" si="6"/>
        <v>1.0654725531458447</v>
      </c>
    </row>
    <row r="77" spans="7:20" ht="14.4" x14ac:dyDescent="0.25">
      <c r="G77" s="10">
        <v>951</v>
      </c>
      <c r="H77" s="9">
        <v>6884</v>
      </c>
      <c r="I77" s="14">
        <f>DATE(2012,12,31)-1446</f>
        <v>39828</v>
      </c>
      <c r="J77" s="15" t="s">
        <v>25</v>
      </c>
      <c r="K77" s="9">
        <v>47</v>
      </c>
      <c r="L77" s="16" t="s">
        <v>26</v>
      </c>
      <c r="M77" s="16">
        <f t="shared" ref="M77:M140" si="8">(K77-$K$4)/$K$7</f>
        <v>1.4798312128611737</v>
      </c>
      <c r="N77">
        <f t="shared" ref="N77:N140" si="9">IF(MOD($B$20+G77,1000)=0,1,0)</f>
        <v>0</v>
      </c>
      <c r="O77">
        <f t="shared" ref="O77:O140" si="10">+ROUND(N77*(IF(K77&lt;$K$4,-4.5,10.5)*$P$5),-2)</f>
        <v>0</v>
      </c>
      <c r="P77">
        <f t="shared" si="7"/>
        <v>5750</v>
      </c>
      <c r="Q77">
        <f t="shared" ref="Q77:Q140" si="11">P77+O77</f>
        <v>5750</v>
      </c>
      <c r="T77" s="16">
        <f t="shared" ref="T77:T140" si="12">(Q77-$P$4)/$P$5</f>
        <v>1.4798312128611733</v>
      </c>
    </row>
    <row r="78" spans="7:20" ht="14.4" x14ac:dyDescent="0.25">
      <c r="G78" s="10">
        <v>956</v>
      </c>
      <c r="H78" s="9">
        <v>6916</v>
      </c>
      <c r="I78" s="14">
        <f>DATE(2012,12,31)-941</f>
        <v>40333</v>
      </c>
      <c r="J78" s="15" t="s">
        <v>25</v>
      </c>
      <c r="K78" s="9">
        <v>40</v>
      </c>
      <c r="L78" s="16" t="s">
        <v>26</v>
      </c>
      <c r="M78" s="16">
        <f t="shared" si="8"/>
        <v>0.99641277652662363</v>
      </c>
      <c r="N78">
        <f t="shared" si="9"/>
        <v>0</v>
      </c>
      <c r="O78">
        <f t="shared" si="10"/>
        <v>0</v>
      </c>
      <c r="P78">
        <f t="shared" si="7"/>
        <v>5400</v>
      </c>
      <c r="Q78">
        <f t="shared" si="11"/>
        <v>5400</v>
      </c>
      <c r="T78" s="16">
        <f t="shared" si="12"/>
        <v>0.9964127765266233</v>
      </c>
    </row>
    <row r="79" spans="7:20" ht="14.4" x14ac:dyDescent="0.25">
      <c r="G79" s="10">
        <v>963</v>
      </c>
      <c r="H79" s="9">
        <v>6980</v>
      </c>
      <c r="I79" s="14">
        <f>DATE(2012,12,31)-1047</f>
        <v>40227</v>
      </c>
      <c r="J79" s="15" t="s">
        <v>28</v>
      </c>
      <c r="K79" s="9">
        <v>18</v>
      </c>
      <c r="L79" s="16" t="s">
        <v>26</v>
      </c>
      <c r="M79" s="16">
        <f t="shared" si="8"/>
        <v>-0.52290230909624791</v>
      </c>
      <c r="N79">
        <f t="shared" si="9"/>
        <v>0</v>
      </c>
      <c r="O79">
        <f t="shared" si="10"/>
        <v>0</v>
      </c>
      <c r="P79">
        <f t="shared" si="7"/>
        <v>4300</v>
      </c>
      <c r="Q79">
        <f t="shared" si="11"/>
        <v>4300</v>
      </c>
      <c r="T79" s="16">
        <f t="shared" si="12"/>
        <v>-0.52290230909624835</v>
      </c>
    </row>
    <row r="80" spans="7:20" ht="14.4" x14ac:dyDescent="0.25">
      <c r="G80" s="10">
        <v>964</v>
      </c>
      <c r="H80" s="9">
        <v>6982</v>
      </c>
      <c r="I80" s="14">
        <f>DATE(2012,12,31)-411</f>
        <v>40863</v>
      </c>
      <c r="J80" s="15" t="s">
        <v>28</v>
      </c>
      <c r="K80" s="9">
        <v>32</v>
      </c>
      <c r="L80" s="16" t="s">
        <v>27</v>
      </c>
      <c r="M80" s="16">
        <f t="shared" si="8"/>
        <v>0.44393456357285216</v>
      </c>
      <c r="N80">
        <f t="shared" si="9"/>
        <v>0</v>
      </c>
      <c r="O80">
        <f t="shared" si="10"/>
        <v>0</v>
      </c>
      <c r="P80">
        <f t="shared" si="7"/>
        <v>5000</v>
      </c>
      <c r="Q80">
        <f t="shared" si="11"/>
        <v>5000</v>
      </c>
      <c r="T80" s="16">
        <f t="shared" si="12"/>
        <v>0.44393456357285183</v>
      </c>
    </row>
    <row r="81" spans="7:20" ht="14.4" x14ac:dyDescent="0.25">
      <c r="G81" s="10">
        <v>965</v>
      </c>
      <c r="H81" s="9">
        <v>6982</v>
      </c>
      <c r="I81" s="14">
        <f>DATE(2012,12,31)-411</f>
        <v>40863</v>
      </c>
      <c r="J81" s="15" t="s">
        <v>28</v>
      </c>
      <c r="K81" s="9">
        <v>5</v>
      </c>
      <c r="L81" s="16" t="s">
        <v>29</v>
      </c>
      <c r="M81" s="16">
        <f t="shared" si="8"/>
        <v>-1.4206794051461267</v>
      </c>
      <c r="N81">
        <f t="shared" si="9"/>
        <v>0</v>
      </c>
      <c r="O81">
        <f t="shared" si="10"/>
        <v>0</v>
      </c>
      <c r="P81">
        <f t="shared" si="7"/>
        <v>3650</v>
      </c>
      <c r="Q81">
        <f t="shared" si="11"/>
        <v>3650</v>
      </c>
      <c r="T81" s="16">
        <f t="shared" si="12"/>
        <v>-1.4206794051461269</v>
      </c>
    </row>
    <row r="82" spans="7:20" ht="14.4" x14ac:dyDescent="0.25">
      <c r="G82" s="10">
        <v>966</v>
      </c>
      <c r="H82" s="9">
        <v>6982</v>
      </c>
      <c r="I82" s="14">
        <f>DATE(2012,12,31)-411</f>
        <v>40863</v>
      </c>
      <c r="J82" s="15" t="s">
        <v>28</v>
      </c>
      <c r="K82" s="9">
        <v>41</v>
      </c>
      <c r="L82" s="16" t="s">
        <v>29</v>
      </c>
      <c r="M82" s="16">
        <f t="shared" si="8"/>
        <v>1.0654725531458451</v>
      </c>
      <c r="N82">
        <f t="shared" si="9"/>
        <v>0</v>
      </c>
      <c r="O82">
        <f t="shared" si="10"/>
        <v>0</v>
      </c>
      <c r="P82">
        <f t="shared" si="7"/>
        <v>5450</v>
      </c>
      <c r="Q82">
        <f t="shared" si="11"/>
        <v>5450</v>
      </c>
      <c r="T82" s="16">
        <f t="shared" si="12"/>
        <v>1.0654725531458447</v>
      </c>
    </row>
    <row r="83" spans="7:20" ht="14.4" x14ac:dyDescent="0.25">
      <c r="G83" s="10">
        <v>988</v>
      </c>
      <c r="H83" s="9">
        <v>7110</v>
      </c>
      <c r="I83" s="14">
        <f>DATE(2012,12,31)-512</f>
        <v>40762</v>
      </c>
      <c r="J83" s="15" t="s">
        <v>25</v>
      </c>
      <c r="K83" s="9">
        <v>22</v>
      </c>
      <c r="L83" s="16" t="s">
        <v>29</v>
      </c>
      <c r="M83" s="16">
        <f t="shared" si="8"/>
        <v>-0.24666320261936217</v>
      </c>
      <c r="N83">
        <f t="shared" si="9"/>
        <v>0</v>
      </c>
      <c r="O83">
        <f t="shared" si="10"/>
        <v>0</v>
      </c>
      <c r="P83">
        <f t="shared" si="7"/>
        <v>4500</v>
      </c>
      <c r="Q83">
        <f t="shared" si="11"/>
        <v>4500</v>
      </c>
      <c r="T83" s="16">
        <f t="shared" si="12"/>
        <v>-0.24666320261936256</v>
      </c>
    </row>
    <row r="84" spans="7:20" ht="14.4" x14ac:dyDescent="0.25">
      <c r="G84" s="10">
        <v>1017</v>
      </c>
      <c r="H84" s="9">
        <v>7430</v>
      </c>
      <c r="I84" s="14">
        <f>DATE(2012,12,31)-937</f>
        <v>40337</v>
      </c>
      <c r="J84" s="15" t="s">
        <v>16</v>
      </c>
      <c r="K84" s="9">
        <v>50</v>
      </c>
      <c r="L84" s="16" t="s">
        <v>26</v>
      </c>
      <c r="M84" s="16">
        <f t="shared" si="8"/>
        <v>1.687010542718838</v>
      </c>
      <c r="N84">
        <f t="shared" si="9"/>
        <v>0</v>
      </c>
      <c r="O84">
        <f t="shared" si="10"/>
        <v>0</v>
      </c>
      <c r="P84">
        <f t="shared" si="7"/>
        <v>5900</v>
      </c>
      <c r="Q84">
        <f t="shared" si="11"/>
        <v>5900</v>
      </c>
      <c r="T84" s="16">
        <f t="shared" si="12"/>
        <v>1.6870105427188375</v>
      </c>
    </row>
    <row r="85" spans="7:20" ht="14.4" x14ac:dyDescent="0.25">
      <c r="G85" s="10">
        <v>1073</v>
      </c>
      <c r="H85" s="9">
        <v>7906</v>
      </c>
      <c r="I85" s="14">
        <f>DATE(2012,12,31)-1171</f>
        <v>40103</v>
      </c>
      <c r="J85" s="15" t="s">
        <v>16</v>
      </c>
      <c r="K85" s="9">
        <v>37</v>
      </c>
      <c r="L85" s="16" t="s">
        <v>26</v>
      </c>
      <c r="M85" s="16">
        <f t="shared" si="8"/>
        <v>0.78923344666895934</v>
      </c>
      <c r="N85">
        <f t="shared" si="9"/>
        <v>0</v>
      </c>
      <c r="O85">
        <f t="shared" si="10"/>
        <v>0</v>
      </c>
      <c r="P85">
        <f t="shared" si="7"/>
        <v>5250</v>
      </c>
      <c r="Q85">
        <f t="shared" si="11"/>
        <v>5250</v>
      </c>
      <c r="T85" s="16">
        <f t="shared" si="12"/>
        <v>0.789233446668959</v>
      </c>
    </row>
    <row r="86" spans="7:20" ht="14.4" x14ac:dyDescent="0.25">
      <c r="G86" s="10">
        <v>1154</v>
      </c>
      <c r="H86" s="9">
        <v>8391</v>
      </c>
      <c r="I86" s="14">
        <f>DATE(2012,12,31)-491</f>
        <v>40783</v>
      </c>
      <c r="J86" s="15" t="s">
        <v>17</v>
      </c>
      <c r="K86" s="9">
        <v>4</v>
      </c>
      <c r="L86" s="16" t="s">
        <v>29</v>
      </c>
      <c r="M86" s="16">
        <f t="shared" si="8"/>
        <v>-1.489739181765348</v>
      </c>
      <c r="N86">
        <f t="shared" si="9"/>
        <v>0</v>
      </c>
      <c r="O86">
        <f t="shared" si="10"/>
        <v>0</v>
      </c>
      <c r="P86">
        <f t="shared" si="7"/>
        <v>3600</v>
      </c>
      <c r="Q86">
        <f t="shared" si="11"/>
        <v>3600</v>
      </c>
      <c r="T86" s="16">
        <f t="shared" si="12"/>
        <v>-1.4897391817653485</v>
      </c>
    </row>
    <row r="87" spans="7:20" ht="14.4" x14ac:dyDescent="0.25">
      <c r="G87" s="10">
        <v>1156</v>
      </c>
      <c r="H87" s="9">
        <v>8419</v>
      </c>
      <c r="I87" s="14">
        <f>DATE(2012,12,31)-459</f>
        <v>40815</v>
      </c>
      <c r="J87" s="15" t="s">
        <v>30</v>
      </c>
      <c r="K87" s="9">
        <v>19</v>
      </c>
      <c r="L87" s="16" t="s">
        <v>26</v>
      </c>
      <c r="M87" s="16">
        <f t="shared" si="8"/>
        <v>-0.45384253247702649</v>
      </c>
      <c r="N87">
        <f t="shared" si="9"/>
        <v>0</v>
      </c>
      <c r="O87">
        <f t="shared" si="10"/>
        <v>0</v>
      </c>
      <c r="P87">
        <f t="shared" si="7"/>
        <v>4350</v>
      </c>
      <c r="Q87">
        <f t="shared" si="11"/>
        <v>4350</v>
      </c>
      <c r="T87" s="16">
        <f t="shared" si="12"/>
        <v>-0.45384253247702688</v>
      </c>
    </row>
    <row r="88" spans="7:20" ht="14.4" x14ac:dyDescent="0.25">
      <c r="G88" s="10">
        <v>1157</v>
      </c>
      <c r="H88" s="9">
        <v>8419</v>
      </c>
      <c r="I88" s="14">
        <f>DATE(2012,12,31)-459</f>
        <v>40815</v>
      </c>
      <c r="J88" s="15" t="s">
        <v>30</v>
      </c>
      <c r="K88" s="9">
        <v>24</v>
      </c>
      <c r="L88" s="16" t="s">
        <v>26</v>
      </c>
      <c r="M88" s="16">
        <f t="shared" si="8"/>
        <v>-0.1085436493809193</v>
      </c>
      <c r="N88">
        <f t="shared" si="9"/>
        <v>0</v>
      </c>
      <c r="O88">
        <f t="shared" si="10"/>
        <v>0</v>
      </c>
      <c r="P88">
        <f t="shared" si="7"/>
        <v>4600</v>
      </c>
      <c r="Q88">
        <f t="shared" si="11"/>
        <v>4600</v>
      </c>
      <c r="T88" s="16">
        <f t="shared" si="12"/>
        <v>-0.10854364938091969</v>
      </c>
    </row>
    <row r="89" spans="7:20" ht="14.4" x14ac:dyDescent="0.25">
      <c r="G89" s="10">
        <v>1205</v>
      </c>
      <c r="H89" s="9">
        <v>8833</v>
      </c>
      <c r="I89" s="14">
        <f>DATE(2012,12,31)-241</f>
        <v>41033</v>
      </c>
      <c r="J89" s="15" t="s">
        <v>25</v>
      </c>
      <c r="K89" s="9">
        <v>40</v>
      </c>
      <c r="L89" s="16" t="s">
        <v>26</v>
      </c>
      <c r="M89" s="16">
        <f t="shared" si="8"/>
        <v>0.99641277652662363</v>
      </c>
      <c r="N89">
        <f t="shared" si="9"/>
        <v>0</v>
      </c>
      <c r="O89">
        <f t="shared" si="10"/>
        <v>0</v>
      </c>
      <c r="P89">
        <f t="shared" si="7"/>
        <v>5400</v>
      </c>
      <c r="Q89">
        <f t="shared" si="11"/>
        <v>5400</v>
      </c>
      <c r="T89" s="16">
        <f t="shared" si="12"/>
        <v>0.9964127765266233</v>
      </c>
    </row>
    <row r="90" spans="7:20" ht="14.4" x14ac:dyDescent="0.25">
      <c r="G90" s="10">
        <v>1226</v>
      </c>
      <c r="H90" s="9">
        <v>8995</v>
      </c>
      <c r="I90" s="14">
        <f>DATE(2012,12,31)-594</f>
        <v>40680</v>
      </c>
      <c r="J90" s="15" t="s">
        <v>17</v>
      </c>
      <c r="K90" s="9">
        <v>5</v>
      </c>
      <c r="L90" s="16" t="s">
        <v>26</v>
      </c>
      <c r="M90" s="16">
        <f t="shared" si="8"/>
        <v>-1.4206794051461267</v>
      </c>
      <c r="N90">
        <f t="shared" si="9"/>
        <v>0</v>
      </c>
      <c r="O90">
        <f t="shared" si="10"/>
        <v>0</v>
      </c>
      <c r="P90">
        <f t="shared" si="7"/>
        <v>3650</v>
      </c>
      <c r="Q90">
        <f t="shared" si="11"/>
        <v>3650</v>
      </c>
      <c r="T90" s="16">
        <f t="shared" si="12"/>
        <v>-1.4206794051461269</v>
      </c>
    </row>
    <row r="91" spans="7:20" ht="14.4" x14ac:dyDescent="0.25">
      <c r="G91" s="10">
        <v>1227</v>
      </c>
      <c r="H91" s="9">
        <v>8995</v>
      </c>
      <c r="I91" s="14">
        <f>DATE(2012,12,31)-594</f>
        <v>40680</v>
      </c>
      <c r="J91" s="15" t="s">
        <v>17</v>
      </c>
      <c r="K91" s="9">
        <v>41</v>
      </c>
      <c r="L91" s="16" t="s">
        <v>26</v>
      </c>
      <c r="M91" s="16">
        <f t="shared" si="8"/>
        <v>1.0654725531458451</v>
      </c>
      <c r="N91">
        <f t="shared" si="9"/>
        <v>0</v>
      </c>
      <c r="O91">
        <f t="shared" si="10"/>
        <v>0</v>
      </c>
      <c r="P91">
        <f t="shared" si="7"/>
        <v>5450</v>
      </c>
      <c r="Q91">
        <f t="shared" si="11"/>
        <v>5450</v>
      </c>
      <c r="T91" s="16">
        <f t="shared" si="12"/>
        <v>1.0654725531458447</v>
      </c>
    </row>
    <row r="92" spans="7:20" ht="14.4" x14ac:dyDescent="0.25">
      <c r="G92" s="10">
        <v>1228</v>
      </c>
      <c r="H92" s="9">
        <v>8995</v>
      </c>
      <c r="I92" s="14">
        <f>DATE(2012,12,31)-594</f>
        <v>40680</v>
      </c>
      <c r="J92" s="15" t="s">
        <v>17</v>
      </c>
      <c r="K92" s="9">
        <v>35</v>
      </c>
      <c r="L92" s="16" t="s">
        <v>29</v>
      </c>
      <c r="M92" s="16">
        <f t="shared" si="8"/>
        <v>0.65111389343051651</v>
      </c>
      <c r="N92">
        <f t="shared" si="9"/>
        <v>0</v>
      </c>
      <c r="O92">
        <f t="shared" si="10"/>
        <v>0</v>
      </c>
      <c r="P92">
        <f t="shared" si="7"/>
        <v>5150</v>
      </c>
      <c r="Q92">
        <f t="shared" si="11"/>
        <v>5150</v>
      </c>
      <c r="T92" s="16">
        <f t="shared" si="12"/>
        <v>0.65111389343051607</v>
      </c>
    </row>
    <row r="93" spans="7:20" ht="14.4" x14ac:dyDescent="0.25">
      <c r="G93" s="10">
        <v>1229</v>
      </c>
      <c r="H93" s="9">
        <v>8995</v>
      </c>
      <c r="I93" s="14">
        <f>DATE(2012,12,31)-594</f>
        <v>40680</v>
      </c>
      <c r="J93" s="15" t="s">
        <v>17</v>
      </c>
      <c r="K93" s="9">
        <v>42</v>
      </c>
      <c r="L93" s="16" t="s">
        <v>26</v>
      </c>
      <c r="M93" s="16">
        <f t="shared" si="8"/>
        <v>1.1345323297650665</v>
      </c>
      <c r="N93">
        <f t="shared" si="9"/>
        <v>0</v>
      </c>
      <c r="O93">
        <f t="shared" si="10"/>
        <v>0</v>
      </c>
      <c r="P93">
        <f t="shared" si="7"/>
        <v>5500</v>
      </c>
      <c r="Q93">
        <f t="shared" si="11"/>
        <v>5500</v>
      </c>
      <c r="T93" s="16">
        <f t="shared" si="12"/>
        <v>1.1345323297650662</v>
      </c>
    </row>
    <row r="94" spans="7:20" ht="14.4" x14ac:dyDescent="0.25">
      <c r="G94" s="10">
        <v>1230</v>
      </c>
      <c r="H94" s="9">
        <v>8995</v>
      </c>
      <c r="I94" s="14">
        <f>DATE(2012,12,31)-594</f>
        <v>40680</v>
      </c>
      <c r="J94" s="15" t="s">
        <v>17</v>
      </c>
      <c r="K94" s="9">
        <v>46</v>
      </c>
      <c r="L94" s="16" t="s">
        <v>26</v>
      </c>
      <c r="M94" s="16">
        <f t="shared" si="8"/>
        <v>1.4107714362419523</v>
      </c>
      <c r="N94">
        <f t="shared" si="9"/>
        <v>0</v>
      </c>
      <c r="O94">
        <f t="shared" si="10"/>
        <v>0</v>
      </c>
      <c r="P94">
        <f t="shared" si="7"/>
        <v>5700</v>
      </c>
      <c r="Q94">
        <f t="shared" si="11"/>
        <v>5700</v>
      </c>
      <c r="T94" s="16">
        <f t="shared" si="12"/>
        <v>1.4107714362419519</v>
      </c>
    </row>
    <row r="95" spans="7:20" ht="14.4" x14ac:dyDescent="0.25">
      <c r="G95" s="10">
        <v>1258</v>
      </c>
      <c r="H95" s="9">
        <v>9126</v>
      </c>
      <c r="I95" s="14">
        <f>DATE(2012,12,31)-1140</f>
        <v>40134</v>
      </c>
      <c r="J95" s="15" t="s">
        <v>16</v>
      </c>
      <c r="K95" s="9">
        <v>47</v>
      </c>
      <c r="L95" s="16" t="s">
        <v>26</v>
      </c>
      <c r="M95" s="16">
        <f t="shared" si="8"/>
        <v>1.4798312128611737</v>
      </c>
      <c r="N95">
        <f t="shared" si="9"/>
        <v>0</v>
      </c>
      <c r="O95">
        <f t="shared" si="10"/>
        <v>0</v>
      </c>
      <c r="P95">
        <f t="shared" si="7"/>
        <v>5750</v>
      </c>
      <c r="Q95">
        <f t="shared" si="11"/>
        <v>5750</v>
      </c>
      <c r="T95" s="16">
        <f t="shared" si="12"/>
        <v>1.4798312128611733</v>
      </c>
    </row>
    <row r="96" spans="7:20" ht="14.4" x14ac:dyDescent="0.25">
      <c r="G96" s="10">
        <v>1259</v>
      </c>
      <c r="H96" s="9">
        <v>9127</v>
      </c>
      <c r="I96" s="14">
        <f>DATE(2012,12,31)-448</f>
        <v>40826</v>
      </c>
      <c r="J96" s="15" t="s">
        <v>28</v>
      </c>
      <c r="K96" s="9">
        <v>7</v>
      </c>
      <c r="L96" s="16" t="s">
        <v>26</v>
      </c>
      <c r="M96" s="16">
        <f t="shared" si="8"/>
        <v>-1.2825598519076837</v>
      </c>
      <c r="N96">
        <f t="shared" si="9"/>
        <v>0</v>
      </c>
      <c r="O96">
        <f t="shared" si="10"/>
        <v>0</v>
      </c>
      <c r="P96">
        <f t="shared" si="7"/>
        <v>3750</v>
      </c>
      <c r="Q96">
        <f t="shared" si="11"/>
        <v>3750</v>
      </c>
      <c r="T96" s="16">
        <f t="shared" si="12"/>
        <v>-1.2825598519076842</v>
      </c>
    </row>
    <row r="97" spans="7:20" ht="14.4" x14ac:dyDescent="0.25">
      <c r="G97" s="10">
        <v>1299</v>
      </c>
      <c r="H97" s="9">
        <v>9509</v>
      </c>
      <c r="I97" s="14">
        <f>DATE(2012,12,31)-85</f>
        <v>41189</v>
      </c>
      <c r="J97" s="15" t="s">
        <v>28</v>
      </c>
      <c r="K97" s="9">
        <v>36</v>
      </c>
      <c r="L97" s="16" t="s">
        <v>29</v>
      </c>
      <c r="M97" s="16">
        <f t="shared" si="8"/>
        <v>0.72017367004973787</v>
      </c>
      <c r="N97">
        <f t="shared" si="9"/>
        <v>0</v>
      </c>
      <c r="O97">
        <f t="shared" si="10"/>
        <v>0</v>
      </c>
      <c r="P97">
        <f t="shared" si="7"/>
        <v>5200</v>
      </c>
      <c r="Q97">
        <f t="shared" si="11"/>
        <v>5200</v>
      </c>
      <c r="T97" s="16">
        <f t="shared" si="12"/>
        <v>0.72017367004973754</v>
      </c>
    </row>
    <row r="98" spans="7:20" ht="14.4" x14ac:dyDescent="0.25">
      <c r="G98" s="10">
        <v>1300</v>
      </c>
      <c r="H98" s="9">
        <v>9509</v>
      </c>
      <c r="I98" s="14">
        <f>DATE(2012,12,31)-85</f>
        <v>41189</v>
      </c>
      <c r="J98" s="15" t="s">
        <v>28</v>
      </c>
      <c r="K98" s="9">
        <v>5</v>
      </c>
      <c r="L98" s="16" t="s">
        <v>26</v>
      </c>
      <c r="M98" s="16">
        <f t="shared" si="8"/>
        <v>-1.4206794051461267</v>
      </c>
      <c r="N98">
        <f t="shared" si="9"/>
        <v>0</v>
      </c>
      <c r="O98">
        <f t="shared" si="10"/>
        <v>0</v>
      </c>
      <c r="P98">
        <f t="shared" si="7"/>
        <v>3650</v>
      </c>
      <c r="Q98">
        <f t="shared" si="11"/>
        <v>3650</v>
      </c>
      <c r="T98" s="16">
        <f t="shared" si="12"/>
        <v>-1.4206794051461269</v>
      </c>
    </row>
    <row r="99" spans="7:20" ht="14.4" x14ac:dyDescent="0.25">
      <c r="G99" s="10">
        <v>1301</v>
      </c>
      <c r="H99" s="9">
        <v>9509</v>
      </c>
      <c r="I99" s="14">
        <f>DATE(2012,12,31)-85</f>
        <v>41189</v>
      </c>
      <c r="J99" s="15" t="s">
        <v>28</v>
      </c>
      <c r="K99" s="9">
        <v>32</v>
      </c>
      <c r="L99" s="16" t="s">
        <v>26</v>
      </c>
      <c r="M99" s="16">
        <f t="shared" si="8"/>
        <v>0.44393456357285216</v>
      </c>
      <c r="N99">
        <f t="shared" si="9"/>
        <v>0</v>
      </c>
      <c r="O99">
        <f t="shared" si="10"/>
        <v>0</v>
      </c>
      <c r="P99">
        <f t="shared" si="7"/>
        <v>5000</v>
      </c>
      <c r="Q99">
        <f t="shared" si="11"/>
        <v>5000</v>
      </c>
      <c r="T99" s="16">
        <f t="shared" si="12"/>
        <v>0.44393456357285183</v>
      </c>
    </row>
    <row r="100" spans="7:20" ht="14.4" x14ac:dyDescent="0.25">
      <c r="G100" s="10">
        <v>1337</v>
      </c>
      <c r="H100" s="9">
        <v>9763</v>
      </c>
      <c r="I100" s="14">
        <f>DATE(2012,12,31)-506</f>
        <v>40768</v>
      </c>
      <c r="J100" s="15" t="s">
        <v>16</v>
      </c>
      <c r="K100" s="9">
        <v>44</v>
      </c>
      <c r="L100" s="16" t="s">
        <v>26</v>
      </c>
      <c r="M100" s="16">
        <f t="shared" si="8"/>
        <v>1.2726518830035094</v>
      </c>
      <c r="N100">
        <f t="shared" si="9"/>
        <v>0</v>
      </c>
      <c r="O100">
        <f t="shared" si="10"/>
        <v>0</v>
      </c>
      <c r="P100">
        <f t="shared" si="7"/>
        <v>5600</v>
      </c>
      <c r="Q100">
        <f t="shared" si="11"/>
        <v>5600</v>
      </c>
      <c r="T100" s="16">
        <f t="shared" si="12"/>
        <v>1.272651883003509</v>
      </c>
    </row>
    <row r="101" spans="7:20" ht="14.4" x14ac:dyDescent="0.25">
      <c r="G101" s="10">
        <v>1370</v>
      </c>
      <c r="H101" s="9">
        <v>9927</v>
      </c>
      <c r="I101" s="14">
        <f>DATE(2012,12,31)-503</f>
        <v>40771</v>
      </c>
      <c r="J101" s="15" t="s">
        <v>17</v>
      </c>
      <c r="K101" s="9">
        <v>32</v>
      </c>
      <c r="L101" s="16" t="s">
        <v>29</v>
      </c>
      <c r="M101" s="16">
        <f t="shared" si="8"/>
        <v>0.44393456357285216</v>
      </c>
      <c r="N101">
        <f t="shared" si="9"/>
        <v>0</v>
      </c>
      <c r="O101">
        <f t="shared" si="10"/>
        <v>0</v>
      </c>
      <c r="P101">
        <f t="shared" si="7"/>
        <v>5000</v>
      </c>
      <c r="Q101">
        <f t="shared" si="11"/>
        <v>5000</v>
      </c>
      <c r="T101" s="16">
        <f t="shared" si="12"/>
        <v>0.44393456357285183</v>
      </c>
    </row>
    <row r="102" spans="7:20" ht="14.4" x14ac:dyDescent="0.25">
      <c r="G102" s="10">
        <v>1371</v>
      </c>
      <c r="H102" s="9">
        <v>9927</v>
      </c>
      <c r="I102" s="14">
        <f>DATE(2012,12,31)-503</f>
        <v>40771</v>
      </c>
      <c r="J102" s="15" t="s">
        <v>17</v>
      </c>
      <c r="K102" s="9">
        <v>44</v>
      </c>
      <c r="L102" s="16" t="s">
        <v>29</v>
      </c>
      <c r="M102" s="16">
        <f t="shared" si="8"/>
        <v>1.2726518830035094</v>
      </c>
      <c r="N102">
        <f t="shared" si="9"/>
        <v>0</v>
      </c>
      <c r="O102">
        <f t="shared" si="10"/>
        <v>0</v>
      </c>
      <c r="P102">
        <f t="shared" si="7"/>
        <v>5600</v>
      </c>
      <c r="Q102">
        <f t="shared" si="11"/>
        <v>5600</v>
      </c>
      <c r="T102" s="16">
        <f t="shared" si="12"/>
        <v>1.272651883003509</v>
      </c>
    </row>
    <row r="103" spans="7:20" ht="14.4" x14ac:dyDescent="0.25">
      <c r="G103" s="10">
        <v>1372</v>
      </c>
      <c r="H103" s="9">
        <v>9927</v>
      </c>
      <c r="I103" s="14">
        <f>DATE(2012,12,31)-503</f>
        <v>40771</v>
      </c>
      <c r="J103" s="15" t="s">
        <v>17</v>
      </c>
      <c r="K103" s="9">
        <v>34</v>
      </c>
      <c r="L103" s="16" t="s">
        <v>27</v>
      </c>
      <c r="M103" s="16">
        <f t="shared" si="8"/>
        <v>0.58205411681129504</v>
      </c>
      <c r="N103">
        <f t="shared" si="9"/>
        <v>0</v>
      </c>
      <c r="O103">
        <f t="shared" si="10"/>
        <v>0</v>
      </c>
      <c r="P103">
        <f t="shared" si="7"/>
        <v>5100</v>
      </c>
      <c r="Q103">
        <f t="shared" si="11"/>
        <v>5100</v>
      </c>
      <c r="T103" s="16">
        <f t="shared" si="12"/>
        <v>0.58205411681129471</v>
      </c>
    </row>
    <row r="104" spans="7:20" ht="14.4" x14ac:dyDescent="0.25">
      <c r="G104" s="10">
        <v>1380</v>
      </c>
      <c r="H104" s="9">
        <v>10022</v>
      </c>
      <c r="I104" s="14">
        <f>DATE(2012,12,31)-1398</f>
        <v>39876</v>
      </c>
      <c r="J104" s="15" t="s">
        <v>25</v>
      </c>
      <c r="K104" s="9">
        <v>1</v>
      </c>
      <c r="L104" s="16" t="s">
        <v>26</v>
      </c>
      <c r="M104" s="16">
        <f t="shared" si="8"/>
        <v>-1.6969185116230123</v>
      </c>
      <c r="N104">
        <f t="shared" si="9"/>
        <v>0</v>
      </c>
      <c r="O104">
        <f t="shared" si="10"/>
        <v>0</v>
      </c>
      <c r="P104">
        <f t="shared" si="7"/>
        <v>3450</v>
      </c>
      <c r="Q104">
        <f t="shared" si="11"/>
        <v>3450</v>
      </c>
      <c r="T104" s="16">
        <f t="shared" si="12"/>
        <v>-1.6969185116230128</v>
      </c>
    </row>
    <row r="105" spans="7:20" ht="14.4" x14ac:dyDescent="0.25">
      <c r="G105" s="10">
        <v>1445</v>
      </c>
      <c r="H105" s="9">
        <v>10437</v>
      </c>
      <c r="I105" s="14">
        <f>DATE(2012,12,31)-1231</f>
        <v>40043</v>
      </c>
      <c r="J105" s="15" t="s">
        <v>30</v>
      </c>
      <c r="K105" s="9">
        <v>50</v>
      </c>
      <c r="L105" s="16" t="s">
        <v>26</v>
      </c>
      <c r="M105" s="16">
        <f t="shared" si="8"/>
        <v>1.687010542718838</v>
      </c>
      <c r="N105">
        <f t="shared" si="9"/>
        <v>0</v>
      </c>
      <c r="O105">
        <f t="shared" si="10"/>
        <v>0</v>
      </c>
      <c r="P105">
        <f t="shared" si="7"/>
        <v>5900</v>
      </c>
      <c r="Q105">
        <f t="shared" si="11"/>
        <v>5900</v>
      </c>
      <c r="T105" s="16">
        <f t="shared" si="12"/>
        <v>1.6870105427188375</v>
      </c>
    </row>
    <row r="106" spans="7:20" ht="14.4" x14ac:dyDescent="0.25">
      <c r="G106" s="10">
        <v>1457</v>
      </c>
      <c r="H106" s="9">
        <v>10499</v>
      </c>
      <c r="I106" s="14">
        <f>DATE(2012,12,31)-776</f>
        <v>40498</v>
      </c>
      <c r="J106" s="15" t="s">
        <v>28</v>
      </c>
      <c r="K106" s="9">
        <v>29</v>
      </c>
      <c r="L106" s="16" t="s">
        <v>29</v>
      </c>
      <c r="M106" s="16">
        <f t="shared" si="8"/>
        <v>0.23675523371518786</v>
      </c>
      <c r="N106">
        <f t="shared" si="9"/>
        <v>0</v>
      </c>
      <c r="O106">
        <f t="shared" si="10"/>
        <v>0</v>
      </c>
      <c r="P106">
        <f t="shared" si="7"/>
        <v>4850</v>
      </c>
      <c r="Q106">
        <f t="shared" si="11"/>
        <v>4850</v>
      </c>
      <c r="T106" s="16">
        <f t="shared" si="12"/>
        <v>0.2367552337151875</v>
      </c>
    </row>
    <row r="107" spans="7:20" ht="14.4" x14ac:dyDescent="0.25">
      <c r="G107" s="10">
        <v>1462</v>
      </c>
      <c r="H107" s="9">
        <v>10535</v>
      </c>
      <c r="I107" s="14">
        <f>DATE(2012,12,31)-584</f>
        <v>40690</v>
      </c>
      <c r="J107" s="15" t="s">
        <v>25</v>
      </c>
      <c r="K107" s="9">
        <v>25</v>
      </c>
      <c r="L107" s="16" t="s">
        <v>29</v>
      </c>
      <c r="M107" s="16">
        <f t="shared" si="8"/>
        <v>-3.9483872761697868E-2</v>
      </c>
      <c r="N107">
        <f t="shared" si="9"/>
        <v>0</v>
      </c>
      <c r="O107">
        <f t="shared" si="10"/>
        <v>0</v>
      </c>
      <c r="P107">
        <f t="shared" si="7"/>
        <v>4650</v>
      </c>
      <c r="Q107">
        <f t="shared" si="11"/>
        <v>4650</v>
      </c>
      <c r="T107" s="16">
        <f t="shared" si="12"/>
        <v>-3.9483872761698249E-2</v>
      </c>
    </row>
    <row r="108" spans="7:20" ht="14.4" x14ac:dyDescent="0.25">
      <c r="G108" s="10">
        <v>1463</v>
      </c>
      <c r="H108" s="9">
        <v>10535</v>
      </c>
      <c r="I108" s="14">
        <f>DATE(2012,12,31)-584</f>
        <v>40690</v>
      </c>
      <c r="J108" s="15" t="s">
        <v>25</v>
      </c>
      <c r="K108" s="9">
        <v>46</v>
      </c>
      <c r="L108" s="16" t="s">
        <v>26</v>
      </c>
      <c r="M108" s="16">
        <f t="shared" si="8"/>
        <v>1.4107714362419523</v>
      </c>
      <c r="N108">
        <f t="shared" si="9"/>
        <v>0</v>
      </c>
      <c r="O108">
        <f t="shared" si="10"/>
        <v>0</v>
      </c>
      <c r="P108">
        <f t="shared" si="7"/>
        <v>5700</v>
      </c>
      <c r="Q108">
        <f t="shared" si="11"/>
        <v>5700</v>
      </c>
      <c r="T108" s="16">
        <f t="shared" si="12"/>
        <v>1.4107714362419519</v>
      </c>
    </row>
    <row r="109" spans="7:20" ht="14.4" x14ac:dyDescent="0.25">
      <c r="G109" s="10">
        <v>1495</v>
      </c>
      <c r="H109" s="9">
        <v>10789</v>
      </c>
      <c r="I109" s="14">
        <f>DATE(2012,12,31)-861</f>
        <v>40413</v>
      </c>
      <c r="J109" s="15" t="s">
        <v>28</v>
      </c>
      <c r="K109" s="9">
        <v>15</v>
      </c>
      <c r="L109" s="16" t="s">
        <v>26</v>
      </c>
      <c r="M109" s="16">
        <f t="shared" si="8"/>
        <v>-0.7300816389539122</v>
      </c>
      <c r="N109">
        <f t="shared" si="9"/>
        <v>0</v>
      </c>
      <c r="O109">
        <f t="shared" si="10"/>
        <v>0</v>
      </c>
      <c r="P109">
        <f t="shared" si="7"/>
        <v>4150</v>
      </c>
      <c r="Q109">
        <f t="shared" si="11"/>
        <v>4150</v>
      </c>
      <c r="T109" s="16">
        <f t="shared" si="12"/>
        <v>-0.73008163895391265</v>
      </c>
    </row>
    <row r="110" spans="7:20" ht="14.4" x14ac:dyDescent="0.25">
      <c r="G110" s="10">
        <v>1496</v>
      </c>
      <c r="H110" s="9">
        <v>10791</v>
      </c>
      <c r="I110" s="14">
        <f>DATE(2012,12,31)-500</f>
        <v>40774</v>
      </c>
      <c r="J110" s="15" t="s">
        <v>28</v>
      </c>
      <c r="K110" s="9">
        <v>20</v>
      </c>
      <c r="L110" s="16" t="s">
        <v>26</v>
      </c>
      <c r="M110" s="16">
        <f t="shared" si="8"/>
        <v>-0.38478275585780503</v>
      </c>
      <c r="N110">
        <f t="shared" si="9"/>
        <v>0</v>
      </c>
      <c r="O110">
        <f t="shared" si="10"/>
        <v>0</v>
      </c>
      <c r="P110">
        <f t="shared" si="7"/>
        <v>4400</v>
      </c>
      <c r="Q110">
        <f t="shared" si="11"/>
        <v>4400</v>
      </c>
      <c r="T110" s="16">
        <f t="shared" si="12"/>
        <v>-0.38478275585780541</v>
      </c>
    </row>
    <row r="111" spans="7:20" ht="14.4" x14ac:dyDescent="0.25">
      <c r="G111" s="10">
        <v>1513</v>
      </c>
      <c r="H111" s="9">
        <v>10945</v>
      </c>
      <c r="I111" s="14">
        <f>DATE(2012,12,31)-363</f>
        <v>40911</v>
      </c>
      <c r="J111" s="15" t="s">
        <v>16</v>
      </c>
      <c r="K111" s="9">
        <v>14</v>
      </c>
      <c r="L111" s="16" t="s">
        <v>27</v>
      </c>
      <c r="M111" s="16">
        <f t="shared" si="8"/>
        <v>-0.79914141557313367</v>
      </c>
      <c r="N111">
        <f t="shared" si="9"/>
        <v>0</v>
      </c>
      <c r="O111">
        <f t="shared" si="10"/>
        <v>0</v>
      </c>
      <c r="P111">
        <f t="shared" si="7"/>
        <v>4100</v>
      </c>
      <c r="Q111">
        <f t="shared" si="11"/>
        <v>4100</v>
      </c>
      <c r="T111" s="16">
        <f t="shared" si="12"/>
        <v>-0.79914141557313401</v>
      </c>
    </row>
    <row r="112" spans="7:20" ht="14.4" x14ac:dyDescent="0.25">
      <c r="G112" s="10">
        <v>1544</v>
      </c>
      <c r="H112" s="9">
        <v>11137</v>
      </c>
      <c r="I112" s="14">
        <f>DATE(2012,12,31)-32</f>
        <v>41242</v>
      </c>
      <c r="J112" s="15" t="s">
        <v>17</v>
      </c>
      <c r="K112" s="9">
        <v>48</v>
      </c>
      <c r="L112" s="16" t="s">
        <v>26</v>
      </c>
      <c r="M112" s="16">
        <f t="shared" si="8"/>
        <v>1.5488909894803951</v>
      </c>
      <c r="N112">
        <f t="shared" si="9"/>
        <v>0</v>
      </c>
      <c r="O112">
        <f t="shared" si="10"/>
        <v>0</v>
      </c>
      <c r="P112">
        <f t="shared" si="7"/>
        <v>5800</v>
      </c>
      <c r="Q112">
        <f t="shared" si="11"/>
        <v>5800</v>
      </c>
      <c r="T112" s="16">
        <f t="shared" si="12"/>
        <v>1.5488909894803948</v>
      </c>
    </row>
    <row r="113" spans="7:20" ht="14.4" x14ac:dyDescent="0.25">
      <c r="G113" s="10">
        <v>1551</v>
      </c>
      <c r="H113" s="9">
        <v>11202</v>
      </c>
      <c r="I113" s="14">
        <f>DATE(2012,12,31)-289</f>
        <v>40985</v>
      </c>
      <c r="J113" s="15" t="s">
        <v>16</v>
      </c>
      <c r="K113" s="9">
        <v>8</v>
      </c>
      <c r="L113" s="16" t="s">
        <v>26</v>
      </c>
      <c r="M113" s="16">
        <f t="shared" si="8"/>
        <v>-1.2135000752884624</v>
      </c>
      <c r="N113">
        <f t="shared" si="9"/>
        <v>0</v>
      </c>
      <c r="O113">
        <f t="shared" si="10"/>
        <v>0</v>
      </c>
      <c r="P113">
        <f t="shared" si="7"/>
        <v>3800</v>
      </c>
      <c r="Q113">
        <f t="shared" si="11"/>
        <v>3800</v>
      </c>
      <c r="T113" s="16">
        <f t="shared" si="12"/>
        <v>-1.2135000752884626</v>
      </c>
    </row>
    <row r="114" spans="7:20" ht="14.4" x14ac:dyDescent="0.25">
      <c r="G114" s="10">
        <v>1589</v>
      </c>
      <c r="H114" s="9">
        <v>11456</v>
      </c>
      <c r="I114" s="14">
        <f>DATE(2012,12,31)-994</f>
        <v>40280</v>
      </c>
      <c r="J114" s="15" t="s">
        <v>25</v>
      </c>
      <c r="K114" s="9">
        <v>15</v>
      </c>
      <c r="L114" s="16" t="s">
        <v>29</v>
      </c>
      <c r="M114" s="16">
        <f t="shared" si="8"/>
        <v>-0.7300816389539122</v>
      </c>
      <c r="N114">
        <f t="shared" si="9"/>
        <v>0</v>
      </c>
      <c r="O114">
        <f t="shared" si="10"/>
        <v>0</v>
      </c>
      <c r="P114">
        <f t="shared" si="7"/>
        <v>4150</v>
      </c>
      <c r="Q114">
        <f t="shared" si="11"/>
        <v>4150</v>
      </c>
      <c r="T114" s="16">
        <f t="shared" si="12"/>
        <v>-0.73008163895391265</v>
      </c>
    </row>
    <row r="115" spans="7:20" ht="14.4" x14ac:dyDescent="0.25">
      <c r="G115" s="10">
        <v>1590</v>
      </c>
      <c r="H115" s="9">
        <v>11460</v>
      </c>
      <c r="I115" s="14">
        <f>DATE(2012,12,31)-860</f>
        <v>40414</v>
      </c>
      <c r="J115" s="15" t="s">
        <v>17</v>
      </c>
      <c r="K115" s="9">
        <v>30</v>
      </c>
      <c r="L115" s="16" t="s">
        <v>26</v>
      </c>
      <c r="M115" s="16">
        <f t="shared" si="8"/>
        <v>0.30581501033440933</v>
      </c>
      <c r="N115">
        <f t="shared" si="9"/>
        <v>0</v>
      </c>
      <c r="O115">
        <f t="shared" si="10"/>
        <v>0</v>
      </c>
      <c r="P115">
        <f t="shared" si="7"/>
        <v>4900</v>
      </c>
      <c r="Q115">
        <f t="shared" si="11"/>
        <v>4900</v>
      </c>
      <c r="T115" s="16">
        <f t="shared" si="12"/>
        <v>0.30581501033440894</v>
      </c>
    </row>
    <row r="116" spans="7:20" ht="14.4" x14ac:dyDescent="0.25">
      <c r="G116" s="10">
        <v>1594</v>
      </c>
      <c r="H116" s="9">
        <v>11495</v>
      </c>
      <c r="I116" s="14">
        <f>DATE(2012,12,31)-546</f>
        <v>40728</v>
      </c>
      <c r="J116" s="15" t="s">
        <v>17</v>
      </c>
      <c r="K116" s="9">
        <v>6</v>
      </c>
      <c r="L116" s="16" t="s">
        <v>29</v>
      </c>
      <c r="M116" s="16">
        <f t="shared" si="8"/>
        <v>-1.3516196285269051</v>
      </c>
      <c r="N116">
        <f t="shared" si="9"/>
        <v>0</v>
      </c>
      <c r="O116">
        <f t="shared" si="10"/>
        <v>0</v>
      </c>
      <c r="P116">
        <f t="shared" si="7"/>
        <v>3700</v>
      </c>
      <c r="Q116">
        <f t="shared" si="11"/>
        <v>3700</v>
      </c>
      <c r="T116" s="16">
        <f t="shared" si="12"/>
        <v>-1.3516196285269055</v>
      </c>
    </row>
    <row r="117" spans="7:20" ht="14.4" x14ac:dyDescent="0.25">
      <c r="G117" s="10">
        <v>1654</v>
      </c>
      <c r="H117" s="9">
        <v>11911</v>
      </c>
      <c r="I117" s="14">
        <f>DATE(2012,12,31)-782</f>
        <v>40492</v>
      </c>
      <c r="J117" s="15" t="s">
        <v>30</v>
      </c>
      <c r="K117" s="9">
        <v>25</v>
      </c>
      <c r="L117" s="16" t="s">
        <v>26</v>
      </c>
      <c r="M117" s="16">
        <f t="shared" si="8"/>
        <v>-3.9483872761697868E-2</v>
      </c>
      <c r="N117">
        <f t="shared" si="9"/>
        <v>0</v>
      </c>
      <c r="O117">
        <f t="shared" si="10"/>
        <v>0</v>
      </c>
      <c r="P117">
        <f t="shared" si="7"/>
        <v>4650</v>
      </c>
      <c r="Q117">
        <f t="shared" si="11"/>
        <v>4650</v>
      </c>
      <c r="T117" s="16">
        <f t="shared" si="12"/>
        <v>-3.9483872761698249E-2</v>
      </c>
    </row>
    <row r="118" spans="7:20" ht="14.4" x14ac:dyDescent="0.25">
      <c r="G118" s="10">
        <v>1655</v>
      </c>
      <c r="H118" s="9">
        <v>11941</v>
      </c>
      <c r="I118" s="14">
        <f>DATE(2012,12,31)-921</f>
        <v>40353</v>
      </c>
      <c r="J118" s="15" t="s">
        <v>30</v>
      </c>
      <c r="K118" s="9">
        <v>4</v>
      </c>
      <c r="L118" s="16" t="s">
        <v>26</v>
      </c>
      <c r="M118" s="16">
        <f t="shared" si="8"/>
        <v>-1.489739181765348</v>
      </c>
      <c r="N118">
        <f t="shared" si="9"/>
        <v>0</v>
      </c>
      <c r="O118">
        <f t="shared" si="10"/>
        <v>0</v>
      </c>
      <c r="P118">
        <f t="shared" si="7"/>
        <v>3600</v>
      </c>
      <c r="Q118">
        <f t="shared" si="11"/>
        <v>3600</v>
      </c>
      <c r="T118" s="16">
        <f t="shared" si="12"/>
        <v>-1.4897391817653485</v>
      </c>
    </row>
    <row r="119" spans="7:20" ht="14.4" x14ac:dyDescent="0.25">
      <c r="G119" s="10">
        <v>1656</v>
      </c>
      <c r="H119" s="9">
        <v>11941</v>
      </c>
      <c r="I119" s="14">
        <f>DATE(2012,12,31)-921</f>
        <v>40353</v>
      </c>
      <c r="J119" s="15" t="s">
        <v>30</v>
      </c>
      <c r="K119" s="9">
        <v>26</v>
      </c>
      <c r="L119" s="16" t="s">
        <v>29</v>
      </c>
      <c r="M119" s="16">
        <f t="shared" si="8"/>
        <v>2.9575903857523567E-2</v>
      </c>
      <c r="N119">
        <f t="shared" si="9"/>
        <v>0</v>
      </c>
      <c r="O119">
        <f t="shared" si="10"/>
        <v>0</v>
      </c>
      <c r="P119">
        <f t="shared" si="7"/>
        <v>4700</v>
      </c>
      <c r="Q119">
        <f t="shared" si="11"/>
        <v>4700</v>
      </c>
      <c r="T119" s="16">
        <f t="shared" si="12"/>
        <v>2.9575903857523185E-2</v>
      </c>
    </row>
    <row r="120" spans="7:20" ht="14.4" x14ac:dyDescent="0.25">
      <c r="G120" s="10">
        <v>1675</v>
      </c>
      <c r="H120" s="9">
        <v>12096</v>
      </c>
      <c r="I120" s="14">
        <f>DATE(2012,12,31)-103</f>
        <v>41171</v>
      </c>
      <c r="J120" s="15" t="s">
        <v>16</v>
      </c>
      <c r="K120" s="9">
        <v>46</v>
      </c>
      <c r="L120" s="16" t="s">
        <v>27</v>
      </c>
      <c r="M120" s="16">
        <f t="shared" si="8"/>
        <v>1.4107714362419523</v>
      </c>
      <c r="N120">
        <f t="shared" si="9"/>
        <v>0</v>
      </c>
      <c r="O120">
        <f t="shared" si="10"/>
        <v>0</v>
      </c>
      <c r="P120">
        <f t="shared" si="7"/>
        <v>5700</v>
      </c>
      <c r="Q120">
        <f t="shared" si="11"/>
        <v>5700</v>
      </c>
      <c r="T120" s="16">
        <f t="shared" si="12"/>
        <v>1.4107714362419519</v>
      </c>
    </row>
    <row r="121" spans="7:20" ht="14.4" x14ac:dyDescent="0.25">
      <c r="G121" s="10">
        <v>1676</v>
      </c>
      <c r="H121" s="9">
        <v>12096</v>
      </c>
      <c r="I121" s="14">
        <f>DATE(2012,12,31)-103</f>
        <v>41171</v>
      </c>
      <c r="J121" s="15" t="s">
        <v>16</v>
      </c>
      <c r="K121" s="9">
        <v>23</v>
      </c>
      <c r="L121" s="16" t="s">
        <v>29</v>
      </c>
      <c r="M121" s="16">
        <f t="shared" si="8"/>
        <v>-0.17760342600014073</v>
      </c>
      <c r="N121">
        <f t="shared" si="9"/>
        <v>0</v>
      </c>
      <c r="O121">
        <f t="shared" si="10"/>
        <v>0</v>
      </c>
      <c r="P121">
        <f t="shared" si="7"/>
        <v>4550</v>
      </c>
      <c r="Q121">
        <f t="shared" si="11"/>
        <v>4550</v>
      </c>
      <c r="T121" s="16">
        <f t="shared" si="12"/>
        <v>-0.17760342600014112</v>
      </c>
    </row>
    <row r="122" spans="7:20" ht="14.4" x14ac:dyDescent="0.25">
      <c r="G122" s="10">
        <v>1710</v>
      </c>
      <c r="H122" s="9">
        <v>12289</v>
      </c>
      <c r="I122" s="14">
        <f>DATE(2012,12,31)-373</f>
        <v>40901</v>
      </c>
      <c r="J122" s="15" t="s">
        <v>25</v>
      </c>
      <c r="K122" s="9">
        <v>25</v>
      </c>
      <c r="L122" s="16" t="s">
        <v>27</v>
      </c>
      <c r="M122" s="16">
        <f t="shared" si="8"/>
        <v>-3.9483872761697868E-2</v>
      </c>
      <c r="N122">
        <f t="shared" si="9"/>
        <v>0</v>
      </c>
      <c r="O122">
        <f t="shared" si="10"/>
        <v>0</v>
      </c>
      <c r="P122">
        <f t="shared" si="7"/>
        <v>4650</v>
      </c>
      <c r="Q122">
        <f t="shared" si="11"/>
        <v>4650</v>
      </c>
      <c r="T122" s="16">
        <f t="shared" si="12"/>
        <v>-3.9483872761698249E-2</v>
      </c>
    </row>
    <row r="123" spans="7:20" ht="14.4" x14ac:dyDescent="0.25">
      <c r="G123" s="10">
        <v>1718</v>
      </c>
      <c r="H123" s="9">
        <v>12352</v>
      </c>
      <c r="I123" s="14">
        <f>DATE(2012,12,31)-283</f>
        <v>40991</v>
      </c>
      <c r="J123" s="15" t="s">
        <v>16</v>
      </c>
      <c r="K123" s="9">
        <v>5</v>
      </c>
      <c r="L123" s="16" t="s">
        <v>26</v>
      </c>
      <c r="M123" s="16">
        <f t="shared" si="8"/>
        <v>-1.4206794051461267</v>
      </c>
      <c r="N123">
        <f t="shared" si="9"/>
        <v>0</v>
      </c>
      <c r="O123">
        <f t="shared" si="10"/>
        <v>0</v>
      </c>
      <c r="P123">
        <f t="shared" si="7"/>
        <v>3650</v>
      </c>
      <c r="Q123">
        <f t="shared" si="11"/>
        <v>3650</v>
      </c>
      <c r="T123" s="16">
        <f t="shared" si="12"/>
        <v>-1.4206794051461269</v>
      </c>
    </row>
    <row r="124" spans="7:20" ht="14.4" x14ac:dyDescent="0.25">
      <c r="G124" s="10">
        <v>1727</v>
      </c>
      <c r="H124" s="9">
        <v>12419</v>
      </c>
      <c r="I124" s="14">
        <f>DATE(2012,12,31)-443</f>
        <v>40831</v>
      </c>
      <c r="J124" s="15" t="s">
        <v>30</v>
      </c>
      <c r="K124" s="9">
        <v>12</v>
      </c>
      <c r="L124" s="16" t="s">
        <v>27</v>
      </c>
      <c r="M124" s="16">
        <f t="shared" si="8"/>
        <v>-0.9372609688115765</v>
      </c>
      <c r="N124">
        <f t="shared" si="9"/>
        <v>0</v>
      </c>
      <c r="O124">
        <f t="shared" si="10"/>
        <v>0</v>
      </c>
      <c r="P124">
        <f t="shared" si="7"/>
        <v>4000</v>
      </c>
      <c r="Q124">
        <f t="shared" si="11"/>
        <v>4000</v>
      </c>
      <c r="T124" s="16">
        <f t="shared" si="12"/>
        <v>-0.93726096881157694</v>
      </c>
    </row>
    <row r="125" spans="7:20" ht="14.4" x14ac:dyDescent="0.25">
      <c r="G125" s="10">
        <v>1745</v>
      </c>
      <c r="H125" s="9">
        <v>12485</v>
      </c>
      <c r="I125" s="14">
        <f>DATE(2012,12,31)-877</f>
        <v>40397</v>
      </c>
      <c r="J125" s="15" t="s">
        <v>30</v>
      </c>
      <c r="K125" s="9">
        <v>24</v>
      </c>
      <c r="L125" s="16" t="s">
        <v>29</v>
      </c>
      <c r="M125" s="16">
        <f t="shared" si="8"/>
        <v>-0.1085436493809193</v>
      </c>
      <c r="N125">
        <f t="shared" si="9"/>
        <v>0</v>
      </c>
      <c r="O125">
        <f t="shared" si="10"/>
        <v>0</v>
      </c>
      <c r="P125">
        <f t="shared" si="7"/>
        <v>4600</v>
      </c>
      <c r="Q125">
        <f t="shared" si="11"/>
        <v>4600</v>
      </c>
      <c r="T125" s="16">
        <f t="shared" si="12"/>
        <v>-0.10854364938091969</v>
      </c>
    </row>
    <row r="126" spans="7:20" ht="14.4" x14ac:dyDescent="0.25">
      <c r="G126" s="10">
        <v>1751</v>
      </c>
      <c r="H126" s="9">
        <v>12544</v>
      </c>
      <c r="I126" s="14">
        <f>DATE(2012,12,31)-1399</f>
        <v>39875</v>
      </c>
      <c r="J126" s="15" t="s">
        <v>25</v>
      </c>
      <c r="K126" s="9">
        <v>34</v>
      </c>
      <c r="L126" s="16" t="s">
        <v>29</v>
      </c>
      <c r="M126" s="16">
        <f t="shared" si="8"/>
        <v>0.58205411681129504</v>
      </c>
      <c r="N126">
        <f t="shared" si="9"/>
        <v>0</v>
      </c>
      <c r="O126">
        <f t="shared" si="10"/>
        <v>0</v>
      </c>
      <c r="P126">
        <f t="shared" si="7"/>
        <v>5100</v>
      </c>
      <c r="Q126">
        <f t="shared" si="11"/>
        <v>5100</v>
      </c>
      <c r="T126" s="16">
        <f t="shared" si="12"/>
        <v>0.58205411681129471</v>
      </c>
    </row>
    <row r="127" spans="7:20" ht="14.4" x14ac:dyDescent="0.25">
      <c r="G127" s="10">
        <v>1770</v>
      </c>
      <c r="H127" s="9">
        <v>12704</v>
      </c>
      <c r="I127" s="14">
        <f>DATE(2012,12,31)-1056</f>
        <v>40218</v>
      </c>
      <c r="J127" s="15" t="s">
        <v>25</v>
      </c>
      <c r="K127" s="9">
        <v>44</v>
      </c>
      <c r="L127" s="16" t="s">
        <v>27</v>
      </c>
      <c r="M127" s="16">
        <f t="shared" si="8"/>
        <v>1.2726518830035094</v>
      </c>
      <c r="N127">
        <f t="shared" si="9"/>
        <v>0</v>
      </c>
      <c r="O127">
        <f t="shared" si="10"/>
        <v>0</v>
      </c>
      <c r="P127">
        <f t="shared" si="7"/>
        <v>5600</v>
      </c>
      <c r="Q127">
        <f t="shared" si="11"/>
        <v>5600</v>
      </c>
      <c r="T127" s="16">
        <f t="shared" si="12"/>
        <v>1.272651883003509</v>
      </c>
    </row>
    <row r="128" spans="7:20" ht="14.4" x14ac:dyDescent="0.25">
      <c r="G128" s="10">
        <v>1771</v>
      </c>
      <c r="H128" s="9">
        <v>12704</v>
      </c>
      <c r="I128" s="14">
        <f>DATE(2012,12,31)-1056</f>
        <v>40218</v>
      </c>
      <c r="J128" s="15" t="s">
        <v>25</v>
      </c>
      <c r="K128" s="9">
        <v>28</v>
      </c>
      <c r="L128" s="16" t="s">
        <v>26</v>
      </c>
      <c r="M128" s="16">
        <f t="shared" si="8"/>
        <v>0.16769545709596645</v>
      </c>
      <c r="N128">
        <f t="shared" si="9"/>
        <v>0</v>
      </c>
      <c r="O128">
        <f t="shared" si="10"/>
        <v>0</v>
      </c>
      <c r="P128">
        <f t="shared" si="7"/>
        <v>4800</v>
      </c>
      <c r="Q128">
        <f t="shared" si="11"/>
        <v>4800</v>
      </c>
      <c r="T128" s="16">
        <f t="shared" si="12"/>
        <v>0.16769545709596606</v>
      </c>
    </row>
    <row r="129" spans="7:20" ht="14.4" x14ac:dyDescent="0.25">
      <c r="G129" s="10">
        <v>1781</v>
      </c>
      <c r="H129" s="9">
        <v>12771</v>
      </c>
      <c r="I129" s="14">
        <f>DATE(2012,12,31)-1444</f>
        <v>39830</v>
      </c>
      <c r="J129" s="15" t="s">
        <v>30</v>
      </c>
      <c r="K129" s="9">
        <v>40</v>
      </c>
      <c r="L129" s="16" t="s">
        <v>26</v>
      </c>
      <c r="M129" s="16">
        <f t="shared" si="8"/>
        <v>0.99641277652662363</v>
      </c>
      <c r="N129">
        <f t="shared" si="9"/>
        <v>0</v>
      </c>
      <c r="O129">
        <f t="shared" si="10"/>
        <v>0</v>
      </c>
      <c r="P129">
        <f t="shared" si="7"/>
        <v>5400</v>
      </c>
      <c r="Q129">
        <f t="shared" si="11"/>
        <v>5400</v>
      </c>
      <c r="T129" s="16">
        <f t="shared" si="12"/>
        <v>0.9964127765266233</v>
      </c>
    </row>
    <row r="130" spans="7:20" ht="14.4" x14ac:dyDescent="0.25">
      <c r="G130" s="10">
        <v>1782</v>
      </c>
      <c r="H130" s="9">
        <v>12771</v>
      </c>
      <c r="I130" s="14">
        <f>DATE(2012,12,31)-1444</f>
        <v>39830</v>
      </c>
      <c r="J130" s="15" t="s">
        <v>30</v>
      </c>
      <c r="K130" s="9">
        <v>46</v>
      </c>
      <c r="L130" s="16" t="s">
        <v>26</v>
      </c>
      <c r="M130" s="16">
        <f t="shared" si="8"/>
        <v>1.4107714362419523</v>
      </c>
      <c r="N130">
        <f t="shared" si="9"/>
        <v>0</v>
      </c>
      <c r="O130">
        <f t="shared" si="10"/>
        <v>0</v>
      </c>
      <c r="P130">
        <f t="shared" si="7"/>
        <v>5700</v>
      </c>
      <c r="Q130">
        <f t="shared" si="11"/>
        <v>5700</v>
      </c>
      <c r="T130" s="16">
        <f t="shared" si="12"/>
        <v>1.4107714362419519</v>
      </c>
    </row>
    <row r="131" spans="7:20" ht="14.4" x14ac:dyDescent="0.25">
      <c r="G131" s="10">
        <v>1806</v>
      </c>
      <c r="H131" s="9">
        <v>12929</v>
      </c>
      <c r="I131" s="14">
        <f>DATE(2012,12,31)-854</f>
        <v>40420</v>
      </c>
      <c r="J131" s="15" t="s">
        <v>30</v>
      </c>
      <c r="K131" s="9">
        <v>19</v>
      </c>
      <c r="L131" s="16" t="s">
        <v>29</v>
      </c>
      <c r="M131" s="16">
        <f t="shared" si="8"/>
        <v>-0.45384253247702649</v>
      </c>
      <c r="N131">
        <f t="shared" si="9"/>
        <v>0</v>
      </c>
      <c r="O131">
        <f t="shared" si="10"/>
        <v>0</v>
      </c>
      <c r="P131">
        <f t="shared" si="7"/>
        <v>4350</v>
      </c>
      <c r="Q131">
        <f t="shared" si="11"/>
        <v>4350</v>
      </c>
      <c r="T131" s="16">
        <f t="shared" si="12"/>
        <v>-0.45384253247702688</v>
      </c>
    </row>
    <row r="132" spans="7:20" ht="14.4" x14ac:dyDescent="0.25">
      <c r="G132" s="10">
        <v>1807</v>
      </c>
      <c r="H132" s="9">
        <v>12929</v>
      </c>
      <c r="I132" s="14">
        <f>DATE(2012,12,31)-854</f>
        <v>40420</v>
      </c>
      <c r="J132" s="15" t="s">
        <v>30</v>
      </c>
      <c r="K132" s="9">
        <v>20</v>
      </c>
      <c r="L132" s="16" t="s">
        <v>26</v>
      </c>
      <c r="M132" s="16">
        <f t="shared" si="8"/>
        <v>-0.38478275585780503</v>
      </c>
      <c r="N132">
        <f t="shared" si="9"/>
        <v>0</v>
      </c>
      <c r="O132">
        <f t="shared" si="10"/>
        <v>0</v>
      </c>
      <c r="P132">
        <f t="shared" si="7"/>
        <v>4400</v>
      </c>
      <c r="Q132">
        <f t="shared" si="11"/>
        <v>4400</v>
      </c>
      <c r="T132" s="16">
        <f t="shared" si="12"/>
        <v>-0.38478275585780541</v>
      </c>
    </row>
    <row r="133" spans="7:20" ht="14.4" x14ac:dyDescent="0.25">
      <c r="G133" s="10">
        <v>1842</v>
      </c>
      <c r="H133" s="9">
        <v>13280</v>
      </c>
      <c r="I133" s="14">
        <f>DATE(2012,12,31)-1207</f>
        <v>40067</v>
      </c>
      <c r="J133" s="15" t="s">
        <v>17</v>
      </c>
      <c r="K133" s="9">
        <v>40</v>
      </c>
      <c r="L133" s="16" t="s">
        <v>26</v>
      </c>
      <c r="M133" s="16">
        <f t="shared" si="8"/>
        <v>0.99641277652662363</v>
      </c>
      <c r="N133">
        <f t="shared" si="9"/>
        <v>0</v>
      </c>
      <c r="O133">
        <f t="shared" si="10"/>
        <v>0</v>
      </c>
      <c r="P133">
        <f t="shared" si="7"/>
        <v>5400</v>
      </c>
      <c r="Q133">
        <f t="shared" si="11"/>
        <v>5400</v>
      </c>
      <c r="T133" s="16">
        <f t="shared" si="12"/>
        <v>0.9964127765266233</v>
      </c>
    </row>
    <row r="134" spans="7:20" ht="14.4" x14ac:dyDescent="0.25">
      <c r="G134" s="10">
        <v>1843</v>
      </c>
      <c r="H134" s="9">
        <v>13280</v>
      </c>
      <c r="I134" s="14">
        <f>DATE(2012,12,31)-1207</f>
        <v>40067</v>
      </c>
      <c r="J134" s="15" t="s">
        <v>17</v>
      </c>
      <c r="K134" s="9">
        <v>49</v>
      </c>
      <c r="L134" s="16" t="s">
        <v>27</v>
      </c>
      <c r="M134" s="16">
        <f t="shared" si="8"/>
        <v>1.6179507660996166</v>
      </c>
      <c r="N134">
        <f t="shared" si="9"/>
        <v>0</v>
      </c>
      <c r="O134">
        <f t="shared" si="10"/>
        <v>0</v>
      </c>
      <c r="P134">
        <f t="shared" si="7"/>
        <v>5850</v>
      </c>
      <c r="Q134">
        <f t="shared" si="11"/>
        <v>5850</v>
      </c>
      <c r="T134" s="16">
        <f t="shared" si="12"/>
        <v>1.6179507660996162</v>
      </c>
    </row>
    <row r="135" spans="7:20" ht="14.4" x14ac:dyDescent="0.25">
      <c r="G135" s="10">
        <v>1848</v>
      </c>
      <c r="H135" s="9">
        <v>13313</v>
      </c>
      <c r="I135" s="14">
        <f>DATE(2012,12,31)-1264</f>
        <v>40010</v>
      </c>
      <c r="J135" s="15" t="s">
        <v>28</v>
      </c>
      <c r="K135" s="9">
        <v>47</v>
      </c>
      <c r="L135" s="16" t="s">
        <v>26</v>
      </c>
      <c r="M135" s="16">
        <f t="shared" si="8"/>
        <v>1.4798312128611737</v>
      </c>
      <c r="N135">
        <f t="shared" si="9"/>
        <v>0</v>
      </c>
      <c r="O135">
        <f t="shared" si="10"/>
        <v>0</v>
      </c>
      <c r="P135">
        <f t="shared" si="7"/>
        <v>5750</v>
      </c>
      <c r="Q135">
        <f t="shared" si="11"/>
        <v>5750</v>
      </c>
      <c r="T135" s="16">
        <f t="shared" si="12"/>
        <v>1.4798312128611733</v>
      </c>
    </row>
    <row r="136" spans="7:20" ht="14.4" x14ac:dyDescent="0.25">
      <c r="G136" s="10">
        <v>1855</v>
      </c>
      <c r="H136" s="9">
        <v>13346</v>
      </c>
      <c r="I136" s="14">
        <f>DATE(2012,12,31)-46</f>
        <v>41228</v>
      </c>
      <c r="J136" s="15" t="s">
        <v>25</v>
      </c>
      <c r="K136" s="9">
        <v>44</v>
      </c>
      <c r="L136" s="16" t="s">
        <v>26</v>
      </c>
      <c r="M136" s="16">
        <f t="shared" si="8"/>
        <v>1.2726518830035094</v>
      </c>
      <c r="N136">
        <f t="shared" si="9"/>
        <v>0</v>
      </c>
      <c r="O136">
        <f t="shared" si="10"/>
        <v>0</v>
      </c>
      <c r="P136">
        <f t="shared" si="7"/>
        <v>5600</v>
      </c>
      <c r="Q136">
        <f t="shared" si="11"/>
        <v>5600</v>
      </c>
      <c r="T136" s="16">
        <f t="shared" si="12"/>
        <v>1.272651883003509</v>
      </c>
    </row>
    <row r="137" spans="7:20" ht="14.4" x14ac:dyDescent="0.25">
      <c r="G137" s="10">
        <v>1913</v>
      </c>
      <c r="H137" s="9">
        <v>13702</v>
      </c>
      <c r="I137" s="14">
        <f>DATE(2012,12,31)-478</f>
        <v>40796</v>
      </c>
      <c r="J137" s="15" t="s">
        <v>25</v>
      </c>
      <c r="K137" s="9">
        <v>6</v>
      </c>
      <c r="L137" s="16" t="s">
        <v>26</v>
      </c>
      <c r="M137" s="16">
        <f t="shared" si="8"/>
        <v>-1.3516196285269051</v>
      </c>
      <c r="N137">
        <f t="shared" si="9"/>
        <v>0</v>
      </c>
      <c r="O137">
        <f t="shared" si="10"/>
        <v>0</v>
      </c>
      <c r="P137">
        <f t="shared" si="7"/>
        <v>3700</v>
      </c>
      <c r="Q137">
        <f t="shared" si="11"/>
        <v>3700</v>
      </c>
      <c r="T137" s="16">
        <f t="shared" si="12"/>
        <v>-1.3516196285269055</v>
      </c>
    </row>
    <row r="138" spans="7:20" ht="14.4" x14ac:dyDescent="0.25">
      <c r="G138" s="10">
        <v>1928</v>
      </c>
      <c r="H138" s="9">
        <v>13795</v>
      </c>
      <c r="I138" s="14">
        <f>DATE(2012,12,31)-631</f>
        <v>40643</v>
      </c>
      <c r="J138" s="15" t="s">
        <v>28</v>
      </c>
      <c r="K138" s="9">
        <v>30</v>
      </c>
      <c r="L138" s="16" t="s">
        <v>26</v>
      </c>
      <c r="M138" s="16">
        <f t="shared" si="8"/>
        <v>0.30581501033440933</v>
      </c>
      <c r="N138">
        <f t="shared" si="9"/>
        <v>0</v>
      </c>
      <c r="O138">
        <f t="shared" si="10"/>
        <v>0</v>
      </c>
      <c r="P138">
        <f t="shared" si="7"/>
        <v>4900</v>
      </c>
      <c r="Q138">
        <f t="shared" si="11"/>
        <v>4900</v>
      </c>
      <c r="T138" s="16">
        <f t="shared" si="12"/>
        <v>0.30581501033440894</v>
      </c>
    </row>
    <row r="139" spans="7:20" ht="14.4" x14ac:dyDescent="0.25">
      <c r="G139" s="10">
        <v>1929</v>
      </c>
      <c r="H139" s="9">
        <v>13795</v>
      </c>
      <c r="I139" s="14">
        <f>DATE(2012,12,31)-631</f>
        <v>40643</v>
      </c>
      <c r="J139" s="15" t="s">
        <v>28</v>
      </c>
      <c r="K139" s="9">
        <v>23</v>
      </c>
      <c r="L139" s="16" t="s">
        <v>26</v>
      </c>
      <c r="M139" s="16">
        <f t="shared" si="8"/>
        <v>-0.17760342600014073</v>
      </c>
      <c r="N139">
        <f t="shared" si="9"/>
        <v>0</v>
      </c>
      <c r="O139">
        <f t="shared" si="10"/>
        <v>0</v>
      </c>
      <c r="P139">
        <f t="shared" si="7"/>
        <v>4550</v>
      </c>
      <c r="Q139">
        <f t="shared" si="11"/>
        <v>4550</v>
      </c>
      <c r="T139" s="16">
        <f t="shared" si="12"/>
        <v>-0.17760342600014112</v>
      </c>
    </row>
    <row r="140" spans="7:20" ht="14.4" x14ac:dyDescent="0.25">
      <c r="G140" s="10">
        <v>1930</v>
      </c>
      <c r="H140" s="9">
        <v>13795</v>
      </c>
      <c r="I140" s="14">
        <f>DATE(2012,12,31)-631</f>
        <v>40643</v>
      </c>
      <c r="J140" s="15" t="s">
        <v>28</v>
      </c>
      <c r="K140" s="9">
        <v>37</v>
      </c>
      <c r="L140" s="16" t="s">
        <v>26</v>
      </c>
      <c r="M140" s="16">
        <f t="shared" si="8"/>
        <v>0.78923344666895934</v>
      </c>
      <c r="N140">
        <f t="shared" si="9"/>
        <v>0</v>
      </c>
      <c r="O140">
        <f t="shared" si="10"/>
        <v>0</v>
      </c>
      <c r="P140">
        <f t="shared" ref="P140:P203" si="13">50*K140+$P$10</f>
        <v>5250</v>
      </c>
      <c r="Q140">
        <f t="shared" si="11"/>
        <v>5250</v>
      </c>
      <c r="T140" s="16">
        <f t="shared" si="12"/>
        <v>0.789233446668959</v>
      </c>
    </row>
    <row r="141" spans="7:20" ht="14.4" x14ac:dyDescent="0.25">
      <c r="G141" s="10">
        <v>1978</v>
      </c>
      <c r="H141" s="9">
        <v>14116</v>
      </c>
      <c r="I141" s="14">
        <f>DATE(2012,12,31)-449</f>
        <v>40825</v>
      </c>
      <c r="J141" s="15" t="s">
        <v>17</v>
      </c>
      <c r="K141" s="9">
        <v>1</v>
      </c>
      <c r="L141" s="16" t="s">
        <v>26</v>
      </c>
      <c r="M141" s="16">
        <f t="shared" ref="M141:M204" si="14">(K141-$K$4)/$K$7</f>
        <v>-1.6969185116230123</v>
      </c>
      <c r="N141">
        <f t="shared" ref="N141:N204" si="15">IF(MOD($B$20+G141,1000)=0,1,0)</f>
        <v>0</v>
      </c>
      <c r="O141">
        <f t="shared" ref="O141:O204" si="16">+ROUND(N141*(IF(K141&lt;$K$4,-4.5,10.5)*$P$5),-2)</f>
        <v>0</v>
      </c>
      <c r="P141">
        <f t="shared" si="13"/>
        <v>3450</v>
      </c>
      <c r="Q141">
        <f t="shared" ref="Q141:Q204" si="17">P141+O141</f>
        <v>3450</v>
      </c>
      <c r="T141" s="16">
        <f t="shared" ref="T141:T204" si="18">(Q141-$P$4)/$P$5</f>
        <v>-1.6969185116230128</v>
      </c>
    </row>
    <row r="142" spans="7:20" ht="14.4" x14ac:dyDescent="0.25">
      <c r="G142" s="10">
        <v>1979</v>
      </c>
      <c r="H142" s="9">
        <v>14116</v>
      </c>
      <c r="I142" s="14">
        <f>DATE(2012,12,31)-449</f>
        <v>40825</v>
      </c>
      <c r="J142" s="15" t="s">
        <v>17</v>
      </c>
      <c r="K142" s="9">
        <v>42</v>
      </c>
      <c r="L142" s="16" t="s">
        <v>26</v>
      </c>
      <c r="M142" s="16">
        <f t="shared" si="14"/>
        <v>1.1345323297650665</v>
      </c>
      <c r="N142">
        <f t="shared" si="15"/>
        <v>0</v>
      </c>
      <c r="O142">
        <f t="shared" si="16"/>
        <v>0</v>
      </c>
      <c r="P142">
        <f t="shared" si="13"/>
        <v>5500</v>
      </c>
      <c r="Q142">
        <f t="shared" si="17"/>
        <v>5500</v>
      </c>
      <c r="T142" s="16">
        <f t="shared" si="18"/>
        <v>1.1345323297650662</v>
      </c>
    </row>
    <row r="143" spans="7:20" ht="14.4" x14ac:dyDescent="0.25">
      <c r="G143" s="10">
        <v>2013</v>
      </c>
      <c r="H143" s="9">
        <v>14372</v>
      </c>
      <c r="I143" s="14">
        <f>DATE(2012,12,31)-69</f>
        <v>41205</v>
      </c>
      <c r="J143" s="15" t="s">
        <v>30</v>
      </c>
      <c r="K143" s="9">
        <v>34</v>
      </c>
      <c r="L143" s="16" t="s">
        <v>29</v>
      </c>
      <c r="M143" s="16">
        <f t="shared" si="14"/>
        <v>0.58205411681129504</v>
      </c>
      <c r="N143">
        <f t="shared" si="15"/>
        <v>0</v>
      </c>
      <c r="O143">
        <f t="shared" si="16"/>
        <v>0</v>
      </c>
      <c r="P143">
        <f t="shared" si="13"/>
        <v>5100</v>
      </c>
      <c r="Q143">
        <f t="shared" si="17"/>
        <v>5100</v>
      </c>
      <c r="T143" s="16">
        <f t="shared" si="18"/>
        <v>0.58205411681129471</v>
      </c>
    </row>
    <row r="144" spans="7:20" ht="14.4" x14ac:dyDescent="0.25">
      <c r="G144" s="10">
        <v>2058</v>
      </c>
      <c r="H144" s="9">
        <v>14726</v>
      </c>
      <c r="I144" s="14">
        <f>DATE(2012,12,31)-358</f>
        <v>40916</v>
      </c>
      <c r="J144" s="15" t="s">
        <v>25</v>
      </c>
      <c r="K144" s="9">
        <v>15</v>
      </c>
      <c r="L144" s="16" t="s">
        <v>27</v>
      </c>
      <c r="M144" s="16">
        <f t="shared" si="14"/>
        <v>-0.7300816389539122</v>
      </c>
      <c r="N144">
        <f t="shared" si="15"/>
        <v>0</v>
      </c>
      <c r="O144">
        <f t="shared" si="16"/>
        <v>0</v>
      </c>
      <c r="P144">
        <f t="shared" si="13"/>
        <v>4150</v>
      </c>
      <c r="Q144">
        <f t="shared" si="17"/>
        <v>4150</v>
      </c>
      <c r="T144" s="16">
        <f t="shared" si="18"/>
        <v>-0.73008163895391265</v>
      </c>
    </row>
    <row r="145" spans="7:20" ht="14.4" x14ac:dyDescent="0.25">
      <c r="G145" s="10">
        <v>2070</v>
      </c>
      <c r="H145" s="9">
        <v>14819</v>
      </c>
      <c r="I145" s="14">
        <f>DATE(2012,12,31)-1071</f>
        <v>40203</v>
      </c>
      <c r="J145" s="15" t="s">
        <v>28</v>
      </c>
      <c r="K145" s="9">
        <v>48</v>
      </c>
      <c r="L145" s="16" t="s">
        <v>26</v>
      </c>
      <c r="M145" s="16">
        <f t="shared" si="14"/>
        <v>1.5488909894803951</v>
      </c>
      <c r="N145">
        <f t="shared" si="15"/>
        <v>0</v>
      </c>
      <c r="O145">
        <f t="shared" si="16"/>
        <v>0</v>
      </c>
      <c r="P145">
        <f t="shared" si="13"/>
        <v>5800</v>
      </c>
      <c r="Q145">
        <f t="shared" si="17"/>
        <v>5800</v>
      </c>
      <c r="T145" s="16">
        <f t="shared" si="18"/>
        <v>1.5488909894803948</v>
      </c>
    </row>
    <row r="146" spans="7:20" ht="14.4" x14ac:dyDescent="0.25">
      <c r="G146" s="10">
        <v>2071</v>
      </c>
      <c r="H146" s="9">
        <v>14819</v>
      </c>
      <c r="I146" s="14">
        <f>DATE(2012,12,31)-1071</f>
        <v>40203</v>
      </c>
      <c r="J146" s="15" t="s">
        <v>28</v>
      </c>
      <c r="K146" s="9">
        <v>27</v>
      </c>
      <c r="L146" s="16" t="s">
        <v>29</v>
      </c>
      <c r="M146" s="16">
        <f t="shared" si="14"/>
        <v>9.8635680476745008E-2</v>
      </c>
      <c r="N146">
        <f t="shared" si="15"/>
        <v>0</v>
      </c>
      <c r="O146">
        <f t="shared" si="16"/>
        <v>0</v>
      </c>
      <c r="P146">
        <f t="shared" si="13"/>
        <v>4750</v>
      </c>
      <c r="Q146">
        <f t="shared" si="17"/>
        <v>4750</v>
      </c>
      <c r="T146" s="16">
        <f t="shared" si="18"/>
        <v>9.8635680476744619E-2</v>
      </c>
    </row>
    <row r="147" spans="7:20" ht="14.4" x14ac:dyDescent="0.25">
      <c r="G147" s="10">
        <v>2114</v>
      </c>
      <c r="H147" s="9">
        <v>15106</v>
      </c>
      <c r="I147" s="14">
        <f>DATE(2012,12,31)-704</f>
        <v>40570</v>
      </c>
      <c r="J147" s="15" t="s">
        <v>28</v>
      </c>
      <c r="K147" s="9">
        <v>42</v>
      </c>
      <c r="L147" s="16" t="s">
        <v>29</v>
      </c>
      <c r="M147" s="16">
        <f t="shared" si="14"/>
        <v>1.1345323297650665</v>
      </c>
      <c r="N147">
        <f t="shared" si="15"/>
        <v>0</v>
      </c>
      <c r="O147">
        <f t="shared" si="16"/>
        <v>0</v>
      </c>
      <c r="P147">
        <f t="shared" si="13"/>
        <v>5500</v>
      </c>
      <c r="Q147">
        <f t="shared" si="17"/>
        <v>5500</v>
      </c>
      <c r="T147" s="16">
        <f t="shared" si="18"/>
        <v>1.1345323297650662</v>
      </c>
    </row>
    <row r="148" spans="7:20" ht="14.4" x14ac:dyDescent="0.25">
      <c r="G148" s="10">
        <v>2115</v>
      </c>
      <c r="H148" s="9">
        <v>15106</v>
      </c>
      <c r="I148" s="14">
        <f>DATE(2012,12,31)-704</f>
        <v>40570</v>
      </c>
      <c r="J148" s="15" t="s">
        <v>28</v>
      </c>
      <c r="K148" s="9">
        <v>39</v>
      </c>
      <c r="L148" s="16" t="s">
        <v>27</v>
      </c>
      <c r="M148" s="16">
        <f t="shared" si="14"/>
        <v>0.92735299990740228</v>
      </c>
      <c r="N148">
        <f t="shared" si="15"/>
        <v>0</v>
      </c>
      <c r="O148">
        <f t="shared" si="16"/>
        <v>0</v>
      </c>
      <c r="P148">
        <f t="shared" si="13"/>
        <v>5350</v>
      </c>
      <c r="Q148">
        <f t="shared" si="17"/>
        <v>5350</v>
      </c>
      <c r="T148" s="16">
        <f t="shared" si="18"/>
        <v>0.92735299990740183</v>
      </c>
    </row>
    <row r="149" spans="7:20" ht="14.4" x14ac:dyDescent="0.25">
      <c r="G149" s="10">
        <v>2116</v>
      </c>
      <c r="H149" s="9">
        <v>15106</v>
      </c>
      <c r="I149" s="14">
        <f>DATE(2012,12,31)-704</f>
        <v>40570</v>
      </c>
      <c r="J149" s="15" t="s">
        <v>28</v>
      </c>
      <c r="K149" s="9">
        <v>35</v>
      </c>
      <c r="L149" s="16" t="s">
        <v>26</v>
      </c>
      <c r="M149" s="16">
        <f t="shared" si="14"/>
        <v>0.65111389343051651</v>
      </c>
      <c r="N149">
        <f t="shared" si="15"/>
        <v>0</v>
      </c>
      <c r="O149">
        <f t="shared" si="16"/>
        <v>0</v>
      </c>
      <c r="P149">
        <f t="shared" si="13"/>
        <v>5150</v>
      </c>
      <c r="Q149">
        <f t="shared" si="17"/>
        <v>5150</v>
      </c>
      <c r="T149" s="16">
        <f t="shared" si="18"/>
        <v>0.65111389343051607</v>
      </c>
    </row>
    <row r="150" spans="7:20" ht="14.4" x14ac:dyDescent="0.25">
      <c r="G150" s="10">
        <v>2117</v>
      </c>
      <c r="H150" s="9">
        <v>15108</v>
      </c>
      <c r="I150" s="14">
        <f>DATE(2012,12,31)-1222</f>
        <v>40052</v>
      </c>
      <c r="J150" s="15" t="s">
        <v>17</v>
      </c>
      <c r="K150" s="9">
        <v>50</v>
      </c>
      <c r="L150" s="16" t="s">
        <v>26</v>
      </c>
      <c r="M150" s="16">
        <f t="shared" si="14"/>
        <v>1.687010542718838</v>
      </c>
      <c r="N150">
        <f t="shared" si="15"/>
        <v>0</v>
      </c>
      <c r="O150">
        <f t="shared" si="16"/>
        <v>0</v>
      </c>
      <c r="P150">
        <f t="shared" si="13"/>
        <v>5900</v>
      </c>
      <c r="Q150">
        <f t="shared" si="17"/>
        <v>5900</v>
      </c>
      <c r="T150" s="16">
        <f t="shared" si="18"/>
        <v>1.6870105427188375</v>
      </c>
    </row>
    <row r="151" spans="7:20" ht="14.4" x14ac:dyDescent="0.25">
      <c r="G151" s="10">
        <v>2129</v>
      </c>
      <c r="H151" s="9">
        <v>15205</v>
      </c>
      <c r="I151" s="14">
        <f>DATE(2012,12,31)-655</f>
        <v>40619</v>
      </c>
      <c r="J151" s="15" t="s">
        <v>30</v>
      </c>
      <c r="K151" s="9">
        <v>18</v>
      </c>
      <c r="L151" s="16" t="s">
        <v>29</v>
      </c>
      <c r="M151" s="16">
        <f t="shared" si="14"/>
        <v>-0.52290230909624791</v>
      </c>
      <c r="N151">
        <f t="shared" si="15"/>
        <v>0</v>
      </c>
      <c r="O151">
        <f t="shared" si="16"/>
        <v>0</v>
      </c>
      <c r="P151">
        <f t="shared" si="13"/>
        <v>4300</v>
      </c>
      <c r="Q151">
        <f t="shared" si="17"/>
        <v>4300</v>
      </c>
      <c r="T151" s="16">
        <f t="shared" si="18"/>
        <v>-0.52290230909624835</v>
      </c>
    </row>
    <row r="152" spans="7:20" ht="14.4" x14ac:dyDescent="0.25">
      <c r="G152" s="10">
        <v>2130</v>
      </c>
      <c r="H152" s="9">
        <v>15205</v>
      </c>
      <c r="I152" s="14">
        <f>DATE(2012,12,31)-655</f>
        <v>40619</v>
      </c>
      <c r="J152" s="15" t="s">
        <v>30</v>
      </c>
      <c r="K152" s="9">
        <v>42</v>
      </c>
      <c r="L152" s="16" t="s">
        <v>29</v>
      </c>
      <c r="M152" s="16">
        <f t="shared" si="14"/>
        <v>1.1345323297650665</v>
      </c>
      <c r="N152">
        <f t="shared" si="15"/>
        <v>0</v>
      </c>
      <c r="O152">
        <f t="shared" si="16"/>
        <v>0</v>
      </c>
      <c r="P152">
        <f t="shared" si="13"/>
        <v>5500</v>
      </c>
      <c r="Q152">
        <f t="shared" si="17"/>
        <v>5500</v>
      </c>
      <c r="T152" s="16">
        <f t="shared" si="18"/>
        <v>1.1345323297650662</v>
      </c>
    </row>
    <row r="153" spans="7:20" ht="14.4" x14ac:dyDescent="0.25">
      <c r="G153" s="10">
        <v>2161</v>
      </c>
      <c r="H153" s="9">
        <v>15591</v>
      </c>
      <c r="I153" s="14">
        <f>DATE(2012,12,31)-208</f>
        <v>41066</v>
      </c>
      <c r="J153" s="15" t="s">
        <v>30</v>
      </c>
      <c r="K153" s="9">
        <v>31</v>
      </c>
      <c r="L153" s="16" t="s">
        <v>29</v>
      </c>
      <c r="M153" s="16">
        <f t="shared" si="14"/>
        <v>0.37487478695363075</v>
      </c>
      <c r="N153">
        <f t="shared" si="15"/>
        <v>0</v>
      </c>
      <c r="O153">
        <f t="shared" si="16"/>
        <v>0</v>
      </c>
      <c r="P153">
        <f t="shared" si="13"/>
        <v>4950</v>
      </c>
      <c r="Q153">
        <f t="shared" si="17"/>
        <v>4950</v>
      </c>
      <c r="T153" s="16">
        <f t="shared" si="18"/>
        <v>0.37487478695363036</v>
      </c>
    </row>
    <row r="154" spans="7:20" ht="14.4" x14ac:dyDescent="0.25">
      <c r="G154" s="10">
        <v>2206</v>
      </c>
      <c r="H154" s="9">
        <v>15907</v>
      </c>
      <c r="I154" s="14">
        <f>DATE(2012,12,31)-630</f>
        <v>40644</v>
      </c>
      <c r="J154" s="15" t="s">
        <v>17</v>
      </c>
      <c r="K154" s="9">
        <v>36</v>
      </c>
      <c r="L154" s="16" t="s">
        <v>29</v>
      </c>
      <c r="M154" s="16">
        <f t="shared" si="14"/>
        <v>0.72017367004973787</v>
      </c>
      <c r="N154">
        <f t="shared" si="15"/>
        <v>0</v>
      </c>
      <c r="O154">
        <f t="shared" si="16"/>
        <v>0</v>
      </c>
      <c r="P154">
        <f t="shared" si="13"/>
        <v>5200</v>
      </c>
      <c r="Q154">
        <f t="shared" si="17"/>
        <v>5200</v>
      </c>
      <c r="T154" s="16">
        <f t="shared" si="18"/>
        <v>0.72017367004973754</v>
      </c>
    </row>
    <row r="155" spans="7:20" ht="14.4" x14ac:dyDescent="0.25">
      <c r="G155" s="10">
        <v>2207</v>
      </c>
      <c r="H155" s="9">
        <v>15907</v>
      </c>
      <c r="I155" s="14">
        <f>DATE(2012,12,31)-630</f>
        <v>40644</v>
      </c>
      <c r="J155" s="15" t="s">
        <v>17</v>
      </c>
      <c r="K155" s="9">
        <v>36</v>
      </c>
      <c r="L155" s="16" t="s">
        <v>29</v>
      </c>
      <c r="M155" s="16">
        <f t="shared" si="14"/>
        <v>0.72017367004973787</v>
      </c>
      <c r="N155">
        <f t="shared" si="15"/>
        <v>0</v>
      </c>
      <c r="O155">
        <f t="shared" si="16"/>
        <v>0</v>
      </c>
      <c r="P155">
        <f t="shared" si="13"/>
        <v>5200</v>
      </c>
      <c r="Q155">
        <f t="shared" si="17"/>
        <v>5200</v>
      </c>
      <c r="T155" s="16">
        <f t="shared" si="18"/>
        <v>0.72017367004973754</v>
      </c>
    </row>
    <row r="156" spans="7:20" ht="14.4" x14ac:dyDescent="0.25">
      <c r="G156" s="10">
        <v>2208</v>
      </c>
      <c r="H156" s="9">
        <v>15907</v>
      </c>
      <c r="I156" s="14">
        <f>DATE(2012,12,31)-630</f>
        <v>40644</v>
      </c>
      <c r="J156" s="15" t="s">
        <v>17</v>
      </c>
      <c r="K156" s="9">
        <v>4</v>
      </c>
      <c r="L156" s="16" t="s">
        <v>26</v>
      </c>
      <c r="M156" s="16">
        <f t="shared" si="14"/>
        <v>-1.489739181765348</v>
      </c>
      <c r="N156">
        <f t="shared" si="15"/>
        <v>0</v>
      </c>
      <c r="O156">
        <f t="shared" si="16"/>
        <v>0</v>
      </c>
      <c r="P156">
        <f t="shared" si="13"/>
        <v>3600</v>
      </c>
      <c r="Q156">
        <f t="shared" si="17"/>
        <v>3600</v>
      </c>
      <c r="T156" s="16">
        <f t="shared" si="18"/>
        <v>-1.4897391817653485</v>
      </c>
    </row>
    <row r="157" spans="7:20" ht="14.4" x14ac:dyDescent="0.25">
      <c r="G157" s="10">
        <v>2209</v>
      </c>
      <c r="H157" s="9">
        <v>15937</v>
      </c>
      <c r="I157" s="14">
        <f>DATE(2012,12,31)-55</f>
        <v>41219</v>
      </c>
      <c r="J157" s="15" t="s">
        <v>25</v>
      </c>
      <c r="K157" s="9">
        <v>32</v>
      </c>
      <c r="L157" s="16" t="s">
        <v>27</v>
      </c>
      <c r="M157" s="16">
        <f t="shared" si="14"/>
        <v>0.44393456357285216</v>
      </c>
      <c r="N157">
        <f t="shared" si="15"/>
        <v>0</v>
      </c>
      <c r="O157">
        <f t="shared" si="16"/>
        <v>0</v>
      </c>
      <c r="P157">
        <f t="shared" si="13"/>
        <v>5000</v>
      </c>
      <c r="Q157">
        <f t="shared" si="17"/>
        <v>5000</v>
      </c>
      <c r="T157" s="16">
        <f t="shared" si="18"/>
        <v>0.44393456357285183</v>
      </c>
    </row>
    <row r="158" spans="7:20" ht="14.4" x14ac:dyDescent="0.25">
      <c r="G158" s="10">
        <v>2210</v>
      </c>
      <c r="H158" s="9">
        <v>15937</v>
      </c>
      <c r="I158" s="14">
        <f>DATE(2012,12,31)-55</f>
        <v>41219</v>
      </c>
      <c r="J158" s="15" t="s">
        <v>25</v>
      </c>
      <c r="K158" s="9">
        <v>17</v>
      </c>
      <c r="L158" s="16" t="s">
        <v>29</v>
      </c>
      <c r="M158" s="16">
        <f t="shared" si="14"/>
        <v>-0.59196208571546938</v>
      </c>
      <c r="N158">
        <f t="shared" si="15"/>
        <v>0</v>
      </c>
      <c r="O158">
        <f t="shared" si="16"/>
        <v>0</v>
      </c>
      <c r="P158">
        <f t="shared" si="13"/>
        <v>4250</v>
      </c>
      <c r="Q158">
        <f t="shared" si="17"/>
        <v>4250</v>
      </c>
      <c r="T158" s="16">
        <f t="shared" si="18"/>
        <v>-0.59196208571546971</v>
      </c>
    </row>
    <row r="159" spans="7:20" ht="14.4" x14ac:dyDescent="0.25">
      <c r="G159" s="10">
        <v>2221</v>
      </c>
      <c r="H159" s="9">
        <v>16039</v>
      </c>
      <c r="I159" s="14">
        <f>DATE(2012,12,31)-229</f>
        <v>41045</v>
      </c>
      <c r="J159" s="15" t="s">
        <v>17</v>
      </c>
      <c r="K159" s="9">
        <v>3</v>
      </c>
      <c r="L159" s="16" t="s">
        <v>27</v>
      </c>
      <c r="M159" s="16">
        <f t="shared" si="14"/>
        <v>-1.5587989583845694</v>
      </c>
      <c r="N159">
        <f t="shared" si="15"/>
        <v>0</v>
      </c>
      <c r="O159">
        <f t="shared" si="16"/>
        <v>0</v>
      </c>
      <c r="P159">
        <f t="shared" si="13"/>
        <v>3550</v>
      </c>
      <c r="Q159">
        <f t="shared" si="17"/>
        <v>3550</v>
      </c>
      <c r="T159" s="16">
        <f t="shared" si="18"/>
        <v>-1.5587989583845698</v>
      </c>
    </row>
    <row r="160" spans="7:20" ht="14.4" x14ac:dyDescent="0.25">
      <c r="G160" s="10">
        <v>2246</v>
      </c>
      <c r="H160" s="9">
        <v>16193</v>
      </c>
      <c r="I160" s="14">
        <f>DATE(2012,12,31)-266</f>
        <v>41008</v>
      </c>
      <c r="J160" s="15" t="s">
        <v>28</v>
      </c>
      <c r="K160" s="9">
        <v>8</v>
      </c>
      <c r="L160" s="16" t="s">
        <v>26</v>
      </c>
      <c r="M160" s="16">
        <f t="shared" si="14"/>
        <v>-1.2135000752884624</v>
      </c>
      <c r="N160">
        <f t="shared" si="15"/>
        <v>0</v>
      </c>
      <c r="O160">
        <f t="shared" si="16"/>
        <v>0</v>
      </c>
      <c r="P160">
        <f t="shared" si="13"/>
        <v>3800</v>
      </c>
      <c r="Q160">
        <f t="shared" si="17"/>
        <v>3800</v>
      </c>
      <c r="T160" s="16">
        <f t="shared" si="18"/>
        <v>-1.2135000752884626</v>
      </c>
    </row>
    <row r="161" spans="7:20" ht="14.4" x14ac:dyDescent="0.25">
      <c r="G161" s="10">
        <v>2247</v>
      </c>
      <c r="H161" s="9">
        <v>16193</v>
      </c>
      <c r="I161" s="14">
        <f>DATE(2012,12,31)-266</f>
        <v>41008</v>
      </c>
      <c r="J161" s="15" t="s">
        <v>28</v>
      </c>
      <c r="K161" s="9">
        <v>29</v>
      </c>
      <c r="L161" s="16" t="s">
        <v>27</v>
      </c>
      <c r="M161" s="16">
        <f t="shared" si="14"/>
        <v>0.23675523371518786</v>
      </c>
      <c r="N161">
        <f t="shared" si="15"/>
        <v>0</v>
      </c>
      <c r="O161">
        <f t="shared" si="16"/>
        <v>0</v>
      </c>
      <c r="P161">
        <f t="shared" si="13"/>
        <v>4850</v>
      </c>
      <c r="Q161">
        <f t="shared" si="17"/>
        <v>4850</v>
      </c>
      <c r="T161" s="16">
        <f t="shared" si="18"/>
        <v>0.2367552337151875</v>
      </c>
    </row>
    <row r="162" spans="7:20" ht="14.4" x14ac:dyDescent="0.25">
      <c r="G162" s="10">
        <v>2281</v>
      </c>
      <c r="H162" s="9">
        <v>16423</v>
      </c>
      <c r="I162" s="14">
        <f>DATE(2012,12,31)-148</f>
        <v>41126</v>
      </c>
      <c r="J162" s="15" t="s">
        <v>16</v>
      </c>
      <c r="K162" s="9">
        <v>19</v>
      </c>
      <c r="L162" s="16" t="s">
        <v>26</v>
      </c>
      <c r="M162" s="16">
        <f t="shared" si="14"/>
        <v>-0.45384253247702649</v>
      </c>
      <c r="N162">
        <f t="shared" si="15"/>
        <v>0</v>
      </c>
      <c r="O162">
        <f t="shared" si="16"/>
        <v>0</v>
      </c>
      <c r="P162">
        <f t="shared" si="13"/>
        <v>4350</v>
      </c>
      <c r="Q162">
        <f t="shared" si="17"/>
        <v>4350</v>
      </c>
      <c r="T162" s="16">
        <f t="shared" si="18"/>
        <v>-0.45384253247702688</v>
      </c>
    </row>
    <row r="163" spans="7:20" ht="14.4" x14ac:dyDescent="0.25">
      <c r="G163" s="10">
        <v>2283</v>
      </c>
      <c r="H163" s="9">
        <v>16451</v>
      </c>
      <c r="I163" s="14">
        <f>DATE(2012,12,31)-1258</f>
        <v>40016</v>
      </c>
      <c r="J163" s="15" t="s">
        <v>28</v>
      </c>
      <c r="K163" s="9">
        <v>9</v>
      </c>
      <c r="L163" s="16" t="s">
        <v>26</v>
      </c>
      <c r="M163" s="16">
        <f t="shared" si="14"/>
        <v>-1.1444402986692408</v>
      </c>
      <c r="N163">
        <f t="shared" si="15"/>
        <v>0</v>
      </c>
      <c r="O163">
        <f t="shared" si="16"/>
        <v>0</v>
      </c>
      <c r="P163">
        <f t="shared" si="13"/>
        <v>3850</v>
      </c>
      <c r="Q163">
        <f t="shared" si="17"/>
        <v>3850</v>
      </c>
      <c r="T163" s="16">
        <f t="shared" si="18"/>
        <v>-1.1444402986692412</v>
      </c>
    </row>
    <row r="164" spans="7:20" ht="14.4" x14ac:dyDescent="0.25">
      <c r="G164" s="10">
        <v>2294</v>
      </c>
      <c r="H164" s="9">
        <v>16545</v>
      </c>
      <c r="I164" s="14">
        <f>DATE(2012,12,31)-967</f>
        <v>40307</v>
      </c>
      <c r="J164" s="15" t="s">
        <v>28</v>
      </c>
      <c r="K164" s="9">
        <v>10</v>
      </c>
      <c r="L164" s="16" t="s">
        <v>26</v>
      </c>
      <c r="M164" s="16">
        <f t="shared" si="14"/>
        <v>-1.0753805220500194</v>
      </c>
      <c r="N164">
        <f t="shared" si="15"/>
        <v>0</v>
      </c>
      <c r="O164">
        <f t="shared" si="16"/>
        <v>0</v>
      </c>
      <c r="P164">
        <f t="shared" si="13"/>
        <v>3900</v>
      </c>
      <c r="Q164">
        <f t="shared" si="17"/>
        <v>3900</v>
      </c>
      <c r="T164" s="16">
        <f t="shared" si="18"/>
        <v>-1.0753805220500199</v>
      </c>
    </row>
    <row r="165" spans="7:20" ht="14.4" x14ac:dyDescent="0.25">
      <c r="G165" s="10">
        <v>2295</v>
      </c>
      <c r="H165" s="9">
        <v>16545</v>
      </c>
      <c r="I165" s="14">
        <f>DATE(2012,12,31)-967</f>
        <v>40307</v>
      </c>
      <c r="J165" s="15" t="s">
        <v>28</v>
      </c>
      <c r="K165" s="9">
        <v>1</v>
      </c>
      <c r="L165" s="16" t="s">
        <v>26</v>
      </c>
      <c r="M165" s="16">
        <f t="shared" si="14"/>
        <v>-1.6969185116230123</v>
      </c>
      <c r="N165">
        <f t="shared" si="15"/>
        <v>0</v>
      </c>
      <c r="O165">
        <f t="shared" si="16"/>
        <v>0</v>
      </c>
      <c r="P165">
        <f t="shared" si="13"/>
        <v>3450</v>
      </c>
      <c r="Q165">
        <f t="shared" si="17"/>
        <v>3450</v>
      </c>
      <c r="T165" s="16">
        <f t="shared" si="18"/>
        <v>-1.6969185116230128</v>
      </c>
    </row>
    <row r="166" spans="7:20" ht="14.4" x14ac:dyDescent="0.25">
      <c r="G166" s="10">
        <v>2296</v>
      </c>
      <c r="H166" s="9">
        <v>16547</v>
      </c>
      <c r="I166" s="14">
        <f>DATE(2012,12,31)-1412</f>
        <v>39862</v>
      </c>
      <c r="J166" s="15" t="s">
        <v>28</v>
      </c>
      <c r="K166" s="9">
        <v>30</v>
      </c>
      <c r="L166" s="16" t="s">
        <v>29</v>
      </c>
      <c r="M166" s="16">
        <f t="shared" si="14"/>
        <v>0.30581501033440933</v>
      </c>
      <c r="N166">
        <f t="shared" si="15"/>
        <v>0</v>
      </c>
      <c r="O166">
        <f t="shared" si="16"/>
        <v>0</v>
      </c>
      <c r="P166">
        <f t="shared" si="13"/>
        <v>4900</v>
      </c>
      <c r="Q166">
        <f t="shared" si="17"/>
        <v>4900</v>
      </c>
      <c r="T166" s="16">
        <f t="shared" si="18"/>
        <v>0.30581501033440894</v>
      </c>
    </row>
    <row r="167" spans="7:20" ht="14.4" x14ac:dyDescent="0.25">
      <c r="G167" s="10">
        <v>2297</v>
      </c>
      <c r="H167" s="9">
        <v>16547</v>
      </c>
      <c r="I167" s="14">
        <f>DATE(2012,12,31)-1412</f>
        <v>39862</v>
      </c>
      <c r="J167" s="15" t="s">
        <v>28</v>
      </c>
      <c r="K167" s="9">
        <v>8</v>
      </c>
      <c r="L167" s="16" t="s">
        <v>29</v>
      </c>
      <c r="M167" s="16">
        <f t="shared" si="14"/>
        <v>-1.2135000752884624</v>
      </c>
      <c r="N167">
        <f t="shared" si="15"/>
        <v>0</v>
      </c>
      <c r="O167">
        <f t="shared" si="16"/>
        <v>0</v>
      </c>
      <c r="P167">
        <f t="shared" si="13"/>
        <v>3800</v>
      </c>
      <c r="Q167">
        <f t="shared" si="17"/>
        <v>3800</v>
      </c>
      <c r="T167" s="16">
        <f t="shared" si="18"/>
        <v>-1.2135000752884626</v>
      </c>
    </row>
    <row r="168" spans="7:20" ht="14.4" x14ac:dyDescent="0.25">
      <c r="G168" s="10">
        <v>2316</v>
      </c>
      <c r="H168" s="9">
        <v>16706</v>
      </c>
      <c r="I168" s="14">
        <f>DATE(2012,12,31)-187</f>
        <v>41087</v>
      </c>
      <c r="J168" s="15" t="s">
        <v>17</v>
      </c>
      <c r="K168" s="9">
        <v>47</v>
      </c>
      <c r="L168" s="16" t="s">
        <v>29</v>
      </c>
      <c r="M168" s="16">
        <f t="shared" si="14"/>
        <v>1.4798312128611737</v>
      </c>
      <c r="N168">
        <f t="shared" si="15"/>
        <v>0</v>
      </c>
      <c r="O168">
        <f t="shared" si="16"/>
        <v>0</v>
      </c>
      <c r="P168">
        <f t="shared" si="13"/>
        <v>5750</v>
      </c>
      <c r="Q168">
        <f t="shared" si="17"/>
        <v>5750</v>
      </c>
      <c r="T168" s="16">
        <f t="shared" si="18"/>
        <v>1.4798312128611733</v>
      </c>
    </row>
    <row r="169" spans="7:20" ht="14.4" x14ac:dyDescent="0.25">
      <c r="G169" s="10">
        <v>2317</v>
      </c>
      <c r="H169" s="9">
        <v>16706</v>
      </c>
      <c r="I169" s="14">
        <f>DATE(2012,12,31)-187</f>
        <v>41087</v>
      </c>
      <c r="J169" s="15" t="s">
        <v>17</v>
      </c>
      <c r="K169" s="9">
        <v>6</v>
      </c>
      <c r="L169" s="16" t="s">
        <v>26</v>
      </c>
      <c r="M169" s="16">
        <f t="shared" si="14"/>
        <v>-1.3516196285269051</v>
      </c>
      <c r="N169">
        <f t="shared" si="15"/>
        <v>0</v>
      </c>
      <c r="O169">
        <f t="shared" si="16"/>
        <v>0</v>
      </c>
      <c r="P169">
        <f t="shared" si="13"/>
        <v>3700</v>
      </c>
      <c r="Q169">
        <f t="shared" si="17"/>
        <v>3700</v>
      </c>
      <c r="T169" s="16">
        <f t="shared" si="18"/>
        <v>-1.3516196285269055</v>
      </c>
    </row>
    <row r="170" spans="7:20" ht="14.4" x14ac:dyDescent="0.25">
      <c r="G170" s="10">
        <v>2318</v>
      </c>
      <c r="H170" s="9">
        <v>16706</v>
      </c>
      <c r="I170" s="14">
        <f>DATE(2012,12,31)-187</f>
        <v>41087</v>
      </c>
      <c r="J170" s="15" t="s">
        <v>17</v>
      </c>
      <c r="K170" s="9">
        <v>49</v>
      </c>
      <c r="L170" s="16" t="s">
        <v>27</v>
      </c>
      <c r="M170" s="16">
        <f t="shared" si="14"/>
        <v>1.6179507660996166</v>
      </c>
      <c r="N170">
        <f t="shared" si="15"/>
        <v>0</v>
      </c>
      <c r="O170">
        <f t="shared" si="16"/>
        <v>0</v>
      </c>
      <c r="P170">
        <f t="shared" si="13"/>
        <v>5850</v>
      </c>
      <c r="Q170">
        <f t="shared" si="17"/>
        <v>5850</v>
      </c>
      <c r="T170" s="16">
        <f t="shared" si="18"/>
        <v>1.6179507660996162</v>
      </c>
    </row>
    <row r="171" spans="7:20" ht="14.4" x14ac:dyDescent="0.25">
      <c r="G171" s="10">
        <v>2323</v>
      </c>
      <c r="H171" s="9">
        <v>16741</v>
      </c>
      <c r="I171" s="14">
        <f>DATE(2012,12,31)-823</f>
        <v>40451</v>
      </c>
      <c r="J171" s="15" t="s">
        <v>16</v>
      </c>
      <c r="K171" s="9">
        <v>6</v>
      </c>
      <c r="L171" s="16" t="s">
        <v>26</v>
      </c>
      <c r="M171" s="16">
        <f t="shared" si="14"/>
        <v>-1.3516196285269051</v>
      </c>
      <c r="N171">
        <f t="shared" si="15"/>
        <v>0</v>
      </c>
      <c r="O171">
        <f t="shared" si="16"/>
        <v>0</v>
      </c>
      <c r="P171">
        <f t="shared" si="13"/>
        <v>3700</v>
      </c>
      <c r="Q171">
        <f t="shared" si="17"/>
        <v>3700</v>
      </c>
      <c r="T171" s="16">
        <f t="shared" si="18"/>
        <v>-1.3516196285269055</v>
      </c>
    </row>
    <row r="172" spans="7:20" ht="14.4" x14ac:dyDescent="0.25">
      <c r="G172" s="10">
        <v>2346</v>
      </c>
      <c r="H172" s="9">
        <v>16932</v>
      </c>
      <c r="I172" s="14">
        <f>DATE(2012,12,31)-991</f>
        <v>40283</v>
      </c>
      <c r="J172" s="15" t="s">
        <v>30</v>
      </c>
      <c r="K172" s="9">
        <v>25</v>
      </c>
      <c r="L172" s="16" t="s">
        <v>26</v>
      </c>
      <c r="M172" s="16">
        <f t="shared" si="14"/>
        <v>-3.9483872761697868E-2</v>
      </c>
      <c r="N172">
        <f t="shared" si="15"/>
        <v>0</v>
      </c>
      <c r="O172">
        <f t="shared" si="16"/>
        <v>0</v>
      </c>
      <c r="P172">
        <f t="shared" si="13"/>
        <v>4650</v>
      </c>
      <c r="Q172">
        <f t="shared" si="17"/>
        <v>4650</v>
      </c>
      <c r="T172" s="16">
        <f t="shared" si="18"/>
        <v>-3.9483872761698249E-2</v>
      </c>
    </row>
    <row r="173" spans="7:20" ht="14.4" x14ac:dyDescent="0.25">
      <c r="G173" s="10">
        <v>2347</v>
      </c>
      <c r="H173" s="9">
        <v>16932</v>
      </c>
      <c r="I173" s="14">
        <f>DATE(2012,12,31)-991</f>
        <v>40283</v>
      </c>
      <c r="J173" s="15" t="s">
        <v>30</v>
      </c>
      <c r="K173" s="9">
        <v>20</v>
      </c>
      <c r="L173" s="16" t="s">
        <v>26</v>
      </c>
      <c r="M173" s="16">
        <f t="shared" si="14"/>
        <v>-0.38478275585780503</v>
      </c>
      <c r="N173">
        <f t="shared" si="15"/>
        <v>0</v>
      </c>
      <c r="O173">
        <f t="shared" si="16"/>
        <v>0</v>
      </c>
      <c r="P173">
        <f t="shared" si="13"/>
        <v>4400</v>
      </c>
      <c r="Q173">
        <f t="shared" si="17"/>
        <v>4400</v>
      </c>
      <c r="T173" s="16">
        <f t="shared" si="18"/>
        <v>-0.38478275585780541</v>
      </c>
    </row>
    <row r="174" spans="7:20" ht="14.4" x14ac:dyDescent="0.25">
      <c r="G174" s="10">
        <v>2383</v>
      </c>
      <c r="H174" s="9">
        <v>17283</v>
      </c>
      <c r="I174" s="14">
        <f>DATE(2012,12,31)-474</f>
        <v>40800</v>
      </c>
      <c r="J174" s="15" t="s">
        <v>28</v>
      </c>
      <c r="K174" s="9">
        <v>4</v>
      </c>
      <c r="L174" s="16" t="s">
        <v>27</v>
      </c>
      <c r="M174" s="16">
        <f t="shared" si="14"/>
        <v>-1.489739181765348</v>
      </c>
      <c r="N174">
        <f t="shared" si="15"/>
        <v>0</v>
      </c>
      <c r="O174">
        <f t="shared" si="16"/>
        <v>0</v>
      </c>
      <c r="P174">
        <f t="shared" si="13"/>
        <v>3600</v>
      </c>
      <c r="Q174">
        <f t="shared" si="17"/>
        <v>3600</v>
      </c>
      <c r="T174" s="16">
        <f t="shared" si="18"/>
        <v>-1.4897391817653485</v>
      </c>
    </row>
    <row r="175" spans="7:20" ht="14.4" x14ac:dyDescent="0.25">
      <c r="G175" s="10">
        <v>2384</v>
      </c>
      <c r="H175" s="9">
        <v>17286</v>
      </c>
      <c r="I175" s="14">
        <f>DATE(2012,12,31)-832</f>
        <v>40442</v>
      </c>
      <c r="J175" s="15" t="s">
        <v>17</v>
      </c>
      <c r="K175" s="9">
        <v>7</v>
      </c>
      <c r="L175" s="16" t="s">
        <v>29</v>
      </c>
      <c r="M175" s="16">
        <f t="shared" si="14"/>
        <v>-1.2825598519076837</v>
      </c>
      <c r="N175">
        <f t="shared" si="15"/>
        <v>0</v>
      </c>
      <c r="O175">
        <f t="shared" si="16"/>
        <v>0</v>
      </c>
      <c r="P175">
        <f t="shared" si="13"/>
        <v>3750</v>
      </c>
      <c r="Q175">
        <f t="shared" si="17"/>
        <v>3750</v>
      </c>
      <c r="T175" s="16">
        <f t="shared" si="18"/>
        <v>-1.2825598519076842</v>
      </c>
    </row>
    <row r="176" spans="7:20" ht="14.4" x14ac:dyDescent="0.25">
      <c r="G176" s="10">
        <v>2402</v>
      </c>
      <c r="H176" s="9">
        <v>17409</v>
      </c>
      <c r="I176" s="14">
        <f>DATE(2012,12,31)-867</f>
        <v>40407</v>
      </c>
      <c r="J176" s="15" t="s">
        <v>28</v>
      </c>
      <c r="K176" s="9">
        <v>31</v>
      </c>
      <c r="L176" s="16" t="s">
        <v>27</v>
      </c>
      <c r="M176" s="16">
        <f t="shared" si="14"/>
        <v>0.37487478695363075</v>
      </c>
      <c r="N176">
        <f t="shared" si="15"/>
        <v>0</v>
      </c>
      <c r="O176">
        <f t="shared" si="16"/>
        <v>0</v>
      </c>
      <c r="P176">
        <f t="shared" si="13"/>
        <v>4950</v>
      </c>
      <c r="Q176">
        <f t="shared" si="17"/>
        <v>4950</v>
      </c>
      <c r="T176" s="16">
        <f t="shared" si="18"/>
        <v>0.37487478695363036</v>
      </c>
    </row>
    <row r="177" spans="7:20" ht="14.4" x14ac:dyDescent="0.25">
      <c r="G177" s="10">
        <v>2445</v>
      </c>
      <c r="H177" s="9">
        <v>17764</v>
      </c>
      <c r="I177" s="14">
        <f>DATE(2012,12,31)-1202</f>
        <v>40072</v>
      </c>
      <c r="J177" s="15" t="s">
        <v>25</v>
      </c>
      <c r="K177" s="9">
        <v>27</v>
      </c>
      <c r="L177" s="16" t="s">
        <v>26</v>
      </c>
      <c r="M177" s="16">
        <f t="shared" si="14"/>
        <v>9.8635680476745008E-2</v>
      </c>
      <c r="N177">
        <f t="shared" si="15"/>
        <v>0</v>
      </c>
      <c r="O177">
        <f t="shared" si="16"/>
        <v>0</v>
      </c>
      <c r="P177">
        <f t="shared" si="13"/>
        <v>4750</v>
      </c>
      <c r="Q177">
        <f t="shared" si="17"/>
        <v>4750</v>
      </c>
      <c r="T177" s="16">
        <f t="shared" si="18"/>
        <v>9.8635680476744619E-2</v>
      </c>
    </row>
    <row r="178" spans="7:20" ht="14.4" x14ac:dyDescent="0.25">
      <c r="G178" s="10">
        <v>2483</v>
      </c>
      <c r="H178" s="9">
        <v>18080</v>
      </c>
      <c r="I178" s="14">
        <f>DATE(2012,12,31)-1288</f>
        <v>39986</v>
      </c>
      <c r="J178" s="15" t="s">
        <v>17</v>
      </c>
      <c r="K178" s="9">
        <v>7</v>
      </c>
      <c r="L178" s="16" t="s">
        <v>29</v>
      </c>
      <c r="M178" s="16">
        <f t="shared" si="14"/>
        <v>-1.2825598519076837</v>
      </c>
      <c r="N178">
        <f t="shared" si="15"/>
        <v>0</v>
      </c>
      <c r="O178">
        <f t="shared" si="16"/>
        <v>0</v>
      </c>
      <c r="P178">
        <f t="shared" si="13"/>
        <v>3750</v>
      </c>
      <c r="Q178">
        <f t="shared" si="17"/>
        <v>3750</v>
      </c>
      <c r="T178" s="16">
        <f t="shared" si="18"/>
        <v>-1.2825598519076842</v>
      </c>
    </row>
    <row r="179" spans="7:20" ht="14.4" x14ac:dyDescent="0.25">
      <c r="G179" s="10">
        <v>2487</v>
      </c>
      <c r="H179" s="9">
        <v>18113</v>
      </c>
      <c r="I179" s="14">
        <f>DATE(2012,12,31)-125</f>
        <v>41149</v>
      </c>
      <c r="J179" s="15" t="s">
        <v>28</v>
      </c>
      <c r="K179" s="9">
        <v>27</v>
      </c>
      <c r="L179" s="16" t="s">
        <v>29</v>
      </c>
      <c r="M179" s="16">
        <f t="shared" si="14"/>
        <v>9.8635680476745008E-2</v>
      </c>
      <c r="N179">
        <f t="shared" si="15"/>
        <v>0</v>
      </c>
      <c r="O179">
        <f t="shared" si="16"/>
        <v>0</v>
      </c>
      <c r="P179">
        <f t="shared" si="13"/>
        <v>4750</v>
      </c>
      <c r="Q179">
        <f t="shared" si="17"/>
        <v>4750</v>
      </c>
      <c r="T179" s="16">
        <f t="shared" si="18"/>
        <v>9.8635680476744619E-2</v>
      </c>
    </row>
    <row r="180" spans="7:20" ht="14.4" x14ac:dyDescent="0.25">
      <c r="G180" s="10">
        <v>2489</v>
      </c>
      <c r="H180" s="9">
        <v>18144</v>
      </c>
      <c r="I180" s="14">
        <f>DATE(2012,12,31)-573</f>
        <v>40701</v>
      </c>
      <c r="J180" s="15" t="s">
        <v>30</v>
      </c>
      <c r="K180" s="9">
        <v>48</v>
      </c>
      <c r="L180" s="16" t="s">
        <v>26</v>
      </c>
      <c r="M180" s="16">
        <f t="shared" si="14"/>
        <v>1.5488909894803951</v>
      </c>
      <c r="N180">
        <f t="shared" si="15"/>
        <v>0</v>
      </c>
      <c r="O180">
        <f t="shared" si="16"/>
        <v>0</v>
      </c>
      <c r="P180">
        <f t="shared" si="13"/>
        <v>5800</v>
      </c>
      <c r="Q180">
        <f t="shared" si="17"/>
        <v>5800</v>
      </c>
      <c r="T180" s="16">
        <f t="shared" si="18"/>
        <v>1.5488909894803948</v>
      </c>
    </row>
    <row r="181" spans="7:20" ht="14.4" x14ac:dyDescent="0.25">
      <c r="G181" s="10">
        <v>2490</v>
      </c>
      <c r="H181" s="9">
        <v>18144</v>
      </c>
      <c r="I181" s="14">
        <f>DATE(2012,12,31)-573</f>
        <v>40701</v>
      </c>
      <c r="J181" s="15" t="s">
        <v>30</v>
      </c>
      <c r="K181" s="9">
        <v>8</v>
      </c>
      <c r="L181" s="16" t="s">
        <v>26</v>
      </c>
      <c r="M181" s="16">
        <f t="shared" si="14"/>
        <v>-1.2135000752884624</v>
      </c>
      <c r="N181">
        <f t="shared" si="15"/>
        <v>0</v>
      </c>
      <c r="O181">
        <f t="shared" si="16"/>
        <v>0</v>
      </c>
      <c r="P181">
        <f t="shared" si="13"/>
        <v>3800</v>
      </c>
      <c r="Q181">
        <f t="shared" si="17"/>
        <v>3800</v>
      </c>
      <c r="T181" s="16">
        <f t="shared" si="18"/>
        <v>-1.2135000752884626</v>
      </c>
    </row>
    <row r="182" spans="7:20" ht="14.4" x14ac:dyDescent="0.25">
      <c r="G182" s="10">
        <v>2491</v>
      </c>
      <c r="H182" s="9">
        <v>18144</v>
      </c>
      <c r="I182" s="14">
        <f>DATE(2012,12,31)-573</f>
        <v>40701</v>
      </c>
      <c r="J182" s="15" t="s">
        <v>30</v>
      </c>
      <c r="K182" s="9">
        <v>41</v>
      </c>
      <c r="L182" s="16" t="s">
        <v>27</v>
      </c>
      <c r="M182" s="16">
        <f t="shared" si="14"/>
        <v>1.0654725531458451</v>
      </c>
      <c r="N182">
        <f t="shared" si="15"/>
        <v>0</v>
      </c>
      <c r="O182">
        <f t="shared" si="16"/>
        <v>0</v>
      </c>
      <c r="P182">
        <f t="shared" si="13"/>
        <v>5450</v>
      </c>
      <c r="Q182">
        <f t="shared" si="17"/>
        <v>5450</v>
      </c>
      <c r="T182" s="16">
        <f t="shared" si="18"/>
        <v>1.0654725531458447</v>
      </c>
    </row>
    <row r="183" spans="7:20" ht="14.4" x14ac:dyDescent="0.25">
      <c r="G183" s="10">
        <v>2520</v>
      </c>
      <c r="H183" s="9">
        <v>18308</v>
      </c>
      <c r="I183" s="14">
        <f>DATE(2012,12,31)-1179</f>
        <v>40095</v>
      </c>
      <c r="J183" s="15" t="s">
        <v>28</v>
      </c>
      <c r="K183" s="9">
        <v>30</v>
      </c>
      <c r="L183" s="16" t="s">
        <v>26</v>
      </c>
      <c r="M183" s="16">
        <f t="shared" si="14"/>
        <v>0.30581501033440933</v>
      </c>
      <c r="N183">
        <f t="shared" si="15"/>
        <v>0</v>
      </c>
      <c r="O183">
        <f t="shared" si="16"/>
        <v>0</v>
      </c>
      <c r="P183">
        <f t="shared" si="13"/>
        <v>4900</v>
      </c>
      <c r="Q183">
        <f t="shared" si="17"/>
        <v>4900</v>
      </c>
      <c r="T183" s="16">
        <f t="shared" si="18"/>
        <v>0.30581501033440894</v>
      </c>
    </row>
    <row r="184" spans="7:20" ht="14.4" x14ac:dyDescent="0.25">
      <c r="G184" s="10">
        <v>2521</v>
      </c>
      <c r="H184" s="9">
        <v>18308</v>
      </c>
      <c r="I184" s="14">
        <f>DATE(2012,12,31)-1179</f>
        <v>40095</v>
      </c>
      <c r="J184" s="15" t="s">
        <v>28</v>
      </c>
      <c r="K184" s="9">
        <v>15</v>
      </c>
      <c r="L184" s="16" t="s">
        <v>27</v>
      </c>
      <c r="M184" s="16">
        <f t="shared" si="14"/>
        <v>-0.7300816389539122</v>
      </c>
      <c r="N184">
        <f t="shared" si="15"/>
        <v>0</v>
      </c>
      <c r="O184">
        <f t="shared" si="16"/>
        <v>0</v>
      </c>
      <c r="P184">
        <f t="shared" si="13"/>
        <v>4150</v>
      </c>
      <c r="Q184">
        <f t="shared" si="17"/>
        <v>4150</v>
      </c>
      <c r="T184" s="16">
        <f t="shared" si="18"/>
        <v>-0.73008163895391265</v>
      </c>
    </row>
    <row r="185" spans="7:20" ht="14.4" x14ac:dyDescent="0.25">
      <c r="G185" s="10">
        <v>2522</v>
      </c>
      <c r="H185" s="9">
        <v>18308</v>
      </c>
      <c r="I185" s="14">
        <f>DATE(2012,12,31)-1179</f>
        <v>40095</v>
      </c>
      <c r="J185" s="15" t="s">
        <v>28</v>
      </c>
      <c r="K185" s="9">
        <v>49</v>
      </c>
      <c r="L185" s="16" t="s">
        <v>27</v>
      </c>
      <c r="M185" s="16">
        <f t="shared" si="14"/>
        <v>1.6179507660996166</v>
      </c>
      <c r="N185">
        <f t="shared" si="15"/>
        <v>0</v>
      </c>
      <c r="O185">
        <f t="shared" si="16"/>
        <v>0</v>
      </c>
      <c r="P185">
        <f t="shared" si="13"/>
        <v>5850</v>
      </c>
      <c r="Q185">
        <f t="shared" si="17"/>
        <v>5850</v>
      </c>
      <c r="T185" s="16">
        <f t="shared" si="18"/>
        <v>1.6179507660996162</v>
      </c>
    </row>
    <row r="186" spans="7:20" ht="14.4" x14ac:dyDescent="0.25">
      <c r="G186" s="10">
        <v>2615</v>
      </c>
      <c r="H186" s="9">
        <v>18887</v>
      </c>
      <c r="I186" s="14">
        <f>DATE(2012,12,31)-757</f>
        <v>40517</v>
      </c>
      <c r="J186" s="15" t="s">
        <v>28</v>
      </c>
      <c r="K186" s="9">
        <v>9</v>
      </c>
      <c r="L186" s="16" t="s">
        <v>27</v>
      </c>
      <c r="M186" s="16">
        <f t="shared" si="14"/>
        <v>-1.1444402986692408</v>
      </c>
      <c r="N186">
        <f t="shared" si="15"/>
        <v>0</v>
      </c>
      <c r="O186">
        <f t="shared" si="16"/>
        <v>0</v>
      </c>
      <c r="P186">
        <f t="shared" si="13"/>
        <v>3850</v>
      </c>
      <c r="Q186">
        <f t="shared" si="17"/>
        <v>3850</v>
      </c>
      <c r="T186" s="16">
        <f t="shared" si="18"/>
        <v>-1.1444402986692412</v>
      </c>
    </row>
    <row r="187" spans="7:20" ht="14.4" x14ac:dyDescent="0.25">
      <c r="G187" s="10">
        <v>2624</v>
      </c>
      <c r="H187" s="9">
        <v>19010</v>
      </c>
      <c r="I187" s="14">
        <f>DATE(2012,12,31)-1303</f>
        <v>39971</v>
      </c>
      <c r="J187" s="15" t="s">
        <v>25</v>
      </c>
      <c r="K187" s="9">
        <v>18</v>
      </c>
      <c r="L187" s="16" t="s">
        <v>26</v>
      </c>
      <c r="M187" s="16">
        <f t="shared" si="14"/>
        <v>-0.52290230909624791</v>
      </c>
      <c r="N187">
        <f t="shared" si="15"/>
        <v>0</v>
      </c>
      <c r="O187">
        <f t="shared" si="16"/>
        <v>0</v>
      </c>
      <c r="P187">
        <f t="shared" si="13"/>
        <v>4300</v>
      </c>
      <c r="Q187">
        <f t="shared" si="17"/>
        <v>4300</v>
      </c>
      <c r="T187" s="16">
        <f t="shared" si="18"/>
        <v>-0.52290230909624835</v>
      </c>
    </row>
    <row r="188" spans="7:20" ht="14.4" x14ac:dyDescent="0.25">
      <c r="G188" s="10">
        <v>2637</v>
      </c>
      <c r="H188" s="9">
        <v>19078</v>
      </c>
      <c r="I188" s="14">
        <f>DATE(2012,12,31)-1253</f>
        <v>40021</v>
      </c>
      <c r="J188" s="15" t="s">
        <v>30</v>
      </c>
      <c r="K188" s="9">
        <v>21</v>
      </c>
      <c r="L188" s="16" t="s">
        <v>26</v>
      </c>
      <c r="M188" s="16">
        <f t="shared" si="14"/>
        <v>-0.31572297923858361</v>
      </c>
      <c r="N188">
        <f t="shared" si="15"/>
        <v>0</v>
      </c>
      <c r="O188">
        <f t="shared" si="16"/>
        <v>0</v>
      </c>
      <c r="P188">
        <f t="shared" si="13"/>
        <v>4450</v>
      </c>
      <c r="Q188">
        <f t="shared" si="17"/>
        <v>4450</v>
      </c>
      <c r="T188" s="16">
        <f t="shared" si="18"/>
        <v>-0.315722979238584</v>
      </c>
    </row>
    <row r="189" spans="7:20" ht="14.4" x14ac:dyDescent="0.25">
      <c r="G189" s="10">
        <v>2643</v>
      </c>
      <c r="H189" s="9">
        <v>19138</v>
      </c>
      <c r="I189" s="14">
        <f>DATE(2012,12,31)-483</f>
        <v>40791</v>
      </c>
      <c r="J189" s="15" t="s">
        <v>25</v>
      </c>
      <c r="K189" s="9">
        <v>30</v>
      </c>
      <c r="L189" s="16" t="s">
        <v>26</v>
      </c>
      <c r="M189" s="16">
        <f t="shared" si="14"/>
        <v>0.30581501033440933</v>
      </c>
      <c r="N189">
        <f t="shared" si="15"/>
        <v>0</v>
      </c>
      <c r="O189">
        <f t="shared" si="16"/>
        <v>0</v>
      </c>
      <c r="P189">
        <f t="shared" si="13"/>
        <v>4900</v>
      </c>
      <c r="Q189">
        <f t="shared" si="17"/>
        <v>4900</v>
      </c>
      <c r="T189" s="16">
        <f t="shared" si="18"/>
        <v>0.30581501033440894</v>
      </c>
    </row>
    <row r="190" spans="7:20" ht="14.4" x14ac:dyDescent="0.25">
      <c r="G190" s="10">
        <v>2726</v>
      </c>
      <c r="H190" s="9">
        <v>19655</v>
      </c>
      <c r="I190" s="14">
        <f>DATE(2012,12,31)-1450</f>
        <v>39824</v>
      </c>
      <c r="J190" s="15" t="s">
        <v>17</v>
      </c>
      <c r="K190" s="9">
        <v>31</v>
      </c>
      <c r="L190" s="16" t="s">
        <v>27</v>
      </c>
      <c r="M190" s="16">
        <f t="shared" si="14"/>
        <v>0.37487478695363075</v>
      </c>
      <c r="N190">
        <f t="shared" si="15"/>
        <v>0</v>
      </c>
      <c r="O190">
        <f t="shared" si="16"/>
        <v>0</v>
      </c>
      <c r="P190">
        <f t="shared" si="13"/>
        <v>4950</v>
      </c>
      <c r="Q190">
        <f t="shared" si="17"/>
        <v>4950</v>
      </c>
      <c r="T190" s="16">
        <f t="shared" si="18"/>
        <v>0.37487478695363036</v>
      </c>
    </row>
    <row r="191" spans="7:20" ht="14.4" x14ac:dyDescent="0.25">
      <c r="G191" s="10">
        <v>2727</v>
      </c>
      <c r="H191" s="9">
        <v>19686</v>
      </c>
      <c r="I191" s="14">
        <f>DATE(2012,12,31)-869</f>
        <v>40405</v>
      </c>
      <c r="J191" s="15" t="s">
        <v>16</v>
      </c>
      <c r="K191" s="9">
        <v>2</v>
      </c>
      <c r="L191" s="16" t="s">
        <v>27</v>
      </c>
      <c r="M191" s="16">
        <f t="shared" si="14"/>
        <v>-1.627858735003791</v>
      </c>
      <c r="N191">
        <f t="shared" si="15"/>
        <v>0</v>
      </c>
      <c r="O191">
        <f t="shared" si="16"/>
        <v>0</v>
      </c>
      <c r="P191">
        <f t="shared" si="13"/>
        <v>3500</v>
      </c>
      <c r="Q191">
        <f t="shared" si="17"/>
        <v>3500</v>
      </c>
      <c r="T191" s="16">
        <f t="shared" si="18"/>
        <v>-1.6278587350037912</v>
      </c>
    </row>
    <row r="192" spans="7:20" ht="14.4" x14ac:dyDescent="0.25">
      <c r="G192" s="10">
        <v>2728</v>
      </c>
      <c r="H192" s="9">
        <v>19686</v>
      </c>
      <c r="I192" s="14">
        <f>DATE(2012,12,31)-869</f>
        <v>40405</v>
      </c>
      <c r="J192" s="15" t="s">
        <v>16</v>
      </c>
      <c r="K192" s="9">
        <v>11</v>
      </c>
      <c r="L192" s="16" t="s">
        <v>26</v>
      </c>
      <c r="M192" s="16">
        <f t="shared" si="14"/>
        <v>-1.0063207454307979</v>
      </c>
      <c r="N192">
        <f t="shared" si="15"/>
        <v>0</v>
      </c>
      <c r="O192">
        <f t="shared" si="16"/>
        <v>0</v>
      </c>
      <c r="P192">
        <f t="shared" si="13"/>
        <v>3950</v>
      </c>
      <c r="Q192">
        <f t="shared" si="17"/>
        <v>3950</v>
      </c>
      <c r="T192" s="16">
        <f t="shared" si="18"/>
        <v>-1.0063207454307983</v>
      </c>
    </row>
    <row r="193" spans="7:20" ht="14.4" x14ac:dyDescent="0.25">
      <c r="G193" s="10">
        <v>2768</v>
      </c>
      <c r="H193" s="9">
        <v>20007</v>
      </c>
      <c r="I193" s="14">
        <f>DATE(2012,12,31)-1244</f>
        <v>40030</v>
      </c>
      <c r="J193" s="15" t="s">
        <v>28</v>
      </c>
      <c r="K193" s="9">
        <v>49</v>
      </c>
      <c r="L193" s="16" t="s">
        <v>26</v>
      </c>
      <c r="M193" s="16">
        <f t="shared" si="14"/>
        <v>1.6179507660996166</v>
      </c>
      <c r="N193">
        <f t="shared" si="15"/>
        <v>0</v>
      </c>
      <c r="O193">
        <f t="shared" si="16"/>
        <v>0</v>
      </c>
      <c r="P193">
        <f t="shared" si="13"/>
        <v>5850</v>
      </c>
      <c r="Q193">
        <f t="shared" si="17"/>
        <v>5850</v>
      </c>
      <c r="T193" s="16">
        <f t="shared" si="18"/>
        <v>1.6179507660996162</v>
      </c>
    </row>
    <row r="194" spans="7:20" ht="14.4" x14ac:dyDescent="0.25">
      <c r="G194" s="10">
        <v>2782</v>
      </c>
      <c r="H194" s="9">
        <v>20071</v>
      </c>
      <c r="I194" s="14">
        <f>DATE(2012,12,31)-471</f>
        <v>40803</v>
      </c>
      <c r="J194" s="15" t="s">
        <v>16</v>
      </c>
      <c r="K194" s="9">
        <v>31</v>
      </c>
      <c r="L194" s="16" t="s">
        <v>29</v>
      </c>
      <c r="M194" s="16">
        <f t="shared" si="14"/>
        <v>0.37487478695363075</v>
      </c>
      <c r="N194">
        <f t="shared" si="15"/>
        <v>0</v>
      </c>
      <c r="O194">
        <f t="shared" si="16"/>
        <v>0</v>
      </c>
      <c r="P194">
        <f t="shared" si="13"/>
        <v>4950</v>
      </c>
      <c r="Q194">
        <f t="shared" si="17"/>
        <v>4950</v>
      </c>
      <c r="T194" s="16">
        <f t="shared" si="18"/>
        <v>0.37487478695363036</v>
      </c>
    </row>
    <row r="195" spans="7:20" ht="14.4" x14ac:dyDescent="0.25">
      <c r="G195" s="10">
        <v>2796</v>
      </c>
      <c r="H195" s="9">
        <v>20160</v>
      </c>
      <c r="I195" s="14">
        <f>DATE(2012,12,31)-436</f>
        <v>40838</v>
      </c>
      <c r="J195" s="15" t="s">
        <v>25</v>
      </c>
      <c r="K195" s="9">
        <v>42</v>
      </c>
      <c r="L195" s="16" t="s">
        <v>26</v>
      </c>
      <c r="M195" s="16">
        <f t="shared" si="14"/>
        <v>1.1345323297650665</v>
      </c>
      <c r="N195">
        <f t="shared" si="15"/>
        <v>0</v>
      </c>
      <c r="O195">
        <f t="shared" si="16"/>
        <v>0</v>
      </c>
      <c r="P195">
        <f t="shared" si="13"/>
        <v>5500</v>
      </c>
      <c r="Q195">
        <f t="shared" si="17"/>
        <v>5500</v>
      </c>
      <c r="T195" s="16">
        <f t="shared" si="18"/>
        <v>1.1345323297650662</v>
      </c>
    </row>
    <row r="196" spans="7:20" ht="14.4" x14ac:dyDescent="0.25">
      <c r="G196" s="10">
        <v>2811</v>
      </c>
      <c r="H196" s="9">
        <v>20263</v>
      </c>
      <c r="I196" s="14">
        <f>DATE(2012,12,31)-1143</f>
        <v>40131</v>
      </c>
      <c r="J196" s="15" t="s">
        <v>16</v>
      </c>
      <c r="K196" s="9">
        <v>8</v>
      </c>
      <c r="L196" s="16" t="s">
        <v>26</v>
      </c>
      <c r="M196" s="16">
        <f t="shared" si="14"/>
        <v>-1.2135000752884624</v>
      </c>
      <c r="N196">
        <f t="shared" si="15"/>
        <v>0</v>
      </c>
      <c r="O196">
        <f t="shared" si="16"/>
        <v>0</v>
      </c>
      <c r="P196">
        <f t="shared" si="13"/>
        <v>3800</v>
      </c>
      <c r="Q196">
        <f t="shared" si="17"/>
        <v>3800</v>
      </c>
      <c r="T196" s="16">
        <f t="shared" si="18"/>
        <v>-1.2135000752884626</v>
      </c>
    </row>
    <row r="197" spans="7:20" ht="14.4" x14ac:dyDescent="0.25">
      <c r="G197" s="10">
        <v>2812</v>
      </c>
      <c r="H197" s="9">
        <v>20263</v>
      </c>
      <c r="I197" s="14">
        <f>DATE(2012,12,31)-1143</f>
        <v>40131</v>
      </c>
      <c r="J197" s="15" t="s">
        <v>16</v>
      </c>
      <c r="K197" s="9">
        <v>33</v>
      </c>
      <c r="L197" s="16" t="s">
        <v>27</v>
      </c>
      <c r="M197" s="16">
        <f t="shared" si="14"/>
        <v>0.51299434019207357</v>
      </c>
      <c r="N197">
        <f t="shared" si="15"/>
        <v>0</v>
      </c>
      <c r="O197">
        <f t="shared" si="16"/>
        <v>0</v>
      </c>
      <c r="P197">
        <f t="shared" si="13"/>
        <v>5050</v>
      </c>
      <c r="Q197">
        <f t="shared" si="17"/>
        <v>5050</v>
      </c>
      <c r="T197" s="16">
        <f t="shared" si="18"/>
        <v>0.51299434019207324</v>
      </c>
    </row>
    <row r="198" spans="7:20" ht="14.4" x14ac:dyDescent="0.25">
      <c r="G198" s="10">
        <v>2935</v>
      </c>
      <c r="H198" s="9">
        <v>21285</v>
      </c>
      <c r="I198" s="14">
        <f>DATE(2012,12,31)-912</f>
        <v>40362</v>
      </c>
      <c r="J198" s="15" t="s">
        <v>16</v>
      </c>
      <c r="K198" s="9">
        <v>32</v>
      </c>
      <c r="L198" s="16" t="s">
        <v>26</v>
      </c>
      <c r="M198" s="16">
        <f t="shared" si="14"/>
        <v>0.44393456357285216</v>
      </c>
      <c r="N198">
        <f t="shared" si="15"/>
        <v>0</v>
      </c>
      <c r="O198">
        <f t="shared" si="16"/>
        <v>0</v>
      </c>
      <c r="P198">
        <f t="shared" si="13"/>
        <v>5000</v>
      </c>
      <c r="Q198">
        <f t="shared" si="17"/>
        <v>5000</v>
      </c>
      <c r="T198" s="16">
        <f t="shared" si="18"/>
        <v>0.44393456357285183</v>
      </c>
    </row>
    <row r="199" spans="7:20" ht="14.4" x14ac:dyDescent="0.25">
      <c r="G199" s="10">
        <v>2936</v>
      </c>
      <c r="H199" s="9">
        <v>21285</v>
      </c>
      <c r="I199" s="14">
        <f>DATE(2012,12,31)-912</f>
        <v>40362</v>
      </c>
      <c r="J199" s="15" t="s">
        <v>16</v>
      </c>
      <c r="K199" s="9">
        <v>47</v>
      </c>
      <c r="L199" s="16" t="s">
        <v>26</v>
      </c>
      <c r="M199" s="16">
        <f t="shared" si="14"/>
        <v>1.4798312128611737</v>
      </c>
      <c r="N199">
        <f t="shared" si="15"/>
        <v>0</v>
      </c>
      <c r="O199">
        <f t="shared" si="16"/>
        <v>0</v>
      </c>
      <c r="P199">
        <f t="shared" si="13"/>
        <v>5750</v>
      </c>
      <c r="Q199">
        <f t="shared" si="17"/>
        <v>5750</v>
      </c>
      <c r="T199" s="16">
        <f t="shared" si="18"/>
        <v>1.4798312128611733</v>
      </c>
    </row>
    <row r="200" spans="7:20" ht="14.4" x14ac:dyDescent="0.25">
      <c r="G200" s="10">
        <v>2956</v>
      </c>
      <c r="H200" s="9">
        <v>21383</v>
      </c>
      <c r="I200" s="14">
        <f>DATE(2012,12,31)-1431</f>
        <v>39843</v>
      </c>
      <c r="J200" s="15" t="s">
        <v>25</v>
      </c>
      <c r="K200" s="9">
        <v>31</v>
      </c>
      <c r="L200" s="16" t="s">
        <v>27</v>
      </c>
      <c r="M200" s="16">
        <f t="shared" si="14"/>
        <v>0.37487478695363075</v>
      </c>
      <c r="N200">
        <f t="shared" si="15"/>
        <v>0</v>
      </c>
      <c r="O200">
        <f t="shared" si="16"/>
        <v>0</v>
      </c>
      <c r="P200">
        <f t="shared" si="13"/>
        <v>4950</v>
      </c>
      <c r="Q200">
        <f t="shared" si="17"/>
        <v>4950</v>
      </c>
      <c r="T200" s="16">
        <f t="shared" si="18"/>
        <v>0.37487478695363036</v>
      </c>
    </row>
    <row r="201" spans="7:20" ht="14.4" x14ac:dyDescent="0.25">
      <c r="G201" s="10">
        <v>2999</v>
      </c>
      <c r="H201" s="9">
        <v>21607</v>
      </c>
      <c r="I201" s="14">
        <f>DATE(2012,12,31)-291</f>
        <v>40983</v>
      </c>
      <c r="J201" s="15" t="s">
        <v>28</v>
      </c>
      <c r="K201" s="9">
        <v>17</v>
      </c>
      <c r="L201" s="16" t="s">
        <v>26</v>
      </c>
      <c r="M201" s="16">
        <f t="shared" si="14"/>
        <v>-0.59196208571546938</v>
      </c>
      <c r="N201">
        <f t="shared" si="15"/>
        <v>0</v>
      </c>
      <c r="O201">
        <f t="shared" si="16"/>
        <v>0</v>
      </c>
      <c r="P201">
        <f t="shared" si="13"/>
        <v>4250</v>
      </c>
      <c r="Q201">
        <f t="shared" si="17"/>
        <v>4250</v>
      </c>
      <c r="T201" s="16">
        <f t="shared" si="18"/>
        <v>-0.59196208571546971</v>
      </c>
    </row>
    <row r="202" spans="7:20" ht="14.4" x14ac:dyDescent="0.25">
      <c r="G202" s="10">
        <v>3006</v>
      </c>
      <c r="H202" s="9">
        <v>21636</v>
      </c>
      <c r="I202" s="14">
        <f>DATE(2012,12,31)-1239</f>
        <v>40035</v>
      </c>
      <c r="J202" s="15" t="s">
        <v>25</v>
      </c>
      <c r="K202" s="9">
        <v>35</v>
      </c>
      <c r="L202" s="16" t="s">
        <v>27</v>
      </c>
      <c r="M202" s="16">
        <f t="shared" si="14"/>
        <v>0.65111389343051651</v>
      </c>
      <c r="N202">
        <f t="shared" si="15"/>
        <v>0</v>
      </c>
      <c r="O202">
        <f t="shared" si="16"/>
        <v>0</v>
      </c>
      <c r="P202">
        <f t="shared" si="13"/>
        <v>5150</v>
      </c>
      <c r="Q202">
        <f t="shared" si="17"/>
        <v>5150</v>
      </c>
      <c r="T202" s="16">
        <f t="shared" si="18"/>
        <v>0.65111389343051607</v>
      </c>
    </row>
    <row r="203" spans="7:20" ht="14.4" x14ac:dyDescent="0.25">
      <c r="G203" s="10">
        <v>3052</v>
      </c>
      <c r="H203" s="9">
        <v>21889</v>
      </c>
      <c r="I203" s="14">
        <f>DATE(2012,12,31)-1005</f>
        <v>40269</v>
      </c>
      <c r="J203" s="15" t="s">
        <v>25</v>
      </c>
      <c r="K203" s="9">
        <v>21</v>
      </c>
      <c r="L203" s="16" t="s">
        <v>29</v>
      </c>
      <c r="M203" s="16">
        <f t="shared" si="14"/>
        <v>-0.31572297923858361</v>
      </c>
      <c r="N203">
        <f t="shared" si="15"/>
        <v>0</v>
      </c>
      <c r="O203">
        <f t="shared" si="16"/>
        <v>0</v>
      </c>
      <c r="P203">
        <f t="shared" si="13"/>
        <v>4450</v>
      </c>
      <c r="Q203">
        <f t="shared" si="17"/>
        <v>4450</v>
      </c>
      <c r="T203" s="16">
        <f t="shared" si="18"/>
        <v>-0.315722979238584</v>
      </c>
    </row>
    <row r="204" spans="7:20" ht="14.4" x14ac:dyDescent="0.25">
      <c r="G204" s="10">
        <v>3053</v>
      </c>
      <c r="H204" s="9">
        <v>21889</v>
      </c>
      <c r="I204" s="14">
        <f>DATE(2012,12,31)-1005</f>
        <v>40269</v>
      </c>
      <c r="J204" s="15" t="s">
        <v>25</v>
      </c>
      <c r="K204" s="9">
        <v>16</v>
      </c>
      <c r="L204" s="16" t="s">
        <v>26</v>
      </c>
      <c r="M204" s="16">
        <f t="shared" si="14"/>
        <v>-0.66102186233469074</v>
      </c>
      <c r="N204">
        <f t="shared" si="15"/>
        <v>0</v>
      </c>
      <c r="O204">
        <f t="shared" si="16"/>
        <v>0</v>
      </c>
      <c r="P204">
        <f t="shared" ref="P204:P267" si="19">50*K204+$P$10</f>
        <v>4200</v>
      </c>
      <c r="Q204">
        <f t="shared" si="17"/>
        <v>4200</v>
      </c>
      <c r="T204" s="16">
        <f t="shared" si="18"/>
        <v>-0.66102186233469118</v>
      </c>
    </row>
    <row r="205" spans="7:20" ht="14.4" x14ac:dyDescent="0.25">
      <c r="G205" s="10">
        <v>3089</v>
      </c>
      <c r="H205" s="9">
        <v>22151</v>
      </c>
      <c r="I205" s="14">
        <f>DATE(2012,12,31)-884</f>
        <v>40390</v>
      </c>
      <c r="J205" s="15" t="s">
        <v>17</v>
      </c>
      <c r="K205" s="9">
        <v>49</v>
      </c>
      <c r="L205" s="16" t="s">
        <v>29</v>
      </c>
      <c r="M205" s="16">
        <f t="shared" ref="M205:M268" si="20">(K205-$K$4)/$K$7</f>
        <v>1.6179507660996166</v>
      </c>
      <c r="N205">
        <f t="shared" ref="N205:N268" si="21">IF(MOD($B$20+G205,1000)=0,1,0)</f>
        <v>0</v>
      </c>
      <c r="O205">
        <f t="shared" ref="O205:O268" si="22">+ROUND(N205*(IF(K205&lt;$K$4,-4.5,10.5)*$P$5),-2)</f>
        <v>0</v>
      </c>
      <c r="P205">
        <f t="shared" si="19"/>
        <v>5850</v>
      </c>
      <c r="Q205">
        <f t="shared" ref="Q205:Q268" si="23">P205+O205</f>
        <v>5850</v>
      </c>
      <c r="T205" s="16">
        <f t="shared" ref="T205:T268" si="24">(Q205-$P$4)/$P$5</f>
        <v>1.6179507660996162</v>
      </c>
    </row>
    <row r="206" spans="7:20" ht="14.4" x14ac:dyDescent="0.25">
      <c r="G206" s="10">
        <v>3110</v>
      </c>
      <c r="H206" s="9">
        <v>22342</v>
      </c>
      <c r="I206" s="14">
        <f>DATE(2012,12,31)-1312</f>
        <v>39962</v>
      </c>
      <c r="J206" s="15" t="s">
        <v>25</v>
      </c>
      <c r="K206" s="9">
        <v>13</v>
      </c>
      <c r="L206" s="16" t="s">
        <v>27</v>
      </c>
      <c r="M206" s="16">
        <f t="shared" si="20"/>
        <v>-0.86820119219235514</v>
      </c>
      <c r="N206">
        <f t="shared" si="21"/>
        <v>0</v>
      </c>
      <c r="O206">
        <f t="shared" si="22"/>
        <v>0</v>
      </c>
      <c r="P206">
        <f t="shared" si="19"/>
        <v>4050</v>
      </c>
      <c r="Q206">
        <f t="shared" si="23"/>
        <v>4050</v>
      </c>
      <c r="T206" s="16">
        <f t="shared" si="24"/>
        <v>-0.86820119219235548</v>
      </c>
    </row>
    <row r="207" spans="7:20" ht="14.4" x14ac:dyDescent="0.25">
      <c r="G207" s="10">
        <v>3135</v>
      </c>
      <c r="H207" s="9">
        <v>22469</v>
      </c>
      <c r="I207" s="14">
        <f>DATE(2012,12,31)-812</f>
        <v>40462</v>
      </c>
      <c r="J207" s="15" t="s">
        <v>17</v>
      </c>
      <c r="K207" s="9">
        <v>44</v>
      </c>
      <c r="L207" s="16" t="s">
        <v>27</v>
      </c>
      <c r="M207" s="16">
        <f t="shared" si="20"/>
        <v>1.2726518830035094</v>
      </c>
      <c r="N207">
        <f t="shared" si="21"/>
        <v>0</v>
      </c>
      <c r="O207">
        <f t="shared" si="22"/>
        <v>0</v>
      </c>
      <c r="P207">
        <f t="shared" si="19"/>
        <v>5600</v>
      </c>
      <c r="Q207">
        <f t="shared" si="23"/>
        <v>5600</v>
      </c>
      <c r="T207" s="16">
        <f t="shared" si="24"/>
        <v>1.272651883003509</v>
      </c>
    </row>
    <row r="208" spans="7:20" ht="14.4" x14ac:dyDescent="0.25">
      <c r="G208" s="10">
        <v>3138</v>
      </c>
      <c r="H208" s="9">
        <v>22501</v>
      </c>
      <c r="I208" s="14">
        <f>DATE(2012,12,31)-958</f>
        <v>40316</v>
      </c>
      <c r="J208" s="15" t="s">
        <v>17</v>
      </c>
      <c r="K208" s="9">
        <v>2</v>
      </c>
      <c r="L208" s="16" t="s">
        <v>26</v>
      </c>
      <c r="M208" s="16">
        <f t="shared" si="20"/>
        <v>-1.627858735003791</v>
      </c>
      <c r="N208">
        <f t="shared" si="21"/>
        <v>0</v>
      </c>
      <c r="O208">
        <f t="shared" si="22"/>
        <v>0</v>
      </c>
      <c r="P208">
        <f t="shared" si="19"/>
        <v>3500</v>
      </c>
      <c r="Q208">
        <f t="shared" si="23"/>
        <v>3500</v>
      </c>
      <c r="T208" s="16">
        <f t="shared" si="24"/>
        <v>-1.6278587350037912</v>
      </c>
    </row>
    <row r="209" spans="7:20" ht="14.4" x14ac:dyDescent="0.25">
      <c r="G209" s="10">
        <v>3140</v>
      </c>
      <c r="H209" s="9">
        <v>22532</v>
      </c>
      <c r="I209" s="14">
        <f>DATE(2012,12,31)-692</f>
        <v>40582</v>
      </c>
      <c r="J209" s="15" t="s">
        <v>30</v>
      </c>
      <c r="K209" s="9">
        <v>13</v>
      </c>
      <c r="L209" s="16" t="s">
        <v>26</v>
      </c>
      <c r="M209" s="16">
        <f t="shared" si="20"/>
        <v>-0.86820119219235514</v>
      </c>
      <c r="N209">
        <f t="shared" si="21"/>
        <v>0</v>
      </c>
      <c r="O209">
        <f t="shared" si="22"/>
        <v>0</v>
      </c>
      <c r="P209">
        <f t="shared" si="19"/>
        <v>4050</v>
      </c>
      <c r="Q209">
        <f t="shared" si="23"/>
        <v>4050</v>
      </c>
      <c r="T209" s="16">
        <f t="shared" si="24"/>
        <v>-0.86820119219235548</v>
      </c>
    </row>
    <row r="210" spans="7:20" ht="14.4" x14ac:dyDescent="0.25">
      <c r="G210" s="10">
        <v>3244</v>
      </c>
      <c r="H210" s="9">
        <v>23264</v>
      </c>
      <c r="I210" s="14">
        <f>DATE(2012,12,31)-755</f>
        <v>40519</v>
      </c>
      <c r="J210" s="15" t="s">
        <v>30</v>
      </c>
      <c r="K210" s="9">
        <v>16</v>
      </c>
      <c r="L210" s="16" t="s">
        <v>26</v>
      </c>
      <c r="M210" s="16">
        <f t="shared" si="20"/>
        <v>-0.66102186233469074</v>
      </c>
      <c r="N210">
        <f t="shared" si="21"/>
        <v>0</v>
      </c>
      <c r="O210">
        <f t="shared" si="22"/>
        <v>0</v>
      </c>
      <c r="P210">
        <f t="shared" si="19"/>
        <v>4200</v>
      </c>
      <c r="Q210">
        <f t="shared" si="23"/>
        <v>4200</v>
      </c>
      <c r="T210" s="16">
        <f t="shared" si="24"/>
        <v>-0.66102186233469118</v>
      </c>
    </row>
    <row r="211" spans="7:20" ht="14.4" x14ac:dyDescent="0.25">
      <c r="G211" s="10">
        <v>3245</v>
      </c>
      <c r="H211" s="9">
        <v>23264</v>
      </c>
      <c r="I211" s="14">
        <f>DATE(2012,12,31)-755</f>
        <v>40519</v>
      </c>
      <c r="J211" s="15" t="s">
        <v>30</v>
      </c>
      <c r="K211" s="9">
        <v>27</v>
      </c>
      <c r="L211" s="16" t="s">
        <v>26</v>
      </c>
      <c r="M211" s="16">
        <f t="shared" si="20"/>
        <v>9.8635680476745008E-2</v>
      </c>
      <c r="N211">
        <f t="shared" si="21"/>
        <v>0</v>
      </c>
      <c r="O211">
        <f t="shared" si="22"/>
        <v>0</v>
      </c>
      <c r="P211">
        <f t="shared" si="19"/>
        <v>4750</v>
      </c>
      <c r="Q211">
        <f t="shared" si="23"/>
        <v>4750</v>
      </c>
      <c r="T211" s="16">
        <f t="shared" si="24"/>
        <v>9.8635680476744619E-2</v>
      </c>
    </row>
    <row r="212" spans="7:20" ht="14.4" x14ac:dyDescent="0.25">
      <c r="G212" s="10">
        <v>3284</v>
      </c>
      <c r="H212" s="9">
        <v>23488</v>
      </c>
      <c r="I212" s="14">
        <f>DATE(2012,12,31)-1455</f>
        <v>39819</v>
      </c>
      <c r="J212" s="15" t="s">
        <v>30</v>
      </c>
      <c r="K212" s="9">
        <v>30</v>
      </c>
      <c r="L212" s="16" t="s">
        <v>29</v>
      </c>
      <c r="M212" s="16">
        <f t="shared" si="20"/>
        <v>0.30581501033440933</v>
      </c>
      <c r="N212">
        <f t="shared" si="21"/>
        <v>0</v>
      </c>
      <c r="O212">
        <f t="shared" si="22"/>
        <v>0</v>
      </c>
      <c r="P212">
        <f t="shared" si="19"/>
        <v>4900</v>
      </c>
      <c r="Q212">
        <f t="shared" si="23"/>
        <v>4900</v>
      </c>
      <c r="T212" s="16">
        <f t="shared" si="24"/>
        <v>0.30581501033440894</v>
      </c>
    </row>
    <row r="213" spans="7:20" ht="14.4" x14ac:dyDescent="0.25">
      <c r="G213" s="10">
        <v>3300</v>
      </c>
      <c r="H213" s="9">
        <v>23584</v>
      </c>
      <c r="I213" s="14">
        <f>DATE(2012,12,31)-294</f>
        <v>40980</v>
      </c>
      <c r="J213" s="15" t="s">
        <v>30</v>
      </c>
      <c r="K213" s="9">
        <v>14</v>
      </c>
      <c r="L213" s="16" t="s">
        <v>27</v>
      </c>
      <c r="M213" s="16">
        <f t="shared" si="20"/>
        <v>-0.79914141557313367</v>
      </c>
      <c r="N213">
        <f t="shared" si="21"/>
        <v>0</v>
      </c>
      <c r="O213">
        <f t="shared" si="22"/>
        <v>0</v>
      </c>
      <c r="P213">
        <f t="shared" si="19"/>
        <v>4100</v>
      </c>
      <c r="Q213">
        <f t="shared" si="23"/>
        <v>4100</v>
      </c>
      <c r="T213" s="16">
        <f t="shared" si="24"/>
        <v>-0.79914141557313401</v>
      </c>
    </row>
    <row r="214" spans="7:20" ht="14.4" x14ac:dyDescent="0.25">
      <c r="G214" s="10">
        <v>3355</v>
      </c>
      <c r="H214" s="9">
        <v>24007</v>
      </c>
      <c r="I214" s="14">
        <f>DATE(2012,12,31)-858</f>
        <v>40416</v>
      </c>
      <c r="J214" s="15" t="s">
        <v>25</v>
      </c>
      <c r="K214" s="9">
        <v>26</v>
      </c>
      <c r="L214" s="16" t="s">
        <v>27</v>
      </c>
      <c r="M214" s="16">
        <f t="shared" si="20"/>
        <v>2.9575903857523567E-2</v>
      </c>
      <c r="N214">
        <f t="shared" si="21"/>
        <v>0</v>
      </c>
      <c r="O214">
        <f t="shared" si="22"/>
        <v>0</v>
      </c>
      <c r="P214">
        <f t="shared" si="19"/>
        <v>4700</v>
      </c>
      <c r="Q214">
        <f t="shared" si="23"/>
        <v>4700</v>
      </c>
      <c r="T214" s="16">
        <f t="shared" si="24"/>
        <v>2.9575903857523185E-2</v>
      </c>
    </row>
    <row r="215" spans="7:20" ht="14.4" x14ac:dyDescent="0.25">
      <c r="G215" s="10">
        <v>3356</v>
      </c>
      <c r="H215" s="9">
        <v>24007</v>
      </c>
      <c r="I215" s="14">
        <f>DATE(2012,12,31)-858</f>
        <v>40416</v>
      </c>
      <c r="J215" s="15" t="s">
        <v>25</v>
      </c>
      <c r="K215" s="9">
        <v>28</v>
      </c>
      <c r="L215" s="16" t="s">
        <v>26</v>
      </c>
      <c r="M215" s="16">
        <f t="shared" si="20"/>
        <v>0.16769545709596645</v>
      </c>
      <c r="N215">
        <f t="shared" si="21"/>
        <v>0</v>
      </c>
      <c r="O215">
        <f t="shared" si="22"/>
        <v>0</v>
      </c>
      <c r="P215">
        <f t="shared" si="19"/>
        <v>4800</v>
      </c>
      <c r="Q215">
        <f t="shared" si="23"/>
        <v>4800</v>
      </c>
      <c r="T215" s="16">
        <f t="shared" si="24"/>
        <v>0.16769545709596606</v>
      </c>
    </row>
    <row r="216" spans="7:20" ht="14.4" x14ac:dyDescent="0.25">
      <c r="G216" s="10">
        <v>3357</v>
      </c>
      <c r="H216" s="9">
        <v>24007</v>
      </c>
      <c r="I216" s="14">
        <f>DATE(2012,12,31)-858</f>
        <v>40416</v>
      </c>
      <c r="J216" s="15" t="s">
        <v>25</v>
      </c>
      <c r="K216" s="9">
        <v>42</v>
      </c>
      <c r="L216" s="16" t="s">
        <v>26</v>
      </c>
      <c r="M216" s="16">
        <f t="shared" si="20"/>
        <v>1.1345323297650665</v>
      </c>
      <c r="N216">
        <f t="shared" si="21"/>
        <v>0</v>
      </c>
      <c r="O216">
        <f t="shared" si="22"/>
        <v>0</v>
      </c>
      <c r="P216">
        <f t="shared" si="19"/>
        <v>5500</v>
      </c>
      <c r="Q216">
        <f t="shared" si="23"/>
        <v>5500</v>
      </c>
      <c r="T216" s="16">
        <f t="shared" si="24"/>
        <v>1.1345323297650662</v>
      </c>
    </row>
    <row r="217" spans="7:20" ht="14.4" x14ac:dyDescent="0.25">
      <c r="G217" s="10">
        <v>3359</v>
      </c>
      <c r="H217" s="9">
        <v>24038</v>
      </c>
      <c r="I217" s="14">
        <f>DATE(2012,12,31)-560</f>
        <v>40714</v>
      </c>
      <c r="J217" s="15" t="s">
        <v>17</v>
      </c>
      <c r="K217" s="9">
        <v>38</v>
      </c>
      <c r="L217" s="16" t="s">
        <v>26</v>
      </c>
      <c r="M217" s="16">
        <f t="shared" si="20"/>
        <v>0.85829322328818081</v>
      </c>
      <c r="N217">
        <f t="shared" si="21"/>
        <v>0</v>
      </c>
      <c r="O217">
        <f t="shared" si="22"/>
        <v>0</v>
      </c>
      <c r="P217">
        <f t="shared" si="19"/>
        <v>5300</v>
      </c>
      <c r="Q217">
        <f t="shared" si="23"/>
        <v>5300</v>
      </c>
      <c r="T217" s="16">
        <f t="shared" si="24"/>
        <v>0.85829322328818036</v>
      </c>
    </row>
    <row r="218" spans="7:20" ht="14.4" x14ac:dyDescent="0.25">
      <c r="G218" s="10">
        <v>3371</v>
      </c>
      <c r="H218" s="9">
        <v>24097</v>
      </c>
      <c r="I218" s="14">
        <f>DATE(2012,12,31)-880</f>
        <v>40394</v>
      </c>
      <c r="J218" s="15" t="s">
        <v>17</v>
      </c>
      <c r="K218" s="9">
        <v>1</v>
      </c>
      <c r="L218" s="16" t="s">
        <v>27</v>
      </c>
      <c r="M218" s="16">
        <f t="shared" si="20"/>
        <v>-1.6969185116230123</v>
      </c>
      <c r="N218">
        <f t="shared" si="21"/>
        <v>0</v>
      </c>
      <c r="O218">
        <f t="shared" si="22"/>
        <v>0</v>
      </c>
      <c r="P218">
        <f t="shared" si="19"/>
        <v>3450</v>
      </c>
      <c r="Q218">
        <f t="shared" si="23"/>
        <v>3450</v>
      </c>
      <c r="T218" s="16">
        <f t="shared" si="24"/>
        <v>-1.6969185116230128</v>
      </c>
    </row>
    <row r="219" spans="7:20" ht="14.4" x14ac:dyDescent="0.25">
      <c r="G219" s="10">
        <v>3372</v>
      </c>
      <c r="H219" s="9">
        <v>24097</v>
      </c>
      <c r="I219" s="14">
        <f>DATE(2012,12,31)-880</f>
        <v>40394</v>
      </c>
      <c r="J219" s="15" t="s">
        <v>17</v>
      </c>
      <c r="K219" s="9">
        <v>27</v>
      </c>
      <c r="L219" s="16" t="s">
        <v>27</v>
      </c>
      <c r="M219" s="16">
        <f t="shared" si="20"/>
        <v>9.8635680476745008E-2</v>
      </c>
      <c r="N219">
        <f t="shared" si="21"/>
        <v>0</v>
      </c>
      <c r="O219">
        <f t="shared" si="22"/>
        <v>0</v>
      </c>
      <c r="P219">
        <f t="shared" si="19"/>
        <v>4750</v>
      </c>
      <c r="Q219">
        <f t="shared" si="23"/>
        <v>4750</v>
      </c>
      <c r="T219" s="16">
        <f t="shared" si="24"/>
        <v>9.8635680476744619E-2</v>
      </c>
    </row>
    <row r="220" spans="7:20" ht="14.4" x14ac:dyDescent="0.25">
      <c r="G220" s="10">
        <v>3373</v>
      </c>
      <c r="H220" s="9">
        <v>24097</v>
      </c>
      <c r="I220" s="14">
        <f>DATE(2012,12,31)-880</f>
        <v>40394</v>
      </c>
      <c r="J220" s="15" t="s">
        <v>17</v>
      </c>
      <c r="K220" s="9">
        <v>2</v>
      </c>
      <c r="L220" s="16" t="s">
        <v>26</v>
      </c>
      <c r="M220" s="16">
        <f t="shared" si="20"/>
        <v>-1.627858735003791</v>
      </c>
      <c r="N220">
        <f t="shared" si="21"/>
        <v>0</v>
      </c>
      <c r="O220">
        <f t="shared" si="22"/>
        <v>0</v>
      </c>
      <c r="P220">
        <f t="shared" si="19"/>
        <v>3500</v>
      </c>
      <c r="Q220">
        <f t="shared" si="23"/>
        <v>3500</v>
      </c>
      <c r="T220" s="16">
        <f t="shared" si="24"/>
        <v>-1.6278587350037912</v>
      </c>
    </row>
    <row r="221" spans="7:20" ht="14.4" x14ac:dyDescent="0.25">
      <c r="G221" s="10">
        <v>3380</v>
      </c>
      <c r="H221" s="9">
        <v>24128</v>
      </c>
      <c r="I221" s="14">
        <f>DATE(2012,12,31)-769</f>
        <v>40505</v>
      </c>
      <c r="J221" s="15" t="s">
        <v>17</v>
      </c>
      <c r="K221" s="9">
        <v>13</v>
      </c>
      <c r="L221" s="16" t="s">
        <v>26</v>
      </c>
      <c r="M221" s="16">
        <f t="shared" si="20"/>
        <v>-0.86820119219235514</v>
      </c>
      <c r="N221">
        <f t="shared" si="21"/>
        <v>0</v>
      </c>
      <c r="O221">
        <f t="shared" si="22"/>
        <v>0</v>
      </c>
      <c r="P221">
        <f t="shared" si="19"/>
        <v>4050</v>
      </c>
      <c r="Q221">
        <f t="shared" si="23"/>
        <v>4050</v>
      </c>
      <c r="T221" s="16">
        <f t="shared" si="24"/>
        <v>-0.86820119219235548</v>
      </c>
    </row>
    <row r="222" spans="7:20" ht="14.4" x14ac:dyDescent="0.25">
      <c r="G222" s="10">
        <v>3381</v>
      </c>
      <c r="H222" s="9">
        <v>24128</v>
      </c>
      <c r="I222" s="14">
        <f>DATE(2012,12,31)-769</f>
        <v>40505</v>
      </c>
      <c r="J222" s="15" t="s">
        <v>17</v>
      </c>
      <c r="K222" s="9">
        <v>43</v>
      </c>
      <c r="L222" s="16" t="s">
        <v>27</v>
      </c>
      <c r="M222" s="16">
        <f t="shared" si="20"/>
        <v>1.203592106384288</v>
      </c>
      <c r="N222">
        <f t="shared" si="21"/>
        <v>0</v>
      </c>
      <c r="O222">
        <f t="shared" si="22"/>
        <v>0</v>
      </c>
      <c r="P222">
        <f t="shared" si="19"/>
        <v>5550</v>
      </c>
      <c r="Q222">
        <f t="shared" si="23"/>
        <v>5550</v>
      </c>
      <c r="T222" s="16">
        <f t="shared" si="24"/>
        <v>1.2035921063842876</v>
      </c>
    </row>
    <row r="223" spans="7:20" ht="14.4" x14ac:dyDescent="0.25">
      <c r="G223" s="10">
        <v>3406</v>
      </c>
      <c r="H223" s="9">
        <v>24294</v>
      </c>
      <c r="I223" s="14">
        <f>DATE(2012,12,31)-1247</f>
        <v>40027</v>
      </c>
      <c r="J223" s="15" t="s">
        <v>28</v>
      </c>
      <c r="K223" s="9">
        <v>24</v>
      </c>
      <c r="L223" s="16" t="s">
        <v>27</v>
      </c>
      <c r="M223" s="16">
        <f t="shared" si="20"/>
        <v>-0.1085436493809193</v>
      </c>
      <c r="N223">
        <f t="shared" si="21"/>
        <v>0</v>
      </c>
      <c r="O223">
        <f t="shared" si="22"/>
        <v>0</v>
      </c>
      <c r="P223">
        <f t="shared" si="19"/>
        <v>4600</v>
      </c>
      <c r="Q223">
        <f t="shared" si="23"/>
        <v>4600</v>
      </c>
      <c r="T223" s="16">
        <f t="shared" si="24"/>
        <v>-0.10854364938091969</v>
      </c>
    </row>
    <row r="224" spans="7:20" ht="14.4" x14ac:dyDescent="0.25">
      <c r="G224" s="10">
        <v>3418</v>
      </c>
      <c r="H224" s="9">
        <v>24387</v>
      </c>
      <c r="I224" s="14">
        <f>DATE(2012,12,31)-509</f>
        <v>40765</v>
      </c>
      <c r="J224" s="15" t="s">
        <v>30</v>
      </c>
      <c r="K224" s="9">
        <v>23</v>
      </c>
      <c r="L224" s="16" t="s">
        <v>29</v>
      </c>
      <c r="M224" s="16">
        <f t="shared" si="20"/>
        <v>-0.17760342600014073</v>
      </c>
      <c r="N224">
        <f t="shared" si="21"/>
        <v>0</v>
      </c>
      <c r="O224">
        <f t="shared" si="22"/>
        <v>0</v>
      </c>
      <c r="P224">
        <f t="shared" si="19"/>
        <v>4550</v>
      </c>
      <c r="Q224">
        <f t="shared" si="23"/>
        <v>4550</v>
      </c>
      <c r="T224" s="16">
        <f t="shared" si="24"/>
        <v>-0.17760342600014112</v>
      </c>
    </row>
    <row r="225" spans="7:20" ht="14.4" x14ac:dyDescent="0.25">
      <c r="G225" s="10">
        <v>3419</v>
      </c>
      <c r="H225" s="9">
        <v>24387</v>
      </c>
      <c r="I225" s="14">
        <f>DATE(2012,12,31)-509</f>
        <v>40765</v>
      </c>
      <c r="J225" s="15" t="s">
        <v>30</v>
      </c>
      <c r="K225" s="9">
        <v>17</v>
      </c>
      <c r="L225" s="16" t="s">
        <v>29</v>
      </c>
      <c r="M225" s="16">
        <f t="shared" si="20"/>
        <v>-0.59196208571546938</v>
      </c>
      <c r="N225">
        <f t="shared" si="21"/>
        <v>0</v>
      </c>
      <c r="O225">
        <f t="shared" si="22"/>
        <v>0</v>
      </c>
      <c r="P225">
        <f t="shared" si="19"/>
        <v>4250</v>
      </c>
      <c r="Q225">
        <f t="shared" si="23"/>
        <v>4250</v>
      </c>
      <c r="T225" s="16">
        <f t="shared" si="24"/>
        <v>-0.59196208571546971</v>
      </c>
    </row>
    <row r="226" spans="7:20" ht="14.4" x14ac:dyDescent="0.25">
      <c r="G226" s="10">
        <v>3434</v>
      </c>
      <c r="H226" s="9">
        <v>24515</v>
      </c>
      <c r="I226" s="14">
        <f>DATE(2012,12,31)-970</f>
        <v>40304</v>
      </c>
      <c r="J226" s="15" t="s">
        <v>30</v>
      </c>
      <c r="K226" s="9">
        <v>41</v>
      </c>
      <c r="L226" s="16" t="s">
        <v>27</v>
      </c>
      <c r="M226" s="16">
        <f t="shared" si="20"/>
        <v>1.0654725531458451</v>
      </c>
      <c r="N226">
        <f t="shared" si="21"/>
        <v>0</v>
      </c>
      <c r="O226">
        <f t="shared" si="22"/>
        <v>0</v>
      </c>
      <c r="P226">
        <f t="shared" si="19"/>
        <v>5450</v>
      </c>
      <c r="Q226">
        <f t="shared" si="23"/>
        <v>5450</v>
      </c>
      <c r="T226" s="16">
        <f t="shared" si="24"/>
        <v>1.0654725531458447</v>
      </c>
    </row>
    <row r="227" spans="7:20" ht="14.4" x14ac:dyDescent="0.25">
      <c r="G227" s="10">
        <v>3478</v>
      </c>
      <c r="H227" s="9">
        <v>24743</v>
      </c>
      <c r="I227" s="14">
        <f>DATE(2012,12,31)-186</f>
        <v>41088</v>
      </c>
      <c r="J227" s="15" t="s">
        <v>25</v>
      </c>
      <c r="K227" s="9">
        <v>47</v>
      </c>
      <c r="L227" s="16" t="s">
        <v>29</v>
      </c>
      <c r="M227" s="16">
        <f t="shared" si="20"/>
        <v>1.4798312128611737</v>
      </c>
      <c r="N227">
        <f t="shared" si="21"/>
        <v>0</v>
      </c>
      <c r="O227">
        <f t="shared" si="22"/>
        <v>0</v>
      </c>
      <c r="P227">
        <f t="shared" si="19"/>
        <v>5750</v>
      </c>
      <c r="Q227">
        <f t="shared" si="23"/>
        <v>5750</v>
      </c>
      <c r="T227" s="16">
        <f t="shared" si="24"/>
        <v>1.4798312128611733</v>
      </c>
    </row>
    <row r="228" spans="7:20" ht="14.4" x14ac:dyDescent="0.25">
      <c r="G228" s="10">
        <v>3479</v>
      </c>
      <c r="H228" s="9">
        <v>24743</v>
      </c>
      <c r="I228" s="14">
        <f>DATE(2012,12,31)-186</f>
        <v>41088</v>
      </c>
      <c r="J228" s="15" t="s">
        <v>25</v>
      </c>
      <c r="K228" s="9">
        <v>26</v>
      </c>
      <c r="L228" s="16" t="s">
        <v>29</v>
      </c>
      <c r="M228" s="16">
        <f t="shared" si="20"/>
        <v>2.9575903857523567E-2</v>
      </c>
      <c r="N228">
        <f t="shared" si="21"/>
        <v>0</v>
      </c>
      <c r="O228">
        <f t="shared" si="22"/>
        <v>0</v>
      </c>
      <c r="P228">
        <f t="shared" si="19"/>
        <v>4700</v>
      </c>
      <c r="Q228">
        <f t="shared" si="23"/>
        <v>4700</v>
      </c>
      <c r="T228" s="16">
        <f t="shared" si="24"/>
        <v>2.9575903857523185E-2</v>
      </c>
    </row>
    <row r="229" spans="7:20" ht="14.4" x14ac:dyDescent="0.25">
      <c r="G229" s="10">
        <v>3493</v>
      </c>
      <c r="H229" s="9">
        <v>24871</v>
      </c>
      <c r="I229" s="14">
        <f>DATE(2012,12,31)-649</f>
        <v>40625</v>
      </c>
      <c r="J229" s="15" t="s">
        <v>16</v>
      </c>
      <c r="K229" s="9">
        <v>6</v>
      </c>
      <c r="L229" s="16" t="s">
        <v>29</v>
      </c>
      <c r="M229" s="16">
        <f t="shared" si="20"/>
        <v>-1.3516196285269051</v>
      </c>
      <c r="N229">
        <f t="shared" si="21"/>
        <v>0</v>
      </c>
      <c r="O229">
        <f t="shared" si="22"/>
        <v>0</v>
      </c>
      <c r="P229">
        <f t="shared" si="19"/>
        <v>3700</v>
      </c>
      <c r="Q229">
        <f t="shared" si="23"/>
        <v>3700</v>
      </c>
      <c r="T229" s="16">
        <f t="shared" si="24"/>
        <v>-1.3516196285269055</v>
      </c>
    </row>
    <row r="230" spans="7:20" ht="14.4" x14ac:dyDescent="0.25">
      <c r="G230" s="10">
        <v>3552</v>
      </c>
      <c r="H230" s="9">
        <v>25318</v>
      </c>
      <c r="I230" s="14">
        <f>DATE(2012,12,31)-408</f>
        <v>40866</v>
      </c>
      <c r="J230" s="15" t="s">
        <v>30</v>
      </c>
      <c r="K230" s="9">
        <v>22</v>
      </c>
      <c r="L230" s="16" t="s">
        <v>29</v>
      </c>
      <c r="M230" s="16">
        <f t="shared" si="20"/>
        <v>-0.24666320261936217</v>
      </c>
      <c r="N230">
        <f t="shared" si="21"/>
        <v>0</v>
      </c>
      <c r="O230">
        <f t="shared" si="22"/>
        <v>0</v>
      </c>
      <c r="P230">
        <f t="shared" si="19"/>
        <v>4500</v>
      </c>
      <c r="Q230">
        <f t="shared" si="23"/>
        <v>4500</v>
      </c>
      <c r="T230" s="16">
        <f t="shared" si="24"/>
        <v>-0.24666320261936256</v>
      </c>
    </row>
    <row r="231" spans="7:20" ht="14.4" x14ac:dyDescent="0.25">
      <c r="G231" s="10">
        <v>3560</v>
      </c>
      <c r="H231" s="9">
        <v>25377</v>
      </c>
      <c r="I231" s="14">
        <f>DATE(2012,12,31)-35</f>
        <v>41239</v>
      </c>
      <c r="J231" s="15" t="s">
        <v>25</v>
      </c>
      <c r="K231" s="9">
        <v>3</v>
      </c>
      <c r="L231" s="16" t="s">
        <v>27</v>
      </c>
      <c r="M231" s="16">
        <f t="shared" si="20"/>
        <v>-1.5587989583845694</v>
      </c>
      <c r="N231">
        <f t="shared" si="21"/>
        <v>0</v>
      </c>
      <c r="O231">
        <f t="shared" si="22"/>
        <v>0</v>
      </c>
      <c r="P231">
        <f t="shared" si="19"/>
        <v>3550</v>
      </c>
      <c r="Q231">
        <f t="shared" si="23"/>
        <v>3550</v>
      </c>
      <c r="T231" s="16">
        <f t="shared" si="24"/>
        <v>-1.5587989583845698</v>
      </c>
    </row>
    <row r="232" spans="7:20" ht="14.4" x14ac:dyDescent="0.25">
      <c r="G232" s="10">
        <v>3591</v>
      </c>
      <c r="H232" s="9">
        <v>25634</v>
      </c>
      <c r="I232" s="14">
        <f>DATE(2012,12,31)-886</f>
        <v>40388</v>
      </c>
      <c r="J232" s="15" t="s">
        <v>28</v>
      </c>
      <c r="K232" s="9">
        <v>29</v>
      </c>
      <c r="L232" s="16" t="s">
        <v>27</v>
      </c>
      <c r="M232" s="16">
        <f t="shared" si="20"/>
        <v>0.23675523371518786</v>
      </c>
      <c r="N232">
        <f t="shared" si="21"/>
        <v>0</v>
      </c>
      <c r="O232">
        <f t="shared" si="22"/>
        <v>0</v>
      </c>
      <c r="P232">
        <f t="shared" si="19"/>
        <v>4850</v>
      </c>
      <c r="Q232">
        <f t="shared" si="23"/>
        <v>4850</v>
      </c>
      <c r="T232" s="16">
        <f t="shared" si="24"/>
        <v>0.2367552337151875</v>
      </c>
    </row>
    <row r="233" spans="7:20" ht="14.4" x14ac:dyDescent="0.25">
      <c r="G233" s="10">
        <v>3592</v>
      </c>
      <c r="H233" s="9">
        <v>25634</v>
      </c>
      <c r="I233" s="14">
        <f>DATE(2012,12,31)-886</f>
        <v>40388</v>
      </c>
      <c r="J233" s="15" t="s">
        <v>28</v>
      </c>
      <c r="K233" s="9">
        <v>26</v>
      </c>
      <c r="L233" s="16" t="s">
        <v>26</v>
      </c>
      <c r="M233" s="16">
        <f t="shared" si="20"/>
        <v>2.9575903857523567E-2</v>
      </c>
      <c r="N233">
        <f t="shared" si="21"/>
        <v>0</v>
      </c>
      <c r="O233">
        <f t="shared" si="22"/>
        <v>0</v>
      </c>
      <c r="P233">
        <f t="shared" si="19"/>
        <v>4700</v>
      </c>
      <c r="Q233">
        <f t="shared" si="23"/>
        <v>4700</v>
      </c>
      <c r="T233" s="16">
        <f t="shared" si="24"/>
        <v>2.9575903857523185E-2</v>
      </c>
    </row>
    <row r="234" spans="7:20" ht="14.4" x14ac:dyDescent="0.25">
      <c r="G234" s="10">
        <v>3602</v>
      </c>
      <c r="H234" s="9">
        <v>25733</v>
      </c>
      <c r="I234" s="14">
        <f>DATE(2012,12,31)-233</f>
        <v>41041</v>
      </c>
      <c r="J234" s="15" t="s">
        <v>25</v>
      </c>
      <c r="K234" s="9">
        <v>24</v>
      </c>
      <c r="L234" s="16" t="s">
        <v>26</v>
      </c>
      <c r="M234" s="16">
        <f t="shared" si="20"/>
        <v>-0.1085436493809193</v>
      </c>
      <c r="N234">
        <f t="shared" si="21"/>
        <v>0</v>
      </c>
      <c r="O234">
        <f t="shared" si="22"/>
        <v>0</v>
      </c>
      <c r="P234">
        <f t="shared" si="19"/>
        <v>4600</v>
      </c>
      <c r="Q234">
        <f t="shared" si="23"/>
        <v>4600</v>
      </c>
      <c r="T234" s="16">
        <f t="shared" si="24"/>
        <v>-0.10854364938091969</v>
      </c>
    </row>
    <row r="235" spans="7:20" ht="14.4" x14ac:dyDescent="0.25">
      <c r="G235" s="10">
        <v>3604</v>
      </c>
      <c r="H235" s="9">
        <v>25767</v>
      </c>
      <c r="I235" s="14">
        <f>DATE(2012,12,31)-303</f>
        <v>40971</v>
      </c>
      <c r="J235" s="15" t="s">
        <v>17</v>
      </c>
      <c r="K235" s="9">
        <v>7</v>
      </c>
      <c r="L235" s="16" t="s">
        <v>27</v>
      </c>
      <c r="M235" s="16">
        <f t="shared" si="20"/>
        <v>-1.2825598519076837</v>
      </c>
      <c r="N235">
        <f t="shared" si="21"/>
        <v>0</v>
      </c>
      <c r="O235">
        <f t="shared" si="22"/>
        <v>0</v>
      </c>
      <c r="P235">
        <f t="shared" si="19"/>
        <v>3750</v>
      </c>
      <c r="Q235">
        <f t="shared" si="23"/>
        <v>3750</v>
      </c>
      <c r="T235" s="16">
        <f t="shared" si="24"/>
        <v>-1.2825598519076842</v>
      </c>
    </row>
    <row r="236" spans="7:20" ht="14.4" x14ac:dyDescent="0.25">
      <c r="G236" s="10">
        <v>3605</v>
      </c>
      <c r="H236" s="9">
        <v>25767</v>
      </c>
      <c r="I236" s="14">
        <f>DATE(2012,12,31)-303</f>
        <v>40971</v>
      </c>
      <c r="J236" s="15" t="s">
        <v>17</v>
      </c>
      <c r="K236" s="9">
        <v>15</v>
      </c>
      <c r="L236" s="16" t="s">
        <v>26</v>
      </c>
      <c r="M236" s="16">
        <f t="shared" si="20"/>
        <v>-0.7300816389539122</v>
      </c>
      <c r="N236">
        <f t="shared" si="21"/>
        <v>0</v>
      </c>
      <c r="O236">
        <f t="shared" si="22"/>
        <v>0</v>
      </c>
      <c r="P236">
        <f t="shared" si="19"/>
        <v>4150</v>
      </c>
      <c r="Q236">
        <f t="shared" si="23"/>
        <v>4150</v>
      </c>
      <c r="T236" s="16">
        <f t="shared" si="24"/>
        <v>-0.73008163895391265</v>
      </c>
    </row>
    <row r="237" spans="7:20" ht="14.4" x14ac:dyDescent="0.25">
      <c r="G237" s="10">
        <v>3641</v>
      </c>
      <c r="H237" s="9">
        <v>26023</v>
      </c>
      <c r="I237" s="14">
        <f>DATE(2012,12,31)-864</f>
        <v>40410</v>
      </c>
      <c r="J237" s="15" t="s">
        <v>17</v>
      </c>
      <c r="K237" s="9">
        <v>49</v>
      </c>
      <c r="L237" s="16" t="s">
        <v>26</v>
      </c>
      <c r="M237" s="16">
        <f t="shared" si="20"/>
        <v>1.6179507660996166</v>
      </c>
      <c r="N237">
        <f t="shared" si="21"/>
        <v>0</v>
      </c>
      <c r="O237">
        <f t="shared" si="22"/>
        <v>0</v>
      </c>
      <c r="P237">
        <f t="shared" si="19"/>
        <v>5850</v>
      </c>
      <c r="Q237">
        <f t="shared" si="23"/>
        <v>5850</v>
      </c>
      <c r="T237" s="16">
        <f t="shared" si="24"/>
        <v>1.6179507660996162</v>
      </c>
    </row>
    <row r="238" spans="7:20" ht="14.4" x14ac:dyDescent="0.25">
      <c r="G238" s="10">
        <v>3643</v>
      </c>
      <c r="H238" s="9">
        <v>26051</v>
      </c>
      <c r="I238" s="14">
        <f>DATE(2012,12,31)-918</f>
        <v>40356</v>
      </c>
      <c r="J238" s="15" t="s">
        <v>28</v>
      </c>
      <c r="K238" s="9">
        <v>22</v>
      </c>
      <c r="L238" s="16" t="s">
        <v>29</v>
      </c>
      <c r="M238" s="16">
        <f t="shared" si="20"/>
        <v>-0.24666320261936217</v>
      </c>
      <c r="N238">
        <f t="shared" si="21"/>
        <v>0</v>
      </c>
      <c r="O238">
        <f t="shared" si="22"/>
        <v>0</v>
      </c>
      <c r="P238">
        <f t="shared" si="19"/>
        <v>4500</v>
      </c>
      <c r="Q238">
        <f t="shared" si="23"/>
        <v>4500</v>
      </c>
      <c r="T238" s="16">
        <f t="shared" si="24"/>
        <v>-0.24666320261936256</v>
      </c>
    </row>
    <row r="239" spans="7:20" ht="14.4" x14ac:dyDescent="0.25">
      <c r="G239" s="10">
        <v>3644</v>
      </c>
      <c r="H239" s="9">
        <v>26051</v>
      </c>
      <c r="I239" s="14">
        <f>DATE(2012,12,31)-918</f>
        <v>40356</v>
      </c>
      <c r="J239" s="15" t="s">
        <v>28</v>
      </c>
      <c r="K239" s="9">
        <v>31</v>
      </c>
      <c r="L239" s="16" t="s">
        <v>27</v>
      </c>
      <c r="M239" s="16">
        <f t="shared" si="20"/>
        <v>0.37487478695363075</v>
      </c>
      <c r="N239">
        <f t="shared" si="21"/>
        <v>0</v>
      </c>
      <c r="O239">
        <f t="shared" si="22"/>
        <v>0</v>
      </c>
      <c r="P239">
        <f t="shared" si="19"/>
        <v>4950</v>
      </c>
      <c r="Q239">
        <f t="shared" si="23"/>
        <v>4950</v>
      </c>
      <c r="T239" s="16">
        <f t="shared" si="24"/>
        <v>0.37487478695363036</v>
      </c>
    </row>
    <row r="240" spans="7:20" ht="14.4" x14ac:dyDescent="0.25">
      <c r="G240" s="10">
        <v>3649</v>
      </c>
      <c r="H240" s="9">
        <v>26116</v>
      </c>
      <c r="I240" s="14">
        <f>DATE(2012,12,31)-63</f>
        <v>41211</v>
      </c>
      <c r="J240" s="15" t="s">
        <v>30</v>
      </c>
      <c r="K240" s="9">
        <v>36</v>
      </c>
      <c r="L240" s="16" t="s">
        <v>26</v>
      </c>
      <c r="M240" s="16">
        <f t="shared" si="20"/>
        <v>0.72017367004973787</v>
      </c>
      <c r="N240">
        <f t="shared" si="21"/>
        <v>0</v>
      </c>
      <c r="O240">
        <f t="shared" si="22"/>
        <v>0</v>
      </c>
      <c r="P240">
        <f t="shared" si="19"/>
        <v>5200</v>
      </c>
      <c r="Q240">
        <f t="shared" si="23"/>
        <v>5200</v>
      </c>
      <c r="T240" s="16">
        <f t="shared" si="24"/>
        <v>0.72017367004973754</v>
      </c>
    </row>
    <row r="241" spans="7:20" ht="14.4" x14ac:dyDescent="0.25">
      <c r="G241" s="10">
        <v>3658</v>
      </c>
      <c r="H241" s="9">
        <v>26182</v>
      </c>
      <c r="I241" s="14">
        <f>DATE(2012,12,31)-1080</f>
        <v>40194</v>
      </c>
      <c r="J241" s="15" t="s">
        <v>28</v>
      </c>
      <c r="K241" s="9">
        <v>30</v>
      </c>
      <c r="L241" s="16" t="s">
        <v>29</v>
      </c>
      <c r="M241" s="16">
        <f t="shared" si="20"/>
        <v>0.30581501033440933</v>
      </c>
      <c r="N241">
        <f t="shared" si="21"/>
        <v>0</v>
      </c>
      <c r="O241">
        <f t="shared" si="22"/>
        <v>0</v>
      </c>
      <c r="P241">
        <f t="shared" si="19"/>
        <v>4900</v>
      </c>
      <c r="Q241">
        <f t="shared" si="23"/>
        <v>4900</v>
      </c>
      <c r="T241" s="16">
        <f t="shared" si="24"/>
        <v>0.30581501033440894</v>
      </c>
    </row>
    <row r="242" spans="7:20" ht="14.4" x14ac:dyDescent="0.25">
      <c r="G242" s="10">
        <v>3666</v>
      </c>
      <c r="H242" s="9">
        <v>26272</v>
      </c>
      <c r="I242" s="14">
        <f>DATE(2012,12,31)-185</f>
        <v>41089</v>
      </c>
      <c r="J242" s="15" t="s">
        <v>25</v>
      </c>
      <c r="K242" s="9">
        <v>6</v>
      </c>
      <c r="L242" s="16" t="s">
        <v>29</v>
      </c>
      <c r="M242" s="16">
        <f t="shared" si="20"/>
        <v>-1.3516196285269051</v>
      </c>
      <c r="N242">
        <f t="shared" si="21"/>
        <v>0</v>
      </c>
      <c r="O242">
        <f t="shared" si="22"/>
        <v>0</v>
      </c>
      <c r="P242">
        <f t="shared" si="19"/>
        <v>3700</v>
      </c>
      <c r="Q242">
        <f t="shared" si="23"/>
        <v>3700</v>
      </c>
      <c r="T242" s="16">
        <f t="shared" si="24"/>
        <v>-1.3516196285269055</v>
      </c>
    </row>
    <row r="243" spans="7:20" ht="14.4" x14ac:dyDescent="0.25">
      <c r="G243" s="10">
        <v>3688</v>
      </c>
      <c r="H243" s="9">
        <v>26370</v>
      </c>
      <c r="I243" s="14">
        <f>DATE(2012,12,31)-511</f>
        <v>40763</v>
      </c>
      <c r="J243" s="15" t="s">
        <v>28</v>
      </c>
      <c r="K243" s="9">
        <v>12</v>
      </c>
      <c r="L243" s="16" t="s">
        <v>26</v>
      </c>
      <c r="M243" s="16">
        <f t="shared" si="20"/>
        <v>-0.9372609688115765</v>
      </c>
      <c r="N243">
        <f t="shared" si="21"/>
        <v>0</v>
      </c>
      <c r="O243">
        <f t="shared" si="22"/>
        <v>0</v>
      </c>
      <c r="P243">
        <f t="shared" si="19"/>
        <v>4000</v>
      </c>
      <c r="Q243">
        <f t="shared" si="23"/>
        <v>4000</v>
      </c>
      <c r="T243" s="16">
        <f t="shared" si="24"/>
        <v>-0.93726096881157694</v>
      </c>
    </row>
    <row r="244" spans="7:20" ht="14.4" x14ac:dyDescent="0.25">
      <c r="G244" s="10">
        <v>3689</v>
      </c>
      <c r="H244" s="9">
        <v>26370</v>
      </c>
      <c r="I244" s="14">
        <f>DATE(2012,12,31)-511</f>
        <v>40763</v>
      </c>
      <c r="J244" s="15" t="s">
        <v>28</v>
      </c>
      <c r="K244" s="9">
        <v>20</v>
      </c>
      <c r="L244" s="16" t="s">
        <v>26</v>
      </c>
      <c r="M244" s="16">
        <f t="shared" si="20"/>
        <v>-0.38478275585780503</v>
      </c>
      <c r="N244">
        <f t="shared" si="21"/>
        <v>0</v>
      </c>
      <c r="O244">
        <f t="shared" si="22"/>
        <v>0</v>
      </c>
      <c r="P244">
        <f t="shared" si="19"/>
        <v>4400</v>
      </c>
      <c r="Q244">
        <f t="shared" si="23"/>
        <v>4400</v>
      </c>
      <c r="T244" s="16">
        <f t="shared" si="24"/>
        <v>-0.38478275585780541</v>
      </c>
    </row>
    <row r="245" spans="7:20" ht="14.4" x14ac:dyDescent="0.25">
      <c r="G245" s="10">
        <v>3711</v>
      </c>
      <c r="H245" s="9">
        <v>26499</v>
      </c>
      <c r="I245" s="14">
        <f>DATE(2012,12,31)-1044</f>
        <v>40230</v>
      </c>
      <c r="J245" s="15" t="s">
        <v>16</v>
      </c>
      <c r="K245" s="9">
        <v>11</v>
      </c>
      <c r="L245" s="16" t="s">
        <v>26</v>
      </c>
      <c r="M245" s="16">
        <f t="shared" si="20"/>
        <v>-1.0063207454307979</v>
      </c>
      <c r="N245">
        <f t="shared" si="21"/>
        <v>0</v>
      </c>
      <c r="O245">
        <f t="shared" si="22"/>
        <v>0</v>
      </c>
      <c r="P245">
        <f t="shared" si="19"/>
        <v>3950</v>
      </c>
      <c r="Q245">
        <f t="shared" si="23"/>
        <v>3950</v>
      </c>
      <c r="T245" s="16">
        <f t="shared" si="24"/>
        <v>-1.0063207454307983</v>
      </c>
    </row>
    <row r="246" spans="7:20" ht="14.4" x14ac:dyDescent="0.25">
      <c r="G246" s="10">
        <v>3716</v>
      </c>
      <c r="H246" s="9">
        <v>26531</v>
      </c>
      <c r="I246" s="14">
        <f>DATE(2012,12,31)-560</f>
        <v>40714</v>
      </c>
      <c r="J246" s="15" t="s">
        <v>16</v>
      </c>
      <c r="K246" s="9">
        <v>26</v>
      </c>
      <c r="L246" s="16" t="s">
        <v>27</v>
      </c>
      <c r="M246" s="16">
        <f t="shared" si="20"/>
        <v>2.9575903857523567E-2</v>
      </c>
      <c r="N246">
        <f t="shared" si="21"/>
        <v>0</v>
      </c>
      <c r="O246">
        <f t="shared" si="22"/>
        <v>0</v>
      </c>
      <c r="P246">
        <f t="shared" si="19"/>
        <v>4700</v>
      </c>
      <c r="Q246">
        <f t="shared" si="23"/>
        <v>4700</v>
      </c>
      <c r="T246" s="16">
        <f t="shared" si="24"/>
        <v>2.9575903857523185E-2</v>
      </c>
    </row>
    <row r="247" spans="7:20" ht="14.4" x14ac:dyDescent="0.25">
      <c r="G247" s="10">
        <v>3719</v>
      </c>
      <c r="H247" s="9">
        <v>26567</v>
      </c>
      <c r="I247" s="14">
        <f>DATE(2012,12,31)-1214</f>
        <v>40060</v>
      </c>
      <c r="J247" s="15" t="s">
        <v>30</v>
      </c>
      <c r="K247" s="9">
        <v>8</v>
      </c>
      <c r="L247" s="16" t="s">
        <v>26</v>
      </c>
      <c r="M247" s="16">
        <f t="shared" si="20"/>
        <v>-1.2135000752884624</v>
      </c>
      <c r="N247">
        <f t="shared" si="21"/>
        <v>0</v>
      </c>
      <c r="O247">
        <f t="shared" si="22"/>
        <v>0</v>
      </c>
      <c r="P247">
        <f t="shared" si="19"/>
        <v>3800</v>
      </c>
      <c r="Q247">
        <f t="shared" si="23"/>
        <v>3800</v>
      </c>
      <c r="T247" s="16">
        <f t="shared" si="24"/>
        <v>-1.2135000752884626</v>
      </c>
    </row>
    <row r="248" spans="7:20" ht="14.4" x14ac:dyDescent="0.25">
      <c r="G248" s="10">
        <v>3720</v>
      </c>
      <c r="H248" s="9">
        <v>26567</v>
      </c>
      <c r="I248" s="14">
        <f>DATE(2012,12,31)-1214</f>
        <v>40060</v>
      </c>
      <c r="J248" s="15" t="s">
        <v>30</v>
      </c>
      <c r="K248" s="9">
        <v>10</v>
      </c>
      <c r="L248" s="16" t="s">
        <v>27</v>
      </c>
      <c r="M248" s="16">
        <f t="shared" si="20"/>
        <v>-1.0753805220500194</v>
      </c>
      <c r="N248">
        <f t="shared" si="21"/>
        <v>0</v>
      </c>
      <c r="O248">
        <f t="shared" si="22"/>
        <v>0</v>
      </c>
      <c r="P248">
        <f t="shared" si="19"/>
        <v>3900</v>
      </c>
      <c r="Q248">
        <f t="shared" si="23"/>
        <v>3900</v>
      </c>
      <c r="T248" s="16">
        <f t="shared" si="24"/>
        <v>-1.0753805220500199</v>
      </c>
    </row>
    <row r="249" spans="7:20" ht="14.4" x14ac:dyDescent="0.25">
      <c r="G249" s="10">
        <v>3721</v>
      </c>
      <c r="H249" s="9">
        <v>26567</v>
      </c>
      <c r="I249" s="14">
        <f>DATE(2012,12,31)-1214</f>
        <v>40060</v>
      </c>
      <c r="J249" s="15" t="s">
        <v>30</v>
      </c>
      <c r="K249" s="9">
        <v>22</v>
      </c>
      <c r="L249" s="16" t="s">
        <v>29</v>
      </c>
      <c r="M249" s="16">
        <f t="shared" si="20"/>
        <v>-0.24666320261936217</v>
      </c>
      <c r="N249">
        <f t="shared" si="21"/>
        <v>0</v>
      </c>
      <c r="O249">
        <f t="shared" si="22"/>
        <v>0</v>
      </c>
      <c r="P249">
        <f t="shared" si="19"/>
        <v>4500</v>
      </c>
      <c r="Q249">
        <f t="shared" si="23"/>
        <v>4500</v>
      </c>
      <c r="T249" s="16">
        <f t="shared" si="24"/>
        <v>-0.24666320261936256</v>
      </c>
    </row>
    <row r="250" spans="7:20" ht="14.4" x14ac:dyDescent="0.25">
      <c r="G250" s="10">
        <v>3722</v>
      </c>
      <c r="H250" s="9">
        <v>26567</v>
      </c>
      <c r="I250" s="14">
        <f>DATE(2012,12,31)-1214</f>
        <v>40060</v>
      </c>
      <c r="J250" s="15" t="s">
        <v>30</v>
      </c>
      <c r="K250" s="9">
        <v>48</v>
      </c>
      <c r="L250" s="16" t="s">
        <v>27</v>
      </c>
      <c r="M250" s="16">
        <f t="shared" si="20"/>
        <v>1.5488909894803951</v>
      </c>
      <c r="N250">
        <f t="shared" si="21"/>
        <v>0</v>
      </c>
      <c r="O250">
        <f t="shared" si="22"/>
        <v>0</v>
      </c>
      <c r="P250">
        <f t="shared" si="19"/>
        <v>5800</v>
      </c>
      <c r="Q250">
        <f t="shared" si="23"/>
        <v>5800</v>
      </c>
      <c r="T250" s="16">
        <f t="shared" si="24"/>
        <v>1.5488909894803948</v>
      </c>
    </row>
    <row r="251" spans="7:20" ht="14.4" x14ac:dyDescent="0.25">
      <c r="G251" s="10">
        <v>3760</v>
      </c>
      <c r="H251" s="9">
        <v>26854</v>
      </c>
      <c r="I251" s="14">
        <f>DATE(2012,12,31)-1289</f>
        <v>39985</v>
      </c>
      <c r="J251" s="15" t="s">
        <v>28</v>
      </c>
      <c r="K251" s="9">
        <v>1</v>
      </c>
      <c r="L251" s="16" t="s">
        <v>29</v>
      </c>
      <c r="M251" s="16">
        <f t="shared" si="20"/>
        <v>-1.6969185116230123</v>
      </c>
      <c r="N251">
        <f t="shared" si="21"/>
        <v>0</v>
      </c>
      <c r="O251">
        <f t="shared" si="22"/>
        <v>0</v>
      </c>
      <c r="P251">
        <f t="shared" si="19"/>
        <v>3450</v>
      </c>
      <c r="Q251">
        <f t="shared" si="23"/>
        <v>3450</v>
      </c>
      <c r="T251" s="16">
        <f t="shared" si="24"/>
        <v>-1.6969185116230128</v>
      </c>
    </row>
    <row r="252" spans="7:20" ht="14.4" x14ac:dyDescent="0.25">
      <c r="G252" s="10">
        <v>3805</v>
      </c>
      <c r="H252" s="9">
        <v>27109</v>
      </c>
      <c r="I252" s="14">
        <f>DATE(2012,12,31)-327</f>
        <v>40947</v>
      </c>
      <c r="J252" s="15" t="s">
        <v>30</v>
      </c>
      <c r="K252" s="9">
        <v>48</v>
      </c>
      <c r="L252" s="16" t="s">
        <v>27</v>
      </c>
      <c r="M252" s="16">
        <f t="shared" si="20"/>
        <v>1.5488909894803951</v>
      </c>
      <c r="N252">
        <f t="shared" si="21"/>
        <v>0</v>
      </c>
      <c r="O252">
        <f t="shared" si="22"/>
        <v>0</v>
      </c>
      <c r="P252">
        <f t="shared" si="19"/>
        <v>5800</v>
      </c>
      <c r="Q252">
        <f t="shared" si="23"/>
        <v>5800</v>
      </c>
      <c r="T252" s="16">
        <f t="shared" si="24"/>
        <v>1.5488909894803948</v>
      </c>
    </row>
    <row r="253" spans="7:20" ht="14.4" x14ac:dyDescent="0.25">
      <c r="G253" s="10">
        <v>3806</v>
      </c>
      <c r="H253" s="9">
        <v>27111</v>
      </c>
      <c r="I253" s="14">
        <f>DATE(2012,12,31)-1391</f>
        <v>39883</v>
      </c>
      <c r="J253" s="15" t="s">
        <v>17</v>
      </c>
      <c r="K253" s="9">
        <v>11</v>
      </c>
      <c r="L253" s="16" t="s">
        <v>27</v>
      </c>
      <c r="M253" s="16">
        <f t="shared" si="20"/>
        <v>-1.0063207454307979</v>
      </c>
      <c r="N253">
        <f t="shared" si="21"/>
        <v>0</v>
      </c>
      <c r="O253">
        <f t="shared" si="22"/>
        <v>0</v>
      </c>
      <c r="P253">
        <f t="shared" si="19"/>
        <v>3950</v>
      </c>
      <c r="Q253">
        <f t="shared" si="23"/>
        <v>3950</v>
      </c>
      <c r="T253" s="16">
        <f t="shared" si="24"/>
        <v>-1.0063207454307983</v>
      </c>
    </row>
    <row r="254" spans="7:20" ht="14.4" x14ac:dyDescent="0.25">
      <c r="G254" s="10">
        <v>3807</v>
      </c>
      <c r="H254" s="9">
        <v>27111</v>
      </c>
      <c r="I254" s="14">
        <f>DATE(2012,12,31)-1391</f>
        <v>39883</v>
      </c>
      <c r="J254" s="15" t="s">
        <v>17</v>
      </c>
      <c r="K254" s="9">
        <v>18</v>
      </c>
      <c r="L254" s="16" t="s">
        <v>26</v>
      </c>
      <c r="M254" s="16">
        <f t="shared" si="20"/>
        <v>-0.52290230909624791</v>
      </c>
      <c r="N254">
        <f t="shared" si="21"/>
        <v>0</v>
      </c>
      <c r="O254">
        <f t="shared" si="22"/>
        <v>0</v>
      </c>
      <c r="P254">
        <f t="shared" si="19"/>
        <v>4300</v>
      </c>
      <c r="Q254">
        <f t="shared" si="23"/>
        <v>4300</v>
      </c>
      <c r="T254" s="16">
        <f t="shared" si="24"/>
        <v>-0.52290230909624835</v>
      </c>
    </row>
    <row r="255" spans="7:20" ht="14.4" x14ac:dyDescent="0.25">
      <c r="G255" s="10">
        <v>3808</v>
      </c>
      <c r="H255" s="9">
        <v>27111</v>
      </c>
      <c r="I255" s="14">
        <f>DATE(2012,12,31)-1391</f>
        <v>39883</v>
      </c>
      <c r="J255" s="15" t="s">
        <v>17</v>
      </c>
      <c r="K255" s="9">
        <v>44</v>
      </c>
      <c r="L255" s="16" t="s">
        <v>27</v>
      </c>
      <c r="M255" s="16">
        <f t="shared" si="20"/>
        <v>1.2726518830035094</v>
      </c>
      <c r="N255">
        <f t="shared" si="21"/>
        <v>0</v>
      </c>
      <c r="O255">
        <f t="shared" si="22"/>
        <v>0</v>
      </c>
      <c r="P255">
        <f t="shared" si="19"/>
        <v>5600</v>
      </c>
      <c r="Q255">
        <f t="shared" si="23"/>
        <v>5600</v>
      </c>
      <c r="T255" s="16">
        <f t="shared" si="24"/>
        <v>1.272651883003509</v>
      </c>
    </row>
    <row r="256" spans="7:20" ht="14.4" x14ac:dyDescent="0.25">
      <c r="G256" s="10">
        <v>3821</v>
      </c>
      <c r="H256" s="9">
        <v>27264</v>
      </c>
      <c r="I256" s="14">
        <f>DATE(2012,12,31)-576</f>
        <v>40698</v>
      </c>
      <c r="J256" s="15" t="s">
        <v>25</v>
      </c>
      <c r="K256" s="9">
        <v>3</v>
      </c>
      <c r="L256" s="16" t="s">
        <v>29</v>
      </c>
      <c r="M256" s="16">
        <f t="shared" si="20"/>
        <v>-1.5587989583845694</v>
      </c>
      <c r="N256">
        <f t="shared" si="21"/>
        <v>0</v>
      </c>
      <c r="O256">
        <f t="shared" si="22"/>
        <v>0</v>
      </c>
      <c r="P256">
        <f t="shared" si="19"/>
        <v>3550</v>
      </c>
      <c r="Q256">
        <f t="shared" si="23"/>
        <v>3550</v>
      </c>
      <c r="T256" s="16">
        <f t="shared" si="24"/>
        <v>-1.5587989583845698</v>
      </c>
    </row>
    <row r="257" spans="7:20" ht="14.4" x14ac:dyDescent="0.25">
      <c r="G257" s="10">
        <v>3841</v>
      </c>
      <c r="H257" s="9">
        <v>27392</v>
      </c>
      <c r="I257" s="14">
        <f>DATE(2012,12,31)-304</f>
        <v>40970</v>
      </c>
      <c r="J257" s="15" t="s">
        <v>25</v>
      </c>
      <c r="K257" s="9">
        <v>37</v>
      </c>
      <c r="L257" s="16" t="s">
        <v>27</v>
      </c>
      <c r="M257" s="16">
        <f t="shared" si="20"/>
        <v>0.78923344666895934</v>
      </c>
      <c r="N257">
        <f t="shared" si="21"/>
        <v>0</v>
      </c>
      <c r="O257">
        <f t="shared" si="22"/>
        <v>0</v>
      </c>
      <c r="P257">
        <f t="shared" si="19"/>
        <v>5250</v>
      </c>
      <c r="Q257">
        <f t="shared" si="23"/>
        <v>5250</v>
      </c>
      <c r="T257" s="16">
        <f t="shared" si="24"/>
        <v>0.789233446668959</v>
      </c>
    </row>
    <row r="258" spans="7:20" ht="14.4" x14ac:dyDescent="0.25">
      <c r="G258" s="10">
        <v>3860</v>
      </c>
      <c r="H258" s="9">
        <v>27553</v>
      </c>
      <c r="I258" s="14">
        <f>DATE(2012,12,31)-507</f>
        <v>40767</v>
      </c>
      <c r="J258" s="15" t="s">
        <v>16</v>
      </c>
      <c r="K258" s="9">
        <v>48</v>
      </c>
      <c r="L258" s="16" t="s">
        <v>26</v>
      </c>
      <c r="M258" s="16">
        <f t="shared" si="20"/>
        <v>1.5488909894803951</v>
      </c>
      <c r="N258">
        <f t="shared" si="21"/>
        <v>0</v>
      </c>
      <c r="O258">
        <f t="shared" si="22"/>
        <v>0</v>
      </c>
      <c r="P258">
        <f t="shared" si="19"/>
        <v>5800</v>
      </c>
      <c r="Q258">
        <f t="shared" si="23"/>
        <v>5800</v>
      </c>
      <c r="T258" s="16">
        <f t="shared" si="24"/>
        <v>1.5488909894803948</v>
      </c>
    </row>
    <row r="259" spans="7:20" ht="14.4" x14ac:dyDescent="0.25">
      <c r="G259" s="10">
        <v>3861</v>
      </c>
      <c r="H259" s="9">
        <v>27553</v>
      </c>
      <c r="I259" s="14">
        <f>DATE(2012,12,31)-507</f>
        <v>40767</v>
      </c>
      <c r="J259" s="15" t="s">
        <v>16</v>
      </c>
      <c r="K259" s="9">
        <v>16</v>
      </c>
      <c r="L259" s="16" t="s">
        <v>27</v>
      </c>
      <c r="M259" s="16">
        <f t="shared" si="20"/>
        <v>-0.66102186233469074</v>
      </c>
      <c r="N259">
        <f t="shared" si="21"/>
        <v>0</v>
      </c>
      <c r="O259">
        <f t="shared" si="22"/>
        <v>0</v>
      </c>
      <c r="P259">
        <f t="shared" si="19"/>
        <v>4200</v>
      </c>
      <c r="Q259">
        <f t="shared" si="23"/>
        <v>4200</v>
      </c>
      <c r="T259" s="16">
        <f t="shared" si="24"/>
        <v>-0.66102186233469118</v>
      </c>
    </row>
    <row r="260" spans="7:20" ht="14.4" x14ac:dyDescent="0.25">
      <c r="G260" s="10">
        <v>3863</v>
      </c>
      <c r="H260" s="9">
        <v>27555</v>
      </c>
      <c r="I260" s="14">
        <f>DATE(2012,12,31)-1217</f>
        <v>40057</v>
      </c>
      <c r="J260" s="15" t="s">
        <v>30</v>
      </c>
      <c r="K260" s="9">
        <v>32</v>
      </c>
      <c r="L260" s="16" t="s">
        <v>26</v>
      </c>
      <c r="M260" s="16">
        <f t="shared" si="20"/>
        <v>0.44393456357285216</v>
      </c>
      <c r="N260">
        <f t="shared" si="21"/>
        <v>0</v>
      </c>
      <c r="O260">
        <f t="shared" si="22"/>
        <v>0</v>
      </c>
      <c r="P260">
        <f t="shared" si="19"/>
        <v>5000</v>
      </c>
      <c r="Q260">
        <f t="shared" si="23"/>
        <v>5000</v>
      </c>
      <c r="T260" s="16">
        <f t="shared" si="24"/>
        <v>0.44393456357285183</v>
      </c>
    </row>
    <row r="261" spans="7:20" ht="14.4" x14ac:dyDescent="0.25">
      <c r="G261" s="10">
        <v>3873</v>
      </c>
      <c r="H261" s="9">
        <v>27680</v>
      </c>
      <c r="I261" s="14">
        <f>DATE(2012,12,31)-1070</f>
        <v>40204</v>
      </c>
      <c r="J261" s="15" t="s">
        <v>30</v>
      </c>
      <c r="K261" s="9">
        <v>32</v>
      </c>
      <c r="L261" s="16" t="s">
        <v>26</v>
      </c>
      <c r="M261" s="16">
        <f t="shared" si="20"/>
        <v>0.44393456357285216</v>
      </c>
      <c r="N261">
        <f t="shared" si="21"/>
        <v>0</v>
      </c>
      <c r="O261">
        <f t="shared" si="22"/>
        <v>0</v>
      </c>
      <c r="P261">
        <f t="shared" si="19"/>
        <v>5000</v>
      </c>
      <c r="Q261">
        <f t="shared" si="23"/>
        <v>5000</v>
      </c>
      <c r="T261" s="16">
        <f t="shared" si="24"/>
        <v>0.44393456357285183</v>
      </c>
    </row>
    <row r="262" spans="7:20" ht="14.4" x14ac:dyDescent="0.25">
      <c r="G262" s="10">
        <v>3874</v>
      </c>
      <c r="H262" s="9">
        <v>27680</v>
      </c>
      <c r="I262" s="14">
        <f>DATE(2012,12,31)-1070</f>
        <v>40204</v>
      </c>
      <c r="J262" s="15" t="s">
        <v>30</v>
      </c>
      <c r="K262" s="9">
        <v>19</v>
      </c>
      <c r="L262" s="16" t="s">
        <v>26</v>
      </c>
      <c r="M262" s="16">
        <f t="shared" si="20"/>
        <v>-0.45384253247702649</v>
      </c>
      <c r="N262">
        <f t="shared" si="21"/>
        <v>0</v>
      </c>
      <c r="O262">
        <f t="shared" si="22"/>
        <v>0</v>
      </c>
      <c r="P262">
        <f t="shared" si="19"/>
        <v>4350</v>
      </c>
      <c r="Q262">
        <f t="shared" si="23"/>
        <v>4350</v>
      </c>
      <c r="T262" s="16">
        <f t="shared" si="24"/>
        <v>-0.45384253247702688</v>
      </c>
    </row>
    <row r="263" spans="7:20" ht="14.4" x14ac:dyDescent="0.25">
      <c r="G263" s="10">
        <v>3891</v>
      </c>
      <c r="H263" s="9">
        <v>27778</v>
      </c>
      <c r="I263" s="14">
        <f>DATE(2012,12,31)-486</f>
        <v>40788</v>
      </c>
      <c r="J263" s="15" t="s">
        <v>30</v>
      </c>
      <c r="K263" s="9">
        <v>1</v>
      </c>
      <c r="L263" s="16" t="s">
        <v>26</v>
      </c>
      <c r="M263" s="16">
        <f t="shared" si="20"/>
        <v>-1.6969185116230123</v>
      </c>
      <c r="N263">
        <f t="shared" si="21"/>
        <v>0</v>
      </c>
      <c r="O263">
        <f t="shared" si="22"/>
        <v>0</v>
      </c>
      <c r="P263">
        <f t="shared" si="19"/>
        <v>3450</v>
      </c>
      <c r="Q263">
        <f t="shared" si="23"/>
        <v>3450</v>
      </c>
      <c r="T263" s="16">
        <f t="shared" si="24"/>
        <v>-1.6969185116230128</v>
      </c>
    </row>
    <row r="264" spans="7:20" ht="14.4" x14ac:dyDescent="0.25">
      <c r="G264" s="10">
        <v>3892</v>
      </c>
      <c r="H264" s="9">
        <v>27778</v>
      </c>
      <c r="I264" s="14">
        <f>DATE(2012,12,31)-486</f>
        <v>40788</v>
      </c>
      <c r="J264" s="15" t="s">
        <v>30</v>
      </c>
      <c r="K264" s="9">
        <v>34</v>
      </c>
      <c r="L264" s="16" t="s">
        <v>29</v>
      </c>
      <c r="M264" s="16">
        <f t="shared" si="20"/>
        <v>0.58205411681129504</v>
      </c>
      <c r="N264">
        <f t="shared" si="21"/>
        <v>0</v>
      </c>
      <c r="O264">
        <f t="shared" si="22"/>
        <v>0</v>
      </c>
      <c r="P264">
        <f t="shared" si="19"/>
        <v>5100</v>
      </c>
      <c r="Q264">
        <f t="shared" si="23"/>
        <v>5100</v>
      </c>
      <c r="T264" s="16">
        <f t="shared" si="24"/>
        <v>0.58205411681129471</v>
      </c>
    </row>
    <row r="265" spans="7:20" ht="14.4" x14ac:dyDescent="0.25">
      <c r="G265" s="10">
        <v>3914</v>
      </c>
      <c r="H265" s="9">
        <v>27909</v>
      </c>
      <c r="I265" s="14">
        <f>DATE(2012,12,31)-328</f>
        <v>40946</v>
      </c>
      <c r="J265" s="15" t="s">
        <v>30</v>
      </c>
      <c r="K265" s="9">
        <v>1</v>
      </c>
      <c r="L265" s="16" t="s">
        <v>26</v>
      </c>
      <c r="M265" s="16">
        <f t="shared" si="20"/>
        <v>-1.6969185116230123</v>
      </c>
      <c r="N265">
        <f t="shared" si="21"/>
        <v>0</v>
      </c>
      <c r="O265">
        <f t="shared" si="22"/>
        <v>0</v>
      </c>
      <c r="P265">
        <f t="shared" si="19"/>
        <v>3450</v>
      </c>
      <c r="Q265">
        <f t="shared" si="23"/>
        <v>3450</v>
      </c>
      <c r="T265" s="16">
        <f t="shared" si="24"/>
        <v>-1.6969185116230128</v>
      </c>
    </row>
    <row r="266" spans="7:20" ht="14.4" x14ac:dyDescent="0.25">
      <c r="G266" s="10">
        <v>3915</v>
      </c>
      <c r="H266" s="9">
        <v>27909</v>
      </c>
      <c r="I266" s="14">
        <f>DATE(2012,12,31)-328</f>
        <v>40946</v>
      </c>
      <c r="J266" s="15" t="s">
        <v>30</v>
      </c>
      <c r="K266" s="9">
        <v>47</v>
      </c>
      <c r="L266" s="16" t="s">
        <v>26</v>
      </c>
      <c r="M266" s="16">
        <f t="shared" si="20"/>
        <v>1.4798312128611737</v>
      </c>
      <c r="N266">
        <f t="shared" si="21"/>
        <v>0</v>
      </c>
      <c r="O266">
        <f t="shared" si="22"/>
        <v>0</v>
      </c>
      <c r="P266">
        <f t="shared" si="19"/>
        <v>5750</v>
      </c>
      <c r="Q266">
        <f t="shared" si="23"/>
        <v>5750</v>
      </c>
      <c r="T266" s="16">
        <f t="shared" si="24"/>
        <v>1.4798312128611733</v>
      </c>
    </row>
    <row r="267" spans="7:20" ht="14.4" x14ac:dyDescent="0.25">
      <c r="G267" s="10">
        <v>3929</v>
      </c>
      <c r="H267" s="9">
        <v>28003</v>
      </c>
      <c r="I267" s="14">
        <f>DATE(2012,12,31)-653</f>
        <v>40621</v>
      </c>
      <c r="J267" s="15" t="s">
        <v>30</v>
      </c>
      <c r="K267" s="9">
        <v>31</v>
      </c>
      <c r="L267" s="16" t="s">
        <v>26</v>
      </c>
      <c r="M267" s="16">
        <f t="shared" si="20"/>
        <v>0.37487478695363075</v>
      </c>
      <c r="N267">
        <f t="shared" si="21"/>
        <v>0</v>
      </c>
      <c r="O267">
        <f t="shared" si="22"/>
        <v>0</v>
      </c>
      <c r="P267">
        <f t="shared" si="19"/>
        <v>4950</v>
      </c>
      <c r="Q267">
        <f t="shared" si="23"/>
        <v>4950</v>
      </c>
      <c r="T267" s="16">
        <f t="shared" si="24"/>
        <v>0.37487478695363036</v>
      </c>
    </row>
    <row r="268" spans="7:20" ht="14.4" x14ac:dyDescent="0.25">
      <c r="G268" s="10">
        <v>3936</v>
      </c>
      <c r="H268" s="9">
        <v>28035</v>
      </c>
      <c r="I268" s="14">
        <f>DATE(2012,12,31)-603</f>
        <v>40671</v>
      </c>
      <c r="J268" s="15" t="s">
        <v>28</v>
      </c>
      <c r="K268" s="9">
        <v>19</v>
      </c>
      <c r="L268" s="16" t="s">
        <v>26</v>
      </c>
      <c r="M268" s="16">
        <f t="shared" si="20"/>
        <v>-0.45384253247702649</v>
      </c>
      <c r="N268">
        <f t="shared" si="21"/>
        <v>0</v>
      </c>
      <c r="O268">
        <f t="shared" si="22"/>
        <v>0</v>
      </c>
      <c r="P268">
        <f t="shared" ref="P268:P331" si="25">50*K268+$P$10</f>
        <v>4350</v>
      </c>
      <c r="Q268">
        <f t="shared" si="23"/>
        <v>4350</v>
      </c>
      <c r="T268" s="16">
        <f t="shared" si="24"/>
        <v>-0.45384253247702688</v>
      </c>
    </row>
    <row r="269" spans="7:20" ht="14.4" x14ac:dyDescent="0.25">
      <c r="G269" s="10">
        <v>3947</v>
      </c>
      <c r="H269" s="9">
        <v>28135</v>
      </c>
      <c r="I269" s="14">
        <f>DATE(2012,12,31)-1193</f>
        <v>40081</v>
      </c>
      <c r="J269" s="15" t="s">
        <v>30</v>
      </c>
      <c r="K269" s="9">
        <v>37</v>
      </c>
      <c r="L269" s="16" t="s">
        <v>26</v>
      </c>
      <c r="M269" s="16">
        <f t="shared" ref="M269:M332" si="26">(K269-$K$4)/$K$7</f>
        <v>0.78923344666895934</v>
      </c>
      <c r="N269">
        <f t="shared" ref="N269:N332" si="27">IF(MOD($B$20+G269,1000)=0,1,0)</f>
        <v>0</v>
      </c>
      <c r="O269">
        <f t="shared" ref="O269:O332" si="28">+ROUND(N269*(IF(K269&lt;$K$4,-4.5,10.5)*$P$5),-2)</f>
        <v>0</v>
      </c>
      <c r="P269">
        <f t="shared" si="25"/>
        <v>5250</v>
      </c>
      <c r="Q269">
        <f t="shared" ref="Q269:Q332" si="29">P269+O269</f>
        <v>5250</v>
      </c>
      <c r="T269" s="16">
        <f t="shared" ref="T269:T332" si="30">(Q269-$P$4)/$P$5</f>
        <v>0.789233446668959</v>
      </c>
    </row>
    <row r="270" spans="7:20" ht="14.4" x14ac:dyDescent="0.25">
      <c r="G270" s="10">
        <v>3948</v>
      </c>
      <c r="H270" s="9">
        <v>28135</v>
      </c>
      <c r="I270" s="14">
        <f>DATE(2012,12,31)-1193</f>
        <v>40081</v>
      </c>
      <c r="J270" s="15" t="s">
        <v>30</v>
      </c>
      <c r="K270" s="9">
        <v>40</v>
      </c>
      <c r="L270" s="16" t="s">
        <v>26</v>
      </c>
      <c r="M270" s="16">
        <f t="shared" si="26"/>
        <v>0.99641277652662363</v>
      </c>
      <c r="N270">
        <f t="shared" si="27"/>
        <v>0</v>
      </c>
      <c r="O270">
        <f t="shared" si="28"/>
        <v>0</v>
      </c>
      <c r="P270">
        <f t="shared" si="25"/>
        <v>5400</v>
      </c>
      <c r="Q270">
        <f t="shared" si="29"/>
        <v>5400</v>
      </c>
      <c r="T270" s="16">
        <f t="shared" si="30"/>
        <v>0.9964127765266233</v>
      </c>
    </row>
    <row r="271" spans="7:20" ht="14.4" x14ac:dyDescent="0.25">
      <c r="G271" s="10">
        <v>3952</v>
      </c>
      <c r="H271" s="9">
        <v>28165</v>
      </c>
      <c r="I271" s="14">
        <f>DATE(2012,12,31)-175</f>
        <v>41099</v>
      </c>
      <c r="J271" s="15" t="s">
        <v>28</v>
      </c>
      <c r="K271" s="9">
        <v>2</v>
      </c>
      <c r="L271" s="16" t="s">
        <v>26</v>
      </c>
      <c r="M271" s="16">
        <f t="shared" si="26"/>
        <v>-1.627858735003791</v>
      </c>
      <c r="N271">
        <f t="shared" si="27"/>
        <v>0</v>
      </c>
      <c r="O271">
        <f t="shared" si="28"/>
        <v>0</v>
      </c>
      <c r="P271">
        <f t="shared" si="25"/>
        <v>3500</v>
      </c>
      <c r="Q271">
        <f t="shared" si="29"/>
        <v>3500</v>
      </c>
      <c r="T271" s="16">
        <f t="shared" si="30"/>
        <v>-1.6278587350037912</v>
      </c>
    </row>
    <row r="272" spans="7:20" ht="14.4" x14ac:dyDescent="0.25">
      <c r="G272" s="10">
        <v>3963</v>
      </c>
      <c r="H272" s="9">
        <v>28289</v>
      </c>
      <c r="I272" s="14">
        <f>DATE(2012,12,31)-1082</f>
        <v>40192</v>
      </c>
      <c r="J272" s="15" t="s">
        <v>17</v>
      </c>
      <c r="K272" s="9">
        <v>31</v>
      </c>
      <c r="L272" s="16" t="s">
        <v>26</v>
      </c>
      <c r="M272" s="16">
        <f t="shared" si="26"/>
        <v>0.37487478695363075</v>
      </c>
      <c r="N272">
        <f t="shared" si="27"/>
        <v>0</v>
      </c>
      <c r="O272">
        <f t="shared" si="28"/>
        <v>0</v>
      </c>
      <c r="P272">
        <f t="shared" si="25"/>
        <v>4950</v>
      </c>
      <c r="Q272">
        <f t="shared" si="29"/>
        <v>4950</v>
      </c>
      <c r="T272" s="16">
        <f t="shared" si="30"/>
        <v>0.37487478695363036</v>
      </c>
    </row>
    <row r="273" spans="7:20" ht="14.4" x14ac:dyDescent="0.25">
      <c r="G273" s="10">
        <v>3992</v>
      </c>
      <c r="H273" s="9">
        <v>28486</v>
      </c>
      <c r="I273" s="14">
        <f>DATE(2012,12,31)-1223</f>
        <v>40051</v>
      </c>
      <c r="J273" s="15" t="s">
        <v>17</v>
      </c>
      <c r="K273" s="9">
        <v>2</v>
      </c>
      <c r="L273" s="16" t="s">
        <v>26</v>
      </c>
      <c r="M273" s="16">
        <f t="shared" si="26"/>
        <v>-1.627858735003791</v>
      </c>
      <c r="N273">
        <f t="shared" si="27"/>
        <v>0</v>
      </c>
      <c r="O273">
        <f t="shared" si="28"/>
        <v>0</v>
      </c>
      <c r="P273">
        <f t="shared" si="25"/>
        <v>3500</v>
      </c>
      <c r="Q273">
        <f t="shared" si="29"/>
        <v>3500</v>
      </c>
      <c r="T273" s="16">
        <f t="shared" si="30"/>
        <v>-1.6278587350037912</v>
      </c>
    </row>
    <row r="274" spans="7:20" ht="14.4" x14ac:dyDescent="0.25">
      <c r="G274" s="10">
        <v>4017</v>
      </c>
      <c r="H274" s="9">
        <v>28675</v>
      </c>
      <c r="I274" s="14">
        <f>DATE(2012,12,31)-1180</f>
        <v>40094</v>
      </c>
      <c r="J274" s="15" t="s">
        <v>30</v>
      </c>
      <c r="K274" s="9">
        <v>15</v>
      </c>
      <c r="L274" s="16" t="s">
        <v>27</v>
      </c>
      <c r="M274" s="16">
        <f t="shared" si="26"/>
        <v>-0.7300816389539122</v>
      </c>
      <c r="N274">
        <f t="shared" si="27"/>
        <v>0</v>
      </c>
      <c r="O274">
        <f t="shared" si="28"/>
        <v>0</v>
      </c>
      <c r="P274">
        <f t="shared" si="25"/>
        <v>4150</v>
      </c>
      <c r="Q274">
        <f t="shared" si="29"/>
        <v>4150</v>
      </c>
      <c r="T274" s="16">
        <f t="shared" si="30"/>
        <v>-0.73008163895391265</v>
      </c>
    </row>
    <row r="275" spans="7:20" ht="14.4" x14ac:dyDescent="0.25">
      <c r="G275" s="10">
        <v>4050</v>
      </c>
      <c r="H275" s="9">
        <v>28870</v>
      </c>
      <c r="I275" s="14">
        <f>DATE(2012,12,31)-417</f>
        <v>40857</v>
      </c>
      <c r="J275" s="15" t="s">
        <v>17</v>
      </c>
      <c r="K275" s="9">
        <v>35</v>
      </c>
      <c r="L275" s="16" t="s">
        <v>27</v>
      </c>
      <c r="M275" s="16">
        <f t="shared" si="26"/>
        <v>0.65111389343051651</v>
      </c>
      <c r="N275">
        <f t="shared" si="27"/>
        <v>0</v>
      </c>
      <c r="O275">
        <f t="shared" si="28"/>
        <v>0</v>
      </c>
      <c r="P275">
        <f t="shared" si="25"/>
        <v>5150</v>
      </c>
      <c r="Q275">
        <f t="shared" si="29"/>
        <v>5150</v>
      </c>
      <c r="T275" s="16">
        <f t="shared" si="30"/>
        <v>0.65111389343051607</v>
      </c>
    </row>
    <row r="276" spans="7:20" ht="14.4" x14ac:dyDescent="0.25">
      <c r="G276" s="10">
        <v>4051</v>
      </c>
      <c r="H276" s="9">
        <v>28871</v>
      </c>
      <c r="I276" s="14">
        <f>DATE(2012,12,31)-260</f>
        <v>41014</v>
      </c>
      <c r="J276" s="15" t="s">
        <v>17</v>
      </c>
      <c r="K276" s="9">
        <v>10</v>
      </c>
      <c r="L276" s="16" t="s">
        <v>27</v>
      </c>
      <c r="M276" s="16">
        <f t="shared" si="26"/>
        <v>-1.0753805220500194</v>
      </c>
      <c r="N276">
        <f t="shared" si="27"/>
        <v>0</v>
      </c>
      <c r="O276">
        <f t="shared" si="28"/>
        <v>0</v>
      </c>
      <c r="P276">
        <f t="shared" si="25"/>
        <v>3900</v>
      </c>
      <c r="Q276">
        <f t="shared" si="29"/>
        <v>3900</v>
      </c>
      <c r="T276" s="16">
        <f t="shared" si="30"/>
        <v>-1.0753805220500199</v>
      </c>
    </row>
    <row r="277" spans="7:20" ht="14.4" x14ac:dyDescent="0.25">
      <c r="G277" s="10">
        <v>4075</v>
      </c>
      <c r="H277" s="9">
        <v>29030</v>
      </c>
      <c r="I277" s="14">
        <f>DATE(2012,12,31)-364</f>
        <v>40910</v>
      </c>
      <c r="J277" s="15" t="s">
        <v>16</v>
      </c>
      <c r="K277" s="9">
        <v>10</v>
      </c>
      <c r="L277" s="16" t="s">
        <v>26</v>
      </c>
      <c r="M277" s="16">
        <f t="shared" si="26"/>
        <v>-1.0753805220500194</v>
      </c>
      <c r="N277">
        <f t="shared" si="27"/>
        <v>0</v>
      </c>
      <c r="O277">
        <f t="shared" si="28"/>
        <v>0</v>
      </c>
      <c r="P277">
        <f t="shared" si="25"/>
        <v>3900</v>
      </c>
      <c r="Q277">
        <f t="shared" si="29"/>
        <v>3900</v>
      </c>
      <c r="T277" s="16">
        <f t="shared" si="30"/>
        <v>-1.0753805220500199</v>
      </c>
    </row>
    <row r="278" spans="7:20" ht="14.4" x14ac:dyDescent="0.25">
      <c r="G278" s="10">
        <v>4082</v>
      </c>
      <c r="H278" s="9">
        <v>29095</v>
      </c>
      <c r="I278" s="14">
        <f>DATE(2012,12,31)-664</f>
        <v>40610</v>
      </c>
      <c r="J278" s="15" t="s">
        <v>28</v>
      </c>
      <c r="K278" s="9">
        <v>40</v>
      </c>
      <c r="L278" s="16" t="s">
        <v>26</v>
      </c>
      <c r="M278" s="16">
        <f t="shared" si="26"/>
        <v>0.99641277652662363</v>
      </c>
      <c r="N278">
        <f t="shared" si="27"/>
        <v>0</v>
      </c>
      <c r="O278">
        <f t="shared" si="28"/>
        <v>0</v>
      </c>
      <c r="P278">
        <f t="shared" si="25"/>
        <v>5400</v>
      </c>
      <c r="Q278">
        <f t="shared" si="29"/>
        <v>5400</v>
      </c>
      <c r="T278" s="16">
        <f t="shared" si="30"/>
        <v>0.9964127765266233</v>
      </c>
    </row>
    <row r="279" spans="7:20" ht="14.4" x14ac:dyDescent="0.25">
      <c r="G279" s="10">
        <v>4118</v>
      </c>
      <c r="H279" s="9">
        <v>29287</v>
      </c>
      <c r="I279" s="14">
        <f>DATE(2012,12,31)-1278</f>
        <v>39996</v>
      </c>
      <c r="J279" s="15" t="s">
        <v>17</v>
      </c>
      <c r="K279" s="9">
        <v>50</v>
      </c>
      <c r="L279" s="16" t="s">
        <v>26</v>
      </c>
      <c r="M279" s="16">
        <f t="shared" si="26"/>
        <v>1.687010542718838</v>
      </c>
      <c r="N279">
        <f t="shared" si="27"/>
        <v>0</v>
      </c>
      <c r="O279">
        <f t="shared" si="28"/>
        <v>0</v>
      </c>
      <c r="P279">
        <f t="shared" si="25"/>
        <v>5900</v>
      </c>
      <c r="Q279">
        <f t="shared" si="29"/>
        <v>5900</v>
      </c>
      <c r="T279" s="16">
        <f t="shared" si="30"/>
        <v>1.6870105427188375</v>
      </c>
    </row>
    <row r="280" spans="7:20" ht="14.4" x14ac:dyDescent="0.25">
      <c r="G280" s="10">
        <v>4119</v>
      </c>
      <c r="H280" s="9">
        <v>29287</v>
      </c>
      <c r="I280" s="14">
        <f>DATE(2012,12,31)-1278</f>
        <v>39996</v>
      </c>
      <c r="J280" s="15" t="s">
        <v>17</v>
      </c>
      <c r="K280" s="9">
        <v>49</v>
      </c>
      <c r="L280" s="16" t="s">
        <v>27</v>
      </c>
      <c r="M280" s="16">
        <f t="shared" si="26"/>
        <v>1.6179507660996166</v>
      </c>
      <c r="N280">
        <f t="shared" si="27"/>
        <v>0</v>
      </c>
      <c r="O280">
        <f t="shared" si="28"/>
        <v>0</v>
      </c>
      <c r="P280">
        <f t="shared" si="25"/>
        <v>5850</v>
      </c>
      <c r="Q280">
        <f t="shared" si="29"/>
        <v>5850</v>
      </c>
      <c r="T280" s="16">
        <f t="shared" si="30"/>
        <v>1.6179507660996162</v>
      </c>
    </row>
    <row r="281" spans="7:20" ht="14.4" x14ac:dyDescent="0.25">
      <c r="G281" s="10">
        <v>4164</v>
      </c>
      <c r="H281" s="9">
        <v>29510</v>
      </c>
      <c r="I281" s="14">
        <f>DATE(2012,12,31)-626</f>
        <v>40648</v>
      </c>
      <c r="J281" s="15" t="s">
        <v>30</v>
      </c>
      <c r="K281" s="9">
        <v>22</v>
      </c>
      <c r="L281" s="16" t="s">
        <v>29</v>
      </c>
      <c r="M281" s="16">
        <f t="shared" si="26"/>
        <v>-0.24666320261936217</v>
      </c>
      <c r="N281">
        <f t="shared" si="27"/>
        <v>0</v>
      </c>
      <c r="O281">
        <f t="shared" si="28"/>
        <v>0</v>
      </c>
      <c r="P281">
        <f t="shared" si="25"/>
        <v>4500</v>
      </c>
      <c r="Q281">
        <f t="shared" si="29"/>
        <v>4500</v>
      </c>
      <c r="T281" s="16">
        <f t="shared" si="30"/>
        <v>-0.24666320261936256</v>
      </c>
    </row>
    <row r="282" spans="7:20" ht="14.4" x14ac:dyDescent="0.25">
      <c r="G282" s="10">
        <v>4193</v>
      </c>
      <c r="H282" s="9">
        <v>29795</v>
      </c>
      <c r="I282" s="14">
        <f>DATE(2012,12,31)-402</f>
        <v>40872</v>
      </c>
      <c r="J282" s="15" t="s">
        <v>17</v>
      </c>
      <c r="K282" s="9">
        <v>49</v>
      </c>
      <c r="L282" s="16" t="s">
        <v>26</v>
      </c>
      <c r="M282" s="16">
        <f t="shared" si="26"/>
        <v>1.6179507660996166</v>
      </c>
      <c r="N282">
        <f t="shared" si="27"/>
        <v>0</v>
      </c>
      <c r="O282">
        <f t="shared" si="28"/>
        <v>0</v>
      </c>
      <c r="P282">
        <f t="shared" si="25"/>
        <v>5850</v>
      </c>
      <c r="Q282">
        <f t="shared" si="29"/>
        <v>5850</v>
      </c>
      <c r="T282" s="16">
        <f t="shared" si="30"/>
        <v>1.6179507660996162</v>
      </c>
    </row>
    <row r="283" spans="7:20" ht="14.4" x14ac:dyDescent="0.25">
      <c r="G283" s="10">
        <v>4194</v>
      </c>
      <c r="H283" s="9">
        <v>29795</v>
      </c>
      <c r="I283" s="14">
        <f>DATE(2012,12,31)-402</f>
        <v>40872</v>
      </c>
      <c r="J283" s="15" t="s">
        <v>17</v>
      </c>
      <c r="K283" s="9">
        <v>48</v>
      </c>
      <c r="L283" s="16" t="s">
        <v>29</v>
      </c>
      <c r="M283" s="16">
        <f t="shared" si="26"/>
        <v>1.5488909894803951</v>
      </c>
      <c r="N283">
        <f t="shared" si="27"/>
        <v>0</v>
      </c>
      <c r="O283">
        <f t="shared" si="28"/>
        <v>0</v>
      </c>
      <c r="P283">
        <f t="shared" si="25"/>
        <v>5800</v>
      </c>
      <c r="Q283">
        <f t="shared" si="29"/>
        <v>5800</v>
      </c>
      <c r="T283" s="16">
        <f t="shared" si="30"/>
        <v>1.5488909894803948</v>
      </c>
    </row>
    <row r="284" spans="7:20" ht="14.4" x14ac:dyDescent="0.25">
      <c r="G284" s="10">
        <v>4202</v>
      </c>
      <c r="H284" s="9">
        <v>29861</v>
      </c>
      <c r="I284" s="14">
        <f>DATE(2012,12,31)-250</f>
        <v>41024</v>
      </c>
      <c r="J284" s="15" t="s">
        <v>30</v>
      </c>
      <c r="K284" s="9">
        <v>11</v>
      </c>
      <c r="L284" s="16" t="s">
        <v>26</v>
      </c>
      <c r="M284" s="16">
        <f t="shared" si="26"/>
        <v>-1.0063207454307979</v>
      </c>
      <c r="N284">
        <f t="shared" si="27"/>
        <v>0</v>
      </c>
      <c r="O284">
        <f t="shared" si="28"/>
        <v>0</v>
      </c>
      <c r="P284">
        <f t="shared" si="25"/>
        <v>3950</v>
      </c>
      <c r="Q284">
        <f t="shared" si="29"/>
        <v>3950</v>
      </c>
      <c r="T284" s="16">
        <f t="shared" si="30"/>
        <v>-1.0063207454307983</v>
      </c>
    </row>
    <row r="285" spans="7:20" ht="14.4" x14ac:dyDescent="0.25">
      <c r="G285" s="10">
        <v>4305</v>
      </c>
      <c r="H285" s="9">
        <v>30658</v>
      </c>
      <c r="I285" s="14">
        <f>DATE(2012,12,31)-646</f>
        <v>40628</v>
      </c>
      <c r="J285" s="15" t="s">
        <v>16</v>
      </c>
      <c r="K285" s="9">
        <v>35</v>
      </c>
      <c r="L285" s="16" t="s">
        <v>27</v>
      </c>
      <c r="M285" s="16">
        <f t="shared" si="26"/>
        <v>0.65111389343051651</v>
      </c>
      <c r="N285">
        <f t="shared" si="27"/>
        <v>0</v>
      </c>
      <c r="O285">
        <f t="shared" si="28"/>
        <v>0</v>
      </c>
      <c r="P285">
        <f t="shared" si="25"/>
        <v>5150</v>
      </c>
      <c r="Q285">
        <f t="shared" si="29"/>
        <v>5150</v>
      </c>
      <c r="T285" s="16">
        <f t="shared" si="30"/>
        <v>0.65111389343051607</v>
      </c>
    </row>
    <row r="286" spans="7:20" ht="14.4" x14ac:dyDescent="0.25">
      <c r="G286" s="10">
        <v>4306</v>
      </c>
      <c r="H286" s="9">
        <v>30658</v>
      </c>
      <c r="I286" s="14">
        <f>DATE(2012,12,31)-646</f>
        <v>40628</v>
      </c>
      <c r="J286" s="15" t="s">
        <v>16</v>
      </c>
      <c r="K286" s="9">
        <v>44</v>
      </c>
      <c r="L286" s="16" t="s">
        <v>26</v>
      </c>
      <c r="M286" s="16">
        <f t="shared" si="26"/>
        <v>1.2726518830035094</v>
      </c>
      <c r="N286">
        <f t="shared" si="27"/>
        <v>0</v>
      </c>
      <c r="O286">
        <f t="shared" si="28"/>
        <v>0</v>
      </c>
      <c r="P286">
        <f t="shared" si="25"/>
        <v>5600</v>
      </c>
      <c r="Q286">
        <f t="shared" si="29"/>
        <v>5600</v>
      </c>
      <c r="T286" s="16">
        <f t="shared" si="30"/>
        <v>1.272651883003509</v>
      </c>
    </row>
    <row r="287" spans="7:20" ht="14.4" x14ac:dyDescent="0.25">
      <c r="G287" s="10">
        <v>4346</v>
      </c>
      <c r="H287" s="9">
        <v>30947</v>
      </c>
      <c r="I287" s="14">
        <f>DATE(2012,12,31)-901</f>
        <v>40373</v>
      </c>
      <c r="J287" s="15" t="s">
        <v>25</v>
      </c>
      <c r="K287" s="9">
        <v>17</v>
      </c>
      <c r="L287" s="16" t="s">
        <v>26</v>
      </c>
      <c r="M287" s="16">
        <f t="shared" si="26"/>
        <v>-0.59196208571546938</v>
      </c>
      <c r="N287">
        <f t="shared" si="27"/>
        <v>0</v>
      </c>
      <c r="O287">
        <f t="shared" si="28"/>
        <v>0</v>
      </c>
      <c r="P287">
        <f t="shared" si="25"/>
        <v>4250</v>
      </c>
      <c r="Q287">
        <f t="shared" si="29"/>
        <v>4250</v>
      </c>
      <c r="T287" s="16">
        <f t="shared" si="30"/>
        <v>-0.59196208571546971</v>
      </c>
    </row>
    <row r="288" spans="7:20" ht="14.4" x14ac:dyDescent="0.25">
      <c r="G288" s="10">
        <v>4347</v>
      </c>
      <c r="H288" s="9">
        <v>30947</v>
      </c>
      <c r="I288" s="14">
        <f>DATE(2012,12,31)-901</f>
        <v>40373</v>
      </c>
      <c r="J288" s="15" t="s">
        <v>25</v>
      </c>
      <c r="K288" s="9">
        <v>45</v>
      </c>
      <c r="L288" s="16" t="s">
        <v>26</v>
      </c>
      <c r="M288" s="16">
        <f t="shared" si="26"/>
        <v>1.3417116596227308</v>
      </c>
      <c r="N288">
        <f t="shared" si="27"/>
        <v>0</v>
      </c>
      <c r="O288">
        <f t="shared" si="28"/>
        <v>0</v>
      </c>
      <c r="P288">
        <f t="shared" si="25"/>
        <v>5650</v>
      </c>
      <c r="Q288">
        <f t="shared" si="29"/>
        <v>5650</v>
      </c>
      <c r="T288" s="16">
        <f t="shared" si="30"/>
        <v>1.3417116596227305</v>
      </c>
    </row>
    <row r="289" spans="7:20" ht="14.4" x14ac:dyDescent="0.25">
      <c r="G289" s="10">
        <v>4362</v>
      </c>
      <c r="H289" s="9">
        <v>31077</v>
      </c>
      <c r="I289" s="14">
        <f>DATE(2012,12,31)-800</f>
        <v>40474</v>
      </c>
      <c r="J289" s="15" t="s">
        <v>28</v>
      </c>
      <c r="K289" s="9">
        <v>36</v>
      </c>
      <c r="L289" s="16" t="s">
        <v>27</v>
      </c>
      <c r="M289" s="16">
        <f t="shared" si="26"/>
        <v>0.72017367004973787</v>
      </c>
      <c r="N289">
        <f t="shared" si="27"/>
        <v>0</v>
      </c>
      <c r="O289">
        <f t="shared" si="28"/>
        <v>0</v>
      </c>
      <c r="P289">
        <f t="shared" si="25"/>
        <v>5200</v>
      </c>
      <c r="Q289">
        <f t="shared" si="29"/>
        <v>5200</v>
      </c>
      <c r="T289" s="16">
        <f t="shared" si="30"/>
        <v>0.72017367004973754</v>
      </c>
    </row>
    <row r="290" spans="7:20" ht="14.4" x14ac:dyDescent="0.25">
      <c r="G290" s="10">
        <v>4369</v>
      </c>
      <c r="H290" s="9">
        <v>31111</v>
      </c>
      <c r="I290" s="14">
        <f>DATE(2012,12,31)-1225</f>
        <v>40049</v>
      </c>
      <c r="J290" s="15" t="s">
        <v>28</v>
      </c>
      <c r="K290" s="9">
        <v>27</v>
      </c>
      <c r="L290" s="16" t="s">
        <v>26</v>
      </c>
      <c r="M290" s="16">
        <f t="shared" si="26"/>
        <v>9.8635680476745008E-2</v>
      </c>
      <c r="N290">
        <f t="shared" si="27"/>
        <v>0</v>
      </c>
      <c r="O290">
        <f t="shared" si="28"/>
        <v>0</v>
      </c>
      <c r="P290">
        <f t="shared" si="25"/>
        <v>4750</v>
      </c>
      <c r="Q290">
        <f t="shared" si="29"/>
        <v>4750</v>
      </c>
      <c r="T290" s="16">
        <f t="shared" si="30"/>
        <v>9.8635680476744619E-2</v>
      </c>
    </row>
    <row r="291" spans="7:20" ht="14.4" x14ac:dyDescent="0.25">
      <c r="G291" s="10">
        <v>4372</v>
      </c>
      <c r="H291" s="9">
        <v>31169</v>
      </c>
      <c r="I291" s="14">
        <f>DATE(2012,12,31)-571</f>
        <v>40703</v>
      </c>
      <c r="J291" s="15" t="s">
        <v>25</v>
      </c>
      <c r="K291" s="9">
        <v>6</v>
      </c>
      <c r="L291" s="16" t="s">
        <v>29</v>
      </c>
      <c r="M291" s="16">
        <f t="shared" si="26"/>
        <v>-1.3516196285269051</v>
      </c>
      <c r="N291">
        <f t="shared" si="27"/>
        <v>0</v>
      </c>
      <c r="O291">
        <f t="shared" si="28"/>
        <v>0</v>
      </c>
      <c r="P291">
        <f t="shared" si="25"/>
        <v>3700</v>
      </c>
      <c r="Q291">
        <f t="shared" si="29"/>
        <v>3700</v>
      </c>
      <c r="T291" s="16">
        <f t="shared" si="30"/>
        <v>-1.3516196285269055</v>
      </c>
    </row>
    <row r="292" spans="7:20" ht="14.4" x14ac:dyDescent="0.25">
      <c r="G292" s="10">
        <v>4390</v>
      </c>
      <c r="H292" s="9">
        <v>31270</v>
      </c>
      <c r="I292" s="14">
        <f>DATE(2012,12,31)-38</f>
        <v>41236</v>
      </c>
      <c r="J292" s="15" t="s">
        <v>16</v>
      </c>
      <c r="K292" s="9">
        <v>21</v>
      </c>
      <c r="L292" s="16" t="s">
        <v>29</v>
      </c>
      <c r="M292" s="16">
        <f t="shared" si="26"/>
        <v>-0.31572297923858361</v>
      </c>
      <c r="N292">
        <f t="shared" si="27"/>
        <v>0</v>
      </c>
      <c r="O292">
        <f t="shared" si="28"/>
        <v>0</v>
      </c>
      <c r="P292">
        <f t="shared" si="25"/>
        <v>4450</v>
      </c>
      <c r="Q292">
        <f t="shared" si="29"/>
        <v>4450</v>
      </c>
      <c r="T292" s="16">
        <f t="shared" si="30"/>
        <v>-0.315722979238584</v>
      </c>
    </row>
    <row r="293" spans="7:20" ht="14.4" x14ac:dyDescent="0.25">
      <c r="G293" s="10">
        <v>4391</v>
      </c>
      <c r="H293" s="9">
        <v>31270</v>
      </c>
      <c r="I293" s="14">
        <f>DATE(2012,12,31)-38</f>
        <v>41236</v>
      </c>
      <c r="J293" s="15" t="s">
        <v>16</v>
      </c>
      <c r="K293" s="9">
        <v>3</v>
      </c>
      <c r="L293" s="16" t="s">
        <v>29</v>
      </c>
      <c r="M293" s="16">
        <f t="shared" si="26"/>
        <v>-1.5587989583845694</v>
      </c>
      <c r="N293">
        <f t="shared" si="27"/>
        <v>0</v>
      </c>
      <c r="O293">
        <f t="shared" si="28"/>
        <v>0</v>
      </c>
      <c r="P293">
        <f t="shared" si="25"/>
        <v>3550</v>
      </c>
      <c r="Q293">
        <f t="shared" si="29"/>
        <v>3550</v>
      </c>
      <c r="T293" s="16">
        <f t="shared" si="30"/>
        <v>-1.5587989583845698</v>
      </c>
    </row>
    <row r="294" spans="7:20" ht="14.4" x14ac:dyDescent="0.25">
      <c r="G294" s="10">
        <v>4392</v>
      </c>
      <c r="H294" s="9">
        <v>31270</v>
      </c>
      <c r="I294" s="14">
        <f>DATE(2012,12,31)-38</f>
        <v>41236</v>
      </c>
      <c r="J294" s="15" t="s">
        <v>16</v>
      </c>
      <c r="K294" s="9">
        <v>5</v>
      </c>
      <c r="L294" s="16" t="s">
        <v>27</v>
      </c>
      <c r="M294" s="16">
        <f t="shared" si="26"/>
        <v>-1.4206794051461267</v>
      </c>
      <c r="N294">
        <f t="shared" si="27"/>
        <v>0</v>
      </c>
      <c r="O294">
        <f t="shared" si="28"/>
        <v>0</v>
      </c>
      <c r="P294">
        <f t="shared" si="25"/>
        <v>3650</v>
      </c>
      <c r="Q294">
        <f t="shared" si="29"/>
        <v>3650</v>
      </c>
      <c r="T294" s="16">
        <f t="shared" si="30"/>
        <v>-1.4206794051461269</v>
      </c>
    </row>
    <row r="295" spans="7:20" ht="14.4" x14ac:dyDescent="0.25">
      <c r="G295" s="10">
        <v>4401</v>
      </c>
      <c r="H295" s="9">
        <v>31364</v>
      </c>
      <c r="I295" s="14">
        <f>DATE(2012,12,31)-1340</f>
        <v>39934</v>
      </c>
      <c r="J295" s="15" t="s">
        <v>28</v>
      </c>
      <c r="K295" s="9">
        <v>2</v>
      </c>
      <c r="L295" s="16" t="s">
        <v>26</v>
      </c>
      <c r="M295" s="16">
        <f t="shared" si="26"/>
        <v>-1.627858735003791</v>
      </c>
      <c r="N295">
        <f t="shared" si="27"/>
        <v>0</v>
      </c>
      <c r="O295">
        <f t="shared" si="28"/>
        <v>0</v>
      </c>
      <c r="P295">
        <f t="shared" si="25"/>
        <v>3500</v>
      </c>
      <c r="Q295">
        <f t="shared" si="29"/>
        <v>3500</v>
      </c>
      <c r="T295" s="16">
        <f t="shared" si="30"/>
        <v>-1.6278587350037912</v>
      </c>
    </row>
    <row r="296" spans="7:20" ht="14.4" x14ac:dyDescent="0.25">
      <c r="G296" s="10">
        <v>4404</v>
      </c>
      <c r="H296" s="9">
        <v>31393</v>
      </c>
      <c r="I296" s="14">
        <f>DATE(2012,12,31)-234</f>
        <v>41040</v>
      </c>
      <c r="J296" s="15" t="s">
        <v>30</v>
      </c>
      <c r="K296" s="9">
        <v>4</v>
      </c>
      <c r="L296" s="16" t="s">
        <v>29</v>
      </c>
      <c r="M296" s="16">
        <f t="shared" si="26"/>
        <v>-1.489739181765348</v>
      </c>
      <c r="N296">
        <f t="shared" si="27"/>
        <v>0</v>
      </c>
      <c r="O296">
        <f t="shared" si="28"/>
        <v>0</v>
      </c>
      <c r="P296">
        <f t="shared" si="25"/>
        <v>3600</v>
      </c>
      <c r="Q296">
        <f t="shared" si="29"/>
        <v>3600</v>
      </c>
      <c r="T296" s="16">
        <f t="shared" si="30"/>
        <v>-1.4897391817653485</v>
      </c>
    </row>
    <row r="297" spans="7:20" ht="14.4" x14ac:dyDescent="0.25">
      <c r="G297" s="10">
        <v>4405</v>
      </c>
      <c r="H297" s="9">
        <v>31393</v>
      </c>
      <c r="I297" s="14">
        <f>DATE(2012,12,31)-234</f>
        <v>41040</v>
      </c>
      <c r="J297" s="15" t="s">
        <v>30</v>
      </c>
      <c r="K297" s="9">
        <v>31</v>
      </c>
      <c r="L297" s="16" t="s">
        <v>26</v>
      </c>
      <c r="M297" s="16">
        <f t="shared" si="26"/>
        <v>0.37487478695363075</v>
      </c>
      <c r="N297">
        <f t="shared" si="27"/>
        <v>0</v>
      </c>
      <c r="O297">
        <f t="shared" si="28"/>
        <v>0</v>
      </c>
      <c r="P297">
        <f t="shared" si="25"/>
        <v>4950</v>
      </c>
      <c r="Q297">
        <f t="shared" si="29"/>
        <v>4950</v>
      </c>
      <c r="T297" s="16">
        <f t="shared" si="30"/>
        <v>0.37487478695363036</v>
      </c>
    </row>
    <row r="298" spans="7:20" ht="14.4" x14ac:dyDescent="0.25">
      <c r="G298" s="10">
        <v>4411</v>
      </c>
      <c r="H298" s="9">
        <v>31492</v>
      </c>
      <c r="I298" s="14">
        <f>DATE(2012,12,31)-808</f>
        <v>40466</v>
      </c>
      <c r="J298" s="15" t="s">
        <v>30</v>
      </c>
      <c r="K298" s="9">
        <v>26</v>
      </c>
      <c r="L298" s="16" t="s">
        <v>26</v>
      </c>
      <c r="M298" s="16">
        <f t="shared" si="26"/>
        <v>2.9575903857523567E-2</v>
      </c>
      <c r="N298">
        <f t="shared" si="27"/>
        <v>0</v>
      </c>
      <c r="O298">
        <f t="shared" si="28"/>
        <v>0</v>
      </c>
      <c r="P298">
        <f t="shared" si="25"/>
        <v>4700</v>
      </c>
      <c r="Q298">
        <f t="shared" si="29"/>
        <v>4700</v>
      </c>
      <c r="T298" s="16">
        <f t="shared" si="30"/>
        <v>2.9575903857523185E-2</v>
      </c>
    </row>
    <row r="299" spans="7:20" ht="14.4" x14ac:dyDescent="0.25">
      <c r="G299" s="10">
        <v>4412</v>
      </c>
      <c r="H299" s="9">
        <v>31492</v>
      </c>
      <c r="I299" s="14">
        <f>DATE(2012,12,31)-808</f>
        <v>40466</v>
      </c>
      <c r="J299" s="15" t="s">
        <v>30</v>
      </c>
      <c r="K299" s="9">
        <v>34</v>
      </c>
      <c r="L299" s="16" t="s">
        <v>26</v>
      </c>
      <c r="M299" s="16">
        <f t="shared" si="26"/>
        <v>0.58205411681129504</v>
      </c>
      <c r="N299">
        <f t="shared" si="27"/>
        <v>0</v>
      </c>
      <c r="O299">
        <f t="shared" si="28"/>
        <v>0</v>
      </c>
      <c r="P299">
        <f t="shared" si="25"/>
        <v>5100</v>
      </c>
      <c r="Q299">
        <f t="shared" si="29"/>
        <v>5100</v>
      </c>
      <c r="T299" s="16">
        <f t="shared" si="30"/>
        <v>0.58205411681129471</v>
      </c>
    </row>
    <row r="300" spans="7:20" ht="14.4" x14ac:dyDescent="0.25">
      <c r="G300" s="10">
        <v>4413</v>
      </c>
      <c r="H300" s="9">
        <v>31492</v>
      </c>
      <c r="I300" s="14">
        <f>DATE(2012,12,31)-808</f>
        <v>40466</v>
      </c>
      <c r="J300" s="15" t="s">
        <v>30</v>
      </c>
      <c r="K300" s="9">
        <v>23</v>
      </c>
      <c r="L300" s="16" t="s">
        <v>26</v>
      </c>
      <c r="M300" s="16">
        <f t="shared" si="26"/>
        <v>-0.17760342600014073</v>
      </c>
      <c r="N300">
        <f t="shared" si="27"/>
        <v>0</v>
      </c>
      <c r="O300">
        <f t="shared" si="28"/>
        <v>0</v>
      </c>
      <c r="P300">
        <f t="shared" si="25"/>
        <v>4550</v>
      </c>
      <c r="Q300">
        <f t="shared" si="29"/>
        <v>4550</v>
      </c>
      <c r="T300" s="16">
        <f t="shared" si="30"/>
        <v>-0.17760342600014112</v>
      </c>
    </row>
    <row r="301" spans="7:20" ht="14.4" x14ac:dyDescent="0.25">
      <c r="G301" s="10">
        <v>4429</v>
      </c>
      <c r="H301" s="9">
        <v>31558</v>
      </c>
      <c r="I301" s="14">
        <f>DATE(2012,12,31)-527</f>
        <v>40747</v>
      </c>
      <c r="J301" s="15" t="s">
        <v>25</v>
      </c>
      <c r="K301" s="9">
        <v>12</v>
      </c>
      <c r="L301" s="16" t="s">
        <v>26</v>
      </c>
      <c r="M301" s="16">
        <f t="shared" si="26"/>
        <v>-0.9372609688115765</v>
      </c>
      <c r="N301">
        <f t="shared" si="27"/>
        <v>0</v>
      </c>
      <c r="O301">
        <f t="shared" si="28"/>
        <v>0</v>
      </c>
      <c r="P301">
        <f t="shared" si="25"/>
        <v>4000</v>
      </c>
      <c r="Q301">
        <f t="shared" si="29"/>
        <v>4000</v>
      </c>
      <c r="T301" s="16">
        <f t="shared" si="30"/>
        <v>-0.93726096881157694</v>
      </c>
    </row>
    <row r="302" spans="7:20" ht="14.4" x14ac:dyDescent="0.25">
      <c r="G302" s="10">
        <v>4430</v>
      </c>
      <c r="H302" s="9">
        <v>31558</v>
      </c>
      <c r="I302" s="14">
        <f>DATE(2012,12,31)-527</f>
        <v>40747</v>
      </c>
      <c r="J302" s="15" t="s">
        <v>25</v>
      </c>
      <c r="K302" s="9">
        <v>42</v>
      </c>
      <c r="L302" s="16" t="s">
        <v>27</v>
      </c>
      <c r="M302" s="16">
        <f t="shared" si="26"/>
        <v>1.1345323297650665</v>
      </c>
      <c r="N302">
        <f t="shared" si="27"/>
        <v>0</v>
      </c>
      <c r="O302">
        <f t="shared" si="28"/>
        <v>0</v>
      </c>
      <c r="P302">
        <f t="shared" si="25"/>
        <v>5500</v>
      </c>
      <c r="Q302">
        <f t="shared" si="29"/>
        <v>5500</v>
      </c>
      <c r="T302" s="16">
        <f t="shared" si="30"/>
        <v>1.1345323297650662</v>
      </c>
    </row>
    <row r="303" spans="7:20" ht="14.4" x14ac:dyDescent="0.25">
      <c r="G303" s="10">
        <v>4437</v>
      </c>
      <c r="H303" s="9">
        <v>31618</v>
      </c>
      <c r="I303" s="14">
        <f>DATE(2012,12,31)-539</f>
        <v>40735</v>
      </c>
      <c r="J303" s="15" t="s">
        <v>30</v>
      </c>
      <c r="K303" s="9">
        <v>14</v>
      </c>
      <c r="L303" s="16" t="s">
        <v>26</v>
      </c>
      <c r="M303" s="16">
        <f t="shared" si="26"/>
        <v>-0.79914141557313367</v>
      </c>
      <c r="N303">
        <f t="shared" si="27"/>
        <v>0</v>
      </c>
      <c r="O303">
        <f t="shared" si="28"/>
        <v>0</v>
      </c>
      <c r="P303">
        <f t="shared" si="25"/>
        <v>4100</v>
      </c>
      <c r="Q303">
        <f t="shared" si="29"/>
        <v>4100</v>
      </c>
      <c r="T303" s="16">
        <f t="shared" si="30"/>
        <v>-0.79914141557313401</v>
      </c>
    </row>
    <row r="304" spans="7:20" ht="14.4" x14ac:dyDescent="0.25">
      <c r="G304" s="10">
        <v>4446</v>
      </c>
      <c r="H304" s="9">
        <v>31684</v>
      </c>
      <c r="I304" s="14">
        <f>DATE(2012,12,31)-106</f>
        <v>41168</v>
      </c>
      <c r="J304" s="15" t="s">
        <v>30</v>
      </c>
      <c r="K304" s="9">
        <v>15</v>
      </c>
      <c r="L304" s="16" t="s">
        <v>26</v>
      </c>
      <c r="M304" s="16">
        <f t="shared" si="26"/>
        <v>-0.7300816389539122</v>
      </c>
      <c r="N304">
        <f t="shared" si="27"/>
        <v>0</v>
      </c>
      <c r="O304">
        <f t="shared" si="28"/>
        <v>0</v>
      </c>
      <c r="P304">
        <f t="shared" si="25"/>
        <v>4150</v>
      </c>
      <c r="Q304">
        <f t="shared" si="29"/>
        <v>4150</v>
      </c>
      <c r="T304" s="16">
        <f t="shared" si="30"/>
        <v>-0.73008163895391265</v>
      </c>
    </row>
    <row r="305" spans="7:20" ht="14.4" x14ac:dyDescent="0.25">
      <c r="G305" s="10">
        <v>4447</v>
      </c>
      <c r="H305" s="9">
        <v>31684</v>
      </c>
      <c r="I305" s="14">
        <f>DATE(2012,12,31)-106</f>
        <v>41168</v>
      </c>
      <c r="J305" s="15" t="s">
        <v>30</v>
      </c>
      <c r="K305" s="9">
        <v>28</v>
      </c>
      <c r="L305" s="16" t="s">
        <v>26</v>
      </c>
      <c r="M305" s="16">
        <f t="shared" si="26"/>
        <v>0.16769545709596645</v>
      </c>
      <c r="N305">
        <f t="shared" si="27"/>
        <v>0</v>
      </c>
      <c r="O305">
        <f t="shared" si="28"/>
        <v>0</v>
      </c>
      <c r="P305">
        <f t="shared" si="25"/>
        <v>4800</v>
      </c>
      <c r="Q305">
        <f t="shared" si="29"/>
        <v>4800</v>
      </c>
      <c r="T305" s="16">
        <f t="shared" si="30"/>
        <v>0.16769545709596606</v>
      </c>
    </row>
    <row r="306" spans="7:20" ht="14.4" x14ac:dyDescent="0.25">
      <c r="G306" s="10">
        <v>4459</v>
      </c>
      <c r="H306" s="9">
        <v>31781</v>
      </c>
      <c r="I306" s="14">
        <f>DATE(2012,12,31)-1445</f>
        <v>39829</v>
      </c>
      <c r="J306" s="15" t="s">
        <v>16</v>
      </c>
      <c r="K306" s="9">
        <v>46</v>
      </c>
      <c r="L306" s="16" t="s">
        <v>26</v>
      </c>
      <c r="M306" s="16">
        <f t="shared" si="26"/>
        <v>1.4107714362419523</v>
      </c>
      <c r="N306">
        <f t="shared" si="27"/>
        <v>0</v>
      </c>
      <c r="O306">
        <f t="shared" si="28"/>
        <v>0</v>
      </c>
      <c r="P306">
        <f t="shared" si="25"/>
        <v>5700</v>
      </c>
      <c r="Q306">
        <f t="shared" si="29"/>
        <v>5700</v>
      </c>
      <c r="T306" s="16">
        <f t="shared" si="30"/>
        <v>1.4107714362419519</v>
      </c>
    </row>
    <row r="307" spans="7:20" ht="14.4" x14ac:dyDescent="0.25">
      <c r="G307" s="10">
        <v>4460</v>
      </c>
      <c r="H307" s="9">
        <v>31781</v>
      </c>
      <c r="I307" s="14">
        <f>DATE(2012,12,31)-1445</f>
        <v>39829</v>
      </c>
      <c r="J307" s="15" t="s">
        <v>16</v>
      </c>
      <c r="K307" s="9">
        <v>41</v>
      </c>
      <c r="L307" s="16" t="s">
        <v>26</v>
      </c>
      <c r="M307" s="16">
        <f t="shared" si="26"/>
        <v>1.0654725531458451</v>
      </c>
      <c r="N307">
        <f t="shared" si="27"/>
        <v>0</v>
      </c>
      <c r="O307">
        <f t="shared" si="28"/>
        <v>0</v>
      </c>
      <c r="P307">
        <f t="shared" si="25"/>
        <v>5450</v>
      </c>
      <c r="Q307">
        <f t="shared" si="29"/>
        <v>5450</v>
      </c>
      <c r="T307" s="16">
        <f t="shared" si="30"/>
        <v>1.0654725531458447</v>
      </c>
    </row>
    <row r="308" spans="7:20" ht="14.4" x14ac:dyDescent="0.25">
      <c r="G308" s="10">
        <v>4524</v>
      </c>
      <c r="H308" s="9">
        <v>32193</v>
      </c>
      <c r="I308" s="14">
        <f>DATE(2012,12,31)-803</f>
        <v>40471</v>
      </c>
      <c r="J308" s="15" t="s">
        <v>25</v>
      </c>
      <c r="K308" s="9">
        <v>4</v>
      </c>
      <c r="L308" s="16" t="s">
        <v>26</v>
      </c>
      <c r="M308" s="16">
        <f t="shared" si="26"/>
        <v>-1.489739181765348</v>
      </c>
      <c r="N308">
        <f t="shared" si="27"/>
        <v>0</v>
      </c>
      <c r="O308">
        <f t="shared" si="28"/>
        <v>0</v>
      </c>
      <c r="P308">
        <f t="shared" si="25"/>
        <v>3600</v>
      </c>
      <c r="Q308">
        <f t="shared" si="29"/>
        <v>3600</v>
      </c>
      <c r="T308" s="16">
        <f t="shared" si="30"/>
        <v>-1.4897391817653485</v>
      </c>
    </row>
    <row r="309" spans="7:20" ht="14.4" x14ac:dyDescent="0.25">
      <c r="G309" s="10">
        <v>4525</v>
      </c>
      <c r="H309" s="9">
        <v>32193</v>
      </c>
      <c r="I309" s="14">
        <f>DATE(2012,12,31)-803</f>
        <v>40471</v>
      </c>
      <c r="J309" s="15" t="s">
        <v>25</v>
      </c>
      <c r="K309" s="9">
        <v>27</v>
      </c>
      <c r="L309" s="16" t="s">
        <v>26</v>
      </c>
      <c r="M309" s="16">
        <f t="shared" si="26"/>
        <v>9.8635680476745008E-2</v>
      </c>
      <c r="N309">
        <f t="shared" si="27"/>
        <v>0</v>
      </c>
      <c r="O309">
        <f t="shared" si="28"/>
        <v>0</v>
      </c>
      <c r="P309">
        <f t="shared" si="25"/>
        <v>4750</v>
      </c>
      <c r="Q309">
        <f t="shared" si="29"/>
        <v>4750</v>
      </c>
      <c r="T309" s="16">
        <f t="shared" si="30"/>
        <v>9.8635680476744619E-2</v>
      </c>
    </row>
    <row r="310" spans="7:20" ht="14.4" x14ac:dyDescent="0.25">
      <c r="G310" s="10">
        <v>4532</v>
      </c>
      <c r="H310" s="9">
        <v>32229</v>
      </c>
      <c r="I310" s="14">
        <f>DATE(2012,12,31)-854</f>
        <v>40420</v>
      </c>
      <c r="J310" s="15" t="s">
        <v>17</v>
      </c>
      <c r="K310" s="9">
        <v>8</v>
      </c>
      <c r="L310" s="16" t="s">
        <v>27</v>
      </c>
      <c r="M310" s="16">
        <f t="shared" si="26"/>
        <v>-1.2135000752884624</v>
      </c>
      <c r="N310">
        <f t="shared" si="27"/>
        <v>0</v>
      </c>
      <c r="O310">
        <f t="shared" si="28"/>
        <v>0</v>
      </c>
      <c r="P310">
        <f t="shared" si="25"/>
        <v>3800</v>
      </c>
      <c r="Q310">
        <f t="shared" si="29"/>
        <v>3800</v>
      </c>
      <c r="T310" s="16">
        <f t="shared" si="30"/>
        <v>-1.2135000752884626</v>
      </c>
    </row>
    <row r="311" spans="7:20" ht="14.4" x14ac:dyDescent="0.25">
      <c r="G311" s="10">
        <v>4533</v>
      </c>
      <c r="H311" s="9">
        <v>32229</v>
      </c>
      <c r="I311" s="14">
        <f>DATE(2012,12,31)-854</f>
        <v>40420</v>
      </c>
      <c r="J311" s="15" t="s">
        <v>17</v>
      </c>
      <c r="K311" s="9">
        <v>15</v>
      </c>
      <c r="L311" s="16" t="s">
        <v>26</v>
      </c>
      <c r="M311" s="16">
        <f t="shared" si="26"/>
        <v>-0.7300816389539122</v>
      </c>
      <c r="N311">
        <f t="shared" si="27"/>
        <v>1</v>
      </c>
      <c r="O311">
        <f t="shared" si="28"/>
        <v>-3300</v>
      </c>
      <c r="P311">
        <f t="shared" si="25"/>
        <v>4150</v>
      </c>
      <c r="Q311">
        <f t="shared" si="29"/>
        <v>850</v>
      </c>
      <c r="T311" s="16">
        <f t="shared" si="30"/>
        <v>-5.2880268958225276</v>
      </c>
    </row>
    <row r="312" spans="7:20" ht="14.4" x14ac:dyDescent="0.25">
      <c r="G312" s="10">
        <v>4599</v>
      </c>
      <c r="H312" s="9">
        <v>32743</v>
      </c>
      <c r="I312" s="14">
        <f>DATE(2012,12,31)-969</f>
        <v>40305</v>
      </c>
      <c r="J312" s="15" t="s">
        <v>30</v>
      </c>
      <c r="K312" s="9">
        <v>19</v>
      </c>
      <c r="L312" s="16" t="s">
        <v>26</v>
      </c>
      <c r="M312" s="16">
        <f t="shared" si="26"/>
        <v>-0.45384253247702649</v>
      </c>
      <c r="N312">
        <f t="shared" si="27"/>
        <v>0</v>
      </c>
      <c r="O312">
        <f t="shared" si="28"/>
        <v>0</v>
      </c>
      <c r="P312">
        <f t="shared" si="25"/>
        <v>4350</v>
      </c>
      <c r="Q312">
        <f t="shared" si="29"/>
        <v>4350</v>
      </c>
      <c r="T312" s="16">
        <f t="shared" si="30"/>
        <v>-0.45384253247702688</v>
      </c>
    </row>
    <row r="313" spans="7:20" ht="14.4" x14ac:dyDescent="0.25">
      <c r="G313" s="10">
        <v>4607</v>
      </c>
      <c r="H313" s="9">
        <v>32806</v>
      </c>
      <c r="I313" s="14">
        <f>DATE(2012,12,31)-559</f>
        <v>40715</v>
      </c>
      <c r="J313" s="15" t="s">
        <v>30</v>
      </c>
      <c r="K313" s="9">
        <v>8</v>
      </c>
      <c r="L313" s="16" t="s">
        <v>29</v>
      </c>
      <c r="M313" s="16">
        <f t="shared" si="26"/>
        <v>-1.2135000752884624</v>
      </c>
      <c r="N313">
        <f t="shared" si="27"/>
        <v>0</v>
      </c>
      <c r="O313">
        <f t="shared" si="28"/>
        <v>0</v>
      </c>
      <c r="P313">
        <f t="shared" si="25"/>
        <v>3800</v>
      </c>
      <c r="Q313">
        <f t="shared" si="29"/>
        <v>3800</v>
      </c>
      <c r="T313" s="16">
        <f t="shared" si="30"/>
        <v>-1.2135000752884626</v>
      </c>
    </row>
    <row r="314" spans="7:20" ht="14.4" x14ac:dyDescent="0.25">
      <c r="G314" s="10">
        <v>4651</v>
      </c>
      <c r="H314" s="9">
        <v>33123</v>
      </c>
      <c r="I314" s="14">
        <f>DATE(2012,12,31)-768</f>
        <v>40506</v>
      </c>
      <c r="J314" s="15" t="s">
        <v>16</v>
      </c>
      <c r="K314" s="9">
        <v>41</v>
      </c>
      <c r="L314" s="16" t="s">
        <v>29</v>
      </c>
      <c r="M314" s="16">
        <f t="shared" si="26"/>
        <v>1.0654725531458451</v>
      </c>
      <c r="N314">
        <f t="shared" si="27"/>
        <v>0</v>
      </c>
      <c r="O314">
        <f t="shared" si="28"/>
        <v>0</v>
      </c>
      <c r="P314">
        <f t="shared" si="25"/>
        <v>5450</v>
      </c>
      <c r="Q314">
        <f t="shared" si="29"/>
        <v>5450</v>
      </c>
      <c r="T314" s="16">
        <f t="shared" si="30"/>
        <v>1.0654725531458447</v>
      </c>
    </row>
    <row r="315" spans="7:20" ht="14.4" x14ac:dyDescent="0.25">
      <c r="G315" s="10">
        <v>4656</v>
      </c>
      <c r="H315" s="9">
        <v>33159</v>
      </c>
      <c r="I315" s="14">
        <f>DATE(2012,12,31)-248</f>
        <v>41026</v>
      </c>
      <c r="J315" s="15" t="s">
        <v>16</v>
      </c>
      <c r="K315" s="9">
        <v>3</v>
      </c>
      <c r="L315" s="16" t="s">
        <v>27</v>
      </c>
      <c r="M315" s="16">
        <f t="shared" si="26"/>
        <v>-1.5587989583845694</v>
      </c>
      <c r="N315">
        <f t="shared" si="27"/>
        <v>0</v>
      </c>
      <c r="O315">
        <f t="shared" si="28"/>
        <v>0</v>
      </c>
      <c r="P315">
        <f t="shared" si="25"/>
        <v>3550</v>
      </c>
      <c r="Q315">
        <f t="shared" si="29"/>
        <v>3550</v>
      </c>
      <c r="T315" s="16">
        <f t="shared" si="30"/>
        <v>-1.5587989583845698</v>
      </c>
    </row>
    <row r="316" spans="7:20" ht="14.4" x14ac:dyDescent="0.25">
      <c r="G316" s="10">
        <v>4659</v>
      </c>
      <c r="H316" s="9">
        <v>33186</v>
      </c>
      <c r="I316" s="14">
        <f>DATE(2012,12,31)-125</f>
        <v>41149</v>
      </c>
      <c r="J316" s="15" t="s">
        <v>25</v>
      </c>
      <c r="K316" s="9">
        <v>24</v>
      </c>
      <c r="L316" s="16" t="s">
        <v>27</v>
      </c>
      <c r="M316" s="16">
        <f t="shared" si="26"/>
        <v>-0.1085436493809193</v>
      </c>
      <c r="N316">
        <f t="shared" si="27"/>
        <v>0</v>
      </c>
      <c r="O316">
        <f t="shared" si="28"/>
        <v>0</v>
      </c>
      <c r="P316">
        <f t="shared" si="25"/>
        <v>4600</v>
      </c>
      <c r="Q316">
        <f t="shared" si="29"/>
        <v>4600</v>
      </c>
      <c r="T316" s="16">
        <f t="shared" si="30"/>
        <v>-0.10854364938091969</v>
      </c>
    </row>
    <row r="317" spans="7:20" ht="14.4" x14ac:dyDescent="0.25">
      <c r="G317" s="10">
        <v>4687</v>
      </c>
      <c r="H317" s="9">
        <v>33377</v>
      </c>
      <c r="I317" s="14">
        <f>DATE(2012,12,31)-519</f>
        <v>40755</v>
      </c>
      <c r="J317" s="15" t="s">
        <v>17</v>
      </c>
      <c r="K317" s="9">
        <v>20</v>
      </c>
      <c r="L317" s="16" t="s">
        <v>26</v>
      </c>
      <c r="M317" s="16">
        <f t="shared" si="26"/>
        <v>-0.38478275585780503</v>
      </c>
      <c r="N317">
        <f t="shared" si="27"/>
        <v>0</v>
      </c>
      <c r="O317">
        <f t="shared" si="28"/>
        <v>0</v>
      </c>
      <c r="P317">
        <f t="shared" si="25"/>
        <v>4400</v>
      </c>
      <c r="Q317">
        <f t="shared" si="29"/>
        <v>4400</v>
      </c>
      <c r="T317" s="16">
        <f t="shared" si="30"/>
        <v>-0.38478275585780541</v>
      </c>
    </row>
    <row r="318" spans="7:20" ht="14.4" x14ac:dyDescent="0.25">
      <c r="G318" s="10">
        <v>4688</v>
      </c>
      <c r="H318" s="9">
        <v>33377</v>
      </c>
      <c r="I318" s="14">
        <f>DATE(2012,12,31)-519</f>
        <v>40755</v>
      </c>
      <c r="J318" s="15" t="s">
        <v>17</v>
      </c>
      <c r="K318" s="9">
        <v>19</v>
      </c>
      <c r="L318" s="16" t="s">
        <v>26</v>
      </c>
      <c r="M318" s="16">
        <f t="shared" si="26"/>
        <v>-0.45384253247702649</v>
      </c>
      <c r="N318">
        <f t="shared" si="27"/>
        <v>0</v>
      </c>
      <c r="O318">
        <f t="shared" si="28"/>
        <v>0</v>
      </c>
      <c r="P318">
        <f t="shared" si="25"/>
        <v>4350</v>
      </c>
      <c r="Q318">
        <f t="shared" si="29"/>
        <v>4350</v>
      </c>
      <c r="T318" s="16">
        <f t="shared" si="30"/>
        <v>-0.45384253247702688</v>
      </c>
    </row>
    <row r="319" spans="7:20" ht="14.4" x14ac:dyDescent="0.25">
      <c r="G319" s="10">
        <v>4691</v>
      </c>
      <c r="H319" s="9">
        <v>33444</v>
      </c>
      <c r="I319" s="14">
        <f>DATE(2012,12,31)-86</f>
        <v>41188</v>
      </c>
      <c r="J319" s="15" t="s">
        <v>16</v>
      </c>
      <c r="K319" s="9">
        <v>11</v>
      </c>
      <c r="L319" s="16" t="s">
        <v>26</v>
      </c>
      <c r="M319" s="16">
        <f t="shared" si="26"/>
        <v>-1.0063207454307979</v>
      </c>
      <c r="N319">
        <f t="shared" si="27"/>
        <v>0</v>
      </c>
      <c r="O319">
        <f t="shared" si="28"/>
        <v>0</v>
      </c>
      <c r="P319">
        <f t="shared" si="25"/>
        <v>3950</v>
      </c>
      <c r="Q319">
        <f t="shared" si="29"/>
        <v>3950</v>
      </c>
      <c r="T319" s="16">
        <f t="shared" si="30"/>
        <v>-1.0063207454307983</v>
      </c>
    </row>
    <row r="320" spans="7:20" ht="14.4" x14ac:dyDescent="0.25">
      <c r="G320" s="10">
        <v>4692</v>
      </c>
      <c r="H320" s="9">
        <v>33444</v>
      </c>
      <c r="I320" s="14">
        <f>DATE(2012,12,31)-86</f>
        <v>41188</v>
      </c>
      <c r="J320" s="15" t="s">
        <v>16</v>
      </c>
      <c r="K320" s="9">
        <v>8</v>
      </c>
      <c r="L320" s="16" t="s">
        <v>26</v>
      </c>
      <c r="M320" s="16">
        <f t="shared" si="26"/>
        <v>-1.2135000752884624</v>
      </c>
      <c r="N320">
        <f t="shared" si="27"/>
        <v>0</v>
      </c>
      <c r="O320">
        <f t="shared" si="28"/>
        <v>0</v>
      </c>
      <c r="P320">
        <f t="shared" si="25"/>
        <v>3800</v>
      </c>
      <c r="Q320">
        <f t="shared" si="29"/>
        <v>3800</v>
      </c>
      <c r="T320" s="16">
        <f t="shared" si="30"/>
        <v>-1.2135000752884626</v>
      </c>
    </row>
    <row r="321" spans="7:20" ht="14.4" x14ac:dyDescent="0.25">
      <c r="G321" s="10">
        <v>4738</v>
      </c>
      <c r="H321" s="9">
        <v>33703</v>
      </c>
      <c r="I321" s="14">
        <f>DATE(2012,12,31)-1059</f>
        <v>40215</v>
      </c>
      <c r="J321" s="15" t="s">
        <v>28</v>
      </c>
      <c r="K321" s="9">
        <v>4</v>
      </c>
      <c r="L321" s="16" t="s">
        <v>27</v>
      </c>
      <c r="M321" s="16">
        <f t="shared" si="26"/>
        <v>-1.489739181765348</v>
      </c>
      <c r="N321">
        <f t="shared" si="27"/>
        <v>0</v>
      </c>
      <c r="O321">
        <f t="shared" si="28"/>
        <v>0</v>
      </c>
      <c r="P321">
        <f t="shared" si="25"/>
        <v>3600</v>
      </c>
      <c r="Q321">
        <f t="shared" si="29"/>
        <v>3600</v>
      </c>
      <c r="T321" s="16">
        <f t="shared" si="30"/>
        <v>-1.4897391817653485</v>
      </c>
    </row>
    <row r="322" spans="7:20" ht="14.4" x14ac:dyDescent="0.25">
      <c r="G322" s="10">
        <v>4739</v>
      </c>
      <c r="H322" s="9">
        <v>33703</v>
      </c>
      <c r="I322" s="14">
        <f>DATE(2012,12,31)-1059</f>
        <v>40215</v>
      </c>
      <c r="J322" s="15" t="s">
        <v>28</v>
      </c>
      <c r="K322" s="9">
        <v>25</v>
      </c>
      <c r="L322" s="16" t="s">
        <v>26</v>
      </c>
      <c r="M322" s="16">
        <f t="shared" si="26"/>
        <v>-3.9483872761697868E-2</v>
      </c>
      <c r="N322">
        <f t="shared" si="27"/>
        <v>0</v>
      </c>
      <c r="O322">
        <f t="shared" si="28"/>
        <v>0</v>
      </c>
      <c r="P322">
        <f t="shared" si="25"/>
        <v>4650</v>
      </c>
      <c r="Q322">
        <f t="shared" si="29"/>
        <v>4650</v>
      </c>
      <c r="T322" s="16">
        <f t="shared" si="30"/>
        <v>-3.9483872761698249E-2</v>
      </c>
    </row>
    <row r="323" spans="7:20" ht="14.4" x14ac:dyDescent="0.25">
      <c r="G323" s="10">
        <v>4740</v>
      </c>
      <c r="H323" s="9">
        <v>33703</v>
      </c>
      <c r="I323" s="14">
        <f>DATE(2012,12,31)-1059</f>
        <v>40215</v>
      </c>
      <c r="J323" s="15" t="s">
        <v>28</v>
      </c>
      <c r="K323" s="9">
        <v>4</v>
      </c>
      <c r="L323" s="16" t="s">
        <v>26</v>
      </c>
      <c r="M323" s="16">
        <f t="shared" si="26"/>
        <v>-1.489739181765348</v>
      </c>
      <c r="N323">
        <f t="shared" si="27"/>
        <v>0</v>
      </c>
      <c r="O323">
        <f t="shared" si="28"/>
        <v>0</v>
      </c>
      <c r="P323">
        <f t="shared" si="25"/>
        <v>3600</v>
      </c>
      <c r="Q323">
        <f t="shared" si="29"/>
        <v>3600</v>
      </c>
      <c r="T323" s="16">
        <f t="shared" si="30"/>
        <v>-1.4897391817653485</v>
      </c>
    </row>
    <row r="324" spans="7:20" ht="14.4" x14ac:dyDescent="0.25">
      <c r="G324" s="10">
        <v>4746</v>
      </c>
      <c r="H324" s="9">
        <v>33734</v>
      </c>
      <c r="I324" s="14">
        <f>DATE(2012,12,31)-441</f>
        <v>40833</v>
      </c>
      <c r="J324" s="15" t="s">
        <v>28</v>
      </c>
      <c r="K324" s="9">
        <v>13</v>
      </c>
      <c r="L324" s="16" t="s">
        <v>26</v>
      </c>
      <c r="M324" s="16">
        <f t="shared" si="26"/>
        <v>-0.86820119219235514</v>
      </c>
      <c r="N324">
        <f t="shared" si="27"/>
        <v>0</v>
      </c>
      <c r="O324">
        <f t="shared" si="28"/>
        <v>0</v>
      </c>
      <c r="P324">
        <f t="shared" si="25"/>
        <v>4050</v>
      </c>
      <c r="Q324">
        <f t="shared" si="29"/>
        <v>4050</v>
      </c>
      <c r="T324" s="16">
        <f t="shared" si="30"/>
        <v>-0.86820119219235548</v>
      </c>
    </row>
    <row r="325" spans="7:20" ht="14.4" x14ac:dyDescent="0.25">
      <c r="G325" s="10">
        <v>4763</v>
      </c>
      <c r="H325" s="9">
        <v>33888</v>
      </c>
      <c r="I325" s="14">
        <f>DATE(2012,12,31)-1229</f>
        <v>40045</v>
      </c>
      <c r="J325" s="15" t="s">
        <v>28</v>
      </c>
      <c r="K325" s="9">
        <v>31</v>
      </c>
      <c r="L325" s="16" t="s">
        <v>26</v>
      </c>
      <c r="M325" s="16">
        <f t="shared" si="26"/>
        <v>0.37487478695363075</v>
      </c>
      <c r="N325">
        <f t="shared" si="27"/>
        <v>0</v>
      </c>
      <c r="O325">
        <f t="shared" si="28"/>
        <v>0</v>
      </c>
      <c r="P325">
        <f t="shared" si="25"/>
        <v>4950</v>
      </c>
      <c r="Q325">
        <f t="shared" si="29"/>
        <v>4950</v>
      </c>
      <c r="T325" s="16">
        <f t="shared" si="30"/>
        <v>0.37487478695363036</v>
      </c>
    </row>
    <row r="326" spans="7:20" ht="14.4" x14ac:dyDescent="0.25">
      <c r="G326" s="10">
        <v>4764</v>
      </c>
      <c r="H326" s="9">
        <v>33888</v>
      </c>
      <c r="I326" s="14">
        <f>DATE(2012,12,31)-1229</f>
        <v>40045</v>
      </c>
      <c r="J326" s="15" t="s">
        <v>28</v>
      </c>
      <c r="K326" s="9">
        <v>3</v>
      </c>
      <c r="L326" s="16" t="s">
        <v>26</v>
      </c>
      <c r="M326" s="16">
        <f t="shared" si="26"/>
        <v>-1.5587989583845694</v>
      </c>
      <c r="N326">
        <f t="shared" si="27"/>
        <v>0</v>
      </c>
      <c r="O326">
        <f t="shared" si="28"/>
        <v>0</v>
      </c>
      <c r="P326">
        <f t="shared" si="25"/>
        <v>3550</v>
      </c>
      <c r="Q326">
        <f t="shared" si="29"/>
        <v>3550</v>
      </c>
      <c r="T326" s="16">
        <f t="shared" si="30"/>
        <v>-1.5587989583845698</v>
      </c>
    </row>
    <row r="327" spans="7:20" ht="14.4" x14ac:dyDescent="0.25">
      <c r="G327" s="10">
        <v>4765</v>
      </c>
      <c r="H327" s="9">
        <v>33888</v>
      </c>
      <c r="I327" s="14">
        <f>DATE(2012,12,31)-1229</f>
        <v>40045</v>
      </c>
      <c r="J327" s="15" t="s">
        <v>28</v>
      </c>
      <c r="K327" s="9">
        <v>47</v>
      </c>
      <c r="L327" s="16" t="s">
        <v>26</v>
      </c>
      <c r="M327" s="16">
        <f t="shared" si="26"/>
        <v>1.4798312128611737</v>
      </c>
      <c r="N327">
        <f t="shared" si="27"/>
        <v>0</v>
      </c>
      <c r="O327">
        <f t="shared" si="28"/>
        <v>0</v>
      </c>
      <c r="P327">
        <f t="shared" si="25"/>
        <v>5750</v>
      </c>
      <c r="Q327">
        <f t="shared" si="29"/>
        <v>5750</v>
      </c>
      <c r="T327" s="16">
        <f t="shared" si="30"/>
        <v>1.4798312128611733</v>
      </c>
    </row>
    <row r="328" spans="7:20" ht="14.4" x14ac:dyDescent="0.25">
      <c r="G328" s="10">
        <v>4772</v>
      </c>
      <c r="H328" s="9">
        <v>33894</v>
      </c>
      <c r="I328" s="14">
        <f>DATE(2012,12,31)-931</f>
        <v>40343</v>
      </c>
      <c r="J328" s="15" t="s">
        <v>30</v>
      </c>
      <c r="K328" s="9">
        <v>14</v>
      </c>
      <c r="L328" s="16" t="s">
        <v>26</v>
      </c>
      <c r="M328" s="16">
        <f t="shared" si="26"/>
        <v>-0.79914141557313367</v>
      </c>
      <c r="N328">
        <f t="shared" si="27"/>
        <v>0</v>
      </c>
      <c r="O328">
        <f t="shared" si="28"/>
        <v>0</v>
      </c>
      <c r="P328">
        <f t="shared" si="25"/>
        <v>4100</v>
      </c>
      <c r="Q328">
        <f t="shared" si="29"/>
        <v>4100</v>
      </c>
      <c r="T328" s="16">
        <f t="shared" si="30"/>
        <v>-0.79914141557313401</v>
      </c>
    </row>
    <row r="329" spans="7:20" ht="14.4" x14ac:dyDescent="0.25">
      <c r="G329" s="10">
        <v>4773</v>
      </c>
      <c r="H329" s="9">
        <v>33894</v>
      </c>
      <c r="I329" s="14">
        <f>DATE(2012,12,31)-931</f>
        <v>40343</v>
      </c>
      <c r="J329" s="15" t="s">
        <v>30</v>
      </c>
      <c r="K329" s="9">
        <v>5</v>
      </c>
      <c r="L329" s="16" t="s">
        <v>26</v>
      </c>
      <c r="M329" s="16">
        <f t="shared" si="26"/>
        <v>-1.4206794051461267</v>
      </c>
      <c r="N329">
        <f t="shared" si="27"/>
        <v>0</v>
      </c>
      <c r="O329">
        <f t="shared" si="28"/>
        <v>0</v>
      </c>
      <c r="P329">
        <f t="shared" si="25"/>
        <v>3650</v>
      </c>
      <c r="Q329">
        <f t="shared" si="29"/>
        <v>3650</v>
      </c>
      <c r="T329" s="16">
        <f t="shared" si="30"/>
        <v>-1.4206794051461269</v>
      </c>
    </row>
    <row r="330" spans="7:20" ht="14.4" x14ac:dyDescent="0.25">
      <c r="G330" s="10">
        <v>4774</v>
      </c>
      <c r="H330" s="9">
        <v>33894</v>
      </c>
      <c r="I330" s="14">
        <f>DATE(2012,12,31)-931</f>
        <v>40343</v>
      </c>
      <c r="J330" s="15" t="s">
        <v>30</v>
      </c>
      <c r="K330" s="9">
        <v>48</v>
      </c>
      <c r="L330" s="16" t="s">
        <v>27</v>
      </c>
      <c r="M330" s="16">
        <f t="shared" si="26"/>
        <v>1.5488909894803951</v>
      </c>
      <c r="N330">
        <f t="shared" si="27"/>
        <v>0</v>
      </c>
      <c r="O330">
        <f t="shared" si="28"/>
        <v>0</v>
      </c>
      <c r="P330">
        <f t="shared" si="25"/>
        <v>5800</v>
      </c>
      <c r="Q330">
        <f t="shared" si="29"/>
        <v>5800</v>
      </c>
      <c r="T330" s="16">
        <f t="shared" si="30"/>
        <v>1.5488909894803948</v>
      </c>
    </row>
    <row r="331" spans="7:20" ht="14.4" x14ac:dyDescent="0.25">
      <c r="G331" s="10">
        <v>4775</v>
      </c>
      <c r="H331" s="9">
        <v>33894</v>
      </c>
      <c r="I331" s="14">
        <f>DATE(2012,12,31)-931</f>
        <v>40343</v>
      </c>
      <c r="J331" s="15" t="s">
        <v>30</v>
      </c>
      <c r="K331" s="9">
        <v>13</v>
      </c>
      <c r="L331" s="16" t="s">
        <v>27</v>
      </c>
      <c r="M331" s="16">
        <f t="shared" si="26"/>
        <v>-0.86820119219235514</v>
      </c>
      <c r="N331">
        <f t="shared" si="27"/>
        <v>0</v>
      </c>
      <c r="O331">
        <f t="shared" si="28"/>
        <v>0</v>
      </c>
      <c r="P331">
        <f t="shared" si="25"/>
        <v>4050</v>
      </c>
      <c r="Q331">
        <f t="shared" si="29"/>
        <v>4050</v>
      </c>
      <c r="T331" s="16">
        <f t="shared" si="30"/>
        <v>-0.86820119219235548</v>
      </c>
    </row>
    <row r="332" spans="7:20" ht="14.4" x14ac:dyDescent="0.25">
      <c r="G332" s="10">
        <v>4777</v>
      </c>
      <c r="H332" s="9">
        <v>33922</v>
      </c>
      <c r="I332" s="14">
        <f>DATE(2012,12,31)-1038</f>
        <v>40236</v>
      </c>
      <c r="J332" s="15" t="s">
        <v>28</v>
      </c>
      <c r="K332" s="9">
        <v>31</v>
      </c>
      <c r="L332" s="16" t="s">
        <v>27</v>
      </c>
      <c r="M332" s="16">
        <f t="shared" si="26"/>
        <v>0.37487478695363075</v>
      </c>
      <c r="N332">
        <f t="shared" si="27"/>
        <v>0</v>
      </c>
      <c r="O332">
        <f t="shared" si="28"/>
        <v>0</v>
      </c>
      <c r="P332">
        <f t="shared" ref="P332:P395" si="31">50*K332+$P$10</f>
        <v>4950</v>
      </c>
      <c r="Q332">
        <f t="shared" si="29"/>
        <v>4950</v>
      </c>
      <c r="T332" s="16">
        <f t="shared" si="30"/>
        <v>0.37487478695363036</v>
      </c>
    </row>
    <row r="333" spans="7:20" ht="14.4" x14ac:dyDescent="0.25">
      <c r="G333" s="10">
        <v>4803</v>
      </c>
      <c r="H333" s="9">
        <v>34177</v>
      </c>
      <c r="I333" s="14">
        <f>DATE(2012,12,31)-1234</f>
        <v>40040</v>
      </c>
      <c r="J333" s="15" t="s">
        <v>17</v>
      </c>
      <c r="K333" s="9">
        <v>13</v>
      </c>
      <c r="L333" s="16" t="s">
        <v>26</v>
      </c>
      <c r="M333" s="16">
        <f t="shared" ref="M333:M396" si="32">(K333-$K$4)/$K$7</f>
        <v>-0.86820119219235514</v>
      </c>
      <c r="N333">
        <f t="shared" ref="N333:N396" si="33">IF(MOD($B$20+G333,1000)=0,1,0)</f>
        <v>0</v>
      </c>
      <c r="O333">
        <f t="shared" ref="O333:O396" si="34">+ROUND(N333*(IF(K333&lt;$K$4,-4.5,10.5)*$P$5),-2)</f>
        <v>0</v>
      </c>
      <c r="P333">
        <f t="shared" si="31"/>
        <v>4050</v>
      </c>
      <c r="Q333">
        <f t="shared" ref="Q333:Q396" si="35">P333+O333</f>
        <v>4050</v>
      </c>
      <c r="T333" s="16">
        <f t="shared" ref="T333:T396" si="36">(Q333-$P$4)/$P$5</f>
        <v>-0.86820119219235548</v>
      </c>
    </row>
    <row r="334" spans="7:20" ht="14.4" x14ac:dyDescent="0.25">
      <c r="G334" s="10">
        <v>4804</v>
      </c>
      <c r="H334" s="9">
        <v>34177</v>
      </c>
      <c r="I334" s="14">
        <f>DATE(2012,12,31)-1234</f>
        <v>40040</v>
      </c>
      <c r="J334" s="15" t="s">
        <v>17</v>
      </c>
      <c r="K334" s="9">
        <v>26</v>
      </c>
      <c r="L334" s="16" t="s">
        <v>26</v>
      </c>
      <c r="M334" s="16">
        <f t="shared" si="32"/>
        <v>2.9575903857523567E-2</v>
      </c>
      <c r="N334">
        <f t="shared" si="33"/>
        <v>0</v>
      </c>
      <c r="O334">
        <f t="shared" si="34"/>
        <v>0</v>
      </c>
      <c r="P334">
        <f t="shared" si="31"/>
        <v>4700</v>
      </c>
      <c r="Q334">
        <f t="shared" si="35"/>
        <v>4700</v>
      </c>
      <c r="T334" s="16">
        <f t="shared" si="36"/>
        <v>2.9575903857523185E-2</v>
      </c>
    </row>
    <row r="335" spans="7:20" ht="14.4" x14ac:dyDescent="0.25">
      <c r="G335" s="10">
        <v>4805</v>
      </c>
      <c r="H335" s="9">
        <v>34177</v>
      </c>
      <c r="I335" s="14">
        <f>DATE(2012,12,31)-1234</f>
        <v>40040</v>
      </c>
      <c r="J335" s="15" t="s">
        <v>17</v>
      </c>
      <c r="K335" s="9">
        <v>50</v>
      </c>
      <c r="L335" s="16" t="s">
        <v>27</v>
      </c>
      <c r="M335" s="16">
        <f t="shared" si="32"/>
        <v>1.687010542718838</v>
      </c>
      <c r="N335">
        <f t="shared" si="33"/>
        <v>0</v>
      </c>
      <c r="O335">
        <f t="shared" si="34"/>
        <v>0</v>
      </c>
      <c r="P335">
        <f t="shared" si="31"/>
        <v>5900</v>
      </c>
      <c r="Q335">
        <f t="shared" si="35"/>
        <v>5900</v>
      </c>
      <c r="T335" s="16">
        <f t="shared" si="36"/>
        <v>1.6870105427188375</v>
      </c>
    </row>
    <row r="336" spans="7:20" ht="14.4" x14ac:dyDescent="0.25">
      <c r="G336" s="10">
        <v>4812</v>
      </c>
      <c r="H336" s="9">
        <v>34215</v>
      </c>
      <c r="I336" s="14">
        <f>DATE(2012,12,31)-597</f>
        <v>40677</v>
      </c>
      <c r="J336" s="15" t="s">
        <v>17</v>
      </c>
      <c r="K336" s="9">
        <v>6</v>
      </c>
      <c r="L336" s="16" t="s">
        <v>26</v>
      </c>
      <c r="M336" s="16">
        <f t="shared" si="32"/>
        <v>-1.3516196285269051</v>
      </c>
      <c r="N336">
        <f t="shared" si="33"/>
        <v>0</v>
      </c>
      <c r="O336">
        <f t="shared" si="34"/>
        <v>0</v>
      </c>
      <c r="P336">
        <f t="shared" si="31"/>
        <v>3700</v>
      </c>
      <c r="Q336">
        <f t="shared" si="35"/>
        <v>3700</v>
      </c>
      <c r="T336" s="16">
        <f t="shared" si="36"/>
        <v>-1.3516196285269055</v>
      </c>
    </row>
    <row r="337" spans="7:20" ht="14.4" x14ac:dyDescent="0.25">
      <c r="G337" s="10">
        <v>4820</v>
      </c>
      <c r="H337" s="9">
        <v>34246</v>
      </c>
      <c r="I337" s="14">
        <f>DATE(2012,12,31)-816</f>
        <v>40458</v>
      </c>
      <c r="J337" s="15" t="s">
        <v>30</v>
      </c>
      <c r="K337" s="9">
        <v>49</v>
      </c>
      <c r="L337" s="16" t="s">
        <v>26</v>
      </c>
      <c r="M337" s="16">
        <f t="shared" si="32"/>
        <v>1.6179507660996166</v>
      </c>
      <c r="N337">
        <f t="shared" si="33"/>
        <v>0</v>
      </c>
      <c r="O337">
        <f t="shared" si="34"/>
        <v>0</v>
      </c>
      <c r="P337">
        <f t="shared" si="31"/>
        <v>5850</v>
      </c>
      <c r="Q337">
        <f t="shared" si="35"/>
        <v>5850</v>
      </c>
      <c r="T337" s="16">
        <f t="shared" si="36"/>
        <v>1.6179507660996162</v>
      </c>
    </row>
    <row r="338" spans="7:20" ht="14.4" x14ac:dyDescent="0.25">
      <c r="G338" s="10">
        <v>4821</v>
      </c>
      <c r="H338" s="9">
        <v>34246</v>
      </c>
      <c r="I338" s="14">
        <f>DATE(2012,12,31)-816</f>
        <v>40458</v>
      </c>
      <c r="J338" s="15" t="s">
        <v>30</v>
      </c>
      <c r="K338" s="9">
        <v>18</v>
      </c>
      <c r="L338" s="16" t="s">
        <v>27</v>
      </c>
      <c r="M338" s="16">
        <f t="shared" si="32"/>
        <v>-0.52290230909624791</v>
      </c>
      <c r="N338">
        <f t="shared" si="33"/>
        <v>0</v>
      </c>
      <c r="O338">
        <f t="shared" si="34"/>
        <v>0</v>
      </c>
      <c r="P338">
        <f t="shared" si="31"/>
        <v>4300</v>
      </c>
      <c r="Q338">
        <f t="shared" si="35"/>
        <v>4300</v>
      </c>
      <c r="T338" s="16">
        <f t="shared" si="36"/>
        <v>-0.52290230909624835</v>
      </c>
    </row>
    <row r="339" spans="7:20" ht="14.4" x14ac:dyDescent="0.25">
      <c r="G339" s="10">
        <v>4822</v>
      </c>
      <c r="H339" s="9">
        <v>34246</v>
      </c>
      <c r="I339" s="14">
        <f>DATE(2012,12,31)-816</f>
        <v>40458</v>
      </c>
      <c r="J339" s="15" t="s">
        <v>30</v>
      </c>
      <c r="K339" s="9">
        <v>27</v>
      </c>
      <c r="L339" s="16" t="s">
        <v>26</v>
      </c>
      <c r="M339" s="16">
        <f t="shared" si="32"/>
        <v>9.8635680476745008E-2</v>
      </c>
      <c r="N339">
        <f t="shared" si="33"/>
        <v>0</v>
      </c>
      <c r="O339">
        <f t="shared" si="34"/>
        <v>0</v>
      </c>
      <c r="P339">
        <f t="shared" si="31"/>
        <v>4750</v>
      </c>
      <c r="Q339">
        <f t="shared" si="35"/>
        <v>4750</v>
      </c>
      <c r="T339" s="16">
        <f t="shared" si="36"/>
        <v>9.8635680476744619E-2</v>
      </c>
    </row>
    <row r="340" spans="7:20" ht="14.4" x14ac:dyDescent="0.25">
      <c r="G340" s="10">
        <v>4864</v>
      </c>
      <c r="H340" s="9">
        <v>34631</v>
      </c>
      <c r="I340" s="14">
        <f>DATE(2012,12,31)-1165</f>
        <v>40109</v>
      </c>
      <c r="J340" s="15" t="s">
        <v>28</v>
      </c>
      <c r="K340" s="9">
        <v>5</v>
      </c>
      <c r="L340" s="16" t="s">
        <v>26</v>
      </c>
      <c r="M340" s="16">
        <f t="shared" si="32"/>
        <v>-1.4206794051461267</v>
      </c>
      <c r="N340">
        <f t="shared" si="33"/>
        <v>0</v>
      </c>
      <c r="O340">
        <f t="shared" si="34"/>
        <v>0</v>
      </c>
      <c r="P340">
        <f t="shared" si="31"/>
        <v>3650</v>
      </c>
      <c r="Q340">
        <f t="shared" si="35"/>
        <v>3650</v>
      </c>
      <c r="T340" s="16">
        <f t="shared" si="36"/>
        <v>-1.4206794051461269</v>
      </c>
    </row>
    <row r="341" spans="7:20" ht="14.4" x14ac:dyDescent="0.25">
      <c r="G341" s="10">
        <v>4865</v>
      </c>
      <c r="H341" s="9">
        <v>34631</v>
      </c>
      <c r="I341" s="14">
        <f>DATE(2012,12,31)-1165</f>
        <v>40109</v>
      </c>
      <c r="J341" s="15" t="s">
        <v>28</v>
      </c>
      <c r="K341" s="9">
        <v>19</v>
      </c>
      <c r="L341" s="16" t="s">
        <v>27</v>
      </c>
      <c r="M341" s="16">
        <f t="shared" si="32"/>
        <v>-0.45384253247702649</v>
      </c>
      <c r="N341">
        <f t="shared" si="33"/>
        <v>0</v>
      </c>
      <c r="O341">
        <f t="shared" si="34"/>
        <v>0</v>
      </c>
      <c r="P341">
        <f t="shared" si="31"/>
        <v>4350</v>
      </c>
      <c r="Q341">
        <f t="shared" si="35"/>
        <v>4350</v>
      </c>
      <c r="T341" s="16">
        <f t="shared" si="36"/>
        <v>-0.45384253247702688</v>
      </c>
    </row>
    <row r="342" spans="7:20" ht="14.4" x14ac:dyDescent="0.25">
      <c r="G342" s="10">
        <v>4929</v>
      </c>
      <c r="H342" s="9">
        <v>35047</v>
      </c>
      <c r="I342" s="14">
        <f>DATE(2012,12,31)-936</f>
        <v>40338</v>
      </c>
      <c r="J342" s="15" t="s">
        <v>16</v>
      </c>
      <c r="K342" s="9">
        <v>31</v>
      </c>
      <c r="L342" s="16" t="s">
        <v>26</v>
      </c>
      <c r="M342" s="16">
        <f t="shared" si="32"/>
        <v>0.37487478695363075</v>
      </c>
      <c r="N342">
        <f t="shared" si="33"/>
        <v>0</v>
      </c>
      <c r="O342">
        <f t="shared" si="34"/>
        <v>0</v>
      </c>
      <c r="P342">
        <f t="shared" si="31"/>
        <v>4950</v>
      </c>
      <c r="Q342">
        <f t="shared" si="35"/>
        <v>4950</v>
      </c>
      <c r="T342" s="16">
        <f t="shared" si="36"/>
        <v>0.37487478695363036</v>
      </c>
    </row>
    <row r="343" spans="7:20" ht="14.4" x14ac:dyDescent="0.25">
      <c r="G343" s="10">
        <v>4957</v>
      </c>
      <c r="H343" s="9">
        <v>35266</v>
      </c>
      <c r="I343" s="14">
        <f>DATE(2012,12,31)-721</f>
        <v>40553</v>
      </c>
      <c r="J343" s="15" t="s">
        <v>28</v>
      </c>
      <c r="K343" s="9">
        <v>39</v>
      </c>
      <c r="L343" s="16" t="s">
        <v>26</v>
      </c>
      <c r="M343" s="16">
        <f t="shared" si="32"/>
        <v>0.92735299990740228</v>
      </c>
      <c r="N343">
        <f t="shared" si="33"/>
        <v>0</v>
      </c>
      <c r="O343">
        <f t="shared" si="34"/>
        <v>0</v>
      </c>
      <c r="P343">
        <f t="shared" si="31"/>
        <v>5350</v>
      </c>
      <c r="Q343">
        <f t="shared" si="35"/>
        <v>5350</v>
      </c>
      <c r="T343" s="16">
        <f t="shared" si="36"/>
        <v>0.92735299990740183</v>
      </c>
    </row>
    <row r="344" spans="7:20" ht="14.4" x14ac:dyDescent="0.25">
      <c r="G344" s="10">
        <v>4958</v>
      </c>
      <c r="H344" s="9">
        <v>35266</v>
      </c>
      <c r="I344" s="14">
        <f>DATE(2012,12,31)-721</f>
        <v>40553</v>
      </c>
      <c r="J344" s="15" t="s">
        <v>28</v>
      </c>
      <c r="K344" s="9">
        <v>28</v>
      </c>
      <c r="L344" s="16" t="s">
        <v>29</v>
      </c>
      <c r="M344" s="16">
        <f t="shared" si="32"/>
        <v>0.16769545709596645</v>
      </c>
      <c r="N344">
        <f t="shared" si="33"/>
        <v>0</v>
      </c>
      <c r="O344">
        <f t="shared" si="34"/>
        <v>0</v>
      </c>
      <c r="P344">
        <f t="shared" si="31"/>
        <v>4800</v>
      </c>
      <c r="Q344">
        <f t="shared" si="35"/>
        <v>4800</v>
      </c>
      <c r="T344" s="16">
        <f t="shared" si="36"/>
        <v>0.16769545709596606</v>
      </c>
    </row>
    <row r="345" spans="7:20" ht="14.4" x14ac:dyDescent="0.25">
      <c r="G345" s="10">
        <v>5031</v>
      </c>
      <c r="H345" s="9">
        <v>35847</v>
      </c>
      <c r="I345" s="14">
        <f>DATE(2012,12,31)-1431</f>
        <v>39843</v>
      </c>
      <c r="J345" s="15" t="s">
        <v>30</v>
      </c>
      <c r="K345" s="9">
        <v>23</v>
      </c>
      <c r="L345" s="16" t="s">
        <v>27</v>
      </c>
      <c r="M345" s="16">
        <f t="shared" si="32"/>
        <v>-0.17760342600014073</v>
      </c>
      <c r="N345">
        <f t="shared" si="33"/>
        <v>0</v>
      </c>
      <c r="O345">
        <f t="shared" si="34"/>
        <v>0</v>
      </c>
      <c r="P345">
        <f t="shared" si="31"/>
        <v>4550</v>
      </c>
      <c r="Q345">
        <f t="shared" si="35"/>
        <v>4550</v>
      </c>
      <c r="T345" s="16">
        <f t="shared" si="36"/>
        <v>-0.17760342600014112</v>
      </c>
    </row>
    <row r="346" spans="7:20" ht="14.4" x14ac:dyDescent="0.25">
      <c r="G346" s="10">
        <v>5048</v>
      </c>
      <c r="H346" s="9">
        <v>36001</v>
      </c>
      <c r="I346" s="14">
        <f>DATE(2012,12,31)-644</f>
        <v>40630</v>
      </c>
      <c r="J346" s="15" t="s">
        <v>25</v>
      </c>
      <c r="K346" s="9">
        <v>45</v>
      </c>
      <c r="L346" s="16" t="s">
        <v>26</v>
      </c>
      <c r="M346" s="16">
        <f t="shared" si="32"/>
        <v>1.3417116596227308</v>
      </c>
      <c r="N346">
        <f t="shared" si="33"/>
        <v>0</v>
      </c>
      <c r="O346">
        <f t="shared" si="34"/>
        <v>0</v>
      </c>
      <c r="P346">
        <f t="shared" si="31"/>
        <v>5650</v>
      </c>
      <c r="Q346">
        <f t="shared" si="35"/>
        <v>5650</v>
      </c>
      <c r="T346" s="16">
        <f t="shared" si="36"/>
        <v>1.3417116596227305</v>
      </c>
    </row>
    <row r="347" spans="7:20" ht="14.4" x14ac:dyDescent="0.25">
      <c r="G347" s="10">
        <v>5049</v>
      </c>
      <c r="H347" s="9">
        <v>36001</v>
      </c>
      <c r="I347" s="14">
        <f>DATE(2012,12,31)-644</f>
        <v>40630</v>
      </c>
      <c r="J347" s="15" t="s">
        <v>25</v>
      </c>
      <c r="K347" s="9">
        <v>47</v>
      </c>
      <c r="L347" s="16" t="s">
        <v>26</v>
      </c>
      <c r="M347" s="16">
        <f t="shared" si="32"/>
        <v>1.4798312128611737</v>
      </c>
      <c r="N347">
        <f t="shared" si="33"/>
        <v>0</v>
      </c>
      <c r="O347">
        <f t="shared" si="34"/>
        <v>0</v>
      </c>
      <c r="P347">
        <f t="shared" si="31"/>
        <v>5750</v>
      </c>
      <c r="Q347">
        <f t="shared" si="35"/>
        <v>5750</v>
      </c>
      <c r="T347" s="16">
        <f t="shared" si="36"/>
        <v>1.4798312128611733</v>
      </c>
    </row>
    <row r="348" spans="7:20" ht="14.4" x14ac:dyDescent="0.25">
      <c r="G348" s="10">
        <v>5074</v>
      </c>
      <c r="H348" s="9">
        <v>36134</v>
      </c>
      <c r="I348" s="14">
        <f>DATE(2012,12,31)-770</f>
        <v>40504</v>
      </c>
      <c r="J348" s="15" t="s">
        <v>25</v>
      </c>
      <c r="K348" s="9">
        <v>6</v>
      </c>
      <c r="L348" s="16" t="s">
        <v>27</v>
      </c>
      <c r="M348" s="16">
        <f t="shared" si="32"/>
        <v>-1.3516196285269051</v>
      </c>
      <c r="N348">
        <f t="shared" si="33"/>
        <v>0</v>
      </c>
      <c r="O348">
        <f t="shared" si="34"/>
        <v>0</v>
      </c>
      <c r="P348">
        <f t="shared" si="31"/>
        <v>3700</v>
      </c>
      <c r="Q348">
        <f t="shared" si="35"/>
        <v>3700</v>
      </c>
      <c r="T348" s="16">
        <f t="shared" si="36"/>
        <v>-1.3516196285269055</v>
      </c>
    </row>
    <row r="349" spans="7:20" ht="14.4" x14ac:dyDescent="0.25">
      <c r="G349" s="10">
        <v>5075</v>
      </c>
      <c r="H349" s="9">
        <v>36135</v>
      </c>
      <c r="I349" s="14">
        <f>DATE(2012,12,31)-581</f>
        <v>40693</v>
      </c>
      <c r="J349" s="15" t="s">
        <v>28</v>
      </c>
      <c r="K349" s="9">
        <v>33</v>
      </c>
      <c r="L349" s="16" t="s">
        <v>27</v>
      </c>
      <c r="M349" s="16">
        <f t="shared" si="32"/>
        <v>0.51299434019207357</v>
      </c>
      <c r="N349">
        <f t="shared" si="33"/>
        <v>0</v>
      </c>
      <c r="O349">
        <f t="shared" si="34"/>
        <v>0</v>
      </c>
      <c r="P349">
        <f t="shared" si="31"/>
        <v>5050</v>
      </c>
      <c r="Q349">
        <f t="shared" si="35"/>
        <v>5050</v>
      </c>
      <c r="T349" s="16">
        <f t="shared" si="36"/>
        <v>0.51299434019207324</v>
      </c>
    </row>
    <row r="350" spans="7:20" ht="14.4" x14ac:dyDescent="0.25">
      <c r="G350" s="10">
        <v>5138</v>
      </c>
      <c r="H350" s="9">
        <v>36644</v>
      </c>
      <c r="I350" s="14">
        <f>DATE(2012,12,31)-232</f>
        <v>41042</v>
      </c>
      <c r="J350" s="15" t="s">
        <v>17</v>
      </c>
      <c r="K350" s="9">
        <v>24</v>
      </c>
      <c r="L350" s="16" t="s">
        <v>27</v>
      </c>
      <c r="M350" s="16">
        <f t="shared" si="32"/>
        <v>-0.1085436493809193</v>
      </c>
      <c r="N350">
        <f t="shared" si="33"/>
        <v>0</v>
      </c>
      <c r="O350">
        <f t="shared" si="34"/>
        <v>0</v>
      </c>
      <c r="P350">
        <f t="shared" si="31"/>
        <v>4600</v>
      </c>
      <c r="Q350">
        <f t="shared" si="35"/>
        <v>4600</v>
      </c>
      <c r="T350" s="16">
        <f t="shared" si="36"/>
        <v>-0.10854364938091969</v>
      </c>
    </row>
    <row r="351" spans="7:20" ht="14.4" x14ac:dyDescent="0.25">
      <c r="G351" s="10">
        <v>5139</v>
      </c>
      <c r="H351" s="9">
        <v>36646</v>
      </c>
      <c r="I351" s="14">
        <f>DATE(2012,12,31)-937</f>
        <v>40337</v>
      </c>
      <c r="J351" s="15" t="s">
        <v>16</v>
      </c>
      <c r="K351" s="9">
        <v>24</v>
      </c>
      <c r="L351" s="16" t="s">
        <v>26</v>
      </c>
      <c r="M351" s="16">
        <f t="shared" si="32"/>
        <v>-0.1085436493809193</v>
      </c>
      <c r="N351">
        <f t="shared" si="33"/>
        <v>0</v>
      </c>
      <c r="O351">
        <f t="shared" si="34"/>
        <v>0</v>
      </c>
      <c r="P351">
        <f t="shared" si="31"/>
        <v>4600</v>
      </c>
      <c r="Q351">
        <f t="shared" si="35"/>
        <v>4600</v>
      </c>
      <c r="T351" s="16">
        <f t="shared" si="36"/>
        <v>-0.10854364938091969</v>
      </c>
    </row>
    <row r="352" spans="7:20" ht="14.4" x14ac:dyDescent="0.25">
      <c r="G352" s="10">
        <v>5154</v>
      </c>
      <c r="H352" s="9">
        <v>36707</v>
      </c>
      <c r="I352" s="14">
        <f>DATE(2012,12,31)-1128</f>
        <v>40146</v>
      </c>
      <c r="J352" s="15" t="s">
        <v>16</v>
      </c>
      <c r="K352" s="9">
        <v>47</v>
      </c>
      <c r="L352" s="16" t="s">
        <v>26</v>
      </c>
      <c r="M352" s="16">
        <f t="shared" si="32"/>
        <v>1.4798312128611737</v>
      </c>
      <c r="N352">
        <f t="shared" si="33"/>
        <v>0</v>
      </c>
      <c r="O352">
        <f t="shared" si="34"/>
        <v>0</v>
      </c>
      <c r="P352">
        <f t="shared" si="31"/>
        <v>5750</v>
      </c>
      <c r="Q352">
        <f t="shared" si="35"/>
        <v>5750</v>
      </c>
      <c r="T352" s="16">
        <f t="shared" si="36"/>
        <v>1.4798312128611733</v>
      </c>
    </row>
    <row r="353" spans="7:20" ht="14.4" x14ac:dyDescent="0.25">
      <c r="G353" s="10">
        <v>5236</v>
      </c>
      <c r="H353" s="9">
        <v>37253</v>
      </c>
      <c r="I353" s="14">
        <f>DATE(2012,12,31)-121</f>
        <v>41153</v>
      </c>
      <c r="J353" s="15" t="s">
        <v>17</v>
      </c>
      <c r="K353" s="9">
        <v>46</v>
      </c>
      <c r="L353" s="16" t="s">
        <v>27</v>
      </c>
      <c r="M353" s="16">
        <f t="shared" si="32"/>
        <v>1.4107714362419523</v>
      </c>
      <c r="N353">
        <f t="shared" si="33"/>
        <v>0</v>
      </c>
      <c r="O353">
        <f t="shared" si="34"/>
        <v>0</v>
      </c>
      <c r="P353">
        <f t="shared" si="31"/>
        <v>5700</v>
      </c>
      <c r="Q353">
        <f t="shared" si="35"/>
        <v>5700</v>
      </c>
      <c r="T353" s="16">
        <f t="shared" si="36"/>
        <v>1.4107714362419519</v>
      </c>
    </row>
    <row r="354" spans="7:20" ht="14.4" x14ac:dyDescent="0.25">
      <c r="G354" s="10">
        <v>5275</v>
      </c>
      <c r="H354" s="9">
        <v>37541</v>
      </c>
      <c r="I354" s="14">
        <f>DATE(2012,12,31)-1039</f>
        <v>40235</v>
      </c>
      <c r="J354" s="15" t="s">
        <v>16</v>
      </c>
      <c r="K354" s="9">
        <v>3</v>
      </c>
      <c r="L354" s="16" t="s">
        <v>27</v>
      </c>
      <c r="M354" s="16">
        <f t="shared" si="32"/>
        <v>-1.5587989583845694</v>
      </c>
      <c r="N354">
        <f t="shared" si="33"/>
        <v>0</v>
      </c>
      <c r="O354">
        <f t="shared" si="34"/>
        <v>0</v>
      </c>
      <c r="P354">
        <f t="shared" si="31"/>
        <v>3550</v>
      </c>
      <c r="Q354">
        <f t="shared" si="35"/>
        <v>3550</v>
      </c>
      <c r="T354" s="16">
        <f t="shared" si="36"/>
        <v>-1.5587989583845698</v>
      </c>
    </row>
    <row r="355" spans="7:20" ht="14.4" x14ac:dyDescent="0.25">
      <c r="G355" s="10">
        <v>5276</v>
      </c>
      <c r="H355" s="9">
        <v>37541</v>
      </c>
      <c r="I355" s="14">
        <f>DATE(2012,12,31)-1039</f>
        <v>40235</v>
      </c>
      <c r="J355" s="15" t="s">
        <v>16</v>
      </c>
      <c r="K355" s="9">
        <v>10</v>
      </c>
      <c r="L355" s="16" t="s">
        <v>26</v>
      </c>
      <c r="M355" s="16">
        <f t="shared" si="32"/>
        <v>-1.0753805220500194</v>
      </c>
      <c r="N355">
        <f t="shared" si="33"/>
        <v>0</v>
      </c>
      <c r="O355">
        <f t="shared" si="34"/>
        <v>0</v>
      </c>
      <c r="P355">
        <f t="shared" si="31"/>
        <v>3900</v>
      </c>
      <c r="Q355">
        <f t="shared" si="35"/>
        <v>3900</v>
      </c>
      <c r="T355" s="16">
        <f t="shared" si="36"/>
        <v>-1.0753805220500199</v>
      </c>
    </row>
    <row r="356" spans="7:20" ht="14.4" x14ac:dyDescent="0.25">
      <c r="G356" s="10">
        <v>5277</v>
      </c>
      <c r="H356" s="9">
        <v>37541</v>
      </c>
      <c r="I356" s="14">
        <f>DATE(2012,12,31)-1039</f>
        <v>40235</v>
      </c>
      <c r="J356" s="15" t="s">
        <v>16</v>
      </c>
      <c r="K356" s="9">
        <v>18</v>
      </c>
      <c r="L356" s="16" t="s">
        <v>26</v>
      </c>
      <c r="M356" s="16">
        <f t="shared" si="32"/>
        <v>-0.52290230909624791</v>
      </c>
      <c r="N356">
        <f t="shared" si="33"/>
        <v>0</v>
      </c>
      <c r="O356">
        <f t="shared" si="34"/>
        <v>0</v>
      </c>
      <c r="P356">
        <f t="shared" si="31"/>
        <v>4300</v>
      </c>
      <c r="Q356">
        <f t="shared" si="35"/>
        <v>4300</v>
      </c>
      <c r="T356" s="16">
        <f t="shared" si="36"/>
        <v>-0.52290230909624835</v>
      </c>
    </row>
    <row r="357" spans="7:20" ht="14.4" x14ac:dyDescent="0.25">
      <c r="G357" s="10">
        <v>5286</v>
      </c>
      <c r="H357" s="9">
        <v>37634</v>
      </c>
      <c r="I357" s="14">
        <f>DATE(2012,12,31)-224</f>
        <v>41050</v>
      </c>
      <c r="J357" s="15" t="s">
        <v>16</v>
      </c>
      <c r="K357" s="9">
        <v>32</v>
      </c>
      <c r="L357" s="16" t="s">
        <v>26</v>
      </c>
      <c r="M357" s="16">
        <f t="shared" si="32"/>
        <v>0.44393456357285216</v>
      </c>
      <c r="N357">
        <f t="shared" si="33"/>
        <v>0</v>
      </c>
      <c r="O357">
        <f t="shared" si="34"/>
        <v>0</v>
      </c>
      <c r="P357">
        <f t="shared" si="31"/>
        <v>5000</v>
      </c>
      <c r="Q357">
        <f t="shared" si="35"/>
        <v>5000</v>
      </c>
      <c r="T357" s="16">
        <f t="shared" si="36"/>
        <v>0.44393456357285183</v>
      </c>
    </row>
    <row r="358" spans="7:20" ht="14.4" x14ac:dyDescent="0.25">
      <c r="G358" s="10">
        <v>5312</v>
      </c>
      <c r="H358" s="9">
        <v>37793</v>
      </c>
      <c r="I358" s="14">
        <f>DATE(2012,12,31)-1149</f>
        <v>40125</v>
      </c>
      <c r="J358" s="15" t="s">
        <v>28</v>
      </c>
      <c r="K358" s="9">
        <v>16</v>
      </c>
      <c r="L358" s="16" t="s">
        <v>26</v>
      </c>
      <c r="M358" s="16">
        <f t="shared" si="32"/>
        <v>-0.66102186233469074</v>
      </c>
      <c r="N358">
        <f t="shared" si="33"/>
        <v>0</v>
      </c>
      <c r="O358">
        <f t="shared" si="34"/>
        <v>0</v>
      </c>
      <c r="P358">
        <f t="shared" si="31"/>
        <v>4200</v>
      </c>
      <c r="Q358">
        <f t="shared" si="35"/>
        <v>4200</v>
      </c>
      <c r="T358" s="16">
        <f t="shared" si="36"/>
        <v>-0.66102186233469118</v>
      </c>
    </row>
    <row r="359" spans="7:20" ht="14.4" x14ac:dyDescent="0.25">
      <c r="G359" s="10">
        <v>5325</v>
      </c>
      <c r="H359" s="9">
        <v>37860</v>
      </c>
      <c r="I359" s="14">
        <f>DATE(2012,12,31)-857</f>
        <v>40417</v>
      </c>
      <c r="J359" s="15" t="s">
        <v>16</v>
      </c>
      <c r="K359" s="9">
        <v>1</v>
      </c>
      <c r="L359" s="16" t="s">
        <v>29</v>
      </c>
      <c r="M359" s="16">
        <f t="shared" si="32"/>
        <v>-1.6969185116230123</v>
      </c>
      <c r="N359">
        <f t="shared" si="33"/>
        <v>0</v>
      </c>
      <c r="O359">
        <f t="shared" si="34"/>
        <v>0</v>
      </c>
      <c r="P359">
        <f t="shared" si="31"/>
        <v>3450</v>
      </c>
      <c r="Q359">
        <f t="shared" si="35"/>
        <v>3450</v>
      </c>
      <c r="T359" s="16">
        <f t="shared" si="36"/>
        <v>-1.6969185116230128</v>
      </c>
    </row>
    <row r="360" spans="7:20" ht="14.4" x14ac:dyDescent="0.25">
      <c r="G360" s="10">
        <v>5472</v>
      </c>
      <c r="H360" s="9">
        <v>38884</v>
      </c>
      <c r="I360" s="14">
        <f>DATE(2012,12,31)-136</f>
        <v>41138</v>
      </c>
      <c r="J360" s="15" t="s">
        <v>17</v>
      </c>
      <c r="K360" s="9">
        <v>47</v>
      </c>
      <c r="L360" s="16" t="s">
        <v>26</v>
      </c>
      <c r="M360" s="16">
        <f t="shared" si="32"/>
        <v>1.4798312128611737</v>
      </c>
      <c r="N360">
        <f t="shared" si="33"/>
        <v>0</v>
      </c>
      <c r="O360">
        <f t="shared" si="34"/>
        <v>0</v>
      </c>
      <c r="P360">
        <f t="shared" si="31"/>
        <v>5750</v>
      </c>
      <c r="Q360">
        <f t="shared" si="35"/>
        <v>5750</v>
      </c>
      <c r="T360" s="16">
        <f t="shared" si="36"/>
        <v>1.4798312128611733</v>
      </c>
    </row>
    <row r="361" spans="7:20" ht="14.4" x14ac:dyDescent="0.25">
      <c r="G361" s="10">
        <v>5473</v>
      </c>
      <c r="H361" s="9">
        <v>38884</v>
      </c>
      <c r="I361" s="14">
        <f>DATE(2012,12,31)-136</f>
        <v>41138</v>
      </c>
      <c r="J361" s="15" t="s">
        <v>17</v>
      </c>
      <c r="K361" s="9">
        <v>20</v>
      </c>
      <c r="L361" s="16" t="s">
        <v>29</v>
      </c>
      <c r="M361" s="16">
        <f t="shared" si="32"/>
        <v>-0.38478275585780503</v>
      </c>
      <c r="N361">
        <f t="shared" si="33"/>
        <v>0</v>
      </c>
      <c r="O361">
        <f t="shared" si="34"/>
        <v>0</v>
      </c>
      <c r="P361">
        <f t="shared" si="31"/>
        <v>4400</v>
      </c>
      <c r="Q361">
        <f t="shared" si="35"/>
        <v>4400</v>
      </c>
      <c r="T361" s="16">
        <f t="shared" si="36"/>
        <v>-0.38478275585780541</v>
      </c>
    </row>
    <row r="362" spans="7:20" ht="14.4" x14ac:dyDescent="0.25">
      <c r="G362" s="10">
        <v>5559</v>
      </c>
      <c r="H362" s="9">
        <v>39364</v>
      </c>
      <c r="I362" s="14">
        <f>DATE(2012,12,31)-52</f>
        <v>41222</v>
      </c>
      <c r="J362" s="15" t="s">
        <v>17</v>
      </c>
      <c r="K362" s="9">
        <v>29</v>
      </c>
      <c r="L362" s="16" t="s">
        <v>29</v>
      </c>
      <c r="M362" s="16">
        <f t="shared" si="32"/>
        <v>0.23675523371518786</v>
      </c>
      <c r="N362">
        <f t="shared" si="33"/>
        <v>0</v>
      </c>
      <c r="O362">
        <f t="shared" si="34"/>
        <v>0</v>
      </c>
      <c r="P362">
        <f t="shared" si="31"/>
        <v>4850</v>
      </c>
      <c r="Q362">
        <f t="shared" si="35"/>
        <v>4850</v>
      </c>
      <c r="T362" s="16">
        <f t="shared" si="36"/>
        <v>0.2367552337151875</v>
      </c>
    </row>
    <row r="363" spans="7:20" ht="14.4" x14ac:dyDescent="0.25">
      <c r="G363" s="10">
        <v>5560</v>
      </c>
      <c r="H363" s="9">
        <v>39364</v>
      </c>
      <c r="I363" s="14">
        <f>DATE(2012,12,31)-52</f>
        <v>41222</v>
      </c>
      <c r="J363" s="15" t="s">
        <v>17</v>
      </c>
      <c r="K363" s="9">
        <v>15</v>
      </c>
      <c r="L363" s="16" t="s">
        <v>26</v>
      </c>
      <c r="M363" s="16">
        <f t="shared" si="32"/>
        <v>-0.7300816389539122</v>
      </c>
      <c r="N363">
        <f t="shared" si="33"/>
        <v>0</v>
      </c>
      <c r="O363">
        <f t="shared" si="34"/>
        <v>0</v>
      </c>
      <c r="P363">
        <f t="shared" si="31"/>
        <v>4150</v>
      </c>
      <c r="Q363">
        <f t="shared" si="35"/>
        <v>4150</v>
      </c>
      <c r="T363" s="16">
        <f t="shared" si="36"/>
        <v>-0.73008163895391265</v>
      </c>
    </row>
    <row r="364" spans="7:20" ht="14.4" x14ac:dyDescent="0.25">
      <c r="G364" s="10">
        <v>5569</v>
      </c>
      <c r="H364" s="9">
        <v>39457</v>
      </c>
      <c r="I364" s="14">
        <f>DATE(2012,12,31)-578</f>
        <v>40696</v>
      </c>
      <c r="J364" s="15" t="s">
        <v>30</v>
      </c>
      <c r="K364" s="9">
        <v>40</v>
      </c>
      <c r="L364" s="16" t="s">
        <v>29</v>
      </c>
      <c r="M364" s="16">
        <f t="shared" si="32"/>
        <v>0.99641277652662363</v>
      </c>
      <c r="N364">
        <f t="shared" si="33"/>
        <v>0</v>
      </c>
      <c r="O364">
        <f t="shared" si="34"/>
        <v>0</v>
      </c>
      <c r="P364">
        <f t="shared" si="31"/>
        <v>5400</v>
      </c>
      <c r="Q364">
        <f t="shared" si="35"/>
        <v>5400</v>
      </c>
      <c r="T364" s="16">
        <f t="shared" si="36"/>
        <v>0.9964127765266233</v>
      </c>
    </row>
    <row r="365" spans="7:20" ht="14.4" x14ac:dyDescent="0.25">
      <c r="G365" s="10">
        <v>5598</v>
      </c>
      <c r="H365" s="9">
        <v>39683</v>
      </c>
      <c r="I365" s="14">
        <f>DATE(2012,12,31)-509</f>
        <v>40765</v>
      </c>
      <c r="J365" s="15" t="s">
        <v>17</v>
      </c>
      <c r="K365" s="9">
        <v>31</v>
      </c>
      <c r="L365" s="16" t="s">
        <v>26</v>
      </c>
      <c r="M365" s="16">
        <f t="shared" si="32"/>
        <v>0.37487478695363075</v>
      </c>
      <c r="N365">
        <f t="shared" si="33"/>
        <v>0</v>
      </c>
      <c r="O365">
        <f t="shared" si="34"/>
        <v>0</v>
      </c>
      <c r="P365">
        <f t="shared" si="31"/>
        <v>4950</v>
      </c>
      <c r="Q365">
        <f t="shared" si="35"/>
        <v>4950</v>
      </c>
      <c r="T365" s="16">
        <f t="shared" si="36"/>
        <v>0.37487478695363036</v>
      </c>
    </row>
    <row r="366" spans="7:20" ht="14.4" x14ac:dyDescent="0.25">
      <c r="G366" s="10">
        <v>5599</v>
      </c>
      <c r="H366" s="9">
        <v>39683</v>
      </c>
      <c r="I366" s="14">
        <f>DATE(2012,12,31)-509</f>
        <v>40765</v>
      </c>
      <c r="J366" s="15" t="s">
        <v>17</v>
      </c>
      <c r="K366" s="9">
        <v>41</v>
      </c>
      <c r="L366" s="16" t="s">
        <v>29</v>
      </c>
      <c r="M366" s="16">
        <f t="shared" si="32"/>
        <v>1.0654725531458451</v>
      </c>
      <c r="N366">
        <f t="shared" si="33"/>
        <v>0</v>
      </c>
      <c r="O366">
        <f t="shared" si="34"/>
        <v>0</v>
      </c>
      <c r="P366">
        <f t="shared" si="31"/>
        <v>5450</v>
      </c>
      <c r="Q366">
        <f t="shared" si="35"/>
        <v>5450</v>
      </c>
      <c r="T366" s="16">
        <f t="shared" si="36"/>
        <v>1.0654725531458447</v>
      </c>
    </row>
    <row r="367" spans="7:20" ht="14.4" x14ac:dyDescent="0.25">
      <c r="G367" s="10">
        <v>5600</v>
      </c>
      <c r="H367" s="9">
        <v>39683</v>
      </c>
      <c r="I367" s="14">
        <f>DATE(2012,12,31)-509</f>
        <v>40765</v>
      </c>
      <c r="J367" s="15" t="s">
        <v>17</v>
      </c>
      <c r="K367" s="9">
        <v>6</v>
      </c>
      <c r="L367" s="16" t="s">
        <v>29</v>
      </c>
      <c r="M367" s="16">
        <f t="shared" si="32"/>
        <v>-1.3516196285269051</v>
      </c>
      <c r="N367">
        <f t="shared" si="33"/>
        <v>0</v>
      </c>
      <c r="O367">
        <f t="shared" si="34"/>
        <v>0</v>
      </c>
      <c r="P367">
        <f t="shared" si="31"/>
        <v>3700</v>
      </c>
      <c r="Q367">
        <f t="shared" si="35"/>
        <v>3700</v>
      </c>
      <c r="T367" s="16">
        <f t="shared" si="36"/>
        <v>-1.3516196285269055</v>
      </c>
    </row>
    <row r="368" spans="7:20" ht="14.4" x14ac:dyDescent="0.25">
      <c r="G368" s="10">
        <v>5601</v>
      </c>
      <c r="H368" s="9">
        <v>39683</v>
      </c>
      <c r="I368" s="14">
        <f>DATE(2012,12,31)-509</f>
        <v>40765</v>
      </c>
      <c r="J368" s="15" t="s">
        <v>17</v>
      </c>
      <c r="K368" s="9">
        <v>30</v>
      </c>
      <c r="L368" s="16" t="s">
        <v>26</v>
      </c>
      <c r="M368" s="16">
        <f t="shared" si="32"/>
        <v>0.30581501033440933</v>
      </c>
      <c r="N368">
        <f t="shared" si="33"/>
        <v>0</v>
      </c>
      <c r="O368">
        <f t="shared" si="34"/>
        <v>0</v>
      </c>
      <c r="P368">
        <f t="shared" si="31"/>
        <v>4900</v>
      </c>
      <c r="Q368">
        <f t="shared" si="35"/>
        <v>4900</v>
      </c>
      <c r="T368" s="16">
        <f t="shared" si="36"/>
        <v>0.30581501033440894</v>
      </c>
    </row>
    <row r="369" spans="7:20" ht="14.4" x14ac:dyDescent="0.25">
      <c r="G369" s="10">
        <v>5628</v>
      </c>
      <c r="H369" s="9">
        <v>39846</v>
      </c>
      <c r="I369" s="14">
        <f>DATE(2012,12,31)-1403</f>
        <v>39871</v>
      </c>
      <c r="J369" s="15" t="s">
        <v>25</v>
      </c>
      <c r="K369" s="9">
        <v>14</v>
      </c>
      <c r="L369" s="16" t="s">
        <v>27</v>
      </c>
      <c r="M369" s="16">
        <f t="shared" si="32"/>
        <v>-0.79914141557313367</v>
      </c>
      <c r="N369">
        <f t="shared" si="33"/>
        <v>0</v>
      </c>
      <c r="O369">
        <f t="shared" si="34"/>
        <v>0</v>
      </c>
      <c r="P369">
        <f t="shared" si="31"/>
        <v>4100</v>
      </c>
      <c r="Q369">
        <f t="shared" si="35"/>
        <v>4100</v>
      </c>
      <c r="T369" s="16">
        <f t="shared" si="36"/>
        <v>-0.79914141557313401</v>
      </c>
    </row>
    <row r="370" spans="7:20" ht="14.4" x14ac:dyDescent="0.25">
      <c r="G370" s="10">
        <v>5659</v>
      </c>
      <c r="H370" s="9">
        <v>40036</v>
      </c>
      <c r="I370" s="14">
        <f>DATE(2012,12,31)-938</f>
        <v>40336</v>
      </c>
      <c r="J370" s="15" t="s">
        <v>28</v>
      </c>
      <c r="K370" s="9">
        <v>10</v>
      </c>
      <c r="L370" s="16" t="s">
        <v>27</v>
      </c>
      <c r="M370" s="16">
        <f t="shared" si="32"/>
        <v>-1.0753805220500194</v>
      </c>
      <c r="N370">
        <f t="shared" si="33"/>
        <v>0</v>
      </c>
      <c r="O370">
        <f t="shared" si="34"/>
        <v>0</v>
      </c>
      <c r="P370">
        <f t="shared" si="31"/>
        <v>3900</v>
      </c>
      <c r="Q370">
        <f t="shared" si="35"/>
        <v>3900</v>
      </c>
      <c r="T370" s="16">
        <f t="shared" si="36"/>
        <v>-1.0753805220500199</v>
      </c>
    </row>
    <row r="371" spans="7:20" ht="14.4" x14ac:dyDescent="0.25">
      <c r="G371" s="10">
        <v>5662</v>
      </c>
      <c r="H371" s="9">
        <v>40067</v>
      </c>
      <c r="I371" s="14">
        <f>DATE(2012,12,31)-318</f>
        <v>40956</v>
      </c>
      <c r="J371" s="15" t="s">
        <v>25</v>
      </c>
      <c r="K371" s="9">
        <v>38</v>
      </c>
      <c r="L371" s="16" t="s">
        <v>27</v>
      </c>
      <c r="M371" s="16">
        <f t="shared" si="32"/>
        <v>0.85829322328818081</v>
      </c>
      <c r="N371">
        <f t="shared" si="33"/>
        <v>0</v>
      </c>
      <c r="O371">
        <f t="shared" si="34"/>
        <v>0</v>
      </c>
      <c r="P371">
        <f t="shared" si="31"/>
        <v>5300</v>
      </c>
      <c r="Q371">
        <f t="shared" si="35"/>
        <v>5300</v>
      </c>
      <c r="T371" s="16">
        <f t="shared" si="36"/>
        <v>0.85829322328818036</v>
      </c>
    </row>
    <row r="372" spans="7:20" ht="14.4" x14ac:dyDescent="0.25">
      <c r="G372" s="10">
        <v>5675</v>
      </c>
      <c r="H372" s="9">
        <v>40132</v>
      </c>
      <c r="I372" s="14">
        <f>DATE(2012,12,31)-312</f>
        <v>40962</v>
      </c>
      <c r="J372" s="15" t="s">
        <v>25</v>
      </c>
      <c r="K372" s="9">
        <v>26</v>
      </c>
      <c r="L372" s="16" t="s">
        <v>29</v>
      </c>
      <c r="M372" s="16">
        <f t="shared" si="32"/>
        <v>2.9575903857523567E-2</v>
      </c>
      <c r="N372">
        <f t="shared" si="33"/>
        <v>0</v>
      </c>
      <c r="O372">
        <f t="shared" si="34"/>
        <v>0</v>
      </c>
      <c r="P372">
        <f t="shared" si="31"/>
        <v>4700</v>
      </c>
      <c r="Q372">
        <f t="shared" si="35"/>
        <v>4700</v>
      </c>
      <c r="T372" s="16">
        <f t="shared" si="36"/>
        <v>2.9575903857523185E-2</v>
      </c>
    </row>
    <row r="373" spans="7:20" ht="14.4" x14ac:dyDescent="0.25">
      <c r="G373" s="10">
        <v>5676</v>
      </c>
      <c r="H373" s="9">
        <v>40132</v>
      </c>
      <c r="I373" s="14">
        <f>DATE(2012,12,31)-312</f>
        <v>40962</v>
      </c>
      <c r="J373" s="15" t="s">
        <v>25</v>
      </c>
      <c r="K373" s="9">
        <v>36</v>
      </c>
      <c r="L373" s="16" t="s">
        <v>29</v>
      </c>
      <c r="M373" s="16">
        <f t="shared" si="32"/>
        <v>0.72017367004973787</v>
      </c>
      <c r="N373">
        <f t="shared" si="33"/>
        <v>0</v>
      </c>
      <c r="O373">
        <f t="shared" si="34"/>
        <v>0</v>
      </c>
      <c r="P373">
        <f t="shared" si="31"/>
        <v>5200</v>
      </c>
      <c r="Q373">
        <f t="shared" si="35"/>
        <v>5200</v>
      </c>
      <c r="T373" s="16">
        <f t="shared" si="36"/>
        <v>0.72017367004973754</v>
      </c>
    </row>
    <row r="374" spans="7:20" ht="14.4" x14ac:dyDescent="0.25">
      <c r="G374" s="10">
        <v>5677</v>
      </c>
      <c r="H374" s="9">
        <v>40132</v>
      </c>
      <c r="I374" s="14">
        <f>DATE(2012,12,31)-312</f>
        <v>40962</v>
      </c>
      <c r="J374" s="15" t="s">
        <v>25</v>
      </c>
      <c r="K374" s="9">
        <v>16</v>
      </c>
      <c r="L374" s="16" t="s">
        <v>26</v>
      </c>
      <c r="M374" s="16">
        <f t="shared" si="32"/>
        <v>-0.66102186233469074</v>
      </c>
      <c r="N374">
        <f t="shared" si="33"/>
        <v>0</v>
      </c>
      <c r="O374">
        <f t="shared" si="34"/>
        <v>0</v>
      </c>
      <c r="P374">
        <f t="shared" si="31"/>
        <v>4200</v>
      </c>
      <c r="Q374">
        <f t="shared" si="35"/>
        <v>4200</v>
      </c>
      <c r="T374" s="16">
        <f t="shared" si="36"/>
        <v>-0.66102186233469118</v>
      </c>
    </row>
    <row r="375" spans="7:20" ht="14.4" x14ac:dyDescent="0.25">
      <c r="G375" s="10">
        <v>5681</v>
      </c>
      <c r="H375" s="9">
        <v>40160</v>
      </c>
      <c r="I375" s="14">
        <f>DATE(2012,12,31)-1173</f>
        <v>40101</v>
      </c>
      <c r="J375" s="15" t="s">
        <v>30</v>
      </c>
      <c r="K375" s="9">
        <v>23</v>
      </c>
      <c r="L375" s="16" t="s">
        <v>29</v>
      </c>
      <c r="M375" s="16">
        <f t="shared" si="32"/>
        <v>-0.17760342600014073</v>
      </c>
      <c r="N375">
        <f t="shared" si="33"/>
        <v>0</v>
      </c>
      <c r="O375">
        <f t="shared" si="34"/>
        <v>0</v>
      </c>
      <c r="P375">
        <f t="shared" si="31"/>
        <v>4550</v>
      </c>
      <c r="Q375">
        <f t="shared" si="35"/>
        <v>4550</v>
      </c>
      <c r="T375" s="16">
        <f t="shared" si="36"/>
        <v>-0.17760342600014112</v>
      </c>
    </row>
    <row r="376" spans="7:20" ht="14.4" x14ac:dyDescent="0.25">
      <c r="G376" s="10">
        <v>5719</v>
      </c>
      <c r="H376" s="9">
        <v>40518</v>
      </c>
      <c r="I376" s="14">
        <f>DATE(2012,12,31)-1389</f>
        <v>39885</v>
      </c>
      <c r="J376" s="15" t="s">
        <v>30</v>
      </c>
      <c r="K376" s="9">
        <v>3</v>
      </c>
      <c r="L376" s="16" t="s">
        <v>26</v>
      </c>
      <c r="M376" s="16">
        <f t="shared" si="32"/>
        <v>-1.5587989583845694</v>
      </c>
      <c r="N376">
        <f t="shared" si="33"/>
        <v>0</v>
      </c>
      <c r="O376">
        <f t="shared" si="34"/>
        <v>0</v>
      </c>
      <c r="P376">
        <f t="shared" si="31"/>
        <v>3550</v>
      </c>
      <c r="Q376">
        <f t="shared" si="35"/>
        <v>3550</v>
      </c>
      <c r="T376" s="16">
        <f t="shared" si="36"/>
        <v>-1.5587989583845698</v>
      </c>
    </row>
    <row r="377" spans="7:20" ht="14.4" x14ac:dyDescent="0.25">
      <c r="G377" s="10">
        <v>5746</v>
      </c>
      <c r="H377" s="9">
        <v>40804</v>
      </c>
      <c r="I377" s="14">
        <f>DATE(2012,12,31)-1025</f>
        <v>40249</v>
      </c>
      <c r="J377" s="15" t="s">
        <v>16</v>
      </c>
      <c r="K377" s="9">
        <v>36</v>
      </c>
      <c r="L377" s="16" t="s">
        <v>29</v>
      </c>
      <c r="M377" s="16">
        <f t="shared" si="32"/>
        <v>0.72017367004973787</v>
      </c>
      <c r="N377">
        <f t="shared" si="33"/>
        <v>0</v>
      </c>
      <c r="O377">
        <f t="shared" si="34"/>
        <v>0</v>
      </c>
      <c r="P377">
        <f t="shared" si="31"/>
        <v>5200</v>
      </c>
      <c r="Q377">
        <f t="shared" si="35"/>
        <v>5200</v>
      </c>
      <c r="T377" s="16">
        <f t="shared" si="36"/>
        <v>0.72017367004973754</v>
      </c>
    </row>
    <row r="378" spans="7:20" ht="14.4" x14ac:dyDescent="0.25">
      <c r="G378" s="10">
        <v>5764</v>
      </c>
      <c r="H378" s="9">
        <v>40902</v>
      </c>
      <c r="I378" s="14">
        <f>DATE(2012,12,31)-1273</f>
        <v>40001</v>
      </c>
      <c r="J378" s="15" t="s">
        <v>25</v>
      </c>
      <c r="K378" s="9">
        <v>25</v>
      </c>
      <c r="L378" s="16" t="s">
        <v>26</v>
      </c>
      <c r="M378" s="16">
        <f t="shared" si="32"/>
        <v>-3.9483872761697868E-2</v>
      </c>
      <c r="N378">
        <f t="shared" si="33"/>
        <v>0</v>
      </c>
      <c r="O378">
        <f t="shared" si="34"/>
        <v>0</v>
      </c>
      <c r="P378">
        <f t="shared" si="31"/>
        <v>4650</v>
      </c>
      <c r="Q378">
        <f t="shared" si="35"/>
        <v>4650</v>
      </c>
      <c r="T378" s="16">
        <f t="shared" si="36"/>
        <v>-3.9483872761698249E-2</v>
      </c>
    </row>
    <row r="379" spans="7:20" ht="14.4" x14ac:dyDescent="0.25">
      <c r="G379" s="10">
        <v>5790</v>
      </c>
      <c r="H379" s="9">
        <v>41063</v>
      </c>
      <c r="I379" s="14">
        <f>DATE(2012,12,31)-40</f>
        <v>41234</v>
      </c>
      <c r="J379" s="15" t="s">
        <v>25</v>
      </c>
      <c r="K379" s="9">
        <v>22</v>
      </c>
      <c r="L379" s="16" t="s">
        <v>26</v>
      </c>
      <c r="M379" s="16">
        <f t="shared" si="32"/>
        <v>-0.24666320261936217</v>
      </c>
      <c r="N379">
        <f t="shared" si="33"/>
        <v>0</v>
      </c>
      <c r="O379">
        <f t="shared" si="34"/>
        <v>0</v>
      </c>
      <c r="P379">
        <f t="shared" si="31"/>
        <v>4500</v>
      </c>
      <c r="Q379">
        <f t="shared" si="35"/>
        <v>4500</v>
      </c>
      <c r="T379" s="16">
        <f t="shared" si="36"/>
        <v>-0.24666320261936256</v>
      </c>
    </row>
    <row r="380" spans="7:20" ht="14.4" x14ac:dyDescent="0.25">
      <c r="G380" s="10">
        <v>5791</v>
      </c>
      <c r="H380" s="9">
        <v>41063</v>
      </c>
      <c r="I380" s="14">
        <f>DATE(2012,12,31)-40</f>
        <v>41234</v>
      </c>
      <c r="J380" s="15" t="s">
        <v>25</v>
      </c>
      <c r="K380" s="9">
        <v>10</v>
      </c>
      <c r="L380" s="16" t="s">
        <v>27</v>
      </c>
      <c r="M380" s="16">
        <f t="shared" si="32"/>
        <v>-1.0753805220500194</v>
      </c>
      <c r="N380">
        <f t="shared" si="33"/>
        <v>0</v>
      </c>
      <c r="O380">
        <f t="shared" si="34"/>
        <v>0</v>
      </c>
      <c r="P380">
        <f t="shared" si="31"/>
        <v>3900</v>
      </c>
      <c r="Q380">
        <f t="shared" si="35"/>
        <v>3900</v>
      </c>
      <c r="T380" s="16">
        <f t="shared" si="36"/>
        <v>-1.0753805220500199</v>
      </c>
    </row>
    <row r="381" spans="7:20" ht="14.4" x14ac:dyDescent="0.25">
      <c r="G381" s="10">
        <v>5792</v>
      </c>
      <c r="H381" s="9">
        <v>41063</v>
      </c>
      <c r="I381" s="14">
        <f>DATE(2012,12,31)-40</f>
        <v>41234</v>
      </c>
      <c r="J381" s="15" t="s">
        <v>25</v>
      </c>
      <c r="K381" s="9">
        <v>26</v>
      </c>
      <c r="L381" s="16" t="s">
        <v>27</v>
      </c>
      <c r="M381" s="16">
        <f t="shared" si="32"/>
        <v>2.9575903857523567E-2</v>
      </c>
      <c r="N381">
        <f t="shared" si="33"/>
        <v>0</v>
      </c>
      <c r="O381">
        <f t="shared" si="34"/>
        <v>0</v>
      </c>
      <c r="P381">
        <f t="shared" si="31"/>
        <v>4700</v>
      </c>
      <c r="Q381">
        <f t="shared" si="35"/>
        <v>4700</v>
      </c>
      <c r="T381" s="16">
        <f t="shared" si="36"/>
        <v>2.9575903857523185E-2</v>
      </c>
    </row>
    <row r="382" spans="7:20" ht="14.4" x14ac:dyDescent="0.25">
      <c r="G382" s="10">
        <v>5802</v>
      </c>
      <c r="H382" s="9">
        <v>41153</v>
      </c>
      <c r="I382" s="14">
        <f>DATE(2012,12,31)-1400</f>
        <v>39874</v>
      </c>
      <c r="J382" s="15" t="s">
        <v>16</v>
      </c>
      <c r="K382" s="9">
        <v>29</v>
      </c>
      <c r="L382" s="16" t="s">
        <v>27</v>
      </c>
      <c r="M382" s="16">
        <f t="shared" si="32"/>
        <v>0.23675523371518786</v>
      </c>
      <c r="N382">
        <f t="shared" si="33"/>
        <v>0</v>
      </c>
      <c r="O382">
        <f t="shared" si="34"/>
        <v>0</v>
      </c>
      <c r="P382">
        <f t="shared" si="31"/>
        <v>4850</v>
      </c>
      <c r="Q382">
        <f t="shared" si="35"/>
        <v>4850</v>
      </c>
      <c r="T382" s="16">
        <f t="shared" si="36"/>
        <v>0.2367552337151875</v>
      </c>
    </row>
    <row r="383" spans="7:20" ht="14.4" x14ac:dyDescent="0.25">
      <c r="G383" s="10">
        <v>5805</v>
      </c>
      <c r="H383" s="9">
        <v>41184</v>
      </c>
      <c r="I383" s="14">
        <f>DATE(2012,12,31)-466</f>
        <v>40808</v>
      </c>
      <c r="J383" s="15" t="s">
        <v>17</v>
      </c>
      <c r="K383" s="9">
        <v>7</v>
      </c>
      <c r="L383" s="16" t="s">
        <v>26</v>
      </c>
      <c r="M383" s="16">
        <f t="shared" si="32"/>
        <v>-1.2825598519076837</v>
      </c>
      <c r="N383">
        <f t="shared" si="33"/>
        <v>0</v>
      </c>
      <c r="O383">
        <f t="shared" si="34"/>
        <v>0</v>
      </c>
      <c r="P383">
        <f t="shared" si="31"/>
        <v>3750</v>
      </c>
      <c r="Q383">
        <f t="shared" si="35"/>
        <v>3750</v>
      </c>
      <c r="T383" s="16">
        <f t="shared" si="36"/>
        <v>-1.2825598519076842</v>
      </c>
    </row>
    <row r="384" spans="7:20" ht="14.4" x14ac:dyDescent="0.25">
      <c r="G384" s="10">
        <v>5835</v>
      </c>
      <c r="H384" s="9">
        <v>41409</v>
      </c>
      <c r="I384" s="14">
        <f>DATE(2012,12,31)-529</f>
        <v>40745</v>
      </c>
      <c r="J384" s="15" t="s">
        <v>28</v>
      </c>
      <c r="K384" s="9">
        <v>1</v>
      </c>
      <c r="L384" s="16" t="s">
        <v>26</v>
      </c>
      <c r="M384" s="16">
        <f t="shared" si="32"/>
        <v>-1.6969185116230123</v>
      </c>
      <c r="N384">
        <f t="shared" si="33"/>
        <v>0</v>
      </c>
      <c r="O384">
        <f t="shared" si="34"/>
        <v>0</v>
      </c>
      <c r="P384">
        <f t="shared" si="31"/>
        <v>3450</v>
      </c>
      <c r="Q384">
        <f t="shared" si="35"/>
        <v>3450</v>
      </c>
      <c r="T384" s="16">
        <f t="shared" si="36"/>
        <v>-1.6969185116230128</v>
      </c>
    </row>
    <row r="385" spans="7:20" ht="14.4" x14ac:dyDescent="0.25">
      <c r="G385" s="10">
        <v>5877</v>
      </c>
      <c r="H385" s="9">
        <v>41696</v>
      </c>
      <c r="I385" s="14">
        <f>DATE(2012,12,31)-1267</f>
        <v>40007</v>
      </c>
      <c r="J385" s="15" t="s">
        <v>28</v>
      </c>
      <c r="K385" s="9">
        <v>45</v>
      </c>
      <c r="L385" s="16" t="s">
        <v>26</v>
      </c>
      <c r="M385" s="16">
        <f t="shared" si="32"/>
        <v>1.3417116596227308</v>
      </c>
      <c r="N385">
        <f t="shared" si="33"/>
        <v>0</v>
      </c>
      <c r="O385">
        <f t="shared" si="34"/>
        <v>0</v>
      </c>
      <c r="P385">
        <f t="shared" si="31"/>
        <v>5650</v>
      </c>
      <c r="Q385">
        <f t="shared" si="35"/>
        <v>5650</v>
      </c>
      <c r="T385" s="16">
        <f t="shared" si="36"/>
        <v>1.3417116596227305</v>
      </c>
    </row>
    <row r="386" spans="7:20" ht="14.4" x14ac:dyDescent="0.25">
      <c r="G386" s="10">
        <v>5944</v>
      </c>
      <c r="H386" s="9">
        <v>42209</v>
      </c>
      <c r="I386" s="14">
        <f>DATE(2012,12,31)-1008</f>
        <v>40266</v>
      </c>
      <c r="J386" s="15" t="s">
        <v>17</v>
      </c>
      <c r="K386" s="9">
        <v>5</v>
      </c>
      <c r="L386" s="16" t="s">
        <v>26</v>
      </c>
      <c r="M386" s="16">
        <f t="shared" si="32"/>
        <v>-1.4206794051461267</v>
      </c>
      <c r="N386">
        <f t="shared" si="33"/>
        <v>0</v>
      </c>
      <c r="O386">
        <f t="shared" si="34"/>
        <v>0</v>
      </c>
      <c r="P386">
        <f t="shared" si="31"/>
        <v>3650</v>
      </c>
      <c r="Q386">
        <f t="shared" si="35"/>
        <v>3650</v>
      </c>
      <c r="T386" s="16">
        <f t="shared" si="36"/>
        <v>-1.4206794051461269</v>
      </c>
    </row>
    <row r="387" spans="7:20" ht="14.4" x14ac:dyDescent="0.25">
      <c r="G387" s="10">
        <v>5945</v>
      </c>
      <c r="H387" s="9">
        <v>42209</v>
      </c>
      <c r="I387" s="14">
        <f>DATE(2012,12,31)-1008</f>
        <v>40266</v>
      </c>
      <c r="J387" s="15" t="s">
        <v>17</v>
      </c>
      <c r="K387" s="9">
        <v>31</v>
      </c>
      <c r="L387" s="16" t="s">
        <v>29</v>
      </c>
      <c r="M387" s="16">
        <f t="shared" si="32"/>
        <v>0.37487478695363075</v>
      </c>
      <c r="N387">
        <f t="shared" si="33"/>
        <v>0</v>
      </c>
      <c r="O387">
        <f t="shared" si="34"/>
        <v>0</v>
      </c>
      <c r="P387">
        <f t="shared" si="31"/>
        <v>4950</v>
      </c>
      <c r="Q387">
        <f t="shared" si="35"/>
        <v>4950</v>
      </c>
      <c r="T387" s="16">
        <f t="shared" si="36"/>
        <v>0.37487478695363036</v>
      </c>
    </row>
    <row r="388" spans="7:20" ht="14.4" x14ac:dyDescent="0.25">
      <c r="G388" s="10">
        <v>6007</v>
      </c>
      <c r="H388" s="9">
        <v>42561</v>
      </c>
      <c r="I388" s="14">
        <f>DATE(2012,12,31)-1059</f>
        <v>40215</v>
      </c>
      <c r="J388" s="15" t="s">
        <v>25</v>
      </c>
      <c r="K388" s="9">
        <v>15</v>
      </c>
      <c r="L388" s="16" t="s">
        <v>27</v>
      </c>
      <c r="M388" s="16">
        <f t="shared" si="32"/>
        <v>-0.7300816389539122</v>
      </c>
      <c r="N388">
        <f t="shared" si="33"/>
        <v>0</v>
      </c>
      <c r="O388">
        <f t="shared" si="34"/>
        <v>0</v>
      </c>
      <c r="P388">
        <f t="shared" si="31"/>
        <v>4150</v>
      </c>
      <c r="Q388">
        <f t="shared" si="35"/>
        <v>4150</v>
      </c>
      <c r="T388" s="16">
        <f t="shared" si="36"/>
        <v>-0.73008163895391265</v>
      </c>
    </row>
    <row r="389" spans="7:20" ht="14.4" x14ac:dyDescent="0.25">
      <c r="G389" s="10">
        <v>6009</v>
      </c>
      <c r="H389" s="9">
        <v>42564</v>
      </c>
      <c r="I389" s="14">
        <f>DATE(2012,12,31)-110</f>
        <v>41164</v>
      </c>
      <c r="J389" s="15" t="s">
        <v>25</v>
      </c>
      <c r="K389" s="9">
        <v>35</v>
      </c>
      <c r="L389" s="16" t="s">
        <v>29</v>
      </c>
      <c r="M389" s="16">
        <f t="shared" si="32"/>
        <v>0.65111389343051651</v>
      </c>
      <c r="N389">
        <f t="shared" si="33"/>
        <v>0</v>
      </c>
      <c r="O389">
        <f t="shared" si="34"/>
        <v>0</v>
      </c>
      <c r="P389">
        <f t="shared" si="31"/>
        <v>5150</v>
      </c>
      <c r="Q389">
        <f t="shared" si="35"/>
        <v>5150</v>
      </c>
      <c r="T389" s="16">
        <f t="shared" si="36"/>
        <v>0.65111389343051607</v>
      </c>
    </row>
    <row r="390" spans="7:20" ht="14.4" x14ac:dyDescent="0.25">
      <c r="G390" s="10">
        <v>6029</v>
      </c>
      <c r="H390" s="9">
        <v>42695</v>
      </c>
      <c r="I390" s="14">
        <f>DATE(2012,12,31)-740</f>
        <v>40534</v>
      </c>
      <c r="J390" s="15" t="s">
        <v>28</v>
      </c>
      <c r="K390" s="9">
        <v>12</v>
      </c>
      <c r="L390" s="16" t="s">
        <v>27</v>
      </c>
      <c r="M390" s="16">
        <f t="shared" si="32"/>
        <v>-0.9372609688115765</v>
      </c>
      <c r="N390">
        <f t="shared" si="33"/>
        <v>0</v>
      </c>
      <c r="O390">
        <f t="shared" si="34"/>
        <v>0</v>
      </c>
      <c r="P390">
        <f t="shared" si="31"/>
        <v>4000</v>
      </c>
      <c r="Q390">
        <f t="shared" si="35"/>
        <v>4000</v>
      </c>
      <c r="T390" s="16">
        <f t="shared" si="36"/>
        <v>-0.93726096881157694</v>
      </c>
    </row>
    <row r="391" spans="7:20" ht="14.4" x14ac:dyDescent="0.25">
      <c r="G391" s="10">
        <v>6067</v>
      </c>
      <c r="H391" s="9">
        <v>42981</v>
      </c>
      <c r="I391" s="14">
        <f>DATE(2012,12,31)-1311</f>
        <v>39963</v>
      </c>
      <c r="J391" s="15" t="s">
        <v>30</v>
      </c>
      <c r="K391" s="9">
        <v>4</v>
      </c>
      <c r="L391" s="16" t="s">
        <v>26</v>
      </c>
      <c r="M391" s="16">
        <f t="shared" si="32"/>
        <v>-1.489739181765348</v>
      </c>
      <c r="N391">
        <f t="shared" si="33"/>
        <v>0</v>
      </c>
      <c r="O391">
        <f t="shared" si="34"/>
        <v>0</v>
      </c>
      <c r="P391">
        <f t="shared" si="31"/>
        <v>3600</v>
      </c>
      <c r="Q391">
        <f t="shared" si="35"/>
        <v>3600</v>
      </c>
      <c r="T391" s="16">
        <f t="shared" si="36"/>
        <v>-1.4897391817653485</v>
      </c>
    </row>
    <row r="392" spans="7:20" ht="14.4" x14ac:dyDescent="0.25">
      <c r="G392" s="10">
        <v>6082</v>
      </c>
      <c r="H392" s="9">
        <v>43109</v>
      </c>
      <c r="I392" s="14">
        <f>DATE(2012,12,31)-10</f>
        <v>41264</v>
      </c>
      <c r="J392" s="15" t="s">
        <v>30</v>
      </c>
      <c r="K392" s="9">
        <v>19</v>
      </c>
      <c r="L392" s="16" t="s">
        <v>26</v>
      </c>
      <c r="M392" s="16">
        <f t="shared" si="32"/>
        <v>-0.45384253247702649</v>
      </c>
      <c r="N392">
        <f t="shared" si="33"/>
        <v>0</v>
      </c>
      <c r="O392">
        <f t="shared" si="34"/>
        <v>0</v>
      </c>
      <c r="P392">
        <f t="shared" si="31"/>
        <v>4350</v>
      </c>
      <c r="Q392">
        <f t="shared" si="35"/>
        <v>4350</v>
      </c>
      <c r="T392" s="16">
        <f t="shared" si="36"/>
        <v>-0.45384253247702688</v>
      </c>
    </row>
    <row r="393" spans="7:20" ht="14.4" x14ac:dyDescent="0.25">
      <c r="G393" s="10">
        <v>6083</v>
      </c>
      <c r="H393" s="9">
        <v>43109</v>
      </c>
      <c r="I393" s="14">
        <f>DATE(2012,12,31)-10</f>
        <v>41264</v>
      </c>
      <c r="J393" s="15" t="s">
        <v>30</v>
      </c>
      <c r="K393" s="9">
        <v>25</v>
      </c>
      <c r="L393" s="16" t="s">
        <v>27</v>
      </c>
      <c r="M393" s="16">
        <f t="shared" si="32"/>
        <v>-3.9483872761697868E-2</v>
      </c>
      <c r="N393">
        <f t="shared" si="33"/>
        <v>0</v>
      </c>
      <c r="O393">
        <f t="shared" si="34"/>
        <v>0</v>
      </c>
      <c r="P393">
        <f t="shared" si="31"/>
        <v>4650</v>
      </c>
      <c r="Q393">
        <f t="shared" si="35"/>
        <v>4650</v>
      </c>
      <c r="T393" s="16">
        <f t="shared" si="36"/>
        <v>-3.9483872761698249E-2</v>
      </c>
    </row>
    <row r="394" spans="7:20" ht="14.4" x14ac:dyDescent="0.25">
      <c r="G394" s="10">
        <v>6084</v>
      </c>
      <c r="H394" s="9">
        <v>43109</v>
      </c>
      <c r="I394" s="14">
        <f>DATE(2012,12,31)-10</f>
        <v>41264</v>
      </c>
      <c r="J394" s="15" t="s">
        <v>30</v>
      </c>
      <c r="K394" s="9">
        <v>10</v>
      </c>
      <c r="L394" s="16" t="s">
        <v>27</v>
      </c>
      <c r="M394" s="16">
        <f t="shared" si="32"/>
        <v>-1.0753805220500194</v>
      </c>
      <c r="N394">
        <f t="shared" si="33"/>
        <v>0</v>
      </c>
      <c r="O394">
        <f t="shared" si="34"/>
        <v>0</v>
      </c>
      <c r="P394">
        <f t="shared" si="31"/>
        <v>3900</v>
      </c>
      <c r="Q394">
        <f t="shared" si="35"/>
        <v>3900</v>
      </c>
      <c r="T394" s="16">
        <f t="shared" si="36"/>
        <v>-1.0753805220500199</v>
      </c>
    </row>
    <row r="395" spans="7:20" ht="14.4" x14ac:dyDescent="0.25">
      <c r="G395" s="10">
        <v>6097</v>
      </c>
      <c r="H395" s="9">
        <v>43203</v>
      </c>
      <c r="I395" s="14">
        <f>DATE(2012,12,31)-321</f>
        <v>40953</v>
      </c>
      <c r="J395" s="15" t="s">
        <v>28</v>
      </c>
      <c r="K395" s="9">
        <v>32</v>
      </c>
      <c r="L395" s="16" t="s">
        <v>26</v>
      </c>
      <c r="M395" s="16">
        <f t="shared" si="32"/>
        <v>0.44393456357285216</v>
      </c>
      <c r="N395">
        <f t="shared" si="33"/>
        <v>0</v>
      </c>
      <c r="O395">
        <f t="shared" si="34"/>
        <v>0</v>
      </c>
      <c r="P395">
        <f t="shared" si="31"/>
        <v>5000</v>
      </c>
      <c r="Q395">
        <f t="shared" si="35"/>
        <v>5000</v>
      </c>
      <c r="T395" s="16">
        <f t="shared" si="36"/>
        <v>0.44393456357285183</v>
      </c>
    </row>
    <row r="396" spans="7:20" ht="14.4" x14ac:dyDescent="0.25">
      <c r="G396" s="10">
        <v>6103</v>
      </c>
      <c r="H396" s="9">
        <v>43236</v>
      </c>
      <c r="I396" s="14">
        <f>DATE(2012,12,31)-912</f>
        <v>40362</v>
      </c>
      <c r="J396" s="15" t="s">
        <v>28</v>
      </c>
      <c r="K396" s="9">
        <v>20</v>
      </c>
      <c r="L396" s="16" t="s">
        <v>29</v>
      </c>
      <c r="M396" s="16">
        <f t="shared" si="32"/>
        <v>-0.38478275585780503</v>
      </c>
      <c r="N396">
        <f t="shared" si="33"/>
        <v>0</v>
      </c>
      <c r="O396">
        <f t="shared" si="34"/>
        <v>0</v>
      </c>
      <c r="P396">
        <f t="shared" ref="P396:P459" si="37">50*K396+$P$10</f>
        <v>4400</v>
      </c>
      <c r="Q396">
        <f t="shared" si="35"/>
        <v>4400</v>
      </c>
      <c r="T396" s="16">
        <f t="shared" si="36"/>
        <v>-0.38478275585780541</v>
      </c>
    </row>
    <row r="397" spans="7:20" ht="14.4" x14ac:dyDescent="0.25">
      <c r="G397" s="10">
        <v>6105</v>
      </c>
      <c r="H397" s="9">
        <v>43267</v>
      </c>
      <c r="I397" s="14">
        <f>DATE(2012,12,31)-595</f>
        <v>40679</v>
      </c>
      <c r="J397" s="15" t="s">
        <v>30</v>
      </c>
      <c r="K397" s="9">
        <v>17</v>
      </c>
      <c r="L397" s="16" t="s">
        <v>26</v>
      </c>
      <c r="M397" s="16">
        <f t="shared" ref="M397:M460" si="38">(K397-$K$4)/$K$7</f>
        <v>-0.59196208571546938</v>
      </c>
      <c r="N397">
        <f t="shared" ref="N397:N460" si="39">IF(MOD($B$20+G397,1000)=0,1,0)</f>
        <v>0</v>
      </c>
      <c r="O397">
        <f t="shared" ref="O397:O460" si="40">+ROUND(N397*(IF(K397&lt;$K$4,-4.5,10.5)*$P$5),-2)</f>
        <v>0</v>
      </c>
      <c r="P397">
        <f t="shared" si="37"/>
        <v>4250</v>
      </c>
      <c r="Q397">
        <f t="shared" ref="Q397:Q460" si="41">P397+O397</f>
        <v>4250</v>
      </c>
      <c r="T397" s="16">
        <f t="shared" ref="T397:T460" si="42">(Q397-$P$4)/$P$5</f>
        <v>-0.59196208571546971</v>
      </c>
    </row>
    <row r="398" spans="7:20" ht="14.4" x14ac:dyDescent="0.25">
      <c r="G398" s="10">
        <v>6118</v>
      </c>
      <c r="H398" s="9">
        <v>43329</v>
      </c>
      <c r="I398" s="14">
        <f>DATE(2012,12,31)-1030</f>
        <v>40244</v>
      </c>
      <c r="J398" s="15" t="s">
        <v>16</v>
      </c>
      <c r="K398" s="9">
        <v>42</v>
      </c>
      <c r="L398" s="16" t="s">
        <v>26</v>
      </c>
      <c r="M398" s="16">
        <f t="shared" si="38"/>
        <v>1.1345323297650665</v>
      </c>
      <c r="N398">
        <f t="shared" si="39"/>
        <v>0</v>
      </c>
      <c r="O398">
        <f t="shared" si="40"/>
        <v>0</v>
      </c>
      <c r="P398">
        <f t="shared" si="37"/>
        <v>5500</v>
      </c>
      <c r="Q398">
        <f t="shared" si="41"/>
        <v>5500</v>
      </c>
      <c r="T398" s="16">
        <f t="shared" si="42"/>
        <v>1.1345323297650662</v>
      </c>
    </row>
    <row r="399" spans="7:20" ht="14.4" x14ac:dyDescent="0.25">
      <c r="G399" s="10">
        <v>6119</v>
      </c>
      <c r="H399" s="9">
        <v>43330</v>
      </c>
      <c r="I399" s="14">
        <f>DATE(2012,12,31)-1344</f>
        <v>39930</v>
      </c>
      <c r="J399" s="15" t="s">
        <v>28</v>
      </c>
      <c r="K399" s="9">
        <v>40</v>
      </c>
      <c r="L399" s="16" t="s">
        <v>27</v>
      </c>
      <c r="M399" s="16">
        <f t="shared" si="38"/>
        <v>0.99641277652662363</v>
      </c>
      <c r="N399">
        <f t="shared" si="39"/>
        <v>0</v>
      </c>
      <c r="O399">
        <f t="shared" si="40"/>
        <v>0</v>
      </c>
      <c r="P399">
        <f t="shared" si="37"/>
        <v>5400</v>
      </c>
      <c r="Q399">
        <f t="shared" si="41"/>
        <v>5400</v>
      </c>
      <c r="T399" s="16">
        <f t="shared" si="42"/>
        <v>0.9964127765266233</v>
      </c>
    </row>
    <row r="400" spans="7:20" ht="14.4" x14ac:dyDescent="0.25">
      <c r="G400" s="10">
        <v>6125</v>
      </c>
      <c r="H400" s="9">
        <v>43364</v>
      </c>
      <c r="I400" s="14">
        <f>DATE(2012,12,31)-268</f>
        <v>41006</v>
      </c>
      <c r="J400" s="15" t="s">
        <v>17</v>
      </c>
      <c r="K400" s="9">
        <v>21</v>
      </c>
      <c r="L400" s="16" t="s">
        <v>26</v>
      </c>
      <c r="M400" s="16">
        <f t="shared" si="38"/>
        <v>-0.31572297923858361</v>
      </c>
      <c r="N400">
        <f t="shared" si="39"/>
        <v>0</v>
      </c>
      <c r="O400">
        <f t="shared" si="40"/>
        <v>0</v>
      </c>
      <c r="P400">
        <f t="shared" si="37"/>
        <v>4450</v>
      </c>
      <c r="Q400">
        <f t="shared" si="41"/>
        <v>4450</v>
      </c>
      <c r="T400" s="16">
        <f t="shared" si="42"/>
        <v>-0.315722979238584</v>
      </c>
    </row>
    <row r="401" spans="7:20" ht="14.4" x14ac:dyDescent="0.25">
      <c r="G401" s="10">
        <v>6129</v>
      </c>
      <c r="H401" s="9">
        <v>43392</v>
      </c>
      <c r="I401" s="14">
        <f>DATE(2012,12,31)-731</f>
        <v>40543</v>
      </c>
      <c r="J401" s="15" t="s">
        <v>16</v>
      </c>
      <c r="K401" s="9">
        <v>39</v>
      </c>
      <c r="L401" s="16" t="s">
        <v>26</v>
      </c>
      <c r="M401" s="16">
        <f t="shared" si="38"/>
        <v>0.92735299990740228</v>
      </c>
      <c r="N401">
        <f t="shared" si="39"/>
        <v>0</v>
      </c>
      <c r="O401">
        <f t="shared" si="40"/>
        <v>0</v>
      </c>
      <c r="P401">
        <f t="shared" si="37"/>
        <v>5350</v>
      </c>
      <c r="Q401">
        <f t="shared" si="41"/>
        <v>5350</v>
      </c>
      <c r="T401" s="16">
        <f t="shared" si="42"/>
        <v>0.92735299990740183</v>
      </c>
    </row>
    <row r="402" spans="7:20" ht="14.4" x14ac:dyDescent="0.25">
      <c r="G402" s="10">
        <v>6176</v>
      </c>
      <c r="H402" s="9">
        <v>43781</v>
      </c>
      <c r="I402" s="14">
        <f>DATE(2012,12,31)-1063</f>
        <v>40211</v>
      </c>
      <c r="J402" s="15" t="s">
        <v>28</v>
      </c>
      <c r="K402" s="9">
        <v>45</v>
      </c>
      <c r="L402" s="16" t="s">
        <v>26</v>
      </c>
      <c r="M402" s="16">
        <f t="shared" si="38"/>
        <v>1.3417116596227308</v>
      </c>
      <c r="N402">
        <f t="shared" si="39"/>
        <v>0</v>
      </c>
      <c r="O402">
        <f t="shared" si="40"/>
        <v>0</v>
      </c>
      <c r="P402">
        <f t="shared" si="37"/>
        <v>5650</v>
      </c>
      <c r="Q402">
        <f t="shared" si="41"/>
        <v>5650</v>
      </c>
      <c r="T402" s="16">
        <f t="shared" si="42"/>
        <v>1.3417116596227305</v>
      </c>
    </row>
    <row r="403" spans="7:20" ht="14.4" x14ac:dyDescent="0.25">
      <c r="G403" s="10">
        <v>6177</v>
      </c>
      <c r="H403" s="9">
        <v>43781</v>
      </c>
      <c r="I403" s="14">
        <f>DATE(2012,12,31)-1063</f>
        <v>40211</v>
      </c>
      <c r="J403" s="15" t="s">
        <v>28</v>
      </c>
      <c r="K403" s="9">
        <v>21</v>
      </c>
      <c r="L403" s="16" t="s">
        <v>26</v>
      </c>
      <c r="M403" s="16">
        <f t="shared" si="38"/>
        <v>-0.31572297923858361</v>
      </c>
      <c r="N403">
        <f t="shared" si="39"/>
        <v>0</v>
      </c>
      <c r="O403">
        <f t="shared" si="40"/>
        <v>0</v>
      </c>
      <c r="P403">
        <f t="shared" si="37"/>
        <v>4450</v>
      </c>
      <c r="Q403">
        <f t="shared" si="41"/>
        <v>4450</v>
      </c>
      <c r="T403" s="16">
        <f t="shared" si="42"/>
        <v>-0.315722979238584</v>
      </c>
    </row>
    <row r="404" spans="7:20" ht="14.4" x14ac:dyDescent="0.25">
      <c r="G404" s="10">
        <v>6226</v>
      </c>
      <c r="H404" s="9">
        <v>44071</v>
      </c>
      <c r="I404" s="14">
        <f>DATE(2012,12,31)-260</f>
        <v>41014</v>
      </c>
      <c r="J404" s="15" t="s">
        <v>28</v>
      </c>
      <c r="K404" s="9">
        <v>19</v>
      </c>
      <c r="L404" s="16" t="s">
        <v>26</v>
      </c>
      <c r="M404" s="16">
        <f t="shared" si="38"/>
        <v>-0.45384253247702649</v>
      </c>
      <c r="N404">
        <f t="shared" si="39"/>
        <v>0</v>
      </c>
      <c r="O404">
        <f t="shared" si="40"/>
        <v>0</v>
      </c>
      <c r="P404">
        <f t="shared" si="37"/>
        <v>4350</v>
      </c>
      <c r="Q404">
        <f t="shared" si="41"/>
        <v>4350</v>
      </c>
      <c r="T404" s="16">
        <f t="shared" si="42"/>
        <v>-0.45384253247702688</v>
      </c>
    </row>
    <row r="405" spans="7:20" ht="14.4" x14ac:dyDescent="0.25">
      <c r="G405" s="10">
        <v>6227</v>
      </c>
      <c r="H405" s="9">
        <v>44071</v>
      </c>
      <c r="I405" s="14">
        <f>DATE(2012,12,31)-260</f>
        <v>41014</v>
      </c>
      <c r="J405" s="15" t="s">
        <v>28</v>
      </c>
      <c r="K405" s="9">
        <v>20</v>
      </c>
      <c r="L405" s="16" t="s">
        <v>27</v>
      </c>
      <c r="M405" s="16">
        <f t="shared" si="38"/>
        <v>-0.38478275585780503</v>
      </c>
      <c r="N405">
        <f t="shared" si="39"/>
        <v>0</v>
      </c>
      <c r="O405">
        <f t="shared" si="40"/>
        <v>0</v>
      </c>
      <c r="P405">
        <f t="shared" si="37"/>
        <v>4400</v>
      </c>
      <c r="Q405">
        <f t="shared" si="41"/>
        <v>4400</v>
      </c>
      <c r="T405" s="16">
        <f t="shared" si="42"/>
        <v>-0.38478275585780541</v>
      </c>
    </row>
    <row r="406" spans="7:20" ht="14.4" x14ac:dyDescent="0.25">
      <c r="G406" s="10">
        <v>6290</v>
      </c>
      <c r="H406" s="9">
        <v>44519</v>
      </c>
      <c r="I406" s="14">
        <f>DATE(2012,12,31)-957</f>
        <v>40317</v>
      </c>
      <c r="J406" s="15" t="s">
        <v>17</v>
      </c>
      <c r="K406" s="9">
        <v>48</v>
      </c>
      <c r="L406" s="16" t="s">
        <v>26</v>
      </c>
      <c r="M406" s="16">
        <f t="shared" si="38"/>
        <v>1.5488909894803951</v>
      </c>
      <c r="N406">
        <f t="shared" si="39"/>
        <v>0</v>
      </c>
      <c r="O406">
        <f t="shared" si="40"/>
        <v>0</v>
      </c>
      <c r="P406">
        <f t="shared" si="37"/>
        <v>5800</v>
      </c>
      <c r="Q406">
        <f t="shared" si="41"/>
        <v>5800</v>
      </c>
      <c r="T406" s="16">
        <f t="shared" si="42"/>
        <v>1.5488909894803948</v>
      </c>
    </row>
    <row r="407" spans="7:20" ht="14.4" x14ac:dyDescent="0.25">
      <c r="G407" s="10">
        <v>6291</v>
      </c>
      <c r="H407" s="9">
        <v>44519</v>
      </c>
      <c r="I407" s="14">
        <f>DATE(2012,12,31)-957</f>
        <v>40317</v>
      </c>
      <c r="J407" s="15" t="s">
        <v>17</v>
      </c>
      <c r="K407" s="9">
        <v>34</v>
      </c>
      <c r="L407" s="16" t="s">
        <v>26</v>
      </c>
      <c r="M407" s="16">
        <f t="shared" si="38"/>
        <v>0.58205411681129504</v>
      </c>
      <c r="N407">
        <f t="shared" si="39"/>
        <v>0</v>
      </c>
      <c r="O407">
        <f t="shared" si="40"/>
        <v>0</v>
      </c>
      <c r="P407">
        <f t="shared" si="37"/>
        <v>5100</v>
      </c>
      <c r="Q407">
        <f t="shared" si="41"/>
        <v>5100</v>
      </c>
      <c r="T407" s="16">
        <f t="shared" si="42"/>
        <v>0.58205411681129471</v>
      </c>
    </row>
    <row r="408" spans="7:20" ht="14.4" x14ac:dyDescent="0.25">
      <c r="G408" s="10">
        <v>6292</v>
      </c>
      <c r="H408" s="9">
        <v>44519</v>
      </c>
      <c r="I408" s="14">
        <f>DATE(2012,12,31)-957</f>
        <v>40317</v>
      </c>
      <c r="J408" s="15" t="s">
        <v>17</v>
      </c>
      <c r="K408" s="9">
        <v>34</v>
      </c>
      <c r="L408" s="16" t="s">
        <v>27</v>
      </c>
      <c r="M408" s="16">
        <f t="shared" si="38"/>
        <v>0.58205411681129504</v>
      </c>
      <c r="N408">
        <f t="shared" si="39"/>
        <v>0</v>
      </c>
      <c r="O408">
        <f t="shared" si="40"/>
        <v>0</v>
      </c>
      <c r="P408">
        <f t="shared" si="37"/>
        <v>5100</v>
      </c>
      <c r="Q408">
        <f t="shared" si="41"/>
        <v>5100</v>
      </c>
      <c r="T408" s="16">
        <f t="shared" si="42"/>
        <v>0.58205411681129471</v>
      </c>
    </row>
    <row r="409" spans="7:20" ht="14.4" x14ac:dyDescent="0.25">
      <c r="G409" s="10">
        <v>6319</v>
      </c>
      <c r="H409" s="9">
        <v>44708</v>
      </c>
      <c r="I409" s="14">
        <f>DATE(2012,12,31)-1253</f>
        <v>40021</v>
      </c>
      <c r="J409" s="15" t="s">
        <v>28</v>
      </c>
      <c r="K409" s="9">
        <v>15</v>
      </c>
      <c r="L409" s="16" t="s">
        <v>29</v>
      </c>
      <c r="M409" s="16">
        <f t="shared" si="38"/>
        <v>-0.7300816389539122</v>
      </c>
      <c r="N409">
        <f t="shared" si="39"/>
        <v>0</v>
      </c>
      <c r="O409">
        <f t="shared" si="40"/>
        <v>0</v>
      </c>
      <c r="P409">
        <f t="shared" si="37"/>
        <v>4150</v>
      </c>
      <c r="Q409">
        <f t="shared" si="41"/>
        <v>4150</v>
      </c>
      <c r="T409" s="16">
        <f t="shared" si="42"/>
        <v>-0.73008163895391265</v>
      </c>
    </row>
    <row r="410" spans="7:20" ht="14.4" x14ac:dyDescent="0.25">
      <c r="G410" s="10">
        <v>6324</v>
      </c>
      <c r="H410" s="9">
        <v>44772</v>
      </c>
      <c r="I410" s="14">
        <f>DATE(2012,12,31)-1371</f>
        <v>39903</v>
      </c>
      <c r="J410" s="15" t="s">
        <v>28</v>
      </c>
      <c r="K410" s="9">
        <v>1</v>
      </c>
      <c r="L410" s="16" t="s">
        <v>27</v>
      </c>
      <c r="M410" s="16">
        <f t="shared" si="38"/>
        <v>-1.6969185116230123</v>
      </c>
      <c r="N410">
        <f t="shared" si="39"/>
        <v>0</v>
      </c>
      <c r="O410">
        <f t="shared" si="40"/>
        <v>0</v>
      </c>
      <c r="P410">
        <f t="shared" si="37"/>
        <v>3450</v>
      </c>
      <c r="Q410">
        <f t="shared" si="41"/>
        <v>3450</v>
      </c>
      <c r="T410" s="16">
        <f t="shared" si="42"/>
        <v>-1.6969185116230128</v>
      </c>
    </row>
    <row r="411" spans="7:20" ht="14.4" x14ac:dyDescent="0.25">
      <c r="G411" s="10">
        <v>6330</v>
      </c>
      <c r="H411" s="9">
        <v>44839</v>
      </c>
      <c r="I411" s="14">
        <f>DATE(2012,12,31)-203</f>
        <v>41071</v>
      </c>
      <c r="J411" s="15" t="s">
        <v>30</v>
      </c>
      <c r="K411" s="9">
        <v>27</v>
      </c>
      <c r="L411" s="16" t="s">
        <v>29</v>
      </c>
      <c r="M411" s="16">
        <f t="shared" si="38"/>
        <v>9.8635680476745008E-2</v>
      </c>
      <c r="N411">
        <f t="shared" si="39"/>
        <v>0</v>
      </c>
      <c r="O411">
        <f t="shared" si="40"/>
        <v>0</v>
      </c>
      <c r="P411">
        <f t="shared" si="37"/>
        <v>4750</v>
      </c>
      <c r="Q411">
        <f t="shared" si="41"/>
        <v>4750</v>
      </c>
      <c r="T411" s="16">
        <f t="shared" si="42"/>
        <v>9.8635680476744619E-2</v>
      </c>
    </row>
    <row r="412" spans="7:20" ht="14.4" x14ac:dyDescent="0.25">
      <c r="G412" s="10">
        <v>6372</v>
      </c>
      <c r="H412" s="9">
        <v>45217</v>
      </c>
      <c r="I412" s="14">
        <f>DATE(2012,12,31)-852</f>
        <v>40422</v>
      </c>
      <c r="J412" s="15" t="s">
        <v>28</v>
      </c>
      <c r="K412" s="9">
        <v>40</v>
      </c>
      <c r="L412" s="16" t="s">
        <v>27</v>
      </c>
      <c r="M412" s="16">
        <f t="shared" si="38"/>
        <v>0.99641277652662363</v>
      </c>
      <c r="N412">
        <f t="shared" si="39"/>
        <v>0</v>
      </c>
      <c r="O412">
        <f t="shared" si="40"/>
        <v>0</v>
      </c>
      <c r="P412">
        <f t="shared" si="37"/>
        <v>5400</v>
      </c>
      <c r="Q412">
        <f t="shared" si="41"/>
        <v>5400</v>
      </c>
      <c r="T412" s="16">
        <f t="shared" si="42"/>
        <v>0.9964127765266233</v>
      </c>
    </row>
    <row r="413" spans="7:20" ht="14.4" x14ac:dyDescent="0.25">
      <c r="G413" s="10">
        <v>6402</v>
      </c>
      <c r="H413" s="9">
        <v>45440</v>
      </c>
      <c r="I413" s="14">
        <f>DATE(2012,12,31)-144</f>
        <v>41130</v>
      </c>
      <c r="J413" s="15" t="s">
        <v>30</v>
      </c>
      <c r="K413" s="9">
        <v>5</v>
      </c>
      <c r="L413" s="16" t="s">
        <v>29</v>
      </c>
      <c r="M413" s="16">
        <f t="shared" si="38"/>
        <v>-1.4206794051461267</v>
      </c>
      <c r="N413">
        <f t="shared" si="39"/>
        <v>0</v>
      </c>
      <c r="O413">
        <f t="shared" si="40"/>
        <v>0</v>
      </c>
      <c r="P413">
        <f t="shared" si="37"/>
        <v>3650</v>
      </c>
      <c r="Q413">
        <f t="shared" si="41"/>
        <v>3650</v>
      </c>
      <c r="T413" s="16">
        <f t="shared" si="42"/>
        <v>-1.4206794051461269</v>
      </c>
    </row>
    <row r="414" spans="7:20" ht="14.4" x14ac:dyDescent="0.25">
      <c r="G414" s="10">
        <v>6439</v>
      </c>
      <c r="H414" s="9">
        <v>45766</v>
      </c>
      <c r="I414" s="14">
        <f>DATE(2012,12,31)-969</f>
        <v>40305</v>
      </c>
      <c r="J414" s="15" t="s">
        <v>17</v>
      </c>
      <c r="K414" s="9">
        <v>37</v>
      </c>
      <c r="L414" s="16" t="s">
        <v>29</v>
      </c>
      <c r="M414" s="16">
        <f t="shared" si="38"/>
        <v>0.78923344666895934</v>
      </c>
      <c r="N414">
        <f t="shared" si="39"/>
        <v>0</v>
      </c>
      <c r="O414">
        <f t="shared" si="40"/>
        <v>0</v>
      </c>
      <c r="P414">
        <f t="shared" si="37"/>
        <v>5250</v>
      </c>
      <c r="Q414">
        <f t="shared" si="41"/>
        <v>5250</v>
      </c>
      <c r="T414" s="16">
        <f t="shared" si="42"/>
        <v>0.789233446668959</v>
      </c>
    </row>
    <row r="415" spans="7:20" ht="14.4" x14ac:dyDescent="0.25">
      <c r="G415" s="10">
        <v>6440</v>
      </c>
      <c r="H415" s="9">
        <v>45766</v>
      </c>
      <c r="I415" s="14">
        <f>DATE(2012,12,31)-969</f>
        <v>40305</v>
      </c>
      <c r="J415" s="15" t="s">
        <v>17</v>
      </c>
      <c r="K415" s="9">
        <v>28</v>
      </c>
      <c r="L415" s="16" t="s">
        <v>27</v>
      </c>
      <c r="M415" s="16">
        <f t="shared" si="38"/>
        <v>0.16769545709596645</v>
      </c>
      <c r="N415">
        <f t="shared" si="39"/>
        <v>0</v>
      </c>
      <c r="O415">
        <f t="shared" si="40"/>
        <v>0</v>
      </c>
      <c r="P415">
        <f t="shared" si="37"/>
        <v>4800</v>
      </c>
      <c r="Q415">
        <f t="shared" si="41"/>
        <v>4800</v>
      </c>
      <c r="T415" s="16">
        <f t="shared" si="42"/>
        <v>0.16769545709596606</v>
      </c>
    </row>
    <row r="416" spans="7:20" ht="14.4" x14ac:dyDescent="0.25">
      <c r="G416" s="10">
        <v>6446</v>
      </c>
      <c r="H416" s="9">
        <v>45861</v>
      </c>
      <c r="I416" s="14">
        <f>DATE(2012,12,31)-494</f>
        <v>40780</v>
      </c>
      <c r="J416" s="15" t="s">
        <v>16</v>
      </c>
      <c r="K416" s="9">
        <v>39</v>
      </c>
      <c r="L416" s="16" t="s">
        <v>27</v>
      </c>
      <c r="M416" s="16">
        <f t="shared" si="38"/>
        <v>0.92735299990740228</v>
      </c>
      <c r="N416">
        <f t="shared" si="39"/>
        <v>0</v>
      </c>
      <c r="O416">
        <f t="shared" si="40"/>
        <v>0</v>
      </c>
      <c r="P416">
        <f t="shared" si="37"/>
        <v>5350</v>
      </c>
      <c r="Q416">
        <f t="shared" si="41"/>
        <v>5350</v>
      </c>
      <c r="T416" s="16">
        <f t="shared" si="42"/>
        <v>0.92735299990740183</v>
      </c>
    </row>
    <row r="417" spans="7:20" ht="14.4" x14ac:dyDescent="0.25">
      <c r="G417" s="10">
        <v>6450</v>
      </c>
      <c r="H417" s="9">
        <v>45957</v>
      </c>
      <c r="I417" s="14">
        <f>DATE(2012,12,31)-832</f>
        <v>40442</v>
      </c>
      <c r="J417" s="15" t="s">
        <v>30</v>
      </c>
      <c r="K417" s="9">
        <v>20</v>
      </c>
      <c r="L417" s="16" t="s">
        <v>27</v>
      </c>
      <c r="M417" s="16">
        <f t="shared" si="38"/>
        <v>-0.38478275585780503</v>
      </c>
      <c r="N417">
        <f t="shared" si="39"/>
        <v>0</v>
      </c>
      <c r="O417">
        <f t="shared" si="40"/>
        <v>0</v>
      </c>
      <c r="P417">
        <f t="shared" si="37"/>
        <v>4400</v>
      </c>
      <c r="Q417">
        <f t="shared" si="41"/>
        <v>4400</v>
      </c>
      <c r="T417" s="16">
        <f t="shared" si="42"/>
        <v>-0.38478275585780541</v>
      </c>
    </row>
    <row r="418" spans="7:20" ht="14.4" x14ac:dyDescent="0.25">
      <c r="G418" s="10">
        <v>6451</v>
      </c>
      <c r="H418" s="9">
        <v>45957</v>
      </c>
      <c r="I418" s="14">
        <f>DATE(2012,12,31)-832</f>
        <v>40442</v>
      </c>
      <c r="J418" s="15" t="s">
        <v>30</v>
      </c>
      <c r="K418" s="9">
        <v>19</v>
      </c>
      <c r="L418" s="16" t="s">
        <v>26</v>
      </c>
      <c r="M418" s="16">
        <f t="shared" si="38"/>
        <v>-0.45384253247702649</v>
      </c>
      <c r="N418">
        <f t="shared" si="39"/>
        <v>0</v>
      </c>
      <c r="O418">
        <f t="shared" si="40"/>
        <v>0</v>
      </c>
      <c r="P418">
        <f t="shared" si="37"/>
        <v>4350</v>
      </c>
      <c r="Q418">
        <f t="shared" si="41"/>
        <v>4350</v>
      </c>
      <c r="T418" s="16">
        <f t="shared" si="42"/>
        <v>-0.45384253247702688</v>
      </c>
    </row>
    <row r="419" spans="7:20" ht="14.4" x14ac:dyDescent="0.25">
      <c r="G419" s="10">
        <v>6591</v>
      </c>
      <c r="H419" s="9">
        <v>46912</v>
      </c>
      <c r="I419" s="14">
        <f>DATE(2012,12,31)-184</f>
        <v>41090</v>
      </c>
      <c r="J419" s="15" t="s">
        <v>25</v>
      </c>
      <c r="K419" s="9">
        <v>5</v>
      </c>
      <c r="L419" s="16" t="s">
        <v>29</v>
      </c>
      <c r="M419" s="16">
        <f t="shared" si="38"/>
        <v>-1.4206794051461267</v>
      </c>
      <c r="N419">
        <f t="shared" si="39"/>
        <v>0</v>
      </c>
      <c r="O419">
        <f t="shared" si="40"/>
        <v>0</v>
      </c>
      <c r="P419">
        <f t="shared" si="37"/>
        <v>3650</v>
      </c>
      <c r="Q419">
        <f t="shared" si="41"/>
        <v>3650</v>
      </c>
      <c r="T419" s="16">
        <f t="shared" si="42"/>
        <v>-1.4206794051461269</v>
      </c>
    </row>
    <row r="420" spans="7:20" ht="14.4" x14ac:dyDescent="0.25">
      <c r="G420" s="10">
        <v>6603</v>
      </c>
      <c r="H420" s="9">
        <v>46980</v>
      </c>
      <c r="I420" s="14">
        <f>DATE(2012,12,31)-714</f>
        <v>40560</v>
      </c>
      <c r="J420" s="15" t="s">
        <v>30</v>
      </c>
      <c r="K420" s="9">
        <v>34</v>
      </c>
      <c r="L420" s="16" t="s">
        <v>26</v>
      </c>
      <c r="M420" s="16">
        <f t="shared" si="38"/>
        <v>0.58205411681129504</v>
      </c>
      <c r="N420">
        <f t="shared" si="39"/>
        <v>0</v>
      </c>
      <c r="O420">
        <f t="shared" si="40"/>
        <v>0</v>
      </c>
      <c r="P420">
        <f t="shared" si="37"/>
        <v>5100</v>
      </c>
      <c r="Q420">
        <f t="shared" si="41"/>
        <v>5100</v>
      </c>
      <c r="T420" s="16">
        <f t="shared" si="42"/>
        <v>0.58205411681129471</v>
      </c>
    </row>
    <row r="421" spans="7:20" ht="14.4" x14ac:dyDescent="0.25">
      <c r="G421" s="10">
        <v>6665</v>
      </c>
      <c r="H421" s="9">
        <v>47460</v>
      </c>
      <c r="I421" s="14">
        <f>DATE(2012,12,31)-813</f>
        <v>40461</v>
      </c>
      <c r="J421" s="15" t="s">
        <v>30</v>
      </c>
      <c r="K421" s="9">
        <v>12</v>
      </c>
      <c r="L421" s="16" t="s">
        <v>26</v>
      </c>
      <c r="M421" s="16">
        <f t="shared" si="38"/>
        <v>-0.9372609688115765</v>
      </c>
      <c r="N421">
        <f t="shared" si="39"/>
        <v>0</v>
      </c>
      <c r="O421">
        <f t="shared" si="40"/>
        <v>0</v>
      </c>
      <c r="P421">
        <f t="shared" si="37"/>
        <v>4000</v>
      </c>
      <c r="Q421">
        <f t="shared" si="41"/>
        <v>4000</v>
      </c>
      <c r="T421" s="16">
        <f t="shared" si="42"/>
        <v>-0.93726096881157694</v>
      </c>
    </row>
    <row r="422" spans="7:20" ht="14.4" x14ac:dyDescent="0.25">
      <c r="G422" s="10">
        <v>6669</v>
      </c>
      <c r="H422" s="9">
        <v>47462</v>
      </c>
      <c r="I422" s="14">
        <f>DATE(2012,12,31)-571</f>
        <v>40703</v>
      </c>
      <c r="J422" s="15" t="s">
        <v>17</v>
      </c>
      <c r="K422" s="9">
        <v>43</v>
      </c>
      <c r="L422" s="16" t="s">
        <v>26</v>
      </c>
      <c r="M422" s="16">
        <f t="shared" si="38"/>
        <v>1.203592106384288</v>
      </c>
      <c r="N422">
        <f t="shared" si="39"/>
        <v>0</v>
      </c>
      <c r="O422">
        <f t="shared" si="40"/>
        <v>0</v>
      </c>
      <c r="P422">
        <f t="shared" si="37"/>
        <v>5550</v>
      </c>
      <c r="Q422">
        <f t="shared" si="41"/>
        <v>5550</v>
      </c>
      <c r="T422" s="16">
        <f t="shared" si="42"/>
        <v>1.2035921063842876</v>
      </c>
    </row>
    <row r="423" spans="7:20" ht="14.4" x14ac:dyDescent="0.25">
      <c r="G423" s="10">
        <v>6670</v>
      </c>
      <c r="H423" s="9">
        <v>47462</v>
      </c>
      <c r="I423" s="14">
        <f>DATE(2012,12,31)-571</f>
        <v>40703</v>
      </c>
      <c r="J423" s="15" t="s">
        <v>17</v>
      </c>
      <c r="K423" s="9">
        <v>18</v>
      </c>
      <c r="L423" s="16" t="s">
        <v>26</v>
      </c>
      <c r="M423" s="16">
        <f t="shared" si="38"/>
        <v>-0.52290230909624791</v>
      </c>
      <c r="N423">
        <f t="shared" si="39"/>
        <v>0</v>
      </c>
      <c r="O423">
        <f t="shared" si="40"/>
        <v>0</v>
      </c>
      <c r="P423">
        <f t="shared" si="37"/>
        <v>4300</v>
      </c>
      <c r="Q423">
        <f t="shared" si="41"/>
        <v>4300</v>
      </c>
      <c r="T423" s="16">
        <f t="shared" si="42"/>
        <v>-0.52290230909624835</v>
      </c>
    </row>
    <row r="424" spans="7:20" ht="14.4" x14ac:dyDescent="0.25">
      <c r="G424" s="10">
        <v>6671</v>
      </c>
      <c r="H424" s="9">
        <v>47462</v>
      </c>
      <c r="I424" s="14">
        <f>DATE(2012,12,31)-571</f>
        <v>40703</v>
      </c>
      <c r="J424" s="15" t="s">
        <v>17</v>
      </c>
      <c r="K424" s="9">
        <v>41</v>
      </c>
      <c r="L424" s="16" t="s">
        <v>26</v>
      </c>
      <c r="M424" s="16">
        <f t="shared" si="38"/>
        <v>1.0654725531458451</v>
      </c>
      <c r="N424">
        <f t="shared" si="39"/>
        <v>0</v>
      </c>
      <c r="O424">
        <f t="shared" si="40"/>
        <v>0</v>
      </c>
      <c r="P424">
        <f t="shared" si="37"/>
        <v>5450</v>
      </c>
      <c r="Q424">
        <f t="shared" si="41"/>
        <v>5450</v>
      </c>
      <c r="T424" s="16">
        <f t="shared" si="42"/>
        <v>1.0654725531458447</v>
      </c>
    </row>
    <row r="425" spans="7:20" ht="14.4" x14ac:dyDescent="0.25">
      <c r="G425" s="10">
        <v>6692</v>
      </c>
      <c r="H425" s="9">
        <v>47620</v>
      </c>
      <c r="I425" s="14">
        <f>DATE(2012,12,31)-188</f>
        <v>41086</v>
      </c>
      <c r="J425" s="15" t="s">
        <v>25</v>
      </c>
      <c r="K425" s="9">
        <v>27</v>
      </c>
      <c r="L425" s="16" t="s">
        <v>26</v>
      </c>
      <c r="M425" s="16">
        <f t="shared" si="38"/>
        <v>9.8635680476745008E-2</v>
      </c>
      <c r="N425">
        <f t="shared" si="39"/>
        <v>0</v>
      </c>
      <c r="O425">
        <f t="shared" si="40"/>
        <v>0</v>
      </c>
      <c r="P425">
        <f t="shared" si="37"/>
        <v>4750</v>
      </c>
      <c r="Q425">
        <f t="shared" si="41"/>
        <v>4750</v>
      </c>
      <c r="T425" s="16">
        <f t="shared" si="42"/>
        <v>9.8635680476744619E-2</v>
      </c>
    </row>
    <row r="426" spans="7:20" ht="14.4" x14ac:dyDescent="0.25">
      <c r="G426" s="10">
        <v>6704</v>
      </c>
      <c r="H426" s="9">
        <v>47749</v>
      </c>
      <c r="I426" s="14">
        <f>DATE(2012,12,31)-1021</f>
        <v>40253</v>
      </c>
      <c r="J426" s="15" t="s">
        <v>16</v>
      </c>
      <c r="K426" s="9">
        <v>46</v>
      </c>
      <c r="L426" s="16" t="s">
        <v>26</v>
      </c>
      <c r="M426" s="16">
        <f t="shared" si="38"/>
        <v>1.4107714362419523</v>
      </c>
      <c r="N426">
        <f t="shared" si="39"/>
        <v>0</v>
      </c>
      <c r="O426">
        <f t="shared" si="40"/>
        <v>0</v>
      </c>
      <c r="P426">
        <f t="shared" si="37"/>
        <v>5700</v>
      </c>
      <c r="Q426">
        <f t="shared" si="41"/>
        <v>5700</v>
      </c>
      <c r="T426" s="16">
        <f t="shared" si="42"/>
        <v>1.4107714362419519</v>
      </c>
    </row>
    <row r="427" spans="7:20" ht="14.4" x14ac:dyDescent="0.25">
      <c r="G427" s="10">
        <v>6721</v>
      </c>
      <c r="H427" s="9">
        <v>47873</v>
      </c>
      <c r="I427" s="14">
        <f>DATE(2012,12,31)-779</f>
        <v>40495</v>
      </c>
      <c r="J427" s="15" t="s">
        <v>30</v>
      </c>
      <c r="K427" s="9">
        <v>8</v>
      </c>
      <c r="L427" s="16" t="s">
        <v>29</v>
      </c>
      <c r="M427" s="16">
        <f t="shared" si="38"/>
        <v>-1.2135000752884624</v>
      </c>
      <c r="N427">
        <f t="shared" si="39"/>
        <v>0</v>
      </c>
      <c r="O427">
        <f t="shared" si="40"/>
        <v>0</v>
      </c>
      <c r="P427">
        <f t="shared" si="37"/>
        <v>3800</v>
      </c>
      <c r="Q427">
        <f t="shared" si="41"/>
        <v>3800</v>
      </c>
      <c r="T427" s="16">
        <f t="shared" si="42"/>
        <v>-1.2135000752884626</v>
      </c>
    </row>
    <row r="428" spans="7:20" ht="14.4" x14ac:dyDescent="0.25">
      <c r="G428" s="10">
        <v>6736</v>
      </c>
      <c r="H428" s="9">
        <v>47943</v>
      </c>
      <c r="I428" s="14">
        <f>DATE(2012,12,31)-1143</f>
        <v>40131</v>
      </c>
      <c r="J428" s="15" t="s">
        <v>16</v>
      </c>
      <c r="K428" s="9">
        <v>12</v>
      </c>
      <c r="L428" s="16" t="s">
        <v>26</v>
      </c>
      <c r="M428" s="16">
        <f t="shared" si="38"/>
        <v>-0.9372609688115765</v>
      </c>
      <c r="N428">
        <f t="shared" si="39"/>
        <v>0</v>
      </c>
      <c r="O428">
        <f t="shared" si="40"/>
        <v>0</v>
      </c>
      <c r="P428">
        <f t="shared" si="37"/>
        <v>4000</v>
      </c>
      <c r="Q428">
        <f t="shared" si="41"/>
        <v>4000</v>
      </c>
      <c r="T428" s="16">
        <f t="shared" si="42"/>
        <v>-0.93726096881157694</v>
      </c>
    </row>
    <row r="429" spans="7:20" ht="14.4" x14ac:dyDescent="0.25">
      <c r="G429" s="10">
        <v>6737</v>
      </c>
      <c r="H429" s="9">
        <v>47943</v>
      </c>
      <c r="I429" s="14">
        <f>DATE(2012,12,31)-1143</f>
        <v>40131</v>
      </c>
      <c r="J429" s="15" t="s">
        <v>16</v>
      </c>
      <c r="K429" s="9">
        <v>48</v>
      </c>
      <c r="L429" s="16" t="s">
        <v>26</v>
      </c>
      <c r="M429" s="16">
        <f t="shared" si="38"/>
        <v>1.5488909894803951</v>
      </c>
      <c r="N429">
        <f t="shared" si="39"/>
        <v>0</v>
      </c>
      <c r="O429">
        <f t="shared" si="40"/>
        <v>0</v>
      </c>
      <c r="P429">
        <f t="shared" si="37"/>
        <v>5800</v>
      </c>
      <c r="Q429">
        <f t="shared" si="41"/>
        <v>5800</v>
      </c>
      <c r="T429" s="16">
        <f t="shared" si="42"/>
        <v>1.5488909894803948</v>
      </c>
    </row>
    <row r="430" spans="7:20" ht="14.4" x14ac:dyDescent="0.25">
      <c r="G430" s="10">
        <v>6754</v>
      </c>
      <c r="H430" s="9">
        <v>48101</v>
      </c>
      <c r="I430" s="14">
        <f>DATE(2012,12,31)-476</f>
        <v>40798</v>
      </c>
      <c r="J430" s="15" t="s">
        <v>17</v>
      </c>
      <c r="K430" s="9">
        <v>4</v>
      </c>
      <c r="L430" s="16" t="s">
        <v>26</v>
      </c>
      <c r="M430" s="16">
        <f t="shared" si="38"/>
        <v>-1.489739181765348</v>
      </c>
      <c r="N430">
        <f t="shared" si="39"/>
        <v>0</v>
      </c>
      <c r="O430">
        <f t="shared" si="40"/>
        <v>0</v>
      </c>
      <c r="P430">
        <f t="shared" si="37"/>
        <v>3600</v>
      </c>
      <c r="Q430">
        <f t="shared" si="41"/>
        <v>3600</v>
      </c>
      <c r="T430" s="16">
        <f t="shared" si="42"/>
        <v>-1.4897391817653485</v>
      </c>
    </row>
    <row r="431" spans="7:20" ht="14.4" x14ac:dyDescent="0.25">
      <c r="G431" s="10">
        <v>6783</v>
      </c>
      <c r="H431" s="9">
        <v>48295</v>
      </c>
      <c r="I431" s="14">
        <f>DATE(2012,12,31)-1134</f>
        <v>40140</v>
      </c>
      <c r="J431" s="15" t="s">
        <v>16</v>
      </c>
      <c r="K431" s="9">
        <v>48</v>
      </c>
      <c r="L431" s="16" t="s">
        <v>27</v>
      </c>
      <c r="M431" s="16">
        <f t="shared" si="38"/>
        <v>1.5488909894803951</v>
      </c>
      <c r="N431">
        <f t="shared" si="39"/>
        <v>0</v>
      </c>
      <c r="O431">
        <f t="shared" si="40"/>
        <v>0</v>
      </c>
      <c r="P431">
        <f t="shared" si="37"/>
        <v>5800</v>
      </c>
      <c r="Q431">
        <f t="shared" si="41"/>
        <v>5800</v>
      </c>
      <c r="T431" s="16">
        <f t="shared" si="42"/>
        <v>1.5488909894803948</v>
      </c>
    </row>
    <row r="432" spans="7:20" ht="14.4" x14ac:dyDescent="0.25">
      <c r="G432" s="10">
        <v>6858</v>
      </c>
      <c r="H432" s="9">
        <v>48839</v>
      </c>
      <c r="I432" s="14">
        <f>DATE(2012,12,31)-905</f>
        <v>40369</v>
      </c>
      <c r="J432" s="15" t="s">
        <v>30</v>
      </c>
      <c r="K432" s="9">
        <v>1</v>
      </c>
      <c r="L432" s="16" t="s">
        <v>26</v>
      </c>
      <c r="M432" s="16">
        <f t="shared" si="38"/>
        <v>-1.6969185116230123</v>
      </c>
      <c r="N432">
        <f t="shared" si="39"/>
        <v>0</v>
      </c>
      <c r="O432">
        <f t="shared" si="40"/>
        <v>0</v>
      </c>
      <c r="P432">
        <f t="shared" si="37"/>
        <v>3450</v>
      </c>
      <c r="Q432">
        <f t="shared" si="41"/>
        <v>3450</v>
      </c>
      <c r="T432" s="16">
        <f t="shared" si="42"/>
        <v>-1.6969185116230128</v>
      </c>
    </row>
    <row r="433" spans="7:20" ht="14.4" x14ac:dyDescent="0.25">
      <c r="G433" s="10">
        <v>6894</v>
      </c>
      <c r="H433" s="9">
        <v>49154</v>
      </c>
      <c r="I433" s="14">
        <f>DATE(2012,12,31)-1396</f>
        <v>39878</v>
      </c>
      <c r="J433" s="15" t="s">
        <v>16</v>
      </c>
      <c r="K433" s="9">
        <v>26</v>
      </c>
      <c r="L433" s="16" t="s">
        <v>26</v>
      </c>
      <c r="M433" s="16">
        <f t="shared" si="38"/>
        <v>2.9575903857523567E-2</v>
      </c>
      <c r="N433">
        <f t="shared" si="39"/>
        <v>0</v>
      </c>
      <c r="O433">
        <f t="shared" si="40"/>
        <v>0</v>
      </c>
      <c r="P433">
        <f t="shared" si="37"/>
        <v>4700</v>
      </c>
      <c r="Q433">
        <f t="shared" si="41"/>
        <v>4700</v>
      </c>
      <c r="T433" s="16">
        <f t="shared" si="42"/>
        <v>2.9575903857523185E-2</v>
      </c>
    </row>
    <row r="434" spans="7:20" ht="14.4" x14ac:dyDescent="0.25">
      <c r="G434" s="10">
        <v>6983</v>
      </c>
      <c r="H434" s="9">
        <v>49921</v>
      </c>
      <c r="I434" s="14">
        <f>DATE(2012,12,31)-683</f>
        <v>40591</v>
      </c>
      <c r="J434" s="15" t="s">
        <v>25</v>
      </c>
      <c r="K434" s="9">
        <v>5</v>
      </c>
      <c r="L434" s="16" t="s">
        <v>27</v>
      </c>
      <c r="M434" s="16">
        <f t="shared" si="38"/>
        <v>-1.4206794051461267</v>
      </c>
      <c r="N434">
        <f t="shared" si="39"/>
        <v>0</v>
      </c>
      <c r="O434">
        <f t="shared" si="40"/>
        <v>0</v>
      </c>
      <c r="P434">
        <f t="shared" si="37"/>
        <v>3650</v>
      </c>
      <c r="Q434">
        <f t="shared" si="41"/>
        <v>3650</v>
      </c>
      <c r="T434" s="16">
        <f t="shared" si="42"/>
        <v>-1.4206794051461269</v>
      </c>
    </row>
    <row r="435" spans="7:20" ht="14.4" x14ac:dyDescent="0.25">
      <c r="G435" s="10">
        <v>6984</v>
      </c>
      <c r="H435" s="9">
        <v>49921</v>
      </c>
      <c r="I435" s="14">
        <f>DATE(2012,12,31)-683</f>
        <v>40591</v>
      </c>
      <c r="J435" s="15" t="s">
        <v>25</v>
      </c>
      <c r="K435" s="9">
        <v>1</v>
      </c>
      <c r="L435" s="16" t="s">
        <v>26</v>
      </c>
      <c r="M435" s="16">
        <f t="shared" si="38"/>
        <v>-1.6969185116230123</v>
      </c>
      <c r="N435">
        <f t="shared" si="39"/>
        <v>0</v>
      </c>
      <c r="O435">
        <f t="shared" si="40"/>
        <v>0</v>
      </c>
      <c r="P435">
        <f t="shared" si="37"/>
        <v>3450</v>
      </c>
      <c r="Q435">
        <f t="shared" si="41"/>
        <v>3450</v>
      </c>
      <c r="T435" s="16">
        <f t="shared" si="42"/>
        <v>-1.6969185116230128</v>
      </c>
    </row>
    <row r="436" spans="7:20" ht="14.4" x14ac:dyDescent="0.25">
      <c r="G436" s="10">
        <v>6991</v>
      </c>
      <c r="H436" s="9">
        <v>49952</v>
      </c>
      <c r="I436" s="14">
        <f>DATE(2012,12,31)-408</f>
        <v>40866</v>
      </c>
      <c r="J436" s="15" t="s">
        <v>17</v>
      </c>
      <c r="K436" s="9">
        <v>12</v>
      </c>
      <c r="L436" s="16" t="s">
        <v>29</v>
      </c>
      <c r="M436" s="16">
        <f t="shared" si="38"/>
        <v>-0.9372609688115765</v>
      </c>
      <c r="N436">
        <f t="shared" si="39"/>
        <v>0</v>
      </c>
      <c r="O436">
        <f t="shared" si="40"/>
        <v>0</v>
      </c>
      <c r="P436">
        <f t="shared" si="37"/>
        <v>4000</v>
      </c>
      <c r="Q436">
        <f t="shared" si="41"/>
        <v>4000</v>
      </c>
      <c r="T436" s="16">
        <f t="shared" si="42"/>
        <v>-0.93726096881157694</v>
      </c>
    </row>
    <row r="437" spans="7:20" ht="14.4" x14ac:dyDescent="0.25">
      <c r="G437" s="10">
        <v>7021</v>
      </c>
      <c r="H437" s="9">
        <v>50117</v>
      </c>
      <c r="I437" s="14">
        <f>DATE(2012,12,31)-577</f>
        <v>40697</v>
      </c>
      <c r="J437" s="15" t="s">
        <v>30</v>
      </c>
      <c r="K437" s="9">
        <v>17</v>
      </c>
      <c r="L437" s="16" t="s">
        <v>26</v>
      </c>
      <c r="M437" s="16">
        <f t="shared" si="38"/>
        <v>-0.59196208571546938</v>
      </c>
      <c r="N437">
        <f t="shared" si="39"/>
        <v>0</v>
      </c>
      <c r="O437">
        <f t="shared" si="40"/>
        <v>0</v>
      </c>
      <c r="P437">
        <f t="shared" si="37"/>
        <v>4250</v>
      </c>
      <c r="Q437">
        <f t="shared" si="41"/>
        <v>4250</v>
      </c>
      <c r="T437" s="16">
        <f t="shared" si="42"/>
        <v>-0.59196208571546971</v>
      </c>
    </row>
    <row r="438" spans="7:20" ht="14.4" x14ac:dyDescent="0.25">
      <c r="G438" s="10">
        <v>7042</v>
      </c>
      <c r="H438" s="9">
        <v>50278</v>
      </c>
      <c r="I438" s="14">
        <f>DATE(2012,12,31)-951</f>
        <v>40323</v>
      </c>
      <c r="J438" s="15" t="s">
        <v>17</v>
      </c>
      <c r="K438" s="9">
        <v>2</v>
      </c>
      <c r="L438" s="16" t="s">
        <v>26</v>
      </c>
      <c r="M438" s="16">
        <f t="shared" si="38"/>
        <v>-1.627858735003791</v>
      </c>
      <c r="N438">
        <f t="shared" si="39"/>
        <v>0</v>
      </c>
      <c r="O438">
        <f t="shared" si="40"/>
        <v>0</v>
      </c>
      <c r="P438">
        <f t="shared" si="37"/>
        <v>3500</v>
      </c>
      <c r="Q438">
        <f t="shared" si="41"/>
        <v>3500</v>
      </c>
      <c r="T438" s="16">
        <f t="shared" si="42"/>
        <v>-1.6278587350037912</v>
      </c>
    </row>
    <row r="439" spans="7:20" ht="14.4" x14ac:dyDescent="0.25">
      <c r="G439" s="10">
        <v>7043</v>
      </c>
      <c r="H439" s="9">
        <v>50278</v>
      </c>
      <c r="I439" s="14">
        <f>DATE(2012,12,31)-951</f>
        <v>40323</v>
      </c>
      <c r="J439" s="15" t="s">
        <v>17</v>
      </c>
      <c r="K439" s="9">
        <v>20</v>
      </c>
      <c r="L439" s="16" t="s">
        <v>29</v>
      </c>
      <c r="M439" s="16">
        <f t="shared" si="38"/>
        <v>-0.38478275585780503</v>
      </c>
      <c r="N439">
        <f t="shared" si="39"/>
        <v>0</v>
      </c>
      <c r="O439">
        <f t="shared" si="40"/>
        <v>0</v>
      </c>
      <c r="P439">
        <f t="shared" si="37"/>
        <v>4400</v>
      </c>
      <c r="Q439">
        <f t="shared" si="41"/>
        <v>4400</v>
      </c>
      <c r="T439" s="16">
        <f t="shared" si="42"/>
        <v>-0.38478275585780541</v>
      </c>
    </row>
    <row r="440" spans="7:20" ht="14.4" x14ac:dyDescent="0.25">
      <c r="G440" s="10">
        <v>7060</v>
      </c>
      <c r="H440" s="9">
        <v>50374</v>
      </c>
      <c r="I440" s="14">
        <f>DATE(2012,12,31)-1311</f>
        <v>39963</v>
      </c>
      <c r="J440" s="15" t="s">
        <v>28</v>
      </c>
      <c r="K440" s="9">
        <v>30</v>
      </c>
      <c r="L440" s="16" t="s">
        <v>26</v>
      </c>
      <c r="M440" s="16">
        <f t="shared" si="38"/>
        <v>0.30581501033440933</v>
      </c>
      <c r="N440">
        <f t="shared" si="39"/>
        <v>0</v>
      </c>
      <c r="O440">
        <f t="shared" si="40"/>
        <v>0</v>
      </c>
      <c r="P440">
        <f t="shared" si="37"/>
        <v>4900</v>
      </c>
      <c r="Q440">
        <f t="shared" si="41"/>
        <v>4900</v>
      </c>
      <c r="T440" s="16">
        <f t="shared" si="42"/>
        <v>0.30581501033440894</v>
      </c>
    </row>
    <row r="441" spans="7:20" ht="14.4" x14ac:dyDescent="0.25">
      <c r="G441" s="10">
        <v>7087</v>
      </c>
      <c r="H441" s="9">
        <v>50565</v>
      </c>
      <c r="I441" s="14">
        <f>DATE(2012,12,31)-123</f>
        <v>41151</v>
      </c>
      <c r="J441" s="15" t="s">
        <v>17</v>
      </c>
      <c r="K441" s="9">
        <v>43</v>
      </c>
      <c r="L441" s="16" t="s">
        <v>26</v>
      </c>
      <c r="M441" s="16">
        <f t="shared" si="38"/>
        <v>1.203592106384288</v>
      </c>
      <c r="N441">
        <f t="shared" si="39"/>
        <v>0</v>
      </c>
      <c r="O441">
        <f t="shared" si="40"/>
        <v>0</v>
      </c>
      <c r="P441">
        <f t="shared" si="37"/>
        <v>5550</v>
      </c>
      <c r="Q441">
        <f t="shared" si="41"/>
        <v>5550</v>
      </c>
      <c r="T441" s="16">
        <f t="shared" si="42"/>
        <v>1.2035921063842876</v>
      </c>
    </row>
    <row r="442" spans="7:20" ht="14.4" x14ac:dyDescent="0.25">
      <c r="G442" s="10">
        <v>7103</v>
      </c>
      <c r="H442" s="9">
        <v>50688</v>
      </c>
      <c r="I442" s="14">
        <f>DATE(2012,12,31)-381</f>
        <v>40893</v>
      </c>
      <c r="J442" s="15" t="s">
        <v>30</v>
      </c>
      <c r="K442" s="9">
        <v>50</v>
      </c>
      <c r="L442" s="16" t="s">
        <v>26</v>
      </c>
      <c r="M442" s="16">
        <f t="shared" si="38"/>
        <v>1.687010542718838</v>
      </c>
      <c r="N442">
        <f t="shared" si="39"/>
        <v>0</v>
      </c>
      <c r="O442">
        <f t="shared" si="40"/>
        <v>0</v>
      </c>
      <c r="P442">
        <f t="shared" si="37"/>
        <v>5900</v>
      </c>
      <c r="Q442">
        <f t="shared" si="41"/>
        <v>5900</v>
      </c>
      <c r="T442" s="16">
        <f t="shared" si="42"/>
        <v>1.6870105427188375</v>
      </c>
    </row>
    <row r="443" spans="7:20" ht="14.4" x14ac:dyDescent="0.25">
      <c r="G443" s="10">
        <v>7111</v>
      </c>
      <c r="H443" s="9">
        <v>50754</v>
      </c>
      <c r="I443" s="14">
        <f>DATE(2012,12,31)-1118</f>
        <v>40156</v>
      </c>
      <c r="J443" s="15" t="s">
        <v>28</v>
      </c>
      <c r="K443" s="9">
        <v>9</v>
      </c>
      <c r="L443" s="16" t="s">
        <v>27</v>
      </c>
      <c r="M443" s="16">
        <f t="shared" si="38"/>
        <v>-1.1444402986692408</v>
      </c>
      <c r="N443">
        <f t="shared" si="39"/>
        <v>0</v>
      </c>
      <c r="O443">
        <f t="shared" si="40"/>
        <v>0</v>
      </c>
      <c r="P443">
        <f t="shared" si="37"/>
        <v>3850</v>
      </c>
      <c r="Q443">
        <f t="shared" si="41"/>
        <v>3850</v>
      </c>
      <c r="T443" s="16">
        <f t="shared" si="42"/>
        <v>-1.1444402986692412</v>
      </c>
    </row>
    <row r="444" spans="7:20" ht="14.4" x14ac:dyDescent="0.25">
      <c r="G444" s="10">
        <v>7136</v>
      </c>
      <c r="H444" s="9">
        <v>50914</v>
      </c>
      <c r="I444" s="14">
        <f>DATE(2012,12,31)-181</f>
        <v>41093</v>
      </c>
      <c r="J444" s="15" t="s">
        <v>30</v>
      </c>
      <c r="K444" s="9">
        <v>49</v>
      </c>
      <c r="L444" s="16" t="s">
        <v>27</v>
      </c>
      <c r="M444" s="16">
        <f t="shared" si="38"/>
        <v>1.6179507660996166</v>
      </c>
      <c r="N444">
        <f t="shared" si="39"/>
        <v>0</v>
      </c>
      <c r="O444">
        <f t="shared" si="40"/>
        <v>0</v>
      </c>
      <c r="P444">
        <f t="shared" si="37"/>
        <v>5850</v>
      </c>
      <c r="Q444">
        <f t="shared" si="41"/>
        <v>5850</v>
      </c>
      <c r="T444" s="16">
        <f t="shared" si="42"/>
        <v>1.6179507660996162</v>
      </c>
    </row>
    <row r="445" spans="7:20" ht="14.4" x14ac:dyDescent="0.25">
      <c r="G445" s="10">
        <v>7168</v>
      </c>
      <c r="H445" s="9">
        <v>51169</v>
      </c>
      <c r="I445" s="14">
        <f>DATE(2012,12,31)-738</f>
        <v>40536</v>
      </c>
      <c r="J445" s="15" t="s">
        <v>17</v>
      </c>
      <c r="K445" s="9">
        <v>2</v>
      </c>
      <c r="L445" s="16" t="s">
        <v>29</v>
      </c>
      <c r="M445" s="16">
        <f t="shared" si="38"/>
        <v>-1.627858735003791</v>
      </c>
      <c r="N445">
        <f t="shared" si="39"/>
        <v>0</v>
      </c>
      <c r="O445">
        <f t="shared" si="40"/>
        <v>0</v>
      </c>
      <c r="P445">
        <f t="shared" si="37"/>
        <v>3500</v>
      </c>
      <c r="Q445">
        <f t="shared" si="41"/>
        <v>3500</v>
      </c>
      <c r="T445" s="16">
        <f t="shared" si="42"/>
        <v>-1.6278587350037912</v>
      </c>
    </row>
    <row r="446" spans="7:20" ht="14.4" x14ac:dyDescent="0.25">
      <c r="G446" s="10">
        <v>7277</v>
      </c>
      <c r="H446" s="9">
        <v>51938</v>
      </c>
      <c r="I446" s="14">
        <f>DATE(2012,12,31)-594</f>
        <v>40680</v>
      </c>
      <c r="J446" s="15" t="s">
        <v>25</v>
      </c>
      <c r="K446" s="9">
        <v>5</v>
      </c>
      <c r="L446" s="16" t="s">
        <v>27</v>
      </c>
      <c r="M446" s="16">
        <f t="shared" si="38"/>
        <v>-1.4206794051461267</v>
      </c>
      <c r="N446">
        <f t="shared" si="39"/>
        <v>0</v>
      </c>
      <c r="O446">
        <f t="shared" si="40"/>
        <v>0</v>
      </c>
      <c r="P446">
        <f t="shared" si="37"/>
        <v>3650</v>
      </c>
      <c r="Q446">
        <f t="shared" si="41"/>
        <v>3650</v>
      </c>
      <c r="T446" s="16">
        <f t="shared" si="42"/>
        <v>-1.4206794051461269</v>
      </c>
    </row>
    <row r="447" spans="7:20" ht="14.4" x14ac:dyDescent="0.25">
      <c r="G447" s="10">
        <v>7285</v>
      </c>
      <c r="H447" s="9">
        <v>51970</v>
      </c>
      <c r="I447" s="14">
        <f>DATE(2012,12,31)-355</f>
        <v>40919</v>
      </c>
      <c r="J447" s="15" t="s">
        <v>28</v>
      </c>
      <c r="K447" s="9">
        <v>1</v>
      </c>
      <c r="L447" s="16" t="s">
        <v>27</v>
      </c>
      <c r="M447" s="16">
        <f t="shared" si="38"/>
        <v>-1.6969185116230123</v>
      </c>
      <c r="N447">
        <f t="shared" si="39"/>
        <v>0</v>
      </c>
      <c r="O447">
        <f t="shared" si="40"/>
        <v>0</v>
      </c>
      <c r="P447">
        <f t="shared" si="37"/>
        <v>3450</v>
      </c>
      <c r="Q447">
        <f t="shared" si="41"/>
        <v>3450</v>
      </c>
      <c r="T447" s="16">
        <f t="shared" si="42"/>
        <v>-1.6969185116230128</v>
      </c>
    </row>
    <row r="448" spans="7:20" ht="14.4" x14ac:dyDescent="0.25">
      <c r="G448" s="10">
        <v>7286</v>
      </c>
      <c r="H448" s="9">
        <v>51971</v>
      </c>
      <c r="I448" s="14">
        <f>DATE(2012,12,31)-455</f>
        <v>40819</v>
      </c>
      <c r="J448" s="15" t="s">
        <v>28</v>
      </c>
      <c r="K448" s="9">
        <v>39</v>
      </c>
      <c r="L448" s="16" t="s">
        <v>26</v>
      </c>
      <c r="M448" s="16">
        <f t="shared" si="38"/>
        <v>0.92735299990740228</v>
      </c>
      <c r="N448">
        <f t="shared" si="39"/>
        <v>0</v>
      </c>
      <c r="O448">
        <f t="shared" si="40"/>
        <v>0</v>
      </c>
      <c r="P448">
        <f t="shared" si="37"/>
        <v>5350</v>
      </c>
      <c r="Q448">
        <f t="shared" si="41"/>
        <v>5350</v>
      </c>
      <c r="T448" s="16">
        <f t="shared" si="42"/>
        <v>0.92735299990740183</v>
      </c>
    </row>
    <row r="449" spans="7:20" ht="14.4" x14ac:dyDescent="0.25">
      <c r="G449" s="10">
        <v>7287</v>
      </c>
      <c r="H449" s="9">
        <v>51971</v>
      </c>
      <c r="I449" s="14">
        <f>DATE(2012,12,31)-455</f>
        <v>40819</v>
      </c>
      <c r="J449" s="15" t="s">
        <v>28</v>
      </c>
      <c r="K449" s="9">
        <v>22</v>
      </c>
      <c r="L449" s="16" t="s">
        <v>29</v>
      </c>
      <c r="M449" s="16">
        <f t="shared" si="38"/>
        <v>-0.24666320261936217</v>
      </c>
      <c r="N449">
        <f t="shared" si="39"/>
        <v>0</v>
      </c>
      <c r="O449">
        <f t="shared" si="40"/>
        <v>0</v>
      </c>
      <c r="P449">
        <f t="shared" si="37"/>
        <v>4500</v>
      </c>
      <c r="Q449">
        <f t="shared" si="41"/>
        <v>4500</v>
      </c>
      <c r="T449" s="16">
        <f t="shared" si="42"/>
        <v>-0.24666320261936256</v>
      </c>
    </row>
    <row r="450" spans="7:20" ht="14.4" x14ac:dyDescent="0.25">
      <c r="G450" s="10">
        <v>7318</v>
      </c>
      <c r="H450" s="9">
        <v>52193</v>
      </c>
      <c r="I450" s="14">
        <f>DATE(2012,12,31)-1032</f>
        <v>40242</v>
      </c>
      <c r="J450" s="15" t="s">
        <v>28</v>
      </c>
      <c r="K450" s="9">
        <v>1</v>
      </c>
      <c r="L450" s="16" t="s">
        <v>26</v>
      </c>
      <c r="M450" s="16">
        <f t="shared" si="38"/>
        <v>-1.6969185116230123</v>
      </c>
      <c r="N450">
        <f t="shared" si="39"/>
        <v>0</v>
      </c>
      <c r="O450">
        <f t="shared" si="40"/>
        <v>0</v>
      </c>
      <c r="P450">
        <f t="shared" si="37"/>
        <v>3450</v>
      </c>
      <c r="Q450">
        <f t="shared" si="41"/>
        <v>3450</v>
      </c>
      <c r="T450" s="16">
        <f t="shared" si="42"/>
        <v>-1.6969185116230128</v>
      </c>
    </row>
    <row r="451" spans="7:20" ht="14.4" x14ac:dyDescent="0.25">
      <c r="G451" s="10">
        <v>7319</v>
      </c>
      <c r="H451" s="9">
        <v>52193</v>
      </c>
      <c r="I451" s="14">
        <f>DATE(2012,12,31)-1032</f>
        <v>40242</v>
      </c>
      <c r="J451" s="15" t="s">
        <v>28</v>
      </c>
      <c r="K451" s="9">
        <v>47</v>
      </c>
      <c r="L451" s="16" t="s">
        <v>26</v>
      </c>
      <c r="M451" s="16">
        <f t="shared" si="38"/>
        <v>1.4798312128611737</v>
      </c>
      <c r="N451">
        <f t="shared" si="39"/>
        <v>0</v>
      </c>
      <c r="O451">
        <f t="shared" si="40"/>
        <v>0</v>
      </c>
      <c r="P451">
        <f t="shared" si="37"/>
        <v>5750</v>
      </c>
      <c r="Q451">
        <f t="shared" si="41"/>
        <v>5750</v>
      </c>
      <c r="T451" s="16">
        <f t="shared" si="42"/>
        <v>1.4798312128611733</v>
      </c>
    </row>
    <row r="452" spans="7:20" ht="14.4" x14ac:dyDescent="0.25">
      <c r="G452" s="10">
        <v>7343</v>
      </c>
      <c r="H452" s="9">
        <v>52321</v>
      </c>
      <c r="I452" s="14">
        <f>DATE(2012,12,31)-422</f>
        <v>40852</v>
      </c>
      <c r="J452" s="15" t="s">
        <v>17</v>
      </c>
      <c r="K452" s="9">
        <v>48</v>
      </c>
      <c r="L452" s="16" t="s">
        <v>26</v>
      </c>
      <c r="M452" s="16">
        <f t="shared" si="38"/>
        <v>1.5488909894803951</v>
      </c>
      <c r="N452">
        <f t="shared" si="39"/>
        <v>0</v>
      </c>
      <c r="O452">
        <f t="shared" si="40"/>
        <v>0</v>
      </c>
      <c r="P452">
        <f t="shared" si="37"/>
        <v>5800</v>
      </c>
      <c r="Q452">
        <f t="shared" si="41"/>
        <v>5800</v>
      </c>
      <c r="T452" s="16">
        <f t="shared" si="42"/>
        <v>1.5488909894803948</v>
      </c>
    </row>
    <row r="453" spans="7:20" ht="14.4" x14ac:dyDescent="0.25">
      <c r="G453" s="10">
        <v>7344</v>
      </c>
      <c r="H453" s="9">
        <v>52321</v>
      </c>
      <c r="I453" s="14">
        <f>DATE(2012,12,31)-422</f>
        <v>40852</v>
      </c>
      <c r="J453" s="15" t="s">
        <v>17</v>
      </c>
      <c r="K453" s="9">
        <v>45</v>
      </c>
      <c r="L453" s="16" t="s">
        <v>29</v>
      </c>
      <c r="M453" s="16">
        <f t="shared" si="38"/>
        <v>1.3417116596227308</v>
      </c>
      <c r="N453">
        <f t="shared" si="39"/>
        <v>0</v>
      </c>
      <c r="O453">
        <f t="shared" si="40"/>
        <v>0</v>
      </c>
      <c r="P453">
        <f t="shared" si="37"/>
        <v>5650</v>
      </c>
      <c r="Q453">
        <f t="shared" si="41"/>
        <v>5650</v>
      </c>
      <c r="T453" s="16">
        <f t="shared" si="42"/>
        <v>1.3417116596227305</v>
      </c>
    </row>
    <row r="454" spans="7:20" ht="14.4" x14ac:dyDescent="0.25">
      <c r="G454" s="10">
        <v>7352</v>
      </c>
      <c r="H454" s="9">
        <v>52386</v>
      </c>
      <c r="I454" s="14">
        <f>DATE(2012,12,31)-1456</f>
        <v>39818</v>
      </c>
      <c r="J454" s="15" t="s">
        <v>17</v>
      </c>
      <c r="K454" s="9">
        <v>6</v>
      </c>
      <c r="L454" s="16" t="s">
        <v>27</v>
      </c>
      <c r="M454" s="16">
        <f t="shared" si="38"/>
        <v>-1.3516196285269051</v>
      </c>
      <c r="N454">
        <f t="shared" si="39"/>
        <v>0</v>
      </c>
      <c r="O454">
        <f t="shared" si="40"/>
        <v>0</v>
      </c>
      <c r="P454">
        <f t="shared" si="37"/>
        <v>3700</v>
      </c>
      <c r="Q454">
        <f t="shared" si="41"/>
        <v>3700</v>
      </c>
      <c r="T454" s="16">
        <f t="shared" si="42"/>
        <v>-1.3516196285269055</v>
      </c>
    </row>
    <row r="455" spans="7:20" ht="14.4" x14ac:dyDescent="0.25">
      <c r="G455" s="10">
        <v>7404</v>
      </c>
      <c r="H455" s="9">
        <v>52807</v>
      </c>
      <c r="I455" s="14">
        <f>DATE(2012,12,31)-767</f>
        <v>40507</v>
      </c>
      <c r="J455" s="15" t="s">
        <v>16</v>
      </c>
      <c r="K455" s="9">
        <v>28</v>
      </c>
      <c r="L455" s="16" t="s">
        <v>26</v>
      </c>
      <c r="M455" s="16">
        <f t="shared" si="38"/>
        <v>0.16769545709596645</v>
      </c>
      <c r="N455">
        <f t="shared" si="39"/>
        <v>0</v>
      </c>
      <c r="O455">
        <f t="shared" si="40"/>
        <v>0</v>
      </c>
      <c r="P455">
        <f t="shared" si="37"/>
        <v>4800</v>
      </c>
      <c r="Q455">
        <f t="shared" si="41"/>
        <v>4800</v>
      </c>
      <c r="T455" s="16">
        <f t="shared" si="42"/>
        <v>0.16769545709596606</v>
      </c>
    </row>
    <row r="456" spans="7:20" ht="14.4" x14ac:dyDescent="0.25">
      <c r="G456" s="10">
        <v>7419</v>
      </c>
      <c r="H456" s="9">
        <v>52929</v>
      </c>
      <c r="I456" s="14">
        <f>DATE(2012,12,31)-633</f>
        <v>40641</v>
      </c>
      <c r="J456" s="15" t="s">
        <v>17</v>
      </c>
      <c r="K456" s="9">
        <v>43</v>
      </c>
      <c r="L456" s="16" t="s">
        <v>27</v>
      </c>
      <c r="M456" s="16">
        <f t="shared" si="38"/>
        <v>1.203592106384288</v>
      </c>
      <c r="N456">
        <f t="shared" si="39"/>
        <v>0</v>
      </c>
      <c r="O456">
        <f t="shared" si="40"/>
        <v>0</v>
      </c>
      <c r="P456">
        <f t="shared" si="37"/>
        <v>5550</v>
      </c>
      <c r="Q456">
        <f t="shared" si="41"/>
        <v>5550</v>
      </c>
      <c r="T456" s="16">
        <f t="shared" si="42"/>
        <v>1.2035921063842876</v>
      </c>
    </row>
    <row r="457" spans="7:20" ht="14.4" x14ac:dyDescent="0.25">
      <c r="G457" s="10">
        <v>7420</v>
      </c>
      <c r="H457" s="9">
        <v>52929</v>
      </c>
      <c r="I457" s="14">
        <f>DATE(2012,12,31)-633</f>
        <v>40641</v>
      </c>
      <c r="J457" s="15" t="s">
        <v>17</v>
      </c>
      <c r="K457" s="9">
        <v>19</v>
      </c>
      <c r="L457" s="16" t="s">
        <v>26</v>
      </c>
      <c r="M457" s="16">
        <f t="shared" si="38"/>
        <v>-0.45384253247702649</v>
      </c>
      <c r="N457">
        <f t="shared" si="39"/>
        <v>0</v>
      </c>
      <c r="O457">
        <f t="shared" si="40"/>
        <v>0</v>
      </c>
      <c r="P457">
        <f t="shared" si="37"/>
        <v>4350</v>
      </c>
      <c r="Q457">
        <f t="shared" si="41"/>
        <v>4350</v>
      </c>
      <c r="T457" s="16">
        <f t="shared" si="42"/>
        <v>-0.45384253247702688</v>
      </c>
    </row>
    <row r="458" spans="7:20" ht="14.4" x14ac:dyDescent="0.25">
      <c r="G458" s="10">
        <v>7421</v>
      </c>
      <c r="H458" s="9">
        <v>52929</v>
      </c>
      <c r="I458" s="14">
        <f>DATE(2012,12,31)-633</f>
        <v>40641</v>
      </c>
      <c r="J458" s="15" t="s">
        <v>17</v>
      </c>
      <c r="K458" s="9">
        <v>7</v>
      </c>
      <c r="L458" s="16" t="s">
        <v>26</v>
      </c>
      <c r="M458" s="16">
        <f t="shared" si="38"/>
        <v>-1.2825598519076837</v>
      </c>
      <c r="N458">
        <f t="shared" si="39"/>
        <v>0</v>
      </c>
      <c r="O458">
        <f t="shared" si="40"/>
        <v>0</v>
      </c>
      <c r="P458">
        <f t="shared" si="37"/>
        <v>3750</v>
      </c>
      <c r="Q458">
        <f t="shared" si="41"/>
        <v>3750</v>
      </c>
      <c r="T458" s="16">
        <f t="shared" si="42"/>
        <v>-1.2825598519076842</v>
      </c>
    </row>
    <row r="459" spans="7:20" ht="14.4" x14ac:dyDescent="0.25">
      <c r="G459" s="10">
        <v>7422</v>
      </c>
      <c r="H459" s="9">
        <v>52929</v>
      </c>
      <c r="I459" s="14">
        <f>DATE(2012,12,31)-633</f>
        <v>40641</v>
      </c>
      <c r="J459" s="15" t="s">
        <v>17</v>
      </c>
      <c r="K459" s="9">
        <v>20</v>
      </c>
      <c r="L459" s="16" t="s">
        <v>26</v>
      </c>
      <c r="M459" s="16">
        <f t="shared" si="38"/>
        <v>-0.38478275585780503</v>
      </c>
      <c r="N459">
        <f t="shared" si="39"/>
        <v>0</v>
      </c>
      <c r="O459">
        <f t="shared" si="40"/>
        <v>0</v>
      </c>
      <c r="P459">
        <f t="shared" si="37"/>
        <v>4400</v>
      </c>
      <c r="Q459">
        <f t="shared" si="41"/>
        <v>4400</v>
      </c>
      <c r="T459" s="16">
        <f t="shared" si="42"/>
        <v>-0.38478275585780541</v>
      </c>
    </row>
    <row r="460" spans="7:20" ht="14.4" x14ac:dyDescent="0.25">
      <c r="G460" s="10">
        <v>7430</v>
      </c>
      <c r="H460" s="9">
        <v>52964</v>
      </c>
      <c r="I460" s="14">
        <f>DATE(2012,12,31)-1006</f>
        <v>40268</v>
      </c>
      <c r="J460" s="15" t="s">
        <v>30</v>
      </c>
      <c r="K460" s="9">
        <v>44</v>
      </c>
      <c r="L460" s="16" t="s">
        <v>29</v>
      </c>
      <c r="M460" s="16">
        <f t="shared" si="38"/>
        <v>1.2726518830035094</v>
      </c>
      <c r="N460">
        <f t="shared" si="39"/>
        <v>0</v>
      </c>
      <c r="O460">
        <f t="shared" si="40"/>
        <v>0</v>
      </c>
      <c r="P460">
        <f t="shared" ref="P460:P523" si="43">50*K460+$P$10</f>
        <v>5600</v>
      </c>
      <c r="Q460">
        <f t="shared" si="41"/>
        <v>5600</v>
      </c>
      <c r="T460" s="16">
        <f t="shared" si="42"/>
        <v>1.272651883003509</v>
      </c>
    </row>
    <row r="461" spans="7:20" ht="14.4" x14ac:dyDescent="0.25">
      <c r="G461" s="10">
        <v>7453</v>
      </c>
      <c r="H461" s="9">
        <v>53156</v>
      </c>
      <c r="I461" s="14">
        <f>DATE(2012,12,31)-296</f>
        <v>40978</v>
      </c>
      <c r="J461" s="15" t="s">
        <v>28</v>
      </c>
      <c r="K461" s="9">
        <v>47</v>
      </c>
      <c r="L461" s="16" t="s">
        <v>26</v>
      </c>
      <c r="M461" s="16">
        <f t="shared" ref="M461:M524" si="44">(K461-$K$4)/$K$7</f>
        <v>1.4798312128611737</v>
      </c>
      <c r="N461">
        <f t="shared" ref="N461:N524" si="45">IF(MOD($B$20+G461,1000)=0,1,0)</f>
        <v>0</v>
      </c>
      <c r="O461">
        <f t="shared" ref="O461:O524" si="46">+ROUND(N461*(IF(K461&lt;$K$4,-4.5,10.5)*$P$5),-2)</f>
        <v>0</v>
      </c>
      <c r="P461">
        <f t="shared" si="43"/>
        <v>5750</v>
      </c>
      <c r="Q461">
        <f t="shared" ref="Q461:Q524" si="47">P461+O461</f>
        <v>5750</v>
      </c>
      <c r="T461" s="16">
        <f t="shared" ref="T461:T524" si="48">(Q461-$P$4)/$P$5</f>
        <v>1.4798312128611733</v>
      </c>
    </row>
    <row r="462" spans="7:20" ht="14.4" x14ac:dyDescent="0.25">
      <c r="G462" s="10">
        <v>7500</v>
      </c>
      <c r="H462" s="9">
        <v>53511</v>
      </c>
      <c r="I462" s="14">
        <f>DATE(2012,12,31)-1410</f>
        <v>39864</v>
      </c>
      <c r="J462" s="15" t="s">
        <v>16</v>
      </c>
      <c r="K462" s="9">
        <v>41</v>
      </c>
      <c r="L462" s="16" t="s">
        <v>26</v>
      </c>
      <c r="M462" s="16">
        <f t="shared" si="44"/>
        <v>1.0654725531458451</v>
      </c>
      <c r="N462">
        <f t="shared" si="45"/>
        <v>0</v>
      </c>
      <c r="O462">
        <f t="shared" si="46"/>
        <v>0</v>
      </c>
      <c r="P462">
        <f t="shared" si="43"/>
        <v>5450</v>
      </c>
      <c r="Q462">
        <f t="shared" si="47"/>
        <v>5450</v>
      </c>
      <c r="T462" s="16">
        <f t="shared" si="48"/>
        <v>1.0654725531458447</v>
      </c>
    </row>
    <row r="463" spans="7:20" ht="14.4" x14ac:dyDescent="0.25">
      <c r="G463" s="10">
        <v>7501</v>
      </c>
      <c r="H463" s="9">
        <v>53511</v>
      </c>
      <c r="I463" s="14">
        <f>DATE(2012,12,31)-1410</f>
        <v>39864</v>
      </c>
      <c r="J463" s="15" t="s">
        <v>16</v>
      </c>
      <c r="K463" s="9">
        <v>49</v>
      </c>
      <c r="L463" s="16" t="s">
        <v>29</v>
      </c>
      <c r="M463" s="16">
        <f t="shared" si="44"/>
        <v>1.6179507660996166</v>
      </c>
      <c r="N463">
        <f t="shared" si="45"/>
        <v>0</v>
      </c>
      <c r="O463">
        <f t="shared" si="46"/>
        <v>0</v>
      </c>
      <c r="P463">
        <f t="shared" si="43"/>
        <v>5850</v>
      </c>
      <c r="Q463">
        <f t="shared" si="47"/>
        <v>5850</v>
      </c>
      <c r="T463" s="16">
        <f t="shared" si="48"/>
        <v>1.6179507660996162</v>
      </c>
    </row>
    <row r="464" spans="7:20" ht="14.4" x14ac:dyDescent="0.25">
      <c r="G464" s="10">
        <v>7530</v>
      </c>
      <c r="H464" s="9">
        <v>53797</v>
      </c>
      <c r="I464" s="14">
        <f>DATE(2012,12,31)-1187</f>
        <v>40087</v>
      </c>
      <c r="J464" s="15" t="s">
        <v>30</v>
      </c>
      <c r="K464" s="9">
        <v>10</v>
      </c>
      <c r="L464" s="16" t="s">
        <v>29</v>
      </c>
      <c r="M464" s="16">
        <f t="shared" si="44"/>
        <v>-1.0753805220500194</v>
      </c>
      <c r="N464">
        <f t="shared" si="45"/>
        <v>0</v>
      </c>
      <c r="O464">
        <f t="shared" si="46"/>
        <v>0</v>
      </c>
      <c r="P464">
        <f t="shared" si="43"/>
        <v>3900</v>
      </c>
      <c r="Q464">
        <f t="shared" si="47"/>
        <v>3900</v>
      </c>
      <c r="T464" s="16">
        <f t="shared" si="48"/>
        <v>-1.0753805220500199</v>
      </c>
    </row>
    <row r="465" spans="7:20" ht="14.4" x14ac:dyDescent="0.25">
      <c r="G465" s="10">
        <v>7548</v>
      </c>
      <c r="H465" s="9">
        <v>53990</v>
      </c>
      <c r="I465" s="14">
        <f>DATE(2012,12,31)-60</f>
        <v>41214</v>
      </c>
      <c r="J465" s="15" t="s">
        <v>28</v>
      </c>
      <c r="K465" s="9">
        <v>44</v>
      </c>
      <c r="L465" s="16" t="s">
        <v>27</v>
      </c>
      <c r="M465" s="16">
        <f t="shared" si="44"/>
        <v>1.2726518830035094</v>
      </c>
      <c r="N465">
        <f t="shared" si="45"/>
        <v>0</v>
      </c>
      <c r="O465">
        <f t="shared" si="46"/>
        <v>0</v>
      </c>
      <c r="P465">
        <f t="shared" si="43"/>
        <v>5600</v>
      </c>
      <c r="Q465">
        <f t="shared" si="47"/>
        <v>5600</v>
      </c>
      <c r="T465" s="16">
        <f t="shared" si="48"/>
        <v>1.272651883003509</v>
      </c>
    </row>
    <row r="466" spans="7:20" ht="14.4" x14ac:dyDescent="0.25">
      <c r="G466" s="10">
        <v>7559</v>
      </c>
      <c r="H466" s="9">
        <v>54083</v>
      </c>
      <c r="I466" s="14">
        <f>DATE(2012,12,31)-529</f>
        <v>40745</v>
      </c>
      <c r="J466" s="15" t="s">
        <v>17</v>
      </c>
      <c r="K466" s="9">
        <v>10</v>
      </c>
      <c r="L466" s="16" t="s">
        <v>26</v>
      </c>
      <c r="M466" s="16">
        <f t="shared" si="44"/>
        <v>-1.0753805220500194</v>
      </c>
      <c r="N466">
        <f t="shared" si="45"/>
        <v>0</v>
      </c>
      <c r="O466">
        <f t="shared" si="46"/>
        <v>0</v>
      </c>
      <c r="P466">
        <f t="shared" si="43"/>
        <v>3900</v>
      </c>
      <c r="Q466">
        <f t="shared" si="47"/>
        <v>3900</v>
      </c>
      <c r="T466" s="16">
        <f t="shared" si="48"/>
        <v>-1.0753805220500199</v>
      </c>
    </row>
    <row r="467" spans="7:20" ht="14.4" x14ac:dyDescent="0.25">
      <c r="G467" s="10">
        <v>7584</v>
      </c>
      <c r="H467" s="9">
        <v>54274</v>
      </c>
      <c r="I467" s="14">
        <f>DATE(2012,12,31)-769</f>
        <v>40505</v>
      </c>
      <c r="J467" s="15" t="s">
        <v>28</v>
      </c>
      <c r="K467" s="9">
        <v>20</v>
      </c>
      <c r="L467" s="16" t="s">
        <v>26</v>
      </c>
      <c r="M467" s="16">
        <f t="shared" si="44"/>
        <v>-0.38478275585780503</v>
      </c>
      <c r="N467">
        <f t="shared" si="45"/>
        <v>0</v>
      </c>
      <c r="O467">
        <f t="shared" si="46"/>
        <v>0</v>
      </c>
      <c r="P467">
        <f t="shared" si="43"/>
        <v>4400</v>
      </c>
      <c r="Q467">
        <f t="shared" si="47"/>
        <v>4400</v>
      </c>
      <c r="T467" s="16">
        <f t="shared" si="48"/>
        <v>-0.38478275585780541</v>
      </c>
    </row>
    <row r="468" spans="7:20" ht="14.4" x14ac:dyDescent="0.25">
      <c r="G468" s="10">
        <v>7585</v>
      </c>
      <c r="H468" s="9">
        <v>54276</v>
      </c>
      <c r="I468" s="14">
        <f>DATE(2012,12,31)-1059</f>
        <v>40215</v>
      </c>
      <c r="J468" s="15" t="s">
        <v>28</v>
      </c>
      <c r="K468" s="9">
        <v>21</v>
      </c>
      <c r="L468" s="16" t="s">
        <v>26</v>
      </c>
      <c r="M468" s="16">
        <f t="shared" si="44"/>
        <v>-0.31572297923858361</v>
      </c>
      <c r="N468">
        <f t="shared" si="45"/>
        <v>0</v>
      </c>
      <c r="O468">
        <f t="shared" si="46"/>
        <v>0</v>
      </c>
      <c r="P468">
        <f t="shared" si="43"/>
        <v>4450</v>
      </c>
      <c r="Q468">
        <f t="shared" si="47"/>
        <v>4450</v>
      </c>
      <c r="T468" s="16">
        <f t="shared" si="48"/>
        <v>-0.315722979238584</v>
      </c>
    </row>
    <row r="469" spans="7:20" ht="14.4" x14ac:dyDescent="0.25">
      <c r="G469" s="10">
        <v>7620</v>
      </c>
      <c r="H469" s="9">
        <v>54528</v>
      </c>
      <c r="I469" s="14">
        <f>DATE(2012,12,31)-727</f>
        <v>40547</v>
      </c>
      <c r="J469" s="15" t="s">
        <v>16</v>
      </c>
      <c r="K469" s="9">
        <v>17</v>
      </c>
      <c r="L469" s="16" t="s">
        <v>26</v>
      </c>
      <c r="M469" s="16">
        <f t="shared" si="44"/>
        <v>-0.59196208571546938</v>
      </c>
      <c r="N469">
        <f t="shared" si="45"/>
        <v>0</v>
      </c>
      <c r="O469">
        <f t="shared" si="46"/>
        <v>0</v>
      </c>
      <c r="P469">
        <f t="shared" si="43"/>
        <v>4250</v>
      </c>
      <c r="Q469">
        <f t="shared" si="47"/>
        <v>4250</v>
      </c>
      <c r="T469" s="16">
        <f t="shared" si="48"/>
        <v>-0.59196208571546971</v>
      </c>
    </row>
    <row r="470" spans="7:20" ht="14.4" x14ac:dyDescent="0.25">
      <c r="G470" s="10">
        <v>7621</v>
      </c>
      <c r="H470" s="9">
        <v>54528</v>
      </c>
      <c r="I470" s="14">
        <f>DATE(2012,12,31)-727</f>
        <v>40547</v>
      </c>
      <c r="J470" s="15" t="s">
        <v>16</v>
      </c>
      <c r="K470" s="9">
        <v>8</v>
      </c>
      <c r="L470" s="16" t="s">
        <v>26</v>
      </c>
      <c r="M470" s="16">
        <f t="shared" si="44"/>
        <v>-1.2135000752884624</v>
      </c>
      <c r="N470">
        <f t="shared" si="45"/>
        <v>0</v>
      </c>
      <c r="O470">
        <f t="shared" si="46"/>
        <v>0</v>
      </c>
      <c r="P470">
        <f t="shared" si="43"/>
        <v>3800</v>
      </c>
      <c r="Q470">
        <f t="shared" si="47"/>
        <v>3800</v>
      </c>
      <c r="T470" s="16">
        <f t="shared" si="48"/>
        <v>-1.2135000752884626</v>
      </c>
    </row>
    <row r="471" spans="7:20" ht="14.4" x14ac:dyDescent="0.25">
      <c r="G471" s="10">
        <v>7628</v>
      </c>
      <c r="H471" s="9">
        <v>54567</v>
      </c>
      <c r="I471" s="14">
        <f>DATE(2012,12,31)-1247</f>
        <v>40027</v>
      </c>
      <c r="J471" s="15" t="s">
        <v>16</v>
      </c>
      <c r="K471" s="9">
        <v>31</v>
      </c>
      <c r="L471" s="16" t="s">
        <v>29</v>
      </c>
      <c r="M471" s="16">
        <f t="shared" si="44"/>
        <v>0.37487478695363075</v>
      </c>
      <c r="N471">
        <f t="shared" si="45"/>
        <v>0</v>
      </c>
      <c r="O471">
        <f t="shared" si="46"/>
        <v>0</v>
      </c>
      <c r="P471">
        <f t="shared" si="43"/>
        <v>4950</v>
      </c>
      <c r="Q471">
        <f t="shared" si="47"/>
        <v>4950</v>
      </c>
      <c r="T471" s="16">
        <f t="shared" si="48"/>
        <v>0.37487478695363036</v>
      </c>
    </row>
    <row r="472" spans="7:20" ht="14.4" x14ac:dyDescent="0.25">
      <c r="G472" s="10">
        <v>7633</v>
      </c>
      <c r="H472" s="9">
        <v>54628</v>
      </c>
      <c r="I472" s="14">
        <f>DATE(2012,12,31)-940</f>
        <v>40334</v>
      </c>
      <c r="J472" s="15" t="s">
        <v>17</v>
      </c>
      <c r="K472" s="9">
        <v>21</v>
      </c>
      <c r="L472" s="16" t="s">
        <v>27</v>
      </c>
      <c r="M472" s="16">
        <f t="shared" si="44"/>
        <v>-0.31572297923858361</v>
      </c>
      <c r="N472">
        <f t="shared" si="45"/>
        <v>0</v>
      </c>
      <c r="O472">
        <f t="shared" si="46"/>
        <v>0</v>
      </c>
      <c r="P472">
        <f t="shared" si="43"/>
        <v>4450</v>
      </c>
      <c r="Q472">
        <f t="shared" si="47"/>
        <v>4450</v>
      </c>
      <c r="T472" s="16">
        <f t="shared" si="48"/>
        <v>-0.315722979238584</v>
      </c>
    </row>
    <row r="473" spans="7:20" ht="14.4" x14ac:dyDescent="0.25">
      <c r="G473" s="10">
        <v>7716</v>
      </c>
      <c r="H473" s="9">
        <v>55298</v>
      </c>
      <c r="I473" s="14">
        <f>DATE(2012,12,31)-1247</f>
        <v>40027</v>
      </c>
      <c r="J473" s="15" t="s">
        <v>30</v>
      </c>
      <c r="K473" s="9">
        <v>1</v>
      </c>
      <c r="L473" s="16" t="s">
        <v>29</v>
      </c>
      <c r="M473" s="16">
        <f t="shared" si="44"/>
        <v>-1.6969185116230123</v>
      </c>
      <c r="N473">
        <f t="shared" si="45"/>
        <v>0</v>
      </c>
      <c r="O473">
        <f t="shared" si="46"/>
        <v>0</v>
      </c>
      <c r="P473">
        <f t="shared" si="43"/>
        <v>3450</v>
      </c>
      <c r="Q473">
        <f t="shared" si="47"/>
        <v>3450</v>
      </c>
      <c r="T473" s="16">
        <f t="shared" si="48"/>
        <v>-1.6969185116230128</v>
      </c>
    </row>
    <row r="474" spans="7:20" ht="14.4" x14ac:dyDescent="0.25">
      <c r="G474" s="10">
        <v>7729</v>
      </c>
      <c r="H474" s="9">
        <v>55363</v>
      </c>
      <c r="I474" s="14">
        <f>DATE(2012,12,31)-734</f>
        <v>40540</v>
      </c>
      <c r="J474" s="15" t="s">
        <v>17</v>
      </c>
      <c r="K474" s="9">
        <v>14</v>
      </c>
      <c r="L474" s="16" t="s">
        <v>26</v>
      </c>
      <c r="M474" s="16">
        <f t="shared" si="44"/>
        <v>-0.79914141557313367</v>
      </c>
      <c r="N474">
        <f t="shared" si="45"/>
        <v>0</v>
      </c>
      <c r="O474">
        <f t="shared" si="46"/>
        <v>0</v>
      </c>
      <c r="P474">
        <f t="shared" si="43"/>
        <v>4100</v>
      </c>
      <c r="Q474">
        <f t="shared" si="47"/>
        <v>4100</v>
      </c>
      <c r="T474" s="16">
        <f t="shared" si="48"/>
        <v>-0.79914141557313401</v>
      </c>
    </row>
    <row r="475" spans="7:20" ht="14.4" x14ac:dyDescent="0.25">
      <c r="G475" s="10">
        <v>7730</v>
      </c>
      <c r="H475" s="9">
        <v>55366</v>
      </c>
      <c r="I475" s="14">
        <f>DATE(2012,12,31)-82</f>
        <v>41192</v>
      </c>
      <c r="J475" s="15" t="s">
        <v>30</v>
      </c>
      <c r="K475" s="9">
        <v>7</v>
      </c>
      <c r="L475" s="16" t="s">
        <v>27</v>
      </c>
      <c r="M475" s="16">
        <f t="shared" si="44"/>
        <v>-1.2825598519076837</v>
      </c>
      <c r="N475">
        <f t="shared" si="45"/>
        <v>0</v>
      </c>
      <c r="O475">
        <f t="shared" si="46"/>
        <v>0</v>
      </c>
      <c r="P475">
        <f t="shared" si="43"/>
        <v>3750</v>
      </c>
      <c r="Q475">
        <f t="shared" si="47"/>
        <v>3750</v>
      </c>
      <c r="T475" s="16">
        <f t="shared" si="48"/>
        <v>-1.2825598519076842</v>
      </c>
    </row>
    <row r="476" spans="7:20" ht="14.4" x14ac:dyDescent="0.25">
      <c r="G476" s="10">
        <v>7787</v>
      </c>
      <c r="H476" s="9">
        <v>55715</v>
      </c>
      <c r="I476" s="14">
        <f>DATE(2012,12,31)-639</f>
        <v>40635</v>
      </c>
      <c r="J476" s="15" t="s">
        <v>30</v>
      </c>
      <c r="K476" s="9">
        <v>28</v>
      </c>
      <c r="L476" s="16" t="s">
        <v>26</v>
      </c>
      <c r="M476" s="16">
        <f t="shared" si="44"/>
        <v>0.16769545709596645</v>
      </c>
      <c r="N476">
        <f t="shared" si="45"/>
        <v>0</v>
      </c>
      <c r="O476">
        <f t="shared" si="46"/>
        <v>0</v>
      </c>
      <c r="P476">
        <f t="shared" si="43"/>
        <v>4800</v>
      </c>
      <c r="Q476">
        <f t="shared" si="47"/>
        <v>4800</v>
      </c>
      <c r="T476" s="16">
        <f t="shared" si="48"/>
        <v>0.16769545709596606</v>
      </c>
    </row>
    <row r="477" spans="7:20" ht="14.4" x14ac:dyDescent="0.25">
      <c r="G477" s="10">
        <v>7813</v>
      </c>
      <c r="H477" s="9">
        <v>55875</v>
      </c>
      <c r="I477" s="14">
        <f>DATE(2012,12,31)-1132</f>
        <v>40142</v>
      </c>
      <c r="J477" s="15" t="s">
        <v>30</v>
      </c>
      <c r="K477" s="9">
        <v>50</v>
      </c>
      <c r="L477" s="16" t="s">
        <v>29</v>
      </c>
      <c r="M477" s="16">
        <f t="shared" si="44"/>
        <v>1.687010542718838</v>
      </c>
      <c r="N477">
        <f t="shared" si="45"/>
        <v>0</v>
      </c>
      <c r="O477">
        <f t="shared" si="46"/>
        <v>0</v>
      </c>
      <c r="P477">
        <f t="shared" si="43"/>
        <v>5900</v>
      </c>
      <c r="Q477">
        <f t="shared" si="47"/>
        <v>5900</v>
      </c>
      <c r="T477" s="16">
        <f t="shared" si="48"/>
        <v>1.6870105427188375</v>
      </c>
    </row>
    <row r="478" spans="7:20" ht="14.4" x14ac:dyDescent="0.25">
      <c r="G478" s="10">
        <v>7814</v>
      </c>
      <c r="H478" s="9">
        <v>55875</v>
      </c>
      <c r="I478" s="14">
        <f>DATE(2012,12,31)-1132</f>
        <v>40142</v>
      </c>
      <c r="J478" s="15" t="s">
        <v>30</v>
      </c>
      <c r="K478" s="9">
        <v>31</v>
      </c>
      <c r="L478" s="16" t="s">
        <v>26</v>
      </c>
      <c r="M478" s="16">
        <f t="shared" si="44"/>
        <v>0.37487478695363075</v>
      </c>
      <c r="N478">
        <f t="shared" si="45"/>
        <v>0</v>
      </c>
      <c r="O478">
        <f t="shared" si="46"/>
        <v>0</v>
      </c>
      <c r="P478">
        <f t="shared" si="43"/>
        <v>4950</v>
      </c>
      <c r="Q478">
        <f t="shared" si="47"/>
        <v>4950</v>
      </c>
      <c r="T478" s="16">
        <f t="shared" si="48"/>
        <v>0.37487478695363036</v>
      </c>
    </row>
    <row r="479" spans="7:20" ht="14.4" x14ac:dyDescent="0.25">
      <c r="G479" s="10">
        <v>7894</v>
      </c>
      <c r="H479" s="9">
        <v>56453</v>
      </c>
      <c r="I479" s="14">
        <f>DATE(2012,12,31)-264</f>
        <v>41010</v>
      </c>
      <c r="J479" s="15" t="s">
        <v>30</v>
      </c>
      <c r="K479" s="9">
        <v>1</v>
      </c>
      <c r="L479" s="16" t="s">
        <v>27</v>
      </c>
      <c r="M479" s="16">
        <f t="shared" si="44"/>
        <v>-1.6969185116230123</v>
      </c>
      <c r="N479">
        <f t="shared" si="45"/>
        <v>0</v>
      </c>
      <c r="O479">
        <f t="shared" si="46"/>
        <v>0</v>
      </c>
      <c r="P479">
        <f t="shared" si="43"/>
        <v>3450</v>
      </c>
      <c r="Q479">
        <f t="shared" si="47"/>
        <v>3450</v>
      </c>
      <c r="T479" s="16">
        <f t="shared" si="48"/>
        <v>-1.6969185116230128</v>
      </c>
    </row>
    <row r="480" spans="7:20" ht="14.4" x14ac:dyDescent="0.25">
      <c r="G480" s="10">
        <v>7993</v>
      </c>
      <c r="H480" s="9">
        <v>57127</v>
      </c>
      <c r="I480" s="14">
        <f>DATE(2012,12,31)-1049</f>
        <v>40225</v>
      </c>
      <c r="J480" s="15" t="s">
        <v>25</v>
      </c>
      <c r="K480" s="9">
        <v>13</v>
      </c>
      <c r="L480" s="16" t="s">
        <v>26</v>
      </c>
      <c r="M480" s="16">
        <f t="shared" si="44"/>
        <v>-0.86820119219235514</v>
      </c>
      <c r="N480">
        <f t="shared" si="45"/>
        <v>0</v>
      </c>
      <c r="O480">
        <f t="shared" si="46"/>
        <v>0</v>
      </c>
      <c r="P480">
        <f t="shared" si="43"/>
        <v>4050</v>
      </c>
      <c r="Q480">
        <f t="shared" si="47"/>
        <v>4050</v>
      </c>
      <c r="T480" s="16">
        <f t="shared" si="48"/>
        <v>-0.86820119219235548</v>
      </c>
    </row>
    <row r="481" spans="7:20" ht="14.4" x14ac:dyDescent="0.25">
      <c r="G481" s="10">
        <v>8024</v>
      </c>
      <c r="H481" s="9">
        <v>57344</v>
      </c>
      <c r="I481" s="14">
        <f>DATE(2012,12,31)-829</f>
        <v>40445</v>
      </c>
      <c r="J481" s="15" t="s">
        <v>17</v>
      </c>
      <c r="K481" s="9">
        <v>47</v>
      </c>
      <c r="L481" s="16" t="s">
        <v>27</v>
      </c>
      <c r="M481" s="16">
        <f t="shared" si="44"/>
        <v>1.4798312128611737</v>
      </c>
      <c r="N481">
        <f t="shared" si="45"/>
        <v>0</v>
      </c>
      <c r="O481">
        <f t="shared" si="46"/>
        <v>0</v>
      </c>
      <c r="P481">
        <f t="shared" si="43"/>
        <v>5750</v>
      </c>
      <c r="Q481">
        <f t="shared" si="47"/>
        <v>5750</v>
      </c>
      <c r="T481" s="16">
        <f t="shared" si="48"/>
        <v>1.4798312128611733</v>
      </c>
    </row>
    <row r="482" spans="7:20" ht="14.4" x14ac:dyDescent="0.25">
      <c r="G482" s="10">
        <v>8057</v>
      </c>
      <c r="H482" s="9">
        <v>57509</v>
      </c>
      <c r="I482" s="14">
        <f>DATE(2012,12,31)-1409</f>
        <v>39865</v>
      </c>
      <c r="J482" s="15" t="s">
        <v>25</v>
      </c>
      <c r="K482" s="9">
        <v>39</v>
      </c>
      <c r="L482" s="16" t="s">
        <v>26</v>
      </c>
      <c r="M482" s="16">
        <f t="shared" si="44"/>
        <v>0.92735299990740228</v>
      </c>
      <c r="N482">
        <f t="shared" si="45"/>
        <v>0</v>
      </c>
      <c r="O482">
        <f t="shared" si="46"/>
        <v>0</v>
      </c>
      <c r="P482">
        <f t="shared" si="43"/>
        <v>5350</v>
      </c>
      <c r="Q482">
        <f t="shared" si="47"/>
        <v>5350</v>
      </c>
      <c r="T482" s="16">
        <f t="shared" si="48"/>
        <v>0.92735299990740183</v>
      </c>
    </row>
    <row r="483" spans="7:20" ht="14.4" x14ac:dyDescent="0.25">
      <c r="G483" s="10">
        <v>8058</v>
      </c>
      <c r="H483" s="9">
        <v>57509</v>
      </c>
      <c r="I483" s="14">
        <f>DATE(2012,12,31)-1409</f>
        <v>39865</v>
      </c>
      <c r="J483" s="15" t="s">
        <v>25</v>
      </c>
      <c r="K483" s="9">
        <v>11</v>
      </c>
      <c r="L483" s="16" t="s">
        <v>29</v>
      </c>
      <c r="M483" s="16">
        <f t="shared" si="44"/>
        <v>-1.0063207454307979</v>
      </c>
      <c r="N483">
        <f t="shared" si="45"/>
        <v>0</v>
      </c>
      <c r="O483">
        <f t="shared" si="46"/>
        <v>0</v>
      </c>
      <c r="P483">
        <f t="shared" si="43"/>
        <v>3950</v>
      </c>
      <c r="Q483">
        <f t="shared" si="47"/>
        <v>3950</v>
      </c>
      <c r="T483" s="16">
        <f t="shared" si="48"/>
        <v>-1.0063207454307983</v>
      </c>
    </row>
    <row r="484" spans="7:20" ht="14.4" x14ac:dyDescent="0.25">
      <c r="G484" s="10">
        <v>8073</v>
      </c>
      <c r="H484" s="9">
        <v>57600</v>
      </c>
      <c r="I484" s="14">
        <f>DATE(2012,12,31)-50</f>
        <v>41224</v>
      </c>
      <c r="J484" s="15" t="s">
        <v>30</v>
      </c>
      <c r="K484" s="9">
        <v>32</v>
      </c>
      <c r="L484" s="16" t="s">
        <v>26</v>
      </c>
      <c r="M484" s="16">
        <f t="shared" si="44"/>
        <v>0.44393456357285216</v>
      </c>
      <c r="N484">
        <f t="shared" si="45"/>
        <v>0</v>
      </c>
      <c r="O484">
        <f t="shared" si="46"/>
        <v>0</v>
      </c>
      <c r="P484">
        <f t="shared" si="43"/>
        <v>5000</v>
      </c>
      <c r="Q484">
        <f t="shared" si="47"/>
        <v>5000</v>
      </c>
      <c r="T484" s="16">
        <f t="shared" si="48"/>
        <v>0.44393456357285183</v>
      </c>
    </row>
    <row r="485" spans="7:20" ht="14.4" x14ac:dyDescent="0.25">
      <c r="G485" s="10">
        <v>8074</v>
      </c>
      <c r="H485" s="9">
        <v>57600</v>
      </c>
      <c r="I485" s="14">
        <f>DATE(2012,12,31)-50</f>
        <v>41224</v>
      </c>
      <c r="J485" s="15" t="s">
        <v>30</v>
      </c>
      <c r="K485" s="9">
        <v>44</v>
      </c>
      <c r="L485" s="16" t="s">
        <v>26</v>
      </c>
      <c r="M485" s="16">
        <f t="shared" si="44"/>
        <v>1.2726518830035094</v>
      </c>
      <c r="N485">
        <f t="shared" si="45"/>
        <v>0</v>
      </c>
      <c r="O485">
        <f t="shared" si="46"/>
        <v>0</v>
      </c>
      <c r="P485">
        <f t="shared" si="43"/>
        <v>5600</v>
      </c>
      <c r="Q485">
        <f t="shared" si="47"/>
        <v>5600</v>
      </c>
      <c r="T485" s="16">
        <f t="shared" si="48"/>
        <v>1.272651883003509</v>
      </c>
    </row>
    <row r="486" spans="7:20" ht="14.4" x14ac:dyDescent="0.25">
      <c r="G486" s="10">
        <v>8075</v>
      </c>
      <c r="H486" s="9">
        <v>57600</v>
      </c>
      <c r="I486" s="14">
        <f>DATE(2012,12,31)-50</f>
        <v>41224</v>
      </c>
      <c r="J486" s="15" t="s">
        <v>30</v>
      </c>
      <c r="K486" s="9">
        <v>12</v>
      </c>
      <c r="L486" s="16" t="s">
        <v>26</v>
      </c>
      <c r="M486" s="16">
        <f t="shared" si="44"/>
        <v>-0.9372609688115765</v>
      </c>
      <c r="N486">
        <f t="shared" si="45"/>
        <v>0</v>
      </c>
      <c r="O486">
        <f t="shared" si="46"/>
        <v>0</v>
      </c>
      <c r="P486">
        <f t="shared" si="43"/>
        <v>4000</v>
      </c>
      <c r="Q486">
        <f t="shared" si="47"/>
        <v>4000</v>
      </c>
      <c r="T486" s="16">
        <f t="shared" si="48"/>
        <v>-0.93726096881157694</v>
      </c>
    </row>
    <row r="487" spans="7:20" ht="14.4" x14ac:dyDescent="0.25">
      <c r="G487" s="10">
        <v>8124</v>
      </c>
      <c r="H487" s="9">
        <v>58055</v>
      </c>
      <c r="I487" s="14">
        <f>DATE(2012,12,31)-431</f>
        <v>40843</v>
      </c>
      <c r="J487" s="15" t="s">
        <v>30</v>
      </c>
      <c r="K487" s="9">
        <v>26</v>
      </c>
      <c r="L487" s="16" t="s">
        <v>29</v>
      </c>
      <c r="M487" s="16">
        <f t="shared" si="44"/>
        <v>2.9575903857523567E-2</v>
      </c>
      <c r="N487">
        <f t="shared" si="45"/>
        <v>0</v>
      </c>
      <c r="O487">
        <f t="shared" si="46"/>
        <v>0</v>
      </c>
      <c r="P487">
        <f t="shared" si="43"/>
        <v>4700</v>
      </c>
      <c r="Q487">
        <f t="shared" si="47"/>
        <v>4700</v>
      </c>
      <c r="T487" s="16">
        <f t="shared" si="48"/>
        <v>2.9575903857523185E-2</v>
      </c>
    </row>
    <row r="488" spans="7:20" ht="14.4" x14ac:dyDescent="0.25">
      <c r="G488" s="10">
        <v>8133</v>
      </c>
      <c r="H488" s="9">
        <v>58144</v>
      </c>
      <c r="I488" s="14">
        <f>DATE(2012,12,31)-1111</f>
        <v>40163</v>
      </c>
      <c r="J488" s="15" t="s">
        <v>25</v>
      </c>
      <c r="K488" s="9">
        <v>29</v>
      </c>
      <c r="L488" s="16" t="s">
        <v>26</v>
      </c>
      <c r="M488" s="16">
        <f t="shared" si="44"/>
        <v>0.23675523371518786</v>
      </c>
      <c r="N488">
        <f t="shared" si="45"/>
        <v>0</v>
      </c>
      <c r="O488">
        <f t="shared" si="46"/>
        <v>0</v>
      </c>
      <c r="P488">
        <f t="shared" si="43"/>
        <v>4850</v>
      </c>
      <c r="Q488">
        <f t="shared" si="47"/>
        <v>4850</v>
      </c>
      <c r="T488" s="16">
        <f t="shared" si="48"/>
        <v>0.2367552337151875</v>
      </c>
    </row>
    <row r="489" spans="7:20" ht="14.4" x14ac:dyDescent="0.25">
      <c r="G489" s="10">
        <v>8136</v>
      </c>
      <c r="H489" s="9">
        <v>58150</v>
      </c>
      <c r="I489" s="14">
        <f>DATE(2012,12,31)-969</f>
        <v>40305</v>
      </c>
      <c r="J489" s="15" t="s">
        <v>30</v>
      </c>
      <c r="K489" s="9">
        <v>24</v>
      </c>
      <c r="L489" s="16" t="s">
        <v>26</v>
      </c>
      <c r="M489" s="16">
        <f t="shared" si="44"/>
        <v>-0.1085436493809193</v>
      </c>
      <c r="N489">
        <f t="shared" si="45"/>
        <v>0</v>
      </c>
      <c r="O489">
        <f t="shared" si="46"/>
        <v>0</v>
      </c>
      <c r="P489">
        <f t="shared" si="43"/>
        <v>4600</v>
      </c>
      <c r="Q489">
        <f t="shared" si="47"/>
        <v>4600</v>
      </c>
      <c r="T489" s="16">
        <f t="shared" si="48"/>
        <v>-0.10854364938091969</v>
      </c>
    </row>
    <row r="490" spans="7:20" ht="14.4" x14ac:dyDescent="0.25">
      <c r="G490" s="10">
        <v>8159</v>
      </c>
      <c r="H490" s="9">
        <v>58340</v>
      </c>
      <c r="I490" s="14">
        <f>DATE(2012,12,31)-723</f>
        <v>40551</v>
      </c>
      <c r="J490" s="15" t="s">
        <v>16</v>
      </c>
      <c r="K490" s="9">
        <v>36</v>
      </c>
      <c r="L490" s="16" t="s">
        <v>26</v>
      </c>
      <c r="M490" s="16">
        <f t="shared" si="44"/>
        <v>0.72017367004973787</v>
      </c>
      <c r="N490">
        <f t="shared" si="45"/>
        <v>0</v>
      </c>
      <c r="O490">
        <f t="shared" si="46"/>
        <v>0</v>
      </c>
      <c r="P490">
        <f t="shared" si="43"/>
        <v>5200</v>
      </c>
      <c r="Q490">
        <f t="shared" si="47"/>
        <v>5200</v>
      </c>
      <c r="T490" s="16">
        <f t="shared" si="48"/>
        <v>0.72017367004973754</v>
      </c>
    </row>
    <row r="491" spans="7:20" ht="14.4" x14ac:dyDescent="0.25">
      <c r="G491" s="10">
        <v>8162</v>
      </c>
      <c r="H491" s="9">
        <v>58368</v>
      </c>
      <c r="I491" s="14">
        <f>DATE(2012,12,31)-175</f>
        <v>41099</v>
      </c>
      <c r="J491" s="15" t="s">
        <v>17</v>
      </c>
      <c r="K491" s="9">
        <v>4</v>
      </c>
      <c r="L491" s="16" t="s">
        <v>29</v>
      </c>
      <c r="M491" s="16">
        <f t="shared" si="44"/>
        <v>-1.489739181765348</v>
      </c>
      <c r="N491">
        <f t="shared" si="45"/>
        <v>0</v>
      </c>
      <c r="O491">
        <f t="shared" si="46"/>
        <v>0</v>
      </c>
      <c r="P491">
        <f t="shared" si="43"/>
        <v>3600</v>
      </c>
      <c r="Q491">
        <f t="shared" si="47"/>
        <v>3600</v>
      </c>
      <c r="T491" s="16">
        <f t="shared" si="48"/>
        <v>-1.4897391817653485</v>
      </c>
    </row>
    <row r="492" spans="7:20" ht="14.4" x14ac:dyDescent="0.25">
      <c r="G492" s="10">
        <v>8163</v>
      </c>
      <c r="H492" s="9">
        <v>58368</v>
      </c>
      <c r="I492" s="14">
        <f>DATE(2012,12,31)-175</f>
        <v>41099</v>
      </c>
      <c r="J492" s="15" t="s">
        <v>17</v>
      </c>
      <c r="K492" s="9">
        <v>39</v>
      </c>
      <c r="L492" s="16" t="s">
        <v>26</v>
      </c>
      <c r="M492" s="16">
        <f t="shared" si="44"/>
        <v>0.92735299990740228</v>
      </c>
      <c r="N492">
        <f t="shared" si="45"/>
        <v>0</v>
      </c>
      <c r="O492">
        <f t="shared" si="46"/>
        <v>0</v>
      </c>
      <c r="P492">
        <f t="shared" si="43"/>
        <v>5350</v>
      </c>
      <c r="Q492">
        <f t="shared" si="47"/>
        <v>5350</v>
      </c>
      <c r="T492" s="16">
        <f t="shared" si="48"/>
        <v>0.92735299990740183</v>
      </c>
    </row>
    <row r="493" spans="7:20" ht="14.4" x14ac:dyDescent="0.25">
      <c r="G493" s="10">
        <v>8164</v>
      </c>
      <c r="H493" s="9">
        <v>58368</v>
      </c>
      <c r="I493" s="14">
        <f>DATE(2012,12,31)-175</f>
        <v>41099</v>
      </c>
      <c r="J493" s="15" t="s">
        <v>17</v>
      </c>
      <c r="K493" s="9">
        <v>5</v>
      </c>
      <c r="L493" s="16" t="s">
        <v>26</v>
      </c>
      <c r="M493" s="16">
        <f t="shared" si="44"/>
        <v>-1.4206794051461267</v>
      </c>
      <c r="N493">
        <f t="shared" si="45"/>
        <v>0</v>
      </c>
      <c r="O493">
        <f t="shared" si="46"/>
        <v>0</v>
      </c>
      <c r="P493">
        <f t="shared" si="43"/>
        <v>3650</v>
      </c>
      <c r="Q493">
        <f t="shared" si="47"/>
        <v>3650</v>
      </c>
      <c r="T493" s="16">
        <f t="shared" si="48"/>
        <v>-1.4206794051461269</v>
      </c>
    </row>
    <row r="494" spans="7:20" ht="14.4" x14ac:dyDescent="0.25">
      <c r="G494" s="10">
        <v>8176</v>
      </c>
      <c r="H494" s="9">
        <v>58434</v>
      </c>
      <c r="I494" s="14">
        <f>DATE(2012,12,31)-1393</f>
        <v>39881</v>
      </c>
      <c r="J494" s="15" t="s">
        <v>17</v>
      </c>
      <c r="K494" s="9">
        <v>42</v>
      </c>
      <c r="L494" s="16" t="s">
        <v>29</v>
      </c>
      <c r="M494" s="16">
        <f t="shared" si="44"/>
        <v>1.1345323297650665</v>
      </c>
      <c r="N494">
        <f t="shared" si="45"/>
        <v>0</v>
      </c>
      <c r="O494">
        <f t="shared" si="46"/>
        <v>0</v>
      </c>
      <c r="P494">
        <f t="shared" si="43"/>
        <v>5500</v>
      </c>
      <c r="Q494">
        <f t="shared" si="47"/>
        <v>5500</v>
      </c>
      <c r="T494" s="16">
        <f t="shared" si="48"/>
        <v>1.1345323297650662</v>
      </c>
    </row>
    <row r="495" spans="7:20" ht="14.4" x14ac:dyDescent="0.25">
      <c r="G495" s="10">
        <v>8197</v>
      </c>
      <c r="H495" s="9">
        <v>58626</v>
      </c>
      <c r="I495" s="14">
        <f>DATE(2012,12,31)-367</f>
        <v>40907</v>
      </c>
      <c r="J495" s="15" t="s">
        <v>17</v>
      </c>
      <c r="K495" s="9">
        <v>23</v>
      </c>
      <c r="L495" s="16" t="s">
        <v>29</v>
      </c>
      <c r="M495" s="16">
        <f t="shared" si="44"/>
        <v>-0.17760342600014073</v>
      </c>
      <c r="N495">
        <f t="shared" si="45"/>
        <v>0</v>
      </c>
      <c r="O495">
        <f t="shared" si="46"/>
        <v>0</v>
      </c>
      <c r="P495">
        <f t="shared" si="43"/>
        <v>4550</v>
      </c>
      <c r="Q495">
        <f t="shared" si="47"/>
        <v>4550</v>
      </c>
      <c r="T495" s="16">
        <f t="shared" si="48"/>
        <v>-0.17760342600014112</v>
      </c>
    </row>
    <row r="496" spans="7:20" ht="14.4" x14ac:dyDescent="0.25">
      <c r="G496" s="10">
        <v>8198</v>
      </c>
      <c r="H496" s="9">
        <v>58626</v>
      </c>
      <c r="I496" s="14">
        <f>DATE(2012,12,31)-367</f>
        <v>40907</v>
      </c>
      <c r="J496" s="15" t="s">
        <v>17</v>
      </c>
      <c r="K496" s="9">
        <v>21</v>
      </c>
      <c r="L496" s="16" t="s">
        <v>29</v>
      </c>
      <c r="M496" s="16">
        <f t="shared" si="44"/>
        <v>-0.31572297923858361</v>
      </c>
      <c r="N496">
        <f t="shared" si="45"/>
        <v>0</v>
      </c>
      <c r="O496">
        <f t="shared" si="46"/>
        <v>0</v>
      </c>
      <c r="P496">
        <f t="shared" si="43"/>
        <v>4450</v>
      </c>
      <c r="Q496">
        <f t="shared" si="47"/>
        <v>4450</v>
      </c>
      <c r="T496" s="16">
        <f t="shared" si="48"/>
        <v>-0.315722979238584</v>
      </c>
    </row>
    <row r="497" spans="7:20" ht="14.4" x14ac:dyDescent="0.25">
      <c r="G497" s="10">
        <v>8199</v>
      </c>
      <c r="H497" s="9">
        <v>58626</v>
      </c>
      <c r="I497" s="14">
        <f>DATE(2012,12,31)-367</f>
        <v>40907</v>
      </c>
      <c r="J497" s="15" t="s">
        <v>17</v>
      </c>
      <c r="K497" s="9">
        <v>18</v>
      </c>
      <c r="L497" s="16" t="s">
        <v>27</v>
      </c>
      <c r="M497" s="16">
        <f t="shared" si="44"/>
        <v>-0.52290230909624791</v>
      </c>
      <c r="N497">
        <f t="shared" si="45"/>
        <v>0</v>
      </c>
      <c r="O497">
        <f t="shared" si="46"/>
        <v>0</v>
      </c>
      <c r="P497">
        <f t="shared" si="43"/>
        <v>4300</v>
      </c>
      <c r="Q497">
        <f t="shared" si="47"/>
        <v>4300</v>
      </c>
      <c r="T497" s="16">
        <f t="shared" si="48"/>
        <v>-0.52290230909624835</v>
      </c>
    </row>
    <row r="498" spans="7:20" ht="14.4" x14ac:dyDescent="0.25">
      <c r="G498" s="10">
        <v>8208</v>
      </c>
      <c r="H498" s="9">
        <v>58688</v>
      </c>
      <c r="I498" s="14">
        <f>DATE(2012,12,31)-1373</f>
        <v>39901</v>
      </c>
      <c r="J498" s="15" t="s">
        <v>28</v>
      </c>
      <c r="K498" s="9">
        <v>18</v>
      </c>
      <c r="L498" s="16" t="s">
        <v>26</v>
      </c>
      <c r="M498" s="16">
        <f t="shared" si="44"/>
        <v>-0.52290230909624791</v>
      </c>
      <c r="N498">
        <f t="shared" si="45"/>
        <v>0</v>
      </c>
      <c r="O498">
        <f t="shared" si="46"/>
        <v>0</v>
      </c>
      <c r="P498">
        <f t="shared" si="43"/>
        <v>4300</v>
      </c>
      <c r="Q498">
        <f t="shared" si="47"/>
        <v>4300</v>
      </c>
      <c r="T498" s="16">
        <f t="shared" si="48"/>
        <v>-0.52290230909624835</v>
      </c>
    </row>
    <row r="499" spans="7:20" ht="14.4" x14ac:dyDescent="0.25">
      <c r="G499" s="10">
        <v>8256</v>
      </c>
      <c r="H499" s="9">
        <v>59045</v>
      </c>
      <c r="I499" s="14">
        <f>DATE(2012,12,31)-687</f>
        <v>40587</v>
      </c>
      <c r="J499" s="15" t="s">
        <v>30</v>
      </c>
      <c r="K499" s="9">
        <v>30</v>
      </c>
      <c r="L499" s="16" t="s">
        <v>26</v>
      </c>
      <c r="M499" s="16">
        <f t="shared" si="44"/>
        <v>0.30581501033440933</v>
      </c>
      <c r="N499">
        <f t="shared" si="45"/>
        <v>0</v>
      </c>
      <c r="O499">
        <f t="shared" si="46"/>
        <v>0</v>
      </c>
      <c r="P499">
        <f t="shared" si="43"/>
        <v>4900</v>
      </c>
      <c r="Q499">
        <f t="shared" si="47"/>
        <v>4900</v>
      </c>
      <c r="T499" s="16">
        <f t="shared" si="48"/>
        <v>0.30581501033440894</v>
      </c>
    </row>
    <row r="500" spans="7:20" ht="14.4" x14ac:dyDescent="0.25">
      <c r="G500" s="10">
        <v>8257</v>
      </c>
      <c r="H500" s="9">
        <v>59047</v>
      </c>
      <c r="I500" s="14">
        <f>DATE(2012,12,31)-703</f>
        <v>40571</v>
      </c>
      <c r="J500" s="15" t="s">
        <v>28</v>
      </c>
      <c r="K500" s="9">
        <v>10</v>
      </c>
      <c r="L500" s="16" t="s">
        <v>27</v>
      </c>
      <c r="M500" s="16">
        <f t="shared" si="44"/>
        <v>-1.0753805220500194</v>
      </c>
      <c r="N500">
        <f t="shared" si="45"/>
        <v>0</v>
      </c>
      <c r="O500">
        <f t="shared" si="46"/>
        <v>0</v>
      </c>
      <c r="P500">
        <f t="shared" si="43"/>
        <v>3900</v>
      </c>
      <c r="Q500">
        <f t="shared" si="47"/>
        <v>3900</v>
      </c>
      <c r="T500" s="16">
        <f t="shared" si="48"/>
        <v>-1.0753805220500199</v>
      </c>
    </row>
    <row r="501" spans="7:20" ht="14.4" x14ac:dyDescent="0.25">
      <c r="G501" s="10">
        <v>8258</v>
      </c>
      <c r="H501" s="9">
        <v>59047</v>
      </c>
      <c r="I501" s="14">
        <f>DATE(2012,12,31)-703</f>
        <v>40571</v>
      </c>
      <c r="J501" s="15" t="s">
        <v>28</v>
      </c>
      <c r="K501" s="9">
        <v>26</v>
      </c>
      <c r="L501" s="16" t="s">
        <v>29</v>
      </c>
      <c r="M501" s="16">
        <f t="shared" si="44"/>
        <v>2.9575903857523567E-2</v>
      </c>
      <c r="N501">
        <f t="shared" si="45"/>
        <v>0</v>
      </c>
      <c r="O501">
        <f t="shared" si="46"/>
        <v>0</v>
      </c>
      <c r="P501">
        <f t="shared" si="43"/>
        <v>4700</v>
      </c>
      <c r="Q501">
        <f t="shared" si="47"/>
        <v>4700</v>
      </c>
      <c r="T501" s="16">
        <f t="shared" si="48"/>
        <v>2.9575903857523185E-2</v>
      </c>
    </row>
    <row r="502" spans="7:20" ht="14.4" x14ac:dyDescent="0.25">
      <c r="G502" s="10">
        <v>8282</v>
      </c>
      <c r="H502" s="9">
        <v>59202</v>
      </c>
      <c r="I502" s="14">
        <f>DATE(2012,12,31)-114</f>
        <v>41160</v>
      </c>
      <c r="J502" s="15" t="s">
        <v>16</v>
      </c>
      <c r="K502" s="9">
        <v>7</v>
      </c>
      <c r="L502" s="16" t="s">
        <v>26</v>
      </c>
      <c r="M502" s="16">
        <f t="shared" si="44"/>
        <v>-1.2825598519076837</v>
      </c>
      <c r="N502">
        <f t="shared" si="45"/>
        <v>0</v>
      </c>
      <c r="O502">
        <f t="shared" si="46"/>
        <v>0</v>
      </c>
      <c r="P502">
        <f t="shared" si="43"/>
        <v>3750</v>
      </c>
      <c r="Q502">
        <f t="shared" si="47"/>
        <v>3750</v>
      </c>
      <c r="T502" s="16">
        <f t="shared" si="48"/>
        <v>-1.2825598519076842</v>
      </c>
    </row>
    <row r="503" spans="7:20" ht="14.4" x14ac:dyDescent="0.25">
      <c r="G503" s="10">
        <v>8283</v>
      </c>
      <c r="H503" s="9">
        <v>59202</v>
      </c>
      <c r="I503" s="14">
        <f>DATE(2012,12,31)-114</f>
        <v>41160</v>
      </c>
      <c r="J503" s="15" t="s">
        <v>16</v>
      </c>
      <c r="K503" s="9">
        <v>36</v>
      </c>
      <c r="L503" s="16" t="s">
        <v>26</v>
      </c>
      <c r="M503" s="16">
        <f t="shared" si="44"/>
        <v>0.72017367004973787</v>
      </c>
      <c r="N503">
        <f t="shared" si="45"/>
        <v>0</v>
      </c>
      <c r="O503">
        <f t="shared" si="46"/>
        <v>0</v>
      </c>
      <c r="P503">
        <f t="shared" si="43"/>
        <v>5200</v>
      </c>
      <c r="Q503">
        <f t="shared" si="47"/>
        <v>5200</v>
      </c>
      <c r="T503" s="16">
        <f t="shared" si="48"/>
        <v>0.72017367004973754</v>
      </c>
    </row>
    <row r="504" spans="7:20" ht="14.4" x14ac:dyDescent="0.25">
      <c r="G504" s="10">
        <v>8290</v>
      </c>
      <c r="H504" s="9">
        <v>59207</v>
      </c>
      <c r="I504" s="14">
        <f>DATE(2012,12,31)-1323</f>
        <v>39951</v>
      </c>
      <c r="J504" s="15" t="s">
        <v>30</v>
      </c>
      <c r="K504" s="9">
        <v>42</v>
      </c>
      <c r="L504" s="16" t="s">
        <v>29</v>
      </c>
      <c r="M504" s="16">
        <f t="shared" si="44"/>
        <v>1.1345323297650665</v>
      </c>
      <c r="N504">
        <f t="shared" si="45"/>
        <v>0</v>
      </c>
      <c r="O504">
        <f t="shared" si="46"/>
        <v>0</v>
      </c>
      <c r="P504">
        <f t="shared" si="43"/>
        <v>5500</v>
      </c>
      <c r="Q504">
        <f t="shared" si="47"/>
        <v>5500</v>
      </c>
      <c r="T504" s="16">
        <f t="shared" si="48"/>
        <v>1.1345323297650662</v>
      </c>
    </row>
    <row r="505" spans="7:20" ht="14.4" x14ac:dyDescent="0.25">
      <c r="G505" s="10">
        <v>8294</v>
      </c>
      <c r="H505" s="9">
        <v>59234</v>
      </c>
      <c r="I505" s="14">
        <f>DATE(2012,12,31)-155</f>
        <v>41119</v>
      </c>
      <c r="J505" s="15" t="s">
        <v>25</v>
      </c>
      <c r="K505" s="9">
        <v>32</v>
      </c>
      <c r="L505" s="16" t="s">
        <v>26</v>
      </c>
      <c r="M505" s="16">
        <f t="shared" si="44"/>
        <v>0.44393456357285216</v>
      </c>
      <c r="N505">
        <f t="shared" si="45"/>
        <v>0</v>
      </c>
      <c r="O505">
        <f t="shared" si="46"/>
        <v>0</v>
      </c>
      <c r="P505">
        <f t="shared" si="43"/>
        <v>5000</v>
      </c>
      <c r="Q505">
        <f t="shared" si="47"/>
        <v>5000</v>
      </c>
      <c r="T505" s="16">
        <f t="shared" si="48"/>
        <v>0.44393456357285183</v>
      </c>
    </row>
    <row r="506" spans="7:20" ht="14.4" x14ac:dyDescent="0.25">
      <c r="G506" s="10">
        <v>8295</v>
      </c>
      <c r="H506" s="9">
        <v>59234</v>
      </c>
      <c r="I506" s="14">
        <f>DATE(2012,12,31)-155</f>
        <v>41119</v>
      </c>
      <c r="J506" s="15" t="s">
        <v>25</v>
      </c>
      <c r="K506" s="9">
        <v>16</v>
      </c>
      <c r="L506" s="16" t="s">
        <v>29</v>
      </c>
      <c r="M506" s="16">
        <f t="shared" si="44"/>
        <v>-0.66102186233469074</v>
      </c>
      <c r="N506">
        <f t="shared" si="45"/>
        <v>0</v>
      </c>
      <c r="O506">
        <f t="shared" si="46"/>
        <v>0</v>
      </c>
      <c r="P506">
        <f t="shared" si="43"/>
        <v>4200</v>
      </c>
      <c r="Q506">
        <f t="shared" si="47"/>
        <v>4200</v>
      </c>
      <c r="T506" s="16">
        <f t="shared" si="48"/>
        <v>-0.66102186233469118</v>
      </c>
    </row>
    <row r="507" spans="7:20" ht="14.4" x14ac:dyDescent="0.25">
      <c r="G507" s="10">
        <v>8314</v>
      </c>
      <c r="H507" s="9">
        <v>59395</v>
      </c>
      <c r="I507" s="14">
        <f>DATE(2012,12,31)-253</f>
        <v>41021</v>
      </c>
      <c r="J507" s="15" t="s">
        <v>30</v>
      </c>
      <c r="K507" s="9">
        <v>20</v>
      </c>
      <c r="L507" s="16" t="s">
        <v>26</v>
      </c>
      <c r="M507" s="16">
        <f t="shared" si="44"/>
        <v>-0.38478275585780503</v>
      </c>
      <c r="N507">
        <f t="shared" si="45"/>
        <v>0</v>
      </c>
      <c r="O507">
        <f t="shared" si="46"/>
        <v>0</v>
      </c>
      <c r="P507">
        <f t="shared" si="43"/>
        <v>4400</v>
      </c>
      <c r="Q507">
        <f t="shared" si="47"/>
        <v>4400</v>
      </c>
      <c r="T507" s="16">
        <f t="shared" si="48"/>
        <v>-0.38478275585780541</v>
      </c>
    </row>
    <row r="508" spans="7:20" ht="14.4" x14ac:dyDescent="0.25">
      <c r="G508" s="10">
        <v>8333</v>
      </c>
      <c r="H508" s="9">
        <v>59558</v>
      </c>
      <c r="I508" s="14">
        <f>DATE(2012,12,31)-168</f>
        <v>41106</v>
      </c>
      <c r="J508" s="15" t="s">
        <v>28</v>
      </c>
      <c r="K508" s="9">
        <v>34</v>
      </c>
      <c r="L508" s="16" t="s">
        <v>26</v>
      </c>
      <c r="M508" s="16">
        <f t="shared" si="44"/>
        <v>0.58205411681129504</v>
      </c>
      <c r="N508">
        <f t="shared" si="45"/>
        <v>0</v>
      </c>
      <c r="O508">
        <f t="shared" si="46"/>
        <v>0</v>
      </c>
      <c r="P508">
        <f t="shared" si="43"/>
        <v>5100</v>
      </c>
      <c r="Q508">
        <f t="shared" si="47"/>
        <v>5100</v>
      </c>
      <c r="T508" s="16">
        <f t="shared" si="48"/>
        <v>0.58205411681129471</v>
      </c>
    </row>
    <row r="509" spans="7:20" ht="14.4" x14ac:dyDescent="0.25">
      <c r="G509" s="10">
        <v>8337</v>
      </c>
      <c r="H509" s="9">
        <v>59585</v>
      </c>
      <c r="I509" s="14">
        <f>DATE(2012,12,31)-100</f>
        <v>41174</v>
      </c>
      <c r="J509" s="15" t="s">
        <v>17</v>
      </c>
      <c r="K509" s="9">
        <v>45</v>
      </c>
      <c r="L509" s="16" t="s">
        <v>27</v>
      </c>
      <c r="M509" s="16">
        <f t="shared" si="44"/>
        <v>1.3417116596227308</v>
      </c>
      <c r="N509">
        <f t="shared" si="45"/>
        <v>0</v>
      </c>
      <c r="O509">
        <f t="shared" si="46"/>
        <v>0</v>
      </c>
      <c r="P509">
        <f t="shared" si="43"/>
        <v>5650</v>
      </c>
      <c r="Q509">
        <f t="shared" si="47"/>
        <v>5650</v>
      </c>
      <c r="T509" s="16">
        <f t="shared" si="48"/>
        <v>1.3417116596227305</v>
      </c>
    </row>
    <row r="510" spans="7:20" ht="14.4" x14ac:dyDescent="0.25">
      <c r="G510" s="10">
        <v>8344</v>
      </c>
      <c r="H510" s="9">
        <v>59651</v>
      </c>
      <c r="I510" s="14">
        <f>DATE(2012,12,31)-956</f>
        <v>40318</v>
      </c>
      <c r="J510" s="15" t="s">
        <v>30</v>
      </c>
      <c r="K510" s="9">
        <v>36</v>
      </c>
      <c r="L510" s="16" t="s">
        <v>26</v>
      </c>
      <c r="M510" s="16">
        <f t="shared" si="44"/>
        <v>0.72017367004973787</v>
      </c>
      <c r="N510">
        <f t="shared" si="45"/>
        <v>0</v>
      </c>
      <c r="O510">
        <f t="shared" si="46"/>
        <v>0</v>
      </c>
      <c r="P510">
        <f t="shared" si="43"/>
        <v>5200</v>
      </c>
      <c r="Q510">
        <f t="shared" si="47"/>
        <v>5200</v>
      </c>
      <c r="T510" s="16">
        <f t="shared" si="48"/>
        <v>0.72017367004973754</v>
      </c>
    </row>
    <row r="511" spans="7:20" ht="14.4" x14ac:dyDescent="0.25">
      <c r="G511" s="10">
        <v>8345</v>
      </c>
      <c r="H511" s="9">
        <v>59651</v>
      </c>
      <c r="I511" s="14">
        <f>DATE(2012,12,31)-956</f>
        <v>40318</v>
      </c>
      <c r="J511" s="15" t="s">
        <v>30</v>
      </c>
      <c r="K511" s="9">
        <v>18</v>
      </c>
      <c r="L511" s="16" t="s">
        <v>29</v>
      </c>
      <c r="M511" s="16">
        <f t="shared" si="44"/>
        <v>-0.52290230909624791</v>
      </c>
      <c r="N511">
        <f t="shared" si="45"/>
        <v>0</v>
      </c>
      <c r="O511">
        <f t="shared" si="46"/>
        <v>0</v>
      </c>
      <c r="P511">
        <f t="shared" si="43"/>
        <v>4300</v>
      </c>
      <c r="Q511">
        <f t="shared" si="47"/>
        <v>4300</v>
      </c>
      <c r="T511" s="16">
        <f t="shared" si="48"/>
        <v>-0.52290230909624835</v>
      </c>
    </row>
    <row r="512" spans="7:20" ht="14.4" x14ac:dyDescent="0.25">
      <c r="G512" s="10">
        <v>105</v>
      </c>
      <c r="H512" s="9">
        <v>645</v>
      </c>
      <c r="I512" s="14">
        <f>DATE(2012,12,31)-1125</f>
        <v>40149</v>
      </c>
      <c r="J512" s="15" t="s">
        <v>17</v>
      </c>
      <c r="K512" s="9">
        <v>42</v>
      </c>
      <c r="L512" s="16" t="s">
        <v>26</v>
      </c>
      <c r="M512" s="16">
        <f t="shared" si="44"/>
        <v>1.1345323297650665</v>
      </c>
      <c r="N512">
        <f t="shared" si="45"/>
        <v>0</v>
      </c>
      <c r="O512">
        <f t="shared" si="46"/>
        <v>0</v>
      </c>
      <c r="P512">
        <f t="shared" si="43"/>
        <v>5500</v>
      </c>
      <c r="Q512">
        <f t="shared" si="47"/>
        <v>5500</v>
      </c>
      <c r="T512" s="16">
        <f t="shared" si="48"/>
        <v>1.1345323297650662</v>
      </c>
    </row>
    <row r="513" spans="7:20" ht="14.4" x14ac:dyDescent="0.25">
      <c r="G513" s="10">
        <v>115</v>
      </c>
      <c r="H513" s="9">
        <v>769</v>
      </c>
      <c r="I513" s="14">
        <f>DATE(2012,12,31)-944</f>
        <v>40330</v>
      </c>
      <c r="J513" s="15" t="s">
        <v>16</v>
      </c>
      <c r="K513" s="9">
        <v>37</v>
      </c>
      <c r="L513" s="16" t="s">
        <v>27</v>
      </c>
      <c r="M513" s="16">
        <f t="shared" si="44"/>
        <v>0.78923344666895934</v>
      </c>
      <c r="N513">
        <f t="shared" si="45"/>
        <v>0</v>
      </c>
      <c r="O513">
        <f t="shared" si="46"/>
        <v>0</v>
      </c>
      <c r="P513">
        <f t="shared" si="43"/>
        <v>5250</v>
      </c>
      <c r="Q513">
        <f t="shared" si="47"/>
        <v>5250</v>
      </c>
      <c r="T513" s="16">
        <f t="shared" si="48"/>
        <v>0.789233446668959</v>
      </c>
    </row>
    <row r="514" spans="7:20" ht="14.4" x14ac:dyDescent="0.25">
      <c r="G514" s="10">
        <v>119</v>
      </c>
      <c r="H514" s="9">
        <v>773</v>
      </c>
      <c r="I514" s="14">
        <f>DATE(2012,12,31)-828</f>
        <v>40446</v>
      </c>
      <c r="J514" s="15" t="s">
        <v>16</v>
      </c>
      <c r="K514" s="9">
        <v>38</v>
      </c>
      <c r="L514" s="16" t="s">
        <v>27</v>
      </c>
      <c r="M514" s="16">
        <f t="shared" si="44"/>
        <v>0.85829322328818081</v>
      </c>
      <c r="N514">
        <f t="shared" si="45"/>
        <v>0</v>
      </c>
      <c r="O514">
        <f t="shared" si="46"/>
        <v>0</v>
      </c>
      <c r="P514">
        <f t="shared" si="43"/>
        <v>5300</v>
      </c>
      <c r="Q514">
        <f t="shared" si="47"/>
        <v>5300</v>
      </c>
      <c r="T514" s="16">
        <f t="shared" si="48"/>
        <v>0.85829322328818036</v>
      </c>
    </row>
    <row r="515" spans="7:20" ht="14.4" x14ac:dyDescent="0.25">
      <c r="G515" s="10">
        <v>180</v>
      </c>
      <c r="H515" s="9">
        <v>1187</v>
      </c>
      <c r="I515" s="14">
        <f>DATE(2012,12,31)-42</f>
        <v>41232</v>
      </c>
      <c r="J515" s="15" t="s">
        <v>16</v>
      </c>
      <c r="K515" s="9">
        <v>14</v>
      </c>
      <c r="L515" s="16" t="s">
        <v>27</v>
      </c>
      <c r="M515" s="16">
        <f t="shared" si="44"/>
        <v>-0.79914141557313367</v>
      </c>
      <c r="N515">
        <f t="shared" si="45"/>
        <v>0</v>
      </c>
      <c r="O515">
        <f t="shared" si="46"/>
        <v>0</v>
      </c>
      <c r="P515">
        <f t="shared" si="43"/>
        <v>4100</v>
      </c>
      <c r="Q515">
        <f t="shared" si="47"/>
        <v>4100</v>
      </c>
      <c r="T515" s="16">
        <f t="shared" si="48"/>
        <v>-0.79914141557313401</v>
      </c>
    </row>
    <row r="516" spans="7:20" ht="14.4" x14ac:dyDescent="0.25">
      <c r="G516" s="10">
        <v>342</v>
      </c>
      <c r="H516" s="9">
        <v>2339</v>
      </c>
      <c r="I516" s="14">
        <f>DATE(2012,12,31)-748</f>
        <v>40526</v>
      </c>
      <c r="J516" s="15" t="s">
        <v>25</v>
      </c>
      <c r="K516" s="9">
        <v>12</v>
      </c>
      <c r="L516" s="16" t="s">
        <v>26</v>
      </c>
      <c r="M516" s="16">
        <f t="shared" si="44"/>
        <v>-0.9372609688115765</v>
      </c>
      <c r="N516">
        <f t="shared" si="45"/>
        <v>0</v>
      </c>
      <c r="O516">
        <f t="shared" si="46"/>
        <v>0</v>
      </c>
      <c r="P516">
        <f t="shared" si="43"/>
        <v>4000</v>
      </c>
      <c r="Q516">
        <f t="shared" si="47"/>
        <v>4000</v>
      </c>
      <c r="T516" s="16">
        <f t="shared" si="48"/>
        <v>-0.93726096881157694</v>
      </c>
    </row>
    <row r="517" spans="7:20" ht="14.4" x14ac:dyDescent="0.25">
      <c r="G517" s="10">
        <v>510</v>
      </c>
      <c r="H517" s="9">
        <v>3521</v>
      </c>
      <c r="I517" s="14">
        <f>DATE(2012,12,31)-67</f>
        <v>41207</v>
      </c>
      <c r="J517" s="15" t="s">
        <v>25</v>
      </c>
      <c r="K517" s="9">
        <v>50</v>
      </c>
      <c r="L517" s="16" t="s">
        <v>26</v>
      </c>
      <c r="M517" s="16">
        <f t="shared" si="44"/>
        <v>1.687010542718838</v>
      </c>
      <c r="N517">
        <f t="shared" si="45"/>
        <v>0</v>
      </c>
      <c r="O517">
        <f t="shared" si="46"/>
        <v>0</v>
      </c>
      <c r="P517">
        <f t="shared" si="43"/>
        <v>5900</v>
      </c>
      <c r="Q517">
        <f t="shared" si="47"/>
        <v>5900</v>
      </c>
      <c r="T517" s="16">
        <f t="shared" si="48"/>
        <v>1.6870105427188375</v>
      </c>
    </row>
    <row r="518" spans="7:20" ht="14.4" x14ac:dyDescent="0.25">
      <c r="G518" s="10">
        <v>587</v>
      </c>
      <c r="H518" s="9">
        <v>4007</v>
      </c>
      <c r="I518" s="14">
        <f>DATE(2012,12,31)-928</f>
        <v>40346</v>
      </c>
      <c r="J518" s="15" t="s">
        <v>17</v>
      </c>
      <c r="K518" s="9">
        <v>18</v>
      </c>
      <c r="L518" s="16" t="s">
        <v>26</v>
      </c>
      <c r="M518" s="16">
        <f t="shared" si="44"/>
        <v>-0.52290230909624791</v>
      </c>
      <c r="N518">
        <f t="shared" si="45"/>
        <v>0</v>
      </c>
      <c r="O518">
        <f t="shared" si="46"/>
        <v>0</v>
      </c>
      <c r="P518">
        <f t="shared" si="43"/>
        <v>4300</v>
      </c>
      <c r="Q518">
        <f t="shared" si="47"/>
        <v>4300</v>
      </c>
      <c r="T518" s="16">
        <f t="shared" si="48"/>
        <v>-0.52290230909624835</v>
      </c>
    </row>
    <row r="519" spans="7:20" ht="14.4" x14ac:dyDescent="0.25">
      <c r="G519" s="10">
        <v>588</v>
      </c>
      <c r="H519" s="9">
        <v>4007</v>
      </c>
      <c r="I519" s="14">
        <f>DATE(2012,12,31)-928</f>
        <v>40346</v>
      </c>
      <c r="J519" s="15" t="s">
        <v>17</v>
      </c>
      <c r="K519" s="9">
        <v>1</v>
      </c>
      <c r="L519" s="16" t="s">
        <v>26</v>
      </c>
      <c r="M519" s="16">
        <f t="shared" si="44"/>
        <v>-1.6969185116230123</v>
      </c>
      <c r="N519">
        <f t="shared" si="45"/>
        <v>0</v>
      </c>
      <c r="O519">
        <f t="shared" si="46"/>
        <v>0</v>
      </c>
      <c r="P519">
        <f t="shared" si="43"/>
        <v>3450</v>
      </c>
      <c r="Q519">
        <f t="shared" si="47"/>
        <v>3450</v>
      </c>
      <c r="T519" s="16">
        <f t="shared" si="48"/>
        <v>-1.6969185116230128</v>
      </c>
    </row>
    <row r="520" spans="7:20" ht="14.4" x14ac:dyDescent="0.25">
      <c r="G520" s="10">
        <v>632</v>
      </c>
      <c r="H520" s="9">
        <v>4416</v>
      </c>
      <c r="I520" s="14">
        <f>DATE(2012,12,31)-185</f>
        <v>41089</v>
      </c>
      <c r="J520" s="15" t="s">
        <v>25</v>
      </c>
      <c r="K520" s="9">
        <v>46</v>
      </c>
      <c r="L520" s="16" t="s">
        <v>26</v>
      </c>
      <c r="M520" s="16">
        <f t="shared" si="44"/>
        <v>1.4107714362419523</v>
      </c>
      <c r="N520">
        <f t="shared" si="45"/>
        <v>0</v>
      </c>
      <c r="O520">
        <f t="shared" si="46"/>
        <v>0</v>
      </c>
      <c r="P520">
        <f t="shared" si="43"/>
        <v>5700</v>
      </c>
      <c r="Q520">
        <f t="shared" si="47"/>
        <v>5700</v>
      </c>
      <c r="T520" s="16">
        <f t="shared" si="48"/>
        <v>1.4107714362419519</v>
      </c>
    </row>
    <row r="521" spans="7:20" ht="14.4" x14ac:dyDescent="0.25">
      <c r="G521" s="10">
        <v>636</v>
      </c>
      <c r="H521" s="9">
        <v>4454</v>
      </c>
      <c r="I521" s="14">
        <f>DATE(2012,12,31)-1429</f>
        <v>39845</v>
      </c>
      <c r="J521" s="15" t="s">
        <v>25</v>
      </c>
      <c r="K521" s="9">
        <v>17</v>
      </c>
      <c r="L521" s="16" t="s">
        <v>26</v>
      </c>
      <c r="M521" s="16">
        <f t="shared" si="44"/>
        <v>-0.59196208571546938</v>
      </c>
      <c r="N521">
        <f t="shared" si="45"/>
        <v>0</v>
      </c>
      <c r="O521">
        <f t="shared" si="46"/>
        <v>0</v>
      </c>
      <c r="P521">
        <f t="shared" si="43"/>
        <v>4250</v>
      </c>
      <c r="Q521">
        <f t="shared" si="47"/>
        <v>4250</v>
      </c>
      <c r="T521" s="16">
        <f t="shared" si="48"/>
        <v>-0.59196208571546971</v>
      </c>
    </row>
    <row r="522" spans="7:20" ht="14.4" x14ac:dyDescent="0.25">
      <c r="G522" s="10">
        <v>719</v>
      </c>
      <c r="H522" s="9">
        <v>5153</v>
      </c>
      <c r="I522" s="14">
        <f>DATE(2012,12,31)-494</f>
        <v>40780</v>
      </c>
      <c r="J522" s="15" t="s">
        <v>30</v>
      </c>
      <c r="K522" s="9">
        <v>37</v>
      </c>
      <c r="L522" s="16" t="s">
        <v>29</v>
      </c>
      <c r="M522" s="16">
        <f t="shared" si="44"/>
        <v>0.78923344666895934</v>
      </c>
      <c r="N522">
        <f t="shared" si="45"/>
        <v>0</v>
      </c>
      <c r="O522">
        <f t="shared" si="46"/>
        <v>0</v>
      </c>
      <c r="P522">
        <f t="shared" si="43"/>
        <v>5250</v>
      </c>
      <c r="Q522">
        <f t="shared" si="47"/>
        <v>5250</v>
      </c>
      <c r="T522" s="16">
        <f t="shared" si="48"/>
        <v>0.789233446668959</v>
      </c>
    </row>
    <row r="523" spans="7:20" ht="14.4" x14ac:dyDescent="0.25">
      <c r="G523" s="10">
        <v>762</v>
      </c>
      <c r="H523" s="9">
        <v>5446</v>
      </c>
      <c r="I523" s="14">
        <f>DATE(2012,12,31)-1290</f>
        <v>39984</v>
      </c>
      <c r="J523" s="15" t="s">
        <v>25</v>
      </c>
      <c r="K523" s="9">
        <v>42</v>
      </c>
      <c r="L523" s="16" t="s">
        <v>26</v>
      </c>
      <c r="M523" s="16">
        <f t="shared" si="44"/>
        <v>1.1345323297650665</v>
      </c>
      <c r="N523">
        <f t="shared" si="45"/>
        <v>0</v>
      </c>
      <c r="O523">
        <f t="shared" si="46"/>
        <v>0</v>
      </c>
      <c r="P523">
        <f t="shared" si="43"/>
        <v>5500</v>
      </c>
      <c r="Q523">
        <f t="shared" si="47"/>
        <v>5500</v>
      </c>
      <c r="T523" s="16">
        <f t="shared" si="48"/>
        <v>1.1345323297650662</v>
      </c>
    </row>
    <row r="524" spans="7:20" ht="14.4" x14ac:dyDescent="0.25">
      <c r="G524" s="10">
        <v>1106</v>
      </c>
      <c r="H524" s="9">
        <v>8131</v>
      </c>
      <c r="I524" s="14">
        <f>DATE(2012,12,31)-973</f>
        <v>40301</v>
      </c>
      <c r="J524" s="15" t="s">
        <v>30</v>
      </c>
      <c r="K524" s="9">
        <v>24</v>
      </c>
      <c r="L524" s="16" t="s">
        <v>27</v>
      </c>
      <c r="M524" s="16">
        <f t="shared" si="44"/>
        <v>-0.1085436493809193</v>
      </c>
      <c r="N524">
        <f t="shared" si="45"/>
        <v>0</v>
      </c>
      <c r="O524">
        <f t="shared" si="46"/>
        <v>0</v>
      </c>
      <c r="P524">
        <f t="shared" ref="P524:P587" si="49">50*K524+$P$10</f>
        <v>4600</v>
      </c>
      <c r="Q524">
        <f t="shared" si="47"/>
        <v>4600</v>
      </c>
      <c r="T524" s="16">
        <f t="shared" si="48"/>
        <v>-0.10854364938091969</v>
      </c>
    </row>
    <row r="525" spans="7:20" ht="14.4" x14ac:dyDescent="0.25">
      <c r="G525" s="10">
        <v>1225</v>
      </c>
      <c r="H525" s="9">
        <v>8994</v>
      </c>
      <c r="I525" s="14">
        <f>DATE(2012,12,31)-1364</f>
        <v>39910</v>
      </c>
      <c r="J525" s="15" t="s">
        <v>25</v>
      </c>
      <c r="K525" s="9">
        <v>36</v>
      </c>
      <c r="L525" s="16" t="s">
        <v>27</v>
      </c>
      <c r="M525" s="16">
        <f t="shared" ref="M525:M588" si="50">(K525-$K$4)/$K$7</f>
        <v>0.72017367004973787</v>
      </c>
      <c r="N525">
        <f t="shared" ref="N525:N588" si="51">IF(MOD($B$20+G525,1000)=0,1,0)</f>
        <v>0</v>
      </c>
      <c r="O525">
        <f t="shared" ref="O525:O588" si="52">+ROUND(N525*(IF(K525&lt;$K$4,-4.5,10.5)*$P$5),-2)</f>
        <v>0</v>
      </c>
      <c r="P525">
        <f t="shared" si="49"/>
        <v>5200</v>
      </c>
      <c r="Q525">
        <f t="shared" ref="Q525:Q588" si="53">P525+O525</f>
        <v>5200</v>
      </c>
      <c r="T525" s="16">
        <f t="shared" ref="T525:T588" si="54">(Q525-$P$4)/$P$5</f>
        <v>0.72017367004973754</v>
      </c>
    </row>
    <row r="526" spans="7:20" ht="14.4" x14ac:dyDescent="0.25">
      <c r="G526" s="10">
        <v>1241</v>
      </c>
      <c r="H526" s="9">
        <v>9027</v>
      </c>
      <c r="I526" s="14">
        <f>DATE(2012,12,31)-486</f>
        <v>40788</v>
      </c>
      <c r="J526" s="15" t="s">
        <v>25</v>
      </c>
      <c r="K526" s="9">
        <v>30</v>
      </c>
      <c r="L526" s="16" t="s">
        <v>27</v>
      </c>
      <c r="M526" s="16">
        <f t="shared" si="50"/>
        <v>0.30581501033440933</v>
      </c>
      <c r="N526">
        <f t="shared" si="51"/>
        <v>0</v>
      </c>
      <c r="O526">
        <f t="shared" si="52"/>
        <v>0</v>
      </c>
      <c r="P526">
        <f t="shared" si="49"/>
        <v>4900</v>
      </c>
      <c r="Q526">
        <f t="shared" si="53"/>
        <v>4900</v>
      </c>
      <c r="T526" s="16">
        <f t="shared" si="54"/>
        <v>0.30581501033440894</v>
      </c>
    </row>
    <row r="527" spans="7:20" ht="14.4" x14ac:dyDescent="0.25">
      <c r="G527" s="10">
        <v>1264</v>
      </c>
      <c r="H527" s="9">
        <v>9216</v>
      </c>
      <c r="I527" s="14">
        <f>DATE(2012,12,31)-627</f>
        <v>40647</v>
      </c>
      <c r="J527" s="15" t="s">
        <v>16</v>
      </c>
      <c r="K527" s="9">
        <v>36</v>
      </c>
      <c r="L527" s="16" t="s">
        <v>26</v>
      </c>
      <c r="M527" s="16">
        <f t="shared" si="50"/>
        <v>0.72017367004973787</v>
      </c>
      <c r="N527">
        <f t="shared" si="51"/>
        <v>0</v>
      </c>
      <c r="O527">
        <f t="shared" si="52"/>
        <v>0</v>
      </c>
      <c r="P527">
        <f t="shared" si="49"/>
        <v>5200</v>
      </c>
      <c r="Q527">
        <f t="shared" si="53"/>
        <v>5200</v>
      </c>
      <c r="T527" s="16">
        <f t="shared" si="54"/>
        <v>0.72017367004973754</v>
      </c>
    </row>
    <row r="528" spans="7:20" ht="14.4" x14ac:dyDescent="0.25">
      <c r="G528" s="10">
        <v>1302</v>
      </c>
      <c r="H528" s="9">
        <v>9537</v>
      </c>
      <c r="I528" s="14">
        <f>DATE(2012,12,31)-687</f>
        <v>40587</v>
      </c>
      <c r="J528" s="15" t="s">
        <v>28</v>
      </c>
      <c r="K528" s="9">
        <v>6</v>
      </c>
      <c r="L528" s="16" t="s">
        <v>29</v>
      </c>
      <c r="M528" s="16">
        <f t="shared" si="50"/>
        <v>-1.3516196285269051</v>
      </c>
      <c r="N528">
        <f t="shared" si="51"/>
        <v>0</v>
      </c>
      <c r="O528">
        <f t="shared" si="52"/>
        <v>0</v>
      </c>
      <c r="P528">
        <f t="shared" si="49"/>
        <v>3700</v>
      </c>
      <c r="Q528">
        <f t="shared" si="53"/>
        <v>3700</v>
      </c>
      <c r="T528" s="16">
        <f t="shared" si="54"/>
        <v>-1.3516196285269055</v>
      </c>
    </row>
    <row r="529" spans="7:20" ht="14.4" x14ac:dyDescent="0.25">
      <c r="G529" s="10">
        <v>1303</v>
      </c>
      <c r="H529" s="9">
        <v>9537</v>
      </c>
      <c r="I529" s="14">
        <f>DATE(2012,12,31)-687</f>
        <v>40587</v>
      </c>
      <c r="J529" s="15" t="s">
        <v>28</v>
      </c>
      <c r="K529" s="9">
        <v>43</v>
      </c>
      <c r="L529" s="16" t="s">
        <v>26</v>
      </c>
      <c r="M529" s="16">
        <f t="shared" si="50"/>
        <v>1.203592106384288</v>
      </c>
      <c r="N529">
        <f t="shared" si="51"/>
        <v>0</v>
      </c>
      <c r="O529">
        <f t="shared" si="52"/>
        <v>0</v>
      </c>
      <c r="P529">
        <f t="shared" si="49"/>
        <v>5550</v>
      </c>
      <c r="Q529">
        <f t="shared" si="53"/>
        <v>5550</v>
      </c>
      <c r="T529" s="16">
        <f t="shared" si="54"/>
        <v>1.2035921063842876</v>
      </c>
    </row>
    <row r="530" spans="7:20" ht="14.4" x14ac:dyDescent="0.25">
      <c r="G530" s="10">
        <v>1307</v>
      </c>
      <c r="H530" s="9">
        <v>9574</v>
      </c>
      <c r="I530" s="14">
        <f>DATE(2012,12,31)-520</f>
        <v>40754</v>
      </c>
      <c r="J530" s="15" t="s">
        <v>16</v>
      </c>
      <c r="K530" s="9">
        <v>40</v>
      </c>
      <c r="L530" s="16" t="s">
        <v>26</v>
      </c>
      <c r="M530" s="16">
        <f t="shared" si="50"/>
        <v>0.99641277652662363</v>
      </c>
      <c r="N530">
        <f t="shared" si="51"/>
        <v>0</v>
      </c>
      <c r="O530">
        <f t="shared" si="52"/>
        <v>0</v>
      </c>
      <c r="P530">
        <f t="shared" si="49"/>
        <v>5400</v>
      </c>
      <c r="Q530">
        <f t="shared" si="53"/>
        <v>5400</v>
      </c>
      <c r="T530" s="16">
        <f t="shared" si="54"/>
        <v>0.9964127765266233</v>
      </c>
    </row>
    <row r="531" spans="7:20" ht="14.4" x14ac:dyDescent="0.25">
      <c r="G531" s="10">
        <v>1442</v>
      </c>
      <c r="H531" s="9">
        <v>10435</v>
      </c>
      <c r="I531" s="14">
        <f>DATE(2012,12,31)-874</f>
        <v>40400</v>
      </c>
      <c r="J531" s="15" t="s">
        <v>16</v>
      </c>
      <c r="K531" s="9">
        <v>38</v>
      </c>
      <c r="L531" s="16" t="s">
        <v>26</v>
      </c>
      <c r="M531" s="16">
        <f t="shared" si="50"/>
        <v>0.85829322328818081</v>
      </c>
      <c r="N531">
        <f t="shared" si="51"/>
        <v>0</v>
      </c>
      <c r="O531">
        <f t="shared" si="52"/>
        <v>0</v>
      </c>
      <c r="P531">
        <f t="shared" si="49"/>
        <v>5300</v>
      </c>
      <c r="Q531">
        <f t="shared" si="53"/>
        <v>5300</v>
      </c>
      <c r="T531" s="16">
        <f t="shared" si="54"/>
        <v>0.85829322328818036</v>
      </c>
    </row>
    <row r="532" spans="7:20" ht="14.4" x14ac:dyDescent="0.25">
      <c r="G532" s="10">
        <v>1443</v>
      </c>
      <c r="H532" s="9">
        <v>10435</v>
      </c>
      <c r="I532" s="14">
        <f>DATE(2012,12,31)-874</f>
        <v>40400</v>
      </c>
      <c r="J532" s="15" t="s">
        <v>16</v>
      </c>
      <c r="K532" s="9">
        <v>46</v>
      </c>
      <c r="L532" s="16" t="s">
        <v>26</v>
      </c>
      <c r="M532" s="16">
        <f t="shared" si="50"/>
        <v>1.4107714362419523</v>
      </c>
      <c r="N532">
        <f t="shared" si="51"/>
        <v>0</v>
      </c>
      <c r="O532">
        <f t="shared" si="52"/>
        <v>0</v>
      </c>
      <c r="P532">
        <f t="shared" si="49"/>
        <v>5700</v>
      </c>
      <c r="Q532">
        <f t="shared" si="53"/>
        <v>5700</v>
      </c>
      <c r="T532" s="16">
        <f t="shared" si="54"/>
        <v>1.4107714362419519</v>
      </c>
    </row>
    <row r="533" spans="7:20" ht="14.4" x14ac:dyDescent="0.25">
      <c r="G533" s="10">
        <v>1501</v>
      </c>
      <c r="H533" s="9">
        <v>10851</v>
      </c>
      <c r="I533" s="14">
        <f>DATE(2012,12,31)-1365</f>
        <v>39909</v>
      </c>
      <c r="J533" s="15" t="s">
        <v>17</v>
      </c>
      <c r="K533" s="9">
        <v>50</v>
      </c>
      <c r="L533" s="16" t="s">
        <v>26</v>
      </c>
      <c r="M533" s="16">
        <f t="shared" si="50"/>
        <v>1.687010542718838</v>
      </c>
      <c r="N533">
        <f t="shared" si="51"/>
        <v>0</v>
      </c>
      <c r="O533">
        <f t="shared" si="52"/>
        <v>0</v>
      </c>
      <c r="P533">
        <f t="shared" si="49"/>
        <v>5900</v>
      </c>
      <c r="Q533">
        <f t="shared" si="53"/>
        <v>5900</v>
      </c>
      <c r="T533" s="16">
        <f t="shared" si="54"/>
        <v>1.6870105427188375</v>
      </c>
    </row>
    <row r="534" spans="7:20" ht="14.4" x14ac:dyDescent="0.25">
      <c r="G534" s="10">
        <v>1503</v>
      </c>
      <c r="H534" s="9">
        <v>10852</v>
      </c>
      <c r="I534" s="14">
        <f>DATE(2012,12,31)-797</f>
        <v>40477</v>
      </c>
      <c r="J534" s="15" t="s">
        <v>17</v>
      </c>
      <c r="K534" s="9">
        <v>17</v>
      </c>
      <c r="L534" s="16" t="s">
        <v>26</v>
      </c>
      <c r="M534" s="16">
        <f t="shared" si="50"/>
        <v>-0.59196208571546938</v>
      </c>
      <c r="N534">
        <f t="shared" si="51"/>
        <v>0</v>
      </c>
      <c r="O534">
        <f t="shared" si="52"/>
        <v>0</v>
      </c>
      <c r="P534">
        <f t="shared" si="49"/>
        <v>4250</v>
      </c>
      <c r="Q534">
        <f t="shared" si="53"/>
        <v>4250</v>
      </c>
      <c r="T534" s="16">
        <f t="shared" si="54"/>
        <v>-0.59196208571546971</v>
      </c>
    </row>
    <row r="535" spans="7:20" ht="14.4" x14ac:dyDescent="0.25">
      <c r="G535" s="10">
        <v>1504</v>
      </c>
      <c r="H535" s="9">
        <v>10852</v>
      </c>
      <c r="I535" s="14">
        <f>DATE(2012,12,31)-797</f>
        <v>40477</v>
      </c>
      <c r="J535" s="15" t="s">
        <v>17</v>
      </c>
      <c r="K535" s="9">
        <v>40</v>
      </c>
      <c r="L535" s="16" t="s">
        <v>29</v>
      </c>
      <c r="M535" s="16">
        <f t="shared" si="50"/>
        <v>0.99641277652662363</v>
      </c>
      <c r="N535">
        <f t="shared" si="51"/>
        <v>0</v>
      </c>
      <c r="O535">
        <f t="shared" si="52"/>
        <v>0</v>
      </c>
      <c r="P535">
        <f t="shared" si="49"/>
        <v>5400</v>
      </c>
      <c r="Q535">
        <f t="shared" si="53"/>
        <v>5400</v>
      </c>
      <c r="T535" s="16">
        <f t="shared" si="54"/>
        <v>0.9964127765266233</v>
      </c>
    </row>
    <row r="536" spans="7:20" ht="14.4" x14ac:dyDescent="0.25">
      <c r="G536" s="10">
        <v>1560</v>
      </c>
      <c r="H536" s="9">
        <v>11269</v>
      </c>
      <c r="I536" s="14">
        <f>DATE(2012,12,31)-219</f>
        <v>41055</v>
      </c>
      <c r="J536" s="15" t="s">
        <v>25</v>
      </c>
      <c r="K536" s="9">
        <v>39</v>
      </c>
      <c r="L536" s="16" t="s">
        <v>27</v>
      </c>
      <c r="M536" s="16">
        <f t="shared" si="50"/>
        <v>0.92735299990740228</v>
      </c>
      <c r="N536">
        <f t="shared" si="51"/>
        <v>0</v>
      </c>
      <c r="O536">
        <f t="shared" si="52"/>
        <v>0</v>
      </c>
      <c r="P536">
        <f t="shared" si="49"/>
        <v>5350</v>
      </c>
      <c r="Q536">
        <f t="shared" si="53"/>
        <v>5350</v>
      </c>
      <c r="T536" s="16">
        <f t="shared" si="54"/>
        <v>0.92735299990740183</v>
      </c>
    </row>
    <row r="537" spans="7:20" ht="14.4" x14ac:dyDescent="0.25">
      <c r="G537" s="10">
        <v>1561</v>
      </c>
      <c r="H537" s="9">
        <v>11269</v>
      </c>
      <c r="I537" s="14">
        <f>DATE(2012,12,31)-219</f>
        <v>41055</v>
      </c>
      <c r="J537" s="15" t="s">
        <v>25</v>
      </c>
      <c r="K537" s="9">
        <v>49</v>
      </c>
      <c r="L537" s="16" t="s">
        <v>26</v>
      </c>
      <c r="M537" s="16">
        <f t="shared" si="50"/>
        <v>1.6179507660996166</v>
      </c>
      <c r="N537">
        <f t="shared" si="51"/>
        <v>0</v>
      </c>
      <c r="O537">
        <f t="shared" si="52"/>
        <v>0</v>
      </c>
      <c r="P537">
        <f t="shared" si="49"/>
        <v>5850</v>
      </c>
      <c r="Q537">
        <f t="shared" si="53"/>
        <v>5850</v>
      </c>
      <c r="T537" s="16">
        <f t="shared" si="54"/>
        <v>1.6179507660996162</v>
      </c>
    </row>
    <row r="538" spans="7:20" ht="14.4" x14ac:dyDescent="0.25">
      <c r="G538" s="10">
        <v>1562</v>
      </c>
      <c r="H538" s="9">
        <v>11269</v>
      </c>
      <c r="I538" s="14">
        <f>DATE(2012,12,31)-219</f>
        <v>41055</v>
      </c>
      <c r="J538" s="15" t="s">
        <v>25</v>
      </c>
      <c r="K538" s="9">
        <v>1</v>
      </c>
      <c r="L538" s="16" t="s">
        <v>26</v>
      </c>
      <c r="M538" s="16">
        <f t="shared" si="50"/>
        <v>-1.6969185116230123</v>
      </c>
      <c r="N538">
        <f t="shared" si="51"/>
        <v>0</v>
      </c>
      <c r="O538">
        <f t="shared" si="52"/>
        <v>0</v>
      </c>
      <c r="P538">
        <f t="shared" si="49"/>
        <v>3450</v>
      </c>
      <c r="Q538">
        <f t="shared" si="53"/>
        <v>3450</v>
      </c>
      <c r="T538" s="16">
        <f t="shared" si="54"/>
        <v>-1.6969185116230128</v>
      </c>
    </row>
    <row r="539" spans="7:20" ht="14.4" x14ac:dyDescent="0.25">
      <c r="G539" s="10">
        <v>1571</v>
      </c>
      <c r="H539" s="9">
        <v>11362</v>
      </c>
      <c r="I539" s="14">
        <f>DATE(2012,12,31)-112</f>
        <v>41162</v>
      </c>
      <c r="J539" s="15" t="s">
        <v>25</v>
      </c>
      <c r="K539" s="9">
        <v>32</v>
      </c>
      <c r="L539" s="16" t="s">
        <v>29</v>
      </c>
      <c r="M539" s="16">
        <f t="shared" si="50"/>
        <v>0.44393456357285216</v>
      </c>
      <c r="N539">
        <f t="shared" si="51"/>
        <v>0</v>
      </c>
      <c r="O539">
        <f t="shared" si="52"/>
        <v>0</v>
      </c>
      <c r="P539">
        <f t="shared" si="49"/>
        <v>5000</v>
      </c>
      <c r="Q539">
        <f t="shared" si="53"/>
        <v>5000</v>
      </c>
      <c r="T539" s="16">
        <f t="shared" si="54"/>
        <v>0.44393456357285183</v>
      </c>
    </row>
    <row r="540" spans="7:20" ht="14.4" x14ac:dyDescent="0.25">
      <c r="G540" s="10">
        <v>1572</v>
      </c>
      <c r="H540" s="9">
        <v>11362</v>
      </c>
      <c r="I540" s="14">
        <f>DATE(2012,12,31)-112</f>
        <v>41162</v>
      </c>
      <c r="J540" s="15" t="s">
        <v>25</v>
      </c>
      <c r="K540" s="9">
        <v>27</v>
      </c>
      <c r="L540" s="16" t="s">
        <v>26</v>
      </c>
      <c r="M540" s="16">
        <f t="shared" si="50"/>
        <v>9.8635680476745008E-2</v>
      </c>
      <c r="N540">
        <f t="shared" si="51"/>
        <v>0</v>
      </c>
      <c r="O540">
        <f t="shared" si="52"/>
        <v>0</v>
      </c>
      <c r="P540">
        <f t="shared" si="49"/>
        <v>4750</v>
      </c>
      <c r="Q540">
        <f t="shared" si="53"/>
        <v>4750</v>
      </c>
      <c r="T540" s="16">
        <f t="shared" si="54"/>
        <v>9.8635680476744619E-2</v>
      </c>
    </row>
    <row r="541" spans="7:20" ht="14.4" x14ac:dyDescent="0.25">
      <c r="G541" s="10">
        <v>1573</v>
      </c>
      <c r="H541" s="9">
        <v>11362</v>
      </c>
      <c r="I541" s="14">
        <f>DATE(2012,12,31)-112</f>
        <v>41162</v>
      </c>
      <c r="J541" s="15" t="s">
        <v>25</v>
      </c>
      <c r="K541" s="9">
        <v>9</v>
      </c>
      <c r="L541" s="16" t="s">
        <v>27</v>
      </c>
      <c r="M541" s="16">
        <f t="shared" si="50"/>
        <v>-1.1444402986692408</v>
      </c>
      <c r="N541">
        <f t="shared" si="51"/>
        <v>0</v>
      </c>
      <c r="O541">
        <f t="shared" si="52"/>
        <v>0</v>
      </c>
      <c r="P541">
        <f t="shared" si="49"/>
        <v>3850</v>
      </c>
      <c r="Q541">
        <f t="shared" si="53"/>
        <v>3850</v>
      </c>
      <c r="T541" s="16">
        <f t="shared" si="54"/>
        <v>-1.1444402986692412</v>
      </c>
    </row>
    <row r="542" spans="7:20" ht="14.4" x14ac:dyDescent="0.25">
      <c r="G542" s="10">
        <v>1574</v>
      </c>
      <c r="H542" s="9">
        <v>11362</v>
      </c>
      <c r="I542" s="14">
        <f>DATE(2012,12,31)-112</f>
        <v>41162</v>
      </c>
      <c r="J542" s="15" t="s">
        <v>25</v>
      </c>
      <c r="K542" s="9">
        <v>25</v>
      </c>
      <c r="L542" s="16" t="s">
        <v>27</v>
      </c>
      <c r="M542" s="16">
        <f t="shared" si="50"/>
        <v>-3.9483872761697868E-2</v>
      </c>
      <c r="N542">
        <f t="shared" si="51"/>
        <v>0</v>
      </c>
      <c r="O542">
        <f t="shared" si="52"/>
        <v>0</v>
      </c>
      <c r="P542">
        <f t="shared" si="49"/>
        <v>4650</v>
      </c>
      <c r="Q542">
        <f t="shared" si="53"/>
        <v>4650</v>
      </c>
      <c r="T542" s="16">
        <f t="shared" si="54"/>
        <v>-3.9483872761698249E-2</v>
      </c>
    </row>
    <row r="543" spans="7:20" ht="14.4" x14ac:dyDescent="0.25">
      <c r="G543" s="10">
        <v>1659</v>
      </c>
      <c r="H543" s="9">
        <v>11968</v>
      </c>
      <c r="I543" s="14">
        <f>DATE(2012,12,31)-656</f>
        <v>40618</v>
      </c>
      <c r="J543" s="15" t="s">
        <v>25</v>
      </c>
      <c r="K543" s="9">
        <v>31</v>
      </c>
      <c r="L543" s="16" t="s">
        <v>26</v>
      </c>
      <c r="M543" s="16">
        <f t="shared" si="50"/>
        <v>0.37487478695363075</v>
      </c>
      <c r="N543">
        <f t="shared" si="51"/>
        <v>0</v>
      </c>
      <c r="O543">
        <f t="shared" si="52"/>
        <v>0</v>
      </c>
      <c r="P543">
        <f t="shared" si="49"/>
        <v>4950</v>
      </c>
      <c r="Q543">
        <f t="shared" si="53"/>
        <v>4950</v>
      </c>
      <c r="T543" s="16">
        <f t="shared" si="54"/>
        <v>0.37487478695363036</v>
      </c>
    </row>
    <row r="544" spans="7:20" ht="14.4" x14ac:dyDescent="0.25">
      <c r="G544" s="10">
        <v>1712</v>
      </c>
      <c r="H544" s="9">
        <v>12293</v>
      </c>
      <c r="I544" s="14">
        <f>DATE(2012,12,31)-562</f>
        <v>40712</v>
      </c>
      <c r="J544" s="15" t="s">
        <v>17</v>
      </c>
      <c r="K544" s="9">
        <v>31</v>
      </c>
      <c r="L544" s="16" t="s">
        <v>26</v>
      </c>
      <c r="M544" s="16">
        <f t="shared" si="50"/>
        <v>0.37487478695363075</v>
      </c>
      <c r="N544">
        <f t="shared" si="51"/>
        <v>0</v>
      </c>
      <c r="O544">
        <f t="shared" si="52"/>
        <v>0</v>
      </c>
      <c r="P544">
        <f t="shared" si="49"/>
        <v>4950</v>
      </c>
      <c r="Q544">
        <f t="shared" si="53"/>
        <v>4950</v>
      </c>
      <c r="T544" s="16">
        <f t="shared" si="54"/>
        <v>0.37487478695363036</v>
      </c>
    </row>
    <row r="545" spans="7:20" ht="14.4" x14ac:dyDescent="0.25">
      <c r="G545" s="10">
        <v>1783</v>
      </c>
      <c r="H545" s="9">
        <v>12773</v>
      </c>
      <c r="I545" s="14">
        <f>DATE(2012,12,31)-720</f>
        <v>40554</v>
      </c>
      <c r="J545" s="15" t="s">
        <v>25</v>
      </c>
      <c r="K545" s="9">
        <v>6</v>
      </c>
      <c r="L545" s="16" t="s">
        <v>26</v>
      </c>
      <c r="M545" s="16">
        <f t="shared" si="50"/>
        <v>-1.3516196285269051</v>
      </c>
      <c r="N545">
        <f t="shared" si="51"/>
        <v>0</v>
      </c>
      <c r="O545">
        <f t="shared" si="52"/>
        <v>0</v>
      </c>
      <c r="P545">
        <f t="shared" si="49"/>
        <v>3700</v>
      </c>
      <c r="Q545">
        <f t="shared" si="53"/>
        <v>3700</v>
      </c>
      <c r="T545" s="16">
        <f t="shared" si="54"/>
        <v>-1.3516196285269055</v>
      </c>
    </row>
    <row r="546" spans="7:20" ht="14.4" x14ac:dyDescent="0.25">
      <c r="G546" s="10">
        <v>1784</v>
      </c>
      <c r="H546" s="9">
        <v>12773</v>
      </c>
      <c r="I546" s="14">
        <f>DATE(2012,12,31)-720</f>
        <v>40554</v>
      </c>
      <c r="J546" s="15" t="s">
        <v>25</v>
      </c>
      <c r="K546" s="9">
        <v>15</v>
      </c>
      <c r="L546" s="16" t="s">
        <v>29</v>
      </c>
      <c r="M546" s="16">
        <f t="shared" si="50"/>
        <v>-0.7300816389539122</v>
      </c>
      <c r="N546">
        <f t="shared" si="51"/>
        <v>0</v>
      </c>
      <c r="O546">
        <f t="shared" si="52"/>
        <v>0</v>
      </c>
      <c r="P546">
        <f t="shared" si="49"/>
        <v>4150</v>
      </c>
      <c r="Q546">
        <f t="shared" si="53"/>
        <v>4150</v>
      </c>
      <c r="T546" s="16">
        <f t="shared" si="54"/>
        <v>-0.73008163895391265</v>
      </c>
    </row>
    <row r="547" spans="7:20" ht="14.4" x14ac:dyDescent="0.25">
      <c r="G547" s="10">
        <v>1785</v>
      </c>
      <c r="H547" s="9">
        <v>12773</v>
      </c>
      <c r="I547" s="14">
        <f>DATE(2012,12,31)-720</f>
        <v>40554</v>
      </c>
      <c r="J547" s="15" t="s">
        <v>25</v>
      </c>
      <c r="K547" s="9">
        <v>19</v>
      </c>
      <c r="L547" s="16" t="s">
        <v>26</v>
      </c>
      <c r="M547" s="16">
        <f t="shared" si="50"/>
        <v>-0.45384253247702649</v>
      </c>
      <c r="N547">
        <f t="shared" si="51"/>
        <v>0</v>
      </c>
      <c r="O547">
        <f t="shared" si="52"/>
        <v>0</v>
      </c>
      <c r="P547">
        <f t="shared" si="49"/>
        <v>4350</v>
      </c>
      <c r="Q547">
        <f t="shared" si="53"/>
        <v>4350</v>
      </c>
      <c r="T547" s="16">
        <f t="shared" si="54"/>
        <v>-0.45384253247702688</v>
      </c>
    </row>
    <row r="548" spans="7:20" ht="14.4" x14ac:dyDescent="0.25">
      <c r="G548" s="10">
        <v>1786</v>
      </c>
      <c r="H548" s="9">
        <v>12773</v>
      </c>
      <c r="I548" s="14">
        <f>DATE(2012,12,31)-720</f>
        <v>40554</v>
      </c>
      <c r="J548" s="15" t="s">
        <v>25</v>
      </c>
      <c r="K548" s="9">
        <v>21</v>
      </c>
      <c r="L548" s="16" t="s">
        <v>26</v>
      </c>
      <c r="M548" s="16">
        <f t="shared" si="50"/>
        <v>-0.31572297923858361</v>
      </c>
      <c r="N548">
        <f t="shared" si="51"/>
        <v>0</v>
      </c>
      <c r="O548">
        <f t="shared" si="52"/>
        <v>0</v>
      </c>
      <c r="P548">
        <f t="shared" si="49"/>
        <v>4450</v>
      </c>
      <c r="Q548">
        <f t="shared" si="53"/>
        <v>4450</v>
      </c>
      <c r="T548" s="16">
        <f t="shared" si="54"/>
        <v>-0.315722979238584</v>
      </c>
    </row>
    <row r="549" spans="7:20" ht="14.4" x14ac:dyDescent="0.25">
      <c r="G549" s="10">
        <v>1810</v>
      </c>
      <c r="H549" s="9">
        <v>12934</v>
      </c>
      <c r="I549" s="14">
        <f>DATE(2012,12,31)-1397</f>
        <v>39877</v>
      </c>
      <c r="J549" s="15" t="s">
        <v>28</v>
      </c>
      <c r="K549" s="9">
        <v>45</v>
      </c>
      <c r="L549" s="16" t="s">
        <v>26</v>
      </c>
      <c r="M549" s="16">
        <f t="shared" si="50"/>
        <v>1.3417116596227308</v>
      </c>
      <c r="N549">
        <f t="shared" si="51"/>
        <v>0</v>
      </c>
      <c r="O549">
        <f t="shared" si="52"/>
        <v>0</v>
      </c>
      <c r="P549">
        <f t="shared" si="49"/>
        <v>5650</v>
      </c>
      <c r="Q549">
        <f t="shared" si="53"/>
        <v>5650</v>
      </c>
      <c r="T549" s="16">
        <f t="shared" si="54"/>
        <v>1.3417116596227305</v>
      </c>
    </row>
    <row r="550" spans="7:20" ht="14.4" x14ac:dyDescent="0.25">
      <c r="G550" s="10">
        <v>1811</v>
      </c>
      <c r="H550" s="9">
        <v>12934</v>
      </c>
      <c r="I550" s="14">
        <f>DATE(2012,12,31)-1397</f>
        <v>39877</v>
      </c>
      <c r="J550" s="15" t="s">
        <v>28</v>
      </c>
      <c r="K550" s="9">
        <v>27</v>
      </c>
      <c r="L550" s="16" t="s">
        <v>26</v>
      </c>
      <c r="M550" s="16">
        <f t="shared" si="50"/>
        <v>9.8635680476745008E-2</v>
      </c>
      <c r="N550">
        <f t="shared" si="51"/>
        <v>0</v>
      </c>
      <c r="O550">
        <f t="shared" si="52"/>
        <v>0</v>
      </c>
      <c r="P550">
        <f t="shared" si="49"/>
        <v>4750</v>
      </c>
      <c r="Q550">
        <f t="shared" si="53"/>
        <v>4750</v>
      </c>
      <c r="T550" s="16">
        <f t="shared" si="54"/>
        <v>9.8635680476744619E-2</v>
      </c>
    </row>
    <row r="551" spans="7:20" ht="14.4" x14ac:dyDescent="0.25">
      <c r="G551" s="10">
        <v>1826</v>
      </c>
      <c r="H551" s="9">
        <v>13120</v>
      </c>
      <c r="I551" s="14">
        <f>DATE(2012,12,31)-1113</f>
        <v>40161</v>
      </c>
      <c r="J551" s="15" t="s">
        <v>25</v>
      </c>
      <c r="K551" s="9">
        <v>46</v>
      </c>
      <c r="L551" s="16" t="s">
        <v>26</v>
      </c>
      <c r="M551" s="16">
        <f t="shared" si="50"/>
        <v>1.4107714362419523</v>
      </c>
      <c r="N551">
        <f t="shared" si="51"/>
        <v>0</v>
      </c>
      <c r="O551">
        <f t="shared" si="52"/>
        <v>0</v>
      </c>
      <c r="P551">
        <f t="shared" si="49"/>
        <v>5700</v>
      </c>
      <c r="Q551">
        <f t="shared" si="53"/>
        <v>5700</v>
      </c>
      <c r="T551" s="16">
        <f t="shared" si="54"/>
        <v>1.4107714362419519</v>
      </c>
    </row>
    <row r="552" spans="7:20" ht="14.4" x14ac:dyDescent="0.25">
      <c r="G552" s="10">
        <v>1827</v>
      </c>
      <c r="H552" s="9">
        <v>13120</v>
      </c>
      <c r="I552" s="14">
        <f>DATE(2012,12,31)-1113</f>
        <v>40161</v>
      </c>
      <c r="J552" s="15" t="s">
        <v>25</v>
      </c>
      <c r="K552" s="9">
        <v>8</v>
      </c>
      <c r="L552" s="16" t="s">
        <v>26</v>
      </c>
      <c r="M552" s="16">
        <f t="shared" si="50"/>
        <v>-1.2135000752884624</v>
      </c>
      <c r="N552">
        <f t="shared" si="51"/>
        <v>0</v>
      </c>
      <c r="O552">
        <f t="shared" si="52"/>
        <v>0</v>
      </c>
      <c r="P552">
        <f t="shared" si="49"/>
        <v>3800</v>
      </c>
      <c r="Q552">
        <f t="shared" si="53"/>
        <v>3800</v>
      </c>
      <c r="T552" s="16">
        <f t="shared" si="54"/>
        <v>-1.2135000752884626</v>
      </c>
    </row>
    <row r="553" spans="7:20" ht="14.4" x14ac:dyDescent="0.25">
      <c r="G553" s="10">
        <v>1896</v>
      </c>
      <c r="H553" s="9">
        <v>13604</v>
      </c>
      <c r="I553" s="14">
        <f>DATE(2012,12,31)-1428</f>
        <v>39846</v>
      </c>
      <c r="J553" s="15" t="s">
        <v>28</v>
      </c>
      <c r="K553" s="9">
        <v>38</v>
      </c>
      <c r="L553" s="16" t="s">
        <v>27</v>
      </c>
      <c r="M553" s="16">
        <f t="shared" si="50"/>
        <v>0.85829322328818081</v>
      </c>
      <c r="N553">
        <f t="shared" si="51"/>
        <v>0</v>
      </c>
      <c r="O553">
        <f t="shared" si="52"/>
        <v>0</v>
      </c>
      <c r="P553">
        <f t="shared" si="49"/>
        <v>5300</v>
      </c>
      <c r="Q553">
        <f t="shared" si="53"/>
        <v>5300</v>
      </c>
      <c r="T553" s="16">
        <f t="shared" si="54"/>
        <v>0.85829322328818036</v>
      </c>
    </row>
    <row r="554" spans="7:20" ht="14.4" x14ac:dyDescent="0.25">
      <c r="G554" s="10">
        <v>1897</v>
      </c>
      <c r="H554" s="9">
        <v>13604</v>
      </c>
      <c r="I554" s="14">
        <f>DATE(2012,12,31)-1428</f>
        <v>39846</v>
      </c>
      <c r="J554" s="15" t="s">
        <v>28</v>
      </c>
      <c r="K554" s="9">
        <v>42</v>
      </c>
      <c r="L554" s="16" t="s">
        <v>29</v>
      </c>
      <c r="M554" s="16">
        <f t="shared" si="50"/>
        <v>1.1345323297650665</v>
      </c>
      <c r="N554">
        <f t="shared" si="51"/>
        <v>0</v>
      </c>
      <c r="O554">
        <f t="shared" si="52"/>
        <v>0</v>
      </c>
      <c r="P554">
        <f t="shared" si="49"/>
        <v>5500</v>
      </c>
      <c r="Q554">
        <f t="shared" si="53"/>
        <v>5500</v>
      </c>
      <c r="T554" s="16">
        <f t="shared" si="54"/>
        <v>1.1345323297650662</v>
      </c>
    </row>
    <row r="555" spans="7:20" ht="14.4" x14ac:dyDescent="0.25">
      <c r="G555" s="10">
        <v>1947</v>
      </c>
      <c r="H555" s="9">
        <v>13927</v>
      </c>
      <c r="I555" s="14">
        <f>DATE(2012,12,31)-1223</f>
        <v>40051</v>
      </c>
      <c r="J555" s="15" t="s">
        <v>25</v>
      </c>
      <c r="K555" s="9">
        <v>26</v>
      </c>
      <c r="L555" s="16" t="s">
        <v>26</v>
      </c>
      <c r="M555" s="16">
        <f t="shared" si="50"/>
        <v>2.9575903857523567E-2</v>
      </c>
      <c r="N555">
        <f t="shared" si="51"/>
        <v>0</v>
      </c>
      <c r="O555">
        <f t="shared" si="52"/>
        <v>0</v>
      </c>
      <c r="P555">
        <f t="shared" si="49"/>
        <v>4700</v>
      </c>
      <c r="Q555">
        <f t="shared" si="53"/>
        <v>4700</v>
      </c>
      <c r="T555" s="16">
        <f t="shared" si="54"/>
        <v>2.9575903857523185E-2</v>
      </c>
    </row>
    <row r="556" spans="7:20" ht="14.4" x14ac:dyDescent="0.25">
      <c r="G556" s="10">
        <v>2104</v>
      </c>
      <c r="H556" s="9">
        <v>15044</v>
      </c>
      <c r="I556" s="14">
        <f>DATE(2012,12,31)-300</f>
        <v>40974</v>
      </c>
      <c r="J556" s="15" t="s">
        <v>25</v>
      </c>
      <c r="K556" s="9">
        <v>42</v>
      </c>
      <c r="L556" s="16" t="s">
        <v>27</v>
      </c>
      <c r="M556" s="16">
        <f t="shared" si="50"/>
        <v>1.1345323297650665</v>
      </c>
      <c r="N556">
        <f t="shared" si="51"/>
        <v>0</v>
      </c>
      <c r="O556">
        <f t="shared" si="52"/>
        <v>0</v>
      </c>
      <c r="P556">
        <f t="shared" si="49"/>
        <v>5500</v>
      </c>
      <c r="Q556">
        <f t="shared" si="53"/>
        <v>5500</v>
      </c>
      <c r="T556" s="16">
        <f t="shared" si="54"/>
        <v>1.1345323297650662</v>
      </c>
    </row>
    <row r="557" spans="7:20" ht="14.4" x14ac:dyDescent="0.25">
      <c r="G557" s="10">
        <v>2124</v>
      </c>
      <c r="H557" s="9">
        <v>15139</v>
      </c>
      <c r="I557" s="14">
        <f>DATE(2012,12,31)-1138</f>
        <v>40136</v>
      </c>
      <c r="J557" s="15" t="s">
        <v>17</v>
      </c>
      <c r="K557" s="9">
        <v>17</v>
      </c>
      <c r="L557" s="16" t="s">
        <v>29</v>
      </c>
      <c r="M557" s="16">
        <f t="shared" si="50"/>
        <v>-0.59196208571546938</v>
      </c>
      <c r="N557">
        <f t="shared" si="51"/>
        <v>0</v>
      </c>
      <c r="O557">
        <f t="shared" si="52"/>
        <v>0</v>
      </c>
      <c r="P557">
        <f t="shared" si="49"/>
        <v>4250</v>
      </c>
      <c r="Q557">
        <f t="shared" si="53"/>
        <v>4250</v>
      </c>
      <c r="T557" s="16">
        <f t="shared" si="54"/>
        <v>-0.59196208571546971</v>
      </c>
    </row>
    <row r="558" spans="7:20" ht="14.4" x14ac:dyDescent="0.25">
      <c r="G558" s="10">
        <v>2125</v>
      </c>
      <c r="H558" s="9">
        <v>15139</v>
      </c>
      <c r="I558" s="14">
        <f>DATE(2012,12,31)-1138</f>
        <v>40136</v>
      </c>
      <c r="J558" s="15" t="s">
        <v>17</v>
      </c>
      <c r="K558" s="9">
        <v>33</v>
      </c>
      <c r="L558" s="16" t="s">
        <v>26</v>
      </c>
      <c r="M558" s="16">
        <f t="shared" si="50"/>
        <v>0.51299434019207357</v>
      </c>
      <c r="N558">
        <f t="shared" si="51"/>
        <v>0</v>
      </c>
      <c r="O558">
        <f t="shared" si="52"/>
        <v>0</v>
      </c>
      <c r="P558">
        <f t="shared" si="49"/>
        <v>5050</v>
      </c>
      <c r="Q558">
        <f t="shared" si="53"/>
        <v>5050</v>
      </c>
      <c r="T558" s="16">
        <f t="shared" si="54"/>
        <v>0.51299434019207324</v>
      </c>
    </row>
    <row r="559" spans="7:20" ht="14.4" x14ac:dyDescent="0.25">
      <c r="G559" s="10">
        <v>2158</v>
      </c>
      <c r="H559" s="9">
        <v>15463</v>
      </c>
      <c r="I559" s="14">
        <f>DATE(2012,12,31)-891</f>
        <v>40383</v>
      </c>
      <c r="J559" s="15" t="s">
        <v>25</v>
      </c>
      <c r="K559" s="9">
        <v>48</v>
      </c>
      <c r="L559" s="16" t="s">
        <v>26</v>
      </c>
      <c r="M559" s="16">
        <f t="shared" si="50"/>
        <v>1.5488909894803951</v>
      </c>
      <c r="N559">
        <f t="shared" si="51"/>
        <v>0</v>
      </c>
      <c r="O559">
        <f t="shared" si="52"/>
        <v>0</v>
      </c>
      <c r="P559">
        <f t="shared" si="49"/>
        <v>5800</v>
      </c>
      <c r="Q559">
        <f t="shared" si="53"/>
        <v>5800</v>
      </c>
      <c r="T559" s="16">
        <f t="shared" si="54"/>
        <v>1.5488909894803948</v>
      </c>
    </row>
    <row r="560" spans="7:20" ht="14.4" x14ac:dyDescent="0.25">
      <c r="G560" s="10">
        <v>2164</v>
      </c>
      <c r="H560" s="9">
        <v>15618</v>
      </c>
      <c r="I560" s="14">
        <f>DATE(2012,12,31)-880</f>
        <v>40394</v>
      </c>
      <c r="J560" s="15" t="s">
        <v>16</v>
      </c>
      <c r="K560" s="9">
        <v>9</v>
      </c>
      <c r="L560" s="16" t="s">
        <v>26</v>
      </c>
      <c r="M560" s="16">
        <f t="shared" si="50"/>
        <v>-1.1444402986692408</v>
      </c>
      <c r="N560">
        <f t="shared" si="51"/>
        <v>0</v>
      </c>
      <c r="O560">
        <f t="shared" si="52"/>
        <v>0</v>
      </c>
      <c r="P560">
        <f t="shared" si="49"/>
        <v>3850</v>
      </c>
      <c r="Q560">
        <f t="shared" si="53"/>
        <v>3850</v>
      </c>
      <c r="T560" s="16">
        <f t="shared" si="54"/>
        <v>-1.1444402986692412</v>
      </c>
    </row>
    <row r="561" spans="7:20" ht="14.4" x14ac:dyDescent="0.25">
      <c r="G561" s="10">
        <v>2165</v>
      </c>
      <c r="H561" s="9">
        <v>15618</v>
      </c>
      <c r="I561" s="14">
        <f>DATE(2012,12,31)-880</f>
        <v>40394</v>
      </c>
      <c r="J561" s="15" t="s">
        <v>16</v>
      </c>
      <c r="K561" s="9">
        <v>44</v>
      </c>
      <c r="L561" s="16" t="s">
        <v>26</v>
      </c>
      <c r="M561" s="16">
        <f t="shared" si="50"/>
        <v>1.2726518830035094</v>
      </c>
      <c r="N561">
        <f t="shared" si="51"/>
        <v>0</v>
      </c>
      <c r="O561">
        <f t="shared" si="52"/>
        <v>0</v>
      </c>
      <c r="P561">
        <f t="shared" si="49"/>
        <v>5600</v>
      </c>
      <c r="Q561">
        <f t="shared" si="53"/>
        <v>5600</v>
      </c>
      <c r="T561" s="16">
        <f t="shared" si="54"/>
        <v>1.272651883003509</v>
      </c>
    </row>
    <row r="562" spans="7:20" ht="14.4" x14ac:dyDescent="0.25">
      <c r="G562" s="10">
        <v>2166</v>
      </c>
      <c r="H562" s="9">
        <v>15618</v>
      </c>
      <c r="I562" s="14">
        <f>DATE(2012,12,31)-880</f>
        <v>40394</v>
      </c>
      <c r="J562" s="15" t="s">
        <v>16</v>
      </c>
      <c r="K562" s="9">
        <v>14</v>
      </c>
      <c r="L562" s="16" t="s">
        <v>27</v>
      </c>
      <c r="M562" s="16">
        <f t="shared" si="50"/>
        <v>-0.79914141557313367</v>
      </c>
      <c r="N562">
        <f t="shared" si="51"/>
        <v>0</v>
      </c>
      <c r="O562">
        <f t="shared" si="52"/>
        <v>0</v>
      </c>
      <c r="P562">
        <f t="shared" si="49"/>
        <v>4100</v>
      </c>
      <c r="Q562">
        <f t="shared" si="53"/>
        <v>4100</v>
      </c>
      <c r="T562" s="16">
        <f t="shared" si="54"/>
        <v>-0.79914141557313401</v>
      </c>
    </row>
    <row r="563" spans="7:20" ht="14.4" x14ac:dyDescent="0.25">
      <c r="G563" s="10">
        <v>2227</v>
      </c>
      <c r="H563" s="9">
        <v>16100</v>
      </c>
      <c r="I563" s="14">
        <f>DATE(2012,12,31)-665</f>
        <v>40609</v>
      </c>
      <c r="J563" s="15" t="s">
        <v>16</v>
      </c>
      <c r="K563" s="9">
        <v>44</v>
      </c>
      <c r="L563" s="16" t="s">
        <v>29</v>
      </c>
      <c r="M563" s="16">
        <f t="shared" si="50"/>
        <v>1.2726518830035094</v>
      </c>
      <c r="N563">
        <f t="shared" si="51"/>
        <v>0</v>
      </c>
      <c r="O563">
        <f t="shared" si="52"/>
        <v>0</v>
      </c>
      <c r="P563">
        <f t="shared" si="49"/>
        <v>5600</v>
      </c>
      <c r="Q563">
        <f t="shared" si="53"/>
        <v>5600</v>
      </c>
      <c r="T563" s="16">
        <f t="shared" si="54"/>
        <v>1.272651883003509</v>
      </c>
    </row>
    <row r="564" spans="7:20" ht="14.4" x14ac:dyDescent="0.25">
      <c r="G564" s="10">
        <v>2269</v>
      </c>
      <c r="H564" s="9">
        <v>16320</v>
      </c>
      <c r="I564" s="14">
        <f>DATE(2012,12,31)-438</f>
        <v>40836</v>
      </c>
      <c r="J564" s="15" t="s">
        <v>28</v>
      </c>
      <c r="K564" s="9">
        <v>17</v>
      </c>
      <c r="L564" s="16" t="s">
        <v>27</v>
      </c>
      <c r="M564" s="16">
        <f t="shared" si="50"/>
        <v>-0.59196208571546938</v>
      </c>
      <c r="N564">
        <f t="shared" si="51"/>
        <v>0</v>
      </c>
      <c r="O564">
        <f t="shared" si="52"/>
        <v>0</v>
      </c>
      <c r="P564">
        <f t="shared" si="49"/>
        <v>4250</v>
      </c>
      <c r="Q564">
        <f t="shared" si="53"/>
        <v>4250</v>
      </c>
      <c r="T564" s="16">
        <f t="shared" si="54"/>
        <v>-0.59196208571546971</v>
      </c>
    </row>
    <row r="565" spans="7:20" ht="14.4" x14ac:dyDescent="0.25">
      <c r="G565" s="10">
        <v>2278</v>
      </c>
      <c r="H565" s="9">
        <v>16419</v>
      </c>
      <c r="I565" s="14">
        <f>DATE(2012,12,31)-1245</f>
        <v>40029</v>
      </c>
      <c r="J565" s="15" t="s">
        <v>28</v>
      </c>
      <c r="K565" s="9">
        <v>43</v>
      </c>
      <c r="L565" s="16" t="s">
        <v>26</v>
      </c>
      <c r="M565" s="16">
        <f t="shared" si="50"/>
        <v>1.203592106384288</v>
      </c>
      <c r="N565">
        <f t="shared" si="51"/>
        <v>0</v>
      </c>
      <c r="O565">
        <f t="shared" si="52"/>
        <v>0</v>
      </c>
      <c r="P565">
        <f t="shared" si="49"/>
        <v>5550</v>
      </c>
      <c r="Q565">
        <f t="shared" si="53"/>
        <v>5550</v>
      </c>
      <c r="T565" s="16">
        <f t="shared" si="54"/>
        <v>1.2035921063842876</v>
      </c>
    </row>
    <row r="566" spans="7:20" ht="14.4" x14ac:dyDescent="0.25">
      <c r="G566" s="10">
        <v>2362</v>
      </c>
      <c r="H566" s="9">
        <v>17090</v>
      </c>
      <c r="I566" s="14">
        <f>DATE(2012,12,31)-978</f>
        <v>40296</v>
      </c>
      <c r="J566" s="15" t="s">
        <v>25</v>
      </c>
      <c r="K566" s="9">
        <v>30</v>
      </c>
      <c r="L566" s="16" t="s">
        <v>29</v>
      </c>
      <c r="M566" s="16">
        <f t="shared" si="50"/>
        <v>0.30581501033440933</v>
      </c>
      <c r="N566">
        <f t="shared" si="51"/>
        <v>0</v>
      </c>
      <c r="O566">
        <f t="shared" si="52"/>
        <v>0</v>
      </c>
      <c r="P566">
        <f t="shared" si="49"/>
        <v>4900</v>
      </c>
      <c r="Q566">
        <f t="shared" si="53"/>
        <v>4900</v>
      </c>
      <c r="T566" s="16">
        <f t="shared" si="54"/>
        <v>0.30581501033440894</v>
      </c>
    </row>
    <row r="567" spans="7:20" ht="14.4" x14ac:dyDescent="0.25">
      <c r="G567" s="10">
        <v>2363</v>
      </c>
      <c r="H567" s="9">
        <v>17090</v>
      </c>
      <c r="I567" s="14">
        <f>DATE(2012,12,31)-978</f>
        <v>40296</v>
      </c>
      <c r="J567" s="15" t="s">
        <v>25</v>
      </c>
      <c r="K567" s="9">
        <v>26</v>
      </c>
      <c r="L567" s="16" t="s">
        <v>29</v>
      </c>
      <c r="M567" s="16">
        <f t="shared" si="50"/>
        <v>2.9575903857523567E-2</v>
      </c>
      <c r="N567">
        <f t="shared" si="51"/>
        <v>0</v>
      </c>
      <c r="O567">
        <f t="shared" si="52"/>
        <v>0</v>
      </c>
      <c r="P567">
        <f t="shared" si="49"/>
        <v>4700</v>
      </c>
      <c r="Q567">
        <f t="shared" si="53"/>
        <v>4700</v>
      </c>
      <c r="T567" s="16">
        <f t="shared" si="54"/>
        <v>2.9575903857523185E-2</v>
      </c>
    </row>
    <row r="568" spans="7:20" ht="14.4" x14ac:dyDescent="0.25">
      <c r="G568" s="10">
        <v>2391</v>
      </c>
      <c r="H568" s="9">
        <v>17315</v>
      </c>
      <c r="I568" s="14">
        <f>DATE(2012,12,31)-1349</f>
        <v>39925</v>
      </c>
      <c r="J568" s="15" t="s">
        <v>25</v>
      </c>
      <c r="K568" s="9">
        <v>29</v>
      </c>
      <c r="L568" s="16" t="s">
        <v>26</v>
      </c>
      <c r="M568" s="16">
        <f t="shared" si="50"/>
        <v>0.23675523371518786</v>
      </c>
      <c r="N568">
        <f t="shared" si="51"/>
        <v>0</v>
      </c>
      <c r="O568">
        <f t="shared" si="52"/>
        <v>0</v>
      </c>
      <c r="P568">
        <f t="shared" si="49"/>
        <v>4850</v>
      </c>
      <c r="Q568">
        <f t="shared" si="53"/>
        <v>4850</v>
      </c>
      <c r="T568" s="16">
        <f t="shared" si="54"/>
        <v>0.2367552337151875</v>
      </c>
    </row>
    <row r="569" spans="7:20" ht="14.4" x14ac:dyDescent="0.25">
      <c r="G569" s="10">
        <v>2395</v>
      </c>
      <c r="H569" s="9">
        <v>17376</v>
      </c>
      <c r="I569" s="14">
        <f>DATE(2012,12,31)-393</f>
        <v>40881</v>
      </c>
      <c r="J569" s="15" t="s">
        <v>17</v>
      </c>
      <c r="K569" s="9">
        <v>44</v>
      </c>
      <c r="L569" s="16" t="s">
        <v>27</v>
      </c>
      <c r="M569" s="16">
        <f t="shared" si="50"/>
        <v>1.2726518830035094</v>
      </c>
      <c r="N569">
        <f t="shared" si="51"/>
        <v>0</v>
      </c>
      <c r="O569">
        <f t="shared" si="52"/>
        <v>0</v>
      </c>
      <c r="P569">
        <f t="shared" si="49"/>
        <v>5600</v>
      </c>
      <c r="Q569">
        <f t="shared" si="53"/>
        <v>5600</v>
      </c>
      <c r="T569" s="16">
        <f t="shared" si="54"/>
        <v>1.272651883003509</v>
      </c>
    </row>
    <row r="570" spans="7:20" ht="14.4" x14ac:dyDescent="0.25">
      <c r="G570" s="10">
        <v>2506</v>
      </c>
      <c r="H570" s="9">
        <v>18210</v>
      </c>
      <c r="I570" s="14">
        <f>DATE(2012,12,31)-878</f>
        <v>40396</v>
      </c>
      <c r="J570" s="15" t="s">
        <v>28</v>
      </c>
      <c r="K570" s="9">
        <v>27</v>
      </c>
      <c r="L570" s="16" t="s">
        <v>26</v>
      </c>
      <c r="M570" s="16">
        <f t="shared" si="50"/>
        <v>9.8635680476745008E-2</v>
      </c>
      <c r="N570">
        <f t="shared" si="51"/>
        <v>0</v>
      </c>
      <c r="O570">
        <f t="shared" si="52"/>
        <v>0</v>
      </c>
      <c r="P570">
        <f t="shared" si="49"/>
        <v>4750</v>
      </c>
      <c r="Q570">
        <f t="shared" si="53"/>
        <v>4750</v>
      </c>
      <c r="T570" s="16">
        <f t="shared" si="54"/>
        <v>9.8635680476744619E-2</v>
      </c>
    </row>
    <row r="571" spans="7:20" ht="14.4" x14ac:dyDescent="0.25">
      <c r="G571" s="10">
        <v>2507</v>
      </c>
      <c r="H571" s="9">
        <v>18210</v>
      </c>
      <c r="I571" s="14">
        <f>DATE(2012,12,31)-878</f>
        <v>40396</v>
      </c>
      <c r="J571" s="15" t="s">
        <v>28</v>
      </c>
      <c r="K571" s="9">
        <v>27</v>
      </c>
      <c r="L571" s="16" t="s">
        <v>26</v>
      </c>
      <c r="M571" s="16">
        <f t="shared" si="50"/>
        <v>9.8635680476745008E-2</v>
      </c>
      <c r="N571">
        <f t="shared" si="51"/>
        <v>0</v>
      </c>
      <c r="O571">
        <f t="shared" si="52"/>
        <v>0</v>
      </c>
      <c r="P571">
        <f t="shared" si="49"/>
        <v>4750</v>
      </c>
      <c r="Q571">
        <f t="shared" si="53"/>
        <v>4750</v>
      </c>
      <c r="T571" s="16">
        <f t="shared" si="54"/>
        <v>9.8635680476744619E-2</v>
      </c>
    </row>
    <row r="572" spans="7:20" ht="14.4" x14ac:dyDescent="0.25">
      <c r="G572" s="10">
        <v>2514</v>
      </c>
      <c r="H572" s="9">
        <v>18273</v>
      </c>
      <c r="I572" s="14">
        <f>DATE(2012,12,31)-473</f>
        <v>40801</v>
      </c>
      <c r="J572" s="15" t="s">
        <v>25</v>
      </c>
      <c r="K572" s="9">
        <v>18</v>
      </c>
      <c r="L572" s="16" t="s">
        <v>27</v>
      </c>
      <c r="M572" s="16">
        <f t="shared" si="50"/>
        <v>-0.52290230909624791</v>
      </c>
      <c r="N572">
        <f t="shared" si="51"/>
        <v>0</v>
      </c>
      <c r="O572">
        <f t="shared" si="52"/>
        <v>0</v>
      </c>
      <c r="P572">
        <f t="shared" si="49"/>
        <v>4300</v>
      </c>
      <c r="Q572">
        <f t="shared" si="53"/>
        <v>4300</v>
      </c>
      <c r="T572" s="16">
        <f t="shared" si="54"/>
        <v>-0.52290230909624835</v>
      </c>
    </row>
    <row r="573" spans="7:20" ht="14.4" x14ac:dyDescent="0.25">
      <c r="G573" s="10">
        <v>2600</v>
      </c>
      <c r="H573" s="9">
        <v>18788</v>
      </c>
      <c r="I573" s="14">
        <f>DATE(2012,12,31)-1186</f>
        <v>40088</v>
      </c>
      <c r="J573" s="15" t="s">
        <v>28</v>
      </c>
      <c r="K573" s="9">
        <v>27</v>
      </c>
      <c r="L573" s="16" t="s">
        <v>29</v>
      </c>
      <c r="M573" s="16">
        <f t="shared" si="50"/>
        <v>9.8635680476745008E-2</v>
      </c>
      <c r="N573">
        <f t="shared" si="51"/>
        <v>0</v>
      </c>
      <c r="O573">
        <f t="shared" si="52"/>
        <v>0</v>
      </c>
      <c r="P573">
        <f t="shared" si="49"/>
        <v>4750</v>
      </c>
      <c r="Q573">
        <f t="shared" si="53"/>
        <v>4750</v>
      </c>
      <c r="T573" s="16">
        <f t="shared" si="54"/>
        <v>9.8635680476744619E-2</v>
      </c>
    </row>
    <row r="574" spans="7:20" ht="14.4" x14ac:dyDescent="0.25">
      <c r="G574" s="10">
        <v>2628</v>
      </c>
      <c r="H574" s="9">
        <v>19042</v>
      </c>
      <c r="I574" s="14">
        <f>DATE(2012,12,31)-1401</f>
        <v>39873</v>
      </c>
      <c r="J574" s="15" t="s">
        <v>30</v>
      </c>
      <c r="K574" s="9">
        <v>8</v>
      </c>
      <c r="L574" s="16" t="s">
        <v>26</v>
      </c>
      <c r="M574" s="16">
        <f t="shared" si="50"/>
        <v>-1.2135000752884624</v>
      </c>
      <c r="N574">
        <f t="shared" si="51"/>
        <v>0</v>
      </c>
      <c r="O574">
        <f t="shared" si="52"/>
        <v>0</v>
      </c>
      <c r="P574">
        <f t="shared" si="49"/>
        <v>3800</v>
      </c>
      <c r="Q574">
        <f t="shared" si="53"/>
        <v>3800</v>
      </c>
      <c r="T574" s="16">
        <f t="shared" si="54"/>
        <v>-1.2135000752884626</v>
      </c>
    </row>
    <row r="575" spans="7:20" ht="14.4" x14ac:dyDescent="0.25">
      <c r="G575" s="10">
        <v>2633</v>
      </c>
      <c r="H575" s="9">
        <v>19073</v>
      </c>
      <c r="I575" s="14">
        <f>DATE(2012,12,31)-1286</f>
        <v>39988</v>
      </c>
      <c r="J575" s="15" t="s">
        <v>28</v>
      </c>
      <c r="K575" s="9">
        <v>16</v>
      </c>
      <c r="L575" s="16" t="s">
        <v>29</v>
      </c>
      <c r="M575" s="16">
        <f t="shared" si="50"/>
        <v>-0.66102186233469074</v>
      </c>
      <c r="N575">
        <f t="shared" si="51"/>
        <v>0</v>
      </c>
      <c r="O575">
        <f t="shared" si="52"/>
        <v>0</v>
      </c>
      <c r="P575">
        <f t="shared" si="49"/>
        <v>4200</v>
      </c>
      <c r="Q575">
        <f t="shared" si="53"/>
        <v>4200</v>
      </c>
      <c r="T575" s="16">
        <f t="shared" si="54"/>
        <v>-0.66102186233469118</v>
      </c>
    </row>
    <row r="576" spans="7:20" ht="14.4" x14ac:dyDescent="0.25">
      <c r="G576" s="10">
        <v>2634</v>
      </c>
      <c r="H576" s="9">
        <v>19073</v>
      </c>
      <c r="I576" s="14">
        <f>DATE(2012,12,31)-1286</f>
        <v>39988</v>
      </c>
      <c r="J576" s="15" t="s">
        <v>28</v>
      </c>
      <c r="K576" s="9">
        <v>40</v>
      </c>
      <c r="L576" s="16" t="s">
        <v>26</v>
      </c>
      <c r="M576" s="16">
        <f t="shared" si="50"/>
        <v>0.99641277652662363</v>
      </c>
      <c r="N576">
        <f t="shared" si="51"/>
        <v>0</v>
      </c>
      <c r="O576">
        <f t="shared" si="52"/>
        <v>0</v>
      </c>
      <c r="P576">
        <f t="shared" si="49"/>
        <v>5400</v>
      </c>
      <c r="Q576">
        <f t="shared" si="53"/>
        <v>5400</v>
      </c>
      <c r="T576" s="16">
        <f t="shared" si="54"/>
        <v>0.9964127765266233</v>
      </c>
    </row>
    <row r="577" spans="7:20" ht="14.4" x14ac:dyDescent="0.25">
      <c r="G577" s="10">
        <v>2678</v>
      </c>
      <c r="H577" s="9">
        <v>19365</v>
      </c>
      <c r="I577" s="14">
        <f>DATE(2012,12,31)-715</f>
        <v>40559</v>
      </c>
      <c r="J577" s="15" t="s">
        <v>16</v>
      </c>
      <c r="K577" s="9">
        <v>29</v>
      </c>
      <c r="L577" s="16" t="s">
        <v>26</v>
      </c>
      <c r="M577" s="16">
        <f t="shared" si="50"/>
        <v>0.23675523371518786</v>
      </c>
      <c r="N577">
        <f t="shared" si="51"/>
        <v>0</v>
      </c>
      <c r="O577">
        <f t="shared" si="52"/>
        <v>0</v>
      </c>
      <c r="P577">
        <f t="shared" si="49"/>
        <v>4850</v>
      </c>
      <c r="Q577">
        <f t="shared" si="53"/>
        <v>4850</v>
      </c>
      <c r="T577" s="16">
        <f t="shared" si="54"/>
        <v>0.2367552337151875</v>
      </c>
    </row>
    <row r="578" spans="7:20" ht="14.4" x14ac:dyDescent="0.25">
      <c r="G578" s="10">
        <v>2716</v>
      </c>
      <c r="H578" s="9">
        <v>19617</v>
      </c>
      <c r="I578" s="14">
        <f>DATE(2012,12,31)-346</f>
        <v>40928</v>
      </c>
      <c r="J578" s="15" t="s">
        <v>25</v>
      </c>
      <c r="K578" s="9">
        <v>38</v>
      </c>
      <c r="L578" s="16" t="s">
        <v>27</v>
      </c>
      <c r="M578" s="16">
        <f t="shared" si="50"/>
        <v>0.85829322328818081</v>
      </c>
      <c r="N578">
        <f t="shared" si="51"/>
        <v>0</v>
      </c>
      <c r="O578">
        <f t="shared" si="52"/>
        <v>0</v>
      </c>
      <c r="P578">
        <f t="shared" si="49"/>
        <v>5300</v>
      </c>
      <c r="Q578">
        <f t="shared" si="53"/>
        <v>5300</v>
      </c>
      <c r="T578" s="16">
        <f t="shared" si="54"/>
        <v>0.85829322328818036</v>
      </c>
    </row>
    <row r="579" spans="7:20" ht="14.4" x14ac:dyDescent="0.25">
      <c r="G579" s="10">
        <v>2717</v>
      </c>
      <c r="H579" s="9">
        <v>19617</v>
      </c>
      <c r="I579" s="14">
        <f>DATE(2012,12,31)-346</f>
        <v>40928</v>
      </c>
      <c r="J579" s="15" t="s">
        <v>25</v>
      </c>
      <c r="K579" s="9">
        <v>3</v>
      </c>
      <c r="L579" s="16" t="s">
        <v>27</v>
      </c>
      <c r="M579" s="16">
        <f t="shared" si="50"/>
        <v>-1.5587989583845694</v>
      </c>
      <c r="N579">
        <f t="shared" si="51"/>
        <v>0</v>
      </c>
      <c r="O579">
        <f t="shared" si="52"/>
        <v>0</v>
      </c>
      <c r="P579">
        <f t="shared" si="49"/>
        <v>3550</v>
      </c>
      <c r="Q579">
        <f t="shared" si="53"/>
        <v>3550</v>
      </c>
      <c r="T579" s="16">
        <f t="shared" si="54"/>
        <v>-1.5587989583845698</v>
      </c>
    </row>
    <row r="580" spans="7:20" ht="14.4" x14ac:dyDescent="0.25">
      <c r="G580" s="10">
        <v>2770</v>
      </c>
      <c r="H580" s="9">
        <v>20033</v>
      </c>
      <c r="I580" s="14">
        <f>DATE(2012,12,31)-955</f>
        <v>40319</v>
      </c>
      <c r="J580" s="15" t="s">
        <v>30</v>
      </c>
      <c r="K580" s="9">
        <v>5</v>
      </c>
      <c r="L580" s="16" t="s">
        <v>27</v>
      </c>
      <c r="M580" s="16">
        <f t="shared" si="50"/>
        <v>-1.4206794051461267</v>
      </c>
      <c r="N580">
        <f t="shared" si="51"/>
        <v>0</v>
      </c>
      <c r="O580">
        <f t="shared" si="52"/>
        <v>0</v>
      </c>
      <c r="P580">
        <f t="shared" si="49"/>
        <v>3650</v>
      </c>
      <c r="Q580">
        <f t="shared" si="53"/>
        <v>3650</v>
      </c>
      <c r="T580" s="16">
        <f t="shared" si="54"/>
        <v>-1.4206794051461269</v>
      </c>
    </row>
    <row r="581" spans="7:20" ht="14.4" x14ac:dyDescent="0.25">
      <c r="G581" s="10">
        <v>2930</v>
      </c>
      <c r="H581" s="9">
        <v>21223</v>
      </c>
      <c r="I581" s="14">
        <f>DATE(2012,12,31)-291</f>
        <v>40983</v>
      </c>
      <c r="J581" s="15" t="s">
        <v>28</v>
      </c>
      <c r="K581" s="9">
        <v>3</v>
      </c>
      <c r="L581" s="16" t="s">
        <v>29</v>
      </c>
      <c r="M581" s="16">
        <f t="shared" si="50"/>
        <v>-1.5587989583845694</v>
      </c>
      <c r="N581">
        <f t="shared" si="51"/>
        <v>0</v>
      </c>
      <c r="O581">
        <f t="shared" si="52"/>
        <v>0</v>
      </c>
      <c r="P581">
        <f t="shared" si="49"/>
        <v>3550</v>
      </c>
      <c r="Q581">
        <f t="shared" si="53"/>
        <v>3550</v>
      </c>
      <c r="T581" s="16">
        <f t="shared" si="54"/>
        <v>-1.5587989583845698</v>
      </c>
    </row>
    <row r="582" spans="7:20" ht="14.4" x14ac:dyDescent="0.25">
      <c r="G582" s="10">
        <v>2931</v>
      </c>
      <c r="H582" s="9">
        <v>21223</v>
      </c>
      <c r="I582" s="14">
        <f>DATE(2012,12,31)-291</f>
        <v>40983</v>
      </c>
      <c r="J582" s="15" t="s">
        <v>28</v>
      </c>
      <c r="K582" s="9">
        <v>8</v>
      </c>
      <c r="L582" s="16" t="s">
        <v>29</v>
      </c>
      <c r="M582" s="16">
        <f t="shared" si="50"/>
        <v>-1.2135000752884624</v>
      </c>
      <c r="N582">
        <f t="shared" si="51"/>
        <v>0</v>
      </c>
      <c r="O582">
        <f t="shared" si="52"/>
        <v>0</v>
      </c>
      <c r="P582">
        <f t="shared" si="49"/>
        <v>3800</v>
      </c>
      <c r="Q582">
        <f t="shared" si="53"/>
        <v>3800</v>
      </c>
      <c r="T582" s="16">
        <f t="shared" si="54"/>
        <v>-1.2135000752884626</v>
      </c>
    </row>
    <row r="583" spans="7:20" ht="14.4" x14ac:dyDescent="0.25">
      <c r="G583" s="10">
        <v>2950</v>
      </c>
      <c r="H583" s="9">
        <v>21378</v>
      </c>
      <c r="I583" s="14">
        <f>DATE(2012,12,31)-512</f>
        <v>40762</v>
      </c>
      <c r="J583" s="15" t="s">
        <v>16</v>
      </c>
      <c r="K583" s="9">
        <v>34</v>
      </c>
      <c r="L583" s="16" t="s">
        <v>26</v>
      </c>
      <c r="M583" s="16">
        <f t="shared" si="50"/>
        <v>0.58205411681129504</v>
      </c>
      <c r="N583">
        <f t="shared" si="51"/>
        <v>0</v>
      </c>
      <c r="O583">
        <f t="shared" si="52"/>
        <v>0</v>
      </c>
      <c r="P583">
        <f t="shared" si="49"/>
        <v>5100</v>
      </c>
      <c r="Q583">
        <f t="shared" si="53"/>
        <v>5100</v>
      </c>
      <c r="T583" s="16">
        <f t="shared" si="54"/>
        <v>0.58205411681129471</v>
      </c>
    </row>
    <row r="584" spans="7:20" ht="14.4" x14ac:dyDescent="0.25">
      <c r="G584" s="10">
        <v>2951</v>
      </c>
      <c r="H584" s="9">
        <v>21378</v>
      </c>
      <c r="I584" s="14">
        <f>DATE(2012,12,31)-512</f>
        <v>40762</v>
      </c>
      <c r="J584" s="15" t="s">
        <v>16</v>
      </c>
      <c r="K584" s="9">
        <v>17</v>
      </c>
      <c r="L584" s="16" t="s">
        <v>27</v>
      </c>
      <c r="M584" s="16">
        <f t="shared" si="50"/>
        <v>-0.59196208571546938</v>
      </c>
      <c r="N584">
        <f t="shared" si="51"/>
        <v>0</v>
      </c>
      <c r="O584">
        <f t="shared" si="52"/>
        <v>0</v>
      </c>
      <c r="P584">
        <f t="shared" si="49"/>
        <v>4250</v>
      </c>
      <c r="Q584">
        <f t="shared" si="53"/>
        <v>4250</v>
      </c>
      <c r="T584" s="16">
        <f t="shared" si="54"/>
        <v>-0.59196208571546971</v>
      </c>
    </row>
    <row r="585" spans="7:20" ht="14.4" x14ac:dyDescent="0.25">
      <c r="G585" s="10">
        <v>2984</v>
      </c>
      <c r="H585" s="9">
        <v>21542</v>
      </c>
      <c r="I585" s="14">
        <f>DATE(2012,12,31)-590</f>
        <v>40684</v>
      </c>
      <c r="J585" s="15" t="s">
        <v>17</v>
      </c>
      <c r="K585" s="9">
        <v>18</v>
      </c>
      <c r="L585" s="16" t="s">
        <v>26</v>
      </c>
      <c r="M585" s="16">
        <f t="shared" si="50"/>
        <v>-0.52290230909624791</v>
      </c>
      <c r="N585">
        <f t="shared" si="51"/>
        <v>0</v>
      </c>
      <c r="O585">
        <f t="shared" si="52"/>
        <v>0</v>
      </c>
      <c r="P585">
        <f t="shared" si="49"/>
        <v>4300</v>
      </c>
      <c r="Q585">
        <f t="shared" si="53"/>
        <v>4300</v>
      </c>
      <c r="T585" s="16">
        <f t="shared" si="54"/>
        <v>-0.52290230909624835</v>
      </c>
    </row>
    <row r="586" spans="7:20" ht="14.4" x14ac:dyDescent="0.25">
      <c r="G586" s="10">
        <v>2985</v>
      </c>
      <c r="H586" s="9">
        <v>21542</v>
      </c>
      <c r="I586" s="14">
        <f>DATE(2012,12,31)-590</f>
        <v>40684</v>
      </c>
      <c r="J586" s="15" t="s">
        <v>17</v>
      </c>
      <c r="K586" s="9">
        <v>43</v>
      </c>
      <c r="L586" s="16" t="s">
        <v>29</v>
      </c>
      <c r="M586" s="16">
        <f t="shared" si="50"/>
        <v>1.203592106384288</v>
      </c>
      <c r="N586">
        <f t="shared" si="51"/>
        <v>0</v>
      </c>
      <c r="O586">
        <f t="shared" si="52"/>
        <v>0</v>
      </c>
      <c r="P586">
        <f t="shared" si="49"/>
        <v>5550</v>
      </c>
      <c r="Q586">
        <f t="shared" si="53"/>
        <v>5550</v>
      </c>
      <c r="T586" s="16">
        <f t="shared" si="54"/>
        <v>1.2035921063842876</v>
      </c>
    </row>
    <row r="587" spans="7:20" ht="14.4" x14ac:dyDescent="0.25">
      <c r="G587" s="10">
        <v>3133</v>
      </c>
      <c r="H587" s="9">
        <v>22469</v>
      </c>
      <c r="I587" s="14">
        <f>DATE(2012,12,31)-812</f>
        <v>40462</v>
      </c>
      <c r="J587" s="15" t="s">
        <v>17</v>
      </c>
      <c r="K587" s="9">
        <v>24</v>
      </c>
      <c r="L587" s="16" t="s">
        <v>26</v>
      </c>
      <c r="M587" s="16">
        <f t="shared" si="50"/>
        <v>-0.1085436493809193</v>
      </c>
      <c r="N587">
        <f t="shared" si="51"/>
        <v>0</v>
      </c>
      <c r="O587">
        <f t="shared" si="52"/>
        <v>0</v>
      </c>
      <c r="P587">
        <f t="shared" si="49"/>
        <v>4600</v>
      </c>
      <c r="Q587">
        <f t="shared" si="53"/>
        <v>4600</v>
      </c>
      <c r="T587" s="16">
        <f t="shared" si="54"/>
        <v>-0.10854364938091969</v>
      </c>
    </row>
    <row r="588" spans="7:20" ht="14.4" x14ac:dyDescent="0.25">
      <c r="G588" s="10">
        <v>3134</v>
      </c>
      <c r="H588" s="9">
        <v>22469</v>
      </c>
      <c r="I588" s="14">
        <f>DATE(2012,12,31)-812</f>
        <v>40462</v>
      </c>
      <c r="J588" s="15" t="s">
        <v>17</v>
      </c>
      <c r="K588" s="9">
        <v>23</v>
      </c>
      <c r="L588" s="16" t="s">
        <v>29</v>
      </c>
      <c r="M588" s="16">
        <f t="shared" si="50"/>
        <v>-0.17760342600014073</v>
      </c>
      <c r="N588">
        <f t="shared" si="51"/>
        <v>0</v>
      </c>
      <c r="O588">
        <f t="shared" si="52"/>
        <v>0</v>
      </c>
      <c r="P588">
        <f t="shared" ref="P588:P651" si="55">50*K588+$P$10</f>
        <v>4550</v>
      </c>
      <c r="Q588">
        <f t="shared" si="53"/>
        <v>4550</v>
      </c>
      <c r="T588" s="16">
        <f t="shared" si="54"/>
        <v>-0.17760342600014112</v>
      </c>
    </row>
    <row r="589" spans="7:20" ht="14.4" x14ac:dyDescent="0.25">
      <c r="G589" s="10">
        <v>3155</v>
      </c>
      <c r="H589" s="9">
        <v>22656</v>
      </c>
      <c r="I589" s="14">
        <f>DATE(2012,12,31)-740</f>
        <v>40534</v>
      </c>
      <c r="J589" s="15" t="s">
        <v>28</v>
      </c>
      <c r="K589" s="9">
        <v>10</v>
      </c>
      <c r="L589" s="16" t="s">
        <v>27</v>
      </c>
      <c r="M589" s="16">
        <f t="shared" ref="M589:M652" si="56">(K589-$K$4)/$K$7</f>
        <v>-1.0753805220500194</v>
      </c>
      <c r="N589">
        <f t="shared" ref="N589:N652" si="57">IF(MOD($B$20+G589,1000)=0,1,0)</f>
        <v>0</v>
      </c>
      <c r="O589">
        <f t="shared" ref="O589:O652" si="58">+ROUND(N589*(IF(K589&lt;$K$4,-4.5,10.5)*$P$5),-2)</f>
        <v>0</v>
      </c>
      <c r="P589">
        <f t="shared" si="55"/>
        <v>3900</v>
      </c>
      <c r="Q589">
        <f t="shared" ref="Q589:Q652" si="59">P589+O589</f>
        <v>3900</v>
      </c>
      <c r="T589" s="16">
        <f t="shared" ref="T589:T652" si="60">(Q589-$P$4)/$P$5</f>
        <v>-1.0753805220500199</v>
      </c>
    </row>
    <row r="590" spans="7:20" ht="14.4" x14ac:dyDescent="0.25">
      <c r="G590" s="10">
        <v>3163</v>
      </c>
      <c r="H590" s="9">
        <v>22695</v>
      </c>
      <c r="I590" s="14">
        <f>DATE(2012,12,31)-1277</f>
        <v>39997</v>
      </c>
      <c r="J590" s="15" t="s">
        <v>25</v>
      </c>
      <c r="K590" s="9">
        <v>44</v>
      </c>
      <c r="L590" s="16" t="s">
        <v>26</v>
      </c>
      <c r="M590" s="16">
        <f t="shared" si="56"/>
        <v>1.2726518830035094</v>
      </c>
      <c r="N590">
        <f t="shared" si="57"/>
        <v>0</v>
      </c>
      <c r="O590">
        <f t="shared" si="58"/>
        <v>0</v>
      </c>
      <c r="P590">
        <f t="shared" si="55"/>
        <v>5600</v>
      </c>
      <c r="Q590">
        <f t="shared" si="59"/>
        <v>5600</v>
      </c>
      <c r="T590" s="16">
        <f t="shared" si="60"/>
        <v>1.272651883003509</v>
      </c>
    </row>
    <row r="591" spans="7:20" ht="14.4" x14ac:dyDescent="0.25">
      <c r="G591" s="10">
        <v>3214</v>
      </c>
      <c r="H591" s="9">
        <v>23076</v>
      </c>
      <c r="I591" s="14">
        <f>DATE(2012,12,31)-1314</f>
        <v>39960</v>
      </c>
      <c r="J591" s="15" t="s">
        <v>30</v>
      </c>
      <c r="K591" s="9">
        <v>50</v>
      </c>
      <c r="L591" s="16" t="s">
        <v>29</v>
      </c>
      <c r="M591" s="16">
        <f t="shared" si="56"/>
        <v>1.687010542718838</v>
      </c>
      <c r="N591">
        <f t="shared" si="57"/>
        <v>0</v>
      </c>
      <c r="O591">
        <f t="shared" si="58"/>
        <v>0</v>
      </c>
      <c r="P591">
        <f t="shared" si="55"/>
        <v>5900</v>
      </c>
      <c r="Q591">
        <f t="shared" si="59"/>
        <v>5900</v>
      </c>
      <c r="T591" s="16">
        <f t="shared" si="60"/>
        <v>1.6870105427188375</v>
      </c>
    </row>
    <row r="592" spans="7:20" ht="14.4" x14ac:dyDescent="0.25">
      <c r="G592" s="10">
        <v>3360</v>
      </c>
      <c r="H592" s="9">
        <v>24038</v>
      </c>
      <c r="I592" s="14">
        <f>DATE(2012,12,31)-560</f>
        <v>40714</v>
      </c>
      <c r="J592" s="15" t="s">
        <v>17</v>
      </c>
      <c r="K592" s="9">
        <v>15</v>
      </c>
      <c r="L592" s="16" t="s">
        <v>27</v>
      </c>
      <c r="M592" s="16">
        <f t="shared" si="56"/>
        <v>-0.7300816389539122</v>
      </c>
      <c r="N592">
        <f t="shared" si="57"/>
        <v>0</v>
      </c>
      <c r="O592">
        <f t="shared" si="58"/>
        <v>0</v>
      </c>
      <c r="P592">
        <f t="shared" si="55"/>
        <v>4150</v>
      </c>
      <c r="Q592">
        <f t="shared" si="59"/>
        <v>4150</v>
      </c>
      <c r="T592" s="16">
        <f t="shared" si="60"/>
        <v>-0.73008163895391265</v>
      </c>
    </row>
    <row r="593" spans="7:20" ht="14.4" x14ac:dyDescent="0.25">
      <c r="G593" s="10">
        <v>3365</v>
      </c>
      <c r="H593" s="9">
        <v>24067</v>
      </c>
      <c r="I593" s="14">
        <f>DATE(2012,12,31)-131</f>
        <v>41143</v>
      </c>
      <c r="J593" s="15" t="s">
        <v>17</v>
      </c>
      <c r="K593" s="9">
        <v>19</v>
      </c>
      <c r="L593" s="16" t="s">
        <v>26</v>
      </c>
      <c r="M593" s="16">
        <f t="shared" si="56"/>
        <v>-0.45384253247702649</v>
      </c>
      <c r="N593">
        <f t="shared" si="57"/>
        <v>0</v>
      </c>
      <c r="O593">
        <f t="shared" si="58"/>
        <v>0</v>
      </c>
      <c r="P593">
        <f t="shared" si="55"/>
        <v>4350</v>
      </c>
      <c r="Q593">
        <f t="shared" si="59"/>
        <v>4350</v>
      </c>
      <c r="T593" s="16">
        <f t="shared" si="60"/>
        <v>-0.45384253247702688</v>
      </c>
    </row>
    <row r="594" spans="7:20" ht="14.4" x14ac:dyDescent="0.25">
      <c r="G594" s="10">
        <v>3366</v>
      </c>
      <c r="H594" s="9">
        <v>24067</v>
      </c>
      <c r="I594" s="14">
        <f>DATE(2012,12,31)-131</f>
        <v>41143</v>
      </c>
      <c r="J594" s="15" t="s">
        <v>17</v>
      </c>
      <c r="K594" s="9">
        <v>46</v>
      </c>
      <c r="L594" s="16" t="s">
        <v>27</v>
      </c>
      <c r="M594" s="16">
        <f t="shared" si="56"/>
        <v>1.4107714362419523</v>
      </c>
      <c r="N594">
        <f t="shared" si="57"/>
        <v>0</v>
      </c>
      <c r="O594">
        <f t="shared" si="58"/>
        <v>0</v>
      </c>
      <c r="P594">
        <f t="shared" si="55"/>
        <v>5700</v>
      </c>
      <c r="Q594">
        <f t="shared" si="59"/>
        <v>5700</v>
      </c>
      <c r="T594" s="16">
        <f t="shared" si="60"/>
        <v>1.4107714362419519</v>
      </c>
    </row>
    <row r="595" spans="7:20" ht="14.4" x14ac:dyDescent="0.25">
      <c r="G595" s="10">
        <v>3420</v>
      </c>
      <c r="H595" s="9">
        <v>24388</v>
      </c>
      <c r="I595" s="14">
        <f>DATE(2012,12,31)-705</f>
        <v>40569</v>
      </c>
      <c r="J595" s="15" t="s">
        <v>30</v>
      </c>
      <c r="K595" s="9">
        <v>15</v>
      </c>
      <c r="L595" s="16" t="s">
        <v>27</v>
      </c>
      <c r="M595" s="16">
        <f t="shared" si="56"/>
        <v>-0.7300816389539122</v>
      </c>
      <c r="N595">
        <f t="shared" si="57"/>
        <v>0</v>
      </c>
      <c r="O595">
        <f t="shared" si="58"/>
        <v>0</v>
      </c>
      <c r="P595">
        <f t="shared" si="55"/>
        <v>4150</v>
      </c>
      <c r="Q595">
        <f t="shared" si="59"/>
        <v>4150</v>
      </c>
      <c r="T595" s="16">
        <f t="shared" si="60"/>
        <v>-0.73008163895391265</v>
      </c>
    </row>
    <row r="596" spans="7:20" ht="14.4" x14ac:dyDescent="0.25">
      <c r="G596" s="10">
        <v>3428</v>
      </c>
      <c r="H596" s="9">
        <v>24451</v>
      </c>
      <c r="I596" s="14">
        <f>DATE(2012,12,31)-28</f>
        <v>41246</v>
      </c>
      <c r="J596" s="15" t="s">
        <v>30</v>
      </c>
      <c r="K596" s="9">
        <v>24</v>
      </c>
      <c r="L596" s="16" t="s">
        <v>26</v>
      </c>
      <c r="M596" s="16">
        <f t="shared" si="56"/>
        <v>-0.1085436493809193</v>
      </c>
      <c r="N596">
        <f t="shared" si="57"/>
        <v>0</v>
      </c>
      <c r="O596">
        <f t="shared" si="58"/>
        <v>0</v>
      </c>
      <c r="P596">
        <f t="shared" si="55"/>
        <v>4600</v>
      </c>
      <c r="Q596">
        <f t="shared" si="59"/>
        <v>4600</v>
      </c>
      <c r="T596" s="16">
        <f t="shared" si="60"/>
        <v>-0.10854364938091969</v>
      </c>
    </row>
    <row r="597" spans="7:20" ht="14.4" x14ac:dyDescent="0.25">
      <c r="G597" s="10">
        <v>3487</v>
      </c>
      <c r="H597" s="9">
        <v>24806</v>
      </c>
      <c r="I597" s="14">
        <f>DATE(2012,12,31)-847</f>
        <v>40427</v>
      </c>
      <c r="J597" s="15" t="s">
        <v>28</v>
      </c>
      <c r="K597" s="9">
        <v>20</v>
      </c>
      <c r="L597" s="16" t="s">
        <v>26</v>
      </c>
      <c r="M597" s="16">
        <f t="shared" si="56"/>
        <v>-0.38478275585780503</v>
      </c>
      <c r="N597">
        <f t="shared" si="57"/>
        <v>0</v>
      </c>
      <c r="O597">
        <f t="shared" si="58"/>
        <v>0</v>
      </c>
      <c r="P597">
        <f t="shared" si="55"/>
        <v>4400</v>
      </c>
      <c r="Q597">
        <f t="shared" si="59"/>
        <v>4400</v>
      </c>
      <c r="T597" s="16">
        <f t="shared" si="60"/>
        <v>-0.38478275585780541</v>
      </c>
    </row>
    <row r="598" spans="7:20" ht="14.4" x14ac:dyDescent="0.25">
      <c r="G598" s="10">
        <v>3505</v>
      </c>
      <c r="H598" s="9">
        <v>24965</v>
      </c>
      <c r="I598" s="14">
        <f>DATE(2012,12,31)-643</f>
        <v>40631</v>
      </c>
      <c r="J598" s="15" t="s">
        <v>25</v>
      </c>
      <c r="K598" s="9">
        <v>6</v>
      </c>
      <c r="L598" s="16" t="s">
        <v>26</v>
      </c>
      <c r="M598" s="16">
        <f t="shared" si="56"/>
        <v>-1.3516196285269051</v>
      </c>
      <c r="N598">
        <f t="shared" si="57"/>
        <v>0</v>
      </c>
      <c r="O598">
        <f t="shared" si="58"/>
        <v>0</v>
      </c>
      <c r="P598">
        <f t="shared" si="55"/>
        <v>3700</v>
      </c>
      <c r="Q598">
        <f t="shared" si="59"/>
        <v>3700</v>
      </c>
      <c r="T598" s="16">
        <f t="shared" si="60"/>
        <v>-1.3516196285269055</v>
      </c>
    </row>
    <row r="599" spans="7:20" ht="14.4" x14ac:dyDescent="0.25">
      <c r="G599" s="10">
        <v>3506</v>
      </c>
      <c r="H599" s="9">
        <v>24965</v>
      </c>
      <c r="I599" s="14">
        <f>DATE(2012,12,31)-643</f>
        <v>40631</v>
      </c>
      <c r="J599" s="15" t="s">
        <v>25</v>
      </c>
      <c r="K599" s="9">
        <v>42</v>
      </c>
      <c r="L599" s="16" t="s">
        <v>29</v>
      </c>
      <c r="M599" s="16">
        <f t="shared" si="56"/>
        <v>1.1345323297650665</v>
      </c>
      <c r="N599">
        <f t="shared" si="57"/>
        <v>0</v>
      </c>
      <c r="O599">
        <f t="shared" si="58"/>
        <v>0</v>
      </c>
      <c r="P599">
        <f t="shared" si="55"/>
        <v>5500</v>
      </c>
      <c r="Q599">
        <f t="shared" si="59"/>
        <v>5500</v>
      </c>
      <c r="T599" s="16">
        <f t="shared" si="60"/>
        <v>1.1345323297650662</v>
      </c>
    </row>
    <row r="600" spans="7:20" ht="14.4" x14ac:dyDescent="0.25">
      <c r="G600" s="10">
        <v>3533</v>
      </c>
      <c r="H600" s="9">
        <v>25154</v>
      </c>
      <c r="I600" s="14">
        <f>DATE(2012,12,31)-864</f>
        <v>40410</v>
      </c>
      <c r="J600" s="15" t="s">
        <v>17</v>
      </c>
      <c r="K600" s="9">
        <v>16</v>
      </c>
      <c r="L600" s="16" t="s">
        <v>26</v>
      </c>
      <c r="M600" s="16">
        <f t="shared" si="56"/>
        <v>-0.66102186233469074</v>
      </c>
      <c r="N600">
        <f t="shared" si="57"/>
        <v>1</v>
      </c>
      <c r="O600">
        <f t="shared" si="58"/>
        <v>-3300</v>
      </c>
      <c r="P600">
        <f t="shared" si="55"/>
        <v>4200</v>
      </c>
      <c r="Q600">
        <f t="shared" si="59"/>
        <v>900</v>
      </c>
      <c r="T600" s="16">
        <f t="shared" si="60"/>
        <v>-5.218967119203306</v>
      </c>
    </row>
    <row r="601" spans="7:20" ht="14.4" x14ac:dyDescent="0.25">
      <c r="G601" s="10">
        <v>3549</v>
      </c>
      <c r="H601" s="9">
        <v>25315</v>
      </c>
      <c r="I601" s="14">
        <f>DATE(2012,12,31)-760</f>
        <v>40514</v>
      </c>
      <c r="J601" s="15" t="s">
        <v>25</v>
      </c>
      <c r="K601" s="9">
        <v>36</v>
      </c>
      <c r="L601" s="16" t="s">
        <v>26</v>
      </c>
      <c r="M601" s="16">
        <f t="shared" si="56"/>
        <v>0.72017367004973787</v>
      </c>
      <c r="N601">
        <f t="shared" si="57"/>
        <v>0</v>
      </c>
      <c r="O601">
        <f t="shared" si="58"/>
        <v>0</v>
      </c>
      <c r="P601">
        <f t="shared" si="55"/>
        <v>5200</v>
      </c>
      <c r="Q601">
        <f t="shared" si="59"/>
        <v>5200</v>
      </c>
      <c r="T601" s="16">
        <f t="shared" si="60"/>
        <v>0.72017367004973754</v>
      </c>
    </row>
    <row r="602" spans="7:20" ht="14.4" x14ac:dyDescent="0.25">
      <c r="G602" s="10">
        <v>3550</v>
      </c>
      <c r="H602" s="9">
        <v>25315</v>
      </c>
      <c r="I602" s="14">
        <f>DATE(2012,12,31)-760</f>
        <v>40514</v>
      </c>
      <c r="J602" s="15" t="s">
        <v>25</v>
      </c>
      <c r="K602" s="9">
        <v>21</v>
      </c>
      <c r="L602" s="16" t="s">
        <v>26</v>
      </c>
      <c r="M602" s="16">
        <f t="shared" si="56"/>
        <v>-0.31572297923858361</v>
      </c>
      <c r="N602">
        <f t="shared" si="57"/>
        <v>0</v>
      </c>
      <c r="O602">
        <f t="shared" si="58"/>
        <v>0</v>
      </c>
      <c r="P602">
        <f t="shared" si="55"/>
        <v>4450</v>
      </c>
      <c r="Q602">
        <f t="shared" si="59"/>
        <v>4450</v>
      </c>
      <c r="T602" s="16">
        <f t="shared" si="60"/>
        <v>-0.315722979238584</v>
      </c>
    </row>
    <row r="603" spans="7:20" ht="14.4" x14ac:dyDescent="0.25">
      <c r="G603" s="10">
        <v>3551</v>
      </c>
      <c r="H603" s="9">
        <v>25315</v>
      </c>
      <c r="I603" s="14">
        <f>DATE(2012,12,31)-760</f>
        <v>40514</v>
      </c>
      <c r="J603" s="15" t="s">
        <v>25</v>
      </c>
      <c r="K603" s="9">
        <v>36</v>
      </c>
      <c r="L603" s="16" t="s">
        <v>29</v>
      </c>
      <c r="M603" s="16">
        <f t="shared" si="56"/>
        <v>0.72017367004973787</v>
      </c>
      <c r="N603">
        <f t="shared" si="57"/>
        <v>0</v>
      </c>
      <c r="O603">
        <f t="shared" si="58"/>
        <v>0</v>
      </c>
      <c r="P603">
        <f t="shared" si="55"/>
        <v>5200</v>
      </c>
      <c r="Q603">
        <f t="shared" si="59"/>
        <v>5200</v>
      </c>
      <c r="T603" s="16">
        <f t="shared" si="60"/>
        <v>0.72017367004973754</v>
      </c>
    </row>
    <row r="604" spans="7:20" ht="14.4" x14ac:dyDescent="0.25">
      <c r="G604" s="10">
        <v>3559</v>
      </c>
      <c r="H604" s="9">
        <v>25376</v>
      </c>
      <c r="I604" s="14">
        <f>DATE(2012,12,31)-646</f>
        <v>40628</v>
      </c>
      <c r="J604" s="15" t="s">
        <v>30</v>
      </c>
      <c r="K604" s="9">
        <v>12</v>
      </c>
      <c r="L604" s="16" t="s">
        <v>29</v>
      </c>
      <c r="M604" s="16">
        <f t="shared" si="56"/>
        <v>-0.9372609688115765</v>
      </c>
      <c r="N604">
        <f t="shared" si="57"/>
        <v>0</v>
      </c>
      <c r="O604">
        <f t="shared" si="58"/>
        <v>0</v>
      </c>
      <c r="P604">
        <f t="shared" si="55"/>
        <v>4000</v>
      </c>
      <c r="Q604">
        <f t="shared" si="59"/>
        <v>4000</v>
      </c>
      <c r="T604" s="16">
        <f t="shared" si="60"/>
        <v>-0.93726096881157694</v>
      </c>
    </row>
    <row r="605" spans="7:20" ht="14.4" x14ac:dyDescent="0.25">
      <c r="G605" s="10">
        <v>3662</v>
      </c>
      <c r="H605" s="9">
        <v>26240</v>
      </c>
      <c r="I605" s="14">
        <f>DATE(2012,12,31)-1108</f>
        <v>40166</v>
      </c>
      <c r="J605" s="15" t="s">
        <v>30</v>
      </c>
      <c r="K605" s="9">
        <v>38</v>
      </c>
      <c r="L605" s="16" t="s">
        <v>27</v>
      </c>
      <c r="M605" s="16">
        <f t="shared" si="56"/>
        <v>0.85829322328818081</v>
      </c>
      <c r="N605">
        <f t="shared" si="57"/>
        <v>0</v>
      </c>
      <c r="O605">
        <f t="shared" si="58"/>
        <v>0</v>
      </c>
      <c r="P605">
        <f t="shared" si="55"/>
        <v>5300</v>
      </c>
      <c r="Q605">
        <f t="shared" si="59"/>
        <v>5300</v>
      </c>
      <c r="T605" s="16">
        <f t="shared" si="60"/>
        <v>0.85829322328818036</v>
      </c>
    </row>
    <row r="606" spans="7:20" ht="14.4" x14ac:dyDescent="0.25">
      <c r="G606" s="10">
        <v>3663</v>
      </c>
      <c r="H606" s="9">
        <v>26240</v>
      </c>
      <c r="I606" s="14">
        <f>DATE(2012,12,31)-1108</f>
        <v>40166</v>
      </c>
      <c r="J606" s="15" t="s">
        <v>30</v>
      </c>
      <c r="K606" s="9">
        <v>39</v>
      </c>
      <c r="L606" s="16" t="s">
        <v>29</v>
      </c>
      <c r="M606" s="16">
        <f t="shared" si="56"/>
        <v>0.92735299990740228</v>
      </c>
      <c r="N606">
        <f t="shared" si="57"/>
        <v>0</v>
      </c>
      <c r="O606">
        <f t="shared" si="58"/>
        <v>0</v>
      </c>
      <c r="P606">
        <f t="shared" si="55"/>
        <v>5350</v>
      </c>
      <c r="Q606">
        <f t="shared" si="59"/>
        <v>5350</v>
      </c>
      <c r="T606" s="16">
        <f t="shared" si="60"/>
        <v>0.92735299990740183</v>
      </c>
    </row>
    <row r="607" spans="7:20" ht="14.4" x14ac:dyDescent="0.25">
      <c r="G607" s="10">
        <v>3753</v>
      </c>
      <c r="H607" s="9">
        <v>26791</v>
      </c>
      <c r="I607" s="14">
        <f>DATE(2012,12,31)-612</f>
        <v>40662</v>
      </c>
      <c r="J607" s="15" t="s">
        <v>25</v>
      </c>
      <c r="K607" s="9">
        <v>45</v>
      </c>
      <c r="L607" s="16" t="s">
        <v>26</v>
      </c>
      <c r="M607" s="16">
        <f t="shared" si="56"/>
        <v>1.3417116596227308</v>
      </c>
      <c r="N607">
        <f t="shared" si="57"/>
        <v>0</v>
      </c>
      <c r="O607">
        <f t="shared" si="58"/>
        <v>0</v>
      </c>
      <c r="P607">
        <f t="shared" si="55"/>
        <v>5650</v>
      </c>
      <c r="Q607">
        <f t="shared" si="59"/>
        <v>5650</v>
      </c>
      <c r="T607" s="16">
        <f t="shared" si="60"/>
        <v>1.3417116596227305</v>
      </c>
    </row>
    <row r="608" spans="7:20" ht="14.4" x14ac:dyDescent="0.25">
      <c r="G608" s="10">
        <v>4042</v>
      </c>
      <c r="H608" s="9">
        <v>28836</v>
      </c>
      <c r="I608" s="14">
        <f>DATE(2012,12,31)-799</f>
        <v>40475</v>
      </c>
      <c r="J608" s="15" t="s">
        <v>17</v>
      </c>
      <c r="K608" s="9">
        <v>50</v>
      </c>
      <c r="L608" s="16" t="s">
        <v>27</v>
      </c>
      <c r="M608" s="16">
        <f t="shared" si="56"/>
        <v>1.687010542718838</v>
      </c>
      <c r="N608">
        <f t="shared" si="57"/>
        <v>0</v>
      </c>
      <c r="O608">
        <f t="shared" si="58"/>
        <v>0</v>
      </c>
      <c r="P608">
        <f t="shared" si="55"/>
        <v>5900</v>
      </c>
      <c r="Q608">
        <f t="shared" si="59"/>
        <v>5900</v>
      </c>
      <c r="T608" s="16">
        <f t="shared" si="60"/>
        <v>1.6870105427188375</v>
      </c>
    </row>
    <row r="609" spans="7:20" ht="14.4" x14ac:dyDescent="0.25">
      <c r="G609" s="10">
        <v>4043</v>
      </c>
      <c r="H609" s="9">
        <v>28836</v>
      </c>
      <c r="I609" s="14">
        <f>DATE(2012,12,31)-799</f>
        <v>40475</v>
      </c>
      <c r="J609" s="15" t="s">
        <v>17</v>
      </c>
      <c r="K609" s="9">
        <v>7</v>
      </c>
      <c r="L609" s="16" t="s">
        <v>26</v>
      </c>
      <c r="M609" s="16">
        <f t="shared" si="56"/>
        <v>-1.2825598519076837</v>
      </c>
      <c r="N609">
        <f t="shared" si="57"/>
        <v>0</v>
      </c>
      <c r="O609">
        <f t="shared" si="58"/>
        <v>0</v>
      </c>
      <c r="P609">
        <f t="shared" si="55"/>
        <v>3750</v>
      </c>
      <c r="Q609">
        <f t="shared" si="59"/>
        <v>3750</v>
      </c>
      <c r="T609" s="16">
        <f t="shared" si="60"/>
        <v>-1.2825598519076842</v>
      </c>
    </row>
    <row r="610" spans="7:20" ht="14.4" x14ac:dyDescent="0.25">
      <c r="G610" s="10">
        <v>4071</v>
      </c>
      <c r="H610" s="9">
        <v>28995</v>
      </c>
      <c r="I610" s="14">
        <f>DATE(2012,12,31)-964</f>
        <v>40310</v>
      </c>
      <c r="J610" s="15" t="s">
        <v>17</v>
      </c>
      <c r="K610" s="9">
        <v>9</v>
      </c>
      <c r="L610" s="16" t="s">
        <v>26</v>
      </c>
      <c r="M610" s="16">
        <f t="shared" si="56"/>
        <v>-1.1444402986692408</v>
      </c>
      <c r="N610">
        <f t="shared" si="57"/>
        <v>0</v>
      </c>
      <c r="O610">
        <f t="shared" si="58"/>
        <v>0</v>
      </c>
      <c r="P610">
        <f t="shared" si="55"/>
        <v>3850</v>
      </c>
      <c r="Q610">
        <f t="shared" si="59"/>
        <v>3850</v>
      </c>
      <c r="T610" s="16">
        <f t="shared" si="60"/>
        <v>-1.1444402986692412</v>
      </c>
    </row>
    <row r="611" spans="7:20" ht="14.4" x14ac:dyDescent="0.25">
      <c r="G611" s="10">
        <v>4072</v>
      </c>
      <c r="H611" s="9">
        <v>28995</v>
      </c>
      <c r="I611" s="14">
        <f>DATE(2012,12,31)-964</f>
        <v>40310</v>
      </c>
      <c r="J611" s="15" t="s">
        <v>17</v>
      </c>
      <c r="K611" s="9">
        <v>34</v>
      </c>
      <c r="L611" s="16" t="s">
        <v>26</v>
      </c>
      <c r="M611" s="16">
        <f t="shared" si="56"/>
        <v>0.58205411681129504</v>
      </c>
      <c r="N611">
        <f t="shared" si="57"/>
        <v>0</v>
      </c>
      <c r="O611">
        <f t="shared" si="58"/>
        <v>0</v>
      </c>
      <c r="P611">
        <f t="shared" si="55"/>
        <v>5100</v>
      </c>
      <c r="Q611">
        <f t="shared" si="59"/>
        <v>5100</v>
      </c>
      <c r="T611" s="16">
        <f t="shared" si="60"/>
        <v>0.58205411681129471</v>
      </c>
    </row>
    <row r="612" spans="7:20" ht="14.4" x14ac:dyDescent="0.25">
      <c r="G612" s="10">
        <v>4085</v>
      </c>
      <c r="H612" s="9">
        <v>29121</v>
      </c>
      <c r="I612" s="14">
        <f>DATE(2012,12,31)-995</f>
        <v>40279</v>
      </c>
      <c r="J612" s="15" t="s">
        <v>16</v>
      </c>
      <c r="K612" s="9">
        <v>31</v>
      </c>
      <c r="L612" s="16" t="s">
        <v>27</v>
      </c>
      <c r="M612" s="16">
        <f t="shared" si="56"/>
        <v>0.37487478695363075</v>
      </c>
      <c r="N612">
        <f t="shared" si="57"/>
        <v>0</v>
      </c>
      <c r="O612">
        <f t="shared" si="58"/>
        <v>0</v>
      </c>
      <c r="P612">
        <f t="shared" si="55"/>
        <v>4950</v>
      </c>
      <c r="Q612">
        <f t="shared" si="59"/>
        <v>4950</v>
      </c>
      <c r="T612" s="16">
        <f t="shared" si="60"/>
        <v>0.37487478695363036</v>
      </c>
    </row>
    <row r="613" spans="7:20" ht="14.4" x14ac:dyDescent="0.25">
      <c r="G613" s="10">
        <v>4125</v>
      </c>
      <c r="H613" s="9">
        <v>29319</v>
      </c>
      <c r="I613" s="14">
        <f>DATE(2012,12,31)-1437</f>
        <v>39837</v>
      </c>
      <c r="J613" s="15" t="s">
        <v>25</v>
      </c>
      <c r="K613" s="9">
        <v>30</v>
      </c>
      <c r="L613" s="16" t="s">
        <v>29</v>
      </c>
      <c r="M613" s="16">
        <f t="shared" si="56"/>
        <v>0.30581501033440933</v>
      </c>
      <c r="N613">
        <f t="shared" si="57"/>
        <v>0</v>
      </c>
      <c r="O613">
        <f t="shared" si="58"/>
        <v>0</v>
      </c>
      <c r="P613">
        <f t="shared" si="55"/>
        <v>4900</v>
      </c>
      <c r="Q613">
        <f t="shared" si="59"/>
        <v>4900</v>
      </c>
      <c r="T613" s="16">
        <f t="shared" si="60"/>
        <v>0.30581501033440894</v>
      </c>
    </row>
    <row r="614" spans="7:20" ht="14.4" x14ac:dyDescent="0.25">
      <c r="G614" s="10">
        <v>4126</v>
      </c>
      <c r="H614" s="9">
        <v>29319</v>
      </c>
      <c r="I614" s="14">
        <f>DATE(2012,12,31)-1437</f>
        <v>39837</v>
      </c>
      <c r="J614" s="15" t="s">
        <v>25</v>
      </c>
      <c r="K614" s="9">
        <v>21</v>
      </c>
      <c r="L614" s="16" t="s">
        <v>27</v>
      </c>
      <c r="M614" s="16">
        <f t="shared" si="56"/>
        <v>-0.31572297923858361</v>
      </c>
      <c r="N614">
        <f t="shared" si="57"/>
        <v>0</v>
      </c>
      <c r="O614">
        <f t="shared" si="58"/>
        <v>0</v>
      </c>
      <c r="P614">
        <f t="shared" si="55"/>
        <v>4450</v>
      </c>
      <c r="Q614">
        <f t="shared" si="59"/>
        <v>4450</v>
      </c>
      <c r="T614" s="16">
        <f t="shared" si="60"/>
        <v>-0.315722979238584</v>
      </c>
    </row>
    <row r="615" spans="7:20" ht="14.4" x14ac:dyDescent="0.25">
      <c r="G615" s="10">
        <v>4137</v>
      </c>
      <c r="H615" s="9">
        <v>29382</v>
      </c>
      <c r="I615" s="14">
        <f>DATE(2012,12,31)-775</f>
        <v>40499</v>
      </c>
      <c r="J615" s="15" t="s">
        <v>17</v>
      </c>
      <c r="K615" s="9">
        <v>42</v>
      </c>
      <c r="L615" s="16" t="s">
        <v>26</v>
      </c>
      <c r="M615" s="16">
        <f t="shared" si="56"/>
        <v>1.1345323297650665</v>
      </c>
      <c r="N615">
        <f t="shared" si="57"/>
        <v>0</v>
      </c>
      <c r="O615">
        <f t="shared" si="58"/>
        <v>0</v>
      </c>
      <c r="P615">
        <f t="shared" si="55"/>
        <v>5500</v>
      </c>
      <c r="Q615">
        <f t="shared" si="59"/>
        <v>5500</v>
      </c>
      <c r="T615" s="16">
        <f t="shared" si="60"/>
        <v>1.1345323297650662</v>
      </c>
    </row>
    <row r="616" spans="7:20" ht="14.4" x14ac:dyDescent="0.25">
      <c r="G616" s="10">
        <v>4138</v>
      </c>
      <c r="H616" s="9">
        <v>29382</v>
      </c>
      <c r="I616" s="14">
        <f>DATE(2012,12,31)-775</f>
        <v>40499</v>
      </c>
      <c r="J616" s="15" t="s">
        <v>17</v>
      </c>
      <c r="K616" s="9">
        <v>34</v>
      </c>
      <c r="L616" s="16" t="s">
        <v>29</v>
      </c>
      <c r="M616" s="16">
        <f t="shared" si="56"/>
        <v>0.58205411681129504</v>
      </c>
      <c r="N616">
        <f t="shared" si="57"/>
        <v>0</v>
      </c>
      <c r="O616">
        <f t="shared" si="58"/>
        <v>0</v>
      </c>
      <c r="P616">
        <f t="shared" si="55"/>
        <v>5100</v>
      </c>
      <c r="Q616">
        <f t="shared" si="59"/>
        <v>5100</v>
      </c>
      <c r="T616" s="16">
        <f t="shared" si="60"/>
        <v>0.58205411681129471</v>
      </c>
    </row>
    <row r="617" spans="7:20" ht="14.4" x14ac:dyDescent="0.25">
      <c r="G617" s="10">
        <v>4151</v>
      </c>
      <c r="H617" s="9">
        <v>29445</v>
      </c>
      <c r="I617" s="14">
        <f>DATE(2012,12,31)-824</f>
        <v>40450</v>
      </c>
      <c r="J617" s="15" t="s">
        <v>17</v>
      </c>
      <c r="K617" s="9">
        <v>28</v>
      </c>
      <c r="L617" s="16" t="s">
        <v>27</v>
      </c>
      <c r="M617" s="16">
        <f t="shared" si="56"/>
        <v>0.16769545709596645</v>
      </c>
      <c r="N617">
        <f t="shared" si="57"/>
        <v>0</v>
      </c>
      <c r="O617">
        <f t="shared" si="58"/>
        <v>0</v>
      </c>
      <c r="P617">
        <f t="shared" si="55"/>
        <v>4800</v>
      </c>
      <c r="Q617">
        <f t="shared" si="59"/>
        <v>4800</v>
      </c>
      <c r="T617" s="16">
        <f t="shared" si="60"/>
        <v>0.16769545709596606</v>
      </c>
    </row>
    <row r="618" spans="7:20" ht="14.4" x14ac:dyDescent="0.25">
      <c r="G618" s="10">
        <v>4187</v>
      </c>
      <c r="H618" s="9">
        <v>29762</v>
      </c>
      <c r="I618" s="14">
        <f>DATE(2012,12,31)-881</f>
        <v>40393</v>
      </c>
      <c r="J618" s="15" t="s">
        <v>30</v>
      </c>
      <c r="K618" s="9">
        <v>15</v>
      </c>
      <c r="L618" s="16" t="s">
        <v>26</v>
      </c>
      <c r="M618" s="16">
        <f t="shared" si="56"/>
        <v>-0.7300816389539122</v>
      </c>
      <c r="N618">
        <f t="shared" si="57"/>
        <v>0</v>
      </c>
      <c r="O618">
        <f t="shared" si="58"/>
        <v>0</v>
      </c>
      <c r="P618">
        <f t="shared" si="55"/>
        <v>4150</v>
      </c>
      <c r="Q618">
        <f t="shared" si="59"/>
        <v>4150</v>
      </c>
      <c r="T618" s="16">
        <f t="shared" si="60"/>
        <v>-0.73008163895391265</v>
      </c>
    </row>
    <row r="619" spans="7:20" ht="14.4" x14ac:dyDescent="0.25">
      <c r="G619" s="10">
        <v>4229</v>
      </c>
      <c r="H619" s="9">
        <v>30048</v>
      </c>
      <c r="I619" s="14">
        <f>DATE(2012,12,31)-567</f>
        <v>40707</v>
      </c>
      <c r="J619" s="15" t="s">
        <v>16</v>
      </c>
      <c r="K619" s="9">
        <v>44</v>
      </c>
      <c r="L619" s="16" t="s">
        <v>26</v>
      </c>
      <c r="M619" s="16">
        <f t="shared" si="56"/>
        <v>1.2726518830035094</v>
      </c>
      <c r="N619">
        <f t="shared" si="57"/>
        <v>0</v>
      </c>
      <c r="O619">
        <f t="shared" si="58"/>
        <v>0</v>
      </c>
      <c r="P619">
        <f t="shared" si="55"/>
        <v>5600</v>
      </c>
      <c r="Q619">
        <f t="shared" si="59"/>
        <v>5600</v>
      </c>
      <c r="T619" s="16">
        <f t="shared" si="60"/>
        <v>1.272651883003509</v>
      </c>
    </row>
    <row r="620" spans="7:20" ht="14.4" x14ac:dyDescent="0.25">
      <c r="G620" s="10">
        <v>4249</v>
      </c>
      <c r="H620" s="9">
        <v>30243</v>
      </c>
      <c r="I620" s="14">
        <f>DATE(2012,12,31)-971</f>
        <v>40303</v>
      </c>
      <c r="J620" s="15" t="s">
        <v>30</v>
      </c>
      <c r="K620" s="9">
        <v>44</v>
      </c>
      <c r="L620" s="16" t="s">
        <v>26</v>
      </c>
      <c r="M620" s="16">
        <f t="shared" si="56"/>
        <v>1.2726518830035094</v>
      </c>
      <c r="N620">
        <f t="shared" si="57"/>
        <v>0</v>
      </c>
      <c r="O620">
        <f t="shared" si="58"/>
        <v>0</v>
      </c>
      <c r="P620">
        <f t="shared" si="55"/>
        <v>5600</v>
      </c>
      <c r="Q620">
        <f t="shared" si="59"/>
        <v>5600</v>
      </c>
      <c r="T620" s="16">
        <f t="shared" si="60"/>
        <v>1.272651883003509</v>
      </c>
    </row>
    <row r="621" spans="7:20" ht="14.4" x14ac:dyDescent="0.25">
      <c r="G621" s="10">
        <v>4250</v>
      </c>
      <c r="H621" s="9">
        <v>30243</v>
      </c>
      <c r="I621" s="14">
        <f>DATE(2012,12,31)-971</f>
        <v>40303</v>
      </c>
      <c r="J621" s="15" t="s">
        <v>30</v>
      </c>
      <c r="K621" s="9">
        <v>21</v>
      </c>
      <c r="L621" s="16" t="s">
        <v>27</v>
      </c>
      <c r="M621" s="16">
        <f t="shared" si="56"/>
        <v>-0.31572297923858361</v>
      </c>
      <c r="N621">
        <f t="shared" si="57"/>
        <v>0</v>
      </c>
      <c r="O621">
        <f t="shared" si="58"/>
        <v>0</v>
      </c>
      <c r="P621">
        <f t="shared" si="55"/>
        <v>4450</v>
      </c>
      <c r="Q621">
        <f t="shared" si="59"/>
        <v>4450</v>
      </c>
      <c r="T621" s="16">
        <f t="shared" si="60"/>
        <v>-0.315722979238584</v>
      </c>
    </row>
    <row r="622" spans="7:20" ht="14.4" x14ac:dyDescent="0.25">
      <c r="G622" s="10">
        <v>4267</v>
      </c>
      <c r="H622" s="9">
        <v>30372</v>
      </c>
      <c r="I622" s="14">
        <f>DATE(2012,12,31)-854</f>
        <v>40420</v>
      </c>
      <c r="J622" s="15" t="s">
        <v>17</v>
      </c>
      <c r="K622" s="9">
        <v>1</v>
      </c>
      <c r="L622" s="16" t="s">
        <v>29</v>
      </c>
      <c r="M622" s="16">
        <f t="shared" si="56"/>
        <v>-1.6969185116230123</v>
      </c>
      <c r="N622">
        <f t="shared" si="57"/>
        <v>0</v>
      </c>
      <c r="O622">
        <f t="shared" si="58"/>
        <v>0</v>
      </c>
      <c r="P622">
        <f t="shared" si="55"/>
        <v>3450</v>
      </c>
      <c r="Q622">
        <f t="shared" si="59"/>
        <v>3450</v>
      </c>
      <c r="T622" s="16">
        <f t="shared" si="60"/>
        <v>-1.6969185116230128</v>
      </c>
    </row>
    <row r="623" spans="7:20" ht="14.4" x14ac:dyDescent="0.25">
      <c r="G623" s="10">
        <v>4282</v>
      </c>
      <c r="H623" s="9">
        <v>30499</v>
      </c>
      <c r="I623" s="14">
        <f>DATE(2012,12,31)-62</f>
        <v>41212</v>
      </c>
      <c r="J623" s="15" t="s">
        <v>17</v>
      </c>
      <c r="K623" s="9">
        <v>16</v>
      </c>
      <c r="L623" s="16" t="s">
        <v>26</v>
      </c>
      <c r="M623" s="16">
        <f t="shared" si="56"/>
        <v>-0.66102186233469074</v>
      </c>
      <c r="N623">
        <f t="shared" si="57"/>
        <v>0</v>
      </c>
      <c r="O623">
        <f t="shared" si="58"/>
        <v>0</v>
      </c>
      <c r="P623">
        <f t="shared" si="55"/>
        <v>4200</v>
      </c>
      <c r="Q623">
        <f t="shared" si="59"/>
        <v>4200</v>
      </c>
      <c r="T623" s="16">
        <f t="shared" si="60"/>
        <v>-0.66102186233469118</v>
      </c>
    </row>
    <row r="624" spans="7:20" ht="14.4" x14ac:dyDescent="0.25">
      <c r="G624" s="10">
        <v>4283</v>
      </c>
      <c r="H624" s="9">
        <v>30499</v>
      </c>
      <c r="I624" s="14">
        <f>DATE(2012,12,31)-62</f>
        <v>41212</v>
      </c>
      <c r="J624" s="15" t="s">
        <v>17</v>
      </c>
      <c r="K624" s="9">
        <v>33</v>
      </c>
      <c r="L624" s="16" t="s">
        <v>26</v>
      </c>
      <c r="M624" s="16">
        <f t="shared" si="56"/>
        <v>0.51299434019207357</v>
      </c>
      <c r="N624">
        <f t="shared" si="57"/>
        <v>0</v>
      </c>
      <c r="O624">
        <f t="shared" si="58"/>
        <v>0</v>
      </c>
      <c r="P624">
        <f t="shared" si="55"/>
        <v>5050</v>
      </c>
      <c r="Q624">
        <f t="shared" si="59"/>
        <v>5050</v>
      </c>
      <c r="T624" s="16">
        <f t="shared" si="60"/>
        <v>0.51299434019207324</v>
      </c>
    </row>
    <row r="625" spans="7:20" ht="14.4" x14ac:dyDescent="0.25">
      <c r="G625" s="10">
        <v>4528</v>
      </c>
      <c r="H625" s="9">
        <v>32199</v>
      </c>
      <c r="I625" s="14">
        <f>DATE(2012,12,31)-1265</f>
        <v>40009</v>
      </c>
      <c r="J625" s="15" t="s">
        <v>17</v>
      </c>
      <c r="K625" s="9">
        <v>40</v>
      </c>
      <c r="L625" s="16" t="s">
        <v>26</v>
      </c>
      <c r="M625" s="16">
        <f t="shared" si="56"/>
        <v>0.99641277652662363</v>
      </c>
      <c r="N625">
        <f t="shared" si="57"/>
        <v>0</v>
      </c>
      <c r="O625">
        <f t="shared" si="58"/>
        <v>0</v>
      </c>
      <c r="P625">
        <f t="shared" si="55"/>
        <v>5400</v>
      </c>
      <c r="Q625">
        <f t="shared" si="59"/>
        <v>5400</v>
      </c>
      <c r="T625" s="16">
        <f t="shared" si="60"/>
        <v>0.9964127765266233</v>
      </c>
    </row>
    <row r="626" spans="7:20" ht="14.4" x14ac:dyDescent="0.25">
      <c r="G626" s="10">
        <v>4529</v>
      </c>
      <c r="H626" s="9">
        <v>32199</v>
      </c>
      <c r="I626" s="14">
        <f>DATE(2012,12,31)-1265</f>
        <v>40009</v>
      </c>
      <c r="J626" s="15" t="s">
        <v>17</v>
      </c>
      <c r="K626" s="9">
        <v>1</v>
      </c>
      <c r="L626" s="16" t="s">
        <v>27</v>
      </c>
      <c r="M626" s="16">
        <f t="shared" si="56"/>
        <v>-1.6969185116230123</v>
      </c>
      <c r="N626">
        <f t="shared" si="57"/>
        <v>0</v>
      </c>
      <c r="O626">
        <f t="shared" si="58"/>
        <v>0</v>
      </c>
      <c r="P626">
        <f t="shared" si="55"/>
        <v>3450</v>
      </c>
      <c r="Q626">
        <f t="shared" si="59"/>
        <v>3450</v>
      </c>
      <c r="T626" s="16">
        <f t="shared" si="60"/>
        <v>-1.6969185116230128</v>
      </c>
    </row>
    <row r="627" spans="7:20" ht="14.4" x14ac:dyDescent="0.25">
      <c r="G627" s="10">
        <v>4530</v>
      </c>
      <c r="H627" s="9">
        <v>32199</v>
      </c>
      <c r="I627" s="14">
        <f>DATE(2012,12,31)-1265</f>
        <v>40009</v>
      </c>
      <c r="J627" s="15" t="s">
        <v>17</v>
      </c>
      <c r="K627" s="9">
        <v>8</v>
      </c>
      <c r="L627" s="16" t="s">
        <v>26</v>
      </c>
      <c r="M627" s="16">
        <f t="shared" si="56"/>
        <v>-1.2135000752884624</v>
      </c>
      <c r="N627">
        <f t="shared" si="57"/>
        <v>0</v>
      </c>
      <c r="O627">
        <f t="shared" si="58"/>
        <v>0</v>
      </c>
      <c r="P627">
        <f t="shared" si="55"/>
        <v>3800</v>
      </c>
      <c r="Q627">
        <f t="shared" si="59"/>
        <v>3800</v>
      </c>
      <c r="T627" s="16">
        <f t="shared" si="60"/>
        <v>-1.2135000752884626</v>
      </c>
    </row>
    <row r="628" spans="7:20" ht="14.4" x14ac:dyDescent="0.25">
      <c r="G628" s="10">
        <v>4546</v>
      </c>
      <c r="H628" s="9">
        <v>32327</v>
      </c>
      <c r="I628" s="14">
        <f>DATE(2012,12,31)-146</f>
        <v>41128</v>
      </c>
      <c r="J628" s="15" t="s">
        <v>25</v>
      </c>
      <c r="K628" s="9">
        <v>45</v>
      </c>
      <c r="L628" s="16" t="s">
        <v>29</v>
      </c>
      <c r="M628" s="16">
        <f t="shared" si="56"/>
        <v>1.3417116596227308</v>
      </c>
      <c r="N628">
        <f t="shared" si="57"/>
        <v>0</v>
      </c>
      <c r="O628">
        <f t="shared" si="58"/>
        <v>0</v>
      </c>
      <c r="P628">
        <f t="shared" si="55"/>
        <v>5650</v>
      </c>
      <c r="Q628">
        <f t="shared" si="59"/>
        <v>5650</v>
      </c>
      <c r="T628" s="16">
        <f t="shared" si="60"/>
        <v>1.3417116596227305</v>
      </c>
    </row>
    <row r="629" spans="7:20" ht="14.4" x14ac:dyDescent="0.25">
      <c r="G629" s="10">
        <v>4594</v>
      </c>
      <c r="H629" s="9">
        <v>32676</v>
      </c>
      <c r="I629" s="14">
        <f>DATE(2012,12,31)-1429</f>
        <v>39845</v>
      </c>
      <c r="J629" s="15" t="s">
        <v>30</v>
      </c>
      <c r="K629" s="9">
        <v>37</v>
      </c>
      <c r="L629" s="16" t="s">
        <v>27</v>
      </c>
      <c r="M629" s="16">
        <f t="shared" si="56"/>
        <v>0.78923344666895934</v>
      </c>
      <c r="N629">
        <f t="shared" si="57"/>
        <v>0</v>
      </c>
      <c r="O629">
        <f t="shared" si="58"/>
        <v>0</v>
      </c>
      <c r="P629">
        <f t="shared" si="55"/>
        <v>5250</v>
      </c>
      <c r="Q629">
        <f t="shared" si="59"/>
        <v>5250</v>
      </c>
      <c r="T629" s="16">
        <f t="shared" si="60"/>
        <v>0.789233446668959</v>
      </c>
    </row>
    <row r="630" spans="7:20" ht="14.4" x14ac:dyDescent="0.25">
      <c r="G630" s="10">
        <v>4611</v>
      </c>
      <c r="H630" s="9">
        <v>32835</v>
      </c>
      <c r="I630" s="14">
        <f>DATE(2012,12,31)-177</f>
        <v>41097</v>
      </c>
      <c r="J630" s="15" t="s">
        <v>16</v>
      </c>
      <c r="K630" s="9">
        <v>15</v>
      </c>
      <c r="L630" s="16" t="s">
        <v>27</v>
      </c>
      <c r="M630" s="16">
        <f t="shared" si="56"/>
        <v>-0.7300816389539122</v>
      </c>
      <c r="N630">
        <f t="shared" si="57"/>
        <v>0</v>
      </c>
      <c r="O630">
        <f t="shared" si="58"/>
        <v>0</v>
      </c>
      <c r="P630">
        <f t="shared" si="55"/>
        <v>4150</v>
      </c>
      <c r="Q630">
        <f t="shared" si="59"/>
        <v>4150</v>
      </c>
      <c r="T630" s="16">
        <f t="shared" si="60"/>
        <v>-0.73008163895391265</v>
      </c>
    </row>
    <row r="631" spans="7:20" ht="14.4" x14ac:dyDescent="0.25">
      <c r="G631" s="10">
        <v>4613</v>
      </c>
      <c r="H631" s="9">
        <v>32869</v>
      </c>
      <c r="I631" s="14">
        <f>DATE(2012,12,31)-1375</f>
        <v>39899</v>
      </c>
      <c r="J631" s="15" t="s">
        <v>16</v>
      </c>
      <c r="K631" s="9">
        <v>41</v>
      </c>
      <c r="L631" s="16" t="s">
        <v>27</v>
      </c>
      <c r="M631" s="16">
        <f t="shared" si="56"/>
        <v>1.0654725531458451</v>
      </c>
      <c r="N631">
        <f t="shared" si="57"/>
        <v>0</v>
      </c>
      <c r="O631">
        <f t="shared" si="58"/>
        <v>0</v>
      </c>
      <c r="P631">
        <f t="shared" si="55"/>
        <v>5450</v>
      </c>
      <c r="Q631">
        <f t="shared" si="59"/>
        <v>5450</v>
      </c>
      <c r="T631" s="16">
        <f t="shared" si="60"/>
        <v>1.0654725531458447</v>
      </c>
    </row>
    <row r="632" spans="7:20" ht="14.4" x14ac:dyDescent="0.25">
      <c r="G632" s="10">
        <v>4614</v>
      </c>
      <c r="H632" s="9">
        <v>32869</v>
      </c>
      <c r="I632" s="14">
        <f>DATE(2012,12,31)-1375</f>
        <v>39899</v>
      </c>
      <c r="J632" s="15" t="s">
        <v>16</v>
      </c>
      <c r="K632" s="9">
        <v>49</v>
      </c>
      <c r="L632" s="16" t="s">
        <v>29</v>
      </c>
      <c r="M632" s="16">
        <f t="shared" si="56"/>
        <v>1.6179507660996166</v>
      </c>
      <c r="N632">
        <f t="shared" si="57"/>
        <v>0</v>
      </c>
      <c r="O632">
        <f t="shared" si="58"/>
        <v>0</v>
      </c>
      <c r="P632">
        <f t="shared" si="55"/>
        <v>5850</v>
      </c>
      <c r="Q632">
        <f t="shared" si="59"/>
        <v>5850</v>
      </c>
      <c r="T632" s="16">
        <f t="shared" si="60"/>
        <v>1.6179507660996162</v>
      </c>
    </row>
    <row r="633" spans="7:20" ht="14.4" x14ac:dyDescent="0.25">
      <c r="G633" s="10">
        <v>4615</v>
      </c>
      <c r="H633" s="9">
        <v>32869</v>
      </c>
      <c r="I633" s="14">
        <f>DATE(2012,12,31)-1375</f>
        <v>39899</v>
      </c>
      <c r="J633" s="15" t="s">
        <v>16</v>
      </c>
      <c r="K633" s="9">
        <v>2</v>
      </c>
      <c r="L633" s="16" t="s">
        <v>26</v>
      </c>
      <c r="M633" s="16">
        <f t="shared" si="56"/>
        <v>-1.627858735003791</v>
      </c>
      <c r="N633">
        <f t="shared" si="57"/>
        <v>0</v>
      </c>
      <c r="O633">
        <f t="shared" si="58"/>
        <v>0</v>
      </c>
      <c r="P633">
        <f t="shared" si="55"/>
        <v>3500</v>
      </c>
      <c r="Q633">
        <f t="shared" si="59"/>
        <v>3500</v>
      </c>
      <c r="T633" s="16">
        <f t="shared" si="60"/>
        <v>-1.6278587350037912</v>
      </c>
    </row>
    <row r="634" spans="7:20" ht="14.4" x14ac:dyDescent="0.25">
      <c r="G634" s="10">
        <v>4616</v>
      </c>
      <c r="H634" s="9">
        <v>32869</v>
      </c>
      <c r="I634" s="14">
        <f>DATE(2012,12,31)-1375</f>
        <v>39899</v>
      </c>
      <c r="J634" s="15" t="s">
        <v>16</v>
      </c>
      <c r="K634" s="9">
        <v>39</v>
      </c>
      <c r="L634" s="16" t="s">
        <v>27</v>
      </c>
      <c r="M634" s="16">
        <f t="shared" si="56"/>
        <v>0.92735299990740228</v>
      </c>
      <c r="N634">
        <f t="shared" si="57"/>
        <v>0</v>
      </c>
      <c r="O634">
        <f t="shared" si="58"/>
        <v>0</v>
      </c>
      <c r="P634">
        <f t="shared" si="55"/>
        <v>5350</v>
      </c>
      <c r="Q634">
        <f t="shared" si="59"/>
        <v>5350</v>
      </c>
      <c r="T634" s="16">
        <f t="shared" si="60"/>
        <v>0.92735299990740183</v>
      </c>
    </row>
    <row r="635" spans="7:20" ht="14.4" x14ac:dyDescent="0.25">
      <c r="G635" s="10">
        <v>4748</v>
      </c>
      <c r="H635" s="9">
        <v>33763</v>
      </c>
      <c r="I635" s="14">
        <f>DATE(2012,12,31)-830</f>
        <v>40444</v>
      </c>
      <c r="J635" s="15" t="s">
        <v>28</v>
      </c>
      <c r="K635" s="9">
        <v>23</v>
      </c>
      <c r="L635" s="16" t="s">
        <v>27</v>
      </c>
      <c r="M635" s="16">
        <f t="shared" si="56"/>
        <v>-0.17760342600014073</v>
      </c>
      <c r="N635">
        <f t="shared" si="57"/>
        <v>0</v>
      </c>
      <c r="O635">
        <f t="shared" si="58"/>
        <v>0</v>
      </c>
      <c r="P635">
        <f t="shared" si="55"/>
        <v>4550</v>
      </c>
      <c r="Q635">
        <f t="shared" si="59"/>
        <v>4550</v>
      </c>
      <c r="T635" s="16">
        <f t="shared" si="60"/>
        <v>-0.17760342600014112</v>
      </c>
    </row>
    <row r="636" spans="7:20" ht="14.4" x14ac:dyDescent="0.25">
      <c r="G636" s="10">
        <v>4792</v>
      </c>
      <c r="H636" s="9">
        <v>34048</v>
      </c>
      <c r="I636" s="14">
        <f>DATE(2012,12,31)-644</f>
        <v>40630</v>
      </c>
      <c r="J636" s="15" t="s">
        <v>25</v>
      </c>
      <c r="K636" s="9">
        <v>1</v>
      </c>
      <c r="L636" s="16" t="s">
        <v>29</v>
      </c>
      <c r="M636" s="16">
        <f t="shared" si="56"/>
        <v>-1.6969185116230123</v>
      </c>
      <c r="N636">
        <f t="shared" si="57"/>
        <v>0</v>
      </c>
      <c r="O636">
        <f t="shared" si="58"/>
        <v>0</v>
      </c>
      <c r="P636">
        <f t="shared" si="55"/>
        <v>3450</v>
      </c>
      <c r="Q636">
        <f t="shared" si="59"/>
        <v>3450</v>
      </c>
      <c r="T636" s="16">
        <f t="shared" si="60"/>
        <v>-1.6969185116230128</v>
      </c>
    </row>
    <row r="637" spans="7:20" ht="14.4" x14ac:dyDescent="0.25">
      <c r="G637" s="10">
        <v>4823</v>
      </c>
      <c r="H637" s="9">
        <v>34275</v>
      </c>
      <c r="I637" s="14">
        <f>DATE(2012,12,31)-1279</f>
        <v>39995</v>
      </c>
      <c r="J637" s="15" t="s">
        <v>25</v>
      </c>
      <c r="K637" s="9">
        <v>27</v>
      </c>
      <c r="L637" s="16" t="s">
        <v>26</v>
      </c>
      <c r="M637" s="16">
        <f t="shared" si="56"/>
        <v>9.8635680476745008E-2</v>
      </c>
      <c r="N637">
        <f t="shared" si="57"/>
        <v>0</v>
      </c>
      <c r="O637">
        <f t="shared" si="58"/>
        <v>0</v>
      </c>
      <c r="P637">
        <f t="shared" si="55"/>
        <v>4750</v>
      </c>
      <c r="Q637">
        <f t="shared" si="59"/>
        <v>4750</v>
      </c>
      <c r="T637" s="16">
        <f t="shared" si="60"/>
        <v>9.8635680476744619E-2</v>
      </c>
    </row>
    <row r="638" spans="7:20" ht="14.4" x14ac:dyDescent="0.25">
      <c r="G638" s="10">
        <v>4844</v>
      </c>
      <c r="H638" s="9">
        <v>34438</v>
      </c>
      <c r="I638" s="14">
        <f>DATE(2012,12,31)-751</f>
        <v>40523</v>
      </c>
      <c r="J638" s="15" t="s">
        <v>17</v>
      </c>
      <c r="K638" s="9">
        <v>28</v>
      </c>
      <c r="L638" s="16" t="s">
        <v>26</v>
      </c>
      <c r="M638" s="16">
        <f t="shared" si="56"/>
        <v>0.16769545709596645</v>
      </c>
      <c r="N638">
        <f t="shared" si="57"/>
        <v>0</v>
      </c>
      <c r="O638">
        <f t="shared" si="58"/>
        <v>0</v>
      </c>
      <c r="P638">
        <f t="shared" si="55"/>
        <v>4800</v>
      </c>
      <c r="Q638">
        <f t="shared" si="59"/>
        <v>4800</v>
      </c>
      <c r="T638" s="16">
        <f t="shared" si="60"/>
        <v>0.16769545709596606</v>
      </c>
    </row>
    <row r="639" spans="7:20" ht="14.4" x14ac:dyDescent="0.25">
      <c r="G639" s="10">
        <v>4901</v>
      </c>
      <c r="H639" s="9">
        <v>34880</v>
      </c>
      <c r="I639" s="14">
        <f>DATE(2012,12,31)-1202</f>
        <v>40072</v>
      </c>
      <c r="J639" s="15" t="s">
        <v>17</v>
      </c>
      <c r="K639" s="9">
        <v>44</v>
      </c>
      <c r="L639" s="16" t="s">
        <v>26</v>
      </c>
      <c r="M639" s="16">
        <f t="shared" si="56"/>
        <v>1.2726518830035094</v>
      </c>
      <c r="N639">
        <f t="shared" si="57"/>
        <v>0</v>
      </c>
      <c r="O639">
        <f t="shared" si="58"/>
        <v>0</v>
      </c>
      <c r="P639">
        <f t="shared" si="55"/>
        <v>5600</v>
      </c>
      <c r="Q639">
        <f t="shared" si="59"/>
        <v>5600</v>
      </c>
      <c r="T639" s="16">
        <f t="shared" si="60"/>
        <v>1.272651883003509</v>
      </c>
    </row>
    <row r="640" spans="7:20" ht="14.4" x14ac:dyDescent="0.25">
      <c r="G640" s="10">
        <v>4912</v>
      </c>
      <c r="H640" s="9">
        <v>34978</v>
      </c>
      <c r="I640" s="14">
        <f>DATE(2012,12,31)-696</f>
        <v>40578</v>
      </c>
      <c r="J640" s="15" t="s">
        <v>17</v>
      </c>
      <c r="K640" s="9">
        <v>49</v>
      </c>
      <c r="L640" s="16" t="s">
        <v>26</v>
      </c>
      <c r="M640" s="16">
        <f t="shared" si="56"/>
        <v>1.6179507660996166</v>
      </c>
      <c r="N640">
        <f t="shared" si="57"/>
        <v>0</v>
      </c>
      <c r="O640">
        <f t="shared" si="58"/>
        <v>0</v>
      </c>
      <c r="P640">
        <f t="shared" si="55"/>
        <v>5850</v>
      </c>
      <c r="Q640">
        <f t="shared" si="59"/>
        <v>5850</v>
      </c>
      <c r="T640" s="16">
        <f t="shared" si="60"/>
        <v>1.6179507660996162</v>
      </c>
    </row>
    <row r="641" spans="7:20" ht="14.4" x14ac:dyDescent="0.25">
      <c r="G641" s="10">
        <v>4945</v>
      </c>
      <c r="H641" s="9">
        <v>35141</v>
      </c>
      <c r="I641" s="14">
        <f>DATE(2012,12,31)-842</f>
        <v>40432</v>
      </c>
      <c r="J641" s="15" t="s">
        <v>16</v>
      </c>
      <c r="K641" s="9">
        <v>29</v>
      </c>
      <c r="L641" s="16" t="s">
        <v>26</v>
      </c>
      <c r="M641" s="16">
        <f t="shared" si="56"/>
        <v>0.23675523371518786</v>
      </c>
      <c r="N641">
        <f t="shared" si="57"/>
        <v>0</v>
      </c>
      <c r="O641">
        <f t="shared" si="58"/>
        <v>0</v>
      </c>
      <c r="P641">
        <f t="shared" si="55"/>
        <v>4850</v>
      </c>
      <c r="Q641">
        <f t="shared" si="59"/>
        <v>4850</v>
      </c>
      <c r="T641" s="16">
        <f t="shared" si="60"/>
        <v>0.2367552337151875</v>
      </c>
    </row>
    <row r="642" spans="7:20" ht="14.4" x14ac:dyDescent="0.25">
      <c r="G642" s="10">
        <v>4962</v>
      </c>
      <c r="H642" s="9">
        <v>35300</v>
      </c>
      <c r="I642" s="14">
        <f>DATE(2012,12,31)-1035</f>
        <v>40239</v>
      </c>
      <c r="J642" s="15" t="s">
        <v>16</v>
      </c>
      <c r="K642" s="9">
        <v>10</v>
      </c>
      <c r="L642" s="16" t="s">
        <v>26</v>
      </c>
      <c r="M642" s="16">
        <f t="shared" si="56"/>
        <v>-1.0753805220500194</v>
      </c>
      <c r="N642">
        <f t="shared" si="57"/>
        <v>0</v>
      </c>
      <c r="O642">
        <f t="shared" si="58"/>
        <v>0</v>
      </c>
      <c r="P642">
        <f t="shared" si="55"/>
        <v>3900</v>
      </c>
      <c r="Q642">
        <f t="shared" si="59"/>
        <v>3900</v>
      </c>
      <c r="T642" s="16">
        <f t="shared" si="60"/>
        <v>-1.0753805220500199</v>
      </c>
    </row>
    <row r="643" spans="7:20" ht="14.4" x14ac:dyDescent="0.25">
      <c r="G643" s="10">
        <v>4963</v>
      </c>
      <c r="H643" s="9">
        <v>35300</v>
      </c>
      <c r="I643" s="14">
        <f>DATE(2012,12,31)-1035</f>
        <v>40239</v>
      </c>
      <c r="J643" s="15" t="s">
        <v>16</v>
      </c>
      <c r="K643" s="9">
        <v>35</v>
      </c>
      <c r="L643" s="16" t="s">
        <v>29</v>
      </c>
      <c r="M643" s="16">
        <f t="shared" si="56"/>
        <v>0.65111389343051651</v>
      </c>
      <c r="N643">
        <f t="shared" si="57"/>
        <v>0</v>
      </c>
      <c r="O643">
        <f t="shared" si="58"/>
        <v>0</v>
      </c>
      <c r="P643">
        <f t="shared" si="55"/>
        <v>5150</v>
      </c>
      <c r="Q643">
        <f t="shared" si="59"/>
        <v>5150</v>
      </c>
      <c r="T643" s="16">
        <f t="shared" si="60"/>
        <v>0.65111389343051607</v>
      </c>
    </row>
    <row r="644" spans="7:20" ht="14.4" x14ac:dyDescent="0.25">
      <c r="G644" s="10">
        <v>4964</v>
      </c>
      <c r="H644" s="9">
        <v>35300</v>
      </c>
      <c r="I644" s="14">
        <f>DATE(2012,12,31)-1035</f>
        <v>40239</v>
      </c>
      <c r="J644" s="15" t="s">
        <v>16</v>
      </c>
      <c r="K644" s="9">
        <v>13</v>
      </c>
      <c r="L644" s="16" t="s">
        <v>26</v>
      </c>
      <c r="M644" s="16">
        <f t="shared" si="56"/>
        <v>-0.86820119219235514</v>
      </c>
      <c r="N644">
        <f t="shared" si="57"/>
        <v>0</v>
      </c>
      <c r="O644">
        <f t="shared" si="58"/>
        <v>0</v>
      </c>
      <c r="P644">
        <f t="shared" si="55"/>
        <v>4050</v>
      </c>
      <c r="Q644">
        <f t="shared" si="59"/>
        <v>4050</v>
      </c>
      <c r="T644" s="16">
        <f t="shared" si="60"/>
        <v>-0.86820119219235548</v>
      </c>
    </row>
    <row r="645" spans="7:20" ht="14.4" x14ac:dyDescent="0.25">
      <c r="G645" s="10">
        <v>4996</v>
      </c>
      <c r="H645" s="9">
        <v>35558</v>
      </c>
      <c r="I645" s="14">
        <f>DATE(2012,12,31)-1203</f>
        <v>40071</v>
      </c>
      <c r="J645" s="15" t="s">
        <v>30</v>
      </c>
      <c r="K645" s="9">
        <v>2</v>
      </c>
      <c r="L645" s="16" t="s">
        <v>29</v>
      </c>
      <c r="M645" s="16">
        <f t="shared" si="56"/>
        <v>-1.627858735003791</v>
      </c>
      <c r="N645">
        <f t="shared" si="57"/>
        <v>0</v>
      </c>
      <c r="O645">
        <f t="shared" si="58"/>
        <v>0</v>
      </c>
      <c r="P645">
        <f t="shared" si="55"/>
        <v>3500</v>
      </c>
      <c r="Q645">
        <f t="shared" si="59"/>
        <v>3500</v>
      </c>
      <c r="T645" s="16">
        <f t="shared" si="60"/>
        <v>-1.6278587350037912</v>
      </c>
    </row>
    <row r="646" spans="7:20" ht="14.4" x14ac:dyDescent="0.25">
      <c r="G646" s="10">
        <v>5091</v>
      </c>
      <c r="H646" s="9">
        <v>36293</v>
      </c>
      <c r="I646" s="14">
        <f>DATE(2012,12,31)-732</f>
        <v>40542</v>
      </c>
      <c r="J646" s="15" t="s">
        <v>16</v>
      </c>
      <c r="K646" s="9">
        <v>13</v>
      </c>
      <c r="L646" s="16" t="s">
        <v>27</v>
      </c>
      <c r="M646" s="16">
        <f t="shared" si="56"/>
        <v>-0.86820119219235514</v>
      </c>
      <c r="N646">
        <f t="shared" si="57"/>
        <v>0</v>
      </c>
      <c r="O646">
        <f t="shared" si="58"/>
        <v>0</v>
      </c>
      <c r="P646">
        <f t="shared" si="55"/>
        <v>4050</v>
      </c>
      <c r="Q646">
        <f t="shared" si="59"/>
        <v>4050</v>
      </c>
      <c r="T646" s="16">
        <f t="shared" si="60"/>
        <v>-0.86820119219235548</v>
      </c>
    </row>
    <row r="647" spans="7:20" ht="14.4" x14ac:dyDescent="0.25">
      <c r="G647" s="10">
        <v>5092</v>
      </c>
      <c r="H647" s="9">
        <v>36293</v>
      </c>
      <c r="I647" s="14">
        <f>DATE(2012,12,31)-732</f>
        <v>40542</v>
      </c>
      <c r="J647" s="15" t="s">
        <v>16</v>
      </c>
      <c r="K647" s="9">
        <v>25</v>
      </c>
      <c r="L647" s="16" t="s">
        <v>26</v>
      </c>
      <c r="M647" s="16">
        <f t="shared" si="56"/>
        <v>-3.9483872761697868E-2</v>
      </c>
      <c r="N647">
        <f t="shared" si="57"/>
        <v>0</v>
      </c>
      <c r="O647">
        <f t="shared" si="58"/>
        <v>0</v>
      </c>
      <c r="P647">
        <f t="shared" si="55"/>
        <v>4650</v>
      </c>
      <c r="Q647">
        <f t="shared" si="59"/>
        <v>4650</v>
      </c>
      <c r="T647" s="16">
        <f t="shared" si="60"/>
        <v>-3.9483872761698249E-2</v>
      </c>
    </row>
    <row r="648" spans="7:20" ht="14.4" x14ac:dyDescent="0.25">
      <c r="G648" s="10">
        <v>5128</v>
      </c>
      <c r="H648" s="9">
        <v>36516</v>
      </c>
      <c r="I648" s="14">
        <f>DATE(2012,12,31)-525</f>
        <v>40749</v>
      </c>
      <c r="J648" s="15" t="s">
        <v>16</v>
      </c>
      <c r="K648" s="9">
        <v>9</v>
      </c>
      <c r="L648" s="16" t="s">
        <v>27</v>
      </c>
      <c r="M648" s="16">
        <f t="shared" si="56"/>
        <v>-1.1444402986692408</v>
      </c>
      <c r="N648">
        <f t="shared" si="57"/>
        <v>0</v>
      </c>
      <c r="O648">
        <f t="shared" si="58"/>
        <v>0</v>
      </c>
      <c r="P648">
        <f t="shared" si="55"/>
        <v>3850</v>
      </c>
      <c r="Q648">
        <f t="shared" si="59"/>
        <v>3850</v>
      </c>
      <c r="T648" s="16">
        <f t="shared" si="60"/>
        <v>-1.1444402986692412</v>
      </c>
    </row>
    <row r="649" spans="7:20" ht="14.4" x14ac:dyDescent="0.25">
      <c r="G649" s="10">
        <v>5147</v>
      </c>
      <c r="H649" s="9">
        <v>36677</v>
      </c>
      <c r="I649" s="14">
        <f>DATE(2012,12,31)-1104</f>
        <v>40170</v>
      </c>
      <c r="J649" s="15" t="s">
        <v>25</v>
      </c>
      <c r="K649" s="9">
        <v>38</v>
      </c>
      <c r="L649" s="16" t="s">
        <v>27</v>
      </c>
      <c r="M649" s="16">
        <f t="shared" si="56"/>
        <v>0.85829322328818081</v>
      </c>
      <c r="N649">
        <f t="shared" si="57"/>
        <v>0</v>
      </c>
      <c r="O649">
        <f t="shared" si="58"/>
        <v>0</v>
      </c>
      <c r="P649">
        <f t="shared" si="55"/>
        <v>5300</v>
      </c>
      <c r="Q649">
        <f t="shared" si="59"/>
        <v>5300</v>
      </c>
      <c r="T649" s="16">
        <f t="shared" si="60"/>
        <v>0.85829322328818036</v>
      </c>
    </row>
    <row r="650" spans="7:20" ht="14.4" x14ac:dyDescent="0.25">
      <c r="G650" s="10">
        <v>5223</v>
      </c>
      <c r="H650" s="9">
        <v>37185</v>
      </c>
      <c r="I650" s="14">
        <f>DATE(2012,12,31)-61</f>
        <v>41213</v>
      </c>
      <c r="J650" s="15" t="s">
        <v>17</v>
      </c>
      <c r="K650" s="9">
        <v>8</v>
      </c>
      <c r="L650" s="16" t="s">
        <v>26</v>
      </c>
      <c r="M650" s="16">
        <f t="shared" si="56"/>
        <v>-1.2135000752884624</v>
      </c>
      <c r="N650">
        <f t="shared" si="57"/>
        <v>0</v>
      </c>
      <c r="O650">
        <f t="shared" si="58"/>
        <v>0</v>
      </c>
      <c r="P650">
        <f t="shared" si="55"/>
        <v>3800</v>
      </c>
      <c r="Q650">
        <f t="shared" si="59"/>
        <v>3800</v>
      </c>
      <c r="T650" s="16">
        <f t="shared" si="60"/>
        <v>-1.2135000752884626</v>
      </c>
    </row>
    <row r="651" spans="7:20" ht="14.4" x14ac:dyDescent="0.25">
      <c r="G651" s="10">
        <v>5329</v>
      </c>
      <c r="H651" s="9">
        <v>37888</v>
      </c>
      <c r="I651" s="14">
        <f>DATE(2012,12,31)-1105</f>
        <v>40169</v>
      </c>
      <c r="J651" s="15" t="s">
        <v>30</v>
      </c>
      <c r="K651" s="9">
        <v>31</v>
      </c>
      <c r="L651" s="16" t="s">
        <v>26</v>
      </c>
      <c r="M651" s="16">
        <f t="shared" si="56"/>
        <v>0.37487478695363075</v>
      </c>
      <c r="N651">
        <f t="shared" si="57"/>
        <v>0</v>
      </c>
      <c r="O651">
        <f t="shared" si="58"/>
        <v>0</v>
      </c>
      <c r="P651">
        <f t="shared" si="55"/>
        <v>4950</v>
      </c>
      <c r="Q651">
        <f t="shared" si="59"/>
        <v>4950</v>
      </c>
      <c r="T651" s="16">
        <f t="shared" si="60"/>
        <v>0.37487478695363036</v>
      </c>
    </row>
    <row r="652" spans="7:20" ht="14.4" x14ac:dyDescent="0.25">
      <c r="G652" s="10">
        <v>5387</v>
      </c>
      <c r="H652" s="9">
        <v>38310</v>
      </c>
      <c r="I652" s="14">
        <f>DATE(2012,12,31)-261</f>
        <v>41013</v>
      </c>
      <c r="J652" s="15" t="s">
        <v>17</v>
      </c>
      <c r="K652" s="9">
        <v>4</v>
      </c>
      <c r="L652" s="16" t="s">
        <v>26</v>
      </c>
      <c r="M652" s="16">
        <f t="shared" si="56"/>
        <v>-1.489739181765348</v>
      </c>
      <c r="N652">
        <f t="shared" si="57"/>
        <v>0</v>
      </c>
      <c r="O652">
        <f t="shared" si="58"/>
        <v>0</v>
      </c>
      <c r="P652">
        <f t="shared" ref="P652:P715" si="61">50*K652+$P$10</f>
        <v>3600</v>
      </c>
      <c r="Q652">
        <f t="shared" si="59"/>
        <v>3600</v>
      </c>
      <c r="T652" s="16">
        <f t="shared" si="60"/>
        <v>-1.4897391817653485</v>
      </c>
    </row>
    <row r="653" spans="7:20" ht="14.4" x14ac:dyDescent="0.25">
      <c r="G653" s="10">
        <v>5702</v>
      </c>
      <c r="H653" s="9">
        <v>40327</v>
      </c>
      <c r="I653" s="14">
        <f>DATE(2012,12,31)-598</f>
        <v>40676</v>
      </c>
      <c r="J653" s="15" t="s">
        <v>16</v>
      </c>
      <c r="K653" s="9">
        <v>42</v>
      </c>
      <c r="L653" s="16" t="s">
        <v>26</v>
      </c>
      <c r="M653" s="16">
        <f t="shared" ref="M653:M716" si="62">(K653-$K$4)/$K$7</f>
        <v>1.1345323297650665</v>
      </c>
      <c r="N653">
        <f t="shared" ref="N653:N716" si="63">IF(MOD($B$20+G653,1000)=0,1,0)</f>
        <v>0</v>
      </c>
      <c r="O653">
        <f t="shared" ref="O653:O716" si="64">+ROUND(N653*(IF(K653&lt;$K$4,-4.5,10.5)*$P$5),-2)</f>
        <v>0</v>
      </c>
      <c r="P653">
        <f t="shared" si="61"/>
        <v>5500</v>
      </c>
      <c r="Q653">
        <f t="shared" ref="Q653:Q716" si="65">P653+O653</f>
        <v>5500</v>
      </c>
      <c r="T653" s="16">
        <f t="shared" ref="T653:T716" si="66">(Q653-$P$4)/$P$5</f>
        <v>1.1345323297650662</v>
      </c>
    </row>
    <row r="654" spans="7:20" ht="14.4" x14ac:dyDescent="0.25">
      <c r="G654" s="10">
        <v>5703</v>
      </c>
      <c r="H654" s="9">
        <v>40327</v>
      </c>
      <c r="I654" s="14">
        <f>DATE(2012,12,31)-598</f>
        <v>40676</v>
      </c>
      <c r="J654" s="15" t="s">
        <v>16</v>
      </c>
      <c r="K654" s="9">
        <v>36</v>
      </c>
      <c r="L654" s="16" t="s">
        <v>26</v>
      </c>
      <c r="M654" s="16">
        <f t="shared" si="62"/>
        <v>0.72017367004973787</v>
      </c>
      <c r="N654">
        <f t="shared" si="63"/>
        <v>0</v>
      </c>
      <c r="O654">
        <f t="shared" si="64"/>
        <v>0</v>
      </c>
      <c r="P654">
        <f t="shared" si="61"/>
        <v>5200</v>
      </c>
      <c r="Q654">
        <f t="shared" si="65"/>
        <v>5200</v>
      </c>
      <c r="T654" s="16">
        <f t="shared" si="66"/>
        <v>0.72017367004973754</v>
      </c>
    </row>
    <row r="655" spans="7:20" ht="14.4" x14ac:dyDescent="0.25">
      <c r="G655" s="10">
        <v>5714</v>
      </c>
      <c r="H655" s="9">
        <v>40480</v>
      </c>
      <c r="I655" s="14">
        <f>DATE(2012,12,31)-390</f>
        <v>40884</v>
      </c>
      <c r="J655" s="15" t="s">
        <v>30</v>
      </c>
      <c r="K655" s="9">
        <v>19</v>
      </c>
      <c r="L655" s="16" t="s">
        <v>26</v>
      </c>
      <c r="M655" s="16">
        <f t="shared" si="62"/>
        <v>-0.45384253247702649</v>
      </c>
      <c r="N655">
        <f t="shared" si="63"/>
        <v>0</v>
      </c>
      <c r="O655">
        <f t="shared" si="64"/>
        <v>0</v>
      </c>
      <c r="P655">
        <f t="shared" si="61"/>
        <v>4350</v>
      </c>
      <c r="Q655">
        <f t="shared" si="65"/>
        <v>4350</v>
      </c>
      <c r="T655" s="16">
        <f t="shared" si="66"/>
        <v>-0.45384253247702688</v>
      </c>
    </row>
    <row r="656" spans="7:20" ht="14.4" x14ac:dyDescent="0.25">
      <c r="G656" s="10">
        <v>5715</v>
      </c>
      <c r="H656" s="9">
        <v>40480</v>
      </c>
      <c r="I656" s="14">
        <f>DATE(2012,12,31)-390</f>
        <v>40884</v>
      </c>
      <c r="J656" s="15" t="s">
        <v>30</v>
      </c>
      <c r="K656" s="9">
        <v>50</v>
      </c>
      <c r="L656" s="16" t="s">
        <v>29</v>
      </c>
      <c r="M656" s="16">
        <f t="shared" si="62"/>
        <v>1.687010542718838</v>
      </c>
      <c r="N656">
        <f t="shared" si="63"/>
        <v>0</v>
      </c>
      <c r="O656">
        <f t="shared" si="64"/>
        <v>0</v>
      </c>
      <c r="P656">
        <f t="shared" si="61"/>
        <v>5900</v>
      </c>
      <c r="Q656">
        <f t="shared" si="65"/>
        <v>5900</v>
      </c>
      <c r="T656" s="16">
        <f t="shared" si="66"/>
        <v>1.6870105427188375</v>
      </c>
    </row>
    <row r="657" spans="7:20" ht="14.4" x14ac:dyDescent="0.25">
      <c r="G657" s="10">
        <v>5741</v>
      </c>
      <c r="H657" s="9">
        <v>40800</v>
      </c>
      <c r="I657" s="14">
        <f>DATE(2012,12,31)-758</f>
        <v>40516</v>
      </c>
      <c r="J657" s="15" t="s">
        <v>28</v>
      </c>
      <c r="K657" s="9">
        <v>18</v>
      </c>
      <c r="L657" s="16" t="s">
        <v>26</v>
      </c>
      <c r="M657" s="16">
        <f t="shared" si="62"/>
        <v>-0.52290230909624791</v>
      </c>
      <c r="N657">
        <f t="shared" si="63"/>
        <v>0</v>
      </c>
      <c r="O657">
        <f t="shared" si="64"/>
        <v>0</v>
      </c>
      <c r="P657">
        <f t="shared" si="61"/>
        <v>4300</v>
      </c>
      <c r="Q657">
        <f t="shared" si="65"/>
        <v>4300</v>
      </c>
      <c r="T657" s="16">
        <f t="shared" si="66"/>
        <v>-0.52290230909624835</v>
      </c>
    </row>
    <row r="658" spans="7:20" ht="14.4" x14ac:dyDescent="0.25">
      <c r="G658" s="10">
        <v>5750</v>
      </c>
      <c r="H658" s="9">
        <v>40835</v>
      </c>
      <c r="I658" s="14">
        <f>DATE(2012,12,31)-1133</f>
        <v>40141</v>
      </c>
      <c r="J658" s="15" t="s">
        <v>17</v>
      </c>
      <c r="K658" s="9">
        <v>26</v>
      </c>
      <c r="L658" s="16" t="s">
        <v>26</v>
      </c>
      <c r="M658" s="16">
        <f t="shared" si="62"/>
        <v>2.9575903857523567E-2</v>
      </c>
      <c r="N658">
        <f t="shared" si="63"/>
        <v>0</v>
      </c>
      <c r="O658">
        <f t="shared" si="64"/>
        <v>0</v>
      </c>
      <c r="P658">
        <f t="shared" si="61"/>
        <v>4700</v>
      </c>
      <c r="Q658">
        <f t="shared" si="65"/>
        <v>4700</v>
      </c>
      <c r="T658" s="16">
        <f t="shared" si="66"/>
        <v>2.9575903857523185E-2</v>
      </c>
    </row>
    <row r="659" spans="7:20" ht="14.4" x14ac:dyDescent="0.25">
      <c r="G659" s="10">
        <v>5751</v>
      </c>
      <c r="H659" s="9">
        <v>40835</v>
      </c>
      <c r="I659" s="14">
        <f>DATE(2012,12,31)-1133</f>
        <v>40141</v>
      </c>
      <c r="J659" s="15" t="s">
        <v>17</v>
      </c>
      <c r="K659" s="9">
        <v>14</v>
      </c>
      <c r="L659" s="16" t="s">
        <v>27</v>
      </c>
      <c r="M659" s="16">
        <f t="shared" si="62"/>
        <v>-0.79914141557313367</v>
      </c>
      <c r="N659">
        <f t="shared" si="63"/>
        <v>0</v>
      </c>
      <c r="O659">
        <f t="shared" si="64"/>
        <v>0</v>
      </c>
      <c r="P659">
        <f t="shared" si="61"/>
        <v>4100</v>
      </c>
      <c r="Q659">
        <f t="shared" si="65"/>
        <v>4100</v>
      </c>
      <c r="T659" s="16">
        <f t="shared" si="66"/>
        <v>-0.79914141557313401</v>
      </c>
    </row>
    <row r="660" spans="7:20" ht="14.4" x14ac:dyDescent="0.25">
      <c r="G660" s="10">
        <v>5752</v>
      </c>
      <c r="H660" s="9">
        <v>40835</v>
      </c>
      <c r="I660" s="14">
        <f>DATE(2012,12,31)-1133</f>
        <v>40141</v>
      </c>
      <c r="J660" s="15" t="s">
        <v>17</v>
      </c>
      <c r="K660" s="9">
        <v>1</v>
      </c>
      <c r="L660" s="16" t="s">
        <v>26</v>
      </c>
      <c r="M660" s="16">
        <f t="shared" si="62"/>
        <v>-1.6969185116230123</v>
      </c>
      <c r="N660">
        <f t="shared" si="63"/>
        <v>0</v>
      </c>
      <c r="O660">
        <f t="shared" si="64"/>
        <v>0</v>
      </c>
      <c r="P660">
        <f t="shared" si="61"/>
        <v>3450</v>
      </c>
      <c r="Q660">
        <f t="shared" si="65"/>
        <v>3450</v>
      </c>
      <c r="T660" s="16">
        <f t="shared" si="66"/>
        <v>-1.6969185116230128</v>
      </c>
    </row>
    <row r="661" spans="7:20" ht="14.4" x14ac:dyDescent="0.25">
      <c r="G661" s="10">
        <v>5759</v>
      </c>
      <c r="H661" s="9">
        <v>40871</v>
      </c>
      <c r="I661" s="14">
        <f>DATE(2012,12,31)-475</f>
        <v>40799</v>
      </c>
      <c r="J661" s="15" t="s">
        <v>28</v>
      </c>
      <c r="K661" s="9">
        <v>32</v>
      </c>
      <c r="L661" s="16" t="s">
        <v>26</v>
      </c>
      <c r="M661" s="16">
        <f t="shared" si="62"/>
        <v>0.44393456357285216</v>
      </c>
      <c r="N661">
        <f t="shared" si="63"/>
        <v>0</v>
      </c>
      <c r="O661">
        <f t="shared" si="64"/>
        <v>0</v>
      </c>
      <c r="P661">
        <f t="shared" si="61"/>
        <v>5000</v>
      </c>
      <c r="Q661">
        <f t="shared" si="65"/>
        <v>5000</v>
      </c>
      <c r="T661" s="16">
        <f t="shared" si="66"/>
        <v>0.44393456357285183</v>
      </c>
    </row>
    <row r="662" spans="7:20" ht="14.4" x14ac:dyDescent="0.25">
      <c r="G662" s="10">
        <v>5760</v>
      </c>
      <c r="H662" s="9">
        <v>40871</v>
      </c>
      <c r="I662" s="14">
        <f>DATE(2012,12,31)-475</f>
        <v>40799</v>
      </c>
      <c r="J662" s="15" t="s">
        <v>28</v>
      </c>
      <c r="K662" s="9">
        <v>18</v>
      </c>
      <c r="L662" s="16" t="s">
        <v>29</v>
      </c>
      <c r="M662" s="16">
        <f t="shared" si="62"/>
        <v>-0.52290230909624791</v>
      </c>
      <c r="N662">
        <f t="shared" si="63"/>
        <v>0</v>
      </c>
      <c r="O662">
        <f t="shared" si="64"/>
        <v>0</v>
      </c>
      <c r="P662">
        <f t="shared" si="61"/>
        <v>4300</v>
      </c>
      <c r="Q662">
        <f t="shared" si="65"/>
        <v>4300</v>
      </c>
      <c r="T662" s="16">
        <f t="shared" si="66"/>
        <v>-0.52290230909624835</v>
      </c>
    </row>
    <row r="663" spans="7:20" ht="14.4" x14ac:dyDescent="0.25">
      <c r="G663" s="10">
        <v>5857</v>
      </c>
      <c r="H663" s="9">
        <v>41570</v>
      </c>
      <c r="I663" s="14">
        <f>DATE(2012,12,31)-759</f>
        <v>40515</v>
      </c>
      <c r="J663" s="15" t="s">
        <v>28</v>
      </c>
      <c r="K663" s="9">
        <v>24</v>
      </c>
      <c r="L663" s="16" t="s">
        <v>26</v>
      </c>
      <c r="M663" s="16">
        <f t="shared" si="62"/>
        <v>-0.1085436493809193</v>
      </c>
      <c r="N663">
        <f t="shared" si="63"/>
        <v>0</v>
      </c>
      <c r="O663">
        <f t="shared" si="64"/>
        <v>0</v>
      </c>
      <c r="P663">
        <f t="shared" si="61"/>
        <v>4600</v>
      </c>
      <c r="Q663">
        <f t="shared" si="65"/>
        <v>4600</v>
      </c>
      <c r="T663" s="16">
        <f t="shared" si="66"/>
        <v>-0.10854364938091969</v>
      </c>
    </row>
    <row r="664" spans="7:20" ht="14.4" x14ac:dyDescent="0.25">
      <c r="G664" s="10">
        <v>5922</v>
      </c>
      <c r="H664" s="9">
        <v>41991</v>
      </c>
      <c r="I664" s="14">
        <f>DATE(2012,12,31)-379</f>
        <v>40895</v>
      </c>
      <c r="J664" s="15" t="s">
        <v>25</v>
      </c>
      <c r="K664" s="9">
        <v>36</v>
      </c>
      <c r="L664" s="16" t="s">
        <v>29</v>
      </c>
      <c r="M664" s="16">
        <f t="shared" si="62"/>
        <v>0.72017367004973787</v>
      </c>
      <c r="N664">
        <f t="shared" si="63"/>
        <v>0</v>
      </c>
      <c r="O664">
        <f t="shared" si="64"/>
        <v>0</v>
      </c>
      <c r="P664">
        <f t="shared" si="61"/>
        <v>5200</v>
      </c>
      <c r="Q664">
        <f t="shared" si="65"/>
        <v>5200</v>
      </c>
      <c r="T664" s="16">
        <f t="shared" si="66"/>
        <v>0.72017367004973754</v>
      </c>
    </row>
    <row r="665" spans="7:20" ht="14.4" x14ac:dyDescent="0.25">
      <c r="G665" s="10">
        <v>5923</v>
      </c>
      <c r="H665" s="9">
        <v>41991</v>
      </c>
      <c r="I665" s="14">
        <f>DATE(2012,12,31)-379</f>
        <v>40895</v>
      </c>
      <c r="J665" s="15" t="s">
        <v>25</v>
      </c>
      <c r="K665" s="9">
        <v>35</v>
      </c>
      <c r="L665" s="16" t="s">
        <v>29</v>
      </c>
      <c r="M665" s="16">
        <f t="shared" si="62"/>
        <v>0.65111389343051651</v>
      </c>
      <c r="N665">
        <f t="shared" si="63"/>
        <v>0</v>
      </c>
      <c r="O665">
        <f t="shared" si="64"/>
        <v>0</v>
      </c>
      <c r="P665">
        <f t="shared" si="61"/>
        <v>5150</v>
      </c>
      <c r="Q665">
        <f t="shared" si="65"/>
        <v>5150</v>
      </c>
      <c r="T665" s="16">
        <f t="shared" si="66"/>
        <v>0.65111389343051607</v>
      </c>
    </row>
    <row r="666" spans="7:20" ht="14.4" x14ac:dyDescent="0.25">
      <c r="G666" s="10">
        <v>5924</v>
      </c>
      <c r="H666" s="9">
        <v>41991</v>
      </c>
      <c r="I666" s="14">
        <f>DATE(2012,12,31)-379</f>
        <v>40895</v>
      </c>
      <c r="J666" s="15" t="s">
        <v>25</v>
      </c>
      <c r="K666" s="9">
        <v>18</v>
      </c>
      <c r="L666" s="16" t="s">
        <v>29</v>
      </c>
      <c r="M666" s="16">
        <f t="shared" si="62"/>
        <v>-0.52290230909624791</v>
      </c>
      <c r="N666">
        <f t="shared" si="63"/>
        <v>0</v>
      </c>
      <c r="O666">
        <f t="shared" si="64"/>
        <v>0</v>
      </c>
      <c r="P666">
        <f t="shared" si="61"/>
        <v>4300</v>
      </c>
      <c r="Q666">
        <f t="shared" si="65"/>
        <v>4300</v>
      </c>
      <c r="T666" s="16">
        <f t="shared" si="66"/>
        <v>-0.52290230909624835</v>
      </c>
    </row>
    <row r="667" spans="7:20" ht="14.4" x14ac:dyDescent="0.25">
      <c r="G667" s="10">
        <v>5981</v>
      </c>
      <c r="H667" s="9">
        <v>42400</v>
      </c>
      <c r="I667" s="14">
        <f>DATE(2012,12,31)-144</f>
        <v>41130</v>
      </c>
      <c r="J667" s="15" t="s">
        <v>25</v>
      </c>
      <c r="K667" s="9">
        <v>44</v>
      </c>
      <c r="L667" s="16" t="s">
        <v>27</v>
      </c>
      <c r="M667" s="16">
        <f t="shared" si="62"/>
        <v>1.2726518830035094</v>
      </c>
      <c r="N667">
        <f t="shared" si="63"/>
        <v>0</v>
      </c>
      <c r="O667">
        <f t="shared" si="64"/>
        <v>0</v>
      </c>
      <c r="P667">
        <f t="shared" si="61"/>
        <v>5600</v>
      </c>
      <c r="Q667">
        <f t="shared" si="65"/>
        <v>5600</v>
      </c>
      <c r="T667" s="16">
        <f t="shared" si="66"/>
        <v>1.272651883003509</v>
      </c>
    </row>
    <row r="668" spans="7:20" ht="14.4" x14ac:dyDescent="0.25">
      <c r="G668" s="10">
        <v>5982</v>
      </c>
      <c r="H668" s="9">
        <v>42400</v>
      </c>
      <c r="I668" s="14">
        <f>DATE(2012,12,31)-144</f>
        <v>41130</v>
      </c>
      <c r="J668" s="15" t="s">
        <v>25</v>
      </c>
      <c r="K668" s="9">
        <v>41</v>
      </c>
      <c r="L668" s="16" t="s">
        <v>27</v>
      </c>
      <c r="M668" s="16">
        <f t="shared" si="62"/>
        <v>1.0654725531458451</v>
      </c>
      <c r="N668">
        <f t="shared" si="63"/>
        <v>0</v>
      </c>
      <c r="O668">
        <f t="shared" si="64"/>
        <v>0</v>
      </c>
      <c r="P668">
        <f t="shared" si="61"/>
        <v>5450</v>
      </c>
      <c r="Q668">
        <f t="shared" si="65"/>
        <v>5450</v>
      </c>
      <c r="T668" s="16">
        <f t="shared" si="66"/>
        <v>1.0654725531458447</v>
      </c>
    </row>
    <row r="669" spans="7:20" ht="14.4" x14ac:dyDescent="0.25">
      <c r="G669" s="10">
        <v>6036</v>
      </c>
      <c r="H669" s="9">
        <v>42754</v>
      </c>
      <c r="I669" s="14">
        <f>DATE(2012,12,31)-860</f>
        <v>40414</v>
      </c>
      <c r="J669" s="15" t="s">
        <v>30</v>
      </c>
      <c r="K669" s="9">
        <v>31</v>
      </c>
      <c r="L669" s="16" t="s">
        <v>26</v>
      </c>
      <c r="M669" s="16">
        <f t="shared" si="62"/>
        <v>0.37487478695363075</v>
      </c>
      <c r="N669">
        <f t="shared" si="63"/>
        <v>0</v>
      </c>
      <c r="O669">
        <f t="shared" si="64"/>
        <v>0</v>
      </c>
      <c r="P669">
        <f t="shared" si="61"/>
        <v>4950</v>
      </c>
      <c r="Q669">
        <f t="shared" si="65"/>
        <v>4950</v>
      </c>
      <c r="T669" s="16">
        <f t="shared" si="66"/>
        <v>0.37487478695363036</v>
      </c>
    </row>
    <row r="670" spans="7:20" ht="14.4" x14ac:dyDescent="0.25">
      <c r="G670" s="10">
        <v>6055</v>
      </c>
      <c r="H670" s="9">
        <v>42918</v>
      </c>
      <c r="I670" s="14">
        <f>DATE(2012,12,31)-589</f>
        <v>40685</v>
      </c>
      <c r="J670" s="15" t="s">
        <v>17</v>
      </c>
      <c r="K670" s="9">
        <v>46</v>
      </c>
      <c r="L670" s="16" t="s">
        <v>26</v>
      </c>
      <c r="M670" s="16">
        <f t="shared" si="62"/>
        <v>1.4107714362419523</v>
      </c>
      <c r="N670">
        <f t="shared" si="63"/>
        <v>0</v>
      </c>
      <c r="O670">
        <f t="shared" si="64"/>
        <v>0</v>
      </c>
      <c r="P670">
        <f t="shared" si="61"/>
        <v>5700</v>
      </c>
      <c r="Q670">
        <f t="shared" si="65"/>
        <v>5700</v>
      </c>
      <c r="T670" s="16">
        <f t="shared" si="66"/>
        <v>1.4107714362419519</v>
      </c>
    </row>
    <row r="671" spans="7:20" ht="14.4" x14ac:dyDescent="0.25">
      <c r="G671" s="10">
        <v>6056</v>
      </c>
      <c r="H671" s="9">
        <v>42918</v>
      </c>
      <c r="I671" s="14">
        <f>DATE(2012,12,31)-589</f>
        <v>40685</v>
      </c>
      <c r="J671" s="15" t="s">
        <v>17</v>
      </c>
      <c r="K671" s="9">
        <v>46</v>
      </c>
      <c r="L671" s="16" t="s">
        <v>27</v>
      </c>
      <c r="M671" s="16">
        <f t="shared" si="62"/>
        <v>1.4107714362419523</v>
      </c>
      <c r="N671">
        <f t="shared" si="63"/>
        <v>0</v>
      </c>
      <c r="O671">
        <f t="shared" si="64"/>
        <v>0</v>
      </c>
      <c r="P671">
        <f t="shared" si="61"/>
        <v>5700</v>
      </c>
      <c r="Q671">
        <f t="shared" si="65"/>
        <v>5700</v>
      </c>
      <c r="T671" s="16">
        <f t="shared" si="66"/>
        <v>1.4107714362419519</v>
      </c>
    </row>
    <row r="672" spans="7:20" ht="14.4" x14ac:dyDescent="0.25">
      <c r="G672" s="10">
        <v>6059</v>
      </c>
      <c r="H672" s="9">
        <v>42944</v>
      </c>
      <c r="I672" s="14">
        <f>DATE(2012,12,31)-43</f>
        <v>41231</v>
      </c>
      <c r="J672" s="15" t="s">
        <v>30</v>
      </c>
      <c r="K672" s="9">
        <v>43</v>
      </c>
      <c r="L672" s="16" t="s">
        <v>29</v>
      </c>
      <c r="M672" s="16">
        <f t="shared" si="62"/>
        <v>1.203592106384288</v>
      </c>
      <c r="N672">
        <f t="shared" si="63"/>
        <v>0</v>
      </c>
      <c r="O672">
        <f t="shared" si="64"/>
        <v>0</v>
      </c>
      <c r="P672">
        <f t="shared" si="61"/>
        <v>5550</v>
      </c>
      <c r="Q672">
        <f t="shared" si="65"/>
        <v>5550</v>
      </c>
      <c r="T672" s="16">
        <f t="shared" si="66"/>
        <v>1.2035921063842876</v>
      </c>
    </row>
    <row r="673" spans="7:20" ht="14.4" x14ac:dyDescent="0.25">
      <c r="G673" s="10">
        <v>6219</v>
      </c>
      <c r="H673" s="9">
        <v>44037</v>
      </c>
      <c r="I673" s="14">
        <f>DATE(2012,12,31)-186</f>
        <v>41088</v>
      </c>
      <c r="J673" s="15" t="s">
        <v>17</v>
      </c>
      <c r="K673" s="9">
        <v>39</v>
      </c>
      <c r="L673" s="16" t="s">
        <v>29</v>
      </c>
      <c r="M673" s="16">
        <f t="shared" si="62"/>
        <v>0.92735299990740228</v>
      </c>
      <c r="N673">
        <f t="shared" si="63"/>
        <v>0</v>
      </c>
      <c r="O673">
        <f t="shared" si="64"/>
        <v>0</v>
      </c>
      <c r="P673">
        <f t="shared" si="61"/>
        <v>5350</v>
      </c>
      <c r="Q673">
        <f t="shared" si="65"/>
        <v>5350</v>
      </c>
      <c r="T673" s="16">
        <f t="shared" si="66"/>
        <v>0.92735299990740183</v>
      </c>
    </row>
    <row r="674" spans="7:20" ht="14.4" x14ac:dyDescent="0.25">
      <c r="G674" s="10">
        <v>6220</v>
      </c>
      <c r="H674" s="9">
        <v>44037</v>
      </c>
      <c r="I674" s="14">
        <f>DATE(2012,12,31)-186</f>
        <v>41088</v>
      </c>
      <c r="J674" s="15" t="s">
        <v>17</v>
      </c>
      <c r="K674" s="9">
        <v>38</v>
      </c>
      <c r="L674" s="16" t="s">
        <v>27</v>
      </c>
      <c r="M674" s="16">
        <f t="shared" si="62"/>
        <v>0.85829322328818081</v>
      </c>
      <c r="N674">
        <f t="shared" si="63"/>
        <v>0</v>
      </c>
      <c r="O674">
        <f t="shared" si="64"/>
        <v>0</v>
      </c>
      <c r="P674">
        <f t="shared" si="61"/>
        <v>5300</v>
      </c>
      <c r="Q674">
        <f t="shared" si="65"/>
        <v>5300</v>
      </c>
      <c r="T674" s="16">
        <f t="shared" si="66"/>
        <v>0.85829322328818036</v>
      </c>
    </row>
    <row r="675" spans="7:20" ht="14.4" x14ac:dyDescent="0.25">
      <c r="G675" s="10">
        <v>6270</v>
      </c>
      <c r="H675" s="9">
        <v>44387</v>
      </c>
      <c r="I675" s="14">
        <f>DATE(2012,12,31)-1426</f>
        <v>39848</v>
      </c>
      <c r="J675" s="15" t="s">
        <v>25</v>
      </c>
      <c r="K675" s="9">
        <v>50</v>
      </c>
      <c r="L675" s="16" t="s">
        <v>27</v>
      </c>
      <c r="M675" s="16">
        <f t="shared" si="62"/>
        <v>1.687010542718838</v>
      </c>
      <c r="N675">
        <f t="shared" si="63"/>
        <v>0</v>
      </c>
      <c r="O675">
        <f t="shared" si="64"/>
        <v>0</v>
      </c>
      <c r="P675">
        <f t="shared" si="61"/>
        <v>5900</v>
      </c>
      <c r="Q675">
        <f t="shared" si="65"/>
        <v>5900</v>
      </c>
      <c r="T675" s="16">
        <f t="shared" si="66"/>
        <v>1.6870105427188375</v>
      </c>
    </row>
    <row r="676" spans="7:20" ht="14.4" x14ac:dyDescent="0.25">
      <c r="G676" s="10">
        <v>6271</v>
      </c>
      <c r="H676" s="9">
        <v>44387</v>
      </c>
      <c r="I676" s="14">
        <f>DATE(2012,12,31)-1426</f>
        <v>39848</v>
      </c>
      <c r="J676" s="15" t="s">
        <v>25</v>
      </c>
      <c r="K676" s="9">
        <v>20</v>
      </c>
      <c r="L676" s="16" t="s">
        <v>26</v>
      </c>
      <c r="M676" s="16">
        <f t="shared" si="62"/>
        <v>-0.38478275585780503</v>
      </c>
      <c r="N676">
        <f t="shared" si="63"/>
        <v>0</v>
      </c>
      <c r="O676">
        <f t="shared" si="64"/>
        <v>0</v>
      </c>
      <c r="P676">
        <f t="shared" si="61"/>
        <v>4400</v>
      </c>
      <c r="Q676">
        <f t="shared" si="65"/>
        <v>4400</v>
      </c>
      <c r="T676" s="16">
        <f t="shared" si="66"/>
        <v>-0.38478275585780541</v>
      </c>
    </row>
    <row r="677" spans="7:20" ht="14.4" x14ac:dyDescent="0.25">
      <c r="G677" s="10">
        <v>6295</v>
      </c>
      <c r="H677" s="9">
        <v>44576</v>
      </c>
      <c r="I677" s="14">
        <f>DATE(2012,12,31)-1102</f>
        <v>40172</v>
      </c>
      <c r="J677" s="15" t="s">
        <v>28</v>
      </c>
      <c r="K677" s="9">
        <v>38</v>
      </c>
      <c r="L677" s="16" t="s">
        <v>29</v>
      </c>
      <c r="M677" s="16">
        <f t="shared" si="62"/>
        <v>0.85829322328818081</v>
      </c>
      <c r="N677">
        <f t="shared" si="63"/>
        <v>0</v>
      </c>
      <c r="O677">
        <f t="shared" si="64"/>
        <v>0</v>
      </c>
      <c r="P677">
        <f t="shared" si="61"/>
        <v>5300</v>
      </c>
      <c r="Q677">
        <f t="shared" si="65"/>
        <v>5300</v>
      </c>
      <c r="T677" s="16">
        <f t="shared" si="66"/>
        <v>0.85829322328818036</v>
      </c>
    </row>
    <row r="678" spans="7:20" ht="14.4" x14ac:dyDescent="0.25">
      <c r="G678" s="10">
        <v>6417</v>
      </c>
      <c r="H678" s="9">
        <v>45601</v>
      </c>
      <c r="I678" s="14">
        <f>DATE(2012,12,31)-462</f>
        <v>40812</v>
      </c>
      <c r="J678" s="15" t="s">
        <v>17</v>
      </c>
      <c r="K678" s="9">
        <v>47</v>
      </c>
      <c r="L678" s="16" t="s">
        <v>26</v>
      </c>
      <c r="M678" s="16">
        <f t="shared" si="62"/>
        <v>1.4798312128611737</v>
      </c>
      <c r="N678">
        <f t="shared" si="63"/>
        <v>0</v>
      </c>
      <c r="O678">
        <f t="shared" si="64"/>
        <v>0</v>
      </c>
      <c r="P678">
        <f t="shared" si="61"/>
        <v>5750</v>
      </c>
      <c r="Q678">
        <f t="shared" si="65"/>
        <v>5750</v>
      </c>
      <c r="T678" s="16">
        <f t="shared" si="66"/>
        <v>1.4798312128611733</v>
      </c>
    </row>
    <row r="679" spans="7:20" ht="14.4" x14ac:dyDescent="0.25">
      <c r="G679" s="10">
        <v>6419</v>
      </c>
      <c r="H679" s="9">
        <v>45606</v>
      </c>
      <c r="I679" s="14">
        <f>DATE(2012,12,31)-466</f>
        <v>40808</v>
      </c>
      <c r="J679" s="15" t="s">
        <v>16</v>
      </c>
      <c r="K679" s="9">
        <v>38</v>
      </c>
      <c r="L679" s="16" t="s">
        <v>29</v>
      </c>
      <c r="M679" s="16">
        <f t="shared" si="62"/>
        <v>0.85829322328818081</v>
      </c>
      <c r="N679">
        <f t="shared" si="63"/>
        <v>0</v>
      </c>
      <c r="O679">
        <f t="shared" si="64"/>
        <v>0</v>
      </c>
      <c r="P679">
        <f t="shared" si="61"/>
        <v>5300</v>
      </c>
      <c r="Q679">
        <f t="shared" si="65"/>
        <v>5300</v>
      </c>
      <c r="T679" s="16">
        <f t="shared" si="66"/>
        <v>0.85829322328818036</v>
      </c>
    </row>
    <row r="680" spans="7:20" ht="14.4" x14ac:dyDescent="0.25">
      <c r="G680" s="10">
        <v>6420</v>
      </c>
      <c r="H680" s="9">
        <v>45606</v>
      </c>
      <c r="I680" s="14">
        <f>DATE(2012,12,31)-466</f>
        <v>40808</v>
      </c>
      <c r="J680" s="15" t="s">
        <v>16</v>
      </c>
      <c r="K680" s="9">
        <v>24</v>
      </c>
      <c r="L680" s="16" t="s">
        <v>26</v>
      </c>
      <c r="M680" s="16">
        <f t="shared" si="62"/>
        <v>-0.1085436493809193</v>
      </c>
      <c r="N680">
        <f t="shared" si="63"/>
        <v>0</v>
      </c>
      <c r="O680">
        <f t="shared" si="64"/>
        <v>0</v>
      </c>
      <c r="P680">
        <f t="shared" si="61"/>
        <v>4600</v>
      </c>
      <c r="Q680">
        <f t="shared" si="65"/>
        <v>4600</v>
      </c>
      <c r="T680" s="16">
        <f t="shared" si="66"/>
        <v>-0.10854364938091969</v>
      </c>
    </row>
    <row r="681" spans="7:20" ht="14.4" x14ac:dyDescent="0.25">
      <c r="G681" s="10">
        <v>6480</v>
      </c>
      <c r="H681" s="9">
        <v>46119</v>
      </c>
      <c r="I681" s="14">
        <f>DATE(2012,12,31)-1415</f>
        <v>39859</v>
      </c>
      <c r="J681" s="15" t="s">
        <v>30</v>
      </c>
      <c r="K681" s="9">
        <v>23</v>
      </c>
      <c r="L681" s="16" t="s">
        <v>26</v>
      </c>
      <c r="M681" s="16">
        <f t="shared" si="62"/>
        <v>-0.17760342600014073</v>
      </c>
      <c r="N681">
        <f t="shared" si="63"/>
        <v>0</v>
      </c>
      <c r="O681">
        <f t="shared" si="64"/>
        <v>0</v>
      </c>
      <c r="P681">
        <f t="shared" si="61"/>
        <v>4550</v>
      </c>
      <c r="Q681">
        <f t="shared" si="65"/>
        <v>4550</v>
      </c>
      <c r="T681" s="16">
        <f t="shared" si="66"/>
        <v>-0.17760342600014112</v>
      </c>
    </row>
    <row r="682" spans="7:20" ht="14.4" x14ac:dyDescent="0.25">
      <c r="G682" s="10">
        <v>6481</v>
      </c>
      <c r="H682" s="9">
        <v>46119</v>
      </c>
      <c r="I682" s="14">
        <f>DATE(2012,12,31)-1415</f>
        <v>39859</v>
      </c>
      <c r="J682" s="15" t="s">
        <v>30</v>
      </c>
      <c r="K682" s="9">
        <v>20</v>
      </c>
      <c r="L682" s="16" t="s">
        <v>26</v>
      </c>
      <c r="M682" s="16">
        <f t="shared" si="62"/>
        <v>-0.38478275585780503</v>
      </c>
      <c r="N682">
        <f t="shared" si="63"/>
        <v>0</v>
      </c>
      <c r="O682">
        <f t="shared" si="64"/>
        <v>0</v>
      </c>
      <c r="P682">
        <f t="shared" si="61"/>
        <v>4400</v>
      </c>
      <c r="Q682">
        <f t="shared" si="65"/>
        <v>4400</v>
      </c>
      <c r="T682" s="16">
        <f t="shared" si="66"/>
        <v>-0.38478275585780541</v>
      </c>
    </row>
    <row r="683" spans="7:20" ht="14.4" x14ac:dyDescent="0.25">
      <c r="G683" s="10">
        <v>6482</v>
      </c>
      <c r="H683" s="9">
        <v>46119</v>
      </c>
      <c r="I683" s="14">
        <f>DATE(2012,12,31)-1415</f>
        <v>39859</v>
      </c>
      <c r="J683" s="15" t="s">
        <v>30</v>
      </c>
      <c r="K683" s="9">
        <v>46</v>
      </c>
      <c r="L683" s="16" t="s">
        <v>29</v>
      </c>
      <c r="M683" s="16">
        <f t="shared" si="62"/>
        <v>1.4107714362419523</v>
      </c>
      <c r="N683">
        <f t="shared" si="63"/>
        <v>0</v>
      </c>
      <c r="O683">
        <f t="shared" si="64"/>
        <v>0</v>
      </c>
      <c r="P683">
        <f t="shared" si="61"/>
        <v>5700</v>
      </c>
      <c r="Q683">
        <f t="shared" si="65"/>
        <v>5700</v>
      </c>
      <c r="T683" s="16">
        <f t="shared" si="66"/>
        <v>1.4107714362419519</v>
      </c>
    </row>
    <row r="684" spans="7:20" ht="14.4" x14ac:dyDescent="0.25">
      <c r="G684" s="10">
        <v>6574</v>
      </c>
      <c r="H684" s="9">
        <v>46756</v>
      </c>
      <c r="I684" s="14">
        <f>DATE(2012,12,31)-1177</f>
        <v>40097</v>
      </c>
      <c r="J684" s="15" t="s">
        <v>16</v>
      </c>
      <c r="K684" s="9">
        <v>3</v>
      </c>
      <c r="L684" s="16" t="s">
        <v>26</v>
      </c>
      <c r="M684" s="16">
        <f t="shared" si="62"/>
        <v>-1.5587989583845694</v>
      </c>
      <c r="N684">
        <f t="shared" si="63"/>
        <v>0</v>
      </c>
      <c r="O684">
        <f t="shared" si="64"/>
        <v>0</v>
      </c>
      <c r="P684">
        <f t="shared" si="61"/>
        <v>3550</v>
      </c>
      <c r="Q684">
        <f t="shared" si="65"/>
        <v>3550</v>
      </c>
      <c r="T684" s="16">
        <f t="shared" si="66"/>
        <v>-1.5587989583845698</v>
      </c>
    </row>
    <row r="685" spans="7:20" ht="14.4" x14ac:dyDescent="0.25">
      <c r="G685" s="10">
        <v>6700</v>
      </c>
      <c r="H685" s="9">
        <v>47714</v>
      </c>
      <c r="I685" s="14">
        <f>DATE(2012,12,31)-662</f>
        <v>40612</v>
      </c>
      <c r="J685" s="15" t="s">
        <v>16</v>
      </c>
      <c r="K685" s="9">
        <v>30</v>
      </c>
      <c r="L685" s="16" t="s">
        <v>26</v>
      </c>
      <c r="M685" s="16">
        <f t="shared" si="62"/>
        <v>0.30581501033440933</v>
      </c>
      <c r="N685">
        <f t="shared" si="63"/>
        <v>0</v>
      </c>
      <c r="O685">
        <f t="shared" si="64"/>
        <v>0</v>
      </c>
      <c r="P685">
        <f t="shared" si="61"/>
        <v>4900</v>
      </c>
      <c r="Q685">
        <f t="shared" si="65"/>
        <v>4900</v>
      </c>
      <c r="T685" s="16">
        <f t="shared" si="66"/>
        <v>0.30581501033440894</v>
      </c>
    </row>
    <row r="686" spans="7:20" ht="14.4" x14ac:dyDescent="0.25">
      <c r="G686" s="10">
        <v>6715</v>
      </c>
      <c r="H686" s="9">
        <v>47846</v>
      </c>
      <c r="I686" s="14">
        <f>DATE(2012,12,31)-142</f>
        <v>41132</v>
      </c>
      <c r="J686" s="15" t="s">
        <v>17</v>
      </c>
      <c r="K686" s="9">
        <v>5</v>
      </c>
      <c r="L686" s="16" t="s">
        <v>29</v>
      </c>
      <c r="M686" s="16">
        <f t="shared" si="62"/>
        <v>-1.4206794051461267</v>
      </c>
      <c r="N686">
        <f t="shared" si="63"/>
        <v>0</v>
      </c>
      <c r="O686">
        <f t="shared" si="64"/>
        <v>0</v>
      </c>
      <c r="P686">
        <f t="shared" si="61"/>
        <v>3650</v>
      </c>
      <c r="Q686">
        <f t="shared" si="65"/>
        <v>3650</v>
      </c>
      <c r="T686" s="16">
        <f t="shared" si="66"/>
        <v>-1.4206794051461269</v>
      </c>
    </row>
    <row r="687" spans="7:20" ht="14.4" x14ac:dyDescent="0.25">
      <c r="G687" s="10">
        <v>6716</v>
      </c>
      <c r="H687" s="9">
        <v>47846</v>
      </c>
      <c r="I687" s="14">
        <f>DATE(2012,12,31)-142</f>
        <v>41132</v>
      </c>
      <c r="J687" s="15" t="s">
        <v>17</v>
      </c>
      <c r="K687" s="9">
        <v>25</v>
      </c>
      <c r="L687" s="16" t="s">
        <v>29</v>
      </c>
      <c r="M687" s="16">
        <f t="shared" si="62"/>
        <v>-3.9483872761697868E-2</v>
      </c>
      <c r="N687">
        <f t="shared" si="63"/>
        <v>0</v>
      </c>
      <c r="O687">
        <f t="shared" si="64"/>
        <v>0</v>
      </c>
      <c r="P687">
        <f t="shared" si="61"/>
        <v>4650</v>
      </c>
      <c r="Q687">
        <f t="shared" si="65"/>
        <v>4650</v>
      </c>
      <c r="T687" s="16">
        <f t="shared" si="66"/>
        <v>-3.9483872761698249E-2</v>
      </c>
    </row>
    <row r="688" spans="7:20" ht="14.4" x14ac:dyDescent="0.25">
      <c r="G688" s="10">
        <v>6717</v>
      </c>
      <c r="H688" s="9">
        <v>47846</v>
      </c>
      <c r="I688" s="14">
        <f>DATE(2012,12,31)-142</f>
        <v>41132</v>
      </c>
      <c r="J688" s="15" t="s">
        <v>17</v>
      </c>
      <c r="K688" s="9">
        <v>50</v>
      </c>
      <c r="L688" s="16" t="s">
        <v>29</v>
      </c>
      <c r="M688" s="16">
        <f t="shared" si="62"/>
        <v>1.687010542718838</v>
      </c>
      <c r="N688">
        <f t="shared" si="63"/>
        <v>0</v>
      </c>
      <c r="O688">
        <f t="shared" si="64"/>
        <v>0</v>
      </c>
      <c r="P688">
        <f t="shared" si="61"/>
        <v>5900</v>
      </c>
      <c r="Q688">
        <f t="shared" si="65"/>
        <v>5900</v>
      </c>
      <c r="T688" s="16">
        <f t="shared" si="66"/>
        <v>1.6870105427188375</v>
      </c>
    </row>
    <row r="689" spans="7:20" ht="14.4" x14ac:dyDescent="0.25">
      <c r="G689" s="10">
        <v>6718</v>
      </c>
      <c r="H689" s="9">
        <v>47846</v>
      </c>
      <c r="I689" s="14">
        <f>DATE(2012,12,31)-142</f>
        <v>41132</v>
      </c>
      <c r="J689" s="15" t="s">
        <v>17</v>
      </c>
      <c r="K689" s="9">
        <v>37</v>
      </c>
      <c r="L689" s="16" t="s">
        <v>26</v>
      </c>
      <c r="M689" s="16">
        <f t="shared" si="62"/>
        <v>0.78923344666895934</v>
      </c>
      <c r="N689">
        <f t="shared" si="63"/>
        <v>0</v>
      </c>
      <c r="O689">
        <f t="shared" si="64"/>
        <v>0</v>
      </c>
      <c r="P689">
        <f t="shared" si="61"/>
        <v>5250</v>
      </c>
      <c r="Q689">
        <f t="shared" si="65"/>
        <v>5250</v>
      </c>
      <c r="T689" s="16">
        <f t="shared" si="66"/>
        <v>0.789233446668959</v>
      </c>
    </row>
    <row r="690" spans="7:20" ht="14.4" x14ac:dyDescent="0.25">
      <c r="G690" s="10">
        <v>6722</v>
      </c>
      <c r="H690" s="9">
        <v>47876</v>
      </c>
      <c r="I690" s="14">
        <f>DATE(2012,12,31)-1102</f>
        <v>40172</v>
      </c>
      <c r="J690" s="15" t="s">
        <v>17</v>
      </c>
      <c r="K690" s="9">
        <v>8</v>
      </c>
      <c r="L690" s="16" t="s">
        <v>26</v>
      </c>
      <c r="M690" s="16">
        <f t="shared" si="62"/>
        <v>-1.2135000752884624</v>
      </c>
      <c r="N690">
        <f t="shared" si="63"/>
        <v>0</v>
      </c>
      <c r="O690">
        <f t="shared" si="64"/>
        <v>0</v>
      </c>
      <c r="P690">
        <f t="shared" si="61"/>
        <v>3800</v>
      </c>
      <c r="Q690">
        <f t="shared" si="65"/>
        <v>3800</v>
      </c>
      <c r="T690" s="16">
        <f t="shared" si="66"/>
        <v>-1.2135000752884626</v>
      </c>
    </row>
    <row r="691" spans="7:20" ht="14.4" x14ac:dyDescent="0.25">
      <c r="G691" s="10">
        <v>6749</v>
      </c>
      <c r="H691" s="9">
        <v>48067</v>
      </c>
      <c r="I691" s="14">
        <f>DATE(2012,12,31)-185</f>
        <v>41089</v>
      </c>
      <c r="J691" s="15" t="s">
        <v>25</v>
      </c>
      <c r="K691" s="9">
        <v>31</v>
      </c>
      <c r="L691" s="16" t="s">
        <v>27</v>
      </c>
      <c r="M691" s="16">
        <f t="shared" si="62"/>
        <v>0.37487478695363075</v>
      </c>
      <c r="N691">
        <f t="shared" si="63"/>
        <v>0</v>
      </c>
      <c r="O691">
        <f t="shared" si="64"/>
        <v>0</v>
      </c>
      <c r="P691">
        <f t="shared" si="61"/>
        <v>4950</v>
      </c>
      <c r="Q691">
        <f t="shared" si="65"/>
        <v>4950</v>
      </c>
      <c r="T691" s="16">
        <f t="shared" si="66"/>
        <v>0.37487478695363036</v>
      </c>
    </row>
    <row r="692" spans="7:20" ht="14.4" x14ac:dyDescent="0.25">
      <c r="G692" s="10">
        <v>6750</v>
      </c>
      <c r="H692" s="9">
        <v>48067</v>
      </c>
      <c r="I692" s="14">
        <f>DATE(2012,12,31)-185</f>
        <v>41089</v>
      </c>
      <c r="J692" s="15" t="s">
        <v>25</v>
      </c>
      <c r="K692" s="9">
        <v>24</v>
      </c>
      <c r="L692" s="16" t="s">
        <v>27</v>
      </c>
      <c r="M692" s="16">
        <f t="shared" si="62"/>
        <v>-0.1085436493809193</v>
      </c>
      <c r="N692">
        <f t="shared" si="63"/>
        <v>0</v>
      </c>
      <c r="O692">
        <f t="shared" si="64"/>
        <v>0</v>
      </c>
      <c r="P692">
        <f t="shared" si="61"/>
        <v>4600</v>
      </c>
      <c r="Q692">
        <f t="shared" si="65"/>
        <v>4600</v>
      </c>
      <c r="T692" s="16">
        <f t="shared" si="66"/>
        <v>-0.10854364938091969</v>
      </c>
    </row>
    <row r="693" spans="7:20" ht="14.4" x14ac:dyDescent="0.25">
      <c r="G693" s="10">
        <v>6772</v>
      </c>
      <c r="H693" s="9">
        <v>48199</v>
      </c>
      <c r="I693" s="14">
        <f>DATE(2012,12,31)-1443</f>
        <v>39831</v>
      </c>
      <c r="J693" s="15" t="s">
        <v>28</v>
      </c>
      <c r="K693" s="9">
        <v>47</v>
      </c>
      <c r="L693" s="16" t="s">
        <v>26</v>
      </c>
      <c r="M693" s="16">
        <f t="shared" si="62"/>
        <v>1.4798312128611737</v>
      </c>
      <c r="N693">
        <f t="shared" si="63"/>
        <v>0</v>
      </c>
      <c r="O693">
        <f t="shared" si="64"/>
        <v>0</v>
      </c>
      <c r="P693">
        <f t="shared" si="61"/>
        <v>5750</v>
      </c>
      <c r="Q693">
        <f t="shared" si="65"/>
        <v>5750</v>
      </c>
      <c r="T693" s="16">
        <f t="shared" si="66"/>
        <v>1.4798312128611733</v>
      </c>
    </row>
    <row r="694" spans="7:20" ht="14.4" x14ac:dyDescent="0.25">
      <c r="G694" s="10">
        <v>6879</v>
      </c>
      <c r="H694" s="9">
        <v>49029</v>
      </c>
      <c r="I694" s="14">
        <f>DATE(2012,12,31)-225</f>
        <v>41049</v>
      </c>
      <c r="J694" s="15" t="s">
        <v>17</v>
      </c>
      <c r="K694" s="9">
        <v>49</v>
      </c>
      <c r="L694" s="16" t="s">
        <v>27</v>
      </c>
      <c r="M694" s="16">
        <f t="shared" si="62"/>
        <v>1.6179507660996166</v>
      </c>
      <c r="N694">
        <f t="shared" si="63"/>
        <v>0</v>
      </c>
      <c r="O694">
        <f t="shared" si="64"/>
        <v>0</v>
      </c>
      <c r="P694">
        <f t="shared" si="61"/>
        <v>5850</v>
      </c>
      <c r="Q694">
        <f t="shared" si="65"/>
        <v>5850</v>
      </c>
      <c r="T694" s="16">
        <f t="shared" si="66"/>
        <v>1.6179507660996162</v>
      </c>
    </row>
    <row r="695" spans="7:20" ht="14.4" x14ac:dyDescent="0.25">
      <c r="G695" s="10">
        <v>6899</v>
      </c>
      <c r="H695" s="9">
        <v>49216</v>
      </c>
      <c r="I695" s="14">
        <f>DATE(2012,12,31)-1383</f>
        <v>39891</v>
      </c>
      <c r="J695" s="15" t="s">
        <v>17</v>
      </c>
      <c r="K695" s="9">
        <v>11</v>
      </c>
      <c r="L695" s="16" t="s">
        <v>26</v>
      </c>
      <c r="M695" s="16">
        <f t="shared" si="62"/>
        <v>-1.0063207454307979</v>
      </c>
      <c r="N695">
        <f t="shared" si="63"/>
        <v>0</v>
      </c>
      <c r="O695">
        <f t="shared" si="64"/>
        <v>0</v>
      </c>
      <c r="P695">
        <f t="shared" si="61"/>
        <v>3950</v>
      </c>
      <c r="Q695">
        <f t="shared" si="65"/>
        <v>3950</v>
      </c>
      <c r="T695" s="16">
        <f t="shared" si="66"/>
        <v>-1.0063207454307983</v>
      </c>
    </row>
    <row r="696" spans="7:20" ht="14.4" x14ac:dyDescent="0.25">
      <c r="G696" s="10">
        <v>6900</v>
      </c>
      <c r="H696" s="9">
        <v>49216</v>
      </c>
      <c r="I696" s="14">
        <f>DATE(2012,12,31)-1383</f>
        <v>39891</v>
      </c>
      <c r="J696" s="15" t="s">
        <v>17</v>
      </c>
      <c r="K696" s="9">
        <v>9</v>
      </c>
      <c r="L696" s="16" t="s">
        <v>27</v>
      </c>
      <c r="M696" s="16">
        <f t="shared" si="62"/>
        <v>-1.1444402986692408</v>
      </c>
      <c r="N696">
        <f t="shared" si="63"/>
        <v>0</v>
      </c>
      <c r="O696">
        <f t="shared" si="64"/>
        <v>0</v>
      </c>
      <c r="P696">
        <f t="shared" si="61"/>
        <v>3850</v>
      </c>
      <c r="Q696">
        <f t="shared" si="65"/>
        <v>3850</v>
      </c>
      <c r="T696" s="16">
        <f t="shared" si="66"/>
        <v>-1.1444402986692412</v>
      </c>
    </row>
    <row r="697" spans="7:20" ht="14.4" x14ac:dyDescent="0.25">
      <c r="G697" s="10">
        <v>6901</v>
      </c>
      <c r="H697" s="9">
        <v>49216</v>
      </c>
      <c r="I697" s="14">
        <f>DATE(2012,12,31)-1383</f>
        <v>39891</v>
      </c>
      <c r="J697" s="15" t="s">
        <v>17</v>
      </c>
      <c r="K697" s="9">
        <v>29</v>
      </c>
      <c r="L697" s="16" t="s">
        <v>26</v>
      </c>
      <c r="M697" s="16">
        <f t="shared" si="62"/>
        <v>0.23675523371518786</v>
      </c>
      <c r="N697">
        <f t="shared" si="63"/>
        <v>0</v>
      </c>
      <c r="O697">
        <f t="shared" si="64"/>
        <v>0</v>
      </c>
      <c r="P697">
        <f t="shared" si="61"/>
        <v>4850</v>
      </c>
      <c r="Q697">
        <f t="shared" si="65"/>
        <v>4850</v>
      </c>
      <c r="T697" s="16">
        <f t="shared" si="66"/>
        <v>0.2367552337151875</v>
      </c>
    </row>
    <row r="698" spans="7:20" ht="14.4" x14ac:dyDescent="0.25">
      <c r="G698" s="10">
        <v>7005</v>
      </c>
      <c r="H698" s="9">
        <v>49990</v>
      </c>
      <c r="I698" s="14">
        <f>DATE(2012,12,31)-1213</f>
        <v>40061</v>
      </c>
      <c r="J698" s="15" t="s">
        <v>28</v>
      </c>
      <c r="K698" s="9">
        <v>11</v>
      </c>
      <c r="L698" s="16" t="s">
        <v>27</v>
      </c>
      <c r="M698" s="16">
        <f t="shared" si="62"/>
        <v>-1.0063207454307979</v>
      </c>
      <c r="N698">
        <f t="shared" si="63"/>
        <v>0</v>
      </c>
      <c r="O698">
        <f t="shared" si="64"/>
        <v>0</v>
      </c>
      <c r="P698">
        <f t="shared" si="61"/>
        <v>3950</v>
      </c>
      <c r="Q698">
        <f t="shared" si="65"/>
        <v>3950</v>
      </c>
      <c r="T698" s="16">
        <f t="shared" si="66"/>
        <v>-1.0063207454307983</v>
      </c>
    </row>
    <row r="699" spans="7:20" ht="14.4" x14ac:dyDescent="0.25">
      <c r="G699" s="10">
        <v>7018</v>
      </c>
      <c r="H699" s="9">
        <v>50081</v>
      </c>
      <c r="I699" s="14">
        <f>DATE(2012,12,31)-1154</f>
        <v>40120</v>
      </c>
      <c r="J699" s="15" t="s">
        <v>28</v>
      </c>
      <c r="K699" s="9">
        <v>7</v>
      </c>
      <c r="L699" s="16" t="s">
        <v>29</v>
      </c>
      <c r="M699" s="16">
        <f t="shared" si="62"/>
        <v>-1.2825598519076837</v>
      </c>
      <c r="N699">
        <f t="shared" si="63"/>
        <v>0</v>
      </c>
      <c r="O699">
        <f t="shared" si="64"/>
        <v>0</v>
      </c>
      <c r="P699">
        <f t="shared" si="61"/>
        <v>3750</v>
      </c>
      <c r="Q699">
        <f t="shared" si="65"/>
        <v>3750</v>
      </c>
      <c r="T699" s="16">
        <f t="shared" si="66"/>
        <v>-1.2825598519076842</v>
      </c>
    </row>
    <row r="700" spans="7:20" ht="14.4" x14ac:dyDescent="0.25">
      <c r="G700" s="10">
        <v>7063</v>
      </c>
      <c r="H700" s="9">
        <v>50404</v>
      </c>
      <c r="I700" s="14">
        <f>DATE(2012,12,31)-646</f>
        <v>40628</v>
      </c>
      <c r="J700" s="15" t="s">
        <v>17</v>
      </c>
      <c r="K700" s="9">
        <v>18</v>
      </c>
      <c r="L700" s="16" t="s">
        <v>26</v>
      </c>
      <c r="M700" s="16">
        <f t="shared" si="62"/>
        <v>-0.52290230909624791</v>
      </c>
      <c r="N700">
        <f t="shared" si="63"/>
        <v>0</v>
      </c>
      <c r="O700">
        <f t="shared" si="64"/>
        <v>0</v>
      </c>
      <c r="P700">
        <f t="shared" si="61"/>
        <v>4300</v>
      </c>
      <c r="Q700">
        <f t="shared" si="65"/>
        <v>4300</v>
      </c>
      <c r="T700" s="16">
        <f t="shared" si="66"/>
        <v>-0.52290230909624835</v>
      </c>
    </row>
    <row r="701" spans="7:20" ht="14.4" x14ac:dyDescent="0.25">
      <c r="G701" s="10">
        <v>7064</v>
      </c>
      <c r="H701" s="9">
        <v>50404</v>
      </c>
      <c r="I701" s="14">
        <f>DATE(2012,12,31)-646</f>
        <v>40628</v>
      </c>
      <c r="J701" s="15" t="s">
        <v>17</v>
      </c>
      <c r="K701" s="9">
        <v>10</v>
      </c>
      <c r="L701" s="16" t="s">
        <v>29</v>
      </c>
      <c r="M701" s="16">
        <f t="shared" si="62"/>
        <v>-1.0753805220500194</v>
      </c>
      <c r="N701">
        <f t="shared" si="63"/>
        <v>0</v>
      </c>
      <c r="O701">
        <f t="shared" si="64"/>
        <v>0</v>
      </c>
      <c r="P701">
        <f t="shared" si="61"/>
        <v>3900</v>
      </c>
      <c r="Q701">
        <f t="shared" si="65"/>
        <v>3900</v>
      </c>
      <c r="T701" s="16">
        <f t="shared" si="66"/>
        <v>-1.0753805220500199</v>
      </c>
    </row>
    <row r="702" spans="7:20" ht="14.4" x14ac:dyDescent="0.25">
      <c r="G702" s="10">
        <v>7116</v>
      </c>
      <c r="H702" s="9">
        <v>50784</v>
      </c>
      <c r="I702" s="14">
        <f>DATE(2012,12,31)-325</f>
        <v>40949</v>
      </c>
      <c r="J702" s="15" t="s">
        <v>17</v>
      </c>
      <c r="K702" s="9">
        <v>20</v>
      </c>
      <c r="L702" s="16" t="s">
        <v>27</v>
      </c>
      <c r="M702" s="16">
        <f t="shared" si="62"/>
        <v>-0.38478275585780503</v>
      </c>
      <c r="N702">
        <f t="shared" si="63"/>
        <v>0</v>
      </c>
      <c r="O702">
        <f t="shared" si="64"/>
        <v>0</v>
      </c>
      <c r="P702">
        <f t="shared" si="61"/>
        <v>4400</v>
      </c>
      <c r="Q702">
        <f t="shared" si="65"/>
        <v>4400</v>
      </c>
      <c r="T702" s="16">
        <f t="shared" si="66"/>
        <v>-0.38478275585780541</v>
      </c>
    </row>
    <row r="703" spans="7:20" ht="14.4" x14ac:dyDescent="0.25">
      <c r="G703" s="10">
        <v>7128</v>
      </c>
      <c r="H703" s="9">
        <v>50850</v>
      </c>
      <c r="I703" s="14">
        <f>DATE(2012,12,31)-1335</f>
        <v>39939</v>
      </c>
      <c r="J703" s="15" t="s">
        <v>30</v>
      </c>
      <c r="K703" s="9">
        <v>37</v>
      </c>
      <c r="L703" s="16" t="s">
        <v>26</v>
      </c>
      <c r="M703" s="16">
        <f t="shared" si="62"/>
        <v>0.78923344666895934</v>
      </c>
      <c r="N703">
        <f t="shared" si="63"/>
        <v>0</v>
      </c>
      <c r="O703">
        <f t="shared" si="64"/>
        <v>0</v>
      </c>
      <c r="P703">
        <f t="shared" si="61"/>
        <v>5250</v>
      </c>
      <c r="Q703">
        <f t="shared" si="65"/>
        <v>5250</v>
      </c>
      <c r="T703" s="16">
        <f t="shared" si="66"/>
        <v>0.789233446668959</v>
      </c>
    </row>
    <row r="704" spans="7:20" ht="14.4" x14ac:dyDescent="0.25">
      <c r="G704" s="10">
        <v>7129</v>
      </c>
      <c r="H704" s="9">
        <v>50850</v>
      </c>
      <c r="I704" s="14">
        <f>DATE(2012,12,31)-1335</f>
        <v>39939</v>
      </c>
      <c r="J704" s="15" t="s">
        <v>30</v>
      </c>
      <c r="K704" s="9">
        <v>2</v>
      </c>
      <c r="L704" s="16" t="s">
        <v>29</v>
      </c>
      <c r="M704" s="16">
        <f t="shared" si="62"/>
        <v>-1.627858735003791</v>
      </c>
      <c r="N704">
        <f t="shared" si="63"/>
        <v>0</v>
      </c>
      <c r="O704">
        <f t="shared" si="64"/>
        <v>0</v>
      </c>
      <c r="P704">
        <f t="shared" si="61"/>
        <v>3500</v>
      </c>
      <c r="Q704">
        <f t="shared" si="65"/>
        <v>3500</v>
      </c>
      <c r="T704" s="16">
        <f t="shared" si="66"/>
        <v>-1.6278587350037912</v>
      </c>
    </row>
    <row r="705" spans="7:20" ht="14.4" x14ac:dyDescent="0.25">
      <c r="G705" s="10">
        <v>7161</v>
      </c>
      <c r="H705" s="9">
        <v>51075</v>
      </c>
      <c r="I705" s="14">
        <f>DATE(2012,12,31)-769</f>
        <v>40505</v>
      </c>
      <c r="J705" s="15" t="s">
        <v>28</v>
      </c>
      <c r="K705" s="9">
        <v>43</v>
      </c>
      <c r="L705" s="16" t="s">
        <v>27</v>
      </c>
      <c r="M705" s="16">
        <f t="shared" si="62"/>
        <v>1.203592106384288</v>
      </c>
      <c r="N705">
        <f t="shared" si="63"/>
        <v>0</v>
      </c>
      <c r="O705">
        <f t="shared" si="64"/>
        <v>0</v>
      </c>
      <c r="P705">
        <f t="shared" si="61"/>
        <v>5550</v>
      </c>
      <c r="Q705">
        <f t="shared" si="65"/>
        <v>5550</v>
      </c>
      <c r="T705" s="16">
        <f t="shared" si="66"/>
        <v>1.2035921063842876</v>
      </c>
    </row>
    <row r="706" spans="7:20" ht="14.4" x14ac:dyDescent="0.25">
      <c r="G706" s="10">
        <v>7209</v>
      </c>
      <c r="H706" s="9">
        <v>51461</v>
      </c>
      <c r="I706" s="14">
        <f>DATE(2012,12,31)-690</f>
        <v>40584</v>
      </c>
      <c r="J706" s="15" t="s">
        <v>28</v>
      </c>
      <c r="K706" s="9">
        <v>43</v>
      </c>
      <c r="L706" s="16" t="s">
        <v>29</v>
      </c>
      <c r="M706" s="16">
        <f t="shared" si="62"/>
        <v>1.203592106384288</v>
      </c>
      <c r="N706">
        <f t="shared" si="63"/>
        <v>0</v>
      </c>
      <c r="O706">
        <f t="shared" si="64"/>
        <v>0</v>
      </c>
      <c r="P706">
        <f t="shared" si="61"/>
        <v>5550</v>
      </c>
      <c r="Q706">
        <f t="shared" si="65"/>
        <v>5550</v>
      </c>
      <c r="T706" s="16">
        <f t="shared" si="66"/>
        <v>1.2035921063842876</v>
      </c>
    </row>
    <row r="707" spans="7:20" ht="14.4" x14ac:dyDescent="0.25">
      <c r="G707" s="10">
        <v>7232</v>
      </c>
      <c r="H707" s="9">
        <v>51558</v>
      </c>
      <c r="I707" s="14">
        <f>DATE(2012,12,31)-1008</f>
        <v>40266</v>
      </c>
      <c r="J707" s="15" t="s">
        <v>28</v>
      </c>
      <c r="K707" s="9">
        <v>34</v>
      </c>
      <c r="L707" s="16" t="s">
        <v>26</v>
      </c>
      <c r="M707" s="16">
        <f t="shared" si="62"/>
        <v>0.58205411681129504</v>
      </c>
      <c r="N707">
        <f t="shared" si="63"/>
        <v>0</v>
      </c>
      <c r="O707">
        <f t="shared" si="64"/>
        <v>0</v>
      </c>
      <c r="P707">
        <f t="shared" si="61"/>
        <v>5100</v>
      </c>
      <c r="Q707">
        <f t="shared" si="65"/>
        <v>5100</v>
      </c>
      <c r="T707" s="16">
        <f t="shared" si="66"/>
        <v>0.58205411681129471</v>
      </c>
    </row>
    <row r="708" spans="7:20" ht="14.4" x14ac:dyDescent="0.25">
      <c r="G708" s="10">
        <v>7233</v>
      </c>
      <c r="H708" s="9">
        <v>51558</v>
      </c>
      <c r="I708" s="14">
        <f>DATE(2012,12,31)-1008</f>
        <v>40266</v>
      </c>
      <c r="J708" s="15" t="s">
        <v>28</v>
      </c>
      <c r="K708" s="9">
        <v>47</v>
      </c>
      <c r="L708" s="16" t="s">
        <v>29</v>
      </c>
      <c r="M708" s="16">
        <f t="shared" si="62"/>
        <v>1.4798312128611737</v>
      </c>
      <c r="N708">
        <f t="shared" si="63"/>
        <v>0</v>
      </c>
      <c r="O708">
        <f t="shared" si="64"/>
        <v>0</v>
      </c>
      <c r="P708">
        <f t="shared" si="61"/>
        <v>5750</v>
      </c>
      <c r="Q708">
        <f t="shared" si="65"/>
        <v>5750</v>
      </c>
      <c r="T708" s="16">
        <f t="shared" si="66"/>
        <v>1.4798312128611733</v>
      </c>
    </row>
    <row r="709" spans="7:20" ht="14.4" x14ac:dyDescent="0.25">
      <c r="G709" s="10">
        <v>7310</v>
      </c>
      <c r="H709" s="9">
        <v>52130</v>
      </c>
      <c r="I709" s="14">
        <f>DATE(2012,12,31)-117</f>
        <v>41157</v>
      </c>
      <c r="J709" s="15" t="s">
        <v>25</v>
      </c>
      <c r="K709" s="9">
        <v>13</v>
      </c>
      <c r="L709" s="16" t="s">
        <v>26</v>
      </c>
      <c r="M709" s="16">
        <f t="shared" si="62"/>
        <v>-0.86820119219235514</v>
      </c>
      <c r="N709">
        <f t="shared" si="63"/>
        <v>0</v>
      </c>
      <c r="O709">
        <f t="shared" si="64"/>
        <v>0</v>
      </c>
      <c r="P709">
        <f t="shared" si="61"/>
        <v>4050</v>
      </c>
      <c r="Q709">
        <f t="shared" si="65"/>
        <v>4050</v>
      </c>
      <c r="T709" s="16">
        <f t="shared" si="66"/>
        <v>-0.86820119219235548</v>
      </c>
    </row>
    <row r="710" spans="7:20" ht="14.4" x14ac:dyDescent="0.25">
      <c r="G710" s="10">
        <v>7311</v>
      </c>
      <c r="H710" s="9">
        <v>52130</v>
      </c>
      <c r="I710" s="14">
        <f>DATE(2012,12,31)-117</f>
        <v>41157</v>
      </c>
      <c r="J710" s="15" t="s">
        <v>25</v>
      </c>
      <c r="K710" s="9">
        <v>36</v>
      </c>
      <c r="L710" s="16" t="s">
        <v>29</v>
      </c>
      <c r="M710" s="16">
        <f t="shared" si="62"/>
        <v>0.72017367004973787</v>
      </c>
      <c r="N710">
        <f t="shared" si="63"/>
        <v>0</v>
      </c>
      <c r="O710">
        <f t="shared" si="64"/>
        <v>0</v>
      </c>
      <c r="P710">
        <f t="shared" si="61"/>
        <v>5200</v>
      </c>
      <c r="Q710">
        <f t="shared" si="65"/>
        <v>5200</v>
      </c>
      <c r="T710" s="16">
        <f t="shared" si="66"/>
        <v>0.72017367004973754</v>
      </c>
    </row>
    <row r="711" spans="7:20" ht="14.4" x14ac:dyDescent="0.25">
      <c r="G711" s="10">
        <v>7363</v>
      </c>
      <c r="H711" s="9">
        <v>52482</v>
      </c>
      <c r="I711" s="14">
        <f>DATE(2012,12,31)-700</f>
        <v>40574</v>
      </c>
      <c r="J711" s="15" t="s">
        <v>30</v>
      </c>
      <c r="K711" s="9">
        <v>21</v>
      </c>
      <c r="L711" s="16" t="s">
        <v>26</v>
      </c>
      <c r="M711" s="16">
        <f t="shared" si="62"/>
        <v>-0.31572297923858361</v>
      </c>
      <c r="N711">
        <f t="shared" si="63"/>
        <v>0</v>
      </c>
      <c r="O711">
        <f t="shared" si="64"/>
        <v>0</v>
      </c>
      <c r="P711">
        <f t="shared" si="61"/>
        <v>4450</v>
      </c>
      <c r="Q711">
        <f t="shared" si="65"/>
        <v>4450</v>
      </c>
      <c r="T711" s="16">
        <f t="shared" si="66"/>
        <v>-0.315722979238584</v>
      </c>
    </row>
    <row r="712" spans="7:20" ht="14.4" x14ac:dyDescent="0.25">
      <c r="G712" s="10">
        <v>7364</v>
      </c>
      <c r="H712" s="9">
        <v>52482</v>
      </c>
      <c r="I712" s="14">
        <f>DATE(2012,12,31)-700</f>
        <v>40574</v>
      </c>
      <c r="J712" s="15" t="s">
        <v>30</v>
      </c>
      <c r="K712" s="9">
        <v>30</v>
      </c>
      <c r="L712" s="16" t="s">
        <v>29</v>
      </c>
      <c r="M712" s="16">
        <f t="shared" si="62"/>
        <v>0.30581501033440933</v>
      </c>
      <c r="N712">
        <f t="shared" si="63"/>
        <v>0</v>
      </c>
      <c r="O712">
        <f t="shared" si="64"/>
        <v>0</v>
      </c>
      <c r="P712">
        <f t="shared" si="61"/>
        <v>4900</v>
      </c>
      <c r="Q712">
        <f t="shared" si="65"/>
        <v>4900</v>
      </c>
      <c r="T712" s="16">
        <f t="shared" si="66"/>
        <v>0.30581501033440894</v>
      </c>
    </row>
    <row r="713" spans="7:20" ht="14.4" x14ac:dyDescent="0.25">
      <c r="G713" s="10">
        <v>7480</v>
      </c>
      <c r="H713" s="9">
        <v>53410</v>
      </c>
      <c r="I713" s="14">
        <f>DATE(2012,12,31)-1242</f>
        <v>40032</v>
      </c>
      <c r="J713" s="15" t="s">
        <v>30</v>
      </c>
      <c r="K713" s="9">
        <v>44</v>
      </c>
      <c r="L713" s="16" t="s">
        <v>26</v>
      </c>
      <c r="M713" s="16">
        <f t="shared" si="62"/>
        <v>1.2726518830035094</v>
      </c>
      <c r="N713">
        <f t="shared" si="63"/>
        <v>0</v>
      </c>
      <c r="O713">
        <f t="shared" si="64"/>
        <v>0</v>
      </c>
      <c r="P713">
        <f t="shared" si="61"/>
        <v>5600</v>
      </c>
      <c r="Q713">
        <f t="shared" si="65"/>
        <v>5600</v>
      </c>
      <c r="T713" s="16">
        <f t="shared" si="66"/>
        <v>1.272651883003509</v>
      </c>
    </row>
    <row r="714" spans="7:20" ht="14.4" x14ac:dyDescent="0.25">
      <c r="G714" s="10">
        <v>7493</v>
      </c>
      <c r="H714" s="9">
        <v>53477</v>
      </c>
      <c r="I714" s="14">
        <f>DATE(2012,12,31)-240</f>
        <v>41034</v>
      </c>
      <c r="J714" s="15" t="s">
        <v>17</v>
      </c>
      <c r="K714" s="9">
        <v>32</v>
      </c>
      <c r="L714" s="16" t="s">
        <v>29</v>
      </c>
      <c r="M714" s="16">
        <f t="shared" si="62"/>
        <v>0.44393456357285216</v>
      </c>
      <c r="N714">
        <f t="shared" si="63"/>
        <v>0</v>
      </c>
      <c r="O714">
        <f t="shared" si="64"/>
        <v>0</v>
      </c>
      <c r="P714">
        <f t="shared" si="61"/>
        <v>5000</v>
      </c>
      <c r="Q714">
        <f t="shared" si="65"/>
        <v>5000</v>
      </c>
      <c r="T714" s="16">
        <f t="shared" si="66"/>
        <v>0.44393456357285183</v>
      </c>
    </row>
    <row r="715" spans="7:20" ht="14.4" x14ac:dyDescent="0.25">
      <c r="G715" s="10">
        <v>7494</v>
      </c>
      <c r="H715" s="9">
        <v>53477</v>
      </c>
      <c r="I715" s="14">
        <f>DATE(2012,12,31)-240</f>
        <v>41034</v>
      </c>
      <c r="J715" s="15" t="s">
        <v>17</v>
      </c>
      <c r="K715" s="9">
        <v>27</v>
      </c>
      <c r="L715" s="16" t="s">
        <v>29</v>
      </c>
      <c r="M715" s="16">
        <f t="shared" si="62"/>
        <v>9.8635680476745008E-2</v>
      </c>
      <c r="N715">
        <f t="shared" si="63"/>
        <v>0</v>
      </c>
      <c r="O715">
        <f t="shared" si="64"/>
        <v>0</v>
      </c>
      <c r="P715">
        <f t="shared" si="61"/>
        <v>4750</v>
      </c>
      <c r="Q715">
        <f t="shared" si="65"/>
        <v>4750</v>
      </c>
      <c r="T715" s="16">
        <f t="shared" si="66"/>
        <v>9.8635680476744619E-2</v>
      </c>
    </row>
    <row r="716" spans="7:20" ht="14.4" x14ac:dyDescent="0.25">
      <c r="G716" s="10">
        <v>7495</v>
      </c>
      <c r="H716" s="9">
        <v>53477</v>
      </c>
      <c r="I716" s="14">
        <f>DATE(2012,12,31)-240</f>
        <v>41034</v>
      </c>
      <c r="J716" s="15" t="s">
        <v>17</v>
      </c>
      <c r="K716" s="9">
        <v>36</v>
      </c>
      <c r="L716" s="16" t="s">
        <v>26</v>
      </c>
      <c r="M716" s="16">
        <f t="shared" si="62"/>
        <v>0.72017367004973787</v>
      </c>
      <c r="N716">
        <f t="shared" si="63"/>
        <v>0</v>
      </c>
      <c r="O716">
        <f t="shared" si="64"/>
        <v>0</v>
      </c>
      <c r="P716">
        <f t="shared" ref="P716:P779" si="67">50*K716+$P$10</f>
        <v>5200</v>
      </c>
      <c r="Q716">
        <f t="shared" si="65"/>
        <v>5200</v>
      </c>
      <c r="T716" s="16">
        <f t="shared" si="66"/>
        <v>0.72017367004973754</v>
      </c>
    </row>
    <row r="717" spans="7:20" ht="14.4" x14ac:dyDescent="0.25">
      <c r="G717" s="10">
        <v>7496</v>
      </c>
      <c r="H717" s="9">
        <v>53477</v>
      </c>
      <c r="I717" s="14">
        <f>DATE(2012,12,31)-240</f>
        <v>41034</v>
      </c>
      <c r="J717" s="15" t="s">
        <v>17</v>
      </c>
      <c r="K717" s="9">
        <v>28</v>
      </c>
      <c r="L717" s="16" t="s">
        <v>26</v>
      </c>
      <c r="M717" s="16">
        <f t="shared" ref="M717:M780" si="68">(K717-$K$4)/$K$7</f>
        <v>0.16769545709596645</v>
      </c>
      <c r="N717">
        <f t="shared" ref="N717:N780" si="69">IF(MOD($B$20+G717,1000)=0,1,0)</f>
        <v>0</v>
      </c>
      <c r="O717">
        <f t="shared" ref="O717:O780" si="70">+ROUND(N717*(IF(K717&lt;$K$4,-4.5,10.5)*$P$5),-2)</f>
        <v>0</v>
      </c>
      <c r="P717">
        <f t="shared" si="67"/>
        <v>4800</v>
      </c>
      <c r="Q717">
        <f t="shared" ref="Q717:Q780" si="71">P717+O717</f>
        <v>4800</v>
      </c>
      <c r="T717" s="16">
        <f t="shared" ref="T717:T780" si="72">(Q717-$P$4)/$P$5</f>
        <v>0.16769545709596606</v>
      </c>
    </row>
    <row r="718" spans="7:20" ht="14.4" x14ac:dyDescent="0.25">
      <c r="G718" s="10">
        <v>7497</v>
      </c>
      <c r="H718" s="9">
        <v>53508</v>
      </c>
      <c r="I718" s="14">
        <f>DATE(2012,12,31)-1147</f>
        <v>40127</v>
      </c>
      <c r="J718" s="15" t="s">
        <v>17</v>
      </c>
      <c r="K718" s="9">
        <v>13</v>
      </c>
      <c r="L718" s="16" t="s">
        <v>27</v>
      </c>
      <c r="M718" s="16">
        <f t="shared" si="68"/>
        <v>-0.86820119219235514</v>
      </c>
      <c r="N718">
        <f t="shared" si="69"/>
        <v>0</v>
      </c>
      <c r="O718">
        <f t="shared" si="70"/>
        <v>0</v>
      </c>
      <c r="P718">
        <f t="shared" si="67"/>
        <v>4050</v>
      </c>
      <c r="Q718">
        <f t="shared" si="71"/>
        <v>4050</v>
      </c>
      <c r="T718" s="16">
        <f t="shared" si="72"/>
        <v>-0.86820119219235548</v>
      </c>
    </row>
    <row r="719" spans="7:20" ht="14.4" x14ac:dyDescent="0.25">
      <c r="G719" s="10">
        <v>7498</v>
      </c>
      <c r="H719" s="9">
        <v>53508</v>
      </c>
      <c r="I719" s="14">
        <f>DATE(2012,12,31)-1147</f>
        <v>40127</v>
      </c>
      <c r="J719" s="15" t="s">
        <v>17</v>
      </c>
      <c r="K719" s="9">
        <v>25</v>
      </c>
      <c r="L719" s="16" t="s">
        <v>27</v>
      </c>
      <c r="M719" s="16">
        <f t="shared" si="68"/>
        <v>-3.9483872761697868E-2</v>
      </c>
      <c r="N719">
        <f t="shared" si="69"/>
        <v>0</v>
      </c>
      <c r="O719">
        <f t="shared" si="70"/>
        <v>0</v>
      </c>
      <c r="P719">
        <f t="shared" si="67"/>
        <v>4650</v>
      </c>
      <c r="Q719">
        <f t="shared" si="71"/>
        <v>4650</v>
      </c>
      <c r="T719" s="16">
        <f t="shared" si="72"/>
        <v>-3.9483872761698249E-2</v>
      </c>
    </row>
    <row r="720" spans="7:20" ht="14.4" x14ac:dyDescent="0.25">
      <c r="G720" s="10">
        <v>7499</v>
      </c>
      <c r="H720" s="9">
        <v>53508</v>
      </c>
      <c r="I720" s="14">
        <f>DATE(2012,12,31)-1147</f>
        <v>40127</v>
      </c>
      <c r="J720" s="15" t="s">
        <v>17</v>
      </c>
      <c r="K720" s="9">
        <v>4</v>
      </c>
      <c r="L720" s="16" t="s">
        <v>26</v>
      </c>
      <c r="M720" s="16">
        <f t="shared" si="68"/>
        <v>-1.489739181765348</v>
      </c>
      <c r="N720">
        <f t="shared" si="69"/>
        <v>0</v>
      </c>
      <c r="O720">
        <f t="shared" si="70"/>
        <v>0</v>
      </c>
      <c r="P720">
        <f t="shared" si="67"/>
        <v>3600</v>
      </c>
      <c r="Q720">
        <f t="shared" si="71"/>
        <v>3600</v>
      </c>
      <c r="T720" s="16">
        <f t="shared" si="72"/>
        <v>-1.4897391817653485</v>
      </c>
    </row>
    <row r="721" spans="7:20" ht="14.4" x14ac:dyDescent="0.25">
      <c r="G721" s="10">
        <v>7522</v>
      </c>
      <c r="H721" s="9">
        <v>53703</v>
      </c>
      <c r="I721" s="14">
        <f>DATE(2012,12,31)-931</f>
        <v>40343</v>
      </c>
      <c r="J721" s="15" t="s">
        <v>28</v>
      </c>
      <c r="K721" s="9">
        <v>14</v>
      </c>
      <c r="L721" s="16" t="s">
        <v>26</v>
      </c>
      <c r="M721" s="16">
        <f t="shared" si="68"/>
        <v>-0.79914141557313367</v>
      </c>
      <c r="N721">
        <f t="shared" si="69"/>
        <v>0</v>
      </c>
      <c r="O721">
        <f t="shared" si="70"/>
        <v>0</v>
      </c>
      <c r="P721">
        <f t="shared" si="67"/>
        <v>4100</v>
      </c>
      <c r="Q721">
        <f t="shared" si="71"/>
        <v>4100</v>
      </c>
      <c r="T721" s="16">
        <f t="shared" si="72"/>
        <v>-0.79914141557313401</v>
      </c>
    </row>
    <row r="722" spans="7:20" ht="14.4" x14ac:dyDescent="0.25">
      <c r="G722" s="10">
        <v>7562</v>
      </c>
      <c r="H722" s="9">
        <v>54115</v>
      </c>
      <c r="I722" s="14">
        <f>DATE(2012,12,31)-359</f>
        <v>40915</v>
      </c>
      <c r="J722" s="15" t="s">
        <v>25</v>
      </c>
      <c r="K722" s="9">
        <v>24</v>
      </c>
      <c r="L722" s="16" t="s">
        <v>26</v>
      </c>
      <c r="M722" s="16">
        <f t="shared" si="68"/>
        <v>-0.1085436493809193</v>
      </c>
      <c r="N722">
        <f t="shared" si="69"/>
        <v>0</v>
      </c>
      <c r="O722">
        <f t="shared" si="70"/>
        <v>0</v>
      </c>
      <c r="P722">
        <f t="shared" si="67"/>
        <v>4600</v>
      </c>
      <c r="Q722">
        <f t="shared" si="71"/>
        <v>4600</v>
      </c>
      <c r="T722" s="16">
        <f t="shared" si="72"/>
        <v>-0.10854364938091969</v>
      </c>
    </row>
    <row r="723" spans="7:20" ht="14.4" x14ac:dyDescent="0.25">
      <c r="G723" s="10">
        <v>7563</v>
      </c>
      <c r="H723" s="9">
        <v>54115</v>
      </c>
      <c r="I723" s="14">
        <f>DATE(2012,12,31)-359</f>
        <v>40915</v>
      </c>
      <c r="J723" s="15" t="s">
        <v>25</v>
      </c>
      <c r="K723" s="9">
        <v>39</v>
      </c>
      <c r="L723" s="16" t="s">
        <v>26</v>
      </c>
      <c r="M723" s="16">
        <f t="shared" si="68"/>
        <v>0.92735299990740228</v>
      </c>
      <c r="N723">
        <f t="shared" si="69"/>
        <v>0</v>
      </c>
      <c r="O723">
        <f t="shared" si="70"/>
        <v>0</v>
      </c>
      <c r="P723">
        <f t="shared" si="67"/>
        <v>5350</v>
      </c>
      <c r="Q723">
        <f t="shared" si="71"/>
        <v>5350</v>
      </c>
      <c r="T723" s="16">
        <f t="shared" si="72"/>
        <v>0.92735299990740183</v>
      </c>
    </row>
    <row r="724" spans="7:20" ht="14.4" x14ac:dyDescent="0.25">
      <c r="G724" s="10">
        <v>7607</v>
      </c>
      <c r="H724" s="9">
        <v>54437</v>
      </c>
      <c r="I724" s="14">
        <f>DATE(2012,12,31)-743</f>
        <v>40531</v>
      </c>
      <c r="J724" s="15" t="s">
        <v>17</v>
      </c>
      <c r="K724" s="9">
        <v>15</v>
      </c>
      <c r="L724" s="16" t="s">
        <v>27</v>
      </c>
      <c r="M724" s="16">
        <f t="shared" si="68"/>
        <v>-0.7300816389539122</v>
      </c>
      <c r="N724">
        <f t="shared" si="69"/>
        <v>0</v>
      </c>
      <c r="O724">
        <f t="shared" si="70"/>
        <v>0</v>
      </c>
      <c r="P724">
        <f t="shared" si="67"/>
        <v>4150</v>
      </c>
      <c r="Q724">
        <f t="shared" si="71"/>
        <v>4150</v>
      </c>
      <c r="T724" s="16">
        <f t="shared" si="72"/>
        <v>-0.73008163895391265</v>
      </c>
    </row>
    <row r="725" spans="7:20" ht="14.4" x14ac:dyDescent="0.25">
      <c r="G725" s="10">
        <v>7616</v>
      </c>
      <c r="H725" s="9">
        <v>54501</v>
      </c>
      <c r="I725" s="14">
        <f>DATE(2012,12,31)-32</f>
        <v>41242</v>
      </c>
      <c r="J725" s="15" t="s">
        <v>30</v>
      </c>
      <c r="K725" s="9">
        <v>36</v>
      </c>
      <c r="L725" s="16" t="s">
        <v>27</v>
      </c>
      <c r="M725" s="16">
        <f t="shared" si="68"/>
        <v>0.72017367004973787</v>
      </c>
      <c r="N725">
        <f t="shared" si="69"/>
        <v>0</v>
      </c>
      <c r="O725">
        <f t="shared" si="70"/>
        <v>0</v>
      </c>
      <c r="P725">
        <f t="shared" si="67"/>
        <v>5200</v>
      </c>
      <c r="Q725">
        <f t="shared" si="71"/>
        <v>5200</v>
      </c>
      <c r="T725" s="16">
        <f t="shared" si="72"/>
        <v>0.72017367004973754</v>
      </c>
    </row>
    <row r="726" spans="7:20" ht="14.4" x14ac:dyDescent="0.25">
      <c r="G726" s="10">
        <v>7617</v>
      </c>
      <c r="H726" s="9">
        <v>54501</v>
      </c>
      <c r="I726" s="14">
        <f>DATE(2012,12,31)-32</f>
        <v>41242</v>
      </c>
      <c r="J726" s="15" t="s">
        <v>30</v>
      </c>
      <c r="K726" s="9">
        <v>16</v>
      </c>
      <c r="L726" s="16" t="s">
        <v>27</v>
      </c>
      <c r="M726" s="16">
        <f t="shared" si="68"/>
        <v>-0.66102186233469074</v>
      </c>
      <c r="N726">
        <f t="shared" si="69"/>
        <v>0</v>
      </c>
      <c r="O726">
        <f t="shared" si="70"/>
        <v>0</v>
      </c>
      <c r="P726">
        <f t="shared" si="67"/>
        <v>4200</v>
      </c>
      <c r="Q726">
        <f t="shared" si="71"/>
        <v>4200</v>
      </c>
      <c r="T726" s="16">
        <f t="shared" si="72"/>
        <v>-0.66102186233469118</v>
      </c>
    </row>
    <row r="727" spans="7:20" ht="14.4" x14ac:dyDescent="0.25">
      <c r="G727" s="10">
        <v>7618</v>
      </c>
      <c r="H727" s="9">
        <v>54501</v>
      </c>
      <c r="I727" s="14">
        <f>DATE(2012,12,31)-32</f>
        <v>41242</v>
      </c>
      <c r="J727" s="15" t="s">
        <v>30</v>
      </c>
      <c r="K727" s="9">
        <v>38</v>
      </c>
      <c r="L727" s="16" t="s">
        <v>26</v>
      </c>
      <c r="M727" s="16">
        <f t="shared" si="68"/>
        <v>0.85829322328818081</v>
      </c>
      <c r="N727">
        <f t="shared" si="69"/>
        <v>0</v>
      </c>
      <c r="O727">
        <f t="shared" si="70"/>
        <v>0</v>
      </c>
      <c r="P727">
        <f t="shared" si="67"/>
        <v>5300</v>
      </c>
      <c r="Q727">
        <f t="shared" si="71"/>
        <v>5300</v>
      </c>
      <c r="T727" s="16">
        <f t="shared" si="72"/>
        <v>0.85829322328818036</v>
      </c>
    </row>
    <row r="728" spans="7:20" ht="14.4" x14ac:dyDescent="0.25">
      <c r="G728" s="10">
        <v>7642</v>
      </c>
      <c r="H728" s="9">
        <v>54753</v>
      </c>
      <c r="I728" s="14">
        <f>DATE(2012,12,31)-1353</f>
        <v>39921</v>
      </c>
      <c r="J728" s="15" t="s">
        <v>16</v>
      </c>
      <c r="K728" s="9">
        <v>36</v>
      </c>
      <c r="L728" s="16" t="s">
        <v>27</v>
      </c>
      <c r="M728" s="16">
        <f t="shared" si="68"/>
        <v>0.72017367004973787</v>
      </c>
      <c r="N728">
        <f t="shared" si="69"/>
        <v>0</v>
      </c>
      <c r="O728">
        <f t="shared" si="70"/>
        <v>0</v>
      </c>
      <c r="P728">
        <f t="shared" si="67"/>
        <v>5200</v>
      </c>
      <c r="Q728">
        <f t="shared" si="71"/>
        <v>5200</v>
      </c>
      <c r="T728" s="16">
        <f t="shared" si="72"/>
        <v>0.72017367004973754</v>
      </c>
    </row>
    <row r="729" spans="7:20" ht="14.4" x14ac:dyDescent="0.25">
      <c r="G729" s="10">
        <v>7690</v>
      </c>
      <c r="H729" s="9">
        <v>55138</v>
      </c>
      <c r="I729" s="14">
        <f>DATE(2012,12,31)-1194</f>
        <v>40080</v>
      </c>
      <c r="J729" s="15" t="s">
        <v>17</v>
      </c>
      <c r="K729" s="9">
        <v>22</v>
      </c>
      <c r="L729" s="16" t="s">
        <v>26</v>
      </c>
      <c r="M729" s="16">
        <f t="shared" si="68"/>
        <v>-0.24666320261936217</v>
      </c>
      <c r="N729">
        <f t="shared" si="69"/>
        <v>0</v>
      </c>
      <c r="O729">
        <f t="shared" si="70"/>
        <v>0</v>
      </c>
      <c r="P729">
        <f t="shared" si="67"/>
        <v>4500</v>
      </c>
      <c r="Q729">
        <f t="shared" si="71"/>
        <v>4500</v>
      </c>
      <c r="T729" s="16">
        <f t="shared" si="72"/>
        <v>-0.24666320261936256</v>
      </c>
    </row>
    <row r="730" spans="7:20" ht="14.4" x14ac:dyDescent="0.25">
      <c r="G730" s="10">
        <v>7713</v>
      </c>
      <c r="H730" s="9">
        <v>55271</v>
      </c>
      <c r="I730" s="14">
        <f>DATE(2012,12,31)-661</f>
        <v>40613</v>
      </c>
      <c r="J730" s="15" t="s">
        <v>16</v>
      </c>
      <c r="K730" s="9">
        <v>16</v>
      </c>
      <c r="L730" s="16" t="s">
        <v>29</v>
      </c>
      <c r="M730" s="16">
        <f t="shared" si="68"/>
        <v>-0.66102186233469074</v>
      </c>
      <c r="N730">
        <f t="shared" si="69"/>
        <v>0</v>
      </c>
      <c r="O730">
        <f t="shared" si="70"/>
        <v>0</v>
      </c>
      <c r="P730">
        <f t="shared" si="67"/>
        <v>4200</v>
      </c>
      <c r="Q730">
        <f t="shared" si="71"/>
        <v>4200</v>
      </c>
      <c r="T730" s="16">
        <f t="shared" si="72"/>
        <v>-0.66102186233469118</v>
      </c>
    </row>
    <row r="731" spans="7:20" ht="14.4" x14ac:dyDescent="0.25">
      <c r="G731" s="10">
        <v>7722</v>
      </c>
      <c r="H731" s="9">
        <v>55331</v>
      </c>
      <c r="I731" s="14">
        <f>DATE(2012,12,31)-749</f>
        <v>40525</v>
      </c>
      <c r="J731" s="15" t="s">
        <v>17</v>
      </c>
      <c r="K731" s="9">
        <v>13</v>
      </c>
      <c r="L731" s="16" t="s">
        <v>26</v>
      </c>
      <c r="M731" s="16">
        <f t="shared" si="68"/>
        <v>-0.86820119219235514</v>
      </c>
      <c r="N731">
        <f t="shared" si="69"/>
        <v>0</v>
      </c>
      <c r="O731">
        <f t="shared" si="70"/>
        <v>0</v>
      </c>
      <c r="P731">
        <f t="shared" si="67"/>
        <v>4050</v>
      </c>
      <c r="Q731">
        <f t="shared" si="71"/>
        <v>4050</v>
      </c>
      <c r="T731" s="16">
        <f t="shared" si="72"/>
        <v>-0.86820119219235548</v>
      </c>
    </row>
    <row r="732" spans="7:20" ht="14.4" x14ac:dyDescent="0.25">
      <c r="G732" s="10">
        <v>7769</v>
      </c>
      <c r="H732" s="9">
        <v>55618</v>
      </c>
      <c r="I732" s="14">
        <f>DATE(2012,12,31)-345</f>
        <v>40929</v>
      </c>
      <c r="J732" s="15" t="s">
        <v>16</v>
      </c>
      <c r="K732" s="9">
        <v>48</v>
      </c>
      <c r="L732" s="16" t="s">
        <v>27</v>
      </c>
      <c r="M732" s="16">
        <f t="shared" si="68"/>
        <v>1.5488909894803951</v>
      </c>
      <c r="N732">
        <f t="shared" si="69"/>
        <v>0</v>
      </c>
      <c r="O732">
        <f t="shared" si="70"/>
        <v>0</v>
      </c>
      <c r="P732">
        <f t="shared" si="67"/>
        <v>5800</v>
      </c>
      <c r="Q732">
        <f t="shared" si="71"/>
        <v>5800</v>
      </c>
      <c r="T732" s="16">
        <f t="shared" si="72"/>
        <v>1.5488909894803948</v>
      </c>
    </row>
    <row r="733" spans="7:20" ht="14.4" x14ac:dyDescent="0.25">
      <c r="G733" s="10">
        <v>7924</v>
      </c>
      <c r="H733" s="9">
        <v>56645</v>
      </c>
      <c r="I733" s="14">
        <f>DATE(2012,12,31)-360</f>
        <v>40914</v>
      </c>
      <c r="J733" s="15" t="s">
        <v>25</v>
      </c>
      <c r="K733" s="9">
        <v>46</v>
      </c>
      <c r="L733" s="16" t="s">
        <v>26</v>
      </c>
      <c r="M733" s="16">
        <f t="shared" si="68"/>
        <v>1.4107714362419523</v>
      </c>
      <c r="N733">
        <f t="shared" si="69"/>
        <v>0</v>
      </c>
      <c r="O733">
        <f t="shared" si="70"/>
        <v>0</v>
      </c>
      <c r="P733">
        <f t="shared" si="67"/>
        <v>5700</v>
      </c>
      <c r="Q733">
        <f t="shared" si="71"/>
        <v>5700</v>
      </c>
      <c r="T733" s="16">
        <f t="shared" si="72"/>
        <v>1.4107714362419519</v>
      </c>
    </row>
    <row r="734" spans="7:20" ht="14.4" x14ac:dyDescent="0.25">
      <c r="G734" s="10">
        <v>7925</v>
      </c>
      <c r="H734" s="9">
        <v>56645</v>
      </c>
      <c r="I734" s="14">
        <f>DATE(2012,12,31)-360</f>
        <v>40914</v>
      </c>
      <c r="J734" s="15" t="s">
        <v>25</v>
      </c>
      <c r="K734" s="9">
        <v>42</v>
      </c>
      <c r="L734" s="16" t="s">
        <v>29</v>
      </c>
      <c r="M734" s="16">
        <f t="shared" si="68"/>
        <v>1.1345323297650665</v>
      </c>
      <c r="N734">
        <f t="shared" si="69"/>
        <v>0</v>
      </c>
      <c r="O734">
        <f t="shared" si="70"/>
        <v>0</v>
      </c>
      <c r="P734">
        <f t="shared" si="67"/>
        <v>5500</v>
      </c>
      <c r="Q734">
        <f t="shared" si="71"/>
        <v>5500</v>
      </c>
      <c r="T734" s="16">
        <f t="shared" si="72"/>
        <v>1.1345323297650662</v>
      </c>
    </row>
    <row r="735" spans="7:20" ht="14.4" x14ac:dyDescent="0.25">
      <c r="G735" s="10">
        <v>7949</v>
      </c>
      <c r="H735" s="9">
        <v>56803</v>
      </c>
      <c r="I735" s="14">
        <f>DATE(2012,12,31)-1117</f>
        <v>40157</v>
      </c>
      <c r="J735" s="15" t="s">
        <v>28</v>
      </c>
      <c r="K735" s="9">
        <v>42</v>
      </c>
      <c r="L735" s="16" t="s">
        <v>26</v>
      </c>
      <c r="M735" s="16">
        <f t="shared" si="68"/>
        <v>1.1345323297650665</v>
      </c>
      <c r="N735">
        <f t="shared" si="69"/>
        <v>0</v>
      </c>
      <c r="O735">
        <f t="shared" si="70"/>
        <v>0</v>
      </c>
      <c r="P735">
        <f t="shared" si="67"/>
        <v>5500</v>
      </c>
      <c r="Q735">
        <f t="shared" si="71"/>
        <v>5500</v>
      </c>
      <c r="T735" s="16">
        <f t="shared" si="72"/>
        <v>1.1345323297650662</v>
      </c>
    </row>
    <row r="736" spans="7:20" ht="14.4" x14ac:dyDescent="0.25">
      <c r="G736" s="10">
        <v>8001</v>
      </c>
      <c r="H736" s="9">
        <v>57159</v>
      </c>
      <c r="I736" s="14">
        <f>DATE(2012,12,31)-1053</f>
        <v>40221</v>
      </c>
      <c r="J736" s="15" t="s">
        <v>30</v>
      </c>
      <c r="K736" s="9">
        <v>17</v>
      </c>
      <c r="L736" s="16" t="s">
        <v>29</v>
      </c>
      <c r="M736" s="16">
        <f t="shared" si="68"/>
        <v>-0.59196208571546938</v>
      </c>
      <c r="N736">
        <f t="shared" si="69"/>
        <v>0</v>
      </c>
      <c r="O736">
        <f t="shared" si="70"/>
        <v>0</v>
      </c>
      <c r="P736">
        <f t="shared" si="67"/>
        <v>4250</v>
      </c>
      <c r="Q736">
        <f t="shared" si="71"/>
        <v>4250</v>
      </c>
      <c r="T736" s="16">
        <f t="shared" si="72"/>
        <v>-0.59196208571546971</v>
      </c>
    </row>
    <row r="737" spans="7:20" ht="14.4" x14ac:dyDescent="0.25">
      <c r="G737" s="10">
        <v>8002</v>
      </c>
      <c r="H737" s="9">
        <v>57159</v>
      </c>
      <c r="I737" s="14">
        <f>DATE(2012,12,31)-1053</f>
        <v>40221</v>
      </c>
      <c r="J737" s="15" t="s">
        <v>30</v>
      </c>
      <c r="K737" s="9">
        <v>42</v>
      </c>
      <c r="L737" s="16" t="s">
        <v>26</v>
      </c>
      <c r="M737" s="16">
        <f t="shared" si="68"/>
        <v>1.1345323297650665</v>
      </c>
      <c r="N737">
        <f t="shared" si="69"/>
        <v>0</v>
      </c>
      <c r="O737">
        <f t="shared" si="70"/>
        <v>0</v>
      </c>
      <c r="P737">
        <f t="shared" si="67"/>
        <v>5500</v>
      </c>
      <c r="Q737">
        <f t="shared" si="71"/>
        <v>5500</v>
      </c>
      <c r="T737" s="16">
        <f t="shared" si="72"/>
        <v>1.1345323297650662</v>
      </c>
    </row>
    <row r="738" spans="7:20" ht="14.4" x14ac:dyDescent="0.25">
      <c r="G738" s="10">
        <v>8056</v>
      </c>
      <c r="H738" s="9">
        <v>57507</v>
      </c>
      <c r="I738" s="14">
        <f>DATE(2012,12,31)-1284</f>
        <v>39990</v>
      </c>
      <c r="J738" s="15" t="s">
        <v>30</v>
      </c>
      <c r="K738" s="9">
        <v>10</v>
      </c>
      <c r="L738" s="16" t="s">
        <v>26</v>
      </c>
      <c r="M738" s="16">
        <f t="shared" si="68"/>
        <v>-1.0753805220500194</v>
      </c>
      <c r="N738">
        <f t="shared" si="69"/>
        <v>0</v>
      </c>
      <c r="O738">
        <f t="shared" si="70"/>
        <v>0</v>
      </c>
      <c r="P738">
        <f t="shared" si="67"/>
        <v>3900</v>
      </c>
      <c r="Q738">
        <f t="shared" si="71"/>
        <v>3900</v>
      </c>
      <c r="T738" s="16">
        <f t="shared" si="72"/>
        <v>-1.0753805220500199</v>
      </c>
    </row>
    <row r="739" spans="7:20" ht="14.4" x14ac:dyDescent="0.25">
      <c r="G739" s="10">
        <v>8114</v>
      </c>
      <c r="H739" s="9">
        <v>57922</v>
      </c>
      <c r="I739" s="14">
        <f>DATE(2012,12,31)-692</f>
        <v>40582</v>
      </c>
      <c r="J739" s="15" t="s">
        <v>30</v>
      </c>
      <c r="K739" s="9">
        <v>50</v>
      </c>
      <c r="L739" s="16" t="s">
        <v>26</v>
      </c>
      <c r="M739" s="16">
        <f t="shared" si="68"/>
        <v>1.687010542718838</v>
      </c>
      <c r="N739">
        <f t="shared" si="69"/>
        <v>0</v>
      </c>
      <c r="O739">
        <f t="shared" si="70"/>
        <v>0</v>
      </c>
      <c r="P739">
        <f t="shared" si="67"/>
        <v>5900</v>
      </c>
      <c r="Q739">
        <f t="shared" si="71"/>
        <v>5900</v>
      </c>
      <c r="T739" s="16">
        <f t="shared" si="72"/>
        <v>1.6870105427188375</v>
      </c>
    </row>
    <row r="740" spans="7:20" ht="14.4" x14ac:dyDescent="0.25">
      <c r="G740" s="10">
        <v>8132</v>
      </c>
      <c r="H740" s="9">
        <v>58117</v>
      </c>
      <c r="I740" s="14">
        <f>DATE(2012,12,31)-680</f>
        <v>40594</v>
      </c>
      <c r="J740" s="15" t="s">
        <v>30</v>
      </c>
      <c r="K740" s="9">
        <v>42</v>
      </c>
      <c r="L740" s="16" t="s">
        <v>26</v>
      </c>
      <c r="M740" s="16">
        <f t="shared" si="68"/>
        <v>1.1345323297650665</v>
      </c>
      <c r="N740">
        <f t="shared" si="69"/>
        <v>0</v>
      </c>
      <c r="O740">
        <f t="shared" si="70"/>
        <v>0</v>
      </c>
      <c r="P740">
        <f t="shared" si="67"/>
        <v>5500</v>
      </c>
      <c r="Q740">
        <f t="shared" si="71"/>
        <v>5500</v>
      </c>
      <c r="T740" s="16">
        <f t="shared" si="72"/>
        <v>1.1345323297650662</v>
      </c>
    </row>
    <row r="741" spans="7:20" ht="14.4" x14ac:dyDescent="0.25">
      <c r="G741" s="10">
        <v>8149</v>
      </c>
      <c r="H741" s="9">
        <v>58278</v>
      </c>
      <c r="I741" s="14">
        <f>DATE(2012,12,31)-112</f>
        <v>41162</v>
      </c>
      <c r="J741" s="15" t="s">
        <v>17</v>
      </c>
      <c r="K741" s="9">
        <v>37</v>
      </c>
      <c r="L741" s="16" t="s">
        <v>29</v>
      </c>
      <c r="M741" s="16">
        <f t="shared" si="68"/>
        <v>0.78923344666895934</v>
      </c>
      <c r="N741">
        <f t="shared" si="69"/>
        <v>0</v>
      </c>
      <c r="O741">
        <f t="shared" si="70"/>
        <v>0</v>
      </c>
      <c r="P741">
        <f t="shared" si="67"/>
        <v>5250</v>
      </c>
      <c r="Q741">
        <f t="shared" si="71"/>
        <v>5250</v>
      </c>
      <c r="T741" s="16">
        <f t="shared" si="72"/>
        <v>0.789233446668959</v>
      </c>
    </row>
    <row r="742" spans="7:20" ht="14.4" x14ac:dyDescent="0.25">
      <c r="G742" s="10">
        <v>8150</v>
      </c>
      <c r="H742" s="9">
        <v>58278</v>
      </c>
      <c r="I742" s="14">
        <f>DATE(2012,12,31)-112</f>
        <v>41162</v>
      </c>
      <c r="J742" s="15" t="s">
        <v>17</v>
      </c>
      <c r="K742" s="9">
        <v>4</v>
      </c>
      <c r="L742" s="16" t="s">
        <v>27</v>
      </c>
      <c r="M742" s="16">
        <f t="shared" si="68"/>
        <v>-1.489739181765348</v>
      </c>
      <c r="N742">
        <f t="shared" si="69"/>
        <v>0</v>
      </c>
      <c r="O742">
        <f t="shared" si="70"/>
        <v>0</v>
      </c>
      <c r="P742">
        <f t="shared" si="67"/>
        <v>3600</v>
      </c>
      <c r="Q742">
        <f t="shared" si="71"/>
        <v>3600</v>
      </c>
      <c r="T742" s="16">
        <f t="shared" si="72"/>
        <v>-1.4897391817653485</v>
      </c>
    </row>
    <row r="743" spans="7:20" ht="14.4" x14ac:dyDescent="0.25">
      <c r="G743" s="10">
        <v>8185</v>
      </c>
      <c r="H743" s="9">
        <v>58502</v>
      </c>
      <c r="I743" s="14">
        <f>DATE(2012,12,31)-1053</f>
        <v>40221</v>
      </c>
      <c r="J743" s="15" t="s">
        <v>30</v>
      </c>
      <c r="K743" s="9">
        <v>23</v>
      </c>
      <c r="L743" s="16" t="s">
        <v>29</v>
      </c>
      <c r="M743" s="16">
        <f t="shared" si="68"/>
        <v>-0.17760342600014073</v>
      </c>
      <c r="N743">
        <f t="shared" si="69"/>
        <v>0</v>
      </c>
      <c r="O743">
        <f t="shared" si="70"/>
        <v>0</v>
      </c>
      <c r="P743">
        <f t="shared" si="67"/>
        <v>4550</v>
      </c>
      <c r="Q743">
        <f t="shared" si="71"/>
        <v>4550</v>
      </c>
      <c r="T743" s="16">
        <f t="shared" si="72"/>
        <v>-0.17760342600014112</v>
      </c>
    </row>
    <row r="744" spans="7:20" ht="14.4" x14ac:dyDescent="0.25">
      <c r="G744" s="10">
        <v>8225</v>
      </c>
      <c r="H744" s="9">
        <v>58788</v>
      </c>
      <c r="I744" s="14">
        <f>DATE(2012,12,31)-1064</f>
        <v>40210</v>
      </c>
      <c r="J744" s="15" t="s">
        <v>25</v>
      </c>
      <c r="K744" s="9">
        <v>31</v>
      </c>
      <c r="L744" s="16" t="s">
        <v>27</v>
      </c>
      <c r="M744" s="16">
        <f t="shared" si="68"/>
        <v>0.37487478695363075</v>
      </c>
      <c r="N744">
        <f t="shared" si="69"/>
        <v>0</v>
      </c>
      <c r="O744">
        <f t="shared" si="70"/>
        <v>0</v>
      </c>
      <c r="P744">
        <f t="shared" si="67"/>
        <v>4950</v>
      </c>
      <c r="Q744">
        <f t="shared" si="71"/>
        <v>4950</v>
      </c>
      <c r="T744" s="16">
        <f t="shared" si="72"/>
        <v>0.37487478695363036</v>
      </c>
    </row>
    <row r="745" spans="7:20" ht="14.4" x14ac:dyDescent="0.25">
      <c r="G745" s="10">
        <v>8245</v>
      </c>
      <c r="H745" s="9">
        <v>58947</v>
      </c>
      <c r="I745" s="14">
        <f>DATE(2012,12,31)-462</f>
        <v>40812</v>
      </c>
      <c r="J745" s="15" t="s">
        <v>28</v>
      </c>
      <c r="K745" s="9">
        <v>48</v>
      </c>
      <c r="L745" s="16" t="s">
        <v>26</v>
      </c>
      <c r="M745" s="16">
        <f t="shared" si="68"/>
        <v>1.5488909894803951</v>
      </c>
      <c r="N745">
        <f t="shared" si="69"/>
        <v>0</v>
      </c>
      <c r="O745">
        <f t="shared" si="70"/>
        <v>0</v>
      </c>
      <c r="P745">
        <f t="shared" si="67"/>
        <v>5800</v>
      </c>
      <c r="Q745">
        <f t="shared" si="71"/>
        <v>5800</v>
      </c>
      <c r="T745" s="16">
        <f t="shared" si="72"/>
        <v>1.5488909894803948</v>
      </c>
    </row>
    <row r="746" spans="7:20" ht="14.4" x14ac:dyDescent="0.25">
      <c r="G746" s="10">
        <v>8246</v>
      </c>
      <c r="H746" s="9">
        <v>58947</v>
      </c>
      <c r="I746" s="14">
        <f>DATE(2012,12,31)-462</f>
        <v>40812</v>
      </c>
      <c r="J746" s="15" t="s">
        <v>28</v>
      </c>
      <c r="K746" s="9">
        <v>28</v>
      </c>
      <c r="L746" s="16" t="s">
        <v>26</v>
      </c>
      <c r="M746" s="16">
        <f t="shared" si="68"/>
        <v>0.16769545709596645</v>
      </c>
      <c r="N746">
        <f t="shared" si="69"/>
        <v>0</v>
      </c>
      <c r="O746">
        <f t="shared" si="70"/>
        <v>0</v>
      </c>
      <c r="P746">
        <f t="shared" si="67"/>
        <v>4800</v>
      </c>
      <c r="Q746">
        <f t="shared" si="71"/>
        <v>4800</v>
      </c>
      <c r="T746" s="16">
        <f t="shared" si="72"/>
        <v>0.16769545709596606</v>
      </c>
    </row>
    <row r="747" spans="7:20" ht="14.4" x14ac:dyDescent="0.25">
      <c r="G747" s="10">
        <v>8263</v>
      </c>
      <c r="H747" s="9">
        <v>59074</v>
      </c>
      <c r="I747" s="14">
        <f>DATE(2012,12,31)-872</f>
        <v>40402</v>
      </c>
      <c r="J747" s="15" t="s">
        <v>25</v>
      </c>
      <c r="K747" s="9">
        <v>37</v>
      </c>
      <c r="L747" s="16" t="s">
        <v>29</v>
      </c>
      <c r="M747" s="16">
        <f t="shared" si="68"/>
        <v>0.78923344666895934</v>
      </c>
      <c r="N747">
        <f t="shared" si="69"/>
        <v>0</v>
      </c>
      <c r="O747">
        <f t="shared" si="70"/>
        <v>0</v>
      </c>
      <c r="P747">
        <f t="shared" si="67"/>
        <v>5250</v>
      </c>
      <c r="Q747">
        <f t="shared" si="71"/>
        <v>5250</v>
      </c>
      <c r="T747" s="16">
        <f t="shared" si="72"/>
        <v>0.789233446668959</v>
      </c>
    </row>
    <row r="748" spans="7:20" ht="14.4" x14ac:dyDescent="0.25">
      <c r="G748" s="10">
        <v>8292</v>
      </c>
      <c r="H748" s="9">
        <v>59233</v>
      </c>
      <c r="I748" s="14">
        <f>DATE(2012,12,31)-864</f>
        <v>40410</v>
      </c>
      <c r="J748" s="15" t="s">
        <v>17</v>
      </c>
      <c r="K748" s="9">
        <v>3</v>
      </c>
      <c r="L748" s="16" t="s">
        <v>29</v>
      </c>
      <c r="M748" s="16">
        <f t="shared" si="68"/>
        <v>-1.5587989583845694</v>
      </c>
      <c r="N748">
        <f t="shared" si="69"/>
        <v>0</v>
      </c>
      <c r="O748">
        <f t="shared" si="70"/>
        <v>0</v>
      </c>
      <c r="P748">
        <f t="shared" si="67"/>
        <v>3550</v>
      </c>
      <c r="Q748">
        <f t="shared" si="71"/>
        <v>3550</v>
      </c>
      <c r="T748" s="16">
        <f t="shared" si="72"/>
        <v>-1.5587989583845698</v>
      </c>
    </row>
    <row r="749" spans="7:20" ht="14.4" x14ac:dyDescent="0.25">
      <c r="G749" s="10">
        <v>8293</v>
      </c>
      <c r="H749" s="9">
        <v>59233</v>
      </c>
      <c r="I749" s="14">
        <f>DATE(2012,12,31)-864</f>
        <v>40410</v>
      </c>
      <c r="J749" s="15" t="s">
        <v>17</v>
      </c>
      <c r="K749" s="9">
        <v>30</v>
      </c>
      <c r="L749" s="16" t="s">
        <v>29</v>
      </c>
      <c r="M749" s="16">
        <f t="shared" si="68"/>
        <v>0.30581501033440933</v>
      </c>
      <c r="N749">
        <f t="shared" si="69"/>
        <v>0</v>
      </c>
      <c r="O749">
        <f t="shared" si="70"/>
        <v>0</v>
      </c>
      <c r="P749">
        <f t="shared" si="67"/>
        <v>4900</v>
      </c>
      <c r="Q749">
        <f t="shared" si="71"/>
        <v>4900</v>
      </c>
      <c r="T749" s="16">
        <f t="shared" si="72"/>
        <v>0.30581501033440894</v>
      </c>
    </row>
    <row r="750" spans="7:20" ht="14.4" x14ac:dyDescent="0.25">
      <c r="G750" s="10">
        <v>8316</v>
      </c>
      <c r="H750" s="9">
        <v>59425</v>
      </c>
      <c r="I750" s="14">
        <f>DATE(2012,12,31)-228</f>
        <v>41046</v>
      </c>
      <c r="J750" s="15" t="s">
        <v>16</v>
      </c>
      <c r="K750" s="9">
        <v>24</v>
      </c>
      <c r="L750" s="16" t="s">
        <v>27</v>
      </c>
      <c r="M750" s="16">
        <f t="shared" si="68"/>
        <v>-0.1085436493809193</v>
      </c>
      <c r="N750">
        <f t="shared" si="69"/>
        <v>0</v>
      </c>
      <c r="O750">
        <f t="shared" si="70"/>
        <v>0</v>
      </c>
      <c r="P750">
        <f t="shared" si="67"/>
        <v>4600</v>
      </c>
      <c r="Q750">
        <f t="shared" si="71"/>
        <v>4600</v>
      </c>
      <c r="T750" s="16">
        <f t="shared" si="72"/>
        <v>-0.10854364938091969</v>
      </c>
    </row>
    <row r="751" spans="7:20" ht="14.4" x14ac:dyDescent="0.25">
      <c r="G751" s="10">
        <v>8317</v>
      </c>
      <c r="H751" s="9">
        <v>59425</v>
      </c>
      <c r="I751" s="14">
        <f>DATE(2012,12,31)-228</f>
        <v>41046</v>
      </c>
      <c r="J751" s="15" t="s">
        <v>16</v>
      </c>
      <c r="K751" s="9">
        <v>46</v>
      </c>
      <c r="L751" s="16" t="s">
        <v>26</v>
      </c>
      <c r="M751" s="16">
        <f t="shared" si="68"/>
        <v>1.4107714362419523</v>
      </c>
      <c r="N751">
        <f t="shared" si="69"/>
        <v>0</v>
      </c>
      <c r="O751">
        <f t="shared" si="70"/>
        <v>0</v>
      </c>
      <c r="P751">
        <f t="shared" si="67"/>
        <v>5700</v>
      </c>
      <c r="Q751">
        <f t="shared" si="71"/>
        <v>5700</v>
      </c>
      <c r="T751" s="16">
        <f t="shared" si="72"/>
        <v>1.4107714362419519</v>
      </c>
    </row>
    <row r="752" spans="7:20" ht="14.4" x14ac:dyDescent="0.25">
      <c r="G752" s="10">
        <v>8360</v>
      </c>
      <c r="H752" s="9">
        <v>59750</v>
      </c>
      <c r="I752" s="14">
        <f>DATE(2012,12,31)-906</f>
        <v>40368</v>
      </c>
      <c r="J752" s="15" t="s">
        <v>25</v>
      </c>
      <c r="K752" s="9">
        <v>34</v>
      </c>
      <c r="L752" s="16" t="s">
        <v>26</v>
      </c>
      <c r="M752" s="16">
        <f t="shared" si="68"/>
        <v>0.58205411681129504</v>
      </c>
      <c r="N752">
        <f t="shared" si="69"/>
        <v>0</v>
      </c>
      <c r="O752">
        <f t="shared" si="70"/>
        <v>0</v>
      </c>
      <c r="P752">
        <f t="shared" si="67"/>
        <v>5100</v>
      </c>
      <c r="Q752">
        <f t="shared" si="71"/>
        <v>5100</v>
      </c>
      <c r="T752" s="16">
        <f t="shared" si="72"/>
        <v>0.58205411681129471</v>
      </c>
    </row>
    <row r="753" spans="7:20" ht="14.4" x14ac:dyDescent="0.25">
      <c r="G753" s="10">
        <v>7</v>
      </c>
      <c r="H753" s="9">
        <v>35</v>
      </c>
      <c r="I753" s="14">
        <f>DATE(2012,12,31)-436</f>
        <v>40838</v>
      </c>
      <c r="J753" s="15" t="s">
        <v>28</v>
      </c>
      <c r="K753" s="9">
        <v>30</v>
      </c>
      <c r="L753" s="16" t="s">
        <v>26</v>
      </c>
      <c r="M753" s="16">
        <f t="shared" si="68"/>
        <v>0.30581501033440933</v>
      </c>
      <c r="N753">
        <f t="shared" si="69"/>
        <v>0</v>
      </c>
      <c r="O753">
        <f t="shared" si="70"/>
        <v>0</v>
      </c>
      <c r="P753">
        <f t="shared" si="67"/>
        <v>4900</v>
      </c>
      <c r="Q753">
        <f t="shared" si="71"/>
        <v>4900</v>
      </c>
      <c r="T753" s="16">
        <f t="shared" si="72"/>
        <v>0.30581501033440894</v>
      </c>
    </row>
    <row r="754" spans="7:20" ht="14.4" x14ac:dyDescent="0.25">
      <c r="G754" s="10">
        <v>8</v>
      </c>
      <c r="H754" s="9">
        <v>35</v>
      </c>
      <c r="I754" s="14">
        <f>DATE(2012,12,31)-436</f>
        <v>40838</v>
      </c>
      <c r="J754" s="15" t="s">
        <v>28</v>
      </c>
      <c r="K754" s="9">
        <v>14</v>
      </c>
      <c r="L754" s="16" t="s">
        <v>27</v>
      </c>
      <c r="M754" s="16">
        <f t="shared" si="68"/>
        <v>-0.79914141557313367</v>
      </c>
      <c r="N754">
        <f t="shared" si="69"/>
        <v>0</v>
      </c>
      <c r="O754">
        <f t="shared" si="70"/>
        <v>0</v>
      </c>
      <c r="P754">
        <f t="shared" si="67"/>
        <v>4100</v>
      </c>
      <c r="Q754">
        <f t="shared" si="71"/>
        <v>4100</v>
      </c>
      <c r="T754" s="16">
        <f t="shared" si="72"/>
        <v>-0.79914141557313401</v>
      </c>
    </row>
    <row r="755" spans="7:20" ht="14.4" x14ac:dyDescent="0.25">
      <c r="G755" s="10">
        <v>51</v>
      </c>
      <c r="H755" s="9">
        <v>294</v>
      </c>
      <c r="I755" s="14">
        <f>DATE(2012,12,31)-900</f>
        <v>40374</v>
      </c>
      <c r="J755" s="15" t="s">
        <v>16</v>
      </c>
      <c r="K755" s="9">
        <v>35</v>
      </c>
      <c r="L755" s="16" t="s">
        <v>26</v>
      </c>
      <c r="M755" s="16">
        <f t="shared" si="68"/>
        <v>0.65111389343051651</v>
      </c>
      <c r="N755">
        <f t="shared" si="69"/>
        <v>0</v>
      </c>
      <c r="O755">
        <f t="shared" si="70"/>
        <v>0</v>
      </c>
      <c r="P755">
        <f t="shared" si="67"/>
        <v>5150</v>
      </c>
      <c r="Q755">
        <f t="shared" si="71"/>
        <v>5150</v>
      </c>
      <c r="T755" s="16">
        <f t="shared" si="72"/>
        <v>0.65111389343051607</v>
      </c>
    </row>
    <row r="756" spans="7:20" ht="14.4" x14ac:dyDescent="0.25">
      <c r="G756" s="10">
        <v>76</v>
      </c>
      <c r="H756" s="9">
        <v>450</v>
      </c>
      <c r="I756" s="14">
        <f>DATE(2012,12,31)-668</f>
        <v>40606</v>
      </c>
      <c r="J756" s="15" t="s">
        <v>28</v>
      </c>
      <c r="K756" s="9">
        <v>29</v>
      </c>
      <c r="L756" s="16" t="s">
        <v>26</v>
      </c>
      <c r="M756" s="16">
        <f t="shared" si="68"/>
        <v>0.23675523371518786</v>
      </c>
      <c r="N756">
        <f t="shared" si="69"/>
        <v>0</v>
      </c>
      <c r="O756">
        <f t="shared" si="70"/>
        <v>0</v>
      </c>
      <c r="P756">
        <f t="shared" si="67"/>
        <v>4850</v>
      </c>
      <c r="Q756">
        <f t="shared" si="71"/>
        <v>4850</v>
      </c>
      <c r="T756" s="16">
        <f t="shared" si="72"/>
        <v>0.2367552337151875</v>
      </c>
    </row>
    <row r="757" spans="7:20" ht="14.4" x14ac:dyDescent="0.25">
      <c r="G757" s="10">
        <v>77</v>
      </c>
      <c r="H757" s="9">
        <v>450</v>
      </c>
      <c r="I757" s="14">
        <f>DATE(2012,12,31)-668</f>
        <v>40606</v>
      </c>
      <c r="J757" s="15" t="s">
        <v>28</v>
      </c>
      <c r="K757" s="9">
        <v>35</v>
      </c>
      <c r="L757" s="16" t="s">
        <v>26</v>
      </c>
      <c r="M757" s="16">
        <f t="shared" si="68"/>
        <v>0.65111389343051651</v>
      </c>
      <c r="N757">
        <f t="shared" si="69"/>
        <v>0</v>
      </c>
      <c r="O757">
        <f t="shared" si="70"/>
        <v>0</v>
      </c>
      <c r="P757">
        <f t="shared" si="67"/>
        <v>5150</v>
      </c>
      <c r="Q757">
        <f t="shared" si="71"/>
        <v>5150</v>
      </c>
      <c r="T757" s="16">
        <f t="shared" si="72"/>
        <v>0.65111389343051607</v>
      </c>
    </row>
    <row r="758" spans="7:20" ht="14.4" x14ac:dyDescent="0.25">
      <c r="G758" s="10">
        <v>164</v>
      </c>
      <c r="H758" s="9">
        <v>1028</v>
      </c>
      <c r="I758" s="14">
        <f>DATE(2012,12,31)-1456</f>
        <v>39818</v>
      </c>
      <c r="J758" s="15" t="s">
        <v>17</v>
      </c>
      <c r="K758" s="9">
        <v>6</v>
      </c>
      <c r="L758" s="16" t="s">
        <v>27</v>
      </c>
      <c r="M758" s="16">
        <f t="shared" si="68"/>
        <v>-1.3516196285269051</v>
      </c>
      <c r="N758">
        <f t="shared" si="69"/>
        <v>0</v>
      </c>
      <c r="O758">
        <f t="shared" si="70"/>
        <v>0</v>
      </c>
      <c r="P758">
        <f t="shared" si="67"/>
        <v>3700</v>
      </c>
      <c r="Q758">
        <f t="shared" si="71"/>
        <v>3700</v>
      </c>
      <c r="T758" s="16">
        <f t="shared" si="72"/>
        <v>-1.3516196285269055</v>
      </c>
    </row>
    <row r="759" spans="7:20" ht="14.4" x14ac:dyDescent="0.25">
      <c r="G759" s="10">
        <v>165</v>
      </c>
      <c r="H759" s="9">
        <v>1028</v>
      </c>
      <c r="I759" s="14">
        <f>DATE(2012,12,31)-1456</f>
        <v>39818</v>
      </c>
      <c r="J759" s="15" t="s">
        <v>17</v>
      </c>
      <c r="K759" s="9">
        <v>11</v>
      </c>
      <c r="L759" s="16" t="s">
        <v>27</v>
      </c>
      <c r="M759" s="16">
        <f t="shared" si="68"/>
        <v>-1.0063207454307979</v>
      </c>
      <c r="N759">
        <f t="shared" si="69"/>
        <v>0</v>
      </c>
      <c r="O759">
        <f t="shared" si="70"/>
        <v>0</v>
      </c>
      <c r="P759">
        <f t="shared" si="67"/>
        <v>3950</v>
      </c>
      <c r="Q759">
        <f t="shared" si="71"/>
        <v>3950</v>
      </c>
      <c r="T759" s="16">
        <f t="shared" si="72"/>
        <v>-1.0063207454307983</v>
      </c>
    </row>
    <row r="760" spans="7:20" ht="14.4" x14ac:dyDescent="0.25">
      <c r="G760" s="10">
        <v>199</v>
      </c>
      <c r="H760" s="9">
        <v>1314</v>
      </c>
      <c r="I760" s="14">
        <f>DATE(2012,12,31)-1329</f>
        <v>39945</v>
      </c>
      <c r="J760" s="15" t="s">
        <v>16</v>
      </c>
      <c r="K760" s="9">
        <v>4</v>
      </c>
      <c r="L760" s="16" t="s">
        <v>26</v>
      </c>
      <c r="M760" s="16">
        <f t="shared" si="68"/>
        <v>-1.489739181765348</v>
      </c>
      <c r="N760">
        <f t="shared" si="69"/>
        <v>0</v>
      </c>
      <c r="O760">
        <f t="shared" si="70"/>
        <v>0</v>
      </c>
      <c r="P760">
        <f t="shared" si="67"/>
        <v>3600</v>
      </c>
      <c r="Q760">
        <f t="shared" si="71"/>
        <v>3600</v>
      </c>
      <c r="T760" s="16">
        <f t="shared" si="72"/>
        <v>-1.4897391817653485</v>
      </c>
    </row>
    <row r="761" spans="7:20" ht="14.4" x14ac:dyDescent="0.25">
      <c r="G761" s="10">
        <v>333</v>
      </c>
      <c r="H761" s="9">
        <v>2279</v>
      </c>
      <c r="I761" s="14">
        <f>DATE(2012,12,31)-1043</f>
        <v>40231</v>
      </c>
      <c r="J761" s="15" t="s">
        <v>16</v>
      </c>
      <c r="K761" s="9">
        <v>49</v>
      </c>
      <c r="L761" s="16" t="s">
        <v>29</v>
      </c>
      <c r="M761" s="16">
        <f t="shared" si="68"/>
        <v>1.6179507660996166</v>
      </c>
      <c r="N761">
        <f t="shared" si="69"/>
        <v>0</v>
      </c>
      <c r="O761">
        <f t="shared" si="70"/>
        <v>0</v>
      </c>
      <c r="P761">
        <f t="shared" si="67"/>
        <v>5850</v>
      </c>
      <c r="Q761">
        <f t="shared" si="71"/>
        <v>5850</v>
      </c>
      <c r="T761" s="16">
        <f t="shared" si="72"/>
        <v>1.6179507660996162</v>
      </c>
    </row>
    <row r="762" spans="7:20" ht="14.4" x14ac:dyDescent="0.25">
      <c r="G762" s="10">
        <v>334</v>
      </c>
      <c r="H762" s="9">
        <v>2279</v>
      </c>
      <c r="I762" s="14">
        <f>DATE(2012,12,31)-1043</f>
        <v>40231</v>
      </c>
      <c r="J762" s="15" t="s">
        <v>16</v>
      </c>
      <c r="K762" s="9">
        <v>39</v>
      </c>
      <c r="L762" s="16" t="s">
        <v>26</v>
      </c>
      <c r="M762" s="16">
        <f t="shared" si="68"/>
        <v>0.92735299990740228</v>
      </c>
      <c r="N762">
        <f t="shared" si="69"/>
        <v>0</v>
      </c>
      <c r="O762">
        <f t="shared" si="70"/>
        <v>0</v>
      </c>
      <c r="P762">
        <f t="shared" si="67"/>
        <v>5350</v>
      </c>
      <c r="Q762">
        <f t="shared" si="71"/>
        <v>5350</v>
      </c>
      <c r="T762" s="16">
        <f t="shared" si="72"/>
        <v>0.92735299990740183</v>
      </c>
    </row>
    <row r="763" spans="7:20" ht="14.4" x14ac:dyDescent="0.25">
      <c r="G763" s="10">
        <v>353</v>
      </c>
      <c r="H763" s="9">
        <v>2465</v>
      </c>
      <c r="I763" s="14">
        <f>DATE(2012,12,31)-557</f>
        <v>40717</v>
      </c>
      <c r="J763" s="15" t="s">
        <v>30</v>
      </c>
      <c r="K763" s="9">
        <v>28</v>
      </c>
      <c r="L763" s="16" t="s">
        <v>27</v>
      </c>
      <c r="M763" s="16">
        <f t="shared" si="68"/>
        <v>0.16769545709596645</v>
      </c>
      <c r="N763">
        <f t="shared" si="69"/>
        <v>0</v>
      </c>
      <c r="O763">
        <f t="shared" si="70"/>
        <v>0</v>
      </c>
      <c r="P763">
        <f t="shared" si="67"/>
        <v>4800</v>
      </c>
      <c r="Q763">
        <f t="shared" si="71"/>
        <v>4800</v>
      </c>
      <c r="T763" s="16">
        <f t="shared" si="72"/>
        <v>0.16769545709596606</v>
      </c>
    </row>
    <row r="764" spans="7:20" ht="14.4" x14ac:dyDescent="0.25">
      <c r="G764" s="10">
        <v>361</v>
      </c>
      <c r="H764" s="9">
        <v>2530</v>
      </c>
      <c r="I764" s="14">
        <f>DATE(2012,12,31)-1382</f>
        <v>39892</v>
      </c>
      <c r="J764" s="15" t="s">
        <v>16</v>
      </c>
      <c r="K764" s="9">
        <v>9</v>
      </c>
      <c r="L764" s="16" t="s">
        <v>26</v>
      </c>
      <c r="M764" s="16">
        <f t="shared" si="68"/>
        <v>-1.1444402986692408</v>
      </c>
      <c r="N764">
        <f t="shared" si="69"/>
        <v>0</v>
      </c>
      <c r="O764">
        <f t="shared" si="70"/>
        <v>0</v>
      </c>
      <c r="P764">
        <f t="shared" si="67"/>
        <v>3850</v>
      </c>
      <c r="Q764">
        <f t="shared" si="71"/>
        <v>3850</v>
      </c>
      <c r="T764" s="16">
        <f t="shared" si="72"/>
        <v>-1.1444402986692412</v>
      </c>
    </row>
    <row r="765" spans="7:20" ht="14.4" x14ac:dyDescent="0.25">
      <c r="G765" s="10">
        <v>431</v>
      </c>
      <c r="H765" s="9">
        <v>2883</v>
      </c>
      <c r="I765" s="14">
        <f>DATE(2012,12,31)-709</f>
        <v>40565</v>
      </c>
      <c r="J765" s="15" t="s">
        <v>25</v>
      </c>
      <c r="K765" s="9">
        <v>34</v>
      </c>
      <c r="L765" s="16" t="s">
        <v>26</v>
      </c>
      <c r="M765" s="16">
        <f t="shared" si="68"/>
        <v>0.58205411681129504</v>
      </c>
      <c r="N765">
        <f t="shared" si="69"/>
        <v>0</v>
      </c>
      <c r="O765">
        <f t="shared" si="70"/>
        <v>0</v>
      </c>
      <c r="P765">
        <f t="shared" si="67"/>
        <v>5100</v>
      </c>
      <c r="Q765">
        <f t="shared" si="71"/>
        <v>5100</v>
      </c>
      <c r="T765" s="16">
        <f t="shared" si="72"/>
        <v>0.58205411681129471</v>
      </c>
    </row>
    <row r="766" spans="7:20" ht="14.4" x14ac:dyDescent="0.25">
      <c r="G766" s="10">
        <v>485</v>
      </c>
      <c r="H766" s="9">
        <v>3362</v>
      </c>
      <c r="I766" s="14">
        <f>DATE(2012,12,31)-522</f>
        <v>40752</v>
      </c>
      <c r="J766" s="15" t="s">
        <v>25</v>
      </c>
      <c r="K766" s="9">
        <v>40</v>
      </c>
      <c r="L766" s="16" t="s">
        <v>27</v>
      </c>
      <c r="M766" s="16">
        <f t="shared" si="68"/>
        <v>0.99641277652662363</v>
      </c>
      <c r="N766">
        <f t="shared" si="69"/>
        <v>0</v>
      </c>
      <c r="O766">
        <f t="shared" si="70"/>
        <v>0</v>
      </c>
      <c r="P766">
        <f t="shared" si="67"/>
        <v>5400</v>
      </c>
      <c r="Q766">
        <f t="shared" si="71"/>
        <v>5400</v>
      </c>
      <c r="T766" s="16">
        <f t="shared" si="72"/>
        <v>0.9964127765266233</v>
      </c>
    </row>
    <row r="767" spans="7:20" ht="14.4" x14ac:dyDescent="0.25">
      <c r="G767" s="10">
        <v>486</v>
      </c>
      <c r="H767" s="9">
        <v>3362</v>
      </c>
      <c r="I767" s="14">
        <f>DATE(2012,12,31)-522</f>
        <v>40752</v>
      </c>
      <c r="J767" s="15" t="s">
        <v>25</v>
      </c>
      <c r="K767" s="9">
        <v>50</v>
      </c>
      <c r="L767" s="16" t="s">
        <v>26</v>
      </c>
      <c r="M767" s="16">
        <f t="shared" si="68"/>
        <v>1.687010542718838</v>
      </c>
      <c r="N767">
        <f t="shared" si="69"/>
        <v>0</v>
      </c>
      <c r="O767">
        <f t="shared" si="70"/>
        <v>0</v>
      </c>
      <c r="P767">
        <f t="shared" si="67"/>
        <v>5900</v>
      </c>
      <c r="Q767">
        <f t="shared" si="71"/>
        <v>5900</v>
      </c>
      <c r="T767" s="16">
        <f t="shared" si="72"/>
        <v>1.6870105427188375</v>
      </c>
    </row>
    <row r="768" spans="7:20" ht="14.4" x14ac:dyDescent="0.25">
      <c r="G768" s="10">
        <v>739</v>
      </c>
      <c r="H768" s="9">
        <v>5318</v>
      </c>
      <c r="I768" s="14">
        <f>DATE(2012,12,31)-1003</f>
        <v>40271</v>
      </c>
      <c r="J768" s="15" t="s">
        <v>17</v>
      </c>
      <c r="K768" s="9">
        <v>8</v>
      </c>
      <c r="L768" s="16" t="s">
        <v>26</v>
      </c>
      <c r="M768" s="16">
        <f t="shared" si="68"/>
        <v>-1.2135000752884624</v>
      </c>
      <c r="N768">
        <f t="shared" si="69"/>
        <v>0</v>
      </c>
      <c r="O768">
        <f t="shared" si="70"/>
        <v>0</v>
      </c>
      <c r="P768">
        <f t="shared" si="67"/>
        <v>3800</v>
      </c>
      <c r="Q768">
        <f t="shared" si="71"/>
        <v>3800</v>
      </c>
      <c r="T768" s="16">
        <f t="shared" si="72"/>
        <v>-1.2135000752884626</v>
      </c>
    </row>
    <row r="769" spans="7:20" ht="14.4" x14ac:dyDescent="0.25">
      <c r="G769" s="10">
        <v>740</v>
      </c>
      <c r="H769" s="9">
        <v>5318</v>
      </c>
      <c r="I769" s="14">
        <f>DATE(2012,12,31)-1003</f>
        <v>40271</v>
      </c>
      <c r="J769" s="15" t="s">
        <v>17</v>
      </c>
      <c r="K769" s="9">
        <v>29</v>
      </c>
      <c r="L769" s="16" t="s">
        <v>27</v>
      </c>
      <c r="M769" s="16">
        <f t="shared" si="68"/>
        <v>0.23675523371518786</v>
      </c>
      <c r="N769">
        <f t="shared" si="69"/>
        <v>0</v>
      </c>
      <c r="O769">
        <f t="shared" si="70"/>
        <v>0</v>
      </c>
      <c r="P769">
        <f t="shared" si="67"/>
        <v>4850</v>
      </c>
      <c r="Q769">
        <f t="shared" si="71"/>
        <v>4850</v>
      </c>
      <c r="T769" s="16">
        <f t="shared" si="72"/>
        <v>0.2367552337151875</v>
      </c>
    </row>
    <row r="770" spans="7:20" ht="14.4" x14ac:dyDescent="0.25">
      <c r="G770" s="10">
        <v>835</v>
      </c>
      <c r="H770" s="9">
        <v>5988</v>
      </c>
      <c r="I770" s="14">
        <f>DATE(2012,12,31)-771</f>
        <v>40503</v>
      </c>
      <c r="J770" s="15" t="s">
        <v>28</v>
      </c>
      <c r="K770" s="9">
        <v>40</v>
      </c>
      <c r="L770" s="16" t="s">
        <v>27</v>
      </c>
      <c r="M770" s="16">
        <f t="shared" si="68"/>
        <v>0.99641277652662363</v>
      </c>
      <c r="N770">
        <f t="shared" si="69"/>
        <v>0</v>
      </c>
      <c r="O770">
        <f t="shared" si="70"/>
        <v>0</v>
      </c>
      <c r="P770">
        <f t="shared" si="67"/>
        <v>5400</v>
      </c>
      <c r="Q770">
        <f t="shared" si="71"/>
        <v>5400</v>
      </c>
      <c r="T770" s="16">
        <f t="shared" si="72"/>
        <v>0.9964127765266233</v>
      </c>
    </row>
    <row r="771" spans="7:20" ht="14.4" x14ac:dyDescent="0.25">
      <c r="G771" s="10">
        <v>851</v>
      </c>
      <c r="H771" s="9">
        <v>6115</v>
      </c>
      <c r="I771" s="14">
        <f>DATE(2012,12,31)-842</f>
        <v>40432</v>
      </c>
      <c r="J771" s="15" t="s">
        <v>16</v>
      </c>
      <c r="K771" s="9">
        <v>25</v>
      </c>
      <c r="L771" s="16" t="s">
        <v>29</v>
      </c>
      <c r="M771" s="16">
        <f t="shared" si="68"/>
        <v>-3.9483872761697868E-2</v>
      </c>
      <c r="N771">
        <f t="shared" si="69"/>
        <v>0</v>
      </c>
      <c r="O771">
        <f t="shared" si="70"/>
        <v>0</v>
      </c>
      <c r="P771">
        <f t="shared" si="67"/>
        <v>4650</v>
      </c>
      <c r="Q771">
        <f t="shared" si="71"/>
        <v>4650</v>
      </c>
      <c r="T771" s="16">
        <f t="shared" si="72"/>
        <v>-3.9483872761698249E-2</v>
      </c>
    </row>
    <row r="772" spans="7:20" ht="14.4" x14ac:dyDescent="0.25">
      <c r="G772" s="10">
        <v>882</v>
      </c>
      <c r="H772" s="9">
        <v>6337</v>
      </c>
      <c r="I772" s="14">
        <f>DATE(2012,12,31)-488</f>
        <v>40786</v>
      </c>
      <c r="J772" s="15" t="s">
        <v>28</v>
      </c>
      <c r="K772" s="9">
        <v>48</v>
      </c>
      <c r="L772" s="16" t="s">
        <v>29</v>
      </c>
      <c r="M772" s="16">
        <f t="shared" si="68"/>
        <v>1.5488909894803951</v>
      </c>
      <c r="N772">
        <f t="shared" si="69"/>
        <v>0</v>
      </c>
      <c r="O772">
        <f t="shared" si="70"/>
        <v>0</v>
      </c>
      <c r="P772">
        <f t="shared" si="67"/>
        <v>5800</v>
      </c>
      <c r="Q772">
        <f t="shared" si="71"/>
        <v>5800</v>
      </c>
      <c r="T772" s="16">
        <f t="shared" si="72"/>
        <v>1.5488909894803948</v>
      </c>
    </row>
    <row r="773" spans="7:20" ht="14.4" x14ac:dyDescent="0.25">
      <c r="G773" s="10">
        <v>883</v>
      </c>
      <c r="H773" s="9">
        <v>6337</v>
      </c>
      <c r="I773" s="14">
        <f>DATE(2012,12,31)-488</f>
        <v>40786</v>
      </c>
      <c r="J773" s="15" t="s">
        <v>28</v>
      </c>
      <c r="K773" s="9">
        <v>1</v>
      </c>
      <c r="L773" s="16" t="s">
        <v>29</v>
      </c>
      <c r="M773" s="16">
        <f t="shared" si="68"/>
        <v>-1.6969185116230123</v>
      </c>
      <c r="N773">
        <f t="shared" si="69"/>
        <v>0</v>
      </c>
      <c r="O773">
        <f t="shared" si="70"/>
        <v>0</v>
      </c>
      <c r="P773">
        <f t="shared" si="67"/>
        <v>3450</v>
      </c>
      <c r="Q773">
        <f t="shared" si="71"/>
        <v>3450</v>
      </c>
      <c r="T773" s="16">
        <f t="shared" si="72"/>
        <v>-1.6969185116230128</v>
      </c>
    </row>
    <row r="774" spans="7:20" ht="14.4" x14ac:dyDescent="0.25">
      <c r="G774" s="10">
        <v>895</v>
      </c>
      <c r="H774" s="9">
        <v>6434</v>
      </c>
      <c r="I774" s="14">
        <f>DATE(2012,12,31)-1303</f>
        <v>39971</v>
      </c>
      <c r="J774" s="15" t="s">
        <v>17</v>
      </c>
      <c r="K774" s="9">
        <v>13</v>
      </c>
      <c r="L774" s="16" t="s">
        <v>26</v>
      </c>
      <c r="M774" s="16">
        <f t="shared" si="68"/>
        <v>-0.86820119219235514</v>
      </c>
      <c r="N774">
        <f t="shared" si="69"/>
        <v>0</v>
      </c>
      <c r="O774">
        <f t="shared" si="70"/>
        <v>0</v>
      </c>
      <c r="P774">
        <f t="shared" si="67"/>
        <v>4050</v>
      </c>
      <c r="Q774">
        <f t="shared" si="71"/>
        <v>4050</v>
      </c>
      <c r="T774" s="16">
        <f t="shared" si="72"/>
        <v>-0.86820119219235548</v>
      </c>
    </row>
    <row r="775" spans="7:20" ht="14.4" x14ac:dyDescent="0.25">
      <c r="G775" s="10">
        <v>989</v>
      </c>
      <c r="H775" s="9">
        <v>7136</v>
      </c>
      <c r="I775" s="14">
        <f>DATE(2012,12,31)-1380</f>
        <v>39894</v>
      </c>
      <c r="J775" s="15" t="s">
        <v>17</v>
      </c>
      <c r="K775" s="9">
        <v>17</v>
      </c>
      <c r="L775" s="16" t="s">
        <v>27</v>
      </c>
      <c r="M775" s="16">
        <f t="shared" si="68"/>
        <v>-0.59196208571546938</v>
      </c>
      <c r="N775">
        <f t="shared" si="69"/>
        <v>0</v>
      </c>
      <c r="O775">
        <f t="shared" si="70"/>
        <v>0</v>
      </c>
      <c r="P775">
        <f t="shared" si="67"/>
        <v>4250</v>
      </c>
      <c r="Q775">
        <f t="shared" si="71"/>
        <v>4250</v>
      </c>
      <c r="T775" s="16">
        <f t="shared" si="72"/>
        <v>-0.59196208571546971</v>
      </c>
    </row>
    <row r="776" spans="7:20" ht="14.4" x14ac:dyDescent="0.25">
      <c r="G776" s="10">
        <v>990</v>
      </c>
      <c r="H776" s="9">
        <v>7136</v>
      </c>
      <c r="I776" s="14">
        <f>DATE(2012,12,31)-1380</f>
        <v>39894</v>
      </c>
      <c r="J776" s="15" t="s">
        <v>17</v>
      </c>
      <c r="K776" s="9">
        <v>9</v>
      </c>
      <c r="L776" s="16" t="s">
        <v>26</v>
      </c>
      <c r="M776" s="16">
        <f t="shared" si="68"/>
        <v>-1.1444402986692408</v>
      </c>
      <c r="N776">
        <f t="shared" si="69"/>
        <v>0</v>
      </c>
      <c r="O776">
        <f t="shared" si="70"/>
        <v>0</v>
      </c>
      <c r="P776">
        <f t="shared" si="67"/>
        <v>3850</v>
      </c>
      <c r="Q776">
        <f t="shared" si="71"/>
        <v>3850</v>
      </c>
      <c r="T776" s="16">
        <f t="shared" si="72"/>
        <v>-1.1444402986692412</v>
      </c>
    </row>
    <row r="777" spans="7:20" ht="14.4" x14ac:dyDescent="0.25">
      <c r="G777" s="10">
        <v>1029</v>
      </c>
      <c r="H777" s="9">
        <v>7489</v>
      </c>
      <c r="I777" s="14">
        <f>DATE(2012,12,31)-823</f>
        <v>40451</v>
      </c>
      <c r="J777" s="15" t="s">
        <v>30</v>
      </c>
      <c r="K777" s="9">
        <v>38</v>
      </c>
      <c r="L777" s="16" t="s">
        <v>29</v>
      </c>
      <c r="M777" s="16">
        <f t="shared" si="68"/>
        <v>0.85829322328818081</v>
      </c>
      <c r="N777">
        <f t="shared" si="69"/>
        <v>0</v>
      </c>
      <c r="O777">
        <f t="shared" si="70"/>
        <v>0</v>
      </c>
      <c r="P777">
        <f t="shared" si="67"/>
        <v>5300</v>
      </c>
      <c r="Q777">
        <f t="shared" si="71"/>
        <v>5300</v>
      </c>
      <c r="T777" s="16">
        <f t="shared" si="72"/>
        <v>0.85829322328818036</v>
      </c>
    </row>
    <row r="778" spans="7:20" ht="14.4" x14ac:dyDescent="0.25">
      <c r="G778" s="10">
        <v>1083</v>
      </c>
      <c r="H778" s="9">
        <v>7968</v>
      </c>
      <c r="I778" s="14">
        <f>DATE(2012,12,31)-838</f>
        <v>40436</v>
      </c>
      <c r="J778" s="15" t="s">
        <v>25</v>
      </c>
      <c r="K778" s="9">
        <v>10</v>
      </c>
      <c r="L778" s="16" t="s">
        <v>29</v>
      </c>
      <c r="M778" s="16">
        <f t="shared" si="68"/>
        <v>-1.0753805220500194</v>
      </c>
      <c r="N778">
        <f t="shared" si="69"/>
        <v>0</v>
      </c>
      <c r="O778">
        <f t="shared" si="70"/>
        <v>0</v>
      </c>
      <c r="P778">
        <f t="shared" si="67"/>
        <v>3900</v>
      </c>
      <c r="Q778">
        <f t="shared" si="71"/>
        <v>3900</v>
      </c>
      <c r="T778" s="16">
        <f t="shared" si="72"/>
        <v>-1.0753805220500199</v>
      </c>
    </row>
    <row r="779" spans="7:20" ht="14.4" x14ac:dyDescent="0.25">
      <c r="G779" s="10">
        <v>1122</v>
      </c>
      <c r="H779" s="9">
        <v>8227</v>
      </c>
      <c r="I779" s="14">
        <f>DATE(2012,12,31)-1086</f>
        <v>40188</v>
      </c>
      <c r="J779" s="15" t="s">
        <v>28</v>
      </c>
      <c r="K779" s="9">
        <v>32</v>
      </c>
      <c r="L779" s="16" t="s">
        <v>27</v>
      </c>
      <c r="M779" s="16">
        <f t="shared" si="68"/>
        <v>0.44393456357285216</v>
      </c>
      <c r="N779">
        <f t="shared" si="69"/>
        <v>0</v>
      </c>
      <c r="O779">
        <f t="shared" si="70"/>
        <v>0</v>
      </c>
      <c r="P779">
        <f t="shared" si="67"/>
        <v>5000</v>
      </c>
      <c r="Q779">
        <f t="shared" si="71"/>
        <v>5000</v>
      </c>
      <c r="T779" s="16">
        <f t="shared" si="72"/>
        <v>0.44393456357285183</v>
      </c>
    </row>
    <row r="780" spans="7:20" ht="14.4" x14ac:dyDescent="0.25">
      <c r="G780" s="10">
        <v>1255</v>
      </c>
      <c r="H780" s="9">
        <v>9123</v>
      </c>
      <c r="I780" s="14">
        <f>DATE(2012,12,31)-919</f>
        <v>40355</v>
      </c>
      <c r="J780" s="15" t="s">
        <v>30</v>
      </c>
      <c r="K780" s="9">
        <v>27</v>
      </c>
      <c r="L780" s="16" t="s">
        <v>26</v>
      </c>
      <c r="M780" s="16">
        <f t="shared" si="68"/>
        <v>9.8635680476745008E-2</v>
      </c>
      <c r="N780">
        <f t="shared" si="69"/>
        <v>0</v>
      </c>
      <c r="O780">
        <f t="shared" si="70"/>
        <v>0</v>
      </c>
      <c r="P780">
        <f t="shared" ref="P780:P843" si="73">50*K780+$P$10</f>
        <v>4750</v>
      </c>
      <c r="Q780">
        <f t="shared" si="71"/>
        <v>4750</v>
      </c>
      <c r="T780" s="16">
        <f t="shared" si="72"/>
        <v>9.8635680476744619E-2</v>
      </c>
    </row>
    <row r="781" spans="7:20" ht="14.4" x14ac:dyDescent="0.25">
      <c r="G781" s="10">
        <v>1339</v>
      </c>
      <c r="H781" s="9">
        <v>9792</v>
      </c>
      <c r="I781" s="14">
        <f>DATE(2012,12,31)-527</f>
        <v>40747</v>
      </c>
      <c r="J781" s="15" t="s">
        <v>25</v>
      </c>
      <c r="K781" s="9">
        <v>14</v>
      </c>
      <c r="L781" s="16" t="s">
        <v>26</v>
      </c>
      <c r="M781" s="16">
        <f t="shared" ref="M781:M844" si="74">(K781-$K$4)/$K$7</f>
        <v>-0.79914141557313367</v>
      </c>
      <c r="N781">
        <f t="shared" ref="N781:N844" si="75">IF(MOD($B$20+G781,1000)=0,1,0)</f>
        <v>0</v>
      </c>
      <c r="O781">
        <f t="shared" ref="O781:O844" si="76">+ROUND(N781*(IF(K781&lt;$K$4,-4.5,10.5)*$P$5),-2)</f>
        <v>0</v>
      </c>
      <c r="P781">
        <f t="shared" si="73"/>
        <v>4100</v>
      </c>
      <c r="Q781">
        <f t="shared" ref="Q781:Q844" si="77">P781+O781</f>
        <v>4100</v>
      </c>
      <c r="T781" s="16">
        <f t="shared" ref="T781:T844" si="78">(Q781-$P$4)/$P$5</f>
        <v>-0.79914141557313401</v>
      </c>
    </row>
    <row r="782" spans="7:20" ht="14.4" x14ac:dyDescent="0.25">
      <c r="G782" s="10">
        <v>1352</v>
      </c>
      <c r="H782" s="9">
        <v>9860</v>
      </c>
      <c r="I782" s="14">
        <f>DATE(2012,12,31)-813</f>
        <v>40461</v>
      </c>
      <c r="J782" s="15" t="s">
        <v>30</v>
      </c>
      <c r="K782" s="9">
        <v>43</v>
      </c>
      <c r="L782" s="16" t="s">
        <v>27</v>
      </c>
      <c r="M782" s="16">
        <f t="shared" si="74"/>
        <v>1.203592106384288</v>
      </c>
      <c r="N782">
        <f t="shared" si="75"/>
        <v>0</v>
      </c>
      <c r="O782">
        <f t="shared" si="76"/>
        <v>0</v>
      </c>
      <c r="P782">
        <f t="shared" si="73"/>
        <v>5550</v>
      </c>
      <c r="Q782">
        <f t="shared" si="77"/>
        <v>5550</v>
      </c>
      <c r="T782" s="16">
        <f t="shared" si="78"/>
        <v>1.2035921063842876</v>
      </c>
    </row>
    <row r="783" spans="7:20" ht="14.4" x14ac:dyDescent="0.25">
      <c r="G783" s="10">
        <v>1423</v>
      </c>
      <c r="H783" s="9">
        <v>10310</v>
      </c>
      <c r="I783" s="14">
        <f>DATE(2012,12,31)-1425</f>
        <v>39849</v>
      </c>
      <c r="J783" s="15" t="s">
        <v>25</v>
      </c>
      <c r="K783" s="9">
        <v>48</v>
      </c>
      <c r="L783" s="16" t="s">
        <v>26</v>
      </c>
      <c r="M783" s="16">
        <f t="shared" si="74"/>
        <v>1.5488909894803951</v>
      </c>
      <c r="N783">
        <f t="shared" si="75"/>
        <v>0</v>
      </c>
      <c r="O783">
        <f t="shared" si="76"/>
        <v>0</v>
      </c>
      <c r="P783">
        <f t="shared" si="73"/>
        <v>5800</v>
      </c>
      <c r="Q783">
        <f t="shared" si="77"/>
        <v>5800</v>
      </c>
      <c r="T783" s="16">
        <f t="shared" si="78"/>
        <v>1.5488909894803948</v>
      </c>
    </row>
    <row r="784" spans="7:20" ht="14.4" x14ac:dyDescent="0.25">
      <c r="G784" s="10">
        <v>1424</v>
      </c>
      <c r="H784" s="9">
        <v>10310</v>
      </c>
      <c r="I784" s="14">
        <f>DATE(2012,12,31)-1425</f>
        <v>39849</v>
      </c>
      <c r="J784" s="15" t="s">
        <v>25</v>
      </c>
      <c r="K784" s="9">
        <v>6</v>
      </c>
      <c r="L784" s="16" t="s">
        <v>27</v>
      </c>
      <c r="M784" s="16">
        <f t="shared" si="74"/>
        <v>-1.3516196285269051</v>
      </c>
      <c r="N784">
        <f t="shared" si="75"/>
        <v>0</v>
      </c>
      <c r="O784">
        <f t="shared" si="76"/>
        <v>0</v>
      </c>
      <c r="P784">
        <f t="shared" si="73"/>
        <v>3700</v>
      </c>
      <c r="Q784">
        <f t="shared" si="77"/>
        <v>3700</v>
      </c>
      <c r="T784" s="16">
        <f t="shared" si="78"/>
        <v>-1.3516196285269055</v>
      </c>
    </row>
    <row r="785" spans="7:20" ht="14.4" x14ac:dyDescent="0.25">
      <c r="G785" s="10">
        <v>1436</v>
      </c>
      <c r="H785" s="9">
        <v>10369</v>
      </c>
      <c r="I785" s="14">
        <f>DATE(2012,12,31)-418</f>
        <v>40856</v>
      </c>
      <c r="J785" s="15" t="s">
        <v>25</v>
      </c>
      <c r="K785" s="9">
        <v>4</v>
      </c>
      <c r="L785" s="16" t="s">
        <v>26</v>
      </c>
      <c r="M785" s="16">
        <f t="shared" si="74"/>
        <v>-1.489739181765348</v>
      </c>
      <c r="N785">
        <f t="shared" si="75"/>
        <v>0</v>
      </c>
      <c r="O785">
        <f t="shared" si="76"/>
        <v>0</v>
      </c>
      <c r="P785">
        <f t="shared" si="73"/>
        <v>3600</v>
      </c>
      <c r="Q785">
        <f t="shared" si="77"/>
        <v>3600</v>
      </c>
      <c r="T785" s="16">
        <f t="shared" si="78"/>
        <v>-1.4897391817653485</v>
      </c>
    </row>
    <row r="786" spans="7:20" ht="14.4" x14ac:dyDescent="0.25">
      <c r="G786" s="10">
        <v>1437</v>
      </c>
      <c r="H786" s="9">
        <v>10369</v>
      </c>
      <c r="I786" s="14">
        <f>DATE(2012,12,31)-418</f>
        <v>40856</v>
      </c>
      <c r="J786" s="15" t="s">
        <v>25</v>
      </c>
      <c r="K786" s="9">
        <v>23</v>
      </c>
      <c r="L786" s="16" t="s">
        <v>27</v>
      </c>
      <c r="M786" s="16">
        <f t="shared" si="74"/>
        <v>-0.17760342600014073</v>
      </c>
      <c r="N786">
        <f t="shared" si="75"/>
        <v>0</v>
      </c>
      <c r="O786">
        <f t="shared" si="76"/>
        <v>0</v>
      </c>
      <c r="P786">
        <f t="shared" si="73"/>
        <v>4550</v>
      </c>
      <c r="Q786">
        <f t="shared" si="77"/>
        <v>4550</v>
      </c>
      <c r="T786" s="16">
        <f t="shared" si="78"/>
        <v>-0.17760342600014112</v>
      </c>
    </row>
    <row r="787" spans="7:20" ht="14.4" x14ac:dyDescent="0.25">
      <c r="G787" s="10">
        <v>1486</v>
      </c>
      <c r="H787" s="9">
        <v>10692</v>
      </c>
      <c r="I787" s="14">
        <f>DATE(2012,12,31)-1254</f>
        <v>40020</v>
      </c>
      <c r="J787" s="15" t="s">
        <v>25</v>
      </c>
      <c r="K787" s="9">
        <v>26</v>
      </c>
      <c r="L787" s="16" t="s">
        <v>26</v>
      </c>
      <c r="M787" s="16">
        <f t="shared" si="74"/>
        <v>2.9575903857523567E-2</v>
      </c>
      <c r="N787">
        <f t="shared" si="75"/>
        <v>0</v>
      </c>
      <c r="O787">
        <f t="shared" si="76"/>
        <v>0</v>
      </c>
      <c r="P787">
        <f t="shared" si="73"/>
        <v>4700</v>
      </c>
      <c r="Q787">
        <f t="shared" si="77"/>
        <v>4700</v>
      </c>
      <c r="T787" s="16">
        <f t="shared" si="78"/>
        <v>2.9575903857523185E-2</v>
      </c>
    </row>
    <row r="788" spans="7:20" ht="14.4" x14ac:dyDescent="0.25">
      <c r="G788" s="10">
        <v>1487</v>
      </c>
      <c r="H788" s="9">
        <v>10692</v>
      </c>
      <c r="I788" s="14">
        <f>DATE(2012,12,31)-1254</f>
        <v>40020</v>
      </c>
      <c r="J788" s="15" t="s">
        <v>25</v>
      </c>
      <c r="K788" s="9">
        <v>48</v>
      </c>
      <c r="L788" s="16" t="s">
        <v>27</v>
      </c>
      <c r="M788" s="16">
        <f t="shared" si="74"/>
        <v>1.5488909894803951</v>
      </c>
      <c r="N788">
        <f t="shared" si="75"/>
        <v>0</v>
      </c>
      <c r="O788">
        <f t="shared" si="76"/>
        <v>0</v>
      </c>
      <c r="P788">
        <f t="shared" si="73"/>
        <v>5800</v>
      </c>
      <c r="Q788">
        <f t="shared" si="77"/>
        <v>5800</v>
      </c>
      <c r="T788" s="16">
        <f t="shared" si="78"/>
        <v>1.5488909894803948</v>
      </c>
    </row>
    <row r="789" spans="7:20" ht="14.4" x14ac:dyDescent="0.25">
      <c r="G789" s="10">
        <v>1488</v>
      </c>
      <c r="H789" s="9">
        <v>10692</v>
      </c>
      <c r="I789" s="14">
        <f>DATE(2012,12,31)-1254</f>
        <v>40020</v>
      </c>
      <c r="J789" s="15" t="s">
        <v>25</v>
      </c>
      <c r="K789" s="9">
        <v>8</v>
      </c>
      <c r="L789" s="16" t="s">
        <v>27</v>
      </c>
      <c r="M789" s="16">
        <f t="shared" si="74"/>
        <v>-1.2135000752884624</v>
      </c>
      <c r="N789">
        <f t="shared" si="75"/>
        <v>0</v>
      </c>
      <c r="O789">
        <f t="shared" si="76"/>
        <v>0</v>
      </c>
      <c r="P789">
        <f t="shared" si="73"/>
        <v>3800</v>
      </c>
      <c r="Q789">
        <f t="shared" si="77"/>
        <v>3800</v>
      </c>
      <c r="T789" s="16">
        <f t="shared" si="78"/>
        <v>-1.2135000752884626</v>
      </c>
    </row>
    <row r="790" spans="7:20" ht="14.4" x14ac:dyDescent="0.25">
      <c r="G790" s="10">
        <v>1596</v>
      </c>
      <c r="H790" s="9">
        <v>11553</v>
      </c>
      <c r="I790" s="14">
        <f>DATE(2012,12,31)-1353</f>
        <v>39921</v>
      </c>
      <c r="J790" s="15" t="s">
        <v>16</v>
      </c>
      <c r="K790" s="9">
        <v>28</v>
      </c>
      <c r="L790" s="16" t="s">
        <v>26</v>
      </c>
      <c r="M790" s="16">
        <f t="shared" si="74"/>
        <v>0.16769545709596645</v>
      </c>
      <c r="N790">
        <f t="shared" si="75"/>
        <v>0</v>
      </c>
      <c r="O790">
        <f t="shared" si="76"/>
        <v>0</v>
      </c>
      <c r="P790">
        <f t="shared" si="73"/>
        <v>4800</v>
      </c>
      <c r="Q790">
        <f t="shared" si="77"/>
        <v>4800</v>
      </c>
      <c r="T790" s="16">
        <f t="shared" si="78"/>
        <v>0.16769545709596606</v>
      </c>
    </row>
    <row r="791" spans="7:20" ht="14.4" x14ac:dyDescent="0.25">
      <c r="G791" s="10">
        <v>1597</v>
      </c>
      <c r="H791" s="9">
        <v>11553</v>
      </c>
      <c r="I791" s="14">
        <f>DATE(2012,12,31)-1353</f>
        <v>39921</v>
      </c>
      <c r="J791" s="15" t="s">
        <v>16</v>
      </c>
      <c r="K791" s="9">
        <v>8</v>
      </c>
      <c r="L791" s="16" t="s">
        <v>29</v>
      </c>
      <c r="M791" s="16">
        <f t="shared" si="74"/>
        <v>-1.2135000752884624</v>
      </c>
      <c r="N791">
        <f t="shared" si="75"/>
        <v>0</v>
      </c>
      <c r="O791">
        <f t="shared" si="76"/>
        <v>0</v>
      </c>
      <c r="P791">
        <f t="shared" si="73"/>
        <v>3800</v>
      </c>
      <c r="Q791">
        <f t="shared" si="77"/>
        <v>3800</v>
      </c>
      <c r="T791" s="16">
        <f t="shared" si="78"/>
        <v>-1.2135000752884626</v>
      </c>
    </row>
    <row r="792" spans="7:20" ht="14.4" x14ac:dyDescent="0.25">
      <c r="G792" s="10">
        <v>1598</v>
      </c>
      <c r="H792" s="9">
        <v>11553</v>
      </c>
      <c r="I792" s="14">
        <f>DATE(2012,12,31)-1353</f>
        <v>39921</v>
      </c>
      <c r="J792" s="15" t="s">
        <v>16</v>
      </c>
      <c r="K792" s="9">
        <v>20</v>
      </c>
      <c r="L792" s="16" t="s">
        <v>27</v>
      </c>
      <c r="M792" s="16">
        <f t="shared" si="74"/>
        <v>-0.38478275585780503</v>
      </c>
      <c r="N792">
        <f t="shared" si="75"/>
        <v>0</v>
      </c>
      <c r="O792">
        <f t="shared" si="76"/>
        <v>0</v>
      </c>
      <c r="P792">
        <f t="shared" si="73"/>
        <v>4400</v>
      </c>
      <c r="Q792">
        <f t="shared" si="77"/>
        <v>4400</v>
      </c>
      <c r="T792" s="16">
        <f t="shared" si="78"/>
        <v>-0.38478275585780541</v>
      </c>
    </row>
    <row r="793" spans="7:20" ht="14.4" x14ac:dyDescent="0.25">
      <c r="G793" s="10">
        <v>1626</v>
      </c>
      <c r="H793" s="9">
        <v>11776</v>
      </c>
      <c r="I793" s="14">
        <f>DATE(2012,12,31)-311</f>
        <v>40963</v>
      </c>
      <c r="J793" s="15" t="s">
        <v>25</v>
      </c>
      <c r="K793" s="9">
        <v>40</v>
      </c>
      <c r="L793" s="16" t="s">
        <v>26</v>
      </c>
      <c r="M793" s="16">
        <f t="shared" si="74"/>
        <v>0.99641277652662363</v>
      </c>
      <c r="N793">
        <f t="shared" si="75"/>
        <v>0</v>
      </c>
      <c r="O793">
        <f t="shared" si="76"/>
        <v>0</v>
      </c>
      <c r="P793">
        <f t="shared" si="73"/>
        <v>5400</v>
      </c>
      <c r="Q793">
        <f t="shared" si="77"/>
        <v>5400</v>
      </c>
      <c r="T793" s="16">
        <f t="shared" si="78"/>
        <v>0.9964127765266233</v>
      </c>
    </row>
    <row r="794" spans="7:20" ht="14.4" x14ac:dyDescent="0.25">
      <c r="G794" s="10">
        <v>1631</v>
      </c>
      <c r="H794" s="9">
        <v>11782</v>
      </c>
      <c r="I794" s="14">
        <f>DATE(2012,12,31)-156</f>
        <v>41118</v>
      </c>
      <c r="J794" s="15" t="s">
        <v>25</v>
      </c>
      <c r="K794" s="9">
        <v>46</v>
      </c>
      <c r="L794" s="16" t="s">
        <v>26</v>
      </c>
      <c r="M794" s="16">
        <f t="shared" si="74"/>
        <v>1.4107714362419523</v>
      </c>
      <c r="N794">
        <f t="shared" si="75"/>
        <v>0</v>
      </c>
      <c r="O794">
        <f t="shared" si="76"/>
        <v>0</v>
      </c>
      <c r="P794">
        <f t="shared" si="73"/>
        <v>5700</v>
      </c>
      <c r="Q794">
        <f t="shared" si="77"/>
        <v>5700</v>
      </c>
      <c r="T794" s="16">
        <f t="shared" si="78"/>
        <v>1.4107714362419519</v>
      </c>
    </row>
    <row r="795" spans="7:20" ht="14.4" x14ac:dyDescent="0.25">
      <c r="G795" s="10">
        <v>1632</v>
      </c>
      <c r="H795" s="9">
        <v>11782</v>
      </c>
      <c r="I795" s="14">
        <f>DATE(2012,12,31)-156</f>
        <v>41118</v>
      </c>
      <c r="J795" s="15" t="s">
        <v>25</v>
      </c>
      <c r="K795" s="9">
        <v>27</v>
      </c>
      <c r="L795" s="16" t="s">
        <v>27</v>
      </c>
      <c r="M795" s="16">
        <f t="shared" si="74"/>
        <v>9.8635680476745008E-2</v>
      </c>
      <c r="N795">
        <f t="shared" si="75"/>
        <v>0</v>
      </c>
      <c r="O795">
        <f t="shared" si="76"/>
        <v>0</v>
      </c>
      <c r="P795">
        <f t="shared" si="73"/>
        <v>4750</v>
      </c>
      <c r="Q795">
        <f t="shared" si="77"/>
        <v>4750</v>
      </c>
      <c r="T795" s="16">
        <f t="shared" si="78"/>
        <v>9.8635680476744619E-2</v>
      </c>
    </row>
    <row r="796" spans="7:20" ht="14.4" x14ac:dyDescent="0.25">
      <c r="G796" s="10">
        <v>1690</v>
      </c>
      <c r="H796" s="9">
        <v>12199</v>
      </c>
      <c r="I796" s="14">
        <f>DATE(2012,12,31)-383</f>
        <v>40891</v>
      </c>
      <c r="J796" s="15" t="s">
        <v>25</v>
      </c>
      <c r="K796" s="9">
        <v>2</v>
      </c>
      <c r="L796" s="16" t="s">
        <v>26</v>
      </c>
      <c r="M796" s="16">
        <f t="shared" si="74"/>
        <v>-1.627858735003791</v>
      </c>
      <c r="N796">
        <f t="shared" si="75"/>
        <v>0</v>
      </c>
      <c r="O796">
        <f t="shared" si="76"/>
        <v>0</v>
      </c>
      <c r="P796">
        <f t="shared" si="73"/>
        <v>3500</v>
      </c>
      <c r="Q796">
        <f t="shared" si="77"/>
        <v>3500</v>
      </c>
      <c r="T796" s="16">
        <f t="shared" si="78"/>
        <v>-1.6278587350037912</v>
      </c>
    </row>
    <row r="797" spans="7:20" ht="14.4" x14ac:dyDescent="0.25">
      <c r="G797" s="10">
        <v>1691</v>
      </c>
      <c r="H797" s="9">
        <v>12199</v>
      </c>
      <c r="I797" s="14">
        <f>DATE(2012,12,31)-383</f>
        <v>40891</v>
      </c>
      <c r="J797" s="15" t="s">
        <v>25</v>
      </c>
      <c r="K797" s="9">
        <v>50</v>
      </c>
      <c r="L797" s="16" t="s">
        <v>26</v>
      </c>
      <c r="M797" s="16">
        <f t="shared" si="74"/>
        <v>1.687010542718838</v>
      </c>
      <c r="N797">
        <f t="shared" si="75"/>
        <v>0</v>
      </c>
      <c r="O797">
        <f t="shared" si="76"/>
        <v>0</v>
      </c>
      <c r="P797">
        <f t="shared" si="73"/>
        <v>5900</v>
      </c>
      <c r="Q797">
        <f t="shared" si="77"/>
        <v>5900</v>
      </c>
      <c r="T797" s="16">
        <f t="shared" si="78"/>
        <v>1.6870105427188375</v>
      </c>
    </row>
    <row r="798" spans="7:20" ht="14.4" x14ac:dyDescent="0.25">
      <c r="G798" s="10">
        <v>2004</v>
      </c>
      <c r="H798" s="9">
        <v>14275</v>
      </c>
      <c r="I798" s="14">
        <f>DATE(2012,12,31)-932</f>
        <v>40342</v>
      </c>
      <c r="J798" s="15" t="s">
        <v>25</v>
      </c>
      <c r="K798" s="9">
        <v>20</v>
      </c>
      <c r="L798" s="16" t="s">
        <v>26</v>
      </c>
      <c r="M798" s="16">
        <f t="shared" si="74"/>
        <v>-0.38478275585780503</v>
      </c>
      <c r="N798">
        <f t="shared" si="75"/>
        <v>0</v>
      </c>
      <c r="O798">
        <f t="shared" si="76"/>
        <v>0</v>
      </c>
      <c r="P798">
        <f t="shared" si="73"/>
        <v>4400</v>
      </c>
      <c r="Q798">
        <f t="shared" si="77"/>
        <v>4400</v>
      </c>
      <c r="T798" s="16">
        <f t="shared" si="78"/>
        <v>-0.38478275585780541</v>
      </c>
    </row>
    <row r="799" spans="7:20" ht="14.4" x14ac:dyDescent="0.25">
      <c r="G799" s="10">
        <v>2005</v>
      </c>
      <c r="H799" s="9">
        <v>14275</v>
      </c>
      <c r="I799" s="14">
        <f>DATE(2012,12,31)-932</f>
        <v>40342</v>
      </c>
      <c r="J799" s="15" t="s">
        <v>25</v>
      </c>
      <c r="K799" s="9">
        <v>4</v>
      </c>
      <c r="L799" s="16" t="s">
        <v>29</v>
      </c>
      <c r="M799" s="16">
        <f t="shared" si="74"/>
        <v>-1.489739181765348</v>
      </c>
      <c r="N799">
        <f t="shared" si="75"/>
        <v>0</v>
      </c>
      <c r="O799">
        <f t="shared" si="76"/>
        <v>0</v>
      </c>
      <c r="P799">
        <f t="shared" si="73"/>
        <v>3600</v>
      </c>
      <c r="Q799">
        <f t="shared" si="77"/>
        <v>3600</v>
      </c>
      <c r="T799" s="16">
        <f t="shared" si="78"/>
        <v>-1.4897391817653485</v>
      </c>
    </row>
    <row r="800" spans="7:20" ht="14.4" x14ac:dyDescent="0.25">
      <c r="G800" s="10">
        <v>2043</v>
      </c>
      <c r="H800" s="9">
        <v>14535</v>
      </c>
      <c r="I800" s="14">
        <f>DATE(2012,12,31)-822</f>
        <v>40452</v>
      </c>
      <c r="J800" s="15" t="s">
        <v>28</v>
      </c>
      <c r="K800" s="9">
        <v>22</v>
      </c>
      <c r="L800" s="16" t="s">
        <v>26</v>
      </c>
      <c r="M800" s="16">
        <f t="shared" si="74"/>
        <v>-0.24666320261936217</v>
      </c>
      <c r="N800">
        <f t="shared" si="75"/>
        <v>0</v>
      </c>
      <c r="O800">
        <f t="shared" si="76"/>
        <v>0</v>
      </c>
      <c r="P800">
        <f t="shared" si="73"/>
        <v>4500</v>
      </c>
      <c r="Q800">
        <f t="shared" si="77"/>
        <v>4500</v>
      </c>
      <c r="T800" s="16">
        <f t="shared" si="78"/>
        <v>-0.24666320261936256</v>
      </c>
    </row>
    <row r="801" spans="7:20" ht="14.4" x14ac:dyDescent="0.25">
      <c r="G801" s="10">
        <v>2145</v>
      </c>
      <c r="H801" s="9">
        <v>15329</v>
      </c>
      <c r="I801" s="14">
        <f>DATE(2012,12,31)-248</f>
        <v>41026</v>
      </c>
      <c r="J801" s="15" t="s">
        <v>17</v>
      </c>
      <c r="K801" s="9">
        <v>34</v>
      </c>
      <c r="L801" s="16" t="s">
        <v>27</v>
      </c>
      <c r="M801" s="16">
        <f t="shared" si="74"/>
        <v>0.58205411681129504</v>
      </c>
      <c r="N801">
        <f t="shared" si="75"/>
        <v>0</v>
      </c>
      <c r="O801">
        <f t="shared" si="76"/>
        <v>0</v>
      </c>
      <c r="P801">
        <f t="shared" si="73"/>
        <v>5100</v>
      </c>
      <c r="Q801">
        <f t="shared" si="77"/>
        <v>5100</v>
      </c>
      <c r="T801" s="16">
        <f t="shared" si="78"/>
        <v>0.58205411681129471</v>
      </c>
    </row>
    <row r="802" spans="7:20" ht="14.4" x14ac:dyDescent="0.25">
      <c r="G802" s="10">
        <v>2169</v>
      </c>
      <c r="H802" s="9">
        <v>15621</v>
      </c>
      <c r="I802" s="14">
        <f>DATE(2012,12,31)-464</f>
        <v>40810</v>
      </c>
      <c r="J802" s="15" t="s">
        <v>30</v>
      </c>
      <c r="K802" s="9">
        <v>18</v>
      </c>
      <c r="L802" s="16" t="s">
        <v>26</v>
      </c>
      <c r="M802" s="16">
        <f t="shared" si="74"/>
        <v>-0.52290230909624791</v>
      </c>
      <c r="N802">
        <f t="shared" si="75"/>
        <v>0</v>
      </c>
      <c r="O802">
        <f t="shared" si="76"/>
        <v>0</v>
      </c>
      <c r="P802">
        <f t="shared" si="73"/>
        <v>4300</v>
      </c>
      <c r="Q802">
        <f t="shared" si="77"/>
        <v>4300</v>
      </c>
      <c r="T802" s="16">
        <f t="shared" si="78"/>
        <v>-0.52290230909624835</v>
      </c>
    </row>
    <row r="803" spans="7:20" ht="14.4" x14ac:dyDescent="0.25">
      <c r="G803" s="10">
        <v>2170</v>
      </c>
      <c r="H803" s="9">
        <v>15621</v>
      </c>
      <c r="I803" s="14">
        <f>DATE(2012,12,31)-464</f>
        <v>40810</v>
      </c>
      <c r="J803" s="15" t="s">
        <v>30</v>
      </c>
      <c r="K803" s="9">
        <v>39</v>
      </c>
      <c r="L803" s="16" t="s">
        <v>26</v>
      </c>
      <c r="M803" s="16">
        <f t="shared" si="74"/>
        <v>0.92735299990740228</v>
      </c>
      <c r="N803">
        <f t="shared" si="75"/>
        <v>0</v>
      </c>
      <c r="O803">
        <f t="shared" si="76"/>
        <v>0</v>
      </c>
      <c r="P803">
        <f t="shared" si="73"/>
        <v>5350</v>
      </c>
      <c r="Q803">
        <f t="shared" si="77"/>
        <v>5350</v>
      </c>
      <c r="T803" s="16">
        <f t="shared" si="78"/>
        <v>0.92735299990740183</v>
      </c>
    </row>
    <row r="804" spans="7:20" ht="14.4" x14ac:dyDescent="0.25">
      <c r="G804" s="10">
        <v>2452</v>
      </c>
      <c r="H804" s="9">
        <v>17826</v>
      </c>
      <c r="I804" s="14">
        <f>DATE(2012,12,31)-184</f>
        <v>41090</v>
      </c>
      <c r="J804" s="15" t="s">
        <v>17</v>
      </c>
      <c r="K804" s="9">
        <v>18</v>
      </c>
      <c r="L804" s="16" t="s">
        <v>26</v>
      </c>
      <c r="M804" s="16">
        <f t="shared" si="74"/>
        <v>-0.52290230909624791</v>
      </c>
      <c r="N804">
        <f t="shared" si="75"/>
        <v>0</v>
      </c>
      <c r="O804">
        <f t="shared" si="76"/>
        <v>0</v>
      </c>
      <c r="P804">
        <f t="shared" si="73"/>
        <v>4300</v>
      </c>
      <c r="Q804">
        <f t="shared" si="77"/>
        <v>4300</v>
      </c>
      <c r="T804" s="16">
        <f t="shared" si="78"/>
        <v>-0.52290230909624835</v>
      </c>
    </row>
    <row r="805" spans="7:20" ht="14.4" x14ac:dyDescent="0.25">
      <c r="G805" s="10">
        <v>2463</v>
      </c>
      <c r="H805" s="9">
        <v>17926</v>
      </c>
      <c r="I805" s="14">
        <f>DATE(2012,12,31)-417</f>
        <v>40857</v>
      </c>
      <c r="J805" s="15" t="s">
        <v>30</v>
      </c>
      <c r="K805" s="9">
        <v>37</v>
      </c>
      <c r="L805" s="16" t="s">
        <v>26</v>
      </c>
      <c r="M805" s="16">
        <f t="shared" si="74"/>
        <v>0.78923344666895934</v>
      </c>
      <c r="N805">
        <f t="shared" si="75"/>
        <v>0</v>
      </c>
      <c r="O805">
        <f t="shared" si="76"/>
        <v>0</v>
      </c>
      <c r="P805">
        <f t="shared" si="73"/>
        <v>5250</v>
      </c>
      <c r="Q805">
        <f t="shared" si="77"/>
        <v>5250</v>
      </c>
      <c r="T805" s="16">
        <f t="shared" si="78"/>
        <v>0.789233446668959</v>
      </c>
    </row>
    <row r="806" spans="7:20" ht="14.4" x14ac:dyDescent="0.25">
      <c r="G806" s="10">
        <v>2513</v>
      </c>
      <c r="H806" s="9">
        <v>18247</v>
      </c>
      <c r="I806" s="14">
        <f>DATE(2012,12,31)-1152</f>
        <v>40122</v>
      </c>
      <c r="J806" s="15" t="s">
        <v>28</v>
      </c>
      <c r="K806" s="9">
        <v>20</v>
      </c>
      <c r="L806" s="16" t="s">
        <v>29</v>
      </c>
      <c r="M806" s="16">
        <f t="shared" si="74"/>
        <v>-0.38478275585780503</v>
      </c>
      <c r="N806">
        <f t="shared" si="75"/>
        <v>0</v>
      </c>
      <c r="O806">
        <f t="shared" si="76"/>
        <v>0</v>
      </c>
      <c r="P806">
        <f t="shared" si="73"/>
        <v>4400</v>
      </c>
      <c r="Q806">
        <f t="shared" si="77"/>
        <v>4400</v>
      </c>
      <c r="T806" s="16">
        <f t="shared" si="78"/>
        <v>-0.38478275585780541</v>
      </c>
    </row>
    <row r="807" spans="7:20" ht="14.4" x14ac:dyDescent="0.25">
      <c r="G807" s="10">
        <v>2551</v>
      </c>
      <c r="H807" s="9">
        <v>18471</v>
      </c>
      <c r="I807" s="14">
        <f>DATE(2012,12,31)-1411</f>
        <v>39863</v>
      </c>
      <c r="J807" s="15" t="s">
        <v>28</v>
      </c>
      <c r="K807" s="9">
        <v>37</v>
      </c>
      <c r="L807" s="16" t="s">
        <v>26</v>
      </c>
      <c r="M807" s="16">
        <f t="shared" si="74"/>
        <v>0.78923344666895934</v>
      </c>
      <c r="N807">
        <f t="shared" si="75"/>
        <v>0</v>
      </c>
      <c r="O807">
        <f t="shared" si="76"/>
        <v>0</v>
      </c>
      <c r="P807">
        <f t="shared" si="73"/>
        <v>5250</v>
      </c>
      <c r="Q807">
        <f t="shared" si="77"/>
        <v>5250</v>
      </c>
      <c r="T807" s="16">
        <f t="shared" si="78"/>
        <v>0.789233446668959</v>
      </c>
    </row>
    <row r="808" spans="7:20" ht="14.4" x14ac:dyDescent="0.25">
      <c r="G808" s="10">
        <v>2552</v>
      </c>
      <c r="H808" s="9">
        <v>18471</v>
      </c>
      <c r="I808" s="14">
        <f>DATE(2012,12,31)-1411</f>
        <v>39863</v>
      </c>
      <c r="J808" s="15" t="s">
        <v>28</v>
      </c>
      <c r="K808" s="9">
        <v>4</v>
      </c>
      <c r="L808" s="16" t="s">
        <v>26</v>
      </c>
      <c r="M808" s="16">
        <f t="shared" si="74"/>
        <v>-1.489739181765348</v>
      </c>
      <c r="N808">
        <f t="shared" si="75"/>
        <v>0</v>
      </c>
      <c r="O808">
        <f t="shared" si="76"/>
        <v>0</v>
      </c>
      <c r="P808">
        <f t="shared" si="73"/>
        <v>3600</v>
      </c>
      <c r="Q808">
        <f t="shared" si="77"/>
        <v>3600</v>
      </c>
      <c r="T808" s="16">
        <f t="shared" si="78"/>
        <v>-1.4897391817653485</v>
      </c>
    </row>
    <row r="809" spans="7:20" ht="14.4" x14ac:dyDescent="0.25">
      <c r="G809" s="10">
        <v>2553</v>
      </c>
      <c r="H809" s="9">
        <v>18471</v>
      </c>
      <c r="I809" s="14">
        <f>DATE(2012,12,31)-1411</f>
        <v>39863</v>
      </c>
      <c r="J809" s="15" t="s">
        <v>28</v>
      </c>
      <c r="K809" s="9">
        <v>29</v>
      </c>
      <c r="L809" s="16" t="s">
        <v>26</v>
      </c>
      <c r="M809" s="16">
        <f t="shared" si="74"/>
        <v>0.23675523371518786</v>
      </c>
      <c r="N809">
        <f t="shared" si="75"/>
        <v>0</v>
      </c>
      <c r="O809">
        <f t="shared" si="76"/>
        <v>0</v>
      </c>
      <c r="P809">
        <f t="shared" si="73"/>
        <v>4850</v>
      </c>
      <c r="Q809">
        <f t="shared" si="77"/>
        <v>4850</v>
      </c>
      <c r="T809" s="16">
        <f t="shared" si="78"/>
        <v>0.2367552337151875</v>
      </c>
    </row>
    <row r="810" spans="7:20" ht="14.4" x14ac:dyDescent="0.25">
      <c r="G810" s="10">
        <v>2745</v>
      </c>
      <c r="H810" s="9">
        <v>19813</v>
      </c>
      <c r="I810" s="14">
        <f>DATE(2012,12,31)-1035</f>
        <v>40239</v>
      </c>
      <c r="J810" s="15" t="s">
        <v>30</v>
      </c>
      <c r="K810" s="9">
        <v>29</v>
      </c>
      <c r="L810" s="16" t="s">
        <v>27</v>
      </c>
      <c r="M810" s="16">
        <f t="shared" si="74"/>
        <v>0.23675523371518786</v>
      </c>
      <c r="N810">
        <f t="shared" si="75"/>
        <v>0</v>
      </c>
      <c r="O810">
        <f t="shared" si="76"/>
        <v>0</v>
      </c>
      <c r="P810">
        <f t="shared" si="73"/>
        <v>4850</v>
      </c>
      <c r="Q810">
        <f t="shared" si="77"/>
        <v>4850</v>
      </c>
      <c r="T810" s="16">
        <f t="shared" si="78"/>
        <v>0.2367552337151875</v>
      </c>
    </row>
    <row r="811" spans="7:20" ht="14.4" x14ac:dyDescent="0.25">
      <c r="G811" s="10">
        <v>2815</v>
      </c>
      <c r="H811" s="9">
        <v>20322</v>
      </c>
      <c r="I811" s="14">
        <f>DATE(2012,12,31)-1282</f>
        <v>39992</v>
      </c>
      <c r="J811" s="15" t="s">
        <v>30</v>
      </c>
      <c r="K811" s="9">
        <v>46</v>
      </c>
      <c r="L811" s="16" t="s">
        <v>26</v>
      </c>
      <c r="M811" s="16">
        <f t="shared" si="74"/>
        <v>1.4107714362419523</v>
      </c>
      <c r="N811">
        <f t="shared" si="75"/>
        <v>0</v>
      </c>
      <c r="O811">
        <f t="shared" si="76"/>
        <v>0</v>
      </c>
      <c r="P811">
        <f t="shared" si="73"/>
        <v>5700</v>
      </c>
      <c r="Q811">
        <f t="shared" si="77"/>
        <v>5700</v>
      </c>
      <c r="T811" s="16">
        <f t="shared" si="78"/>
        <v>1.4107714362419519</v>
      </c>
    </row>
    <row r="812" spans="7:20" ht="14.4" x14ac:dyDescent="0.25">
      <c r="G812" s="10">
        <v>2816</v>
      </c>
      <c r="H812" s="9">
        <v>20322</v>
      </c>
      <c r="I812" s="14">
        <f>DATE(2012,12,31)-1282</f>
        <v>39992</v>
      </c>
      <c r="J812" s="15" t="s">
        <v>30</v>
      </c>
      <c r="K812" s="9">
        <v>46</v>
      </c>
      <c r="L812" s="16" t="s">
        <v>29</v>
      </c>
      <c r="M812" s="16">
        <f t="shared" si="74"/>
        <v>1.4107714362419523</v>
      </c>
      <c r="N812">
        <f t="shared" si="75"/>
        <v>0</v>
      </c>
      <c r="O812">
        <f t="shared" si="76"/>
        <v>0</v>
      </c>
      <c r="P812">
        <f t="shared" si="73"/>
        <v>5700</v>
      </c>
      <c r="Q812">
        <f t="shared" si="77"/>
        <v>5700</v>
      </c>
      <c r="T812" s="16">
        <f t="shared" si="78"/>
        <v>1.4107714362419519</v>
      </c>
    </row>
    <row r="813" spans="7:20" ht="14.4" x14ac:dyDescent="0.25">
      <c r="G813" s="10">
        <v>2817</v>
      </c>
      <c r="H813" s="9">
        <v>20322</v>
      </c>
      <c r="I813" s="14">
        <f>DATE(2012,12,31)-1282</f>
        <v>39992</v>
      </c>
      <c r="J813" s="15" t="s">
        <v>30</v>
      </c>
      <c r="K813" s="9">
        <v>15</v>
      </c>
      <c r="L813" s="16" t="s">
        <v>26</v>
      </c>
      <c r="M813" s="16">
        <f t="shared" si="74"/>
        <v>-0.7300816389539122</v>
      </c>
      <c r="N813">
        <f t="shared" si="75"/>
        <v>0</v>
      </c>
      <c r="O813">
        <f t="shared" si="76"/>
        <v>0</v>
      </c>
      <c r="P813">
        <f t="shared" si="73"/>
        <v>4150</v>
      </c>
      <c r="Q813">
        <f t="shared" si="77"/>
        <v>4150</v>
      </c>
      <c r="T813" s="16">
        <f t="shared" si="78"/>
        <v>-0.73008163895391265</v>
      </c>
    </row>
    <row r="814" spans="7:20" ht="14.4" x14ac:dyDescent="0.25">
      <c r="G814" s="10">
        <v>2830</v>
      </c>
      <c r="H814" s="9">
        <v>20422</v>
      </c>
      <c r="I814" s="14">
        <f>DATE(2012,12,31)-1435</f>
        <v>39839</v>
      </c>
      <c r="J814" s="15" t="s">
        <v>17</v>
      </c>
      <c r="K814" s="9">
        <v>30</v>
      </c>
      <c r="L814" s="16" t="s">
        <v>29</v>
      </c>
      <c r="M814" s="16">
        <f t="shared" si="74"/>
        <v>0.30581501033440933</v>
      </c>
      <c r="N814">
        <f t="shared" si="75"/>
        <v>0</v>
      </c>
      <c r="O814">
        <f t="shared" si="76"/>
        <v>0</v>
      </c>
      <c r="P814">
        <f t="shared" si="73"/>
        <v>4900</v>
      </c>
      <c r="Q814">
        <f t="shared" si="77"/>
        <v>4900</v>
      </c>
      <c r="T814" s="16">
        <f t="shared" si="78"/>
        <v>0.30581501033440894</v>
      </c>
    </row>
    <row r="815" spans="7:20" ht="14.4" x14ac:dyDescent="0.25">
      <c r="G815" s="10">
        <v>2831</v>
      </c>
      <c r="H815" s="9">
        <v>20448</v>
      </c>
      <c r="I815" s="14">
        <f>DATE(2012,12,31)-517</f>
        <v>40757</v>
      </c>
      <c r="J815" s="15" t="s">
        <v>30</v>
      </c>
      <c r="K815" s="9">
        <v>23</v>
      </c>
      <c r="L815" s="16" t="s">
        <v>26</v>
      </c>
      <c r="M815" s="16">
        <f t="shared" si="74"/>
        <v>-0.17760342600014073</v>
      </c>
      <c r="N815">
        <f t="shared" si="75"/>
        <v>0</v>
      </c>
      <c r="O815">
        <f t="shared" si="76"/>
        <v>0</v>
      </c>
      <c r="P815">
        <f t="shared" si="73"/>
        <v>4550</v>
      </c>
      <c r="Q815">
        <f t="shared" si="77"/>
        <v>4550</v>
      </c>
      <c r="T815" s="16">
        <f t="shared" si="78"/>
        <v>-0.17760342600014112</v>
      </c>
    </row>
    <row r="816" spans="7:20" ht="14.4" x14ac:dyDescent="0.25">
      <c r="G816" s="10">
        <v>3056</v>
      </c>
      <c r="H816" s="9">
        <v>21892</v>
      </c>
      <c r="I816" s="14">
        <f>DATE(2012,12,31)-911</f>
        <v>40363</v>
      </c>
      <c r="J816" s="15" t="s">
        <v>17</v>
      </c>
      <c r="K816" s="9">
        <v>6</v>
      </c>
      <c r="L816" s="16" t="s">
        <v>26</v>
      </c>
      <c r="M816" s="16">
        <f t="shared" si="74"/>
        <v>-1.3516196285269051</v>
      </c>
      <c r="N816">
        <f t="shared" si="75"/>
        <v>0</v>
      </c>
      <c r="O816">
        <f t="shared" si="76"/>
        <v>0</v>
      </c>
      <c r="P816">
        <f t="shared" si="73"/>
        <v>3700</v>
      </c>
      <c r="Q816">
        <f t="shared" si="77"/>
        <v>3700</v>
      </c>
      <c r="T816" s="16">
        <f t="shared" si="78"/>
        <v>-1.3516196285269055</v>
      </c>
    </row>
    <row r="817" spans="7:20" ht="14.4" x14ac:dyDescent="0.25">
      <c r="G817" s="10">
        <v>3204</v>
      </c>
      <c r="H817" s="9">
        <v>22980</v>
      </c>
      <c r="I817" s="14">
        <f>DATE(2012,12,31)-91</f>
        <v>41183</v>
      </c>
      <c r="J817" s="15" t="s">
        <v>28</v>
      </c>
      <c r="K817" s="9">
        <v>17</v>
      </c>
      <c r="L817" s="16" t="s">
        <v>26</v>
      </c>
      <c r="M817" s="16">
        <f t="shared" si="74"/>
        <v>-0.59196208571546938</v>
      </c>
      <c r="N817">
        <f t="shared" si="75"/>
        <v>0</v>
      </c>
      <c r="O817">
        <f t="shared" si="76"/>
        <v>0</v>
      </c>
      <c r="P817">
        <f t="shared" si="73"/>
        <v>4250</v>
      </c>
      <c r="Q817">
        <f t="shared" si="77"/>
        <v>4250</v>
      </c>
      <c r="T817" s="16">
        <f t="shared" si="78"/>
        <v>-0.59196208571546971</v>
      </c>
    </row>
    <row r="818" spans="7:20" ht="14.4" x14ac:dyDescent="0.25">
      <c r="G818" s="10">
        <v>3341</v>
      </c>
      <c r="H818" s="9">
        <v>23907</v>
      </c>
      <c r="I818" s="14">
        <f>DATE(2012,12,31)-536</f>
        <v>40738</v>
      </c>
      <c r="J818" s="15" t="s">
        <v>28</v>
      </c>
      <c r="K818" s="9">
        <v>7</v>
      </c>
      <c r="L818" s="16" t="s">
        <v>27</v>
      </c>
      <c r="M818" s="16">
        <f t="shared" si="74"/>
        <v>-1.2825598519076837</v>
      </c>
      <c r="N818">
        <f t="shared" si="75"/>
        <v>0</v>
      </c>
      <c r="O818">
        <f t="shared" si="76"/>
        <v>0</v>
      </c>
      <c r="P818">
        <f t="shared" si="73"/>
        <v>3750</v>
      </c>
      <c r="Q818">
        <f t="shared" si="77"/>
        <v>3750</v>
      </c>
      <c r="T818" s="16">
        <f t="shared" si="78"/>
        <v>-1.2825598519076842</v>
      </c>
    </row>
    <row r="819" spans="7:20" ht="14.4" x14ac:dyDescent="0.25">
      <c r="G819" s="10">
        <v>3362</v>
      </c>
      <c r="H819" s="9">
        <v>24064</v>
      </c>
      <c r="I819" s="14">
        <f>DATE(2012,12,31)-890</f>
        <v>40384</v>
      </c>
      <c r="J819" s="15" t="s">
        <v>16</v>
      </c>
      <c r="K819" s="9">
        <v>23</v>
      </c>
      <c r="L819" s="16" t="s">
        <v>27</v>
      </c>
      <c r="M819" s="16">
        <f t="shared" si="74"/>
        <v>-0.17760342600014073</v>
      </c>
      <c r="N819">
        <f t="shared" si="75"/>
        <v>0</v>
      </c>
      <c r="O819">
        <f t="shared" si="76"/>
        <v>0</v>
      </c>
      <c r="P819">
        <f t="shared" si="73"/>
        <v>4550</v>
      </c>
      <c r="Q819">
        <f t="shared" si="77"/>
        <v>4550</v>
      </c>
      <c r="T819" s="16">
        <f t="shared" si="78"/>
        <v>-0.17760342600014112</v>
      </c>
    </row>
    <row r="820" spans="7:20" ht="14.4" x14ac:dyDescent="0.25">
      <c r="G820" s="10">
        <v>3382</v>
      </c>
      <c r="H820" s="9">
        <v>24132</v>
      </c>
      <c r="I820" s="14">
        <f t="shared" ref="I820:I825" si="79">DATE(2012,12,31)-1274</f>
        <v>40000</v>
      </c>
      <c r="J820" s="15" t="s">
        <v>25</v>
      </c>
      <c r="K820" s="9">
        <v>4</v>
      </c>
      <c r="L820" s="16" t="s">
        <v>26</v>
      </c>
      <c r="M820" s="16">
        <f t="shared" si="74"/>
        <v>-1.489739181765348</v>
      </c>
      <c r="N820">
        <f t="shared" si="75"/>
        <v>0</v>
      </c>
      <c r="O820">
        <f t="shared" si="76"/>
        <v>0</v>
      </c>
      <c r="P820">
        <f t="shared" si="73"/>
        <v>3600</v>
      </c>
      <c r="Q820">
        <f t="shared" si="77"/>
        <v>3600</v>
      </c>
      <c r="T820" s="16">
        <f t="shared" si="78"/>
        <v>-1.4897391817653485</v>
      </c>
    </row>
    <row r="821" spans="7:20" ht="14.4" x14ac:dyDescent="0.25">
      <c r="G821" s="10">
        <v>3383</v>
      </c>
      <c r="H821" s="9">
        <v>24132</v>
      </c>
      <c r="I821" s="14">
        <f t="shared" si="79"/>
        <v>40000</v>
      </c>
      <c r="J821" s="15" t="s">
        <v>25</v>
      </c>
      <c r="K821" s="9">
        <v>46</v>
      </c>
      <c r="L821" s="16" t="s">
        <v>26</v>
      </c>
      <c r="M821" s="16">
        <f t="shared" si="74"/>
        <v>1.4107714362419523</v>
      </c>
      <c r="N821">
        <f t="shared" si="75"/>
        <v>0</v>
      </c>
      <c r="O821">
        <f t="shared" si="76"/>
        <v>0</v>
      </c>
      <c r="P821">
        <f t="shared" si="73"/>
        <v>5700</v>
      </c>
      <c r="Q821">
        <f t="shared" si="77"/>
        <v>5700</v>
      </c>
      <c r="T821" s="16">
        <f t="shared" si="78"/>
        <v>1.4107714362419519</v>
      </c>
    </row>
    <row r="822" spans="7:20" ht="14.4" x14ac:dyDescent="0.25">
      <c r="G822" s="10">
        <v>3384</v>
      </c>
      <c r="H822" s="9">
        <v>24132</v>
      </c>
      <c r="I822" s="14">
        <f t="shared" si="79"/>
        <v>40000</v>
      </c>
      <c r="J822" s="15" t="s">
        <v>25</v>
      </c>
      <c r="K822" s="9">
        <v>22</v>
      </c>
      <c r="L822" s="16" t="s">
        <v>27</v>
      </c>
      <c r="M822" s="16">
        <f t="shared" si="74"/>
        <v>-0.24666320261936217</v>
      </c>
      <c r="N822">
        <f t="shared" si="75"/>
        <v>0</v>
      </c>
      <c r="O822">
        <f t="shared" si="76"/>
        <v>0</v>
      </c>
      <c r="P822">
        <f t="shared" si="73"/>
        <v>4500</v>
      </c>
      <c r="Q822">
        <f t="shared" si="77"/>
        <v>4500</v>
      </c>
      <c r="T822" s="16">
        <f t="shared" si="78"/>
        <v>-0.24666320261936256</v>
      </c>
    </row>
    <row r="823" spans="7:20" ht="14.4" x14ac:dyDescent="0.25">
      <c r="G823" s="10">
        <v>3385</v>
      </c>
      <c r="H823" s="9">
        <v>24132</v>
      </c>
      <c r="I823" s="14">
        <f t="shared" si="79"/>
        <v>40000</v>
      </c>
      <c r="J823" s="15" t="s">
        <v>25</v>
      </c>
      <c r="K823" s="9">
        <v>31</v>
      </c>
      <c r="L823" s="16" t="s">
        <v>26</v>
      </c>
      <c r="M823" s="16">
        <f t="shared" si="74"/>
        <v>0.37487478695363075</v>
      </c>
      <c r="N823">
        <f t="shared" si="75"/>
        <v>0</v>
      </c>
      <c r="O823">
        <f t="shared" si="76"/>
        <v>0</v>
      </c>
      <c r="P823">
        <f t="shared" si="73"/>
        <v>4950</v>
      </c>
      <c r="Q823">
        <f t="shared" si="77"/>
        <v>4950</v>
      </c>
      <c r="T823" s="16">
        <f t="shared" si="78"/>
        <v>0.37487478695363036</v>
      </c>
    </row>
    <row r="824" spans="7:20" ht="14.4" x14ac:dyDescent="0.25">
      <c r="G824" s="10">
        <v>3386</v>
      </c>
      <c r="H824" s="9">
        <v>24132</v>
      </c>
      <c r="I824" s="14">
        <f t="shared" si="79"/>
        <v>40000</v>
      </c>
      <c r="J824" s="15" t="s">
        <v>25</v>
      </c>
      <c r="K824" s="9">
        <v>12</v>
      </c>
      <c r="L824" s="16" t="s">
        <v>26</v>
      </c>
      <c r="M824" s="16">
        <f t="shared" si="74"/>
        <v>-0.9372609688115765</v>
      </c>
      <c r="N824">
        <f t="shared" si="75"/>
        <v>0</v>
      </c>
      <c r="O824">
        <f t="shared" si="76"/>
        <v>0</v>
      </c>
      <c r="P824">
        <f t="shared" si="73"/>
        <v>4000</v>
      </c>
      <c r="Q824">
        <f t="shared" si="77"/>
        <v>4000</v>
      </c>
      <c r="T824" s="16">
        <f t="shared" si="78"/>
        <v>-0.93726096881157694</v>
      </c>
    </row>
    <row r="825" spans="7:20" ht="14.4" x14ac:dyDescent="0.25">
      <c r="G825" s="10">
        <v>3387</v>
      </c>
      <c r="H825" s="9">
        <v>24132</v>
      </c>
      <c r="I825" s="14">
        <f t="shared" si="79"/>
        <v>40000</v>
      </c>
      <c r="J825" s="15" t="s">
        <v>25</v>
      </c>
      <c r="K825" s="9">
        <v>3</v>
      </c>
      <c r="L825" s="16" t="s">
        <v>26</v>
      </c>
      <c r="M825" s="16">
        <f t="shared" si="74"/>
        <v>-1.5587989583845694</v>
      </c>
      <c r="N825">
        <f t="shared" si="75"/>
        <v>0</v>
      </c>
      <c r="O825">
        <f t="shared" si="76"/>
        <v>0</v>
      </c>
      <c r="P825">
        <f t="shared" si="73"/>
        <v>3550</v>
      </c>
      <c r="Q825">
        <f t="shared" si="77"/>
        <v>3550</v>
      </c>
      <c r="T825" s="16">
        <f t="shared" si="78"/>
        <v>-1.5587989583845698</v>
      </c>
    </row>
    <row r="826" spans="7:20" ht="14.4" x14ac:dyDescent="0.25">
      <c r="G826" s="10">
        <v>3441</v>
      </c>
      <c r="H826" s="9">
        <v>24576</v>
      </c>
      <c r="I826" s="14">
        <f>DATE(2012,12,31)-20</f>
        <v>41254</v>
      </c>
      <c r="J826" s="15" t="s">
        <v>28</v>
      </c>
      <c r="K826" s="9">
        <v>29</v>
      </c>
      <c r="L826" s="16" t="s">
        <v>27</v>
      </c>
      <c r="M826" s="16">
        <f t="shared" si="74"/>
        <v>0.23675523371518786</v>
      </c>
      <c r="N826">
        <f t="shared" si="75"/>
        <v>0</v>
      </c>
      <c r="O826">
        <f t="shared" si="76"/>
        <v>0</v>
      </c>
      <c r="P826">
        <f t="shared" si="73"/>
        <v>4850</v>
      </c>
      <c r="Q826">
        <f t="shared" si="77"/>
        <v>4850</v>
      </c>
      <c r="T826" s="16">
        <f t="shared" si="78"/>
        <v>0.2367552337151875</v>
      </c>
    </row>
    <row r="827" spans="7:20" ht="14.4" x14ac:dyDescent="0.25">
      <c r="G827" s="10">
        <v>3442</v>
      </c>
      <c r="H827" s="9">
        <v>24576</v>
      </c>
      <c r="I827" s="14">
        <f>DATE(2012,12,31)-20</f>
        <v>41254</v>
      </c>
      <c r="J827" s="15" t="s">
        <v>28</v>
      </c>
      <c r="K827" s="9">
        <v>10</v>
      </c>
      <c r="L827" s="16" t="s">
        <v>29</v>
      </c>
      <c r="M827" s="16">
        <f t="shared" si="74"/>
        <v>-1.0753805220500194</v>
      </c>
      <c r="N827">
        <f t="shared" si="75"/>
        <v>0</v>
      </c>
      <c r="O827">
        <f t="shared" si="76"/>
        <v>0</v>
      </c>
      <c r="P827">
        <f t="shared" si="73"/>
        <v>3900</v>
      </c>
      <c r="Q827">
        <f t="shared" si="77"/>
        <v>3900</v>
      </c>
      <c r="T827" s="16">
        <f t="shared" si="78"/>
        <v>-1.0753805220500199</v>
      </c>
    </row>
    <row r="828" spans="7:20" ht="14.4" x14ac:dyDescent="0.25">
      <c r="G828" s="10">
        <v>3541</v>
      </c>
      <c r="H828" s="9">
        <v>25248</v>
      </c>
      <c r="I828" s="14">
        <f>DATE(2012,12,31)-396</f>
        <v>40878</v>
      </c>
      <c r="J828" s="15" t="s">
        <v>16</v>
      </c>
      <c r="K828" s="9">
        <v>33</v>
      </c>
      <c r="L828" s="16" t="s">
        <v>27</v>
      </c>
      <c r="M828" s="16">
        <f t="shared" si="74"/>
        <v>0.51299434019207357</v>
      </c>
      <c r="N828">
        <f t="shared" si="75"/>
        <v>0</v>
      </c>
      <c r="O828">
        <f t="shared" si="76"/>
        <v>0</v>
      </c>
      <c r="P828">
        <f t="shared" si="73"/>
        <v>5050</v>
      </c>
      <c r="Q828">
        <f t="shared" si="77"/>
        <v>5050</v>
      </c>
      <c r="T828" s="16">
        <f t="shared" si="78"/>
        <v>0.51299434019207324</v>
      </c>
    </row>
    <row r="829" spans="7:20" ht="14.4" x14ac:dyDescent="0.25">
      <c r="G829" s="10">
        <v>3542</v>
      </c>
      <c r="H829" s="9">
        <v>25248</v>
      </c>
      <c r="I829" s="14">
        <f>DATE(2012,12,31)-396</f>
        <v>40878</v>
      </c>
      <c r="J829" s="15" t="s">
        <v>16</v>
      </c>
      <c r="K829" s="9">
        <v>26</v>
      </c>
      <c r="L829" s="16" t="s">
        <v>26</v>
      </c>
      <c r="M829" s="16">
        <f t="shared" si="74"/>
        <v>2.9575903857523567E-2</v>
      </c>
      <c r="N829">
        <f t="shared" si="75"/>
        <v>0</v>
      </c>
      <c r="O829">
        <f t="shared" si="76"/>
        <v>0</v>
      </c>
      <c r="P829">
        <f t="shared" si="73"/>
        <v>4700</v>
      </c>
      <c r="Q829">
        <f t="shared" si="77"/>
        <v>4700</v>
      </c>
      <c r="T829" s="16">
        <f t="shared" si="78"/>
        <v>2.9575903857523185E-2</v>
      </c>
    </row>
    <row r="830" spans="7:20" ht="14.4" x14ac:dyDescent="0.25">
      <c r="G830" s="10">
        <v>3573</v>
      </c>
      <c r="H830" s="9">
        <v>25475</v>
      </c>
      <c r="I830" s="14">
        <f>DATE(2012,12,31)-1367</f>
        <v>39907</v>
      </c>
      <c r="J830" s="15" t="s">
        <v>30</v>
      </c>
      <c r="K830" s="9">
        <v>49</v>
      </c>
      <c r="L830" s="16" t="s">
        <v>26</v>
      </c>
      <c r="M830" s="16">
        <f t="shared" si="74"/>
        <v>1.6179507660996166</v>
      </c>
      <c r="N830">
        <f t="shared" si="75"/>
        <v>0</v>
      </c>
      <c r="O830">
        <f t="shared" si="76"/>
        <v>0</v>
      </c>
      <c r="P830">
        <f t="shared" si="73"/>
        <v>5850</v>
      </c>
      <c r="Q830">
        <f t="shared" si="77"/>
        <v>5850</v>
      </c>
      <c r="T830" s="16">
        <f t="shared" si="78"/>
        <v>1.6179507660996162</v>
      </c>
    </row>
    <row r="831" spans="7:20" ht="14.4" x14ac:dyDescent="0.25">
      <c r="G831" s="10">
        <v>3784</v>
      </c>
      <c r="H831" s="9">
        <v>26978</v>
      </c>
      <c r="I831" s="14">
        <f>DATE(2012,12,31)-920</f>
        <v>40354</v>
      </c>
      <c r="J831" s="15" t="s">
        <v>16</v>
      </c>
      <c r="K831" s="9">
        <v>2</v>
      </c>
      <c r="L831" s="16" t="s">
        <v>26</v>
      </c>
      <c r="M831" s="16">
        <f t="shared" si="74"/>
        <v>-1.627858735003791</v>
      </c>
      <c r="N831">
        <f t="shared" si="75"/>
        <v>0</v>
      </c>
      <c r="O831">
        <f t="shared" si="76"/>
        <v>0</v>
      </c>
      <c r="P831">
        <f t="shared" si="73"/>
        <v>3500</v>
      </c>
      <c r="Q831">
        <f t="shared" si="77"/>
        <v>3500</v>
      </c>
      <c r="T831" s="16">
        <f t="shared" si="78"/>
        <v>-1.6278587350037912</v>
      </c>
    </row>
    <row r="832" spans="7:20" ht="14.4" x14ac:dyDescent="0.25">
      <c r="G832" s="10">
        <v>3798</v>
      </c>
      <c r="H832" s="9">
        <v>27105</v>
      </c>
      <c r="I832" s="14">
        <f>DATE(2012,12,31)-684</f>
        <v>40590</v>
      </c>
      <c r="J832" s="15" t="s">
        <v>28</v>
      </c>
      <c r="K832" s="9">
        <v>37</v>
      </c>
      <c r="L832" s="16" t="s">
        <v>26</v>
      </c>
      <c r="M832" s="16">
        <f t="shared" si="74"/>
        <v>0.78923344666895934</v>
      </c>
      <c r="N832">
        <f t="shared" si="75"/>
        <v>0</v>
      </c>
      <c r="O832">
        <f t="shared" si="76"/>
        <v>0</v>
      </c>
      <c r="P832">
        <f t="shared" si="73"/>
        <v>5250</v>
      </c>
      <c r="Q832">
        <f t="shared" si="77"/>
        <v>5250</v>
      </c>
      <c r="T832" s="16">
        <f t="shared" si="78"/>
        <v>0.789233446668959</v>
      </c>
    </row>
    <row r="833" spans="7:20" ht="14.4" x14ac:dyDescent="0.25">
      <c r="G833" s="10">
        <v>3799</v>
      </c>
      <c r="H833" s="9">
        <v>27105</v>
      </c>
      <c r="I833" s="14">
        <f>DATE(2012,12,31)-684</f>
        <v>40590</v>
      </c>
      <c r="J833" s="15" t="s">
        <v>28</v>
      </c>
      <c r="K833" s="9">
        <v>2</v>
      </c>
      <c r="L833" s="16" t="s">
        <v>29</v>
      </c>
      <c r="M833" s="16">
        <f t="shared" si="74"/>
        <v>-1.627858735003791</v>
      </c>
      <c r="N833">
        <f t="shared" si="75"/>
        <v>0</v>
      </c>
      <c r="O833">
        <f t="shared" si="76"/>
        <v>0</v>
      </c>
      <c r="P833">
        <f t="shared" si="73"/>
        <v>3500</v>
      </c>
      <c r="Q833">
        <f t="shared" si="77"/>
        <v>3500</v>
      </c>
      <c r="T833" s="16">
        <f t="shared" si="78"/>
        <v>-1.6278587350037912</v>
      </c>
    </row>
    <row r="834" spans="7:20" ht="14.4" x14ac:dyDescent="0.25">
      <c r="G834" s="10">
        <v>3940</v>
      </c>
      <c r="H834" s="9">
        <v>28068</v>
      </c>
      <c r="I834" s="14">
        <f>DATE(2012,12,31)-858</f>
        <v>40416</v>
      </c>
      <c r="J834" s="15" t="s">
        <v>25</v>
      </c>
      <c r="K834" s="9">
        <v>23</v>
      </c>
      <c r="L834" s="16" t="s">
        <v>27</v>
      </c>
      <c r="M834" s="16">
        <f t="shared" si="74"/>
        <v>-0.17760342600014073</v>
      </c>
      <c r="N834">
        <f t="shared" si="75"/>
        <v>0</v>
      </c>
      <c r="O834">
        <f t="shared" si="76"/>
        <v>0</v>
      </c>
      <c r="P834">
        <f t="shared" si="73"/>
        <v>4550</v>
      </c>
      <c r="Q834">
        <f t="shared" si="77"/>
        <v>4550</v>
      </c>
      <c r="T834" s="16">
        <f t="shared" si="78"/>
        <v>-0.17760342600014112</v>
      </c>
    </row>
    <row r="835" spans="7:20" ht="14.4" x14ac:dyDescent="0.25">
      <c r="G835" s="10">
        <v>4032</v>
      </c>
      <c r="H835" s="9">
        <v>28802</v>
      </c>
      <c r="I835" s="14">
        <f>DATE(2012,12,31)-788</f>
        <v>40486</v>
      </c>
      <c r="J835" s="15" t="s">
        <v>17</v>
      </c>
      <c r="K835" s="9">
        <v>23</v>
      </c>
      <c r="L835" s="16" t="s">
        <v>29</v>
      </c>
      <c r="M835" s="16">
        <f t="shared" si="74"/>
        <v>-0.17760342600014073</v>
      </c>
      <c r="N835">
        <f t="shared" si="75"/>
        <v>0</v>
      </c>
      <c r="O835">
        <f t="shared" si="76"/>
        <v>0</v>
      </c>
      <c r="P835">
        <f t="shared" si="73"/>
        <v>4550</v>
      </c>
      <c r="Q835">
        <f t="shared" si="77"/>
        <v>4550</v>
      </c>
      <c r="T835" s="16">
        <f t="shared" si="78"/>
        <v>-0.17760342600014112</v>
      </c>
    </row>
    <row r="836" spans="7:20" ht="14.4" x14ac:dyDescent="0.25">
      <c r="G836" s="10">
        <v>4033</v>
      </c>
      <c r="H836" s="9">
        <v>28802</v>
      </c>
      <c r="I836" s="14">
        <f>DATE(2012,12,31)-788</f>
        <v>40486</v>
      </c>
      <c r="J836" s="15" t="s">
        <v>17</v>
      </c>
      <c r="K836" s="9">
        <v>36</v>
      </c>
      <c r="L836" s="16" t="s">
        <v>26</v>
      </c>
      <c r="M836" s="16">
        <f t="shared" si="74"/>
        <v>0.72017367004973787</v>
      </c>
      <c r="N836">
        <f t="shared" si="75"/>
        <v>0</v>
      </c>
      <c r="O836">
        <f t="shared" si="76"/>
        <v>0</v>
      </c>
      <c r="P836">
        <f t="shared" si="73"/>
        <v>5200</v>
      </c>
      <c r="Q836">
        <f t="shared" si="77"/>
        <v>5200</v>
      </c>
      <c r="T836" s="16">
        <f t="shared" si="78"/>
        <v>0.72017367004973754</v>
      </c>
    </row>
    <row r="837" spans="7:20" ht="14.4" x14ac:dyDescent="0.25">
      <c r="G837" s="10">
        <v>4034</v>
      </c>
      <c r="H837" s="9">
        <v>28802</v>
      </c>
      <c r="I837" s="14">
        <f>DATE(2012,12,31)-788</f>
        <v>40486</v>
      </c>
      <c r="J837" s="15" t="s">
        <v>17</v>
      </c>
      <c r="K837" s="9">
        <v>22</v>
      </c>
      <c r="L837" s="16" t="s">
        <v>27</v>
      </c>
      <c r="M837" s="16">
        <f t="shared" si="74"/>
        <v>-0.24666320261936217</v>
      </c>
      <c r="N837">
        <f t="shared" si="75"/>
        <v>0</v>
      </c>
      <c r="O837">
        <f t="shared" si="76"/>
        <v>0</v>
      </c>
      <c r="P837">
        <f t="shared" si="73"/>
        <v>4500</v>
      </c>
      <c r="Q837">
        <f t="shared" si="77"/>
        <v>4500</v>
      </c>
      <c r="T837" s="16">
        <f t="shared" si="78"/>
        <v>-0.24666320261936256</v>
      </c>
    </row>
    <row r="838" spans="7:20" ht="14.4" x14ac:dyDescent="0.25">
      <c r="G838" s="10">
        <v>4044</v>
      </c>
      <c r="H838" s="9">
        <v>28839</v>
      </c>
      <c r="I838" s="14">
        <f>DATE(2012,12,31)-1343</f>
        <v>39931</v>
      </c>
      <c r="J838" s="15" t="s">
        <v>25</v>
      </c>
      <c r="K838" s="9">
        <v>30</v>
      </c>
      <c r="L838" s="16" t="s">
        <v>26</v>
      </c>
      <c r="M838" s="16">
        <f t="shared" si="74"/>
        <v>0.30581501033440933</v>
      </c>
      <c r="N838">
        <f t="shared" si="75"/>
        <v>0</v>
      </c>
      <c r="O838">
        <f t="shared" si="76"/>
        <v>0</v>
      </c>
      <c r="P838">
        <f t="shared" si="73"/>
        <v>4900</v>
      </c>
      <c r="Q838">
        <f t="shared" si="77"/>
        <v>4900</v>
      </c>
      <c r="T838" s="16">
        <f t="shared" si="78"/>
        <v>0.30581501033440894</v>
      </c>
    </row>
    <row r="839" spans="7:20" ht="14.4" x14ac:dyDescent="0.25">
      <c r="G839" s="10">
        <v>4111</v>
      </c>
      <c r="H839" s="9">
        <v>29252</v>
      </c>
      <c r="I839" s="14">
        <f>DATE(2012,12,31)-1243</f>
        <v>40031</v>
      </c>
      <c r="J839" s="15" t="s">
        <v>25</v>
      </c>
      <c r="K839" s="9">
        <v>9</v>
      </c>
      <c r="L839" s="16" t="s">
        <v>26</v>
      </c>
      <c r="M839" s="16">
        <f t="shared" si="74"/>
        <v>-1.1444402986692408</v>
      </c>
      <c r="N839">
        <f t="shared" si="75"/>
        <v>0</v>
      </c>
      <c r="O839">
        <f t="shared" si="76"/>
        <v>0</v>
      </c>
      <c r="P839">
        <f t="shared" si="73"/>
        <v>3850</v>
      </c>
      <c r="Q839">
        <f t="shared" si="77"/>
        <v>3850</v>
      </c>
      <c r="T839" s="16">
        <f t="shared" si="78"/>
        <v>-1.1444402986692412</v>
      </c>
    </row>
    <row r="840" spans="7:20" ht="14.4" x14ac:dyDescent="0.25">
      <c r="G840" s="10">
        <v>4488</v>
      </c>
      <c r="H840" s="9">
        <v>31941</v>
      </c>
      <c r="I840" s="14">
        <f>DATE(2012,12,31)-1384</f>
        <v>39890</v>
      </c>
      <c r="J840" s="15" t="s">
        <v>16</v>
      </c>
      <c r="K840" s="9">
        <v>32</v>
      </c>
      <c r="L840" s="16" t="s">
        <v>26</v>
      </c>
      <c r="M840" s="16">
        <f t="shared" si="74"/>
        <v>0.44393456357285216</v>
      </c>
      <c r="N840">
        <f t="shared" si="75"/>
        <v>0</v>
      </c>
      <c r="O840">
        <f t="shared" si="76"/>
        <v>0</v>
      </c>
      <c r="P840">
        <f t="shared" si="73"/>
        <v>5000</v>
      </c>
      <c r="Q840">
        <f t="shared" si="77"/>
        <v>5000</v>
      </c>
      <c r="T840" s="16">
        <f t="shared" si="78"/>
        <v>0.44393456357285183</v>
      </c>
    </row>
    <row r="841" spans="7:20" ht="14.4" x14ac:dyDescent="0.25">
      <c r="G841" s="10">
        <v>4489</v>
      </c>
      <c r="H841" s="9">
        <v>31941</v>
      </c>
      <c r="I841" s="14">
        <f>DATE(2012,12,31)-1384</f>
        <v>39890</v>
      </c>
      <c r="J841" s="15" t="s">
        <v>16</v>
      </c>
      <c r="K841" s="9">
        <v>7</v>
      </c>
      <c r="L841" s="16" t="s">
        <v>26</v>
      </c>
      <c r="M841" s="16">
        <f t="shared" si="74"/>
        <v>-1.2825598519076837</v>
      </c>
      <c r="N841">
        <f t="shared" si="75"/>
        <v>0</v>
      </c>
      <c r="O841">
        <f t="shared" si="76"/>
        <v>0</v>
      </c>
      <c r="P841">
        <f t="shared" si="73"/>
        <v>3750</v>
      </c>
      <c r="Q841">
        <f t="shared" si="77"/>
        <v>3750</v>
      </c>
      <c r="T841" s="16">
        <f t="shared" si="78"/>
        <v>-1.2825598519076842</v>
      </c>
    </row>
    <row r="842" spans="7:20" ht="14.4" x14ac:dyDescent="0.25">
      <c r="G842" s="10">
        <v>4555</v>
      </c>
      <c r="H842" s="9">
        <v>32418</v>
      </c>
      <c r="I842" s="14">
        <f>DATE(2012,12,31)-1456</f>
        <v>39818</v>
      </c>
      <c r="J842" s="15" t="s">
        <v>28</v>
      </c>
      <c r="K842" s="9">
        <v>5</v>
      </c>
      <c r="L842" s="16" t="s">
        <v>29</v>
      </c>
      <c r="M842" s="16">
        <f t="shared" si="74"/>
        <v>-1.4206794051461267</v>
      </c>
      <c r="N842">
        <f t="shared" si="75"/>
        <v>0</v>
      </c>
      <c r="O842">
        <f t="shared" si="76"/>
        <v>0</v>
      </c>
      <c r="P842">
        <f t="shared" si="73"/>
        <v>3650</v>
      </c>
      <c r="Q842">
        <f t="shared" si="77"/>
        <v>3650</v>
      </c>
      <c r="T842" s="16">
        <f t="shared" si="78"/>
        <v>-1.4206794051461269</v>
      </c>
    </row>
    <row r="843" spans="7:20" ht="14.4" x14ac:dyDescent="0.25">
      <c r="G843" s="10">
        <v>4813</v>
      </c>
      <c r="H843" s="9">
        <v>34241</v>
      </c>
      <c r="I843" s="14">
        <f>DATE(2012,12,31)-84</f>
        <v>41190</v>
      </c>
      <c r="J843" s="15" t="s">
        <v>25</v>
      </c>
      <c r="K843" s="9">
        <v>4</v>
      </c>
      <c r="L843" s="16" t="s">
        <v>26</v>
      </c>
      <c r="M843" s="16">
        <f t="shared" si="74"/>
        <v>-1.489739181765348</v>
      </c>
      <c r="N843">
        <f t="shared" si="75"/>
        <v>0</v>
      </c>
      <c r="O843">
        <f t="shared" si="76"/>
        <v>0</v>
      </c>
      <c r="P843">
        <f t="shared" si="73"/>
        <v>3600</v>
      </c>
      <c r="Q843">
        <f t="shared" si="77"/>
        <v>3600</v>
      </c>
      <c r="T843" s="16">
        <f t="shared" si="78"/>
        <v>-1.4897391817653485</v>
      </c>
    </row>
    <row r="844" spans="7:20" ht="14.4" x14ac:dyDescent="0.25">
      <c r="G844" s="10">
        <v>4893</v>
      </c>
      <c r="H844" s="9">
        <v>34816</v>
      </c>
      <c r="I844" s="14">
        <f>DATE(2012,12,31)-787</f>
        <v>40487</v>
      </c>
      <c r="J844" s="15" t="s">
        <v>28</v>
      </c>
      <c r="K844" s="9">
        <v>29</v>
      </c>
      <c r="L844" s="16" t="s">
        <v>26</v>
      </c>
      <c r="M844" s="16">
        <f t="shared" si="74"/>
        <v>0.23675523371518786</v>
      </c>
      <c r="N844">
        <f t="shared" si="75"/>
        <v>0</v>
      </c>
      <c r="O844">
        <f t="shared" si="76"/>
        <v>0</v>
      </c>
      <c r="P844">
        <f t="shared" ref="P844:P907" si="80">50*K844+$P$10</f>
        <v>4850</v>
      </c>
      <c r="Q844">
        <f t="shared" si="77"/>
        <v>4850</v>
      </c>
      <c r="T844" s="16">
        <f t="shared" si="78"/>
        <v>0.2367552337151875</v>
      </c>
    </row>
    <row r="845" spans="7:20" ht="14.4" x14ac:dyDescent="0.25">
      <c r="G845" s="10">
        <v>4894</v>
      </c>
      <c r="H845" s="9">
        <v>34816</v>
      </c>
      <c r="I845" s="14">
        <f>DATE(2012,12,31)-787</f>
        <v>40487</v>
      </c>
      <c r="J845" s="15" t="s">
        <v>28</v>
      </c>
      <c r="K845" s="9">
        <v>43</v>
      </c>
      <c r="L845" s="16" t="s">
        <v>26</v>
      </c>
      <c r="M845" s="16">
        <f t="shared" ref="M845:M908" si="81">(K845-$K$4)/$K$7</f>
        <v>1.203592106384288</v>
      </c>
      <c r="N845">
        <f t="shared" ref="N845:N908" si="82">IF(MOD($B$20+G845,1000)=0,1,0)</f>
        <v>0</v>
      </c>
      <c r="O845">
        <f t="shared" ref="O845:O908" si="83">+ROUND(N845*(IF(K845&lt;$K$4,-4.5,10.5)*$P$5),-2)</f>
        <v>0</v>
      </c>
      <c r="P845">
        <f t="shared" si="80"/>
        <v>5550</v>
      </c>
      <c r="Q845">
        <f t="shared" ref="Q845:Q908" si="84">P845+O845</f>
        <v>5550</v>
      </c>
      <c r="T845" s="16">
        <f t="shared" ref="T845:T908" si="85">(Q845-$P$4)/$P$5</f>
        <v>1.2035921063842876</v>
      </c>
    </row>
    <row r="846" spans="7:20" ht="14.4" x14ac:dyDescent="0.25">
      <c r="G846" s="10">
        <v>4917</v>
      </c>
      <c r="H846" s="9">
        <v>35011</v>
      </c>
      <c r="I846" s="14">
        <f>DATE(2012,12,31)-21</f>
        <v>41253</v>
      </c>
      <c r="J846" s="15" t="s">
        <v>28</v>
      </c>
      <c r="K846" s="9">
        <v>14</v>
      </c>
      <c r="L846" s="16" t="s">
        <v>26</v>
      </c>
      <c r="M846" s="16">
        <f t="shared" si="81"/>
        <v>-0.79914141557313367</v>
      </c>
      <c r="N846">
        <f t="shared" si="82"/>
        <v>0</v>
      </c>
      <c r="O846">
        <f t="shared" si="83"/>
        <v>0</v>
      </c>
      <c r="P846">
        <f t="shared" si="80"/>
        <v>4100</v>
      </c>
      <c r="Q846">
        <f t="shared" si="84"/>
        <v>4100</v>
      </c>
      <c r="T846" s="16">
        <f t="shared" si="85"/>
        <v>-0.79914141557313401</v>
      </c>
    </row>
    <row r="847" spans="7:20" ht="14.4" x14ac:dyDescent="0.25">
      <c r="G847" s="10">
        <v>5058</v>
      </c>
      <c r="H847" s="9">
        <v>36068</v>
      </c>
      <c r="I847" s="14">
        <f>DATE(2012,12,31)-1425</f>
        <v>39849</v>
      </c>
      <c r="J847" s="15" t="s">
        <v>30</v>
      </c>
      <c r="K847" s="9">
        <v>23</v>
      </c>
      <c r="L847" s="16" t="s">
        <v>26</v>
      </c>
      <c r="M847" s="16">
        <f t="shared" si="81"/>
        <v>-0.17760342600014073</v>
      </c>
      <c r="N847">
        <f t="shared" si="82"/>
        <v>0</v>
      </c>
      <c r="O847">
        <f t="shared" si="83"/>
        <v>0</v>
      </c>
      <c r="P847">
        <f t="shared" si="80"/>
        <v>4550</v>
      </c>
      <c r="Q847">
        <f t="shared" si="84"/>
        <v>4550</v>
      </c>
      <c r="T847" s="16">
        <f t="shared" si="85"/>
        <v>-0.17760342600014112</v>
      </c>
    </row>
    <row r="848" spans="7:20" ht="14.4" x14ac:dyDescent="0.25">
      <c r="G848" s="10">
        <v>5196</v>
      </c>
      <c r="H848" s="9">
        <v>36930</v>
      </c>
      <c r="I848" s="14">
        <f>DATE(2012,12,31)-460</f>
        <v>40814</v>
      </c>
      <c r="J848" s="15" t="s">
        <v>16</v>
      </c>
      <c r="K848" s="9">
        <v>34</v>
      </c>
      <c r="L848" s="16" t="s">
        <v>27</v>
      </c>
      <c r="M848" s="16">
        <f t="shared" si="81"/>
        <v>0.58205411681129504</v>
      </c>
      <c r="N848">
        <f t="shared" si="82"/>
        <v>0</v>
      </c>
      <c r="O848">
        <f t="shared" si="83"/>
        <v>0</v>
      </c>
      <c r="P848">
        <f t="shared" si="80"/>
        <v>5100</v>
      </c>
      <c r="Q848">
        <f t="shared" si="84"/>
        <v>5100</v>
      </c>
      <c r="T848" s="16">
        <f t="shared" si="85"/>
        <v>0.58205411681129471</v>
      </c>
    </row>
    <row r="849" spans="7:20" ht="14.4" x14ac:dyDescent="0.25">
      <c r="G849" s="10">
        <v>5245</v>
      </c>
      <c r="H849" s="9">
        <v>37315</v>
      </c>
      <c r="I849" s="14">
        <f>DATE(2012,12,31)-209</f>
        <v>41065</v>
      </c>
      <c r="J849" s="15" t="s">
        <v>25</v>
      </c>
      <c r="K849" s="9">
        <v>43</v>
      </c>
      <c r="L849" s="16" t="s">
        <v>26</v>
      </c>
      <c r="M849" s="16">
        <f t="shared" si="81"/>
        <v>1.203592106384288</v>
      </c>
      <c r="N849">
        <f t="shared" si="82"/>
        <v>0</v>
      </c>
      <c r="O849">
        <f t="shared" si="83"/>
        <v>0</v>
      </c>
      <c r="P849">
        <f t="shared" si="80"/>
        <v>5550</v>
      </c>
      <c r="Q849">
        <f t="shared" si="84"/>
        <v>5550</v>
      </c>
      <c r="T849" s="16">
        <f t="shared" si="85"/>
        <v>1.2035921063842876</v>
      </c>
    </row>
    <row r="850" spans="7:20" ht="14.4" x14ac:dyDescent="0.25">
      <c r="G850" s="10">
        <v>5246</v>
      </c>
      <c r="H850" s="9">
        <v>37315</v>
      </c>
      <c r="I850" s="14">
        <f>DATE(2012,12,31)-209</f>
        <v>41065</v>
      </c>
      <c r="J850" s="15" t="s">
        <v>25</v>
      </c>
      <c r="K850" s="9">
        <v>31</v>
      </c>
      <c r="L850" s="16" t="s">
        <v>27</v>
      </c>
      <c r="M850" s="16">
        <f t="shared" si="81"/>
        <v>0.37487478695363075</v>
      </c>
      <c r="N850">
        <f t="shared" si="82"/>
        <v>0</v>
      </c>
      <c r="O850">
        <f t="shared" si="83"/>
        <v>0</v>
      </c>
      <c r="P850">
        <f t="shared" si="80"/>
        <v>4950</v>
      </c>
      <c r="Q850">
        <f t="shared" si="84"/>
        <v>4950</v>
      </c>
      <c r="T850" s="16">
        <f t="shared" si="85"/>
        <v>0.37487478695363036</v>
      </c>
    </row>
    <row r="851" spans="7:20" ht="14.4" x14ac:dyDescent="0.25">
      <c r="G851" s="10">
        <v>5340</v>
      </c>
      <c r="H851" s="9">
        <v>37925</v>
      </c>
      <c r="I851" s="14">
        <f>DATE(2012,12,31)-827</f>
        <v>40447</v>
      </c>
      <c r="J851" s="15" t="s">
        <v>16</v>
      </c>
      <c r="K851" s="9">
        <v>46</v>
      </c>
      <c r="L851" s="16" t="s">
        <v>27</v>
      </c>
      <c r="M851" s="16">
        <f t="shared" si="81"/>
        <v>1.4107714362419523</v>
      </c>
      <c r="N851">
        <f t="shared" si="82"/>
        <v>0</v>
      </c>
      <c r="O851">
        <f t="shared" si="83"/>
        <v>0</v>
      </c>
      <c r="P851">
        <f t="shared" si="80"/>
        <v>5700</v>
      </c>
      <c r="Q851">
        <f t="shared" si="84"/>
        <v>5700</v>
      </c>
      <c r="T851" s="16">
        <f t="shared" si="85"/>
        <v>1.4107714362419519</v>
      </c>
    </row>
    <row r="852" spans="7:20" ht="14.4" x14ac:dyDescent="0.25">
      <c r="G852" s="10">
        <v>5341</v>
      </c>
      <c r="H852" s="9">
        <v>37925</v>
      </c>
      <c r="I852" s="14">
        <f>DATE(2012,12,31)-827</f>
        <v>40447</v>
      </c>
      <c r="J852" s="15" t="s">
        <v>16</v>
      </c>
      <c r="K852" s="9">
        <v>31</v>
      </c>
      <c r="L852" s="16" t="s">
        <v>27</v>
      </c>
      <c r="M852" s="16">
        <f t="shared" si="81"/>
        <v>0.37487478695363075</v>
      </c>
      <c r="N852">
        <f t="shared" si="82"/>
        <v>0</v>
      </c>
      <c r="O852">
        <f t="shared" si="83"/>
        <v>0</v>
      </c>
      <c r="P852">
        <f t="shared" si="80"/>
        <v>4950</v>
      </c>
      <c r="Q852">
        <f t="shared" si="84"/>
        <v>4950</v>
      </c>
      <c r="T852" s="16">
        <f t="shared" si="85"/>
        <v>0.37487478695363036</v>
      </c>
    </row>
    <row r="853" spans="7:20" ht="14.4" x14ac:dyDescent="0.25">
      <c r="G853" s="10">
        <v>5351</v>
      </c>
      <c r="H853" s="9">
        <v>38021</v>
      </c>
      <c r="I853" s="14">
        <f>DATE(2012,12,31)-1440</f>
        <v>39834</v>
      </c>
      <c r="J853" s="15" t="s">
        <v>16</v>
      </c>
      <c r="K853" s="9">
        <v>46</v>
      </c>
      <c r="L853" s="16" t="s">
        <v>26</v>
      </c>
      <c r="M853" s="16">
        <f t="shared" si="81"/>
        <v>1.4107714362419523</v>
      </c>
      <c r="N853">
        <f t="shared" si="82"/>
        <v>0</v>
      </c>
      <c r="O853">
        <f t="shared" si="83"/>
        <v>0</v>
      </c>
      <c r="P853">
        <f t="shared" si="80"/>
        <v>5700</v>
      </c>
      <c r="Q853">
        <f t="shared" si="84"/>
        <v>5700</v>
      </c>
      <c r="T853" s="16">
        <f t="shared" si="85"/>
        <v>1.4107714362419519</v>
      </c>
    </row>
    <row r="854" spans="7:20" ht="14.4" x14ac:dyDescent="0.25">
      <c r="G854" s="10">
        <v>5389</v>
      </c>
      <c r="H854" s="9">
        <v>38336</v>
      </c>
      <c r="I854" s="14">
        <f>DATE(2012,12,31)-87</f>
        <v>41187</v>
      </c>
      <c r="J854" s="15" t="s">
        <v>30</v>
      </c>
      <c r="K854" s="9">
        <v>14</v>
      </c>
      <c r="L854" s="16" t="s">
        <v>26</v>
      </c>
      <c r="M854" s="16">
        <f t="shared" si="81"/>
        <v>-0.79914141557313367</v>
      </c>
      <c r="N854">
        <f t="shared" si="82"/>
        <v>0</v>
      </c>
      <c r="O854">
        <f t="shared" si="83"/>
        <v>0</v>
      </c>
      <c r="P854">
        <f t="shared" si="80"/>
        <v>4100</v>
      </c>
      <c r="Q854">
        <f t="shared" si="84"/>
        <v>4100</v>
      </c>
      <c r="T854" s="16">
        <f t="shared" si="85"/>
        <v>-0.79914141557313401</v>
      </c>
    </row>
    <row r="855" spans="7:20" ht="14.4" x14ac:dyDescent="0.25">
      <c r="G855" s="10">
        <v>5390</v>
      </c>
      <c r="H855" s="9">
        <v>38336</v>
      </c>
      <c r="I855" s="14">
        <f>DATE(2012,12,31)-87</f>
        <v>41187</v>
      </c>
      <c r="J855" s="15" t="s">
        <v>30</v>
      </c>
      <c r="K855" s="9">
        <v>31</v>
      </c>
      <c r="L855" s="16" t="s">
        <v>27</v>
      </c>
      <c r="M855" s="16">
        <f t="shared" si="81"/>
        <v>0.37487478695363075</v>
      </c>
      <c r="N855">
        <f t="shared" si="82"/>
        <v>0</v>
      </c>
      <c r="O855">
        <f t="shared" si="83"/>
        <v>0</v>
      </c>
      <c r="P855">
        <f t="shared" si="80"/>
        <v>4950</v>
      </c>
      <c r="Q855">
        <f t="shared" si="84"/>
        <v>4950</v>
      </c>
      <c r="T855" s="16">
        <f t="shared" si="85"/>
        <v>0.37487478695363036</v>
      </c>
    </row>
    <row r="856" spans="7:20" ht="14.4" x14ac:dyDescent="0.25">
      <c r="G856" s="10">
        <v>5430</v>
      </c>
      <c r="H856" s="9">
        <v>38565</v>
      </c>
      <c r="I856" s="14">
        <f>DATE(2012,12,31)-1377</f>
        <v>39897</v>
      </c>
      <c r="J856" s="15" t="s">
        <v>30</v>
      </c>
      <c r="K856" s="9">
        <v>20</v>
      </c>
      <c r="L856" s="16" t="s">
        <v>29</v>
      </c>
      <c r="M856" s="16">
        <f t="shared" si="81"/>
        <v>-0.38478275585780503</v>
      </c>
      <c r="N856">
        <f t="shared" si="82"/>
        <v>0</v>
      </c>
      <c r="O856">
        <f t="shared" si="83"/>
        <v>0</v>
      </c>
      <c r="P856">
        <f t="shared" si="80"/>
        <v>4400</v>
      </c>
      <c r="Q856">
        <f t="shared" si="84"/>
        <v>4400</v>
      </c>
      <c r="T856" s="16">
        <f t="shared" si="85"/>
        <v>-0.38478275585780541</v>
      </c>
    </row>
    <row r="857" spans="7:20" ht="14.4" x14ac:dyDescent="0.25">
      <c r="G857" s="10">
        <v>5615</v>
      </c>
      <c r="H857" s="9">
        <v>39783</v>
      </c>
      <c r="I857" s="14">
        <f>DATE(2012,12,31)-102</f>
        <v>41172</v>
      </c>
      <c r="J857" s="15" t="s">
        <v>28</v>
      </c>
      <c r="K857" s="9">
        <v>19</v>
      </c>
      <c r="L857" s="16" t="s">
        <v>26</v>
      </c>
      <c r="M857" s="16">
        <f t="shared" si="81"/>
        <v>-0.45384253247702649</v>
      </c>
      <c r="N857">
        <f t="shared" si="82"/>
        <v>0</v>
      </c>
      <c r="O857">
        <f t="shared" si="83"/>
        <v>0</v>
      </c>
      <c r="P857">
        <f t="shared" si="80"/>
        <v>4350</v>
      </c>
      <c r="Q857">
        <f t="shared" si="84"/>
        <v>4350</v>
      </c>
      <c r="T857" s="16">
        <f t="shared" si="85"/>
        <v>-0.45384253247702688</v>
      </c>
    </row>
    <row r="858" spans="7:20" ht="14.4" x14ac:dyDescent="0.25">
      <c r="G858" s="10">
        <v>5616</v>
      </c>
      <c r="H858" s="9">
        <v>39783</v>
      </c>
      <c r="I858" s="14">
        <f>DATE(2012,12,31)-102</f>
        <v>41172</v>
      </c>
      <c r="J858" s="15" t="s">
        <v>28</v>
      </c>
      <c r="K858" s="9">
        <v>31</v>
      </c>
      <c r="L858" s="16" t="s">
        <v>26</v>
      </c>
      <c r="M858" s="16">
        <f t="shared" si="81"/>
        <v>0.37487478695363075</v>
      </c>
      <c r="N858">
        <f t="shared" si="82"/>
        <v>0</v>
      </c>
      <c r="O858">
        <f t="shared" si="83"/>
        <v>0</v>
      </c>
      <c r="P858">
        <f t="shared" si="80"/>
        <v>4950</v>
      </c>
      <c r="Q858">
        <f t="shared" si="84"/>
        <v>4950</v>
      </c>
      <c r="T858" s="16">
        <f t="shared" si="85"/>
        <v>0.37487478695363036</v>
      </c>
    </row>
    <row r="859" spans="7:20" ht="14.4" x14ac:dyDescent="0.25">
      <c r="G859" s="10">
        <v>5617</v>
      </c>
      <c r="H859" s="9">
        <v>39783</v>
      </c>
      <c r="I859" s="14">
        <f>DATE(2012,12,31)-102</f>
        <v>41172</v>
      </c>
      <c r="J859" s="15" t="s">
        <v>28</v>
      </c>
      <c r="K859" s="9">
        <v>29</v>
      </c>
      <c r="L859" s="16" t="s">
        <v>26</v>
      </c>
      <c r="M859" s="16">
        <f t="shared" si="81"/>
        <v>0.23675523371518786</v>
      </c>
      <c r="N859">
        <f t="shared" si="82"/>
        <v>0</v>
      </c>
      <c r="O859">
        <f t="shared" si="83"/>
        <v>0</v>
      </c>
      <c r="P859">
        <f t="shared" si="80"/>
        <v>4850</v>
      </c>
      <c r="Q859">
        <f t="shared" si="84"/>
        <v>4850</v>
      </c>
      <c r="T859" s="16">
        <f t="shared" si="85"/>
        <v>0.2367552337151875</v>
      </c>
    </row>
    <row r="860" spans="7:20" ht="14.4" x14ac:dyDescent="0.25">
      <c r="G860" s="10">
        <v>5997</v>
      </c>
      <c r="H860" s="9">
        <v>42500</v>
      </c>
      <c r="I860" s="14">
        <f>DATE(2012,12,31)-1060</f>
        <v>40214</v>
      </c>
      <c r="J860" s="15" t="s">
        <v>28</v>
      </c>
      <c r="K860" s="9">
        <v>39</v>
      </c>
      <c r="L860" s="16" t="s">
        <v>26</v>
      </c>
      <c r="M860" s="16">
        <f t="shared" si="81"/>
        <v>0.92735299990740228</v>
      </c>
      <c r="N860">
        <f t="shared" si="82"/>
        <v>0</v>
      </c>
      <c r="O860">
        <f t="shared" si="83"/>
        <v>0</v>
      </c>
      <c r="P860">
        <f t="shared" si="80"/>
        <v>5350</v>
      </c>
      <c r="Q860">
        <f t="shared" si="84"/>
        <v>5350</v>
      </c>
      <c r="T860" s="16">
        <f t="shared" si="85"/>
        <v>0.92735299990740183</v>
      </c>
    </row>
    <row r="861" spans="7:20" ht="14.4" x14ac:dyDescent="0.25">
      <c r="G861" s="10">
        <v>5998</v>
      </c>
      <c r="H861" s="9">
        <v>42500</v>
      </c>
      <c r="I861" s="14">
        <f>DATE(2012,12,31)-1060</f>
        <v>40214</v>
      </c>
      <c r="J861" s="15" t="s">
        <v>28</v>
      </c>
      <c r="K861" s="9">
        <v>2</v>
      </c>
      <c r="L861" s="16" t="s">
        <v>26</v>
      </c>
      <c r="M861" s="16">
        <f t="shared" si="81"/>
        <v>-1.627858735003791</v>
      </c>
      <c r="N861">
        <f t="shared" si="82"/>
        <v>0</v>
      </c>
      <c r="O861">
        <f t="shared" si="83"/>
        <v>0</v>
      </c>
      <c r="P861">
        <f t="shared" si="80"/>
        <v>3500</v>
      </c>
      <c r="Q861">
        <f t="shared" si="84"/>
        <v>3500</v>
      </c>
      <c r="T861" s="16">
        <f t="shared" si="85"/>
        <v>-1.6278587350037912</v>
      </c>
    </row>
    <row r="862" spans="7:20" ht="14.4" x14ac:dyDescent="0.25">
      <c r="G862" s="10">
        <v>6233</v>
      </c>
      <c r="H862" s="9">
        <v>44162</v>
      </c>
      <c r="I862" s="14">
        <f>DATE(2012,12,31)-1018</f>
        <v>40256</v>
      </c>
      <c r="J862" s="15" t="s">
        <v>17</v>
      </c>
      <c r="K862" s="9">
        <v>46</v>
      </c>
      <c r="L862" s="16" t="s">
        <v>26</v>
      </c>
      <c r="M862" s="16">
        <f t="shared" si="81"/>
        <v>1.4107714362419523</v>
      </c>
      <c r="N862">
        <f t="shared" si="82"/>
        <v>0</v>
      </c>
      <c r="O862">
        <f t="shared" si="83"/>
        <v>0</v>
      </c>
      <c r="P862">
        <f t="shared" si="80"/>
        <v>5700</v>
      </c>
      <c r="Q862">
        <f t="shared" si="84"/>
        <v>5700</v>
      </c>
      <c r="T862" s="16">
        <f t="shared" si="85"/>
        <v>1.4107714362419519</v>
      </c>
    </row>
    <row r="863" spans="7:20" ht="14.4" x14ac:dyDescent="0.25">
      <c r="G863" s="10">
        <v>6246</v>
      </c>
      <c r="H863" s="9">
        <v>44256</v>
      </c>
      <c r="I863" s="14">
        <f>DATE(2012,12,31)-408</f>
        <v>40866</v>
      </c>
      <c r="J863" s="15" t="s">
        <v>25</v>
      </c>
      <c r="K863" s="9">
        <v>39</v>
      </c>
      <c r="L863" s="16" t="s">
        <v>26</v>
      </c>
      <c r="M863" s="16">
        <f t="shared" si="81"/>
        <v>0.92735299990740228</v>
      </c>
      <c r="N863">
        <f t="shared" si="82"/>
        <v>0</v>
      </c>
      <c r="O863">
        <f t="shared" si="83"/>
        <v>0</v>
      </c>
      <c r="P863">
        <f t="shared" si="80"/>
        <v>5350</v>
      </c>
      <c r="Q863">
        <f t="shared" si="84"/>
        <v>5350</v>
      </c>
      <c r="T863" s="16">
        <f t="shared" si="85"/>
        <v>0.92735299990740183</v>
      </c>
    </row>
    <row r="864" spans="7:20" ht="14.4" x14ac:dyDescent="0.25">
      <c r="G864" s="10">
        <v>6247</v>
      </c>
      <c r="H864" s="9">
        <v>44256</v>
      </c>
      <c r="I864" s="14">
        <f>DATE(2012,12,31)-408</f>
        <v>40866</v>
      </c>
      <c r="J864" s="15" t="s">
        <v>25</v>
      </c>
      <c r="K864" s="9">
        <v>17</v>
      </c>
      <c r="L864" s="16" t="s">
        <v>26</v>
      </c>
      <c r="M864" s="16">
        <f t="shared" si="81"/>
        <v>-0.59196208571546938</v>
      </c>
      <c r="N864">
        <f t="shared" si="82"/>
        <v>0</v>
      </c>
      <c r="O864">
        <f t="shared" si="83"/>
        <v>0</v>
      </c>
      <c r="P864">
        <f t="shared" si="80"/>
        <v>4250</v>
      </c>
      <c r="Q864">
        <f t="shared" si="84"/>
        <v>4250</v>
      </c>
      <c r="T864" s="16">
        <f t="shared" si="85"/>
        <v>-0.59196208571546971</v>
      </c>
    </row>
    <row r="865" spans="7:20" ht="14.4" x14ac:dyDescent="0.25">
      <c r="G865" s="10">
        <v>6248</v>
      </c>
      <c r="H865" s="9">
        <v>44256</v>
      </c>
      <c r="I865" s="14">
        <f>DATE(2012,12,31)-408</f>
        <v>40866</v>
      </c>
      <c r="J865" s="15" t="s">
        <v>25</v>
      </c>
      <c r="K865" s="9">
        <v>49</v>
      </c>
      <c r="L865" s="16" t="s">
        <v>26</v>
      </c>
      <c r="M865" s="16">
        <f t="shared" si="81"/>
        <v>1.6179507660996166</v>
      </c>
      <c r="N865">
        <f t="shared" si="82"/>
        <v>0</v>
      </c>
      <c r="O865">
        <f t="shared" si="83"/>
        <v>0</v>
      </c>
      <c r="P865">
        <f t="shared" si="80"/>
        <v>5850</v>
      </c>
      <c r="Q865">
        <f t="shared" si="84"/>
        <v>5850</v>
      </c>
      <c r="T865" s="16">
        <f t="shared" si="85"/>
        <v>1.6179507660996162</v>
      </c>
    </row>
    <row r="866" spans="7:20" ht="14.4" x14ac:dyDescent="0.25">
      <c r="G866" s="10">
        <v>6261</v>
      </c>
      <c r="H866" s="9">
        <v>44320</v>
      </c>
      <c r="I866" s="14">
        <f>DATE(2012,12,31)-1342</f>
        <v>39932</v>
      </c>
      <c r="J866" s="15" t="s">
        <v>16</v>
      </c>
      <c r="K866" s="9">
        <v>49</v>
      </c>
      <c r="L866" s="16" t="s">
        <v>29</v>
      </c>
      <c r="M866" s="16">
        <f t="shared" si="81"/>
        <v>1.6179507660996166</v>
      </c>
      <c r="N866">
        <f t="shared" si="82"/>
        <v>0</v>
      </c>
      <c r="O866">
        <f t="shared" si="83"/>
        <v>0</v>
      </c>
      <c r="P866">
        <f t="shared" si="80"/>
        <v>5850</v>
      </c>
      <c r="Q866">
        <f t="shared" si="84"/>
        <v>5850</v>
      </c>
      <c r="T866" s="16">
        <f t="shared" si="85"/>
        <v>1.6179507660996162</v>
      </c>
    </row>
    <row r="867" spans="7:20" ht="14.4" x14ac:dyDescent="0.25">
      <c r="G867" s="10">
        <v>6386</v>
      </c>
      <c r="H867" s="9">
        <v>45377</v>
      </c>
      <c r="I867" s="14">
        <f>DATE(2012,12,31)-638</f>
        <v>40636</v>
      </c>
      <c r="J867" s="15" t="s">
        <v>25</v>
      </c>
      <c r="K867" s="9">
        <v>47</v>
      </c>
      <c r="L867" s="16" t="s">
        <v>26</v>
      </c>
      <c r="M867" s="16">
        <f t="shared" si="81"/>
        <v>1.4798312128611737</v>
      </c>
      <c r="N867">
        <f t="shared" si="82"/>
        <v>0</v>
      </c>
      <c r="O867">
        <f t="shared" si="83"/>
        <v>0</v>
      </c>
      <c r="P867">
        <f t="shared" si="80"/>
        <v>5750</v>
      </c>
      <c r="Q867">
        <f t="shared" si="84"/>
        <v>5750</v>
      </c>
      <c r="T867" s="16">
        <f t="shared" si="85"/>
        <v>1.4798312128611733</v>
      </c>
    </row>
    <row r="868" spans="7:20" ht="14.4" x14ac:dyDescent="0.25">
      <c r="G868" s="10">
        <v>6658</v>
      </c>
      <c r="H868" s="9">
        <v>47367</v>
      </c>
      <c r="I868" s="14">
        <f>DATE(2012,12,31)-625</f>
        <v>40649</v>
      </c>
      <c r="J868" s="15" t="s">
        <v>16</v>
      </c>
      <c r="K868" s="9">
        <v>7</v>
      </c>
      <c r="L868" s="16" t="s">
        <v>26</v>
      </c>
      <c r="M868" s="16">
        <f t="shared" si="81"/>
        <v>-1.2825598519076837</v>
      </c>
      <c r="N868">
        <f t="shared" si="82"/>
        <v>0</v>
      </c>
      <c r="O868">
        <f t="shared" si="83"/>
        <v>0</v>
      </c>
      <c r="P868">
        <f t="shared" si="80"/>
        <v>3750</v>
      </c>
      <c r="Q868">
        <f t="shared" si="84"/>
        <v>3750</v>
      </c>
      <c r="T868" s="16">
        <f t="shared" si="85"/>
        <v>-1.2825598519076842</v>
      </c>
    </row>
    <row r="869" spans="7:20" ht="14.4" x14ac:dyDescent="0.25">
      <c r="G869" s="10">
        <v>6659</v>
      </c>
      <c r="H869" s="9">
        <v>47367</v>
      </c>
      <c r="I869" s="14">
        <f>DATE(2012,12,31)-625</f>
        <v>40649</v>
      </c>
      <c r="J869" s="15" t="s">
        <v>16</v>
      </c>
      <c r="K869" s="9">
        <v>6</v>
      </c>
      <c r="L869" s="16" t="s">
        <v>26</v>
      </c>
      <c r="M869" s="16">
        <f t="shared" si="81"/>
        <v>-1.3516196285269051</v>
      </c>
      <c r="N869">
        <f t="shared" si="82"/>
        <v>0</v>
      </c>
      <c r="O869">
        <f t="shared" si="83"/>
        <v>0</v>
      </c>
      <c r="P869">
        <f t="shared" si="80"/>
        <v>3700</v>
      </c>
      <c r="Q869">
        <f t="shared" si="84"/>
        <v>3700</v>
      </c>
      <c r="T869" s="16">
        <f t="shared" si="85"/>
        <v>-1.3516196285269055</v>
      </c>
    </row>
    <row r="870" spans="7:20" ht="14.4" x14ac:dyDescent="0.25">
      <c r="G870" s="10">
        <v>6705</v>
      </c>
      <c r="H870" s="9">
        <v>47750</v>
      </c>
      <c r="I870" s="14">
        <f>DATE(2012,12,31)-930</f>
        <v>40344</v>
      </c>
      <c r="J870" s="15" t="s">
        <v>25</v>
      </c>
      <c r="K870" s="9">
        <v>37</v>
      </c>
      <c r="L870" s="16" t="s">
        <v>26</v>
      </c>
      <c r="M870" s="16">
        <f t="shared" si="81"/>
        <v>0.78923344666895934</v>
      </c>
      <c r="N870">
        <f t="shared" si="82"/>
        <v>0</v>
      </c>
      <c r="O870">
        <f t="shared" si="83"/>
        <v>0</v>
      </c>
      <c r="P870">
        <f t="shared" si="80"/>
        <v>5250</v>
      </c>
      <c r="Q870">
        <f t="shared" si="84"/>
        <v>5250</v>
      </c>
      <c r="T870" s="16">
        <f t="shared" si="85"/>
        <v>0.789233446668959</v>
      </c>
    </row>
    <row r="871" spans="7:20" ht="14.4" x14ac:dyDescent="0.25">
      <c r="G871" s="10">
        <v>6706</v>
      </c>
      <c r="H871" s="9">
        <v>47750</v>
      </c>
      <c r="I871" s="14">
        <f>DATE(2012,12,31)-930</f>
        <v>40344</v>
      </c>
      <c r="J871" s="15" t="s">
        <v>25</v>
      </c>
      <c r="K871" s="9">
        <v>43</v>
      </c>
      <c r="L871" s="16" t="s">
        <v>29</v>
      </c>
      <c r="M871" s="16">
        <f t="shared" si="81"/>
        <v>1.203592106384288</v>
      </c>
      <c r="N871">
        <f t="shared" si="82"/>
        <v>0</v>
      </c>
      <c r="O871">
        <f t="shared" si="83"/>
        <v>0</v>
      </c>
      <c r="P871">
        <f t="shared" si="80"/>
        <v>5550</v>
      </c>
      <c r="Q871">
        <f t="shared" si="84"/>
        <v>5550</v>
      </c>
      <c r="T871" s="16">
        <f t="shared" si="85"/>
        <v>1.2035921063842876</v>
      </c>
    </row>
    <row r="872" spans="7:20" ht="14.4" x14ac:dyDescent="0.25">
      <c r="G872" s="10">
        <v>6791</v>
      </c>
      <c r="H872" s="9">
        <v>48388</v>
      </c>
      <c r="I872" s="14">
        <f>DATE(2012,12,31)-1240</f>
        <v>40034</v>
      </c>
      <c r="J872" s="15" t="s">
        <v>17</v>
      </c>
      <c r="K872" s="9">
        <v>3</v>
      </c>
      <c r="L872" s="16" t="s">
        <v>26</v>
      </c>
      <c r="M872" s="16">
        <f t="shared" si="81"/>
        <v>-1.5587989583845694</v>
      </c>
      <c r="N872">
        <f t="shared" si="82"/>
        <v>0</v>
      </c>
      <c r="O872">
        <f t="shared" si="83"/>
        <v>0</v>
      </c>
      <c r="P872">
        <f t="shared" si="80"/>
        <v>3550</v>
      </c>
      <c r="Q872">
        <f t="shared" si="84"/>
        <v>3550</v>
      </c>
      <c r="T872" s="16">
        <f t="shared" si="85"/>
        <v>-1.5587989583845698</v>
      </c>
    </row>
    <row r="873" spans="7:20" ht="14.4" x14ac:dyDescent="0.25">
      <c r="G873" s="10">
        <v>6882</v>
      </c>
      <c r="H873" s="9">
        <v>49059</v>
      </c>
      <c r="I873" s="14">
        <f>DATE(2012,12,31)-1198</f>
        <v>40076</v>
      </c>
      <c r="J873" s="15" t="s">
        <v>16</v>
      </c>
      <c r="K873" s="9">
        <v>48</v>
      </c>
      <c r="L873" s="16" t="s">
        <v>26</v>
      </c>
      <c r="M873" s="16">
        <f t="shared" si="81"/>
        <v>1.5488909894803951</v>
      </c>
      <c r="N873">
        <f t="shared" si="82"/>
        <v>0</v>
      </c>
      <c r="O873">
        <f t="shared" si="83"/>
        <v>0</v>
      </c>
      <c r="P873">
        <f t="shared" si="80"/>
        <v>5800</v>
      </c>
      <c r="Q873">
        <f t="shared" si="84"/>
        <v>5800</v>
      </c>
      <c r="T873" s="16">
        <f t="shared" si="85"/>
        <v>1.5488909894803948</v>
      </c>
    </row>
    <row r="874" spans="7:20" ht="14.4" x14ac:dyDescent="0.25">
      <c r="G874" s="10">
        <v>6883</v>
      </c>
      <c r="H874" s="9">
        <v>49059</v>
      </c>
      <c r="I874" s="14">
        <f>DATE(2012,12,31)-1198</f>
        <v>40076</v>
      </c>
      <c r="J874" s="15" t="s">
        <v>16</v>
      </c>
      <c r="K874" s="9">
        <v>5</v>
      </c>
      <c r="L874" s="16" t="s">
        <v>26</v>
      </c>
      <c r="M874" s="16">
        <f t="shared" si="81"/>
        <v>-1.4206794051461267</v>
      </c>
      <c r="N874">
        <f t="shared" si="82"/>
        <v>0</v>
      </c>
      <c r="O874">
        <f t="shared" si="83"/>
        <v>0</v>
      </c>
      <c r="P874">
        <f t="shared" si="80"/>
        <v>3650</v>
      </c>
      <c r="Q874">
        <f t="shared" si="84"/>
        <v>3650</v>
      </c>
      <c r="T874" s="16">
        <f t="shared" si="85"/>
        <v>-1.4206794051461269</v>
      </c>
    </row>
    <row r="875" spans="7:20" ht="14.4" x14ac:dyDescent="0.25">
      <c r="G875" s="10">
        <v>6938</v>
      </c>
      <c r="H875" s="9">
        <v>49510</v>
      </c>
      <c r="I875" s="14">
        <f>DATE(2012,12,31)-286</f>
        <v>40988</v>
      </c>
      <c r="J875" s="15" t="s">
        <v>30</v>
      </c>
      <c r="K875" s="9">
        <v>16</v>
      </c>
      <c r="L875" s="16" t="s">
        <v>26</v>
      </c>
      <c r="M875" s="16">
        <f t="shared" si="81"/>
        <v>-0.66102186233469074</v>
      </c>
      <c r="N875">
        <f t="shared" si="82"/>
        <v>0</v>
      </c>
      <c r="O875">
        <f t="shared" si="83"/>
        <v>0</v>
      </c>
      <c r="P875">
        <f t="shared" si="80"/>
        <v>4200</v>
      </c>
      <c r="Q875">
        <f t="shared" si="84"/>
        <v>4200</v>
      </c>
      <c r="T875" s="16">
        <f t="shared" si="85"/>
        <v>-0.66102186233469118</v>
      </c>
    </row>
    <row r="876" spans="7:20" ht="14.4" x14ac:dyDescent="0.25">
      <c r="G876" s="10">
        <v>6949</v>
      </c>
      <c r="H876" s="9">
        <v>49634</v>
      </c>
      <c r="I876" s="14">
        <f>DATE(2012,12,31)-283</f>
        <v>40991</v>
      </c>
      <c r="J876" s="15" t="s">
        <v>28</v>
      </c>
      <c r="K876" s="9">
        <v>45</v>
      </c>
      <c r="L876" s="16" t="s">
        <v>26</v>
      </c>
      <c r="M876" s="16">
        <f t="shared" si="81"/>
        <v>1.3417116596227308</v>
      </c>
      <c r="N876">
        <f t="shared" si="82"/>
        <v>0</v>
      </c>
      <c r="O876">
        <f t="shared" si="83"/>
        <v>0</v>
      </c>
      <c r="P876">
        <f t="shared" si="80"/>
        <v>5650</v>
      </c>
      <c r="Q876">
        <f t="shared" si="84"/>
        <v>5650</v>
      </c>
      <c r="T876" s="16">
        <f t="shared" si="85"/>
        <v>1.3417116596227305</v>
      </c>
    </row>
    <row r="877" spans="7:20" ht="14.4" x14ac:dyDescent="0.25">
      <c r="G877" s="10">
        <v>7035</v>
      </c>
      <c r="H877" s="9">
        <v>50210</v>
      </c>
      <c r="I877" s="14">
        <f>DATE(2012,12,31)-896</f>
        <v>40378</v>
      </c>
      <c r="J877" s="15" t="s">
        <v>25</v>
      </c>
      <c r="K877" s="9">
        <v>47</v>
      </c>
      <c r="L877" s="16" t="s">
        <v>26</v>
      </c>
      <c r="M877" s="16">
        <f t="shared" si="81"/>
        <v>1.4798312128611737</v>
      </c>
      <c r="N877">
        <f t="shared" si="82"/>
        <v>0</v>
      </c>
      <c r="O877">
        <f t="shared" si="83"/>
        <v>0</v>
      </c>
      <c r="P877">
        <f t="shared" si="80"/>
        <v>5750</v>
      </c>
      <c r="Q877">
        <f t="shared" si="84"/>
        <v>5750</v>
      </c>
      <c r="T877" s="16">
        <f t="shared" si="85"/>
        <v>1.4798312128611733</v>
      </c>
    </row>
    <row r="878" spans="7:20" ht="14.4" x14ac:dyDescent="0.25">
      <c r="G878" s="10">
        <v>7036</v>
      </c>
      <c r="H878" s="9">
        <v>50210</v>
      </c>
      <c r="I878" s="14">
        <f>DATE(2012,12,31)-896</f>
        <v>40378</v>
      </c>
      <c r="J878" s="15" t="s">
        <v>25</v>
      </c>
      <c r="K878" s="9">
        <v>15</v>
      </c>
      <c r="L878" s="16" t="s">
        <v>26</v>
      </c>
      <c r="M878" s="16">
        <f t="shared" si="81"/>
        <v>-0.7300816389539122</v>
      </c>
      <c r="N878">
        <f t="shared" si="82"/>
        <v>0</v>
      </c>
      <c r="O878">
        <f t="shared" si="83"/>
        <v>0</v>
      </c>
      <c r="P878">
        <f t="shared" si="80"/>
        <v>4150</v>
      </c>
      <c r="Q878">
        <f t="shared" si="84"/>
        <v>4150</v>
      </c>
      <c r="T878" s="16">
        <f t="shared" si="85"/>
        <v>-0.73008163895391265</v>
      </c>
    </row>
    <row r="879" spans="7:20" ht="14.4" x14ac:dyDescent="0.25">
      <c r="G879" s="10">
        <v>7079</v>
      </c>
      <c r="H879" s="9">
        <v>50503</v>
      </c>
      <c r="I879" s="14">
        <f>DATE(2012,12,31)-40</f>
        <v>41234</v>
      </c>
      <c r="J879" s="15" t="s">
        <v>16</v>
      </c>
      <c r="K879" s="9">
        <v>28</v>
      </c>
      <c r="L879" s="16" t="s">
        <v>27</v>
      </c>
      <c r="M879" s="16">
        <f t="shared" si="81"/>
        <v>0.16769545709596645</v>
      </c>
      <c r="N879">
        <f t="shared" si="82"/>
        <v>0</v>
      </c>
      <c r="O879">
        <f t="shared" si="83"/>
        <v>0</v>
      </c>
      <c r="P879">
        <f t="shared" si="80"/>
        <v>4800</v>
      </c>
      <c r="Q879">
        <f t="shared" si="84"/>
        <v>4800</v>
      </c>
      <c r="T879" s="16">
        <f t="shared" si="85"/>
        <v>0.16769545709596606</v>
      </c>
    </row>
    <row r="880" spans="7:20" ht="14.4" x14ac:dyDescent="0.25">
      <c r="G880" s="10">
        <v>7120</v>
      </c>
      <c r="H880" s="9">
        <v>50816</v>
      </c>
      <c r="I880" s="14">
        <f>DATE(2012,12,31)-1375</f>
        <v>39899</v>
      </c>
      <c r="J880" s="15" t="s">
        <v>17</v>
      </c>
      <c r="K880" s="9">
        <v>25</v>
      </c>
      <c r="L880" s="16" t="s">
        <v>26</v>
      </c>
      <c r="M880" s="16">
        <f t="shared" si="81"/>
        <v>-3.9483872761697868E-2</v>
      </c>
      <c r="N880">
        <f t="shared" si="82"/>
        <v>0</v>
      </c>
      <c r="O880">
        <f t="shared" si="83"/>
        <v>0</v>
      </c>
      <c r="P880">
        <f t="shared" si="80"/>
        <v>4650</v>
      </c>
      <c r="Q880">
        <f t="shared" si="84"/>
        <v>4650</v>
      </c>
      <c r="T880" s="16">
        <f t="shared" si="85"/>
        <v>-3.9483872761698249E-2</v>
      </c>
    </row>
    <row r="881" spans="7:20" ht="14.4" x14ac:dyDescent="0.25">
      <c r="G881" s="10">
        <v>7121</v>
      </c>
      <c r="H881" s="9">
        <v>50816</v>
      </c>
      <c r="I881" s="14">
        <f>DATE(2012,12,31)-1375</f>
        <v>39899</v>
      </c>
      <c r="J881" s="15" t="s">
        <v>17</v>
      </c>
      <c r="K881" s="9">
        <v>26</v>
      </c>
      <c r="L881" s="16" t="s">
        <v>26</v>
      </c>
      <c r="M881" s="16">
        <f t="shared" si="81"/>
        <v>2.9575903857523567E-2</v>
      </c>
      <c r="N881">
        <f t="shared" si="82"/>
        <v>0</v>
      </c>
      <c r="O881">
        <f t="shared" si="83"/>
        <v>0</v>
      </c>
      <c r="P881">
        <f t="shared" si="80"/>
        <v>4700</v>
      </c>
      <c r="Q881">
        <f t="shared" si="84"/>
        <v>4700</v>
      </c>
      <c r="T881" s="16">
        <f t="shared" si="85"/>
        <v>2.9575903857523185E-2</v>
      </c>
    </row>
    <row r="882" spans="7:20" ht="14.4" x14ac:dyDescent="0.25">
      <c r="G882" s="10">
        <v>7122</v>
      </c>
      <c r="H882" s="9">
        <v>50816</v>
      </c>
      <c r="I882" s="14">
        <f>DATE(2012,12,31)-1375</f>
        <v>39899</v>
      </c>
      <c r="J882" s="15" t="s">
        <v>17</v>
      </c>
      <c r="K882" s="9">
        <v>6</v>
      </c>
      <c r="L882" s="16" t="s">
        <v>27</v>
      </c>
      <c r="M882" s="16">
        <f t="shared" si="81"/>
        <v>-1.3516196285269051</v>
      </c>
      <c r="N882">
        <f t="shared" si="82"/>
        <v>0</v>
      </c>
      <c r="O882">
        <f t="shared" si="83"/>
        <v>0</v>
      </c>
      <c r="P882">
        <f t="shared" si="80"/>
        <v>3700</v>
      </c>
      <c r="Q882">
        <f t="shared" si="84"/>
        <v>3700</v>
      </c>
      <c r="T882" s="16">
        <f t="shared" si="85"/>
        <v>-1.3516196285269055</v>
      </c>
    </row>
    <row r="883" spans="7:20" ht="14.4" x14ac:dyDescent="0.25">
      <c r="G883" s="10">
        <v>7159</v>
      </c>
      <c r="H883" s="9">
        <v>51073</v>
      </c>
      <c r="I883" s="14">
        <f>DATE(2012,12,31)-962</f>
        <v>40312</v>
      </c>
      <c r="J883" s="15" t="s">
        <v>28</v>
      </c>
      <c r="K883" s="9">
        <v>17</v>
      </c>
      <c r="L883" s="16" t="s">
        <v>29</v>
      </c>
      <c r="M883" s="16">
        <f t="shared" si="81"/>
        <v>-0.59196208571546938</v>
      </c>
      <c r="N883">
        <f t="shared" si="82"/>
        <v>0</v>
      </c>
      <c r="O883">
        <f t="shared" si="83"/>
        <v>0</v>
      </c>
      <c r="P883">
        <f t="shared" si="80"/>
        <v>4250</v>
      </c>
      <c r="Q883">
        <f t="shared" si="84"/>
        <v>4250</v>
      </c>
      <c r="T883" s="16">
        <f t="shared" si="85"/>
        <v>-0.59196208571546971</v>
      </c>
    </row>
    <row r="884" spans="7:20" ht="14.4" x14ac:dyDescent="0.25">
      <c r="G884" s="10">
        <v>7160</v>
      </c>
      <c r="H884" s="9">
        <v>51073</v>
      </c>
      <c r="I884" s="14">
        <f>DATE(2012,12,31)-962</f>
        <v>40312</v>
      </c>
      <c r="J884" s="15" t="s">
        <v>28</v>
      </c>
      <c r="K884" s="9">
        <v>49</v>
      </c>
      <c r="L884" s="16" t="s">
        <v>29</v>
      </c>
      <c r="M884" s="16">
        <f t="shared" si="81"/>
        <v>1.6179507660996166</v>
      </c>
      <c r="N884">
        <f t="shared" si="82"/>
        <v>0</v>
      </c>
      <c r="O884">
        <f t="shared" si="83"/>
        <v>0</v>
      </c>
      <c r="P884">
        <f t="shared" si="80"/>
        <v>5850</v>
      </c>
      <c r="Q884">
        <f t="shared" si="84"/>
        <v>5850</v>
      </c>
      <c r="T884" s="16">
        <f t="shared" si="85"/>
        <v>1.6179507660996162</v>
      </c>
    </row>
    <row r="885" spans="7:20" ht="14.4" x14ac:dyDescent="0.25">
      <c r="G885" s="10">
        <v>7235</v>
      </c>
      <c r="H885" s="9">
        <v>51584</v>
      </c>
      <c r="I885" s="14">
        <f>DATE(2012,12,31)-806</f>
        <v>40468</v>
      </c>
      <c r="J885" s="15" t="s">
        <v>30</v>
      </c>
      <c r="K885" s="9">
        <v>48</v>
      </c>
      <c r="L885" s="16" t="s">
        <v>29</v>
      </c>
      <c r="M885" s="16">
        <f t="shared" si="81"/>
        <v>1.5488909894803951</v>
      </c>
      <c r="N885">
        <f t="shared" si="82"/>
        <v>0</v>
      </c>
      <c r="O885">
        <f t="shared" si="83"/>
        <v>0</v>
      </c>
      <c r="P885">
        <f t="shared" si="80"/>
        <v>5800</v>
      </c>
      <c r="Q885">
        <f t="shared" si="84"/>
        <v>5800</v>
      </c>
      <c r="T885" s="16">
        <f t="shared" si="85"/>
        <v>1.5488909894803948</v>
      </c>
    </row>
    <row r="886" spans="7:20" ht="14.4" x14ac:dyDescent="0.25">
      <c r="G886" s="10">
        <v>7273</v>
      </c>
      <c r="H886" s="9">
        <v>51879</v>
      </c>
      <c r="I886" s="14">
        <f>DATE(2012,12,31)-860</f>
        <v>40414</v>
      </c>
      <c r="J886" s="15" t="s">
        <v>28</v>
      </c>
      <c r="K886" s="9">
        <v>26</v>
      </c>
      <c r="L886" s="16" t="s">
        <v>29</v>
      </c>
      <c r="M886" s="16">
        <f t="shared" si="81"/>
        <v>2.9575903857523567E-2</v>
      </c>
      <c r="N886">
        <f t="shared" si="82"/>
        <v>0</v>
      </c>
      <c r="O886">
        <f t="shared" si="83"/>
        <v>0</v>
      </c>
      <c r="P886">
        <f t="shared" si="80"/>
        <v>4700</v>
      </c>
      <c r="Q886">
        <f t="shared" si="84"/>
        <v>4700</v>
      </c>
      <c r="T886" s="16">
        <f t="shared" si="85"/>
        <v>2.9575903857523185E-2</v>
      </c>
    </row>
    <row r="887" spans="7:20" ht="14.4" x14ac:dyDescent="0.25">
      <c r="G887" s="10">
        <v>7274</v>
      </c>
      <c r="H887" s="9">
        <v>51879</v>
      </c>
      <c r="I887" s="14">
        <f>DATE(2012,12,31)-860</f>
        <v>40414</v>
      </c>
      <c r="J887" s="15" t="s">
        <v>28</v>
      </c>
      <c r="K887" s="9">
        <v>46</v>
      </c>
      <c r="L887" s="16" t="s">
        <v>26</v>
      </c>
      <c r="M887" s="16">
        <f t="shared" si="81"/>
        <v>1.4107714362419523</v>
      </c>
      <c r="N887">
        <f t="shared" si="82"/>
        <v>0</v>
      </c>
      <c r="O887">
        <f t="shared" si="83"/>
        <v>0</v>
      </c>
      <c r="P887">
        <f t="shared" si="80"/>
        <v>5700</v>
      </c>
      <c r="Q887">
        <f t="shared" si="84"/>
        <v>5700</v>
      </c>
      <c r="T887" s="16">
        <f t="shared" si="85"/>
        <v>1.4107714362419519</v>
      </c>
    </row>
    <row r="888" spans="7:20" ht="14.4" x14ac:dyDescent="0.25">
      <c r="G888" s="10">
        <v>7335</v>
      </c>
      <c r="H888" s="9">
        <v>52288</v>
      </c>
      <c r="I888" s="14">
        <f>DATE(2012,12,31)-509</f>
        <v>40765</v>
      </c>
      <c r="J888" s="15" t="s">
        <v>17</v>
      </c>
      <c r="K888" s="9">
        <v>19</v>
      </c>
      <c r="L888" s="16" t="s">
        <v>29</v>
      </c>
      <c r="M888" s="16">
        <f t="shared" si="81"/>
        <v>-0.45384253247702649</v>
      </c>
      <c r="N888">
        <f t="shared" si="82"/>
        <v>0</v>
      </c>
      <c r="O888">
        <f t="shared" si="83"/>
        <v>0</v>
      </c>
      <c r="P888">
        <f t="shared" si="80"/>
        <v>4350</v>
      </c>
      <c r="Q888">
        <f t="shared" si="84"/>
        <v>4350</v>
      </c>
      <c r="T888" s="16">
        <f t="shared" si="85"/>
        <v>-0.45384253247702688</v>
      </c>
    </row>
    <row r="889" spans="7:20" ht="14.4" x14ac:dyDescent="0.25">
      <c r="G889" s="10">
        <v>7456</v>
      </c>
      <c r="H889" s="9">
        <v>53190</v>
      </c>
      <c r="I889" s="14">
        <f>DATE(2012,12,31)-1194</f>
        <v>40080</v>
      </c>
      <c r="J889" s="15" t="s">
        <v>16</v>
      </c>
      <c r="K889" s="9">
        <v>10</v>
      </c>
      <c r="L889" s="16" t="s">
        <v>26</v>
      </c>
      <c r="M889" s="16">
        <f t="shared" si="81"/>
        <v>-1.0753805220500194</v>
      </c>
      <c r="N889">
        <f t="shared" si="82"/>
        <v>0</v>
      </c>
      <c r="O889">
        <f t="shared" si="83"/>
        <v>0</v>
      </c>
      <c r="P889">
        <f t="shared" si="80"/>
        <v>3900</v>
      </c>
      <c r="Q889">
        <f t="shared" si="84"/>
        <v>3900</v>
      </c>
      <c r="T889" s="16">
        <f t="shared" si="85"/>
        <v>-1.0753805220500199</v>
      </c>
    </row>
    <row r="890" spans="7:20" ht="14.4" x14ac:dyDescent="0.25">
      <c r="G890" s="10">
        <v>7457</v>
      </c>
      <c r="H890" s="9">
        <v>53190</v>
      </c>
      <c r="I890" s="14">
        <f>DATE(2012,12,31)-1194</f>
        <v>40080</v>
      </c>
      <c r="J890" s="15" t="s">
        <v>16</v>
      </c>
      <c r="K890" s="9">
        <v>9</v>
      </c>
      <c r="L890" s="16" t="s">
        <v>27</v>
      </c>
      <c r="M890" s="16">
        <f t="shared" si="81"/>
        <v>-1.1444402986692408</v>
      </c>
      <c r="N890">
        <f t="shared" si="82"/>
        <v>0</v>
      </c>
      <c r="O890">
        <f t="shared" si="83"/>
        <v>0</v>
      </c>
      <c r="P890">
        <f t="shared" si="80"/>
        <v>3850</v>
      </c>
      <c r="Q890">
        <f t="shared" si="84"/>
        <v>3850</v>
      </c>
      <c r="T890" s="16">
        <f t="shared" si="85"/>
        <v>-1.1444402986692412</v>
      </c>
    </row>
    <row r="891" spans="7:20" ht="14.4" x14ac:dyDescent="0.25">
      <c r="G891" s="10">
        <v>7502</v>
      </c>
      <c r="H891" s="9">
        <v>53536</v>
      </c>
      <c r="I891" s="14">
        <f>DATE(2012,12,31)-62</f>
        <v>41212</v>
      </c>
      <c r="J891" s="15" t="s">
        <v>17</v>
      </c>
      <c r="K891" s="9">
        <v>35</v>
      </c>
      <c r="L891" s="16" t="s">
        <v>29</v>
      </c>
      <c r="M891" s="16">
        <f t="shared" si="81"/>
        <v>0.65111389343051651</v>
      </c>
      <c r="N891">
        <f t="shared" si="82"/>
        <v>0</v>
      </c>
      <c r="O891">
        <f t="shared" si="83"/>
        <v>0</v>
      </c>
      <c r="P891">
        <f t="shared" si="80"/>
        <v>5150</v>
      </c>
      <c r="Q891">
        <f t="shared" si="84"/>
        <v>5150</v>
      </c>
      <c r="T891" s="16">
        <f t="shared" si="85"/>
        <v>0.65111389343051607</v>
      </c>
    </row>
    <row r="892" spans="7:20" ht="14.4" x14ac:dyDescent="0.25">
      <c r="G892" s="10">
        <v>7503</v>
      </c>
      <c r="H892" s="9">
        <v>53536</v>
      </c>
      <c r="I892" s="14">
        <f>DATE(2012,12,31)-62</f>
        <v>41212</v>
      </c>
      <c r="J892" s="15" t="s">
        <v>17</v>
      </c>
      <c r="K892" s="9">
        <v>5</v>
      </c>
      <c r="L892" s="16" t="s">
        <v>29</v>
      </c>
      <c r="M892" s="16">
        <f t="shared" si="81"/>
        <v>-1.4206794051461267</v>
      </c>
      <c r="N892">
        <f t="shared" si="82"/>
        <v>0</v>
      </c>
      <c r="O892">
        <f t="shared" si="83"/>
        <v>0</v>
      </c>
      <c r="P892">
        <f t="shared" si="80"/>
        <v>3650</v>
      </c>
      <c r="Q892">
        <f t="shared" si="84"/>
        <v>3650</v>
      </c>
      <c r="T892" s="16">
        <f t="shared" si="85"/>
        <v>-1.4206794051461269</v>
      </c>
    </row>
    <row r="893" spans="7:20" ht="14.4" x14ac:dyDescent="0.25">
      <c r="G893" s="10">
        <v>7506</v>
      </c>
      <c r="H893" s="9">
        <v>53572</v>
      </c>
      <c r="I893" s="14">
        <f>DATE(2012,12,31)-969</f>
        <v>40305</v>
      </c>
      <c r="J893" s="15" t="s">
        <v>16</v>
      </c>
      <c r="K893" s="9">
        <v>17</v>
      </c>
      <c r="L893" s="16" t="s">
        <v>26</v>
      </c>
      <c r="M893" s="16">
        <f t="shared" si="81"/>
        <v>-0.59196208571546938</v>
      </c>
      <c r="N893">
        <f t="shared" si="82"/>
        <v>0</v>
      </c>
      <c r="O893">
        <f t="shared" si="83"/>
        <v>0</v>
      </c>
      <c r="P893">
        <f t="shared" si="80"/>
        <v>4250</v>
      </c>
      <c r="Q893">
        <f t="shared" si="84"/>
        <v>4250</v>
      </c>
      <c r="T893" s="16">
        <f t="shared" si="85"/>
        <v>-0.59196208571546971</v>
      </c>
    </row>
    <row r="894" spans="7:20" ht="14.4" x14ac:dyDescent="0.25">
      <c r="G894" s="10">
        <v>7533</v>
      </c>
      <c r="H894" s="9">
        <v>53825</v>
      </c>
      <c r="I894" s="14">
        <f>DATE(2012,12,31)-632</f>
        <v>40642</v>
      </c>
      <c r="J894" s="15" t="s">
        <v>25</v>
      </c>
      <c r="K894" s="9">
        <v>36</v>
      </c>
      <c r="L894" s="16" t="s">
        <v>26</v>
      </c>
      <c r="M894" s="16">
        <f t="shared" si="81"/>
        <v>0.72017367004973787</v>
      </c>
      <c r="N894">
        <f t="shared" si="82"/>
        <v>1</v>
      </c>
      <c r="O894">
        <f t="shared" si="83"/>
        <v>7600</v>
      </c>
      <c r="P894">
        <f t="shared" si="80"/>
        <v>5200</v>
      </c>
      <c r="Q894">
        <f t="shared" si="84"/>
        <v>12800</v>
      </c>
      <c r="T894" s="16">
        <f t="shared" si="85"/>
        <v>11.217259716171396</v>
      </c>
    </row>
    <row r="895" spans="7:20" ht="14.4" x14ac:dyDescent="0.25">
      <c r="G895" s="10">
        <v>7534</v>
      </c>
      <c r="H895" s="9">
        <v>53863</v>
      </c>
      <c r="I895" s="14">
        <f>DATE(2012,12,31)-942</f>
        <v>40332</v>
      </c>
      <c r="J895" s="15" t="s">
        <v>17</v>
      </c>
      <c r="K895" s="9">
        <v>46</v>
      </c>
      <c r="L895" s="16" t="s">
        <v>26</v>
      </c>
      <c r="M895" s="16">
        <f t="shared" si="81"/>
        <v>1.4107714362419523</v>
      </c>
      <c r="N895">
        <f t="shared" si="82"/>
        <v>0</v>
      </c>
      <c r="O895">
        <f t="shared" si="83"/>
        <v>0</v>
      </c>
      <c r="P895">
        <f t="shared" si="80"/>
        <v>5700</v>
      </c>
      <c r="Q895">
        <f t="shared" si="84"/>
        <v>5700</v>
      </c>
      <c r="T895" s="16">
        <f t="shared" si="85"/>
        <v>1.4107714362419519</v>
      </c>
    </row>
    <row r="896" spans="7:20" ht="14.4" x14ac:dyDescent="0.25">
      <c r="G896" s="10">
        <v>7565</v>
      </c>
      <c r="H896" s="9">
        <v>54119</v>
      </c>
      <c r="I896" s="14">
        <f>DATE(2012,12,31)-954</f>
        <v>40320</v>
      </c>
      <c r="J896" s="15" t="s">
        <v>16</v>
      </c>
      <c r="K896" s="9">
        <v>45</v>
      </c>
      <c r="L896" s="16" t="s">
        <v>26</v>
      </c>
      <c r="M896" s="16">
        <f t="shared" si="81"/>
        <v>1.3417116596227308</v>
      </c>
      <c r="N896">
        <f t="shared" si="82"/>
        <v>0</v>
      </c>
      <c r="O896">
        <f t="shared" si="83"/>
        <v>0</v>
      </c>
      <c r="P896">
        <f t="shared" si="80"/>
        <v>5650</v>
      </c>
      <c r="Q896">
        <f t="shared" si="84"/>
        <v>5650</v>
      </c>
      <c r="T896" s="16">
        <f t="shared" si="85"/>
        <v>1.3417116596227305</v>
      </c>
    </row>
    <row r="897" spans="7:20" ht="14.4" x14ac:dyDescent="0.25">
      <c r="G897" s="10">
        <v>7566</v>
      </c>
      <c r="H897" s="9">
        <v>54119</v>
      </c>
      <c r="I897" s="14">
        <f>DATE(2012,12,31)-954</f>
        <v>40320</v>
      </c>
      <c r="J897" s="15" t="s">
        <v>16</v>
      </c>
      <c r="K897" s="9">
        <v>4</v>
      </c>
      <c r="L897" s="16" t="s">
        <v>26</v>
      </c>
      <c r="M897" s="16">
        <f t="shared" si="81"/>
        <v>-1.489739181765348</v>
      </c>
      <c r="N897">
        <f t="shared" si="82"/>
        <v>0</v>
      </c>
      <c r="O897">
        <f t="shared" si="83"/>
        <v>0</v>
      </c>
      <c r="P897">
        <f t="shared" si="80"/>
        <v>3600</v>
      </c>
      <c r="Q897">
        <f t="shared" si="84"/>
        <v>3600</v>
      </c>
      <c r="T897" s="16">
        <f t="shared" si="85"/>
        <v>-1.4897391817653485</v>
      </c>
    </row>
    <row r="898" spans="7:20" ht="14.4" x14ac:dyDescent="0.25">
      <c r="G898" s="10">
        <v>7861</v>
      </c>
      <c r="H898" s="9">
        <v>56224</v>
      </c>
      <c r="I898" s="14">
        <f>DATE(2012,12,31)-67</f>
        <v>41207</v>
      </c>
      <c r="J898" s="15" t="s">
        <v>16</v>
      </c>
      <c r="K898" s="9">
        <v>35</v>
      </c>
      <c r="L898" s="16" t="s">
        <v>26</v>
      </c>
      <c r="M898" s="16">
        <f t="shared" si="81"/>
        <v>0.65111389343051651</v>
      </c>
      <c r="N898">
        <f t="shared" si="82"/>
        <v>0</v>
      </c>
      <c r="O898">
        <f t="shared" si="83"/>
        <v>0</v>
      </c>
      <c r="P898">
        <f t="shared" si="80"/>
        <v>5150</v>
      </c>
      <c r="Q898">
        <f t="shared" si="84"/>
        <v>5150</v>
      </c>
      <c r="T898" s="16">
        <f t="shared" si="85"/>
        <v>0.65111389343051607</v>
      </c>
    </row>
    <row r="899" spans="7:20" ht="14.4" x14ac:dyDescent="0.25">
      <c r="G899" s="10">
        <v>7862</v>
      </c>
      <c r="H899" s="9">
        <v>56224</v>
      </c>
      <c r="I899" s="14">
        <f>DATE(2012,12,31)-67</f>
        <v>41207</v>
      </c>
      <c r="J899" s="15" t="s">
        <v>16</v>
      </c>
      <c r="K899" s="9">
        <v>32</v>
      </c>
      <c r="L899" s="16" t="s">
        <v>29</v>
      </c>
      <c r="M899" s="16">
        <f t="shared" si="81"/>
        <v>0.44393456357285216</v>
      </c>
      <c r="N899">
        <f t="shared" si="82"/>
        <v>0</v>
      </c>
      <c r="O899">
        <f t="shared" si="83"/>
        <v>0</v>
      </c>
      <c r="P899">
        <f t="shared" si="80"/>
        <v>5000</v>
      </c>
      <c r="Q899">
        <f t="shared" si="84"/>
        <v>5000</v>
      </c>
      <c r="T899" s="16">
        <f t="shared" si="85"/>
        <v>0.44393456357285183</v>
      </c>
    </row>
    <row r="900" spans="7:20" ht="14.4" x14ac:dyDescent="0.25">
      <c r="G900" s="10">
        <v>7863</v>
      </c>
      <c r="H900" s="9">
        <v>56224</v>
      </c>
      <c r="I900" s="14">
        <f>DATE(2012,12,31)-67</f>
        <v>41207</v>
      </c>
      <c r="J900" s="15" t="s">
        <v>16</v>
      </c>
      <c r="K900" s="9">
        <v>46</v>
      </c>
      <c r="L900" s="16" t="s">
        <v>26</v>
      </c>
      <c r="M900" s="16">
        <f t="shared" si="81"/>
        <v>1.4107714362419523</v>
      </c>
      <c r="N900">
        <f t="shared" si="82"/>
        <v>0</v>
      </c>
      <c r="O900">
        <f t="shared" si="83"/>
        <v>0</v>
      </c>
      <c r="P900">
        <f t="shared" si="80"/>
        <v>5700</v>
      </c>
      <c r="Q900">
        <f t="shared" si="84"/>
        <v>5700</v>
      </c>
      <c r="T900" s="16">
        <f t="shared" si="85"/>
        <v>1.4107714362419519</v>
      </c>
    </row>
    <row r="901" spans="7:20" ht="14.4" x14ac:dyDescent="0.25">
      <c r="G901" s="10">
        <v>7864</v>
      </c>
      <c r="H901" s="9">
        <v>56224</v>
      </c>
      <c r="I901" s="14">
        <f>DATE(2012,12,31)-67</f>
        <v>41207</v>
      </c>
      <c r="J901" s="15" t="s">
        <v>16</v>
      </c>
      <c r="K901" s="9">
        <v>9</v>
      </c>
      <c r="L901" s="16" t="s">
        <v>29</v>
      </c>
      <c r="M901" s="16">
        <f t="shared" si="81"/>
        <v>-1.1444402986692408</v>
      </c>
      <c r="N901">
        <f t="shared" si="82"/>
        <v>0</v>
      </c>
      <c r="O901">
        <f t="shared" si="83"/>
        <v>0</v>
      </c>
      <c r="P901">
        <f t="shared" si="80"/>
        <v>3850</v>
      </c>
      <c r="Q901">
        <f t="shared" si="84"/>
        <v>3850</v>
      </c>
      <c r="T901" s="16">
        <f t="shared" si="85"/>
        <v>-1.1444402986692412</v>
      </c>
    </row>
    <row r="902" spans="7:20" ht="14.4" x14ac:dyDescent="0.25">
      <c r="G902" s="10">
        <v>7873</v>
      </c>
      <c r="H902" s="9">
        <v>56293</v>
      </c>
      <c r="I902" s="14">
        <f>DATE(2012,12,31)-1091</f>
        <v>40183</v>
      </c>
      <c r="J902" s="15" t="s">
        <v>28</v>
      </c>
      <c r="K902" s="9">
        <v>34</v>
      </c>
      <c r="L902" s="16" t="s">
        <v>29</v>
      </c>
      <c r="M902" s="16">
        <f t="shared" si="81"/>
        <v>0.58205411681129504</v>
      </c>
      <c r="N902">
        <f t="shared" si="82"/>
        <v>0</v>
      </c>
      <c r="O902">
        <f t="shared" si="83"/>
        <v>0</v>
      </c>
      <c r="P902">
        <f t="shared" si="80"/>
        <v>5100</v>
      </c>
      <c r="Q902">
        <f t="shared" si="84"/>
        <v>5100</v>
      </c>
      <c r="T902" s="16">
        <f t="shared" si="85"/>
        <v>0.58205411681129471</v>
      </c>
    </row>
    <row r="903" spans="7:20" ht="14.4" x14ac:dyDescent="0.25">
      <c r="G903" s="10">
        <v>7874</v>
      </c>
      <c r="H903" s="9">
        <v>56293</v>
      </c>
      <c r="I903" s="14">
        <f>DATE(2012,12,31)-1091</f>
        <v>40183</v>
      </c>
      <c r="J903" s="15" t="s">
        <v>28</v>
      </c>
      <c r="K903" s="9">
        <v>44</v>
      </c>
      <c r="L903" s="16" t="s">
        <v>26</v>
      </c>
      <c r="M903" s="16">
        <f t="shared" si="81"/>
        <v>1.2726518830035094</v>
      </c>
      <c r="N903">
        <f t="shared" si="82"/>
        <v>0</v>
      </c>
      <c r="O903">
        <f t="shared" si="83"/>
        <v>0</v>
      </c>
      <c r="P903">
        <f t="shared" si="80"/>
        <v>5600</v>
      </c>
      <c r="Q903">
        <f t="shared" si="84"/>
        <v>5600</v>
      </c>
      <c r="T903" s="16">
        <f t="shared" si="85"/>
        <v>1.272651883003509</v>
      </c>
    </row>
    <row r="904" spans="7:20" ht="14.4" x14ac:dyDescent="0.25">
      <c r="G904" s="10">
        <v>8116</v>
      </c>
      <c r="H904" s="9">
        <v>57959</v>
      </c>
      <c r="I904" s="14">
        <f>DATE(2012,12,31)-367</f>
        <v>40907</v>
      </c>
      <c r="J904" s="15" t="s">
        <v>16</v>
      </c>
      <c r="K904" s="9">
        <v>40</v>
      </c>
      <c r="L904" s="16" t="s">
        <v>26</v>
      </c>
      <c r="M904" s="16">
        <f t="shared" si="81"/>
        <v>0.99641277652662363</v>
      </c>
      <c r="N904">
        <f t="shared" si="82"/>
        <v>0</v>
      </c>
      <c r="O904">
        <f t="shared" si="83"/>
        <v>0</v>
      </c>
      <c r="P904">
        <f t="shared" si="80"/>
        <v>5400</v>
      </c>
      <c r="Q904">
        <f t="shared" si="84"/>
        <v>5400</v>
      </c>
      <c r="T904" s="16">
        <f t="shared" si="85"/>
        <v>0.9964127765266233</v>
      </c>
    </row>
    <row r="905" spans="7:20" ht="14.4" x14ac:dyDescent="0.25">
      <c r="G905" s="10">
        <v>8117</v>
      </c>
      <c r="H905" s="9">
        <v>57959</v>
      </c>
      <c r="I905" s="14">
        <f>DATE(2012,12,31)-367</f>
        <v>40907</v>
      </c>
      <c r="J905" s="15" t="s">
        <v>16</v>
      </c>
      <c r="K905" s="9">
        <v>48</v>
      </c>
      <c r="L905" s="16" t="s">
        <v>27</v>
      </c>
      <c r="M905" s="16">
        <f t="shared" si="81"/>
        <v>1.5488909894803951</v>
      </c>
      <c r="N905">
        <f t="shared" si="82"/>
        <v>0</v>
      </c>
      <c r="O905">
        <f t="shared" si="83"/>
        <v>0</v>
      </c>
      <c r="P905">
        <f t="shared" si="80"/>
        <v>5800</v>
      </c>
      <c r="Q905">
        <f t="shared" si="84"/>
        <v>5800</v>
      </c>
      <c r="T905" s="16">
        <f t="shared" si="85"/>
        <v>1.5488909894803948</v>
      </c>
    </row>
    <row r="906" spans="7:20" ht="14.4" x14ac:dyDescent="0.25">
      <c r="G906" s="10">
        <v>8184</v>
      </c>
      <c r="H906" s="9">
        <v>58500</v>
      </c>
      <c r="I906" s="14">
        <f>DATE(2012,12,31)-686</f>
        <v>40588</v>
      </c>
      <c r="J906" s="15" t="s">
        <v>25</v>
      </c>
      <c r="K906" s="9">
        <v>17</v>
      </c>
      <c r="L906" s="16" t="s">
        <v>27</v>
      </c>
      <c r="M906" s="16">
        <f t="shared" si="81"/>
        <v>-0.59196208571546938</v>
      </c>
      <c r="N906">
        <f t="shared" si="82"/>
        <v>0</v>
      </c>
      <c r="O906">
        <f t="shared" si="83"/>
        <v>0</v>
      </c>
      <c r="P906">
        <f t="shared" si="80"/>
        <v>4250</v>
      </c>
      <c r="Q906">
        <f t="shared" si="84"/>
        <v>4250</v>
      </c>
      <c r="T906" s="16">
        <f t="shared" si="85"/>
        <v>-0.59196208571546971</v>
      </c>
    </row>
    <row r="907" spans="7:20" ht="14.4" x14ac:dyDescent="0.25">
      <c r="G907" s="10">
        <v>8335</v>
      </c>
      <c r="H907" s="9">
        <v>59584</v>
      </c>
      <c r="I907" s="14">
        <f>DATE(2012,12,31)-948</f>
        <v>40326</v>
      </c>
      <c r="J907" s="15" t="s">
        <v>16</v>
      </c>
      <c r="K907" s="9">
        <v>3</v>
      </c>
      <c r="L907" s="16" t="s">
        <v>29</v>
      </c>
      <c r="M907" s="16">
        <f t="shared" si="81"/>
        <v>-1.5587989583845694</v>
      </c>
      <c r="N907">
        <f t="shared" si="82"/>
        <v>0</v>
      </c>
      <c r="O907">
        <f t="shared" si="83"/>
        <v>0</v>
      </c>
      <c r="P907">
        <f t="shared" si="80"/>
        <v>3550</v>
      </c>
      <c r="Q907">
        <f t="shared" si="84"/>
        <v>3550</v>
      </c>
      <c r="T907" s="16">
        <f t="shared" si="85"/>
        <v>-1.5587989583845698</v>
      </c>
    </row>
    <row r="908" spans="7:20" ht="14.4" x14ac:dyDescent="0.25">
      <c r="G908" s="10">
        <v>8336</v>
      </c>
      <c r="H908" s="9">
        <v>59584</v>
      </c>
      <c r="I908" s="14">
        <f>DATE(2012,12,31)-948</f>
        <v>40326</v>
      </c>
      <c r="J908" s="15" t="s">
        <v>16</v>
      </c>
      <c r="K908" s="9">
        <v>7</v>
      </c>
      <c r="L908" s="16" t="s">
        <v>27</v>
      </c>
      <c r="M908" s="16">
        <f t="shared" si="81"/>
        <v>-1.2825598519076837</v>
      </c>
      <c r="N908">
        <f t="shared" si="82"/>
        <v>0</v>
      </c>
      <c r="O908">
        <f t="shared" si="83"/>
        <v>0</v>
      </c>
      <c r="P908">
        <f t="shared" ref="P908:P971" si="86">50*K908+$P$10</f>
        <v>3750</v>
      </c>
      <c r="Q908">
        <f t="shared" si="84"/>
        <v>3750</v>
      </c>
      <c r="T908" s="16">
        <f t="shared" si="85"/>
        <v>-1.2825598519076842</v>
      </c>
    </row>
    <row r="909" spans="7:20" ht="14.4" x14ac:dyDescent="0.25">
      <c r="G909" s="10">
        <v>45</v>
      </c>
      <c r="H909" s="9">
        <v>261</v>
      </c>
      <c r="I909" s="14">
        <f>DATE(2012,12,31)-917</f>
        <v>40357</v>
      </c>
      <c r="J909" s="15" t="s">
        <v>16</v>
      </c>
      <c r="K909" s="9">
        <v>47</v>
      </c>
      <c r="L909" s="16" t="s">
        <v>27</v>
      </c>
      <c r="M909" s="16">
        <f t="shared" ref="M909:M972" si="87">(K909-$K$4)/$K$7</f>
        <v>1.4798312128611737</v>
      </c>
      <c r="N909">
        <f t="shared" ref="N909:N972" si="88">IF(MOD($B$20+G909,1000)=0,1,0)</f>
        <v>0</v>
      </c>
      <c r="O909">
        <f t="shared" ref="O909:O972" si="89">+ROUND(N909*(IF(K909&lt;$K$4,-4.5,10.5)*$P$5),-2)</f>
        <v>0</v>
      </c>
      <c r="P909">
        <f t="shared" si="86"/>
        <v>5750</v>
      </c>
      <c r="Q909">
        <f t="shared" ref="Q909:Q972" si="90">P909+O909</f>
        <v>5750</v>
      </c>
      <c r="T909" s="16">
        <f t="shared" ref="T909:T972" si="91">(Q909-$P$4)/$P$5</f>
        <v>1.4798312128611733</v>
      </c>
    </row>
    <row r="910" spans="7:20" ht="14.4" x14ac:dyDescent="0.25">
      <c r="G910" s="10">
        <v>143</v>
      </c>
      <c r="H910" s="9">
        <v>928</v>
      </c>
      <c r="I910" s="14">
        <f>DATE(2012,12,31)-671</f>
        <v>40603</v>
      </c>
      <c r="J910" s="15" t="s">
        <v>25</v>
      </c>
      <c r="K910" s="9">
        <v>21</v>
      </c>
      <c r="L910" s="16" t="s">
        <v>26</v>
      </c>
      <c r="M910" s="16">
        <f t="shared" si="87"/>
        <v>-0.31572297923858361</v>
      </c>
      <c r="N910">
        <f t="shared" si="88"/>
        <v>0</v>
      </c>
      <c r="O910">
        <f t="shared" si="89"/>
        <v>0</v>
      </c>
      <c r="P910">
        <f t="shared" si="86"/>
        <v>4450</v>
      </c>
      <c r="Q910">
        <f t="shared" si="90"/>
        <v>4450</v>
      </c>
      <c r="T910" s="16">
        <f t="shared" si="91"/>
        <v>-0.315722979238584</v>
      </c>
    </row>
    <row r="911" spans="7:20" ht="14.4" x14ac:dyDescent="0.25">
      <c r="G911" s="10">
        <v>144</v>
      </c>
      <c r="H911" s="9">
        <v>928</v>
      </c>
      <c r="I911" s="14">
        <f>DATE(2012,12,31)-671</f>
        <v>40603</v>
      </c>
      <c r="J911" s="15" t="s">
        <v>25</v>
      </c>
      <c r="K911" s="9">
        <v>26</v>
      </c>
      <c r="L911" s="16" t="s">
        <v>29</v>
      </c>
      <c r="M911" s="16">
        <f t="shared" si="87"/>
        <v>2.9575903857523567E-2</v>
      </c>
      <c r="N911">
        <f t="shared" si="88"/>
        <v>0</v>
      </c>
      <c r="O911">
        <f t="shared" si="89"/>
        <v>0</v>
      </c>
      <c r="P911">
        <f t="shared" si="86"/>
        <v>4700</v>
      </c>
      <c r="Q911">
        <f t="shared" si="90"/>
        <v>4700</v>
      </c>
      <c r="T911" s="16">
        <f t="shared" si="91"/>
        <v>2.9575903857523185E-2</v>
      </c>
    </row>
    <row r="912" spans="7:20" ht="14.4" x14ac:dyDescent="0.25">
      <c r="G912" s="10">
        <v>191</v>
      </c>
      <c r="H912" s="9">
        <v>1282</v>
      </c>
      <c r="I912" s="14">
        <f>DATE(2012,12,31)-308</f>
        <v>40966</v>
      </c>
      <c r="J912" s="15" t="s">
        <v>28</v>
      </c>
      <c r="K912" s="9">
        <v>26</v>
      </c>
      <c r="L912" s="16" t="s">
        <v>27</v>
      </c>
      <c r="M912" s="16">
        <f t="shared" si="87"/>
        <v>2.9575903857523567E-2</v>
      </c>
      <c r="N912">
        <f t="shared" si="88"/>
        <v>0</v>
      </c>
      <c r="O912">
        <f t="shared" si="89"/>
        <v>0</v>
      </c>
      <c r="P912">
        <f t="shared" si="86"/>
        <v>4700</v>
      </c>
      <c r="Q912">
        <f t="shared" si="90"/>
        <v>4700</v>
      </c>
      <c r="T912" s="16">
        <f t="shared" si="91"/>
        <v>2.9575903857523185E-2</v>
      </c>
    </row>
    <row r="913" spans="7:20" ht="14.4" x14ac:dyDescent="0.25">
      <c r="G913" s="10">
        <v>192</v>
      </c>
      <c r="H913" s="9">
        <v>1282</v>
      </c>
      <c r="I913" s="14">
        <f>DATE(2012,12,31)-308</f>
        <v>40966</v>
      </c>
      <c r="J913" s="15" t="s">
        <v>28</v>
      </c>
      <c r="K913" s="9">
        <v>10</v>
      </c>
      <c r="L913" s="16" t="s">
        <v>26</v>
      </c>
      <c r="M913" s="16">
        <f t="shared" si="87"/>
        <v>-1.0753805220500194</v>
      </c>
      <c r="N913">
        <f t="shared" si="88"/>
        <v>0</v>
      </c>
      <c r="O913">
        <f t="shared" si="89"/>
        <v>0</v>
      </c>
      <c r="P913">
        <f t="shared" si="86"/>
        <v>3900</v>
      </c>
      <c r="Q913">
        <f t="shared" si="90"/>
        <v>3900</v>
      </c>
      <c r="T913" s="16">
        <f t="shared" si="91"/>
        <v>-1.0753805220500199</v>
      </c>
    </row>
    <row r="914" spans="7:20" ht="14.4" x14ac:dyDescent="0.25">
      <c r="G914" s="10">
        <v>267</v>
      </c>
      <c r="H914" s="9">
        <v>1856</v>
      </c>
      <c r="I914" s="14">
        <f>DATE(2012,12,31)-287</f>
        <v>40987</v>
      </c>
      <c r="J914" s="15" t="s">
        <v>28</v>
      </c>
      <c r="K914" s="9">
        <v>24</v>
      </c>
      <c r="L914" s="16" t="s">
        <v>26</v>
      </c>
      <c r="M914" s="16">
        <f t="shared" si="87"/>
        <v>-0.1085436493809193</v>
      </c>
      <c r="N914">
        <f t="shared" si="88"/>
        <v>0</v>
      </c>
      <c r="O914">
        <f t="shared" si="89"/>
        <v>0</v>
      </c>
      <c r="P914">
        <f t="shared" si="86"/>
        <v>4600</v>
      </c>
      <c r="Q914">
        <f t="shared" si="90"/>
        <v>4600</v>
      </c>
      <c r="T914" s="16">
        <f t="shared" si="91"/>
        <v>-0.10854364938091969</v>
      </c>
    </row>
    <row r="915" spans="7:20" ht="14.4" x14ac:dyDescent="0.25">
      <c r="G915" s="10">
        <v>268</v>
      </c>
      <c r="H915" s="9">
        <v>1856</v>
      </c>
      <c r="I915" s="14">
        <f>DATE(2012,12,31)-287</f>
        <v>40987</v>
      </c>
      <c r="J915" s="15" t="s">
        <v>28</v>
      </c>
      <c r="K915" s="9">
        <v>43</v>
      </c>
      <c r="L915" s="16" t="s">
        <v>27</v>
      </c>
      <c r="M915" s="16">
        <f t="shared" si="87"/>
        <v>1.203592106384288</v>
      </c>
      <c r="N915">
        <f t="shared" si="88"/>
        <v>0</v>
      </c>
      <c r="O915">
        <f t="shared" si="89"/>
        <v>0</v>
      </c>
      <c r="P915">
        <f t="shared" si="86"/>
        <v>5550</v>
      </c>
      <c r="Q915">
        <f t="shared" si="90"/>
        <v>5550</v>
      </c>
      <c r="T915" s="16">
        <f t="shared" si="91"/>
        <v>1.2035921063842876</v>
      </c>
    </row>
    <row r="916" spans="7:20" ht="14.4" x14ac:dyDescent="0.25">
      <c r="G916" s="10">
        <v>269</v>
      </c>
      <c r="H916" s="9">
        <v>1856</v>
      </c>
      <c r="I916" s="14">
        <f>DATE(2012,12,31)-287</f>
        <v>40987</v>
      </c>
      <c r="J916" s="15" t="s">
        <v>28</v>
      </c>
      <c r="K916" s="9">
        <v>44</v>
      </c>
      <c r="L916" s="16" t="s">
        <v>27</v>
      </c>
      <c r="M916" s="16">
        <f t="shared" si="87"/>
        <v>1.2726518830035094</v>
      </c>
      <c r="N916">
        <f t="shared" si="88"/>
        <v>0</v>
      </c>
      <c r="O916">
        <f t="shared" si="89"/>
        <v>0</v>
      </c>
      <c r="P916">
        <f t="shared" si="86"/>
        <v>5600</v>
      </c>
      <c r="Q916">
        <f t="shared" si="90"/>
        <v>5600</v>
      </c>
      <c r="T916" s="16">
        <f t="shared" si="91"/>
        <v>1.272651883003509</v>
      </c>
    </row>
    <row r="917" spans="7:20" ht="14.4" x14ac:dyDescent="0.25">
      <c r="G917" s="10">
        <v>280</v>
      </c>
      <c r="H917" s="9">
        <v>1925</v>
      </c>
      <c r="I917" s="14">
        <f>DATE(2012,12,31)-302</f>
        <v>40972</v>
      </c>
      <c r="J917" s="15" t="s">
        <v>30</v>
      </c>
      <c r="K917" s="9">
        <v>7</v>
      </c>
      <c r="L917" s="16" t="s">
        <v>29</v>
      </c>
      <c r="M917" s="16">
        <f t="shared" si="87"/>
        <v>-1.2825598519076837</v>
      </c>
      <c r="N917">
        <f t="shared" si="88"/>
        <v>0</v>
      </c>
      <c r="O917">
        <f t="shared" si="89"/>
        <v>0</v>
      </c>
      <c r="P917">
        <f t="shared" si="86"/>
        <v>3750</v>
      </c>
      <c r="Q917">
        <f t="shared" si="90"/>
        <v>3750</v>
      </c>
      <c r="T917" s="16">
        <f t="shared" si="91"/>
        <v>-1.2825598519076842</v>
      </c>
    </row>
    <row r="918" spans="7:20" ht="14.4" x14ac:dyDescent="0.25">
      <c r="G918" s="10">
        <v>424</v>
      </c>
      <c r="H918" s="9">
        <v>2848</v>
      </c>
      <c r="I918" s="14">
        <f>DATE(2012,12,31)-297</f>
        <v>40977</v>
      </c>
      <c r="J918" s="15" t="s">
        <v>30</v>
      </c>
      <c r="K918" s="9">
        <v>35</v>
      </c>
      <c r="L918" s="16" t="s">
        <v>29</v>
      </c>
      <c r="M918" s="16">
        <f t="shared" si="87"/>
        <v>0.65111389343051651</v>
      </c>
      <c r="N918">
        <f t="shared" si="88"/>
        <v>0</v>
      </c>
      <c r="O918">
        <f t="shared" si="89"/>
        <v>0</v>
      </c>
      <c r="P918">
        <f t="shared" si="86"/>
        <v>5150</v>
      </c>
      <c r="Q918">
        <f t="shared" si="90"/>
        <v>5150</v>
      </c>
      <c r="T918" s="16">
        <f t="shared" si="91"/>
        <v>0.65111389343051607</v>
      </c>
    </row>
    <row r="919" spans="7:20" ht="14.4" x14ac:dyDescent="0.25">
      <c r="G919" s="10">
        <v>425</v>
      </c>
      <c r="H919" s="9">
        <v>2848</v>
      </c>
      <c r="I919" s="14">
        <f>DATE(2012,12,31)-297</f>
        <v>40977</v>
      </c>
      <c r="J919" s="15" t="s">
        <v>30</v>
      </c>
      <c r="K919" s="9">
        <v>8</v>
      </c>
      <c r="L919" s="16" t="s">
        <v>27</v>
      </c>
      <c r="M919" s="16">
        <f t="shared" si="87"/>
        <v>-1.2135000752884624</v>
      </c>
      <c r="N919">
        <f t="shared" si="88"/>
        <v>0</v>
      </c>
      <c r="O919">
        <f t="shared" si="89"/>
        <v>0</v>
      </c>
      <c r="P919">
        <f t="shared" si="86"/>
        <v>3800</v>
      </c>
      <c r="Q919">
        <f t="shared" si="90"/>
        <v>3800</v>
      </c>
      <c r="T919" s="16">
        <f t="shared" si="91"/>
        <v>-1.2135000752884626</v>
      </c>
    </row>
    <row r="920" spans="7:20" ht="14.4" x14ac:dyDescent="0.25">
      <c r="G920" s="10">
        <v>767</v>
      </c>
      <c r="H920" s="9">
        <v>5504</v>
      </c>
      <c r="I920" s="14">
        <f>DATE(2012,12,31)-1091</f>
        <v>40183</v>
      </c>
      <c r="J920" s="15" t="s">
        <v>17</v>
      </c>
      <c r="K920" s="9">
        <v>6</v>
      </c>
      <c r="L920" s="16" t="s">
        <v>26</v>
      </c>
      <c r="M920" s="16">
        <f t="shared" si="87"/>
        <v>-1.3516196285269051</v>
      </c>
      <c r="N920">
        <f t="shared" si="88"/>
        <v>0</v>
      </c>
      <c r="O920">
        <f t="shared" si="89"/>
        <v>0</v>
      </c>
      <c r="P920">
        <f t="shared" si="86"/>
        <v>3700</v>
      </c>
      <c r="Q920">
        <f t="shared" si="90"/>
        <v>3700</v>
      </c>
      <c r="T920" s="16">
        <f t="shared" si="91"/>
        <v>-1.3516196285269055</v>
      </c>
    </row>
    <row r="921" spans="7:20" ht="14.4" x14ac:dyDescent="0.25">
      <c r="G921" s="10">
        <v>768</v>
      </c>
      <c r="H921" s="9">
        <v>5504</v>
      </c>
      <c r="I921" s="14">
        <f>DATE(2012,12,31)-1091</f>
        <v>40183</v>
      </c>
      <c r="J921" s="15" t="s">
        <v>17</v>
      </c>
      <c r="K921" s="9">
        <v>15</v>
      </c>
      <c r="L921" s="16" t="s">
        <v>27</v>
      </c>
      <c r="M921" s="16">
        <f t="shared" si="87"/>
        <v>-0.7300816389539122</v>
      </c>
      <c r="N921">
        <f t="shared" si="88"/>
        <v>0</v>
      </c>
      <c r="O921">
        <f t="shared" si="89"/>
        <v>0</v>
      </c>
      <c r="P921">
        <f t="shared" si="86"/>
        <v>4150</v>
      </c>
      <c r="Q921">
        <f t="shared" si="90"/>
        <v>4150</v>
      </c>
      <c r="T921" s="16">
        <f t="shared" si="91"/>
        <v>-0.73008163895391265</v>
      </c>
    </row>
    <row r="922" spans="7:20" ht="14.4" x14ac:dyDescent="0.25">
      <c r="G922" s="10">
        <v>1153</v>
      </c>
      <c r="H922" s="9">
        <v>8390</v>
      </c>
      <c r="I922" s="14">
        <f>DATE(2012,12,31)-254</f>
        <v>41020</v>
      </c>
      <c r="J922" s="15" t="s">
        <v>16</v>
      </c>
      <c r="K922" s="9">
        <v>24</v>
      </c>
      <c r="L922" s="16" t="s">
        <v>27</v>
      </c>
      <c r="M922" s="16">
        <f t="shared" si="87"/>
        <v>-0.1085436493809193</v>
      </c>
      <c r="N922">
        <f t="shared" si="88"/>
        <v>0</v>
      </c>
      <c r="O922">
        <f t="shared" si="89"/>
        <v>0</v>
      </c>
      <c r="P922">
        <f t="shared" si="86"/>
        <v>4600</v>
      </c>
      <c r="Q922">
        <f t="shared" si="90"/>
        <v>4600</v>
      </c>
      <c r="T922" s="16">
        <f t="shared" si="91"/>
        <v>-0.10854364938091969</v>
      </c>
    </row>
    <row r="923" spans="7:20" ht="14.4" x14ac:dyDescent="0.25">
      <c r="G923" s="10">
        <v>1168</v>
      </c>
      <c r="H923" s="9">
        <v>8545</v>
      </c>
      <c r="I923" s="14">
        <f>DATE(2012,12,31)-1293</f>
        <v>39981</v>
      </c>
      <c r="J923" s="15" t="s">
        <v>25</v>
      </c>
      <c r="K923" s="9">
        <v>25</v>
      </c>
      <c r="L923" s="16" t="s">
        <v>26</v>
      </c>
      <c r="M923" s="16">
        <f t="shared" si="87"/>
        <v>-3.9483872761697868E-2</v>
      </c>
      <c r="N923">
        <f t="shared" si="88"/>
        <v>0</v>
      </c>
      <c r="O923">
        <f t="shared" si="89"/>
        <v>0</v>
      </c>
      <c r="P923">
        <f t="shared" si="86"/>
        <v>4650</v>
      </c>
      <c r="Q923">
        <f t="shared" si="90"/>
        <v>4650</v>
      </c>
      <c r="T923" s="16">
        <f t="shared" si="91"/>
        <v>-3.9483872761698249E-2</v>
      </c>
    </row>
    <row r="924" spans="7:20" ht="14.4" x14ac:dyDescent="0.25">
      <c r="G924" s="10">
        <v>1169</v>
      </c>
      <c r="H924" s="9">
        <v>8545</v>
      </c>
      <c r="I924" s="14">
        <f>DATE(2012,12,31)-1293</f>
        <v>39981</v>
      </c>
      <c r="J924" s="15" t="s">
        <v>25</v>
      </c>
      <c r="K924" s="9">
        <v>24</v>
      </c>
      <c r="L924" s="16" t="s">
        <v>29</v>
      </c>
      <c r="M924" s="16">
        <f t="shared" si="87"/>
        <v>-0.1085436493809193</v>
      </c>
      <c r="N924">
        <f t="shared" si="88"/>
        <v>0</v>
      </c>
      <c r="O924">
        <f t="shared" si="89"/>
        <v>0</v>
      </c>
      <c r="P924">
        <f t="shared" si="86"/>
        <v>4600</v>
      </c>
      <c r="Q924">
        <f t="shared" si="90"/>
        <v>4600</v>
      </c>
      <c r="T924" s="16">
        <f t="shared" si="91"/>
        <v>-0.10854364938091969</v>
      </c>
    </row>
    <row r="925" spans="7:20" ht="14.4" x14ac:dyDescent="0.25">
      <c r="G925" s="10">
        <v>1305</v>
      </c>
      <c r="H925" s="9">
        <v>9573</v>
      </c>
      <c r="I925" s="14">
        <f>DATE(2012,12,31)-201</f>
        <v>41073</v>
      </c>
      <c r="J925" s="15" t="s">
        <v>16</v>
      </c>
      <c r="K925" s="9">
        <v>41</v>
      </c>
      <c r="L925" s="16" t="s">
        <v>26</v>
      </c>
      <c r="M925" s="16">
        <f t="shared" si="87"/>
        <v>1.0654725531458451</v>
      </c>
      <c r="N925">
        <f t="shared" si="88"/>
        <v>0</v>
      </c>
      <c r="O925">
        <f t="shared" si="89"/>
        <v>0</v>
      </c>
      <c r="P925">
        <f t="shared" si="86"/>
        <v>5450</v>
      </c>
      <c r="Q925">
        <f t="shared" si="90"/>
        <v>5450</v>
      </c>
      <c r="T925" s="16">
        <f t="shared" si="91"/>
        <v>1.0654725531458447</v>
      </c>
    </row>
    <row r="926" spans="7:20" ht="14.4" x14ac:dyDescent="0.25">
      <c r="G926" s="10">
        <v>1356</v>
      </c>
      <c r="H926" s="9">
        <v>9892</v>
      </c>
      <c r="I926" s="14">
        <f>DATE(2012,12,31)-168</f>
        <v>41106</v>
      </c>
      <c r="J926" s="15" t="s">
        <v>16</v>
      </c>
      <c r="K926" s="9">
        <v>50</v>
      </c>
      <c r="L926" s="16" t="s">
        <v>26</v>
      </c>
      <c r="M926" s="16">
        <f t="shared" si="87"/>
        <v>1.687010542718838</v>
      </c>
      <c r="N926">
        <f t="shared" si="88"/>
        <v>0</v>
      </c>
      <c r="O926">
        <f t="shared" si="89"/>
        <v>0</v>
      </c>
      <c r="P926">
        <f t="shared" si="86"/>
        <v>5900</v>
      </c>
      <c r="Q926">
        <f t="shared" si="90"/>
        <v>5900</v>
      </c>
      <c r="T926" s="16">
        <f t="shared" si="91"/>
        <v>1.6870105427188375</v>
      </c>
    </row>
    <row r="927" spans="7:20" ht="14.4" x14ac:dyDescent="0.25">
      <c r="G927" s="10">
        <v>1381</v>
      </c>
      <c r="H927" s="9">
        <v>10048</v>
      </c>
      <c r="I927" s="14">
        <f>DATE(2012,12,31)-1326</f>
        <v>39948</v>
      </c>
      <c r="J927" s="15" t="s">
        <v>28</v>
      </c>
      <c r="K927" s="9">
        <v>46</v>
      </c>
      <c r="L927" s="16" t="s">
        <v>27</v>
      </c>
      <c r="M927" s="16">
        <f t="shared" si="87"/>
        <v>1.4107714362419523</v>
      </c>
      <c r="N927">
        <f t="shared" si="88"/>
        <v>0</v>
      </c>
      <c r="O927">
        <f t="shared" si="89"/>
        <v>0</v>
      </c>
      <c r="P927">
        <f t="shared" si="86"/>
        <v>5700</v>
      </c>
      <c r="Q927">
        <f t="shared" si="90"/>
        <v>5700</v>
      </c>
      <c r="T927" s="16">
        <f t="shared" si="91"/>
        <v>1.4107714362419519</v>
      </c>
    </row>
    <row r="928" spans="7:20" ht="14.4" x14ac:dyDescent="0.25">
      <c r="G928" s="10">
        <v>1382</v>
      </c>
      <c r="H928" s="9">
        <v>10048</v>
      </c>
      <c r="I928" s="14">
        <f>DATE(2012,12,31)-1326</f>
        <v>39948</v>
      </c>
      <c r="J928" s="15" t="s">
        <v>28</v>
      </c>
      <c r="K928" s="9">
        <v>21</v>
      </c>
      <c r="L928" s="16" t="s">
        <v>26</v>
      </c>
      <c r="M928" s="16">
        <f t="shared" si="87"/>
        <v>-0.31572297923858361</v>
      </c>
      <c r="N928">
        <f t="shared" si="88"/>
        <v>0</v>
      </c>
      <c r="O928">
        <f t="shared" si="89"/>
        <v>0</v>
      </c>
      <c r="P928">
        <f t="shared" si="86"/>
        <v>4450</v>
      </c>
      <c r="Q928">
        <f t="shared" si="90"/>
        <v>4450</v>
      </c>
      <c r="T928" s="16">
        <f t="shared" si="91"/>
        <v>-0.315722979238584</v>
      </c>
    </row>
    <row r="929" spans="7:20" ht="14.4" x14ac:dyDescent="0.25">
      <c r="G929" s="10">
        <v>1395</v>
      </c>
      <c r="H929" s="9">
        <v>10144</v>
      </c>
      <c r="I929" s="14">
        <f>DATE(2012,12,31)-729</f>
        <v>40545</v>
      </c>
      <c r="J929" s="15" t="s">
        <v>30</v>
      </c>
      <c r="K929" s="9">
        <v>16</v>
      </c>
      <c r="L929" s="16" t="s">
        <v>29</v>
      </c>
      <c r="M929" s="16">
        <f t="shared" si="87"/>
        <v>-0.66102186233469074</v>
      </c>
      <c r="N929">
        <f t="shared" si="88"/>
        <v>0</v>
      </c>
      <c r="O929">
        <f t="shared" si="89"/>
        <v>0</v>
      </c>
      <c r="P929">
        <f t="shared" si="86"/>
        <v>4200</v>
      </c>
      <c r="Q929">
        <f t="shared" si="90"/>
        <v>4200</v>
      </c>
      <c r="T929" s="16">
        <f t="shared" si="91"/>
        <v>-0.66102186233469118</v>
      </c>
    </row>
    <row r="930" spans="7:20" ht="14.4" x14ac:dyDescent="0.25">
      <c r="G930" s="10">
        <v>1396</v>
      </c>
      <c r="H930" s="9">
        <v>10144</v>
      </c>
      <c r="I930" s="14">
        <f>DATE(2012,12,31)-729</f>
        <v>40545</v>
      </c>
      <c r="J930" s="15" t="s">
        <v>30</v>
      </c>
      <c r="K930" s="9">
        <v>1</v>
      </c>
      <c r="L930" s="16" t="s">
        <v>29</v>
      </c>
      <c r="M930" s="16">
        <f t="shared" si="87"/>
        <v>-1.6969185116230123</v>
      </c>
      <c r="N930">
        <f t="shared" si="88"/>
        <v>0</v>
      </c>
      <c r="O930">
        <f t="shared" si="89"/>
        <v>0</v>
      </c>
      <c r="P930">
        <f t="shared" si="86"/>
        <v>3450</v>
      </c>
      <c r="Q930">
        <f t="shared" si="90"/>
        <v>3450</v>
      </c>
      <c r="T930" s="16">
        <f t="shared" si="91"/>
        <v>-1.6969185116230128</v>
      </c>
    </row>
    <row r="931" spans="7:20" ht="14.4" x14ac:dyDescent="0.25">
      <c r="G931" s="10">
        <v>1397</v>
      </c>
      <c r="H931" s="9">
        <v>10144</v>
      </c>
      <c r="I931" s="14">
        <f>DATE(2012,12,31)-729</f>
        <v>40545</v>
      </c>
      <c r="J931" s="15" t="s">
        <v>30</v>
      </c>
      <c r="K931" s="9">
        <v>24</v>
      </c>
      <c r="L931" s="16" t="s">
        <v>29</v>
      </c>
      <c r="M931" s="16">
        <f t="shared" si="87"/>
        <v>-0.1085436493809193</v>
      </c>
      <c r="N931">
        <f t="shared" si="88"/>
        <v>0</v>
      </c>
      <c r="O931">
        <f t="shared" si="89"/>
        <v>0</v>
      </c>
      <c r="P931">
        <f t="shared" si="86"/>
        <v>4600</v>
      </c>
      <c r="Q931">
        <f t="shared" si="90"/>
        <v>4600</v>
      </c>
      <c r="T931" s="16">
        <f t="shared" si="91"/>
        <v>-0.10854364938091969</v>
      </c>
    </row>
    <row r="932" spans="7:20" ht="14.4" x14ac:dyDescent="0.25">
      <c r="G932" s="10">
        <v>1440</v>
      </c>
      <c r="H932" s="9">
        <v>10432</v>
      </c>
      <c r="I932" s="14">
        <f>DATE(2012,12,31)-361</f>
        <v>40913</v>
      </c>
      <c r="J932" s="15" t="s">
        <v>25</v>
      </c>
      <c r="K932" s="9">
        <v>13</v>
      </c>
      <c r="L932" s="16" t="s">
        <v>27</v>
      </c>
      <c r="M932" s="16">
        <f t="shared" si="87"/>
        <v>-0.86820119219235514</v>
      </c>
      <c r="N932">
        <f t="shared" si="88"/>
        <v>0</v>
      </c>
      <c r="O932">
        <f t="shared" si="89"/>
        <v>0</v>
      </c>
      <c r="P932">
        <f t="shared" si="86"/>
        <v>4050</v>
      </c>
      <c r="Q932">
        <f t="shared" si="90"/>
        <v>4050</v>
      </c>
      <c r="T932" s="16">
        <f t="shared" si="91"/>
        <v>-0.86820119219235548</v>
      </c>
    </row>
    <row r="933" spans="7:20" ht="14.4" x14ac:dyDescent="0.25">
      <c r="G933" s="10">
        <v>1481</v>
      </c>
      <c r="H933" s="9">
        <v>10661</v>
      </c>
      <c r="I933" s="14">
        <f>DATE(2012,12,31)-1438</f>
        <v>39836</v>
      </c>
      <c r="J933" s="15" t="s">
        <v>28</v>
      </c>
      <c r="K933" s="9">
        <v>18</v>
      </c>
      <c r="L933" s="16" t="s">
        <v>26</v>
      </c>
      <c r="M933" s="16">
        <f t="shared" si="87"/>
        <v>-0.52290230909624791</v>
      </c>
      <c r="N933">
        <f t="shared" si="88"/>
        <v>0</v>
      </c>
      <c r="O933">
        <f t="shared" si="89"/>
        <v>0</v>
      </c>
      <c r="P933">
        <f t="shared" si="86"/>
        <v>4300</v>
      </c>
      <c r="Q933">
        <f t="shared" si="90"/>
        <v>4300</v>
      </c>
      <c r="T933" s="16">
        <f t="shared" si="91"/>
        <v>-0.52290230909624835</v>
      </c>
    </row>
    <row r="934" spans="7:20" ht="14.4" x14ac:dyDescent="0.25">
      <c r="G934" s="10">
        <v>1791</v>
      </c>
      <c r="H934" s="9">
        <v>12806</v>
      </c>
      <c r="I934" s="14">
        <f>DATE(2012,12,31)-373</f>
        <v>40901</v>
      </c>
      <c r="J934" s="15" t="s">
        <v>28</v>
      </c>
      <c r="K934" s="9">
        <v>20</v>
      </c>
      <c r="L934" s="16" t="s">
        <v>26</v>
      </c>
      <c r="M934" s="16">
        <f t="shared" si="87"/>
        <v>-0.38478275585780503</v>
      </c>
      <c r="N934">
        <f t="shared" si="88"/>
        <v>0</v>
      </c>
      <c r="O934">
        <f t="shared" si="89"/>
        <v>0</v>
      </c>
      <c r="P934">
        <f t="shared" si="86"/>
        <v>4400</v>
      </c>
      <c r="Q934">
        <f t="shared" si="90"/>
        <v>4400</v>
      </c>
      <c r="T934" s="16">
        <f t="shared" si="91"/>
        <v>-0.38478275585780541</v>
      </c>
    </row>
    <row r="935" spans="7:20" ht="14.4" x14ac:dyDescent="0.25">
      <c r="G935" s="10">
        <v>1837</v>
      </c>
      <c r="H935" s="9">
        <v>13158</v>
      </c>
      <c r="I935" s="14">
        <f>DATE(2012,12,31)-41</f>
        <v>41233</v>
      </c>
      <c r="J935" s="15" t="s">
        <v>30</v>
      </c>
      <c r="K935" s="9">
        <v>26</v>
      </c>
      <c r="L935" s="16" t="s">
        <v>26</v>
      </c>
      <c r="M935" s="16">
        <f t="shared" si="87"/>
        <v>2.9575903857523567E-2</v>
      </c>
      <c r="N935">
        <f t="shared" si="88"/>
        <v>0</v>
      </c>
      <c r="O935">
        <f t="shared" si="89"/>
        <v>0</v>
      </c>
      <c r="P935">
        <f t="shared" si="86"/>
        <v>4700</v>
      </c>
      <c r="Q935">
        <f t="shared" si="90"/>
        <v>4700</v>
      </c>
      <c r="T935" s="16">
        <f t="shared" si="91"/>
        <v>2.9575903857523185E-2</v>
      </c>
    </row>
    <row r="936" spans="7:20" ht="14.4" x14ac:dyDescent="0.25">
      <c r="G936" s="10">
        <v>1876</v>
      </c>
      <c r="H936" s="9">
        <v>13507</v>
      </c>
      <c r="I936" s="14">
        <f>DATE(2012,12,31)-2</f>
        <v>41272</v>
      </c>
      <c r="J936" s="15" t="s">
        <v>16</v>
      </c>
      <c r="K936" s="9">
        <v>27</v>
      </c>
      <c r="L936" s="16" t="s">
        <v>26</v>
      </c>
      <c r="M936" s="16">
        <f t="shared" si="87"/>
        <v>9.8635680476745008E-2</v>
      </c>
      <c r="N936">
        <f t="shared" si="88"/>
        <v>0</v>
      </c>
      <c r="O936">
        <f t="shared" si="89"/>
        <v>0</v>
      </c>
      <c r="P936">
        <f t="shared" si="86"/>
        <v>4750</v>
      </c>
      <c r="Q936">
        <f t="shared" si="90"/>
        <v>4750</v>
      </c>
      <c r="T936" s="16">
        <f t="shared" si="91"/>
        <v>9.8635680476744619E-2</v>
      </c>
    </row>
    <row r="937" spans="7:20" ht="14.4" x14ac:dyDescent="0.25">
      <c r="G937" s="10">
        <v>2014</v>
      </c>
      <c r="H937" s="9">
        <v>14375</v>
      </c>
      <c r="I937" s="14">
        <f>DATE(2012,12,31)-1065</f>
        <v>40209</v>
      </c>
      <c r="J937" s="15" t="s">
        <v>16</v>
      </c>
      <c r="K937" s="9">
        <v>7</v>
      </c>
      <c r="L937" s="16" t="s">
        <v>26</v>
      </c>
      <c r="M937" s="16">
        <f t="shared" si="87"/>
        <v>-1.2825598519076837</v>
      </c>
      <c r="N937">
        <f t="shared" si="88"/>
        <v>0</v>
      </c>
      <c r="O937">
        <f t="shared" si="89"/>
        <v>0</v>
      </c>
      <c r="P937">
        <f t="shared" si="86"/>
        <v>3750</v>
      </c>
      <c r="Q937">
        <f t="shared" si="90"/>
        <v>3750</v>
      </c>
      <c r="T937" s="16">
        <f t="shared" si="91"/>
        <v>-1.2825598519076842</v>
      </c>
    </row>
    <row r="938" spans="7:20" ht="14.4" x14ac:dyDescent="0.25">
      <c r="G938" s="10">
        <v>2049</v>
      </c>
      <c r="H938" s="9">
        <v>14627</v>
      </c>
      <c r="I938" s="14">
        <f>DATE(2012,12,31)-1426</f>
        <v>39848</v>
      </c>
      <c r="J938" s="15" t="s">
        <v>16</v>
      </c>
      <c r="K938" s="9">
        <v>47</v>
      </c>
      <c r="L938" s="16" t="s">
        <v>26</v>
      </c>
      <c r="M938" s="16">
        <f t="shared" si="87"/>
        <v>1.4798312128611737</v>
      </c>
      <c r="N938">
        <f t="shared" si="88"/>
        <v>0</v>
      </c>
      <c r="O938">
        <f t="shared" si="89"/>
        <v>0</v>
      </c>
      <c r="P938">
        <f t="shared" si="86"/>
        <v>5750</v>
      </c>
      <c r="Q938">
        <f t="shared" si="90"/>
        <v>5750</v>
      </c>
      <c r="T938" s="16">
        <f t="shared" si="91"/>
        <v>1.4798312128611733</v>
      </c>
    </row>
    <row r="939" spans="7:20" ht="14.4" x14ac:dyDescent="0.25">
      <c r="G939" s="10">
        <v>2077</v>
      </c>
      <c r="H939" s="9">
        <v>14852</v>
      </c>
      <c r="I939" s="14">
        <f>DATE(2012,12,31)-373</f>
        <v>40901</v>
      </c>
      <c r="J939" s="15" t="s">
        <v>16</v>
      </c>
      <c r="K939" s="9">
        <v>9</v>
      </c>
      <c r="L939" s="16" t="s">
        <v>26</v>
      </c>
      <c r="M939" s="16">
        <f t="shared" si="87"/>
        <v>-1.1444402986692408</v>
      </c>
      <c r="N939">
        <f t="shared" si="88"/>
        <v>0</v>
      </c>
      <c r="O939">
        <f t="shared" si="89"/>
        <v>0</v>
      </c>
      <c r="P939">
        <f t="shared" si="86"/>
        <v>3850</v>
      </c>
      <c r="Q939">
        <f t="shared" si="90"/>
        <v>3850</v>
      </c>
      <c r="T939" s="16">
        <f t="shared" si="91"/>
        <v>-1.1444402986692412</v>
      </c>
    </row>
    <row r="940" spans="7:20" ht="14.4" x14ac:dyDescent="0.25">
      <c r="G940" s="10">
        <v>2256</v>
      </c>
      <c r="H940" s="9">
        <v>16230</v>
      </c>
      <c r="I940" s="14">
        <f>DATE(2012,12,31)-1038</f>
        <v>40236</v>
      </c>
      <c r="J940" s="15" t="s">
        <v>25</v>
      </c>
      <c r="K940" s="9">
        <v>2</v>
      </c>
      <c r="L940" s="16" t="s">
        <v>26</v>
      </c>
      <c r="M940" s="16">
        <f t="shared" si="87"/>
        <v>-1.627858735003791</v>
      </c>
      <c r="N940">
        <f t="shared" si="88"/>
        <v>0</v>
      </c>
      <c r="O940">
        <f t="shared" si="89"/>
        <v>0</v>
      </c>
      <c r="P940">
        <f t="shared" si="86"/>
        <v>3500</v>
      </c>
      <c r="Q940">
        <f t="shared" si="90"/>
        <v>3500</v>
      </c>
      <c r="T940" s="16">
        <f t="shared" si="91"/>
        <v>-1.6278587350037912</v>
      </c>
    </row>
    <row r="941" spans="7:20" ht="14.4" x14ac:dyDescent="0.25">
      <c r="G941" s="10">
        <v>2257</v>
      </c>
      <c r="H941" s="9">
        <v>16230</v>
      </c>
      <c r="I941" s="14">
        <f>DATE(2012,12,31)-1038</f>
        <v>40236</v>
      </c>
      <c r="J941" s="15" t="s">
        <v>25</v>
      </c>
      <c r="K941" s="9">
        <v>27</v>
      </c>
      <c r="L941" s="16" t="s">
        <v>29</v>
      </c>
      <c r="M941" s="16">
        <f t="shared" si="87"/>
        <v>9.8635680476745008E-2</v>
      </c>
      <c r="N941">
        <f t="shared" si="88"/>
        <v>0</v>
      </c>
      <c r="O941">
        <f t="shared" si="89"/>
        <v>0</v>
      </c>
      <c r="P941">
        <f t="shared" si="86"/>
        <v>4750</v>
      </c>
      <c r="Q941">
        <f t="shared" si="90"/>
        <v>4750</v>
      </c>
      <c r="T941" s="16">
        <f t="shared" si="91"/>
        <v>9.8635680476744619E-2</v>
      </c>
    </row>
    <row r="942" spans="7:20" ht="14.4" x14ac:dyDescent="0.25">
      <c r="G942" s="10">
        <v>2258</v>
      </c>
      <c r="H942" s="9">
        <v>16230</v>
      </c>
      <c r="I942" s="14">
        <f>DATE(2012,12,31)-1038</f>
        <v>40236</v>
      </c>
      <c r="J942" s="15" t="s">
        <v>25</v>
      </c>
      <c r="K942" s="9">
        <v>15</v>
      </c>
      <c r="L942" s="16" t="s">
        <v>26</v>
      </c>
      <c r="M942" s="16">
        <f t="shared" si="87"/>
        <v>-0.7300816389539122</v>
      </c>
      <c r="N942">
        <f t="shared" si="88"/>
        <v>0</v>
      </c>
      <c r="O942">
        <f t="shared" si="89"/>
        <v>0</v>
      </c>
      <c r="P942">
        <f t="shared" si="86"/>
        <v>4150</v>
      </c>
      <c r="Q942">
        <f t="shared" si="90"/>
        <v>4150</v>
      </c>
      <c r="T942" s="16">
        <f t="shared" si="91"/>
        <v>-0.73008163895391265</v>
      </c>
    </row>
    <row r="943" spans="7:20" ht="14.4" x14ac:dyDescent="0.25">
      <c r="G943" s="10">
        <v>2259</v>
      </c>
      <c r="H943" s="9">
        <v>16230</v>
      </c>
      <c r="I943" s="14">
        <f>DATE(2012,12,31)-1038</f>
        <v>40236</v>
      </c>
      <c r="J943" s="15" t="s">
        <v>25</v>
      </c>
      <c r="K943" s="9">
        <v>40</v>
      </c>
      <c r="L943" s="16" t="s">
        <v>26</v>
      </c>
      <c r="M943" s="16">
        <f t="shared" si="87"/>
        <v>0.99641277652662363</v>
      </c>
      <c r="N943">
        <f t="shared" si="88"/>
        <v>0</v>
      </c>
      <c r="O943">
        <f t="shared" si="89"/>
        <v>0</v>
      </c>
      <c r="P943">
        <f t="shared" si="86"/>
        <v>5400</v>
      </c>
      <c r="Q943">
        <f t="shared" si="90"/>
        <v>5400</v>
      </c>
      <c r="T943" s="16">
        <f t="shared" si="91"/>
        <v>0.9964127765266233</v>
      </c>
    </row>
    <row r="944" spans="7:20" ht="14.4" x14ac:dyDescent="0.25">
      <c r="G944" s="10">
        <v>2635</v>
      </c>
      <c r="H944" s="9">
        <v>19074</v>
      </c>
      <c r="I944" s="14">
        <f>DATE(2012,12,31)-189</f>
        <v>41085</v>
      </c>
      <c r="J944" s="15" t="s">
        <v>30</v>
      </c>
      <c r="K944" s="9">
        <v>17</v>
      </c>
      <c r="L944" s="16" t="s">
        <v>26</v>
      </c>
      <c r="M944" s="16">
        <f t="shared" si="87"/>
        <v>-0.59196208571546938</v>
      </c>
      <c r="N944">
        <f t="shared" si="88"/>
        <v>0</v>
      </c>
      <c r="O944">
        <f t="shared" si="89"/>
        <v>0</v>
      </c>
      <c r="P944">
        <f t="shared" si="86"/>
        <v>4250</v>
      </c>
      <c r="Q944">
        <f t="shared" si="90"/>
        <v>4250</v>
      </c>
      <c r="T944" s="16">
        <f t="shared" si="91"/>
        <v>-0.59196208571546971</v>
      </c>
    </row>
    <row r="945" spans="7:20" ht="14.4" x14ac:dyDescent="0.25">
      <c r="G945" s="10">
        <v>2801</v>
      </c>
      <c r="H945" s="9">
        <v>20194</v>
      </c>
      <c r="I945" s="14">
        <f>DATE(2012,12,31)-293</f>
        <v>40981</v>
      </c>
      <c r="J945" s="15" t="s">
        <v>17</v>
      </c>
      <c r="K945" s="9">
        <v>10</v>
      </c>
      <c r="L945" s="16" t="s">
        <v>29</v>
      </c>
      <c r="M945" s="16">
        <f t="shared" si="87"/>
        <v>-1.0753805220500194</v>
      </c>
      <c r="N945">
        <f t="shared" si="88"/>
        <v>0</v>
      </c>
      <c r="O945">
        <f t="shared" si="89"/>
        <v>0</v>
      </c>
      <c r="P945">
        <f t="shared" si="86"/>
        <v>3900</v>
      </c>
      <c r="Q945">
        <f t="shared" si="90"/>
        <v>3900</v>
      </c>
      <c r="T945" s="16">
        <f t="shared" si="91"/>
        <v>-1.0753805220500199</v>
      </c>
    </row>
    <row r="946" spans="7:20" ht="14.4" x14ac:dyDescent="0.25">
      <c r="G946" s="10">
        <v>2912</v>
      </c>
      <c r="H946" s="9">
        <v>21024</v>
      </c>
      <c r="I946" s="14">
        <f>DATE(2012,12,31)-734</f>
        <v>40540</v>
      </c>
      <c r="J946" s="15" t="s">
        <v>16</v>
      </c>
      <c r="K946" s="9">
        <v>34</v>
      </c>
      <c r="L946" s="16" t="s">
        <v>26</v>
      </c>
      <c r="M946" s="16">
        <f t="shared" si="87"/>
        <v>0.58205411681129504</v>
      </c>
      <c r="N946">
        <f t="shared" si="88"/>
        <v>0</v>
      </c>
      <c r="O946">
        <f t="shared" si="89"/>
        <v>0</v>
      </c>
      <c r="P946">
        <f t="shared" si="86"/>
        <v>5100</v>
      </c>
      <c r="Q946">
        <f t="shared" si="90"/>
        <v>5100</v>
      </c>
      <c r="T946" s="16">
        <f t="shared" si="91"/>
        <v>0.58205411681129471</v>
      </c>
    </row>
    <row r="947" spans="7:20" ht="14.4" x14ac:dyDescent="0.25">
      <c r="G947" s="10">
        <v>2978</v>
      </c>
      <c r="H947" s="9">
        <v>21509</v>
      </c>
      <c r="I947" s="14">
        <f>DATE(2012,12,31)-181</f>
        <v>41093</v>
      </c>
      <c r="J947" s="15" t="s">
        <v>17</v>
      </c>
      <c r="K947" s="9">
        <v>13</v>
      </c>
      <c r="L947" s="16" t="s">
        <v>26</v>
      </c>
      <c r="M947" s="16">
        <f t="shared" si="87"/>
        <v>-0.86820119219235514</v>
      </c>
      <c r="N947">
        <f t="shared" si="88"/>
        <v>0</v>
      </c>
      <c r="O947">
        <f t="shared" si="89"/>
        <v>0</v>
      </c>
      <c r="P947">
        <f t="shared" si="86"/>
        <v>4050</v>
      </c>
      <c r="Q947">
        <f t="shared" si="90"/>
        <v>4050</v>
      </c>
      <c r="T947" s="16">
        <f t="shared" si="91"/>
        <v>-0.86820119219235548</v>
      </c>
    </row>
    <row r="948" spans="7:20" ht="14.4" x14ac:dyDescent="0.25">
      <c r="G948" s="10">
        <v>3042</v>
      </c>
      <c r="H948" s="9">
        <v>21856</v>
      </c>
      <c r="I948" s="14">
        <f>DATE(2012,12,31)-270</f>
        <v>41004</v>
      </c>
      <c r="J948" s="15" t="s">
        <v>28</v>
      </c>
      <c r="K948" s="9">
        <v>47</v>
      </c>
      <c r="L948" s="16" t="s">
        <v>26</v>
      </c>
      <c r="M948" s="16">
        <f t="shared" si="87"/>
        <v>1.4798312128611737</v>
      </c>
      <c r="N948">
        <f t="shared" si="88"/>
        <v>0</v>
      </c>
      <c r="O948">
        <f t="shared" si="89"/>
        <v>0</v>
      </c>
      <c r="P948">
        <f t="shared" si="86"/>
        <v>5750</v>
      </c>
      <c r="Q948">
        <f t="shared" si="90"/>
        <v>5750</v>
      </c>
      <c r="T948" s="16">
        <f t="shared" si="91"/>
        <v>1.4798312128611733</v>
      </c>
    </row>
    <row r="949" spans="7:20" ht="14.4" x14ac:dyDescent="0.25">
      <c r="G949" s="10">
        <v>3043</v>
      </c>
      <c r="H949" s="9">
        <v>21856</v>
      </c>
      <c r="I949" s="14">
        <f>DATE(2012,12,31)-270</f>
        <v>41004</v>
      </c>
      <c r="J949" s="15" t="s">
        <v>28</v>
      </c>
      <c r="K949" s="9">
        <v>26</v>
      </c>
      <c r="L949" s="16" t="s">
        <v>26</v>
      </c>
      <c r="M949" s="16">
        <f t="shared" si="87"/>
        <v>2.9575903857523567E-2</v>
      </c>
      <c r="N949">
        <f t="shared" si="88"/>
        <v>0</v>
      </c>
      <c r="O949">
        <f t="shared" si="89"/>
        <v>0</v>
      </c>
      <c r="P949">
        <f t="shared" si="86"/>
        <v>4700</v>
      </c>
      <c r="Q949">
        <f t="shared" si="90"/>
        <v>4700</v>
      </c>
      <c r="T949" s="16">
        <f t="shared" si="91"/>
        <v>2.9575903857523185E-2</v>
      </c>
    </row>
    <row r="950" spans="7:20" ht="14.4" x14ac:dyDescent="0.25">
      <c r="G950" s="10">
        <v>3085</v>
      </c>
      <c r="H950" s="9">
        <v>22119</v>
      </c>
      <c r="I950" s="14">
        <f>DATE(2012,12,31)-1256</f>
        <v>40018</v>
      </c>
      <c r="J950" s="15" t="s">
        <v>25</v>
      </c>
      <c r="K950" s="9">
        <v>20</v>
      </c>
      <c r="L950" s="16" t="s">
        <v>26</v>
      </c>
      <c r="M950" s="16">
        <f t="shared" si="87"/>
        <v>-0.38478275585780503</v>
      </c>
      <c r="N950">
        <f t="shared" si="88"/>
        <v>0</v>
      </c>
      <c r="O950">
        <f t="shared" si="89"/>
        <v>0</v>
      </c>
      <c r="P950">
        <f t="shared" si="86"/>
        <v>4400</v>
      </c>
      <c r="Q950">
        <f t="shared" si="90"/>
        <v>4400</v>
      </c>
      <c r="T950" s="16">
        <f t="shared" si="91"/>
        <v>-0.38478275585780541</v>
      </c>
    </row>
    <row r="951" spans="7:20" ht="14.4" x14ac:dyDescent="0.25">
      <c r="G951" s="10">
        <v>3141</v>
      </c>
      <c r="H951" s="9">
        <v>22534</v>
      </c>
      <c r="I951" s="14">
        <f>DATE(2012,12,31)-532</f>
        <v>40742</v>
      </c>
      <c r="J951" s="15" t="s">
        <v>16</v>
      </c>
      <c r="K951" s="9">
        <v>3</v>
      </c>
      <c r="L951" s="16" t="s">
        <v>26</v>
      </c>
      <c r="M951" s="16">
        <f t="shared" si="87"/>
        <v>-1.5587989583845694</v>
      </c>
      <c r="N951">
        <f t="shared" si="88"/>
        <v>0</v>
      </c>
      <c r="O951">
        <f t="shared" si="89"/>
        <v>0</v>
      </c>
      <c r="P951">
        <f t="shared" si="86"/>
        <v>3550</v>
      </c>
      <c r="Q951">
        <f t="shared" si="90"/>
        <v>3550</v>
      </c>
      <c r="T951" s="16">
        <f t="shared" si="91"/>
        <v>-1.5587989583845698</v>
      </c>
    </row>
    <row r="952" spans="7:20" ht="14.4" x14ac:dyDescent="0.25">
      <c r="G952" s="10">
        <v>3154</v>
      </c>
      <c r="H952" s="9">
        <v>22629</v>
      </c>
      <c r="I952" s="14">
        <f>DATE(2012,12,31)-991</f>
        <v>40283</v>
      </c>
      <c r="J952" s="15" t="s">
        <v>25</v>
      </c>
      <c r="K952" s="9">
        <v>5</v>
      </c>
      <c r="L952" s="16" t="s">
        <v>27</v>
      </c>
      <c r="M952" s="16">
        <f t="shared" si="87"/>
        <v>-1.4206794051461267</v>
      </c>
      <c r="N952">
        <f t="shared" si="88"/>
        <v>0</v>
      </c>
      <c r="O952">
        <f t="shared" si="89"/>
        <v>0</v>
      </c>
      <c r="P952">
        <f t="shared" si="86"/>
        <v>3650</v>
      </c>
      <c r="Q952">
        <f t="shared" si="90"/>
        <v>3650</v>
      </c>
      <c r="T952" s="16">
        <f t="shared" si="91"/>
        <v>-1.4206794051461269</v>
      </c>
    </row>
    <row r="953" spans="7:20" ht="14.4" x14ac:dyDescent="0.25">
      <c r="G953" s="10">
        <v>3208</v>
      </c>
      <c r="H953" s="9">
        <v>23011</v>
      </c>
      <c r="I953" s="14">
        <f>DATE(2012,12,31)-930</f>
        <v>40344</v>
      </c>
      <c r="J953" s="15" t="s">
        <v>25</v>
      </c>
      <c r="K953" s="9">
        <v>1</v>
      </c>
      <c r="L953" s="16" t="s">
        <v>27</v>
      </c>
      <c r="M953" s="16">
        <f t="shared" si="87"/>
        <v>-1.6969185116230123</v>
      </c>
      <c r="N953">
        <f t="shared" si="88"/>
        <v>0</v>
      </c>
      <c r="O953">
        <f t="shared" si="89"/>
        <v>0</v>
      </c>
      <c r="P953">
        <f t="shared" si="86"/>
        <v>3450</v>
      </c>
      <c r="Q953">
        <f t="shared" si="90"/>
        <v>3450</v>
      </c>
      <c r="T953" s="16">
        <f t="shared" si="91"/>
        <v>-1.6969185116230128</v>
      </c>
    </row>
    <row r="954" spans="7:20" ht="14.4" x14ac:dyDescent="0.25">
      <c r="G954" s="10">
        <v>3368</v>
      </c>
      <c r="H954" s="9">
        <v>24070</v>
      </c>
      <c r="I954" s="14">
        <f>DATE(2012,12,31)-657</f>
        <v>40617</v>
      </c>
      <c r="J954" s="15" t="s">
        <v>17</v>
      </c>
      <c r="K954" s="9">
        <v>36</v>
      </c>
      <c r="L954" s="16" t="s">
        <v>26</v>
      </c>
      <c r="M954" s="16">
        <f t="shared" si="87"/>
        <v>0.72017367004973787</v>
      </c>
      <c r="N954">
        <f t="shared" si="88"/>
        <v>0</v>
      </c>
      <c r="O954">
        <f t="shared" si="89"/>
        <v>0</v>
      </c>
      <c r="P954">
        <f t="shared" si="86"/>
        <v>5200</v>
      </c>
      <c r="Q954">
        <f t="shared" si="90"/>
        <v>5200</v>
      </c>
      <c r="T954" s="16">
        <f t="shared" si="91"/>
        <v>0.72017367004973754</v>
      </c>
    </row>
    <row r="955" spans="7:20" ht="14.4" x14ac:dyDescent="0.25">
      <c r="G955" s="10">
        <v>3369</v>
      </c>
      <c r="H955" s="9">
        <v>24070</v>
      </c>
      <c r="I955" s="14">
        <f>DATE(2012,12,31)-657</f>
        <v>40617</v>
      </c>
      <c r="J955" s="15" t="s">
        <v>17</v>
      </c>
      <c r="K955" s="9">
        <v>3</v>
      </c>
      <c r="L955" s="16" t="s">
        <v>29</v>
      </c>
      <c r="M955" s="16">
        <f t="shared" si="87"/>
        <v>-1.5587989583845694</v>
      </c>
      <c r="N955">
        <f t="shared" si="88"/>
        <v>0</v>
      </c>
      <c r="O955">
        <f t="shared" si="89"/>
        <v>0</v>
      </c>
      <c r="P955">
        <f t="shared" si="86"/>
        <v>3550</v>
      </c>
      <c r="Q955">
        <f t="shared" si="90"/>
        <v>3550</v>
      </c>
      <c r="T955" s="16">
        <f t="shared" si="91"/>
        <v>-1.5587989583845698</v>
      </c>
    </row>
    <row r="956" spans="7:20" ht="14.4" x14ac:dyDescent="0.25">
      <c r="G956" s="10">
        <v>3370</v>
      </c>
      <c r="H956" s="9">
        <v>24070</v>
      </c>
      <c r="I956" s="14">
        <f>DATE(2012,12,31)-657</f>
        <v>40617</v>
      </c>
      <c r="J956" s="15" t="s">
        <v>17</v>
      </c>
      <c r="K956" s="9">
        <v>48</v>
      </c>
      <c r="L956" s="16" t="s">
        <v>26</v>
      </c>
      <c r="M956" s="16">
        <f t="shared" si="87"/>
        <v>1.5488909894803951</v>
      </c>
      <c r="N956">
        <f t="shared" si="88"/>
        <v>0</v>
      </c>
      <c r="O956">
        <f t="shared" si="89"/>
        <v>0</v>
      </c>
      <c r="P956">
        <f t="shared" si="86"/>
        <v>5800</v>
      </c>
      <c r="Q956">
        <f t="shared" si="90"/>
        <v>5800</v>
      </c>
      <c r="T956" s="16">
        <f t="shared" si="91"/>
        <v>1.5488909894803948</v>
      </c>
    </row>
    <row r="957" spans="7:20" ht="14.4" x14ac:dyDescent="0.25">
      <c r="G957" s="10">
        <v>3474</v>
      </c>
      <c r="H957" s="9">
        <v>24737</v>
      </c>
      <c r="I957" s="14">
        <f>DATE(2012,12,31)-1121</f>
        <v>40153</v>
      </c>
      <c r="J957" s="15" t="s">
        <v>17</v>
      </c>
      <c r="K957" s="9">
        <v>3</v>
      </c>
      <c r="L957" s="16" t="s">
        <v>29</v>
      </c>
      <c r="M957" s="16">
        <f t="shared" si="87"/>
        <v>-1.5587989583845694</v>
      </c>
      <c r="N957">
        <f t="shared" si="88"/>
        <v>0</v>
      </c>
      <c r="O957">
        <f t="shared" si="89"/>
        <v>0</v>
      </c>
      <c r="P957">
        <f t="shared" si="86"/>
        <v>3550</v>
      </c>
      <c r="Q957">
        <f t="shared" si="90"/>
        <v>3550</v>
      </c>
      <c r="T957" s="16">
        <f t="shared" si="91"/>
        <v>-1.5587989583845698</v>
      </c>
    </row>
    <row r="958" spans="7:20" ht="14.4" x14ac:dyDescent="0.25">
      <c r="G958" s="10">
        <v>3475</v>
      </c>
      <c r="H958" s="9">
        <v>24737</v>
      </c>
      <c r="I958" s="14">
        <f>DATE(2012,12,31)-1121</f>
        <v>40153</v>
      </c>
      <c r="J958" s="15" t="s">
        <v>17</v>
      </c>
      <c r="K958" s="9">
        <v>26</v>
      </c>
      <c r="L958" s="16" t="s">
        <v>26</v>
      </c>
      <c r="M958" s="16">
        <f t="shared" si="87"/>
        <v>2.9575903857523567E-2</v>
      </c>
      <c r="N958">
        <f t="shared" si="88"/>
        <v>0</v>
      </c>
      <c r="O958">
        <f t="shared" si="89"/>
        <v>0</v>
      </c>
      <c r="P958">
        <f t="shared" si="86"/>
        <v>4700</v>
      </c>
      <c r="Q958">
        <f t="shared" si="90"/>
        <v>4700</v>
      </c>
      <c r="T958" s="16">
        <f t="shared" si="91"/>
        <v>2.9575903857523185E-2</v>
      </c>
    </row>
    <row r="959" spans="7:20" ht="14.4" x14ac:dyDescent="0.25">
      <c r="G959" s="10">
        <v>3691</v>
      </c>
      <c r="H959" s="9">
        <v>26373</v>
      </c>
      <c r="I959" s="14">
        <f>DATE(2012,12,31)-893</f>
        <v>40381</v>
      </c>
      <c r="J959" s="15" t="s">
        <v>16</v>
      </c>
      <c r="K959" s="9">
        <v>7</v>
      </c>
      <c r="L959" s="16" t="s">
        <v>26</v>
      </c>
      <c r="M959" s="16">
        <f t="shared" si="87"/>
        <v>-1.2825598519076837</v>
      </c>
      <c r="N959">
        <f t="shared" si="88"/>
        <v>0</v>
      </c>
      <c r="O959">
        <f t="shared" si="89"/>
        <v>0</v>
      </c>
      <c r="P959">
        <f t="shared" si="86"/>
        <v>3750</v>
      </c>
      <c r="Q959">
        <f t="shared" si="90"/>
        <v>3750</v>
      </c>
      <c r="T959" s="16">
        <f t="shared" si="91"/>
        <v>-1.2825598519076842</v>
      </c>
    </row>
    <row r="960" spans="7:20" ht="14.4" x14ac:dyDescent="0.25">
      <c r="G960" s="10">
        <v>3781</v>
      </c>
      <c r="H960" s="9">
        <v>26978</v>
      </c>
      <c r="I960" s="14">
        <f>DATE(2012,12,31)-920</f>
        <v>40354</v>
      </c>
      <c r="J960" s="15" t="s">
        <v>16</v>
      </c>
      <c r="K960" s="9">
        <v>46</v>
      </c>
      <c r="L960" s="16" t="s">
        <v>27</v>
      </c>
      <c r="M960" s="16">
        <f t="shared" si="87"/>
        <v>1.4107714362419523</v>
      </c>
      <c r="N960">
        <f t="shared" si="88"/>
        <v>0</v>
      </c>
      <c r="O960">
        <f t="shared" si="89"/>
        <v>0</v>
      </c>
      <c r="P960">
        <f t="shared" si="86"/>
        <v>5700</v>
      </c>
      <c r="Q960">
        <f t="shared" si="90"/>
        <v>5700</v>
      </c>
      <c r="T960" s="16">
        <f t="shared" si="91"/>
        <v>1.4107714362419519</v>
      </c>
    </row>
    <row r="961" spans="7:20" ht="14.4" x14ac:dyDescent="0.25">
      <c r="G961" s="10">
        <v>3782</v>
      </c>
      <c r="H961" s="9">
        <v>26978</v>
      </c>
      <c r="I961" s="14">
        <f>DATE(2012,12,31)-920</f>
        <v>40354</v>
      </c>
      <c r="J961" s="15" t="s">
        <v>16</v>
      </c>
      <c r="K961" s="9">
        <v>49</v>
      </c>
      <c r="L961" s="16" t="s">
        <v>26</v>
      </c>
      <c r="M961" s="16">
        <f t="shared" si="87"/>
        <v>1.6179507660996166</v>
      </c>
      <c r="N961">
        <f t="shared" si="88"/>
        <v>0</v>
      </c>
      <c r="O961">
        <f t="shared" si="89"/>
        <v>0</v>
      </c>
      <c r="P961">
        <f t="shared" si="86"/>
        <v>5850</v>
      </c>
      <c r="Q961">
        <f t="shared" si="90"/>
        <v>5850</v>
      </c>
      <c r="T961" s="16">
        <f t="shared" si="91"/>
        <v>1.6179507660996162</v>
      </c>
    </row>
    <row r="962" spans="7:20" ht="14.4" x14ac:dyDescent="0.25">
      <c r="G962" s="10">
        <v>3783</v>
      </c>
      <c r="H962" s="9">
        <v>26978</v>
      </c>
      <c r="I962" s="14">
        <f>DATE(2012,12,31)-920</f>
        <v>40354</v>
      </c>
      <c r="J962" s="15" t="s">
        <v>16</v>
      </c>
      <c r="K962" s="9">
        <v>47</v>
      </c>
      <c r="L962" s="16" t="s">
        <v>26</v>
      </c>
      <c r="M962" s="16">
        <f t="shared" si="87"/>
        <v>1.4798312128611737</v>
      </c>
      <c r="N962">
        <f t="shared" si="88"/>
        <v>0</v>
      </c>
      <c r="O962">
        <f t="shared" si="89"/>
        <v>0</v>
      </c>
      <c r="P962">
        <f t="shared" si="86"/>
        <v>5750</v>
      </c>
      <c r="Q962">
        <f t="shared" si="90"/>
        <v>5750</v>
      </c>
      <c r="T962" s="16">
        <f t="shared" si="91"/>
        <v>1.4798312128611733</v>
      </c>
    </row>
    <row r="963" spans="7:20" ht="14.4" x14ac:dyDescent="0.25">
      <c r="G963" s="10">
        <v>3815</v>
      </c>
      <c r="H963" s="9">
        <v>27174</v>
      </c>
      <c r="I963" s="14">
        <f>DATE(2012,12,31)-450</f>
        <v>40824</v>
      </c>
      <c r="J963" s="15" t="s">
        <v>30</v>
      </c>
      <c r="K963" s="9">
        <v>17</v>
      </c>
      <c r="L963" s="16" t="s">
        <v>27</v>
      </c>
      <c r="M963" s="16">
        <f t="shared" si="87"/>
        <v>-0.59196208571546938</v>
      </c>
      <c r="N963">
        <f t="shared" si="88"/>
        <v>0</v>
      </c>
      <c r="O963">
        <f t="shared" si="89"/>
        <v>0</v>
      </c>
      <c r="P963">
        <f t="shared" si="86"/>
        <v>4250</v>
      </c>
      <c r="Q963">
        <f t="shared" si="90"/>
        <v>4250</v>
      </c>
      <c r="T963" s="16">
        <f t="shared" si="91"/>
        <v>-0.59196208571546971</v>
      </c>
    </row>
    <row r="964" spans="7:20" ht="14.4" x14ac:dyDescent="0.25">
      <c r="G964" s="10">
        <v>3910</v>
      </c>
      <c r="H964" s="9">
        <v>27876</v>
      </c>
      <c r="I964" s="14">
        <f>DATE(2012,12,31)-846</f>
        <v>40428</v>
      </c>
      <c r="J964" s="15" t="s">
        <v>25</v>
      </c>
      <c r="K964" s="9">
        <v>44</v>
      </c>
      <c r="L964" s="16" t="s">
        <v>26</v>
      </c>
      <c r="M964" s="16">
        <f t="shared" si="87"/>
        <v>1.2726518830035094</v>
      </c>
      <c r="N964">
        <f t="shared" si="88"/>
        <v>0</v>
      </c>
      <c r="O964">
        <f t="shared" si="89"/>
        <v>0</v>
      </c>
      <c r="P964">
        <f t="shared" si="86"/>
        <v>5600</v>
      </c>
      <c r="Q964">
        <f t="shared" si="90"/>
        <v>5600</v>
      </c>
      <c r="T964" s="16">
        <f t="shared" si="91"/>
        <v>1.272651883003509</v>
      </c>
    </row>
    <row r="965" spans="7:20" ht="14.4" x14ac:dyDescent="0.25">
      <c r="G965" s="10">
        <v>4005</v>
      </c>
      <c r="H965" s="9">
        <v>28582</v>
      </c>
      <c r="I965" s="14">
        <f>DATE(2012,12,31)-344</f>
        <v>40930</v>
      </c>
      <c r="J965" s="15" t="s">
        <v>28</v>
      </c>
      <c r="K965" s="9">
        <v>40</v>
      </c>
      <c r="L965" s="16" t="s">
        <v>27</v>
      </c>
      <c r="M965" s="16">
        <f t="shared" si="87"/>
        <v>0.99641277652662363</v>
      </c>
      <c r="N965">
        <f t="shared" si="88"/>
        <v>0</v>
      </c>
      <c r="O965">
        <f t="shared" si="89"/>
        <v>0</v>
      </c>
      <c r="P965">
        <f t="shared" si="86"/>
        <v>5400</v>
      </c>
      <c r="Q965">
        <f t="shared" si="90"/>
        <v>5400</v>
      </c>
      <c r="T965" s="16">
        <f t="shared" si="91"/>
        <v>0.9964127765266233</v>
      </c>
    </row>
    <row r="966" spans="7:20" ht="14.4" x14ac:dyDescent="0.25">
      <c r="G966" s="10">
        <v>4006</v>
      </c>
      <c r="H966" s="9">
        <v>28582</v>
      </c>
      <c r="I966" s="14">
        <f>DATE(2012,12,31)-344</f>
        <v>40930</v>
      </c>
      <c r="J966" s="15" t="s">
        <v>28</v>
      </c>
      <c r="K966" s="9">
        <v>45</v>
      </c>
      <c r="L966" s="16" t="s">
        <v>26</v>
      </c>
      <c r="M966" s="16">
        <f t="shared" si="87"/>
        <v>1.3417116596227308</v>
      </c>
      <c r="N966">
        <f t="shared" si="88"/>
        <v>0</v>
      </c>
      <c r="O966">
        <f t="shared" si="89"/>
        <v>0</v>
      </c>
      <c r="P966">
        <f t="shared" si="86"/>
        <v>5650</v>
      </c>
      <c r="Q966">
        <f t="shared" si="90"/>
        <v>5650</v>
      </c>
      <c r="T966" s="16">
        <f t="shared" si="91"/>
        <v>1.3417116596227305</v>
      </c>
    </row>
    <row r="967" spans="7:20" ht="14.4" x14ac:dyDescent="0.25">
      <c r="G967" s="10">
        <v>4048</v>
      </c>
      <c r="H967" s="9">
        <v>28868</v>
      </c>
      <c r="I967" s="14">
        <f>DATE(2012,12,31)-270</f>
        <v>41004</v>
      </c>
      <c r="J967" s="15" t="s">
        <v>17</v>
      </c>
      <c r="K967" s="9">
        <v>30</v>
      </c>
      <c r="L967" s="16" t="s">
        <v>26</v>
      </c>
      <c r="M967" s="16">
        <f t="shared" si="87"/>
        <v>0.30581501033440933</v>
      </c>
      <c r="N967">
        <f t="shared" si="88"/>
        <v>0</v>
      </c>
      <c r="O967">
        <f t="shared" si="89"/>
        <v>0</v>
      </c>
      <c r="P967">
        <f t="shared" si="86"/>
        <v>4900</v>
      </c>
      <c r="Q967">
        <f t="shared" si="90"/>
        <v>4900</v>
      </c>
      <c r="T967" s="16">
        <f t="shared" si="91"/>
        <v>0.30581501033440894</v>
      </c>
    </row>
    <row r="968" spans="7:20" ht="14.4" x14ac:dyDescent="0.25">
      <c r="G968" s="10">
        <v>4200</v>
      </c>
      <c r="H968" s="9">
        <v>29857</v>
      </c>
      <c r="I968" s="14">
        <f>DATE(2012,12,31)-1115</f>
        <v>40159</v>
      </c>
      <c r="J968" s="15" t="s">
        <v>16</v>
      </c>
      <c r="K968" s="9">
        <v>41</v>
      </c>
      <c r="L968" s="16" t="s">
        <v>29</v>
      </c>
      <c r="M968" s="16">
        <f t="shared" si="87"/>
        <v>1.0654725531458451</v>
      </c>
      <c r="N968">
        <f t="shared" si="88"/>
        <v>0</v>
      </c>
      <c r="O968">
        <f t="shared" si="89"/>
        <v>0</v>
      </c>
      <c r="P968">
        <f t="shared" si="86"/>
        <v>5450</v>
      </c>
      <c r="Q968">
        <f t="shared" si="90"/>
        <v>5450</v>
      </c>
      <c r="T968" s="16">
        <f t="shared" si="91"/>
        <v>1.0654725531458447</v>
      </c>
    </row>
    <row r="969" spans="7:20" ht="14.4" x14ac:dyDescent="0.25">
      <c r="G969" s="10">
        <v>4209</v>
      </c>
      <c r="H969" s="9">
        <v>29921</v>
      </c>
      <c r="I969" s="14">
        <f>DATE(2012,12,31)-283</f>
        <v>40991</v>
      </c>
      <c r="J969" s="15" t="s">
        <v>16</v>
      </c>
      <c r="K969" s="9">
        <v>33</v>
      </c>
      <c r="L969" s="16" t="s">
        <v>26</v>
      </c>
      <c r="M969" s="16">
        <f t="shared" si="87"/>
        <v>0.51299434019207357</v>
      </c>
      <c r="N969">
        <f t="shared" si="88"/>
        <v>0</v>
      </c>
      <c r="O969">
        <f t="shared" si="89"/>
        <v>0</v>
      </c>
      <c r="P969">
        <f t="shared" si="86"/>
        <v>5050</v>
      </c>
      <c r="Q969">
        <f t="shared" si="90"/>
        <v>5050</v>
      </c>
      <c r="T969" s="16">
        <f t="shared" si="91"/>
        <v>0.51299434019207324</v>
      </c>
    </row>
    <row r="970" spans="7:20" ht="14.4" x14ac:dyDescent="0.25">
      <c r="G970" s="10">
        <v>4307</v>
      </c>
      <c r="H970" s="9">
        <v>30659</v>
      </c>
      <c r="I970" s="14">
        <f>DATE(2012,12,31)-475</f>
        <v>40799</v>
      </c>
      <c r="J970" s="15" t="s">
        <v>30</v>
      </c>
      <c r="K970" s="9">
        <v>45</v>
      </c>
      <c r="L970" s="16" t="s">
        <v>27</v>
      </c>
      <c r="M970" s="16">
        <f t="shared" si="87"/>
        <v>1.3417116596227308</v>
      </c>
      <c r="N970">
        <f t="shared" si="88"/>
        <v>0</v>
      </c>
      <c r="O970">
        <f t="shared" si="89"/>
        <v>0</v>
      </c>
      <c r="P970">
        <f t="shared" si="86"/>
        <v>5650</v>
      </c>
      <c r="Q970">
        <f t="shared" si="90"/>
        <v>5650</v>
      </c>
      <c r="T970" s="16">
        <f t="shared" si="91"/>
        <v>1.3417116596227305</v>
      </c>
    </row>
    <row r="971" spans="7:20" ht="14.4" x14ac:dyDescent="0.25">
      <c r="G971" s="10">
        <v>4308</v>
      </c>
      <c r="H971" s="9">
        <v>30660</v>
      </c>
      <c r="I971" s="14">
        <f>DATE(2012,12,31)-117</f>
        <v>41157</v>
      </c>
      <c r="J971" s="15" t="s">
        <v>30</v>
      </c>
      <c r="K971" s="9">
        <v>16</v>
      </c>
      <c r="L971" s="16" t="s">
        <v>29</v>
      </c>
      <c r="M971" s="16">
        <f t="shared" si="87"/>
        <v>-0.66102186233469074</v>
      </c>
      <c r="N971">
        <f t="shared" si="88"/>
        <v>0</v>
      </c>
      <c r="O971">
        <f t="shared" si="89"/>
        <v>0</v>
      </c>
      <c r="P971">
        <f t="shared" si="86"/>
        <v>4200</v>
      </c>
      <c r="Q971">
        <f t="shared" si="90"/>
        <v>4200</v>
      </c>
      <c r="T971" s="16">
        <f t="shared" si="91"/>
        <v>-0.66102186233469118</v>
      </c>
    </row>
    <row r="972" spans="7:20" ht="14.4" x14ac:dyDescent="0.25">
      <c r="G972" s="10">
        <v>4332</v>
      </c>
      <c r="H972" s="9">
        <v>30883</v>
      </c>
      <c r="I972" s="14">
        <f>DATE(2012,12,31)-863</f>
        <v>40411</v>
      </c>
      <c r="J972" s="15" t="s">
        <v>16</v>
      </c>
      <c r="K972" s="9">
        <v>30</v>
      </c>
      <c r="L972" s="16" t="s">
        <v>26</v>
      </c>
      <c r="M972" s="16">
        <f t="shared" si="87"/>
        <v>0.30581501033440933</v>
      </c>
      <c r="N972">
        <f t="shared" si="88"/>
        <v>0</v>
      </c>
      <c r="O972">
        <f t="shared" si="89"/>
        <v>0</v>
      </c>
      <c r="P972">
        <f t="shared" ref="P972:P1035" si="92">50*K972+$P$10</f>
        <v>4900</v>
      </c>
      <c r="Q972">
        <f t="shared" si="90"/>
        <v>4900</v>
      </c>
      <c r="T972" s="16">
        <f t="shared" si="91"/>
        <v>0.30581501033440894</v>
      </c>
    </row>
    <row r="973" spans="7:20" ht="14.4" x14ac:dyDescent="0.25">
      <c r="G973" s="10">
        <v>4619</v>
      </c>
      <c r="H973" s="9">
        <v>32871</v>
      </c>
      <c r="I973" s="14">
        <f>DATE(2012,12,31)-66</f>
        <v>41208</v>
      </c>
      <c r="J973" s="15" t="s">
        <v>17</v>
      </c>
      <c r="K973" s="9">
        <v>42</v>
      </c>
      <c r="L973" s="16" t="s">
        <v>27</v>
      </c>
      <c r="M973" s="16">
        <f t="shared" ref="M973:M1036" si="93">(K973-$K$4)/$K$7</f>
        <v>1.1345323297650665</v>
      </c>
      <c r="N973">
        <f t="shared" ref="N973:N1036" si="94">IF(MOD($B$20+G973,1000)=0,1,0)</f>
        <v>0</v>
      </c>
      <c r="O973">
        <f t="shared" ref="O973:O1036" si="95">+ROUND(N973*(IF(K973&lt;$K$4,-4.5,10.5)*$P$5),-2)</f>
        <v>0</v>
      </c>
      <c r="P973">
        <f t="shared" si="92"/>
        <v>5500</v>
      </c>
      <c r="Q973">
        <f t="shared" ref="Q973:Q1036" si="96">P973+O973</f>
        <v>5500</v>
      </c>
      <c r="T973" s="16">
        <f t="shared" ref="T973:T1036" si="97">(Q973-$P$4)/$P$5</f>
        <v>1.1345323297650662</v>
      </c>
    </row>
    <row r="974" spans="7:20" ht="14.4" x14ac:dyDescent="0.25">
      <c r="G974" s="10">
        <v>4718</v>
      </c>
      <c r="H974" s="9">
        <v>33600</v>
      </c>
      <c r="I974" s="14">
        <f>DATE(2012,12,31)-817</f>
        <v>40457</v>
      </c>
      <c r="J974" s="15" t="s">
        <v>25</v>
      </c>
      <c r="K974" s="9">
        <v>42</v>
      </c>
      <c r="L974" s="16" t="s">
        <v>26</v>
      </c>
      <c r="M974" s="16">
        <f t="shared" si="93"/>
        <v>1.1345323297650665</v>
      </c>
      <c r="N974">
        <f t="shared" si="94"/>
        <v>0</v>
      </c>
      <c r="O974">
        <f t="shared" si="95"/>
        <v>0</v>
      </c>
      <c r="P974">
        <f t="shared" si="92"/>
        <v>5500</v>
      </c>
      <c r="Q974">
        <f t="shared" si="96"/>
        <v>5500</v>
      </c>
      <c r="T974" s="16">
        <f t="shared" si="97"/>
        <v>1.1345323297650662</v>
      </c>
    </row>
    <row r="975" spans="7:20" ht="14.4" x14ac:dyDescent="0.25">
      <c r="G975" s="10">
        <v>4722</v>
      </c>
      <c r="H975" s="9">
        <v>33632</v>
      </c>
      <c r="I975" s="14">
        <f>DATE(2012,12,31)-1024</f>
        <v>40250</v>
      </c>
      <c r="J975" s="15" t="s">
        <v>30</v>
      </c>
      <c r="K975" s="9">
        <v>8</v>
      </c>
      <c r="L975" s="16" t="s">
        <v>27</v>
      </c>
      <c r="M975" s="16">
        <f t="shared" si="93"/>
        <v>-1.2135000752884624</v>
      </c>
      <c r="N975">
        <f t="shared" si="94"/>
        <v>0</v>
      </c>
      <c r="O975">
        <f t="shared" si="95"/>
        <v>0</v>
      </c>
      <c r="P975">
        <f t="shared" si="92"/>
        <v>3800</v>
      </c>
      <c r="Q975">
        <f t="shared" si="96"/>
        <v>3800</v>
      </c>
      <c r="T975" s="16">
        <f t="shared" si="97"/>
        <v>-1.2135000752884626</v>
      </c>
    </row>
    <row r="976" spans="7:20" ht="14.4" x14ac:dyDescent="0.25">
      <c r="G976" s="10">
        <v>4727</v>
      </c>
      <c r="H976" s="9">
        <v>33665</v>
      </c>
      <c r="I976" s="14">
        <f>DATE(2012,12,31)-586</f>
        <v>40688</v>
      </c>
      <c r="J976" s="15" t="s">
        <v>25</v>
      </c>
      <c r="K976" s="9">
        <v>45</v>
      </c>
      <c r="L976" s="16" t="s">
        <v>29</v>
      </c>
      <c r="M976" s="16">
        <f t="shared" si="93"/>
        <v>1.3417116596227308</v>
      </c>
      <c r="N976">
        <f t="shared" si="94"/>
        <v>0</v>
      </c>
      <c r="O976">
        <f t="shared" si="95"/>
        <v>0</v>
      </c>
      <c r="P976">
        <f t="shared" si="92"/>
        <v>5650</v>
      </c>
      <c r="Q976">
        <f t="shared" si="96"/>
        <v>5650</v>
      </c>
      <c r="T976" s="16">
        <f t="shared" si="97"/>
        <v>1.3417116596227305</v>
      </c>
    </row>
    <row r="977" spans="7:20" ht="14.4" x14ac:dyDescent="0.25">
      <c r="G977" s="10">
        <v>4841</v>
      </c>
      <c r="H977" s="9">
        <v>34434</v>
      </c>
      <c r="I977" s="14">
        <f>DATE(2012,12,31)-602</f>
        <v>40672</v>
      </c>
      <c r="J977" s="15" t="s">
        <v>28</v>
      </c>
      <c r="K977" s="9">
        <v>16</v>
      </c>
      <c r="L977" s="16" t="s">
        <v>26</v>
      </c>
      <c r="M977" s="16">
        <f t="shared" si="93"/>
        <v>-0.66102186233469074</v>
      </c>
      <c r="N977">
        <f t="shared" si="94"/>
        <v>0</v>
      </c>
      <c r="O977">
        <f t="shared" si="95"/>
        <v>0</v>
      </c>
      <c r="P977">
        <f t="shared" si="92"/>
        <v>4200</v>
      </c>
      <c r="Q977">
        <f t="shared" si="96"/>
        <v>4200</v>
      </c>
      <c r="T977" s="16">
        <f t="shared" si="97"/>
        <v>-0.66102186233469118</v>
      </c>
    </row>
    <row r="978" spans="7:20" ht="14.4" x14ac:dyDescent="0.25">
      <c r="G978" s="10">
        <v>4842</v>
      </c>
      <c r="H978" s="9">
        <v>34434</v>
      </c>
      <c r="I978" s="14">
        <f>DATE(2012,12,31)-602</f>
        <v>40672</v>
      </c>
      <c r="J978" s="15" t="s">
        <v>28</v>
      </c>
      <c r="K978" s="9">
        <v>23</v>
      </c>
      <c r="L978" s="16" t="s">
        <v>26</v>
      </c>
      <c r="M978" s="16">
        <f t="shared" si="93"/>
        <v>-0.17760342600014073</v>
      </c>
      <c r="N978">
        <f t="shared" si="94"/>
        <v>0</v>
      </c>
      <c r="O978">
        <f t="shared" si="95"/>
        <v>0</v>
      </c>
      <c r="P978">
        <f t="shared" si="92"/>
        <v>4550</v>
      </c>
      <c r="Q978">
        <f t="shared" si="96"/>
        <v>4550</v>
      </c>
      <c r="T978" s="16">
        <f t="shared" si="97"/>
        <v>-0.17760342600014112</v>
      </c>
    </row>
    <row r="979" spans="7:20" ht="14.4" x14ac:dyDescent="0.25">
      <c r="G979" s="10">
        <v>4885</v>
      </c>
      <c r="H979" s="9">
        <v>34753</v>
      </c>
      <c r="I979" s="14">
        <f>DATE(2012,12,31)-1078</f>
        <v>40196</v>
      </c>
      <c r="J979" s="15" t="s">
        <v>28</v>
      </c>
      <c r="K979" s="9">
        <v>7</v>
      </c>
      <c r="L979" s="16" t="s">
        <v>27</v>
      </c>
      <c r="M979" s="16">
        <f t="shared" si="93"/>
        <v>-1.2825598519076837</v>
      </c>
      <c r="N979">
        <f t="shared" si="94"/>
        <v>0</v>
      </c>
      <c r="O979">
        <f t="shared" si="95"/>
        <v>0</v>
      </c>
      <c r="P979">
        <f t="shared" si="92"/>
        <v>3750</v>
      </c>
      <c r="Q979">
        <f t="shared" si="96"/>
        <v>3750</v>
      </c>
      <c r="T979" s="16">
        <f t="shared" si="97"/>
        <v>-1.2825598519076842</v>
      </c>
    </row>
    <row r="980" spans="7:20" ht="14.4" x14ac:dyDescent="0.25">
      <c r="G980" s="10">
        <v>4970</v>
      </c>
      <c r="H980" s="9">
        <v>35364</v>
      </c>
      <c r="I980" s="14">
        <f>DATE(2012,12,31)-1115</f>
        <v>40159</v>
      </c>
      <c r="J980" s="15" t="s">
        <v>30</v>
      </c>
      <c r="K980" s="9">
        <v>16</v>
      </c>
      <c r="L980" s="16" t="s">
        <v>26</v>
      </c>
      <c r="M980" s="16">
        <f t="shared" si="93"/>
        <v>-0.66102186233469074</v>
      </c>
      <c r="N980">
        <f t="shared" si="94"/>
        <v>0</v>
      </c>
      <c r="O980">
        <f t="shared" si="95"/>
        <v>0</v>
      </c>
      <c r="P980">
        <f t="shared" si="92"/>
        <v>4200</v>
      </c>
      <c r="Q980">
        <f t="shared" si="96"/>
        <v>4200</v>
      </c>
      <c r="T980" s="16">
        <f t="shared" si="97"/>
        <v>-0.66102186233469118</v>
      </c>
    </row>
    <row r="981" spans="7:20" ht="14.4" x14ac:dyDescent="0.25">
      <c r="G981" s="10">
        <v>4971</v>
      </c>
      <c r="H981" s="9">
        <v>35364</v>
      </c>
      <c r="I981" s="14">
        <f>DATE(2012,12,31)-1115</f>
        <v>40159</v>
      </c>
      <c r="J981" s="15" t="s">
        <v>30</v>
      </c>
      <c r="K981" s="9">
        <v>29</v>
      </c>
      <c r="L981" s="16" t="s">
        <v>29</v>
      </c>
      <c r="M981" s="16">
        <f t="shared" si="93"/>
        <v>0.23675523371518786</v>
      </c>
      <c r="N981">
        <f t="shared" si="94"/>
        <v>0</v>
      </c>
      <c r="O981">
        <f t="shared" si="95"/>
        <v>0</v>
      </c>
      <c r="P981">
        <f t="shared" si="92"/>
        <v>4850</v>
      </c>
      <c r="Q981">
        <f t="shared" si="96"/>
        <v>4850</v>
      </c>
      <c r="T981" s="16">
        <f t="shared" si="97"/>
        <v>0.2367552337151875</v>
      </c>
    </row>
    <row r="982" spans="7:20" ht="14.4" x14ac:dyDescent="0.25">
      <c r="G982" s="10">
        <v>4972</v>
      </c>
      <c r="H982" s="9">
        <v>35364</v>
      </c>
      <c r="I982" s="14">
        <f>DATE(2012,12,31)-1115</f>
        <v>40159</v>
      </c>
      <c r="J982" s="15" t="s">
        <v>30</v>
      </c>
      <c r="K982" s="9">
        <v>37</v>
      </c>
      <c r="L982" s="16" t="s">
        <v>29</v>
      </c>
      <c r="M982" s="16">
        <f t="shared" si="93"/>
        <v>0.78923344666895934</v>
      </c>
      <c r="N982">
        <f t="shared" si="94"/>
        <v>0</v>
      </c>
      <c r="O982">
        <f t="shared" si="95"/>
        <v>0</v>
      </c>
      <c r="P982">
        <f t="shared" si="92"/>
        <v>5250</v>
      </c>
      <c r="Q982">
        <f t="shared" si="96"/>
        <v>5250</v>
      </c>
      <c r="T982" s="16">
        <f t="shared" si="97"/>
        <v>0.789233446668959</v>
      </c>
    </row>
    <row r="983" spans="7:20" ht="14.4" x14ac:dyDescent="0.25">
      <c r="G983" s="10">
        <v>4973</v>
      </c>
      <c r="H983" s="9">
        <v>35364</v>
      </c>
      <c r="I983" s="14">
        <f>DATE(2012,12,31)-1115</f>
        <v>40159</v>
      </c>
      <c r="J983" s="15" t="s">
        <v>30</v>
      </c>
      <c r="K983" s="9">
        <v>8</v>
      </c>
      <c r="L983" s="16" t="s">
        <v>27</v>
      </c>
      <c r="M983" s="16">
        <f t="shared" si="93"/>
        <v>-1.2135000752884624</v>
      </c>
      <c r="N983">
        <f t="shared" si="94"/>
        <v>0</v>
      </c>
      <c r="O983">
        <f t="shared" si="95"/>
        <v>0</v>
      </c>
      <c r="P983">
        <f t="shared" si="92"/>
        <v>3800</v>
      </c>
      <c r="Q983">
        <f t="shared" si="96"/>
        <v>3800</v>
      </c>
      <c r="T983" s="16">
        <f t="shared" si="97"/>
        <v>-1.2135000752884626</v>
      </c>
    </row>
    <row r="984" spans="7:20" ht="14.4" x14ac:dyDescent="0.25">
      <c r="G984" s="10">
        <v>5019</v>
      </c>
      <c r="H984" s="9">
        <v>35812</v>
      </c>
      <c r="I984" s="14">
        <f>DATE(2012,12,31)-1074</f>
        <v>40200</v>
      </c>
      <c r="J984" s="15" t="s">
        <v>30</v>
      </c>
      <c r="K984" s="9">
        <v>24</v>
      </c>
      <c r="L984" s="16" t="s">
        <v>29</v>
      </c>
      <c r="M984" s="16">
        <f t="shared" si="93"/>
        <v>-0.1085436493809193</v>
      </c>
      <c r="N984">
        <f t="shared" si="94"/>
        <v>0</v>
      </c>
      <c r="O984">
        <f t="shared" si="95"/>
        <v>0</v>
      </c>
      <c r="P984">
        <f t="shared" si="92"/>
        <v>4600</v>
      </c>
      <c r="Q984">
        <f t="shared" si="96"/>
        <v>4600</v>
      </c>
      <c r="T984" s="16">
        <f t="shared" si="97"/>
        <v>-0.10854364938091969</v>
      </c>
    </row>
    <row r="985" spans="7:20" ht="14.4" x14ac:dyDescent="0.25">
      <c r="G985" s="10">
        <v>5020</v>
      </c>
      <c r="H985" s="9">
        <v>35812</v>
      </c>
      <c r="I985" s="14">
        <f>DATE(2012,12,31)-1074</f>
        <v>40200</v>
      </c>
      <c r="J985" s="15" t="s">
        <v>30</v>
      </c>
      <c r="K985" s="9">
        <v>2</v>
      </c>
      <c r="L985" s="16" t="s">
        <v>27</v>
      </c>
      <c r="M985" s="16">
        <f t="shared" si="93"/>
        <v>-1.627858735003791</v>
      </c>
      <c r="N985">
        <f t="shared" si="94"/>
        <v>0</v>
      </c>
      <c r="O985">
        <f t="shared" si="95"/>
        <v>0</v>
      </c>
      <c r="P985">
        <f t="shared" si="92"/>
        <v>3500</v>
      </c>
      <c r="Q985">
        <f t="shared" si="96"/>
        <v>3500</v>
      </c>
      <c r="T985" s="16">
        <f t="shared" si="97"/>
        <v>-1.6278587350037912</v>
      </c>
    </row>
    <row r="986" spans="7:20" ht="14.4" x14ac:dyDescent="0.25">
      <c r="G986" s="10">
        <v>5021</v>
      </c>
      <c r="H986" s="9">
        <v>35812</v>
      </c>
      <c r="I986" s="14">
        <f>DATE(2012,12,31)-1074</f>
        <v>40200</v>
      </c>
      <c r="J986" s="15" t="s">
        <v>30</v>
      </c>
      <c r="K986" s="9">
        <v>19</v>
      </c>
      <c r="L986" s="16" t="s">
        <v>26</v>
      </c>
      <c r="M986" s="16">
        <f t="shared" si="93"/>
        <v>-0.45384253247702649</v>
      </c>
      <c r="N986">
        <f t="shared" si="94"/>
        <v>0</v>
      </c>
      <c r="O986">
        <f t="shared" si="95"/>
        <v>0</v>
      </c>
      <c r="P986">
        <f t="shared" si="92"/>
        <v>4350</v>
      </c>
      <c r="Q986">
        <f t="shared" si="96"/>
        <v>4350</v>
      </c>
      <c r="T986" s="16">
        <f t="shared" si="97"/>
        <v>-0.45384253247702688</v>
      </c>
    </row>
    <row r="987" spans="7:20" ht="14.4" x14ac:dyDescent="0.25">
      <c r="G987" s="10">
        <v>5212</v>
      </c>
      <c r="H987" s="9">
        <v>37063</v>
      </c>
      <c r="I987" s="14">
        <f>DATE(2012,12,31)-22</f>
        <v>41252</v>
      </c>
      <c r="J987" s="15" t="s">
        <v>28</v>
      </c>
      <c r="K987" s="9">
        <v>50</v>
      </c>
      <c r="L987" s="16" t="s">
        <v>29</v>
      </c>
      <c r="M987" s="16">
        <f t="shared" si="93"/>
        <v>1.687010542718838</v>
      </c>
      <c r="N987">
        <f t="shared" si="94"/>
        <v>0</v>
      </c>
      <c r="O987">
        <f t="shared" si="95"/>
        <v>0</v>
      </c>
      <c r="P987">
        <f t="shared" si="92"/>
        <v>5900</v>
      </c>
      <c r="Q987">
        <f t="shared" si="96"/>
        <v>5900</v>
      </c>
      <c r="T987" s="16">
        <f t="shared" si="97"/>
        <v>1.6870105427188375</v>
      </c>
    </row>
    <row r="988" spans="7:20" ht="14.4" x14ac:dyDescent="0.25">
      <c r="G988" s="10">
        <v>5238</v>
      </c>
      <c r="H988" s="9">
        <v>37281</v>
      </c>
      <c r="I988" s="14">
        <f>DATE(2012,12,31)-1221</f>
        <v>40053</v>
      </c>
      <c r="J988" s="15" t="s">
        <v>16</v>
      </c>
      <c r="K988" s="9">
        <v>25</v>
      </c>
      <c r="L988" s="16" t="s">
        <v>27</v>
      </c>
      <c r="M988" s="16">
        <f t="shared" si="93"/>
        <v>-3.9483872761697868E-2</v>
      </c>
      <c r="N988">
        <f t="shared" si="94"/>
        <v>0</v>
      </c>
      <c r="O988">
        <f t="shared" si="95"/>
        <v>0</v>
      </c>
      <c r="P988">
        <f t="shared" si="92"/>
        <v>4650</v>
      </c>
      <c r="Q988">
        <f t="shared" si="96"/>
        <v>4650</v>
      </c>
      <c r="T988" s="16">
        <f t="shared" si="97"/>
        <v>-3.9483872761698249E-2</v>
      </c>
    </row>
    <row r="989" spans="7:20" ht="14.4" x14ac:dyDescent="0.25">
      <c r="G989" s="10">
        <v>5315</v>
      </c>
      <c r="H989" s="9">
        <v>37798</v>
      </c>
      <c r="I989" s="14">
        <f>DATE(2012,12,31)-57</f>
        <v>41217</v>
      </c>
      <c r="J989" s="15" t="s">
        <v>17</v>
      </c>
      <c r="K989" s="9">
        <v>23</v>
      </c>
      <c r="L989" s="16" t="s">
        <v>29</v>
      </c>
      <c r="M989" s="16">
        <f t="shared" si="93"/>
        <v>-0.17760342600014073</v>
      </c>
      <c r="N989">
        <f t="shared" si="94"/>
        <v>0</v>
      </c>
      <c r="O989">
        <f t="shared" si="95"/>
        <v>0</v>
      </c>
      <c r="P989">
        <f t="shared" si="92"/>
        <v>4550</v>
      </c>
      <c r="Q989">
        <f t="shared" si="96"/>
        <v>4550</v>
      </c>
      <c r="T989" s="16">
        <f t="shared" si="97"/>
        <v>-0.17760342600014112</v>
      </c>
    </row>
    <row r="990" spans="7:20" ht="14.4" x14ac:dyDescent="0.25">
      <c r="G990" s="10">
        <v>5347</v>
      </c>
      <c r="H990" s="9">
        <v>38017</v>
      </c>
      <c r="I990" s="14">
        <f>DATE(2012,12,31)-895</f>
        <v>40379</v>
      </c>
      <c r="J990" s="15" t="s">
        <v>25</v>
      </c>
      <c r="K990" s="9">
        <v>26</v>
      </c>
      <c r="L990" s="16" t="s">
        <v>26</v>
      </c>
      <c r="M990" s="16">
        <f t="shared" si="93"/>
        <v>2.9575903857523567E-2</v>
      </c>
      <c r="N990">
        <f t="shared" si="94"/>
        <v>0</v>
      </c>
      <c r="O990">
        <f t="shared" si="95"/>
        <v>0</v>
      </c>
      <c r="P990">
        <f t="shared" si="92"/>
        <v>4700</v>
      </c>
      <c r="Q990">
        <f t="shared" si="96"/>
        <v>4700</v>
      </c>
      <c r="T990" s="16">
        <f t="shared" si="97"/>
        <v>2.9575903857523185E-2</v>
      </c>
    </row>
    <row r="991" spans="7:20" ht="14.4" x14ac:dyDescent="0.25">
      <c r="G991" s="10">
        <v>5348</v>
      </c>
      <c r="H991" s="9">
        <v>38017</v>
      </c>
      <c r="I991" s="14">
        <f>DATE(2012,12,31)-895</f>
        <v>40379</v>
      </c>
      <c r="J991" s="15" t="s">
        <v>25</v>
      </c>
      <c r="K991" s="9">
        <v>27</v>
      </c>
      <c r="L991" s="16" t="s">
        <v>27</v>
      </c>
      <c r="M991" s="16">
        <f t="shared" si="93"/>
        <v>9.8635680476745008E-2</v>
      </c>
      <c r="N991">
        <f t="shared" si="94"/>
        <v>0</v>
      </c>
      <c r="O991">
        <f t="shared" si="95"/>
        <v>0</v>
      </c>
      <c r="P991">
        <f t="shared" si="92"/>
        <v>4750</v>
      </c>
      <c r="Q991">
        <f t="shared" si="96"/>
        <v>4750</v>
      </c>
      <c r="T991" s="16">
        <f t="shared" si="97"/>
        <v>9.8635680476744619E-2</v>
      </c>
    </row>
    <row r="992" spans="7:20" ht="14.4" x14ac:dyDescent="0.25">
      <c r="G992" s="10">
        <v>5380</v>
      </c>
      <c r="H992" s="9">
        <v>38272</v>
      </c>
      <c r="I992" s="14">
        <f>DATE(2012,12,31)-412</f>
        <v>40862</v>
      </c>
      <c r="J992" s="15" t="s">
        <v>30</v>
      </c>
      <c r="K992" s="9">
        <v>39</v>
      </c>
      <c r="L992" s="16" t="s">
        <v>26</v>
      </c>
      <c r="M992" s="16">
        <f t="shared" si="93"/>
        <v>0.92735299990740228</v>
      </c>
      <c r="N992">
        <f t="shared" si="94"/>
        <v>0</v>
      </c>
      <c r="O992">
        <f t="shared" si="95"/>
        <v>0</v>
      </c>
      <c r="P992">
        <f t="shared" si="92"/>
        <v>5350</v>
      </c>
      <c r="Q992">
        <f t="shared" si="96"/>
        <v>5350</v>
      </c>
      <c r="T992" s="16">
        <f t="shared" si="97"/>
        <v>0.92735299990740183</v>
      </c>
    </row>
    <row r="993" spans="7:20" ht="14.4" x14ac:dyDescent="0.25">
      <c r="G993" s="10">
        <v>5551</v>
      </c>
      <c r="H993" s="9">
        <v>39301</v>
      </c>
      <c r="I993" s="14">
        <f>DATE(2012,12,31)-1380</f>
        <v>39894</v>
      </c>
      <c r="J993" s="15" t="s">
        <v>16</v>
      </c>
      <c r="K993" s="9">
        <v>16</v>
      </c>
      <c r="L993" s="16" t="s">
        <v>27</v>
      </c>
      <c r="M993" s="16">
        <f t="shared" si="93"/>
        <v>-0.66102186233469074</v>
      </c>
      <c r="N993">
        <f t="shared" si="94"/>
        <v>0</v>
      </c>
      <c r="O993">
        <f t="shared" si="95"/>
        <v>0</v>
      </c>
      <c r="P993">
        <f t="shared" si="92"/>
        <v>4200</v>
      </c>
      <c r="Q993">
        <f t="shared" si="96"/>
        <v>4200</v>
      </c>
      <c r="T993" s="16">
        <f t="shared" si="97"/>
        <v>-0.66102186233469118</v>
      </c>
    </row>
    <row r="994" spans="7:20" ht="14.4" x14ac:dyDescent="0.25">
      <c r="G994" s="10">
        <v>5562</v>
      </c>
      <c r="H994" s="9">
        <v>39367</v>
      </c>
      <c r="I994" s="14">
        <f>DATE(2012,12,31)-1243</f>
        <v>40031</v>
      </c>
      <c r="J994" s="15" t="s">
        <v>30</v>
      </c>
      <c r="K994" s="9">
        <v>45</v>
      </c>
      <c r="L994" s="16" t="s">
        <v>26</v>
      </c>
      <c r="M994" s="16">
        <f t="shared" si="93"/>
        <v>1.3417116596227308</v>
      </c>
      <c r="N994">
        <f t="shared" si="94"/>
        <v>0</v>
      </c>
      <c r="O994">
        <f t="shared" si="95"/>
        <v>0</v>
      </c>
      <c r="P994">
        <f t="shared" si="92"/>
        <v>5650</v>
      </c>
      <c r="Q994">
        <f t="shared" si="96"/>
        <v>5650</v>
      </c>
      <c r="T994" s="16">
        <f t="shared" si="97"/>
        <v>1.3417116596227305</v>
      </c>
    </row>
    <row r="995" spans="7:20" ht="14.4" x14ac:dyDescent="0.25">
      <c r="G995" s="10">
        <v>5563</v>
      </c>
      <c r="H995" s="9">
        <v>39367</v>
      </c>
      <c r="I995" s="14">
        <f>DATE(2012,12,31)-1243</f>
        <v>40031</v>
      </c>
      <c r="J995" s="15" t="s">
        <v>30</v>
      </c>
      <c r="K995" s="9">
        <v>30</v>
      </c>
      <c r="L995" s="16" t="s">
        <v>26</v>
      </c>
      <c r="M995" s="16">
        <f t="shared" si="93"/>
        <v>0.30581501033440933</v>
      </c>
      <c r="N995">
        <f t="shared" si="94"/>
        <v>0</v>
      </c>
      <c r="O995">
        <f t="shared" si="95"/>
        <v>0</v>
      </c>
      <c r="P995">
        <f t="shared" si="92"/>
        <v>4900</v>
      </c>
      <c r="Q995">
        <f t="shared" si="96"/>
        <v>4900</v>
      </c>
      <c r="T995" s="16">
        <f t="shared" si="97"/>
        <v>0.30581501033440894</v>
      </c>
    </row>
    <row r="996" spans="7:20" ht="14.4" x14ac:dyDescent="0.25">
      <c r="G996" s="10">
        <v>5596</v>
      </c>
      <c r="H996" s="9">
        <v>39655</v>
      </c>
      <c r="I996" s="14">
        <f>DATE(2012,12,31)-283</f>
        <v>40991</v>
      </c>
      <c r="J996" s="15" t="s">
        <v>17</v>
      </c>
      <c r="K996" s="9">
        <v>35</v>
      </c>
      <c r="L996" s="16" t="s">
        <v>27</v>
      </c>
      <c r="M996" s="16">
        <f t="shared" si="93"/>
        <v>0.65111389343051651</v>
      </c>
      <c r="N996">
        <f t="shared" si="94"/>
        <v>0</v>
      </c>
      <c r="O996">
        <f t="shared" si="95"/>
        <v>0</v>
      </c>
      <c r="P996">
        <f t="shared" si="92"/>
        <v>5150</v>
      </c>
      <c r="Q996">
        <f t="shared" si="96"/>
        <v>5150</v>
      </c>
      <c r="T996" s="16">
        <f t="shared" si="97"/>
        <v>0.65111389343051607</v>
      </c>
    </row>
    <row r="997" spans="7:20" ht="14.4" x14ac:dyDescent="0.25">
      <c r="G997" s="10">
        <v>5744</v>
      </c>
      <c r="H997" s="9">
        <v>40803</v>
      </c>
      <c r="I997" s="14">
        <f>DATE(2012,12,31)-628</f>
        <v>40646</v>
      </c>
      <c r="J997" s="15" t="s">
        <v>25</v>
      </c>
      <c r="K997" s="9">
        <v>22</v>
      </c>
      <c r="L997" s="16" t="s">
        <v>26</v>
      </c>
      <c r="M997" s="16">
        <f t="shared" si="93"/>
        <v>-0.24666320261936217</v>
      </c>
      <c r="N997">
        <f t="shared" si="94"/>
        <v>0</v>
      </c>
      <c r="O997">
        <f t="shared" si="95"/>
        <v>0</v>
      </c>
      <c r="P997">
        <f t="shared" si="92"/>
        <v>4500</v>
      </c>
      <c r="Q997">
        <f t="shared" si="96"/>
        <v>4500</v>
      </c>
      <c r="T997" s="16">
        <f t="shared" si="97"/>
        <v>-0.24666320261936256</v>
      </c>
    </row>
    <row r="998" spans="7:20" ht="14.4" x14ac:dyDescent="0.25">
      <c r="G998" s="10">
        <v>5745</v>
      </c>
      <c r="H998" s="9">
        <v>40803</v>
      </c>
      <c r="I998" s="14">
        <f>DATE(2012,12,31)-628</f>
        <v>40646</v>
      </c>
      <c r="J998" s="15" t="s">
        <v>25</v>
      </c>
      <c r="K998" s="9">
        <v>35</v>
      </c>
      <c r="L998" s="16" t="s">
        <v>29</v>
      </c>
      <c r="M998" s="16">
        <f t="shared" si="93"/>
        <v>0.65111389343051651</v>
      </c>
      <c r="N998">
        <f t="shared" si="94"/>
        <v>0</v>
      </c>
      <c r="O998">
        <f t="shared" si="95"/>
        <v>0</v>
      </c>
      <c r="P998">
        <f t="shared" si="92"/>
        <v>5150</v>
      </c>
      <c r="Q998">
        <f t="shared" si="96"/>
        <v>5150</v>
      </c>
      <c r="T998" s="16">
        <f t="shared" si="97"/>
        <v>0.65111389343051607</v>
      </c>
    </row>
    <row r="999" spans="7:20" ht="14.4" x14ac:dyDescent="0.25">
      <c r="G999" s="10">
        <v>5747</v>
      </c>
      <c r="H999" s="9">
        <v>40806</v>
      </c>
      <c r="I999" s="14">
        <f>DATE(2012,12,31)-482</f>
        <v>40792</v>
      </c>
      <c r="J999" s="15" t="s">
        <v>30</v>
      </c>
      <c r="K999" s="9">
        <v>8</v>
      </c>
      <c r="L999" s="16" t="s">
        <v>26</v>
      </c>
      <c r="M999" s="16">
        <f t="shared" si="93"/>
        <v>-1.2135000752884624</v>
      </c>
      <c r="N999">
        <f t="shared" si="94"/>
        <v>0</v>
      </c>
      <c r="O999">
        <f t="shared" si="95"/>
        <v>0</v>
      </c>
      <c r="P999">
        <f t="shared" si="92"/>
        <v>3800</v>
      </c>
      <c r="Q999">
        <f t="shared" si="96"/>
        <v>3800</v>
      </c>
      <c r="T999" s="16">
        <f t="shared" si="97"/>
        <v>-1.2135000752884626</v>
      </c>
    </row>
    <row r="1000" spans="7:20" ht="14.4" x14ac:dyDescent="0.25">
      <c r="G1000" s="10">
        <v>6147</v>
      </c>
      <c r="H1000" s="9">
        <v>43523</v>
      </c>
      <c r="I1000" s="14">
        <f>DATE(2012,12,31)-222</f>
        <v>41052</v>
      </c>
      <c r="J1000" s="15" t="s">
        <v>16</v>
      </c>
      <c r="K1000" s="9">
        <v>50</v>
      </c>
      <c r="L1000" s="16" t="s">
        <v>26</v>
      </c>
      <c r="M1000" s="16">
        <f t="shared" si="93"/>
        <v>1.687010542718838</v>
      </c>
      <c r="N1000">
        <f t="shared" si="94"/>
        <v>0</v>
      </c>
      <c r="O1000">
        <f t="shared" si="95"/>
        <v>0</v>
      </c>
      <c r="P1000">
        <f t="shared" si="92"/>
        <v>5900</v>
      </c>
      <c r="Q1000">
        <f t="shared" si="96"/>
        <v>5900</v>
      </c>
      <c r="T1000" s="16">
        <f t="shared" si="97"/>
        <v>1.6870105427188375</v>
      </c>
    </row>
    <row r="1001" spans="7:20" ht="14.4" x14ac:dyDescent="0.25">
      <c r="G1001" s="10">
        <v>6239</v>
      </c>
      <c r="H1001" s="9">
        <v>44199</v>
      </c>
      <c r="I1001" s="14">
        <f>DATE(2012,12,31)-302</f>
        <v>40972</v>
      </c>
      <c r="J1001" s="15" t="s">
        <v>25</v>
      </c>
      <c r="K1001" s="9">
        <v>12</v>
      </c>
      <c r="L1001" s="16" t="s">
        <v>26</v>
      </c>
      <c r="M1001" s="16">
        <f t="shared" si="93"/>
        <v>-0.9372609688115765</v>
      </c>
      <c r="N1001">
        <f t="shared" si="94"/>
        <v>0</v>
      </c>
      <c r="O1001">
        <f t="shared" si="95"/>
        <v>0</v>
      </c>
      <c r="P1001">
        <f t="shared" si="92"/>
        <v>4000</v>
      </c>
      <c r="Q1001">
        <f t="shared" si="96"/>
        <v>4000</v>
      </c>
      <c r="T1001" s="16">
        <f t="shared" si="97"/>
        <v>-0.93726096881157694</v>
      </c>
    </row>
    <row r="1002" spans="7:20" ht="14.4" x14ac:dyDescent="0.25">
      <c r="G1002" s="10">
        <v>6243</v>
      </c>
      <c r="H1002" s="9">
        <v>44231</v>
      </c>
      <c r="I1002" s="14">
        <f>DATE(2012,12,31)-1154</f>
        <v>40120</v>
      </c>
      <c r="J1002" s="15" t="s">
        <v>28</v>
      </c>
      <c r="K1002" s="9">
        <v>11</v>
      </c>
      <c r="L1002" s="16" t="s">
        <v>29</v>
      </c>
      <c r="M1002" s="16">
        <f t="shared" si="93"/>
        <v>-1.0063207454307979</v>
      </c>
      <c r="N1002">
        <f t="shared" si="94"/>
        <v>0</v>
      </c>
      <c r="O1002">
        <f t="shared" si="95"/>
        <v>0</v>
      </c>
      <c r="P1002">
        <f t="shared" si="92"/>
        <v>3950</v>
      </c>
      <c r="Q1002">
        <f t="shared" si="96"/>
        <v>3950</v>
      </c>
      <c r="T1002" s="16">
        <f t="shared" si="97"/>
        <v>-1.0063207454307983</v>
      </c>
    </row>
    <row r="1003" spans="7:20" ht="14.4" x14ac:dyDescent="0.25">
      <c r="G1003" s="10">
        <v>6244</v>
      </c>
      <c r="H1003" s="9">
        <v>44231</v>
      </c>
      <c r="I1003" s="14">
        <f>DATE(2012,12,31)-1154</f>
        <v>40120</v>
      </c>
      <c r="J1003" s="15" t="s">
        <v>28</v>
      </c>
      <c r="K1003" s="9">
        <v>43</v>
      </c>
      <c r="L1003" s="16" t="s">
        <v>27</v>
      </c>
      <c r="M1003" s="16">
        <f t="shared" si="93"/>
        <v>1.203592106384288</v>
      </c>
      <c r="N1003">
        <f t="shared" si="94"/>
        <v>0</v>
      </c>
      <c r="O1003">
        <f t="shared" si="95"/>
        <v>0</v>
      </c>
      <c r="P1003">
        <f t="shared" si="92"/>
        <v>5550</v>
      </c>
      <c r="Q1003">
        <f t="shared" si="96"/>
        <v>5550</v>
      </c>
      <c r="T1003" s="16">
        <f t="shared" si="97"/>
        <v>1.2035921063842876</v>
      </c>
    </row>
    <row r="1004" spans="7:20" ht="14.4" x14ac:dyDescent="0.25">
      <c r="G1004" s="10">
        <v>6245</v>
      </c>
      <c r="H1004" s="9">
        <v>44231</v>
      </c>
      <c r="I1004" s="14">
        <f>DATE(2012,12,31)-1154</f>
        <v>40120</v>
      </c>
      <c r="J1004" s="15" t="s">
        <v>28</v>
      </c>
      <c r="K1004" s="9">
        <v>24</v>
      </c>
      <c r="L1004" s="16" t="s">
        <v>27</v>
      </c>
      <c r="M1004" s="16">
        <f t="shared" si="93"/>
        <v>-0.1085436493809193</v>
      </c>
      <c r="N1004">
        <f t="shared" si="94"/>
        <v>0</v>
      </c>
      <c r="O1004">
        <f t="shared" si="95"/>
        <v>0</v>
      </c>
      <c r="P1004">
        <f t="shared" si="92"/>
        <v>4600</v>
      </c>
      <c r="Q1004">
        <f t="shared" si="96"/>
        <v>4600</v>
      </c>
      <c r="T1004" s="16">
        <f t="shared" si="97"/>
        <v>-0.10854364938091969</v>
      </c>
    </row>
    <row r="1005" spans="7:20" ht="14.4" x14ac:dyDescent="0.25">
      <c r="G1005" s="10">
        <v>6415</v>
      </c>
      <c r="H1005" s="9">
        <v>45573</v>
      </c>
      <c r="I1005" s="14">
        <f>DATE(2012,12,31)-1237</f>
        <v>40037</v>
      </c>
      <c r="J1005" s="15" t="s">
        <v>17</v>
      </c>
      <c r="K1005" s="9">
        <v>5</v>
      </c>
      <c r="L1005" s="16" t="s">
        <v>29</v>
      </c>
      <c r="M1005" s="16">
        <f t="shared" si="93"/>
        <v>-1.4206794051461267</v>
      </c>
      <c r="N1005">
        <f t="shared" si="94"/>
        <v>0</v>
      </c>
      <c r="O1005">
        <f t="shared" si="95"/>
        <v>0</v>
      </c>
      <c r="P1005">
        <f t="shared" si="92"/>
        <v>3650</v>
      </c>
      <c r="Q1005">
        <f t="shared" si="96"/>
        <v>3650</v>
      </c>
      <c r="T1005" s="16">
        <f t="shared" si="97"/>
        <v>-1.4206794051461269</v>
      </c>
    </row>
    <row r="1006" spans="7:20" ht="14.4" x14ac:dyDescent="0.25">
      <c r="G1006" s="10">
        <v>6438</v>
      </c>
      <c r="H1006" s="9">
        <v>45763</v>
      </c>
      <c r="I1006" s="14">
        <f>DATE(2012,12,31)-908</f>
        <v>40366</v>
      </c>
      <c r="J1006" s="15" t="s">
        <v>17</v>
      </c>
      <c r="K1006" s="9">
        <v>25</v>
      </c>
      <c r="L1006" s="16" t="s">
        <v>26</v>
      </c>
      <c r="M1006" s="16">
        <f t="shared" si="93"/>
        <v>-3.9483872761697868E-2</v>
      </c>
      <c r="N1006">
        <f t="shared" si="94"/>
        <v>0</v>
      </c>
      <c r="O1006">
        <f t="shared" si="95"/>
        <v>0</v>
      </c>
      <c r="P1006">
        <f t="shared" si="92"/>
        <v>4650</v>
      </c>
      <c r="Q1006">
        <f t="shared" si="96"/>
        <v>4650</v>
      </c>
      <c r="T1006" s="16">
        <f t="shared" si="97"/>
        <v>-3.9483872761698249E-2</v>
      </c>
    </row>
    <row r="1007" spans="7:20" ht="14.4" x14ac:dyDescent="0.25">
      <c r="G1007" s="10">
        <v>6761</v>
      </c>
      <c r="H1007" s="9">
        <v>48165</v>
      </c>
      <c r="I1007" s="14">
        <f>DATE(2012,12,31)-787</f>
        <v>40487</v>
      </c>
      <c r="J1007" s="15" t="s">
        <v>17</v>
      </c>
      <c r="K1007" s="9">
        <v>28</v>
      </c>
      <c r="L1007" s="16" t="s">
        <v>26</v>
      </c>
      <c r="M1007" s="16">
        <f t="shared" si="93"/>
        <v>0.16769545709596645</v>
      </c>
      <c r="N1007">
        <f t="shared" si="94"/>
        <v>0</v>
      </c>
      <c r="O1007">
        <f t="shared" si="95"/>
        <v>0</v>
      </c>
      <c r="P1007">
        <f t="shared" si="92"/>
        <v>4800</v>
      </c>
      <c r="Q1007">
        <f t="shared" si="96"/>
        <v>4800</v>
      </c>
      <c r="T1007" s="16">
        <f t="shared" si="97"/>
        <v>0.16769545709596606</v>
      </c>
    </row>
    <row r="1008" spans="7:20" ht="14.4" x14ac:dyDescent="0.25">
      <c r="G1008" s="10">
        <v>6769</v>
      </c>
      <c r="H1008" s="9">
        <v>48197</v>
      </c>
      <c r="I1008" s="14">
        <f>DATE(2012,12,31)-240</f>
        <v>41034</v>
      </c>
      <c r="J1008" s="15" t="s">
        <v>28</v>
      </c>
      <c r="K1008" s="9">
        <v>32</v>
      </c>
      <c r="L1008" s="16" t="s">
        <v>29</v>
      </c>
      <c r="M1008" s="16">
        <f t="shared" si="93"/>
        <v>0.44393456357285216</v>
      </c>
      <c r="N1008">
        <f t="shared" si="94"/>
        <v>0</v>
      </c>
      <c r="O1008">
        <f t="shared" si="95"/>
        <v>0</v>
      </c>
      <c r="P1008">
        <f t="shared" si="92"/>
        <v>5000</v>
      </c>
      <c r="Q1008">
        <f t="shared" si="96"/>
        <v>5000</v>
      </c>
      <c r="T1008" s="16">
        <f t="shared" si="97"/>
        <v>0.44393456357285183</v>
      </c>
    </row>
    <row r="1009" spans="7:20" ht="14.4" x14ac:dyDescent="0.25">
      <c r="G1009" s="10">
        <v>6808</v>
      </c>
      <c r="H1009" s="9">
        <v>48484</v>
      </c>
      <c r="I1009" s="14">
        <f>DATE(2012,12,31)-922</f>
        <v>40352</v>
      </c>
      <c r="J1009" s="15" t="s">
        <v>16</v>
      </c>
      <c r="K1009" s="9">
        <v>22</v>
      </c>
      <c r="L1009" s="16" t="s">
        <v>27</v>
      </c>
      <c r="M1009" s="16">
        <f t="shared" si="93"/>
        <v>-0.24666320261936217</v>
      </c>
      <c r="N1009">
        <f t="shared" si="94"/>
        <v>0</v>
      </c>
      <c r="O1009">
        <f t="shared" si="95"/>
        <v>0</v>
      </c>
      <c r="P1009">
        <f t="shared" si="92"/>
        <v>4500</v>
      </c>
      <c r="Q1009">
        <f t="shared" si="96"/>
        <v>4500</v>
      </c>
      <c r="T1009" s="16">
        <f t="shared" si="97"/>
        <v>-0.24666320261936256</v>
      </c>
    </row>
    <row r="1010" spans="7:20" ht="14.4" x14ac:dyDescent="0.25">
      <c r="G1010" s="10">
        <v>6809</v>
      </c>
      <c r="H1010" s="9">
        <v>48484</v>
      </c>
      <c r="I1010" s="14">
        <f>DATE(2012,12,31)-922</f>
        <v>40352</v>
      </c>
      <c r="J1010" s="15" t="s">
        <v>16</v>
      </c>
      <c r="K1010" s="9">
        <v>41</v>
      </c>
      <c r="L1010" s="16" t="s">
        <v>29</v>
      </c>
      <c r="M1010" s="16">
        <f t="shared" si="93"/>
        <v>1.0654725531458451</v>
      </c>
      <c r="N1010">
        <f t="shared" si="94"/>
        <v>0</v>
      </c>
      <c r="O1010">
        <f t="shared" si="95"/>
        <v>0</v>
      </c>
      <c r="P1010">
        <f t="shared" si="92"/>
        <v>5450</v>
      </c>
      <c r="Q1010">
        <f t="shared" si="96"/>
        <v>5450</v>
      </c>
      <c r="T1010" s="16">
        <f t="shared" si="97"/>
        <v>1.0654725531458447</v>
      </c>
    </row>
    <row r="1011" spans="7:20" ht="14.4" x14ac:dyDescent="0.25">
      <c r="G1011" s="10">
        <v>6810</v>
      </c>
      <c r="H1011" s="9">
        <v>48484</v>
      </c>
      <c r="I1011" s="14">
        <f>DATE(2012,12,31)-922</f>
        <v>40352</v>
      </c>
      <c r="J1011" s="15" t="s">
        <v>16</v>
      </c>
      <c r="K1011" s="9">
        <v>43</v>
      </c>
      <c r="L1011" s="16" t="s">
        <v>26</v>
      </c>
      <c r="M1011" s="16">
        <f t="shared" si="93"/>
        <v>1.203592106384288</v>
      </c>
      <c r="N1011">
        <f t="shared" si="94"/>
        <v>0</v>
      </c>
      <c r="O1011">
        <f t="shared" si="95"/>
        <v>0</v>
      </c>
      <c r="P1011">
        <f t="shared" si="92"/>
        <v>5550</v>
      </c>
      <c r="Q1011">
        <f t="shared" si="96"/>
        <v>5550</v>
      </c>
      <c r="T1011" s="16">
        <f t="shared" si="97"/>
        <v>1.2035921063842876</v>
      </c>
    </row>
    <row r="1012" spans="7:20" ht="14.4" x14ac:dyDescent="0.25">
      <c r="G1012" s="10">
        <v>6811</v>
      </c>
      <c r="H1012" s="9">
        <v>48484</v>
      </c>
      <c r="I1012" s="14">
        <f>DATE(2012,12,31)-922</f>
        <v>40352</v>
      </c>
      <c r="J1012" s="15" t="s">
        <v>16</v>
      </c>
      <c r="K1012" s="9">
        <v>50</v>
      </c>
      <c r="L1012" s="16" t="s">
        <v>27</v>
      </c>
      <c r="M1012" s="16">
        <f t="shared" si="93"/>
        <v>1.687010542718838</v>
      </c>
      <c r="N1012">
        <f t="shared" si="94"/>
        <v>0</v>
      </c>
      <c r="O1012">
        <f t="shared" si="95"/>
        <v>0</v>
      </c>
      <c r="P1012">
        <f t="shared" si="92"/>
        <v>5900</v>
      </c>
      <c r="Q1012">
        <f t="shared" si="96"/>
        <v>5900</v>
      </c>
      <c r="T1012" s="16">
        <f t="shared" si="97"/>
        <v>1.6870105427188375</v>
      </c>
    </row>
    <row r="1013" spans="7:20" ht="14.4" x14ac:dyDescent="0.25">
      <c r="G1013" s="10">
        <v>6893</v>
      </c>
      <c r="H1013" s="9">
        <v>49153</v>
      </c>
      <c r="I1013" s="14">
        <f>DATE(2012,12,31)-156</f>
        <v>41118</v>
      </c>
      <c r="J1013" s="15" t="s">
        <v>16</v>
      </c>
      <c r="K1013" s="9">
        <v>31</v>
      </c>
      <c r="L1013" s="16" t="s">
        <v>29</v>
      </c>
      <c r="M1013" s="16">
        <f t="shared" si="93"/>
        <v>0.37487478695363075</v>
      </c>
      <c r="N1013">
        <f t="shared" si="94"/>
        <v>0</v>
      </c>
      <c r="O1013">
        <f t="shared" si="95"/>
        <v>0</v>
      </c>
      <c r="P1013">
        <f t="shared" si="92"/>
        <v>4950</v>
      </c>
      <c r="Q1013">
        <f t="shared" si="96"/>
        <v>4950</v>
      </c>
      <c r="T1013" s="16">
        <f t="shared" si="97"/>
        <v>0.37487478695363036</v>
      </c>
    </row>
    <row r="1014" spans="7:20" ht="14.4" x14ac:dyDescent="0.25">
      <c r="G1014" s="10">
        <v>6926</v>
      </c>
      <c r="H1014" s="9">
        <v>49412</v>
      </c>
      <c r="I1014" s="14">
        <f>DATE(2012,12,31)-1395</f>
        <v>39879</v>
      </c>
      <c r="J1014" s="15" t="s">
        <v>30</v>
      </c>
      <c r="K1014" s="9">
        <v>20</v>
      </c>
      <c r="L1014" s="16" t="s">
        <v>27</v>
      </c>
      <c r="M1014" s="16">
        <f t="shared" si="93"/>
        <v>-0.38478275585780503</v>
      </c>
      <c r="N1014">
        <f t="shared" si="94"/>
        <v>0</v>
      </c>
      <c r="O1014">
        <f t="shared" si="95"/>
        <v>0</v>
      </c>
      <c r="P1014">
        <f t="shared" si="92"/>
        <v>4400</v>
      </c>
      <c r="Q1014">
        <f t="shared" si="96"/>
        <v>4400</v>
      </c>
      <c r="T1014" s="16">
        <f t="shared" si="97"/>
        <v>-0.38478275585780541</v>
      </c>
    </row>
    <row r="1015" spans="7:20" ht="14.4" x14ac:dyDescent="0.25">
      <c r="G1015" s="10">
        <v>6958</v>
      </c>
      <c r="H1015" s="9">
        <v>49761</v>
      </c>
      <c r="I1015" s="14">
        <f>DATE(2012,12,31)-707</f>
        <v>40567</v>
      </c>
      <c r="J1015" s="15" t="s">
        <v>28</v>
      </c>
      <c r="K1015" s="9">
        <v>45</v>
      </c>
      <c r="L1015" s="16" t="s">
        <v>27</v>
      </c>
      <c r="M1015" s="16">
        <f t="shared" si="93"/>
        <v>1.3417116596227308</v>
      </c>
      <c r="N1015">
        <f t="shared" si="94"/>
        <v>0</v>
      </c>
      <c r="O1015">
        <f t="shared" si="95"/>
        <v>0</v>
      </c>
      <c r="P1015">
        <f t="shared" si="92"/>
        <v>5650</v>
      </c>
      <c r="Q1015">
        <f t="shared" si="96"/>
        <v>5650</v>
      </c>
      <c r="T1015" s="16">
        <f t="shared" si="97"/>
        <v>1.3417116596227305</v>
      </c>
    </row>
    <row r="1016" spans="7:20" ht="14.4" x14ac:dyDescent="0.25">
      <c r="G1016" s="10">
        <v>7051</v>
      </c>
      <c r="H1016" s="9">
        <v>50310</v>
      </c>
      <c r="I1016" s="14">
        <f>DATE(2012,12,31)-1234</f>
        <v>40040</v>
      </c>
      <c r="J1016" s="15" t="s">
        <v>16</v>
      </c>
      <c r="K1016" s="9">
        <v>42</v>
      </c>
      <c r="L1016" s="16" t="s">
        <v>26</v>
      </c>
      <c r="M1016" s="16">
        <f t="shared" si="93"/>
        <v>1.1345323297650665</v>
      </c>
      <c r="N1016">
        <f t="shared" si="94"/>
        <v>0</v>
      </c>
      <c r="O1016">
        <f t="shared" si="95"/>
        <v>0</v>
      </c>
      <c r="P1016">
        <f t="shared" si="92"/>
        <v>5500</v>
      </c>
      <c r="Q1016">
        <f t="shared" si="96"/>
        <v>5500</v>
      </c>
      <c r="T1016" s="16">
        <f t="shared" si="97"/>
        <v>1.1345323297650662</v>
      </c>
    </row>
    <row r="1017" spans="7:20" ht="14.4" x14ac:dyDescent="0.25">
      <c r="G1017" s="10">
        <v>7052</v>
      </c>
      <c r="H1017" s="9">
        <v>50310</v>
      </c>
      <c r="I1017" s="14">
        <f>DATE(2012,12,31)-1234</f>
        <v>40040</v>
      </c>
      <c r="J1017" s="15" t="s">
        <v>16</v>
      </c>
      <c r="K1017" s="9">
        <v>43</v>
      </c>
      <c r="L1017" s="16" t="s">
        <v>29</v>
      </c>
      <c r="M1017" s="16">
        <f t="shared" si="93"/>
        <v>1.203592106384288</v>
      </c>
      <c r="N1017">
        <f t="shared" si="94"/>
        <v>0</v>
      </c>
      <c r="O1017">
        <f t="shared" si="95"/>
        <v>0</v>
      </c>
      <c r="P1017">
        <f t="shared" si="92"/>
        <v>5550</v>
      </c>
      <c r="Q1017">
        <f t="shared" si="96"/>
        <v>5550</v>
      </c>
      <c r="T1017" s="16">
        <f t="shared" si="97"/>
        <v>1.2035921063842876</v>
      </c>
    </row>
    <row r="1018" spans="7:20" ht="14.4" x14ac:dyDescent="0.25">
      <c r="G1018" s="10">
        <v>7053</v>
      </c>
      <c r="H1018" s="9">
        <v>50310</v>
      </c>
      <c r="I1018" s="14">
        <f>DATE(2012,12,31)-1234</f>
        <v>40040</v>
      </c>
      <c r="J1018" s="15" t="s">
        <v>16</v>
      </c>
      <c r="K1018" s="9">
        <v>22</v>
      </c>
      <c r="L1018" s="16" t="s">
        <v>27</v>
      </c>
      <c r="M1018" s="16">
        <f t="shared" si="93"/>
        <v>-0.24666320261936217</v>
      </c>
      <c r="N1018">
        <f t="shared" si="94"/>
        <v>0</v>
      </c>
      <c r="O1018">
        <f t="shared" si="95"/>
        <v>0</v>
      </c>
      <c r="P1018">
        <f t="shared" si="92"/>
        <v>4500</v>
      </c>
      <c r="Q1018">
        <f t="shared" si="96"/>
        <v>4500</v>
      </c>
      <c r="T1018" s="16">
        <f t="shared" si="97"/>
        <v>-0.24666320261936256</v>
      </c>
    </row>
    <row r="1019" spans="7:20" ht="14.4" x14ac:dyDescent="0.25">
      <c r="G1019" s="10">
        <v>7158</v>
      </c>
      <c r="H1019" s="9">
        <v>51072</v>
      </c>
      <c r="I1019" s="14">
        <f>DATE(2012,12,31)-1186</f>
        <v>40088</v>
      </c>
      <c r="J1019" s="15" t="s">
        <v>30</v>
      </c>
      <c r="K1019" s="9">
        <v>43</v>
      </c>
      <c r="L1019" s="16" t="s">
        <v>26</v>
      </c>
      <c r="M1019" s="16">
        <f t="shared" si="93"/>
        <v>1.203592106384288</v>
      </c>
      <c r="N1019">
        <f t="shared" si="94"/>
        <v>0</v>
      </c>
      <c r="O1019">
        <f t="shared" si="95"/>
        <v>0</v>
      </c>
      <c r="P1019">
        <f t="shared" si="92"/>
        <v>5550</v>
      </c>
      <c r="Q1019">
        <f t="shared" si="96"/>
        <v>5550</v>
      </c>
      <c r="T1019" s="16">
        <f t="shared" si="97"/>
        <v>1.2035921063842876</v>
      </c>
    </row>
    <row r="1020" spans="7:20" ht="14.4" x14ac:dyDescent="0.25">
      <c r="G1020" s="10">
        <v>7242</v>
      </c>
      <c r="H1020" s="9">
        <v>51648</v>
      </c>
      <c r="I1020" s="14">
        <f>DATE(2012,12,31)-365</f>
        <v>40909</v>
      </c>
      <c r="J1020" s="15" t="s">
        <v>25</v>
      </c>
      <c r="K1020" s="9">
        <v>45</v>
      </c>
      <c r="L1020" s="16" t="s">
        <v>27</v>
      </c>
      <c r="M1020" s="16">
        <f t="shared" si="93"/>
        <v>1.3417116596227308</v>
      </c>
      <c r="N1020">
        <f t="shared" si="94"/>
        <v>0</v>
      </c>
      <c r="O1020">
        <f t="shared" si="95"/>
        <v>0</v>
      </c>
      <c r="P1020">
        <f t="shared" si="92"/>
        <v>5650</v>
      </c>
      <c r="Q1020">
        <f t="shared" si="96"/>
        <v>5650</v>
      </c>
      <c r="T1020" s="16">
        <f t="shared" si="97"/>
        <v>1.3417116596227305</v>
      </c>
    </row>
    <row r="1021" spans="7:20" ht="14.4" x14ac:dyDescent="0.25">
      <c r="G1021" s="10">
        <v>7243</v>
      </c>
      <c r="H1021" s="9">
        <v>51648</v>
      </c>
      <c r="I1021" s="14">
        <f>DATE(2012,12,31)-365</f>
        <v>40909</v>
      </c>
      <c r="J1021" s="15" t="s">
        <v>25</v>
      </c>
      <c r="K1021" s="9">
        <v>50</v>
      </c>
      <c r="L1021" s="16" t="s">
        <v>26</v>
      </c>
      <c r="M1021" s="16">
        <f t="shared" si="93"/>
        <v>1.687010542718838</v>
      </c>
      <c r="N1021">
        <f t="shared" si="94"/>
        <v>0</v>
      </c>
      <c r="O1021">
        <f t="shared" si="95"/>
        <v>0</v>
      </c>
      <c r="P1021">
        <f t="shared" si="92"/>
        <v>5900</v>
      </c>
      <c r="Q1021">
        <f t="shared" si="96"/>
        <v>5900</v>
      </c>
      <c r="T1021" s="16">
        <f t="shared" si="97"/>
        <v>1.6870105427188375</v>
      </c>
    </row>
    <row r="1022" spans="7:20" ht="14.4" x14ac:dyDescent="0.25">
      <c r="G1022" s="10">
        <v>7298</v>
      </c>
      <c r="H1022" s="9">
        <v>52035</v>
      </c>
      <c r="I1022" s="14">
        <f>DATE(2012,12,31)-1130</f>
        <v>40144</v>
      </c>
      <c r="J1022" s="15" t="s">
        <v>17</v>
      </c>
      <c r="K1022" s="9">
        <v>29</v>
      </c>
      <c r="L1022" s="16" t="s">
        <v>27</v>
      </c>
      <c r="M1022" s="16">
        <f t="shared" si="93"/>
        <v>0.23675523371518786</v>
      </c>
      <c r="N1022">
        <f t="shared" si="94"/>
        <v>0</v>
      </c>
      <c r="O1022">
        <f t="shared" si="95"/>
        <v>0</v>
      </c>
      <c r="P1022">
        <f t="shared" si="92"/>
        <v>4850</v>
      </c>
      <c r="Q1022">
        <f t="shared" si="96"/>
        <v>4850</v>
      </c>
      <c r="T1022" s="16">
        <f t="shared" si="97"/>
        <v>0.2367552337151875</v>
      </c>
    </row>
    <row r="1023" spans="7:20" ht="14.4" x14ac:dyDescent="0.25">
      <c r="G1023" s="10">
        <v>7348</v>
      </c>
      <c r="H1023" s="9">
        <v>52326</v>
      </c>
      <c r="I1023" s="14">
        <f>DATE(2012,12,31)-880</f>
        <v>40394</v>
      </c>
      <c r="J1023" s="15" t="s">
        <v>25</v>
      </c>
      <c r="K1023" s="9">
        <v>41</v>
      </c>
      <c r="L1023" s="16" t="s">
        <v>26</v>
      </c>
      <c r="M1023" s="16">
        <f t="shared" si="93"/>
        <v>1.0654725531458451</v>
      </c>
      <c r="N1023">
        <f t="shared" si="94"/>
        <v>0</v>
      </c>
      <c r="O1023">
        <f t="shared" si="95"/>
        <v>0</v>
      </c>
      <c r="P1023">
        <f t="shared" si="92"/>
        <v>5450</v>
      </c>
      <c r="Q1023">
        <f t="shared" si="96"/>
        <v>5450</v>
      </c>
      <c r="T1023" s="16">
        <f t="shared" si="97"/>
        <v>1.0654725531458447</v>
      </c>
    </row>
    <row r="1024" spans="7:20" ht="14.4" x14ac:dyDescent="0.25">
      <c r="G1024" s="10">
        <v>7400</v>
      </c>
      <c r="H1024" s="9">
        <v>52737</v>
      </c>
      <c r="I1024" s="14">
        <f>DATE(2012,12,31)-784</f>
        <v>40490</v>
      </c>
      <c r="J1024" s="15" t="s">
        <v>28</v>
      </c>
      <c r="K1024" s="9">
        <v>14</v>
      </c>
      <c r="L1024" s="16" t="s">
        <v>26</v>
      </c>
      <c r="M1024" s="16">
        <f t="shared" si="93"/>
        <v>-0.79914141557313367</v>
      </c>
      <c r="N1024">
        <f t="shared" si="94"/>
        <v>0</v>
      </c>
      <c r="O1024">
        <f t="shared" si="95"/>
        <v>0</v>
      </c>
      <c r="P1024">
        <f t="shared" si="92"/>
        <v>4100</v>
      </c>
      <c r="Q1024">
        <f t="shared" si="96"/>
        <v>4100</v>
      </c>
      <c r="T1024" s="16">
        <f t="shared" si="97"/>
        <v>-0.79914141557313401</v>
      </c>
    </row>
    <row r="1025" spans="7:20" ht="14.4" x14ac:dyDescent="0.25">
      <c r="G1025" s="10">
        <v>7458</v>
      </c>
      <c r="H1025" s="9">
        <v>53216</v>
      </c>
      <c r="I1025" s="14">
        <f>DATE(2012,12,31)-27</f>
        <v>41247</v>
      </c>
      <c r="J1025" s="15" t="s">
        <v>17</v>
      </c>
      <c r="K1025" s="9">
        <v>36</v>
      </c>
      <c r="L1025" s="16" t="s">
        <v>26</v>
      </c>
      <c r="M1025" s="16">
        <f t="shared" si="93"/>
        <v>0.72017367004973787</v>
      </c>
      <c r="N1025">
        <f t="shared" si="94"/>
        <v>0</v>
      </c>
      <c r="O1025">
        <f t="shared" si="95"/>
        <v>0</v>
      </c>
      <c r="P1025">
        <f t="shared" si="92"/>
        <v>5200</v>
      </c>
      <c r="Q1025">
        <f t="shared" si="96"/>
        <v>5200</v>
      </c>
      <c r="T1025" s="16">
        <f t="shared" si="97"/>
        <v>0.72017367004973754</v>
      </c>
    </row>
    <row r="1026" spans="7:20" ht="14.4" x14ac:dyDescent="0.25">
      <c r="G1026" s="10">
        <v>7558</v>
      </c>
      <c r="H1026" s="9">
        <v>54081</v>
      </c>
      <c r="I1026" s="14">
        <f>DATE(2012,12,31)-662</f>
        <v>40612</v>
      </c>
      <c r="J1026" s="15" t="s">
        <v>25</v>
      </c>
      <c r="K1026" s="9">
        <v>2</v>
      </c>
      <c r="L1026" s="16" t="s">
        <v>27</v>
      </c>
      <c r="M1026" s="16">
        <f t="shared" si="93"/>
        <v>-1.627858735003791</v>
      </c>
      <c r="N1026">
        <f t="shared" si="94"/>
        <v>0</v>
      </c>
      <c r="O1026">
        <f t="shared" si="95"/>
        <v>0</v>
      </c>
      <c r="P1026">
        <f t="shared" si="92"/>
        <v>3500</v>
      </c>
      <c r="Q1026">
        <f t="shared" si="96"/>
        <v>3500</v>
      </c>
      <c r="T1026" s="16">
        <f t="shared" si="97"/>
        <v>-1.6278587350037912</v>
      </c>
    </row>
    <row r="1027" spans="7:20" ht="14.4" x14ac:dyDescent="0.25">
      <c r="G1027" s="10">
        <v>7624</v>
      </c>
      <c r="H1027" s="9">
        <v>54560</v>
      </c>
      <c r="I1027" s="14">
        <f>DATE(2012,12,31)-1264</f>
        <v>40010</v>
      </c>
      <c r="J1027" s="15" t="s">
        <v>30</v>
      </c>
      <c r="K1027" s="9">
        <v>22</v>
      </c>
      <c r="L1027" s="16" t="s">
        <v>27</v>
      </c>
      <c r="M1027" s="16">
        <f t="shared" si="93"/>
        <v>-0.24666320261936217</v>
      </c>
      <c r="N1027">
        <f t="shared" si="94"/>
        <v>0</v>
      </c>
      <c r="O1027">
        <f t="shared" si="95"/>
        <v>0</v>
      </c>
      <c r="P1027">
        <f t="shared" si="92"/>
        <v>4500</v>
      </c>
      <c r="Q1027">
        <f t="shared" si="96"/>
        <v>4500</v>
      </c>
      <c r="T1027" s="16">
        <f t="shared" si="97"/>
        <v>-0.24666320261936256</v>
      </c>
    </row>
    <row r="1028" spans="7:20" ht="14.4" x14ac:dyDescent="0.25">
      <c r="G1028" s="10">
        <v>7625</v>
      </c>
      <c r="H1028" s="9">
        <v>54560</v>
      </c>
      <c r="I1028" s="14">
        <f>DATE(2012,12,31)-1264</f>
        <v>40010</v>
      </c>
      <c r="J1028" s="15" t="s">
        <v>30</v>
      </c>
      <c r="K1028" s="9">
        <v>45</v>
      </c>
      <c r="L1028" s="16" t="s">
        <v>27</v>
      </c>
      <c r="M1028" s="16">
        <f t="shared" si="93"/>
        <v>1.3417116596227308</v>
      </c>
      <c r="N1028">
        <f t="shared" si="94"/>
        <v>0</v>
      </c>
      <c r="O1028">
        <f t="shared" si="95"/>
        <v>0</v>
      </c>
      <c r="P1028">
        <f t="shared" si="92"/>
        <v>5650</v>
      </c>
      <c r="Q1028">
        <f t="shared" si="96"/>
        <v>5650</v>
      </c>
      <c r="T1028" s="16">
        <f t="shared" si="97"/>
        <v>1.3417116596227305</v>
      </c>
    </row>
    <row r="1029" spans="7:20" ht="14.4" x14ac:dyDescent="0.25">
      <c r="G1029" s="10">
        <v>7662</v>
      </c>
      <c r="H1029" s="9">
        <v>54947</v>
      </c>
      <c r="I1029" s="14">
        <f>DATE(2012,12,31)-1408</f>
        <v>39866</v>
      </c>
      <c r="J1029" s="15" t="s">
        <v>28</v>
      </c>
      <c r="K1029" s="9">
        <v>27</v>
      </c>
      <c r="L1029" s="16" t="s">
        <v>27</v>
      </c>
      <c r="M1029" s="16">
        <f t="shared" si="93"/>
        <v>9.8635680476745008E-2</v>
      </c>
      <c r="N1029">
        <f t="shared" si="94"/>
        <v>0</v>
      </c>
      <c r="O1029">
        <f t="shared" si="95"/>
        <v>0</v>
      </c>
      <c r="P1029">
        <f t="shared" si="92"/>
        <v>4750</v>
      </c>
      <c r="Q1029">
        <f t="shared" si="96"/>
        <v>4750</v>
      </c>
      <c r="T1029" s="16">
        <f t="shared" si="97"/>
        <v>9.8635680476744619E-2</v>
      </c>
    </row>
    <row r="1030" spans="7:20" ht="14.4" x14ac:dyDescent="0.25">
      <c r="G1030" s="10">
        <v>7663</v>
      </c>
      <c r="H1030" s="9">
        <v>54947</v>
      </c>
      <c r="I1030" s="14">
        <f>DATE(2012,12,31)-1408</f>
        <v>39866</v>
      </c>
      <c r="J1030" s="15" t="s">
        <v>28</v>
      </c>
      <c r="K1030" s="9">
        <v>42</v>
      </c>
      <c r="L1030" s="16" t="s">
        <v>29</v>
      </c>
      <c r="M1030" s="16">
        <f t="shared" si="93"/>
        <v>1.1345323297650665</v>
      </c>
      <c r="N1030">
        <f t="shared" si="94"/>
        <v>0</v>
      </c>
      <c r="O1030">
        <f t="shared" si="95"/>
        <v>0</v>
      </c>
      <c r="P1030">
        <f t="shared" si="92"/>
        <v>5500</v>
      </c>
      <c r="Q1030">
        <f t="shared" si="96"/>
        <v>5500</v>
      </c>
      <c r="T1030" s="16">
        <f t="shared" si="97"/>
        <v>1.1345323297650662</v>
      </c>
    </row>
    <row r="1031" spans="7:20" ht="14.4" x14ac:dyDescent="0.25">
      <c r="G1031" s="10">
        <v>7694</v>
      </c>
      <c r="H1031" s="9">
        <v>55170</v>
      </c>
      <c r="I1031" s="14">
        <f>DATE(2012,12,31)-101</f>
        <v>41173</v>
      </c>
      <c r="J1031" s="15" t="s">
        <v>30</v>
      </c>
      <c r="K1031" s="9">
        <v>22</v>
      </c>
      <c r="L1031" s="16" t="s">
        <v>26</v>
      </c>
      <c r="M1031" s="16">
        <f t="shared" si="93"/>
        <v>-0.24666320261936217</v>
      </c>
      <c r="N1031">
        <f t="shared" si="94"/>
        <v>0</v>
      </c>
      <c r="O1031">
        <f t="shared" si="95"/>
        <v>0</v>
      </c>
      <c r="P1031">
        <f t="shared" si="92"/>
        <v>4500</v>
      </c>
      <c r="Q1031">
        <f t="shared" si="96"/>
        <v>4500</v>
      </c>
      <c r="T1031" s="16">
        <f t="shared" si="97"/>
        <v>-0.24666320261936256</v>
      </c>
    </row>
    <row r="1032" spans="7:20" ht="14.4" x14ac:dyDescent="0.25">
      <c r="G1032" s="10">
        <v>7796</v>
      </c>
      <c r="H1032" s="9">
        <v>55777</v>
      </c>
      <c r="I1032" s="14">
        <f>DATE(2012,12,31)-51</f>
        <v>41223</v>
      </c>
      <c r="J1032" s="15" t="s">
        <v>28</v>
      </c>
      <c r="K1032" s="9">
        <v>6</v>
      </c>
      <c r="L1032" s="16" t="s">
        <v>29</v>
      </c>
      <c r="M1032" s="16">
        <f t="shared" si="93"/>
        <v>-1.3516196285269051</v>
      </c>
      <c r="N1032">
        <f t="shared" si="94"/>
        <v>0</v>
      </c>
      <c r="O1032">
        <f t="shared" si="95"/>
        <v>0</v>
      </c>
      <c r="P1032">
        <f t="shared" si="92"/>
        <v>3700</v>
      </c>
      <c r="Q1032">
        <f t="shared" si="96"/>
        <v>3700</v>
      </c>
      <c r="T1032" s="16">
        <f t="shared" si="97"/>
        <v>-1.3516196285269055</v>
      </c>
    </row>
    <row r="1033" spans="7:20" ht="14.4" x14ac:dyDescent="0.25">
      <c r="G1033" s="10">
        <v>7797</v>
      </c>
      <c r="H1033" s="9">
        <v>55777</v>
      </c>
      <c r="I1033" s="14">
        <f>DATE(2012,12,31)-51</f>
        <v>41223</v>
      </c>
      <c r="J1033" s="15" t="s">
        <v>28</v>
      </c>
      <c r="K1033" s="9">
        <v>1</v>
      </c>
      <c r="L1033" s="16" t="s">
        <v>27</v>
      </c>
      <c r="M1033" s="16">
        <f t="shared" si="93"/>
        <v>-1.6969185116230123</v>
      </c>
      <c r="N1033">
        <f t="shared" si="94"/>
        <v>0</v>
      </c>
      <c r="O1033">
        <f t="shared" si="95"/>
        <v>0</v>
      </c>
      <c r="P1033">
        <f t="shared" si="92"/>
        <v>3450</v>
      </c>
      <c r="Q1033">
        <f t="shared" si="96"/>
        <v>3450</v>
      </c>
      <c r="T1033" s="16">
        <f t="shared" si="97"/>
        <v>-1.6969185116230128</v>
      </c>
    </row>
    <row r="1034" spans="7:20" ht="14.4" x14ac:dyDescent="0.25">
      <c r="G1034" s="10">
        <v>7830</v>
      </c>
      <c r="H1034" s="9">
        <v>56001</v>
      </c>
      <c r="I1034" s="14">
        <f>DATE(2012,12,31)-994</f>
        <v>40280</v>
      </c>
      <c r="J1034" s="15" t="s">
        <v>25</v>
      </c>
      <c r="K1034" s="9">
        <v>17</v>
      </c>
      <c r="L1034" s="16" t="s">
        <v>26</v>
      </c>
      <c r="M1034" s="16">
        <f t="shared" si="93"/>
        <v>-0.59196208571546938</v>
      </c>
      <c r="N1034">
        <f t="shared" si="94"/>
        <v>0</v>
      </c>
      <c r="O1034">
        <f t="shared" si="95"/>
        <v>0</v>
      </c>
      <c r="P1034">
        <f t="shared" si="92"/>
        <v>4250</v>
      </c>
      <c r="Q1034">
        <f t="shared" si="96"/>
        <v>4250</v>
      </c>
      <c r="T1034" s="16">
        <f t="shared" si="97"/>
        <v>-0.59196208571546971</v>
      </c>
    </row>
    <row r="1035" spans="7:20" ht="14.4" x14ac:dyDescent="0.25">
      <c r="G1035" s="10">
        <v>7921</v>
      </c>
      <c r="H1035" s="9">
        <v>56640</v>
      </c>
      <c r="I1035" s="14">
        <f>DATE(2012,12,31)-494</f>
        <v>40780</v>
      </c>
      <c r="J1035" s="15" t="s">
        <v>17</v>
      </c>
      <c r="K1035" s="9">
        <v>2</v>
      </c>
      <c r="L1035" s="16" t="s">
        <v>26</v>
      </c>
      <c r="M1035" s="16">
        <f t="shared" si="93"/>
        <v>-1.627858735003791</v>
      </c>
      <c r="N1035">
        <f t="shared" si="94"/>
        <v>0</v>
      </c>
      <c r="O1035">
        <f t="shared" si="95"/>
        <v>0</v>
      </c>
      <c r="P1035">
        <f t="shared" si="92"/>
        <v>3500</v>
      </c>
      <c r="Q1035">
        <f t="shared" si="96"/>
        <v>3500</v>
      </c>
      <c r="T1035" s="16">
        <f t="shared" si="97"/>
        <v>-1.6278587350037912</v>
      </c>
    </row>
    <row r="1036" spans="7:20" ht="14.4" x14ac:dyDescent="0.25">
      <c r="G1036" s="10">
        <v>7922</v>
      </c>
      <c r="H1036" s="9">
        <v>56640</v>
      </c>
      <c r="I1036" s="14">
        <f>DATE(2012,12,31)-494</f>
        <v>40780</v>
      </c>
      <c r="J1036" s="15" t="s">
        <v>17</v>
      </c>
      <c r="K1036" s="9">
        <v>11</v>
      </c>
      <c r="L1036" s="16" t="s">
        <v>26</v>
      </c>
      <c r="M1036" s="16">
        <f t="shared" si="93"/>
        <v>-1.0063207454307979</v>
      </c>
      <c r="N1036">
        <f t="shared" si="94"/>
        <v>0</v>
      </c>
      <c r="O1036">
        <f t="shared" si="95"/>
        <v>0</v>
      </c>
      <c r="P1036">
        <f t="shared" ref="P1036:P1099" si="98">50*K1036+$P$10</f>
        <v>3950</v>
      </c>
      <c r="Q1036">
        <f t="shared" si="96"/>
        <v>3950</v>
      </c>
      <c r="T1036" s="16">
        <f t="shared" si="97"/>
        <v>-1.0063207454307983</v>
      </c>
    </row>
    <row r="1037" spans="7:20" ht="14.4" x14ac:dyDescent="0.25">
      <c r="G1037" s="10">
        <v>8313</v>
      </c>
      <c r="H1037" s="9">
        <v>59393</v>
      </c>
      <c r="I1037" s="14">
        <f>DATE(2012,12,31)-772</f>
        <v>40502</v>
      </c>
      <c r="J1037" s="15" t="s">
        <v>16</v>
      </c>
      <c r="K1037" s="9">
        <v>34</v>
      </c>
      <c r="L1037" s="16" t="s">
        <v>26</v>
      </c>
      <c r="M1037" s="16">
        <f t="shared" ref="M1037:M1100" si="99">(K1037-$K$4)/$K$7</f>
        <v>0.58205411681129504</v>
      </c>
      <c r="N1037">
        <f t="shared" ref="N1037:N1100" si="100">IF(MOD($B$20+G1037,1000)=0,1,0)</f>
        <v>0</v>
      </c>
      <c r="O1037">
        <f t="shared" ref="O1037:O1100" si="101">+ROUND(N1037*(IF(K1037&lt;$K$4,-4.5,10.5)*$P$5),-2)</f>
        <v>0</v>
      </c>
      <c r="P1037">
        <f t="shared" si="98"/>
        <v>5100</v>
      </c>
      <c r="Q1037">
        <f t="shared" ref="Q1037:Q1100" si="102">P1037+O1037</f>
        <v>5100</v>
      </c>
      <c r="T1037" s="16">
        <f t="shared" ref="T1037:T1100" si="103">(Q1037-$P$4)/$P$5</f>
        <v>0.58205411681129471</v>
      </c>
    </row>
    <row r="1038" spans="7:20" ht="14.4" x14ac:dyDescent="0.25">
      <c r="G1038" s="10">
        <v>8357</v>
      </c>
      <c r="H1038" s="9">
        <v>59712</v>
      </c>
      <c r="I1038" s="14">
        <f>DATE(2012,12,31)-930</f>
        <v>40344</v>
      </c>
      <c r="J1038" s="15" t="s">
        <v>30</v>
      </c>
      <c r="K1038" s="9">
        <v>25</v>
      </c>
      <c r="L1038" s="16" t="s">
        <v>26</v>
      </c>
      <c r="M1038" s="16">
        <f t="shared" si="99"/>
        <v>-3.9483872761697868E-2</v>
      </c>
      <c r="N1038">
        <f t="shared" si="100"/>
        <v>0</v>
      </c>
      <c r="O1038">
        <f t="shared" si="101"/>
        <v>0</v>
      </c>
      <c r="P1038">
        <f t="shared" si="98"/>
        <v>4650</v>
      </c>
      <c r="Q1038">
        <f t="shared" si="102"/>
        <v>4650</v>
      </c>
      <c r="T1038" s="16">
        <f t="shared" si="103"/>
        <v>-3.9483872761698249E-2</v>
      </c>
    </row>
    <row r="1039" spans="7:20" ht="14.4" x14ac:dyDescent="0.25">
      <c r="G1039" s="10">
        <v>8382</v>
      </c>
      <c r="H1039" s="9">
        <v>59905</v>
      </c>
      <c r="I1039" s="14">
        <f>DATE(2012,12,31)-261</f>
        <v>41013</v>
      </c>
      <c r="J1039" s="15" t="s">
        <v>17</v>
      </c>
      <c r="K1039" s="9">
        <v>19</v>
      </c>
      <c r="L1039" s="16" t="s">
        <v>27</v>
      </c>
      <c r="M1039" s="16">
        <f t="shared" si="99"/>
        <v>-0.45384253247702649</v>
      </c>
      <c r="N1039">
        <f t="shared" si="100"/>
        <v>0</v>
      </c>
      <c r="O1039">
        <f t="shared" si="101"/>
        <v>0</v>
      </c>
      <c r="P1039">
        <f t="shared" si="98"/>
        <v>4350</v>
      </c>
      <c r="Q1039">
        <f t="shared" si="102"/>
        <v>4350</v>
      </c>
      <c r="T1039" s="16">
        <f t="shared" si="103"/>
        <v>-0.45384253247702688</v>
      </c>
    </row>
    <row r="1040" spans="7:20" ht="14.4" x14ac:dyDescent="0.25">
      <c r="G1040" s="10">
        <v>8383</v>
      </c>
      <c r="H1040" s="9">
        <v>59905</v>
      </c>
      <c r="I1040" s="14">
        <f>DATE(2012,12,31)-261</f>
        <v>41013</v>
      </c>
      <c r="J1040" s="15" t="s">
        <v>17</v>
      </c>
      <c r="K1040" s="9">
        <v>6</v>
      </c>
      <c r="L1040" s="16" t="s">
        <v>26</v>
      </c>
      <c r="M1040" s="16">
        <f t="shared" si="99"/>
        <v>-1.3516196285269051</v>
      </c>
      <c r="N1040">
        <f t="shared" si="100"/>
        <v>0</v>
      </c>
      <c r="O1040">
        <f t="shared" si="101"/>
        <v>0</v>
      </c>
      <c r="P1040">
        <f t="shared" si="98"/>
        <v>3700</v>
      </c>
      <c r="Q1040">
        <f t="shared" si="102"/>
        <v>3700</v>
      </c>
      <c r="T1040" s="16">
        <f t="shared" si="103"/>
        <v>-1.3516196285269055</v>
      </c>
    </row>
    <row r="1041" spans="7:20" ht="14.4" x14ac:dyDescent="0.25">
      <c r="G1041" s="10">
        <v>8384</v>
      </c>
      <c r="H1041" s="9">
        <v>59905</v>
      </c>
      <c r="I1041" s="14">
        <f>DATE(2012,12,31)-261</f>
        <v>41013</v>
      </c>
      <c r="J1041" s="15" t="s">
        <v>17</v>
      </c>
      <c r="K1041" s="9">
        <v>5</v>
      </c>
      <c r="L1041" s="16" t="s">
        <v>26</v>
      </c>
      <c r="M1041" s="16">
        <f t="shared" si="99"/>
        <v>-1.4206794051461267</v>
      </c>
      <c r="N1041">
        <f t="shared" si="100"/>
        <v>0</v>
      </c>
      <c r="O1041">
        <f t="shared" si="101"/>
        <v>0</v>
      </c>
      <c r="P1041">
        <f t="shared" si="98"/>
        <v>3650</v>
      </c>
      <c r="Q1041">
        <f t="shared" si="102"/>
        <v>3650</v>
      </c>
      <c r="T1041" s="16">
        <f t="shared" si="103"/>
        <v>-1.4206794051461269</v>
      </c>
    </row>
    <row r="1042" spans="7:20" ht="14.4" x14ac:dyDescent="0.25">
      <c r="G1042" s="10">
        <v>52</v>
      </c>
      <c r="H1042" s="9">
        <v>322</v>
      </c>
      <c r="I1042" s="14">
        <f>DATE(2012,12,31)-288</f>
        <v>40986</v>
      </c>
      <c r="J1042" s="15" t="s">
        <v>30</v>
      </c>
      <c r="K1042" s="9">
        <v>20</v>
      </c>
      <c r="L1042" s="16" t="s">
        <v>27</v>
      </c>
      <c r="M1042" s="16">
        <f t="shared" si="99"/>
        <v>-0.38478275585780503</v>
      </c>
      <c r="N1042">
        <f t="shared" si="100"/>
        <v>0</v>
      </c>
      <c r="O1042">
        <f t="shared" si="101"/>
        <v>0</v>
      </c>
      <c r="P1042">
        <f t="shared" si="98"/>
        <v>4400</v>
      </c>
      <c r="Q1042">
        <f t="shared" si="102"/>
        <v>4400</v>
      </c>
      <c r="T1042" s="16">
        <f t="shared" si="103"/>
        <v>-0.38478275585780541</v>
      </c>
    </row>
    <row r="1043" spans="7:20" ht="14.4" x14ac:dyDescent="0.25">
      <c r="G1043" s="10">
        <v>53</v>
      </c>
      <c r="H1043" s="9">
        <v>322</v>
      </c>
      <c r="I1043" s="14">
        <f>DATE(2012,12,31)-288</f>
        <v>40986</v>
      </c>
      <c r="J1043" s="15" t="s">
        <v>30</v>
      </c>
      <c r="K1043" s="9">
        <v>46</v>
      </c>
      <c r="L1043" s="16" t="s">
        <v>26</v>
      </c>
      <c r="M1043" s="16">
        <f t="shared" si="99"/>
        <v>1.4107714362419523</v>
      </c>
      <c r="N1043">
        <f t="shared" si="100"/>
        <v>0</v>
      </c>
      <c r="O1043">
        <f t="shared" si="101"/>
        <v>0</v>
      </c>
      <c r="P1043">
        <f t="shared" si="98"/>
        <v>5700</v>
      </c>
      <c r="Q1043">
        <f t="shared" si="102"/>
        <v>5700</v>
      </c>
      <c r="T1043" s="16">
        <f t="shared" si="103"/>
        <v>1.4107714362419519</v>
      </c>
    </row>
    <row r="1044" spans="7:20" ht="14.4" x14ac:dyDescent="0.25">
      <c r="G1044" s="10">
        <v>151</v>
      </c>
      <c r="H1044" s="9">
        <v>962</v>
      </c>
      <c r="I1044" s="14">
        <f>DATE(2012,12,31)-1336</f>
        <v>39938</v>
      </c>
      <c r="J1044" s="15" t="s">
        <v>25</v>
      </c>
      <c r="K1044" s="9">
        <v>33</v>
      </c>
      <c r="L1044" s="16" t="s">
        <v>26</v>
      </c>
      <c r="M1044" s="16">
        <f t="shared" si="99"/>
        <v>0.51299434019207357</v>
      </c>
      <c r="N1044">
        <f t="shared" si="100"/>
        <v>0</v>
      </c>
      <c r="O1044">
        <f t="shared" si="101"/>
        <v>0</v>
      </c>
      <c r="P1044">
        <f t="shared" si="98"/>
        <v>5050</v>
      </c>
      <c r="Q1044">
        <f t="shared" si="102"/>
        <v>5050</v>
      </c>
      <c r="T1044" s="16">
        <f t="shared" si="103"/>
        <v>0.51299434019207324</v>
      </c>
    </row>
    <row r="1045" spans="7:20" ht="14.4" x14ac:dyDescent="0.25">
      <c r="G1045" s="10">
        <v>152</v>
      </c>
      <c r="H1045" s="9">
        <v>962</v>
      </c>
      <c r="I1045" s="14">
        <f>DATE(2012,12,31)-1336</f>
        <v>39938</v>
      </c>
      <c r="J1045" s="15" t="s">
        <v>25</v>
      </c>
      <c r="K1045" s="9">
        <v>47</v>
      </c>
      <c r="L1045" s="16" t="s">
        <v>26</v>
      </c>
      <c r="M1045" s="16">
        <f t="shared" si="99"/>
        <v>1.4798312128611737</v>
      </c>
      <c r="N1045">
        <f t="shared" si="100"/>
        <v>0</v>
      </c>
      <c r="O1045">
        <f t="shared" si="101"/>
        <v>0</v>
      </c>
      <c r="P1045">
        <f t="shared" si="98"/>
        <v>5750</v>
      </c>
      <c r="Q1045">
        <f t="shared" si="102"/>
        <v>5750</v>
      </c>
      <c r="T1045" s="16">
        <f t="shared" si="103"/>
        <v>1.4798312128611733</v>
      </c>
    </row>
    <row r="1046" spans="7:20" ht="14.4" x14ac:dyDescent="0.25">
      <c r="G1046" s="10">
        <v>185</v>
      </c>
      <c r="H1046" s="9">
        <v>1221</v>
      </c>
      <c r="I1046" s="14">
        <f>DATE(2012,12,31)-257</f>
        <v>41017</v>
      </c>
      <c r="J1046" s="15" t="s">
        <v>28</v>
      </c>
      <c r="K1046" s="9">
        <v>1</v>
      </c>
      <c r="L1046" s="16" t="s">
        <v>26</v>
      </c>
      <c r="M1046" s="16">
        <f t="shared" si="99"/>
        <v>-1.6969185116230123</v>
      </c>
      <c r="N1046">
        <f t="shared" si="100"/>
        <v>0</v>
      </c>
      <c r="O1046">
        <f t="shared" si="101"/>
        <v>0</v>
      </c>
      <c r="P1046">
        <f t="shared" si="98"/>
        <v>3450</v>
      </c>
      <c r="Q1046">
        <f t="shared" si="102"/>
        <v>3450</v>
      </c>
      <c r="T1046" s="16">
        <f t="shared" si="103"/>
        <v>-1.6969185116230128</v>
      </c>
    </row>
    <row r="1047" spans="7:20" ht="14.4" x14ac:dyDescent="0.25">
      <c r="G1047" s="10">
        <v>186</v>
      </c>
      <c r="H1047" s="9">
        <v>1221</v>
      </c>
      <c r="I1047" s="14">
        <f>DATE(2012,12,31)-257</f>
        <v>41017</v>
      </c>
      <c r="J1047" s="15" t="s">
        <v>28</v>
      </c>
      <c r="K1047" s="9">
        <v>11</v>
      </c>
      <c r="L1047" s="16" t="s">
        <v>26</v>
      </c>
      <c r="M1047" s="16">
        <f t="shared" si="99"/>
        <v>-1.0063207454307979</v>
      </c>
      <c r="N1047">
        <f t="shared" si="100"/>
        <v>0</v>
      </c>
      <c r="O1047">
        <f t="shared" si="101"/>
        <v>0</v>
      </c>
      <c r="P1047">
        <f t="shared" si="98"/>
        <v>3950</v>
      </c>
      <c r="Q1047">
        <f t="shared" si="102"/>
        <v>3950</v>
      </c>
      <c r="T1047" s="16">
        <f t="shared" si="103"/>
        <v>-1.0063207454307983</v>
      </c>
    </row>
    <row r="1048" spans="7:20" ht="14.4" x14ac:dyDescent="0.25">
      <c r="G1048" s="10">
        <v>187</v>
      </c>
      <c r="H1048" s="9">
        <v>1221</v>
      </c>
      <c r="I1048" s="14">
        <f>DATE(2012,12,31)-257</f>
        <v>41017</v>
      </c>
      <c r="J1048" s="15" t="s">
        <v>28</v>
      </c>
      <c r="K1048" s="9">
        <v>16</v>
      </c>
      <c r="L1048" s="16" t="s">
        <v>26</v>
      </c>
      <c r="M1048" s="16">
        <f t="shared" si="99"/>
        <v>-0.66102186233469074</v>
      </c>
      <c r="N1048">
        <f t="shared" si="100"/>
        <v>0</v>
      </c>
      <c r="O1048">
        <f t="shared" si="101"/>
        <v>0</v>
      </c>
      <c r="P1048">
        <f t="shared" si="98"/>
        <v>4200</v>
      </c>
      <c r="Q1048">
        <f t="shared" si="102"/>
        <v>4200</v>
      </c>
      <c r="T1048" s="16">
        <f t="shared" si="103"/>
        <v>-0.66102186233469118</v>
      </c>
    </row>
    <row r="1049" spans="7:20" ht="14.4" x14ac:dyDescent="0.25">
      <c r="G1049" s="10">
        <v>222</v>
      </c>
      <c r="H1049" s="9">
        <v>1445</v>
      </c>
      <c r="I1049" s="14">
        <f>DATE(2012,12,31)-722</f>
        <v>40552</v>
      </c>
      <c r="J1049" s="15" t="s">
        <v>16</v>
      </c>
      <c r="K1049" s="9">
        <v>3</v>
      </c>
      <c r="L1049" s="16" t="s">
        <v>26</v>
      </c>
      <c r="M1049" s="16">
        <f t="shared" si="99"/>
        <v>-1.5587989583845694</v>
      </c>
      <c r="N1049">
        <f t="shared" si="100"/>
        <v>0</v>
      </c>
      <c r="O1049">
        <f t="shared" si="101"/>
        <v>0</v>
      </c>
      <c r="P1049">
        <f t="shared" si="98"/>
        <v>3550</v>
      </c>
      <c r="Q1049">
        <f t="shared" si="102"/>
        <v>3550</v>
      </c>
      <c r="T1049" s="16">
        <f t="shared" si="103"/>
        <v>-1.5587989583845698</v>
      </c>
    </row>
    <row r="1050" spans="7:20" ht="14.4" x14ac:dyDescent="0.25">
      <c r="G1050" s="10">
        <v>223</v>
      </c>
      <c r="H1050" s="9">
        <v>1445</v>
      </c>
      <c r="I1050" s="14">
        <f>DATE(2012,12,31)-722</f>
        <v>40552</v>
      </c>
      <c r="J1050" s="15" t="s">
        <v>16</v>
      </c>
      <c r="K1050" s="9">
        <v>30</v>
      </c>
      <c r="L1050" s="16" t="s">
        <v>26</v>
      </c>
      <c r="M1050" s="16">
        <f t="shared" si="99"/>
        <v>0.30581501033440933</v>
      </c>
      <c r="N1050">
        <f t="shared" si="100"/>
        <v>0</v>
      </c>
      <c r="O1050">
        <f t="shared" si="101"/>
        <v>0</v>
      </c>
      <c r="P1050">
        <f t="shared" si="98"/>
        <v>4900</v>
      </c>
      <c r="Q1050">
        <f t="shared" si="102"/>
        <v>4900</v>
      </c>
      <c r="T1050" s="16">
        <f t="shared" si="103"/>
        <v>0.30581501033440894</v>
      </c>
    </row>
    <row r="1051" spans="7:20" ht="14.4" x14ac:dyDescent="0.25">
      <c r="G1051" s="10">
        <v>259</v>
      </c>
      <c r="H1051" s="9">
        <v>1799</v>
      </c>
      <c r="I1051" s="14">
        <f>DATE(2012,12,31)-1396</f>
        <v>39878</v>
      </c>
      <c r="J1051" s="15" t="s">
        <v>28</v>
      </c>
      <c r="K1051" s="9">
        <v>10</v>
      </c>
      <c r="L1051" s="16" t="s">
        <v>29</v>
      </c>
      <c r="M1051" s="16">
        <f t="shared" si="99"/>
        <v>-1.0753805220500194</v>
      </c>
      <c r="N1051">
        <f t="shared" si="100"/>
        <v>0</v>
      </c>
      <c r="O1051">
        <f t="shared" si="101"/>
        <v>0</v>
      </c>
      <c r="P1051">
        <f t="shared" si="98"/>
        <v>3900</v>
      </c>
      <c r="Q1051">
        <f t="shared" si="102"/>
        <v>3900</v>
      </c>
      <c r="T1051" s="16">
        <f t="shared" si="103"/>
        <v>-1.0753805220500199</v>
      </c>
    </row>
    <row r="1052" spans="7:20" ht="14.4" x14ac:dyDescent="0.25">
      <c r="G1052" s="10">
        <v>260</v>
      </c>
      <c r="H1052" s="9">
        <v>1799</v>
      </c>
      <c r="I1052" s="14">
        <f>DATE(2012,12,31)-1396</f>
        <v>39878</v>
      </c>
      <c r="J1052" s="15" t="s">
        <v>28</v>
      </c>
      <c r="K1052" s="9">
        <v>16</v>
      </c>
      <c r="L1052" s="16" t="s">
        <v>26</v>
      </c>
      <c r="M1052" s="16">
        <f t="shared" si="99"/>
        <v>-0.66102186233469074</v>
      </c>
      <c r="N1052">
        <f t="shared" si="100"/>
        <v>0</v>
      </c>
      <c r="O1052">
        <f t="shared" si="101"/>
        <v>0</v>
      </c>
      <c r="P1052">
        <f t="shared" si="98"/>
        <v>4200</v>
      </c>
      <c r="Q1052">
        <f t="shared" si="102"/>
        <v>4200</v>
      </c>
      <c r="T1052" s="16">
        <f t="shared" si="103"/>
        <v>-0.66102186233469118</v>
      </c>
    </row>
    <row r="1053" spans="7:20" ht="14.4" x14ac:dyDescent="0.25">
      <c r="G1053" s="10">
        <v>393</v>
      </c>
      <c r="H1053" s="9">
        <v>2720</v>
      </c>
      <c r="I1053" s="14">
        <f>DATE(2012,12,31)-938</f>
        <v>40336</v>
      </c>
      <c r="J1053" s="15" t="s">
        <v>30</v>
      </c>
      <c r="K1053" s="9">
        <v>36</v>
      </c>
      <c r="L1053" s="16" t="s">
        <v>27</v>
      </c>
      <c r="M1053" s="16">
        <f t="shared" si="99"/>
        <v>0.72017367004973787</v>
      </c>
      <c r="N1053">
        <f t="shared" si="100"/>
        <v>0</v>
      </c>
      <c r="O1053">
        <f t="shared" si="101"/>
        <v>0</v>
      </c>
      <c r="P1053">
        <f t="shared" si="98"/>
        <v>5200</v>
      </c>
      <c r="Q1053">
        <f t="shared" si="102"/>
        <v>5200</v>
      </c>
      <c r="T1053" s="16">
        <f t="shared" si="103"/>
        <v>0.72017367004973754</v>
      </c>
    </row>
    <row r="1054" spans="7:20" ht="14.4" x14ac:dyDescent="0.25">
      <c r="G1054" s="10">
        <v>548</v>
      </c>
      <c r="H1054" s="9">
        <v>3685</v>
      </c>
      <c r="I1054" s="14">
        <f>DATE(2012,12,31)-350</f>
        <v>40924</v>
      </c>
      <c r="J1054" s="15" t="s">
        <v>16</v>
      </c>
      <c r="K1054" s="9">
        <v>29</v>
      </c>
      <c r="L1054" s="16" t="s">
        <v>26</v>
      </c>
      <c r="M1054" s="16">
        <f t="shared" si="99"/>
        <v>0.23675523371518786</v>
      </c>
      <c r="N1054">
        <f t="shared" si="100"/>
        <v>0</v>
      </c>
      <c r="O1054">
        <f t="shared" si="101"/>
        <v>0</v>
      </c>
      <c r="P1054">
        <f t="shared" si="98"/>
        <v>4850</v>
      </c>
      <c r="Q1054">
        <f t="shared" si="102"/>
        <v>4850</v>
      </c>
      <c r="T1054" s="16">
        <f t="shared" si="103"/>
        <v>0.2367552337151875</v>
      </c>
    </row>
    <row r="1055" spans="7:20" ht="14.4" x14ac:dyDescent="0.25">
      <c r="G1055" s="10">
        <v>549</v>
      </c>
      <c r="H1055" s="9">
        <v>3687</v>
      </c>
      <c r="I1055" s="14">
        <f>DATE(2012,12,31)-1063</f>
        <v>40211</v>
      </c>
      <c r="J1055" s="15" t="s">
        <v>30</v>
      </c>
      <c r="K1055" s="9">
        <v>25</v>
      </c>
      <c r="L1055" s="16" t="s">
        <v>26</v>
      </c>
      <c r="M1055" s="16">
        <f t="shared" si="99"/>
        <v>-3.9483872761697868E-2</v>
      </c>
      <c r="N1055">
        <f t="shared" si="100"/>
        <v>0</v>
      </c>
      <c r="O1055">
        <f t="shared" si="101"/>
        <v>0</v>
      </c>
      <c r="P1055">
        <f t="shared" si="98"/>
        <v>4650</v>
      </c>
      <c r="Q1055">
        <f t="shared" si="102"/>
        <v>4650</v>
      </c>
      <c r="T1055" s="16">
        <f t="shared" si="103"/>
        <v>-3.9483872761698249E-2</v>
      </c>
    </row>
    <row r="1056" spans="7:20" ht="14.4" x14ac:dyDescent="0.25">
      <c r="G1056" s="10">
        <v>574</v>
      </c>
      <c r="H1056" s="9">
        <v>3907</v>
      </c>
      <c r="I1056" s="14">
        <f>DATE(2012,12,31)-135</f>
        <v>41139</v>
      </c>
      <c r="J1056" s="15" t="s">
        <v>16</v>
      </c>
      <c r="K1056" s="9">
        <v>36</v>
      </c>
      <c r="L1056" s="16" t="s">
        <v>26</v>
      </c>
      <c r="M1056" s="16">
        <f t="shared" si="99"/>
        <v>0.72017367004973787</v>
      </c>
      <c r="N1056">
        <f t="shared" si="100"/>
        <v>0</v>
      </c>
      <c r="O1056">
        <f t="shared" si="101"/>
        <v>0</v>
      </c>
      <c r="P1056">
        <f t="shared" si="98"/>
        <v>5200</v>
      </c>
      <c r="Q1056">
        <f t="shared" si="102"/>
        <v>5200</v>
      </c>
      <c r="T1056" s="16">
        <f t="shared" si="103"/>
        <v>0.72017367004973754</v>
      </c>
    </row>
    <row r="1057" spans="7:20" ht="14.4" x14ac:dyDescent="0.25">
      <c r="G1057" s="10">
        <v>594</v>
      </c>
      <c r="H1057" s="9">
        <v>4067</v>
      </c>
      <c r="I1057" s="14">
        <f>DATE(2012,12,31)-86</f>
        <v>41188</v>
      </c>
      <c r="J1057" s="15" t="s">
        <v>17</v>
      </c>
      <c r="K1057" s="9">
        <v>16</v>
      </c>
      <c r="L1057" s="16" t="s">
        <v>26</v>
      </c>
      <c r="M1057" s="16">
        <f t="shared" si="99"/>
        <v>-0.66102186233469074</v>
      </c>
      <c r="N1057">
        <f t="shared" si="100"/>
        <v>0</v>
      </c>
      <c r="O1057">
        <f t="shared" si="101"/>
        <v>0</v>
      </c>
      <c r="P1057">
        <f t="shared" si="98"/>
        <v>4200</v>
      </c>
      <c r="Q1057">
        <f t="shared" si="102"/>
        <v>4200</v>
      </c>
      <c r="T1057" s="16">
        <f t="shared" si="103"/>
        <v>-0.66102186233469118</v>
      </c>
    </row>
    <row r="1058" spans="7:20" ht="14.4" x14ac:dyDescent="0.25">
      <c r="G1058" s="10">
        <v>617</v>
      </c>
      <c r="H1058" s="9">
        <v>4257</v>
      </c>
      <c r="I1058" s="14">
        <f>DATE(2012,12,31)-648</f>
        <v>40626</v>
      </c>
      <c r="J1058" s="15" t="s">
        <v>16</v>
      </c>
      <c r="K1058" s="9">
        <v>45</v>
      </c>
      <c r="L1058" s="16" t="s">
        <v>26</v>
      </c>
      <c r="M1058" s="16">
        <f t="shared" si="99"/>
        <v>1.3417116596227308</v>
      </c>
      <c r="N1058">
        <f t="shared" si="100"/>
        <v>0</v>
      </c>
      <c r="O1058">
        <f t="shared" si="101"/>
        <v>0</v>
      </c>
      <c r="P1058">
        <f t="shared" si="98"/>
        <v>5650</v>
      </c>
      <c r="Q1058">
        <f t="shared" si="102"/>
        <v>5650</v>
      </c>
      <c r="T1058" s="16">
        <f t="shared" si="103"/>
        <v>1.3417116596227305</v>
      </c>
    </row>
    <row r="1059" spans="7:20" ht="14.4" x14ac:dyDescent="0.25">
      <c r="G1059" s="10">
        <v>618</v>
      </c>
      <c r="H1059" s="9">
        <v>4261</v>
      </c>
      <c r="I1059" s="14">
        <f>DATE(2012,12,31)-90</f>
        <v>41184</v>
      </c>
      <c r="J1059" s="15" t="s">
        <v>30</v>
      </c>
      <c r="K1059" s="9">
        <v>22</v>
      </c>
      <c r="L1059" s="16" t="s">
        <v>26</v>
      </c>
      <c r="M1059" s="16">
        <f t="shared" si="99"/>
        <v>-0.24666320261936217</v>
      </c>
      <c r="N1059">
        <f t="shared" si="100"/>
        <v>0</v>
      </c>
      <c r="O1059">
        <f t="shared" si="101"/>
        <v>0</v>
      </c>
      <c r="P1059">
        <f t="shared" si="98"/>
        <v>4500</v>
      </c>
      <c r="Q1059">
        <f t="shared" si="102"/>
        <v>4500</v>
      </c>
      <c r="T1059" s="16">
        <f t="shared" si="103"/>
        <v>-0.24666320261936256</v>
      </c>
    </row>
    <row r="1060" spans="7:20" ht="14.4" x14ac:dyDescent="0.25">
      <c r="G1060" s="10">
        <v>619</v>
      </c>
      <c r="H1060" s="9">
        <v>4261</v>
      </c>
      <c r="I1060" s="14">
        <f>DATE(2012,12,31)-90</f>
        <v>41184</v>
      </c>
      <c r="J1060" s="15" t="s">
        <v>30</v>
      </c>
      <c r="K1060" s="9">
        <v>33</v>
      </c>
      <c r="L1060" s="16" t="s">
        <v>26</v>
      </c>
      <c r="M1060" s="16">
        <f t="shared" si="99"/>
        <v>0.51299434019207357</v>
      </c>
      <c r="N1060">
        <f t="shared" si="100"/>
        <v>0</v>
      </c>
      <c r="O1060">
        <f t="shared" si="101"/>
        <v>0</v>
      </c>
      <c r="P1060">
        <f t="shared" si="98"/>
        <v>5050</v>
      </c>
      <c r="Q1060">
        <f t="shared" si="102"/>
        <v>5050</v>
      </c>
      <c r="T1060" s="16">
        <f t="shared" si="103"/>
        <v>0.51299434019207324</v>
      </c>
    </row>
    <row r="1061" spans="7:20" ht="14.4" x14ac:dyDescent="0.25">
      <c r="G1061" s="10">
        <v>620</v>
      </c>
      <c r="H1061" s="9">
        <v>4261</v>
      </c>
      <c r="I1061" s="14">
        <f>DATE(2012,12,31)-90</f>
        <v>41184</v>
      </c>
      <c r="J1061" s="15" t="s">
        <v>30</v>
      </c>
      <c r="K1061" s="9">
        <v>32</v>
      </c>
      <c r="L1061" s="16" t="s">
        <v>26</v>
      </c>
      <c r="M1061" s="16">
        <f t="shared" si="99"/>
        <v>0.44393456357285216</v>
      </c>
      <c r="N1061">
        <f t="shared" si="100"/>
        <v>0</v>
      </c>
      <c r="O1061">
        <f t="shared" si="101"/>
        <v>0</v>
      </c>
      <c r="P1061">
        <f t="shared" si="98"/>
        <v>5000</v>
      </c>
      <c r="Q1061">
        <f t="shared" si="102"/>
        <v>5000</v>
      </c>
      <c r="T1061" s="16">
        <f t="shared" si="103"/>
        <v>0.44393456357285183</v>
      </c>
    </row>
    <row r="1062" spans="7:20" ht="14.4" x14ac:dyDescent="0.25">
      <c r="G1062" s="10">
        <v>621</v>
      </c>
      <c r="H1062" s="9">
        <v>4261</v>
      </c>
      <c r="I1062" s="14">
        <f>DATE(2012,12,31)-90</f>
        <v>41184</v>
      </c>
      <c r="J1062" s="15" t="s">
        <v>30</v>
      </c>
      <c r="K1062" s="9">
        <v>48</v>
      </c>
      <c r="L1062" s="16" t="s">
        <v>26</v>
      </c>
      <c r="M1062" s="16">
        <f t="shared" si="99"/>
        <v>1.5488909894803951</v>
      </c>
      <c r="N1062">
        <f t="shared" si="100"/>
        <v>0</v>
      </c>
      <c r="O1062">
        <f t="shared" si="101"/>
        <v>0</v>
      </c>
      <c r="P1062">
        <f t="shared" si="98"/>
        <v>5800</v>
      </c>
      <c r="Q1062">
        <f t="shared" si="102"/>
        <v>5800</v>
      </c>
      <c r="T1062" s="16">
        <f t="shared" si="103"/>
        <v>1.5488909894803948</v>
      </c>
    </row>
    <row r="1063" spans="7:20" ht="14.4" x14ac:dyDescent="0.25">
      <c r="G1063" s="10">
        <v>622</v>
      </c>
      <c r="H1063" s="9">
        <v>4294</v>
      </c>
      <c r="I1063" s="14">
        <f>DATE(2012,12,31)-139</f>
        <v>41135</v>
      </c>
      <c r="J1063" s="15" t="s">
        <v>16</v>
      </c>
      <c r="K1063" s="9">
        <v>8</v>
      </c>
      <c r="L1063" s="16" t="s">
        <v>29</v>
      </c>
      <c r="M1063" s="16">
        <f t="shared" si="99"/>
        <v>-1.2135000752884624</v>
      </c>
      <c r="N1063">
        <f t="shared" si="100"/>
        <v>0</v>
      </c>
      <c r="O1063">
        <f t="shared" si="101"/>
        <v>0</v>
      </c>
      <c r="P1063">
        <f t="shared" si="98"/>
        <v>3800</v>
      </c>
      <c r="Q1063">
        <f t="shared" si="102"/>
        <v>3800</v>
      </c>
      <c r="T1063" s="16">
        <f t="shared" si="103"/>
        <v>-1.2135000752884626</v>
      </c>
    </row>
    <row r="1064" spans="7:20" ht="14.4" x14ac:dyDescent="0.25">
      <c r="G1064" s="10">
        <v>657</v>
      </c>
      <c r="H1064" s="9">
        <v>4642</v>
      </c>
      <c r="I1064" s="14">
        <f>DATE(2012,12,31)-674</f>
        <v>40600</v>
      </c>
      <c r="J1064" s="15" t="s">
        <v>30</v>
      </c>
      <c r="K1064" s="9">
        <v>9</v>
      </c>
      <c r="L1064" s="16" t="s">
        <v>27</v>
      </c>
      <c r="M1064" s="16">
        <f t="shared" si="99"/>
        <v>-1.1444402986692408</v>
      </c>
      <c r="N1064">
        <f t="shared" si="100"/>
        <v>0</v>
      </c>
      <c r="O1064">
        <f t="shared" si="101"/>
        <v>0</v>
      </c>
      <c r="P1064">
        <f t="shared" si="98"/>
        <v>3850</v>
      </c>
      <c r="Q1064">
        <f t="shared" si="102"/>
        <v>3850</v>
      </c>
      <c r="T1064" s="16">
        <f t="shared" si="103"/>
        <v>-1.1444402986692412</v>
      </c>
    </row>
    <row r="1065" spans="7:20" ht="14.4" x14ac:dyDescent="0.25">
      <c r="G1065" s="10">
        <v>658</v>
      </c>
      <c r="H1065" s="9">
        <v>4642</v>
      </c>
      <c r="I1065" s="14">
        <f>DATE(2012,12,31)-674</f>
        <v>40600</v>
      </c>
      <c r="J1065" s="15" t="s">
        <v>30</v>
      </c>
      <c r="K1065" s="9">
        <v>21</v>
      </c>
      <c r="L1065" s="16" t="s">
        <v>26</v>
      </c>
      <c r="M1065" s="16">
        <f t="shared" si="99"/>
        <v>-0.31572297923858361</v>
      </c>
      <c r="N1065">
        <f t="shared" si="100"/>
        <v>0</v>
      </c>
      <c r="O1065">
        <f t="shared" si="101"/>
        <v>0</v>
      </c>
      <c r="P1065">
        <f t="shared" si="98"/>
        <v>4450</v>
      </c>
      <c r="Q1065">
        <f t="shared" si="102"/>
        <v>4450</v>
      </c>
      <c r="T1065" s="16">
        <f t="shared" si="103"/>
        <v>-0.315722979238584</v>
      </c>
    </row>
    <row r="1066" spans="7:20" ht="14.4" x14ac:dyDescent="0.25">
      <c r="G1066" s="10">
        <v>695</v>
      </c>
      <c r="H1066" s="9">
        <v>4864</v>
      </c>
      <c r="I1066" s="14">
        <f>DATE(2012,12,31)-51</f>
        <v>41223</v>
      </c>
      <c r="J1066" s="15" t="s">
        <v>25</v>
      </c>
      <c r="K1066" s="9">
        <v>16</v>
      </c>
      <c r="L1066" s="16" t="s">
        <v>26</v>
      </c>
      <c r="M1066" s="16">
        <f t="shared" si="99"/>
        <v>-0.66102186233469074</v>
      </c>
      <c r="N1066">
        <f t="shared" si="100"/>
        <v>0</v>
      </c>
      <c r="O1066">
        <f t="shared" si="101"/>
        <v>0</v>
      </c>
      <c r="P1066">
        <f t="shared" si="98"/>
        <v>4200</v>
      </c>
      <c r="Q1066">
        <f t="shared" si="102"/>
        <v>4200</v>
      </c>
      <c r="T1066" s="16">
        <f t="shared" si="103"/>
        <v>-0.66102186233469118</v>
      </c>
    </row>
    <row r="1067" spans="7:20" ht="14.4" x14ac:dyDescent="0.25">
      <c r="G1067" s="10">
        <v>710</v>
      </c>
      <c r="H1067" s="9">
        <v>4996</v>
      </c>
      <c r="I1067" s="14">
        <f>DATE(2012,12,31)-109</f>
        <v>41165</v>
      </c>
      <c r="J1067" s="15" t="s">
        <v>16</v>
      </c>
      <c r="K1067" s="9">
        <v>30</v>
      </c>
      <c r="L1067" s="16" t="s">
        <v>26</v>
      </c>
      <c r="M1067" s="16">
        <f t="shared" si="99"/>
        <v>0.30581501033440933</v>
      </c>
      <c r="N1067">
        <f t="shared" si="100"/>
        <v>0</v>
      </c>
      <c r="O1067">
        <f t="shared" si="101"/>
        <v>0</v>
      </c>
      <c r="P1067">
        <f t="shared" si="98"/>
        <v>4900</v>
      </c>
      <c r="Q1067">
        <f t="shared" si="102"/>
        <v>4900</v>
      </c>
      <c r="T1067" s="16">
        <f t="shared" si="103"/>
        <v>0.30581501033440894</v>
      </c>
    </row>
    <row r="1068" spans="7:20" ht="14.4" x14ac:dyDescent="0.25">
      <c r="G1068" s="10">
        <v>718</v>
      </c>
      <c r="H1068" s="9">
        <v>5121</v>
      </c>
      <c r="I1068" s="14">
        <f>DATE(2012,12,31)-235</f>
        <v>41039</v>
      </c>
      <c r="J1068" s="15" t="s">
        <v>28</v>
      </c>
      <c r="K1068" s="9">
        <v>45</v>
      </c>
      <c r="L1068" s="16" t="s">
        <v>27</v>
      </c>
      <c r="M1068" s="16">
        <f t="shared" si="99"/>
        <v>1.3417116596227308</v>
      </c>
      <c r="N1068">
        <f t="shared" si="100"/>
        <v>0</v>
      </c>
      <c r="O1068">
        <f t="shared" si="101"/>
        <v>0</v>
      </c>
      <c r="P1068">
        <f t="shared" si="98"/>
        <v>5650</v>
      </c>
      <c r="Q1068">
        <f t="shared" si="102"/>
        <v>5650</v>
      </c>
      <c r="T1068" s="16">
        <f t="shared" si="103"/>
        <v>1.3417116596227305</v>
      </c>
    </row>
    <row r="1069" spans="7:20" ht="14.4" x14ac:dyDescent="0.25">
      <c r="G1069" s="10">
        <v>741</v>
      </c>
      <c r="H1069" s="9">
        <v>5346</v>
      </c>
      <c r="I1069" s="14">
        <f>DATE(2012,12,31)-737</f>
        <v>40537</v>
      </c>
      <c r="J1069" s="15" t="s">
        <v>30</v>
      </c>
      <c r="K1069" s="9">
        <v>34</v>
      </c>
      <c r="L1069" s="16" t="s">
        <v>29</v>
      </c>
      <c r="M1069" s="16">
        <f t="shared" si="99"/>
        <v>0.58205411681129504</v>
      </c>
      <c r="N1069">
        <f t="shared" si="100"/>
        <v>0</v>
      </c>
      <c r="O1069">
        <f t="shared" si="101"/>
        <v>0</v>
      </c>
      <c r="P1069">
        <f t="shared" si="98"/>
        <v>5100</v>
      </c>
      <c r="Q1069">
        <f t="shared" si="102"/>
        <v>5100</v>
      </c>
      <c r="T1069" s="16">
        <f t="shared" si="103"/>
        <v>0.58205411681129471</v>
      </c>
    </row>
    <row r="1070" spans="7:20" ht="14.4" x14ac:dyDescent="0.25">
      <c r="G1070" s="10">
        <v>742</v>
      </c>
      <c r="H1070" s="9">
        <v>5346</v>
      </c>
      <c r="I1070" s="14">
        <f>DATE(2012,12,31)-737</f>
        <v>40537</v>
      </c>
      <c r="J1070" s="15" t="s">
        <v>30</v>
      </c>
      <c r="K1070" s="9">
        <v>45</v>
      </c>
      <c r="L1070" s="16" t="s">
        <v>29</v>
      </c>
      <c r="M1070" s="16">
        <f t="shared" si="99"/>
        <v>1.3417116596227308</v>
      </c>
      <c r="N1070">
        <f t="shared" si="100"/>
        <v>0</v>
      </c>
      <c r="O1070">
        <f t="shared" si="101"/>
        <v>0</v>
      </c>
      <c r="P1070">
        <f t="shared" si="98"/>
        <v>5650</v>
      </c>
      <c r="Q1070">
        <f t="shared" si="102"/>
        <v>5650</v>
      </c>
      <c r="T1070" s="16">
        <f t="shared" si="103"/>
        <v>1.3417116596227305</v>
      </c>
    </row>
    <row r="1071" spans="7:20" ht="14.4" x14ac:dyDescent="0.25">
      <c r="G1071" s="10">
        <v>743</v>
      </c>
      <c r="H1071" s="9">
        <v>5346</v>
      </c>
      <c r="I1071" s="14">
        <f>DATE(2012,12,31)-737</f>
        <v>40537</v>
      </c>
      <c r="J1071" s="15" t="s">
        <v>30</v>
      </c>
      <c r="K1071" s="9">
        <v>17</v>
      </c>
      <c r="L1071" s="16" t="s">
        <v>29</v>
      </c>
      <c r="M1071" s="16">
        <f t="shared" si="99"/>
        <v>-0.59196208571546938</v>
      </c>
      <c r="N1071">
        <f t="shared" si="100"/>
        <v>0</v>
      </c>
      <c r="O1071">
        <f t="shared" si="101"/>
        <v>0</v>
      </c>
      <c r="P1071">
        <f t="shared" si="98"/>
        <v>4250</v>
      </c>
      <c r="Q1071">
        <f t="shared" si="102"/>
        <v>4250</v>
      </c>
      <c r="T1071" s="16">
        <f t="shared" si="103"/>
        <v>-0.59196208571546971</v>
      </c>
    </row>
    <row r="1072" spans="7:20" ht="14.4" x14ac:dyDescent="0.25">
      <c r="G1072" s="10">
        <v>766</v>
      </c>
      <c r="H1072" s="9">
        <v>5473</v>
      </c>
      <c r="I1072" s="14">
        <f>DATE(2012,12,31)-282</f>
        <v>40992</v>
      </c>
      <c r="J1072" s="15" t="s">
        <v>28</v>
      </c>
      <c r="K1072" s="9">
        <v>42</v>
      </c>
      <c r="L1072" s="16" t="s">
        <v>26</v>
      </c>
      <c r="M1072" s="16">
        <f t="shared" si="99"/>
        <v>1.1345323297650665</v>
      </c>
      <c r="N1072">
        <f t="shared" si="100"/>
        <v>0</v>
      </c>
      <c r="O1072">
        <f t="shared" si="101"/>
        <v>0</v>
      </c>
      <c r="P1072">
        <f t="shared" si="98"/>
        <v>5500</v>
      </c>
      <c r="Q1072">
        <f t="shared" si="102"/>
        <v>5500</v>
      </c>
      <c r="T1072" s="16">
        <f t="shared" si="103"/>
        <v>1.1345323297650662</v>
      </c>
    </row>
    <row r="1073" spans="7:20" ht="14.4" x14ac:dyDescent="0.25">
      <c r="G1073" s="10">
        <v>795</v>
      </c>
      <c r="H1073" s="9">
        <v>5698</v>
      </c>
      <c r="I1073" s="14">
        <f>DATE(2012,12,31)-1321</f>
        <v>39953</v>
      </c>
      <c r="J1073" s="15" t="s">
        <v>16</v>
      </c>
      <c r="K1073" s="9">
        <v>15</v>
      </c>
      <c r="L1073" s="16" t="s">
        <v>26</v>
      </c>
      <c r="M1073" s="16">
        <f t="shared" si="99"/>
        <v>-0.7300816389539122</v>
      </c>
      <c r="N1073">
        <f t="shared" si="100"/>
        <v>0</v>
      </c>
      <c r="O1073">
        <f t="shared" si="101"/>
        <v>0</v>
      </c>
      <c r="P1073">
        <f t="shared" si="98"/>
        <v>4150</v>
      </c>
      <c r="Q1073">
        <f t="shared" si="102"/>
        <v>4150</v>
      </c>
      <c r="T1073" s="16">
        <f t="shared" si="103"/>
        <v>-0.73008163895391265</v>
      </c>
    </row>
    <row r="1074" spans="7:20" ht="14.4" x14ac:dyDescent="0.25">
      <c r="G1074" s="10">
        <v>796</v>
      </c>
      <c r="H1074" s="9">
        <v>5698</v>
      </c>
      <c r="I1074" s="14">
        <f>DATE(2012,12,31)-1321</f>
        <v>39953</v>
      </c>
      <c r="J1074" s="15" t="s">
        <v>16</v>
      </c>
      <c r="K1074" s="9">
        <v>7</v>
      </c>
      <c r="L1074" s="16" t="s">
        <v>26</v>
      </c>
      <c r="M1074" s="16">
        <f t="shared" si="99"/>
        <v>-1.2825598519076837</v>
      </c>
      <c r="N1074">
        <f t="shared" si="100"/>
        <v>0</v>
      </c>
      <c r="O1074">
        <f t="shared" si="101"/>
        <v>0</v>
      </c>
      <c r="P1074">
        <f t="shared" si="98"/>
        <v>3750</v>
      </c>
      <c r="Q1074">
        <f t="shared" si="102"/>
        <v>3750</v>
      </c>
      <c r="T1074" s="16">
        <f t="shared" si="103"/>
        <v>-1.2825598519076842</v>
      </c>
    </row>
    <row r="1075" spans="7:20" ht="14.4" x14ac:dyDescent="0.25">
      <c r="G1075" s="10">
        <v>855</v>
      </c>
      <c r="H1075" s="9">
        <v>6144</v>
      </c>
      <c r="I1075" s="14">
        <f>DATE(2012,12,31)-1289</f>
        <v>39985</v>
      </c>
      <c r="J1075" s="15" t="s">
        <v>30</v>
      </c>
      <c r="K1075" s="9">
        <v>24</v>
      </c>
      <c r="L1075" s="16" t="s">
        <v>26</v>
      </c>
      <c r="M1075" s="16">
        <f t="shared" si="99"/>
        <v>-0.1085436493809193</v>
      </c>
      <c r="N1075">
        <f t="shared" si="100"/>
        <v>0</v>
      </c>
      <c r="O1075">
        <f t="shared" si="101"/>
        <v>0</v>
      </c>
      <c r="P1075">
        <f t="shared" si="98"/>
        <v>4600</v>
      </c>
      <c r="Q1075">
        <f t="shared" si="102"/>
        <v>4600</v>
      </c>
      <c r="T1075" s="16">
        <f t="shared" si="103"/>
        <v>-0.10854364938091969</v>
      </c>
    </row>
    <row r="1076" spans="7:20" ht="14.4" x14ac:dyDescent="0.25">
      <c r="G1076" s="10">
        <v>856</v>
      </c>
      <c r="H1076" s="9">
        <v>6144</v>
      </c>
      <c r="I1076" s="14">
        <f>DATE(2012,12,31)-1289</f>
        <v>39985</v>
      </c>
      <c r="J1076" s="15" t="s">
        <v>30</v>
      </c>
      <c r="K1076" s="9">
        <v>4</v>
      </c>
      <c r="L1076" s="16" t="s">
        <v>29</v>
      </c>
      <c r="M1076" s="16">
        <f t="shared" si="99"/>
        <v>-1.489739181765348</v>
      </c>
      <c r="N1076">
        <f t="shared" si="100"/>
        <v>0</v>
      </c>
      <c r="O1076">
        <f t="shared" si="101"/>
        <v>0</v>
      </c>
      <c r="P1076">
        <f t="shared" si="98"/>
        <v>3600</v>
      </c>
      <c r="Q1076">
        <f t="shared" si="102"/>
        <v>3600</v>
      </c>
      <c r="T1076" s="16">
        <f t="shared" si="103"/>
        <v>-1.4897391817653485</v>
      </c>
    </row>
    <row r="1077" spans="7:20" ht="14.4" x14ac:dyDescent="0.25">
      <c r="G1077" s="10">
        <v>888</v>
      </c>
      <c r="H1077" s="9">
        <v>6374</v>
      </c>
      <c r="I1077" s="14">
        <f>DATE(2012,12,31)-512</f>
        <v>40762</v>
      </c>
      <c r="J1077" s="15" t="s">
        <v>30</v>
      </c>
      <c r="K1077" s="9">
        <v>29</v>
      </c>
      <c r="L1077" s="16" t="s">
        <v>27</v>
      </c>
      <c r="M1077" s="16">
        <f t="shared" si="99"/>
        <v>0.23675523371518786</v>
      </c>
      <c r="N1077">
        <f t="shared" si="100"/>
        <v>0</v>
      </c>
      <c r="O1077">
        <f t="shared" si="101"/>
        <v>0</v>
      </c>
      <c r="P1077">
        <f t="shared" si="98"/>
        <v>4850</v>
      </c>
      <c r="Q1077">
        <f t="shared" si="102"/>
        <v>4850</v>
      </c>
      <c r="T1077" s="16">
        <f t="shared" si="103"/>
        <v>0.2367552337151875</v>
      </c>
    </row>
    <row r="1078" spans="7:20" ht="14.4" x14ac:dyDescent="0.25">
      <c r="G1078" s="10">
        <v>889</v>
      </c>
      <c r="H1078" s="9">
        <v>6374</v>
      </c>
      <c r="I1078" s="14">
        <f>DATE(2012,12,31)-512</f>
        <v>40762</v>
      </c>
      <c r="J1078" s="15" t="s">
        <v>30</v>
      </c>
      <c r="K1078" s="9">
        <v>1</v>
      </c>
      <c r="L1078" s="16" t="s">
        <v>26</v>
      </c>
      <c r="M1078" s="16">
        <f t="shared" si="99"/>
        <v>-1.6969185116230123</v>
      </c>
      <c r="N1078">
        <f t="shared" si="100"/>
        <v>0</v>
      </c>
      <c r="O1078">
        <f t="shared" si="101"/>
        <v>0</v>
      </c>
      <c r="P1078">
        <f t="shared" si="98"/>
        <v>3450</v>
      </c>
      <c r="Q1078">
        <f t="shared" si="102"/>
        <v>3450</v>
      </c>
      <c r="T1078" s="16">
        <f t="shared" si="103"/>
        <v>-1.6969185116230128</v>
      </c>
    </row>
    <row r="1079" spans="7:20" ht="14.4" x14ac:dyDescent="0.25">
      <c r="G1079" s="10">
        <v>992</v>
      </c>
      <c r="H1079" s="9">
        <v>7169</v>
      </c>
      <c r="I1079" s="14">
        <f>DATE(2012,12,31)-1011</f>
        <v>40263</v>
      </c>
      <c r="J1079" s="15" t="s">
        <v>16</v>
      </c>
      <c r="K1079" s="9">
        <v>22</v>
      </c>
      <c r="L1079" s="16" t="s">
        <v>29</v>
      </c>
      <c r="M1079" s="16">
        <f t="shared" si="99"/>
        <v>-0.24666320261936217</v>
      </c>
      <c r="N1079">
        <f t="shared" si="100"/>
        <v>0</v>
      </c>
      <c r="O1079">
        <f t="shared" si="101"/>
        <v>0</v>
      </c>
      <c r="P1079">
        <f t="shared" si="98"/>
        <v>4500</v>
      </c>
      <c r="Q1079">
        <f t="shared" si="102"/>
        <v>4500</v>
      </c>
      <c r="T1079" s="16">
        <f t="shared" si="103"/>
        <v>-0.24666320261936256</v>
      </c>
    </row>
    <row r="1080" spans="7:20" ht="14.4" x14ac:dyDescent="0.25">
      <c r="G1080" s="10">
        <v>993</v>
      </c>
      <c r="H1080" s="9">
        <v>7169</v>
      </c>
      <c r="I1080" s="14">
        <f>DATE(2012,12,31)-1011</f>
        <v>40263</v>
      </c>
      <c r="J1080" s="15" t="s">
        <v>16</v>
      </c>
      <c r="K1080" s="9">
        <v>30</v>
      </c>
      <c r="L1080" s="16" t="s">
        <v>27</v>
      </c>
      <c r="M1080" s="16">
        <f t="shared" si="99"/>
        <v>0.30581501033440933</v>
      </c>
      <c r="N1080">
        <f t="shared" si="100"/>
        <v>0</v>
      </c>
      <c r="O1080">
        <f t="shared" si="101"/>
        <v>0</v>
      </c>
      <c r="P1080">
        <f t="shared" si="98"/>
        <v>4900</v>
      </c>
      <c r="Q1080">
        <f t="shared" si="102"/>
        <v>4900</v>
      </c>
      <c r="T1080" s="16">
        <f t="shared" si="103"/>
        <v>0.30581501033440894</v>
      </c>
    </row>
    <row r="1081" spans="7:20" ht="14.4" x14ac:dyDescent="0.25">
      <c r="G1081" s="10">
        <v>1013</v>
      </c>
      <c r="H1081" s="9">
        <v>7427</v>
      </c>
      <c r="I1081" s="14">
        <f>DATE(2012,12,31)-16</f>
        <v>41258</v>
      </c>
      <c r="J1081" s="15" t="s">
        <v>28</v>
      </c>
      <c r="K1081" s="9">
        <v>47</v>
      </c>
      <c r="L1081" s="16" t="s">
        <v>26</v>
      </c>
      <c r="M1081" s="16">
        <f t="shared" si="99"/>
        <v>1.4798312128611737</v>
      </c>
      <c r="N1081">
        <f t="shared" si="100"/>
        <v>0</v>
      </c>
      <c r="O1081">
        <f t="shared" si="101"/>
        <v>0</v>
      </c>
      <c r="P1081">
        <f t="shared" si="98"/>
        <v>5750</v>
      </c>
      <c r="Q1081">
        <f t="shared" si="102"/>
        <v>5750</v>
      </c>
      <c r="T1081" s="16">
        <f t="shared" si="103"/>
        <v>1.4798312128611733</v>
      </c>
    </row>
    <row r="1082" spans="7:20" ht="14.4" x14ac:dyDescent="0.25">
      <c r="G1082" s="10">
        <v>1014</v>
      </c>
      <c r="H1082" s="9">
        <v>7427</v>
      </c>
      <c r="I1082" s="14">
        <f>DATE(2012,12,31)-16</f>
        <v>41258</v>
      </c>
      <c r="J1082" s="15" t="s">
        <v>28</v>
      </c>
      <c r="K1082" s="9">
        <v>9</v>
      </c>
      <c r="L1082" s="16" t="s">
        <v>26</v>
      </c>
      <c r="M1082" s="16">
        <f t="shared" si="99"/>
        <v>-1.1444402986692408</v>
      </c>
      <c r="N1082">
        <f t="shared" si="100"/>
        <v>0</v>
      </c>
      <c r="O1082">
        <f t="shared" si="101"/>
        <v>0</v>
      </c>
      <c r="P1082">
        <f t="shared" si="98"/>
        <v>3850</v>
      </c>
      <c r="Q1082">
        <f t="shared" si="102"/>
        <v>3850</v>
      </c>
      <c r="T1082" s="16">
        <f t="shared" si="103"/>
        <v>-1.1444402986692412</v>
      </c>
    </row>
    <row r="1083" spans="7:20" ht="14.4" x14ac:dyDescent="0.25">
      <c r="G1083" s="10">
        <v>1123</v>
      </c>
      <c r="H1083" s="9">
        <v>8229</v>
      </c>
      <c r="I1083" s="14">
        <f>DATE(2012,12,31)-1120</f>
        <v>40154</v>
      </c>
      <c r="J1083" s="15" t="s">
        <v>16</v>
      </c>
      <c r="K1083" s="9">
        <v>7</v>
      </c>
      <c r="L1083" s="16" t="s">
        <v>27</v>
      </c>
      <c r="M1083" s="16">
        <f t="shared" si="99"/>
        <v>-1.2825598519076837</v>
      </c>
      <c r="N1083">
        <f t="shared" si="100"/>
        <v>0</v>
      </c>
      <c r="O1083">
        <f t="shared" si="101"/>
        <v>0</v>
      </c>
      <c r="P1083">
        <f t="shared" si="98"/>
        <v>3750</v>
      </c>
      <c r="Q1083">
        <f t="shared" si="102"/>
        <v>3750</v>
      </c>
      <c r="T1083" s="16">
        <f t="shared" si="103"/>
        <v>-1.2825598519076842</v>
      </c>
    </row>
    <row r="1084" spans="7:20" ht="14.4" x14ac:dyDescent="0.25">
      <c r="G1084" s="10">
        <v>1124</v>
      </c>
      <c r="H1084" s="9">
        <v>8229</v>
      </c>
      <c r="I1084" s="14">
        <f>DATE(2012,12,31)-1120</f>
        <v>40154</v>
      </c>
      <c r="J1084" s="15" t="s">
        <v>16</v>
      </c>
      <c r="K1084" s="9">
        <v>50</v>
      </c>
      <c r="L1084" s="16" t="s">
        <v>26</v>
      </c>
      <c r="M1084" s="16">
        <f t="shared" si="99"/>
        <v>1.687010542718838</v>
      </c>
      <c r="N1084">
        <f t="shared" si="100"/>
        <v>0</v>
      </c>
      <c r="O1084">
        <f t="shared" si="101"/>
        <v>0</v>
      </c>
      <c r="P1084">
        <f t="shared" si="98"/>
        <v>5900</v>
      </c>
      <c r="Q1084">
        <f t="shared" si="102"/>
        <v>5900</v>
      </c>
      <c r="T1084" s="16">
        <f t="shared" si="103"/>
        <v>1.6870105427188375</v>
      </c>
    </row>
    <row r="1085" spans="7:20" ht="14.4" x14ac:dyDescent="0.25">
      <c r="G1085" s="10">
        <v>1134</v>
      </c>
      <c r="H1085" s="9">
        <v>8290</v>
      </c>
      <c r="I1085" s="14">
        <f>DATE(2012,12,31)-1118</f>
        <v>40156</v>
      </c>
      <c r="J1085" s="15" t="s">
        <v>30</v>
      </c>
      <c r="K1085" s="9">
        <v>32</v>
      </c>
      <c r="L1085" s="16" t="s">
        <v>26</v>
      </c>
      <c r="M1085" s="16">
        <f t="shared" si="99"/>
        <v>0.44393456357285216</v>
      </c>
      <c r="N1085">
        <f t="shared" si="100"/>
        <v>0</v>
      </c>
      <c r="O1085">
        <f t="shared" si="101"/>
        <v>0</v>
      </c>
      <c r="P1085">
        <f t="shared" si="98"/>
        <v>5000</v>
      </c>
      <c r="Q1085">
        <f t="shared" si="102"/>
        <v>5000</v>
      </c>
      <c r="T1085" s="16">
        <f t="shared" si="103"/>
        <v>0.44393456357285183</v>
      </c>
    </row>
    <row r="1086" spans="7:20" ht="14.4" x14ac:dyDescent="0.25">
      <c r="G1086" s="10">
        <v>1167</v>
      </c>
      <c r="H1086" s="9">
        <v>8515</v>
      </c>
      <c r="I1086" s="14">
        <f>DATE(2012,12,31)-741</f>
        <v>40533</v>
      </c>
      <c r="J1086" s="15" t="s">
        <v>30</v>
      </c>
      <c r="K1086" s="9">
        <v>33</v>
      </c>
      <c r="L1086" s="16" t="s">
        <v>27</v>
      </c>
      <c r="M1086" s="16">
        <f t="shared" si="99"/>
        <v>0.51299434019207357</v>
      </c>
      <c r="N1086">
        <f t="shared" si="100"/>
        <v>0</v>
      </c>
      <c r="O1086">
        <f t="shared" si="101"/>
        <v>0</v>
      </c>
      <c r="P1086">
        <f t="shared" si="98"/>
        <v>5050</v>
      </c>
      <c r="Q1086">
        <f t="shared" si="102"/>
        <v>5050</v>
      </c>
      <c r="T1086" s="16">
        <f t="shared" si="103"/>
        <v>0.51299434019207324</v>
      </c>
    </row>
    <row r="1087" spans="7:20" ht="14.4" x14ac:dyDescent="0.25">
      <c r="G1087" s="10">
        <v>1197</v>
      </c>
      <c r="H1087" s="9">
        <v>8801</v>
      </c>
      <c r="I1087" s="14">
        <f>DATE(2012,12,31)-143</f>
        <v>41131</v>
      </c>
      <c r="J1087" s="15" t="s">
        <v>25</v>
      </c>
      <c r="K1087" s="9">
        <v>32</v>
      </c>
      <c r="L1087" s="16" t="s">
        <v>29</v>
      </c>
      <c r="M1087" s="16">
        <f t="shared" si="99"/>
        <v>0.44393456357285216</v>
      </c>
      <c r="N1087">
        <f t="shared" si="100"/>
        <v>0</v>
      </c>
      <c r="O1087">
        <f t="shared" si="101"/>
        <v>0</v>
      </c>
      <c r="P1087">
        <f t="shared" si="98"/>
        <v>5000</v>
      </c>
      <c r="Q1087">
        <f t="shared" si="102"/>
        <v>5000</v>
      </c>
      <c r="T1087" s="16">
        <f t="shared" si="103"/>
        <v>0.44393456357285183</v>
      </c>
    </row>
    <row r="1088" spans="7:20" ht="14.4" x14ac:dyDescent="0.25">
      <c r="G1088" s="10">
        <v>1198</v>
      </c>
      <c r="H1088" s="9">
        <v>8801</v>
      </c>
      <c r="I1088" s="14">
        <f>DATE(2012,12,31)-143</f>
        <v>41131</v>
      </c>
      <c r="J1088" s="15" t="s">
        <v>25</v>
      </c>
      <c r="K1088" s="9">
        <v>25</v>
      </c>
      <c r="L1088" s="16" t="s">
        <v>27</v>
      </c>
      <c r="M1088" s="16">
        <f t="shared" si="99"/>
        <v>-3.9483872761697868E-2</v>
      </c>
      <c r="N1088">
        <f t="shared" si="100"/>
        <v>0</v>
      </c>
      <c r="O1088">
        <f t="shared" si="101"/>
        <v>0</v>
      </c>
      <c r="P1088">
        <f t="shared" si="98"/>
        <v>4650</v>
      </c>
      <c r="Q1088">
        <f t="shared" si="102"/>
        <v>4650</v>
      </c>
      <c r="T1088" s="16">
        <f t="shared" si="103"/>
        <v>-3.9483872761698249E-2</v>
      </c>
    </row>
    <row r="1089" spans="7:20" ht="14.4" x14ac:dyDescent="0.25">
      <c r="G1089" s="10">
        <v>1221</v>
      </c>
      <c r="H1089" s="9">
        <v>8992</v>
      </c>
      <c r="I1089" s="14">
        <f>DATE(2012,12,31)-780</f>
        <v>40494</v>
      </c>
      <c r="J1089" s="15" t="s">
        <v>17</v>
      </c>
      <c r="K1089" s="9">
        <v>3</v>
      </c>
      <c r="L1089" s="16" t="s">
        <v>29</v>
      </c>
      <c r="M1089" s="16">
        <f t="shared" si="99"/>
        <v>-1.5587989583845694</v>
      </c>
      <c r="N1089">
        <f t="shared" si="100"/>
        <v>0</v>
      </c>
      <c r="O1089">
        <f t="shared" si="101"/>
        <v>0</v>
      </c>
      <c r="P1089">
        <f t="shared" si="98"/>
        <v>3550</v>
      </c>
      <c r="Q1089">
        <f t="shared" si="102"/>
        <v>3550</v>
      </c>
      <c r="T1089" s="16">
        <f t="shared" si="103"/>
        <v>-1.5587989583845698</v>
      </c>
    </row>
    <row r="1090" spans="7:20" ht="14.4" x14ac:dyDescent="0.25">
      <c r="G1090" s="10">
        <v>1222</v>
      </c>
      <c r="H1090" s="9">
        <v>8992</v>
      </c>
      <c r="I1090" s="14">
        <f>DATE(2012,12,31)-780</f>
        <v>40494</v>
      </c>
      <c r="J1090" s="15" t="s">
        <v>17</v>
      </c>
      <c r="K1090" s="9">
        <v>14</v>
      </c>
      <c r="L1090" s="16" t="s">
        <v>27</v>
      </c>
      <c r="M1090" s="16">
        <f t="shared" si="99"/>
        <v>-0.79914141557313367</v>
      </c>
      <c r="N1090">
        <f t="shared" si="100"/>
        <v>0</v>
      </c>
      <c r="O1090">
        <f t="shared" si="101"/>
        <v>0</v>
      </c>
      <c r="P1090">
        <f t="shared" si="98"/>
        <v>4100</v>
      </c>
      <c r="Q1090">
        <f t="shared" si="102"/>
        <v>4100</v>
      </c>
      <c r="T1090" s="16">
        <f t="shared" si="103"/>
        <v>-0.79914141557313401</v>
      </c>
    </row>
    <row r="1091" spans="7:20" ht="14.4" x14ac:dyDescent="0.25">
      <c r="G1091" s="10">
        <v>1223</v>
      </c>
      <c r="H1091" s="9">
        <v>8992</v>
      </c>
      <c r="I1091" s="14">
        <f>DATE(2012,12,31)-780</f>
        <v>40494</v>
      </c>
      <c r="J1091" s="15" t="s">
        <v>17</v>
      </c>
      <c r="K1091" s="9">
        <v>18</v>
      </c>
      <c r="L1091" s="16" t="s">
        <v>27</v>
      </c>
      <c r="M1091" s="16">
        <f t="shared" si="99"/>
        <v>-0.52290230909624791</v>
      </c>
      <c r="N1091">
        <f t="shared" si="100"/>
        <v>0</v>
      </c>
      <c r="O1091">
        <f t="shared" si="101"/>
        <v>0</v>
      </c>
      <c r="P1091">
        <f t="shared" si="98"/>
        <v>4300</v>
      </c>
      <c r="Q1091">
        <f t="shared" si="102"/>
        <v>4300</v>
      </c>
      <c r="T1091" s="16">
        <f t="shared" si="103"/>
        <v>-0.52290230909624835</v>
      </c>
    </row>
    <row r="1092" spans="7:20" ht="14.4" x14ac:dyDescent="0.25">
      <c r="G1092" s="10">
        <v>1288</v>
      </c>
      <c r="H1092" s="9">
        <v>9409</v>
      </c>
      <c r="I1092" s="14">
        <f>DATE(2012,12,31)-240</f>
        <v>41034</v>
      </c>
      <c r="J1092" s="15" t="s">
        <v>30</v>
      </c>
      <c r="K1092" s="9">
        <v>12</v>
      </c>
      <c r="L1092" s="16" t="s">
        <v>27</v>
      </c>
      <c r="M1092" s="16">
        <f t="shared" si="99"/>
        <v>-0.9372609688115765</v>
      </c>
      <c r="N1092">
        <f t="shared" si="100"/>
        <v>0</v>
      </c>
      <c r="O1092">
        <f t="shared" si="101"/>
        <v>0</v>
      </c>
      <c r="P1092">
        <f t="shared" si="98"/>
        <v>4000</v>
      </c>
      <c r="Q1092">
        <f t="shared" si="102"/>
        <v>4000</v>
      </c>
      <c r="T1092" s="16">
        <f t="shared" si="103"/>
        <v>-0.93726096881157694</v>
      </c>
    </row>
    <row r="1093" spans="7:20" ht="14.4" x14ac:dyDescent="0.25">
      <c r="G1093" s="10">
        <v>1420</v>
      </c>
      <c r="H1093" s="9">
        <v>10306</v>
      </c>
      <c r="I1093" s="14">
        <f>DATE(2012,12,31)-894</f>
        <v>40380</v>
      </c>
      <c r="J1093" s="15" t="s">
        <v>25</v>
      </c>
      <c r="K1093" s="9">
        <v>20</v>
      </c>
      <c r="L1093" s="16" t="s">
        <v>29</v>
      </c>
      <c r="M1093" s="16">
        <f t="shared" si="99"/>
        <v>-0.38478275585780503</v>
      </c>
      <c r="N1093">
        <f t="shared" si="100"/>
        <v>0</v>
      </c>
      <c r="O1093">
        <f t="shared" si="101"/>
        <v>0</v>
      </c>
      <c r="P1093">
        <f t="shared" si="98"/>
        <v>4400</v>
      </c>
      <c r="Q1093">
        <f t="shared" si="102"/>
        <v>4400</v>
      </c>
      <c r="T1093" s="16">
        <f t="shared" si="103"/>
        <v>-0.38478275585780541</v>
      </c>
    </row>
    <row r="1094" spans="7:20" ht="14.4" x14ac:dyDescent="0.25">
      <c r="G1094" s="10">
        <v>1455</v>
      </c>
      <c r="H1094" s="9">
        <v>10470</v>
      </c>
      <c r="I1094" s="14">
        <f>DATE(2012,12,31)-241</f>
        <v>41033</v>
      </c>
      <c r="J1094" s="15" t="s">
        <v>30</v>
      </c>
      <c r="K1094" s="9">
        <v>35</v>
      </c>
      <c r="L1094" s="16" t="s">
        <v>29</v>
      </c>
      <c r="M1094" s="16">
        <f t="shared" si="99"/>
        <v>0.65111389343051651</v>
      </c>
      <c r="N1094">
        <f t="shared" si="100"/>
        <v>0</v>
      </c>
      <c r="O1094">
        <f t="shared" si="101"/>
        <v>0</v>
      </c>
      <c r="P1094">
        <f t="shared" si="98"/>
        <v>5150</v>
      </c>
      <c r="Q1094">
        <f t="shared" si="102"/>
        <v>5150</v>
      </c>
      <c r="T1094" s="16">
        <f t="shared" si="103"/>
        <v>0.65111389343051607</v>
      </c>
    </row>
    <row r="1095" spans="7:20" ht="14.4" x14ac:dyDescent="0.25">
      <c r="G1095" s="10">
        <v>1497</v>
      </c>
      <c r="H1095" s="9">
        <v>10819</v>
      </c>
      <c r="I1095" s="14">
        <f>DATE(2012,12,31)-860</f>
        <v>40414</v>
      </c>
      <c r="J1095" s="15" t="s">
        <v>30</v>
      </c>
      <c r="K1095" s="9">
        <v>35</v>
      </c>
      <c r="L1095" s="16" t="s">
        <v>26</v>
      </c>
      <c r="M1095" s="16">
        <f t="shared" si="99"/>
        <v>0.65111389343051651</v>
      </c>
      <c r="N1095">
        <f t="shared" si="100"/>
        <v>0</v>
      </c>
      <c r="O1095">
        <f t="shared" si="101"/>
        <v>0</v>
      </c>
      <c r="P1095">
        <f t="shared" si="98"/>
        <v>5150</v>
      </c>
      <c r="Q1095">
        <f t="shared" si="102"/>
        <v>5150</v>
      </c>
      <c r="T1095" s="16">
        <f t="shared" si="103"/>
        <v>0.65111389343051607</v>
      </c>
    </row>
    <row r="1096" spans="7:20" ht="14.4" x14ac:dyDescent="0.25">
      <c r="G1096" s="10">
        <v>1509</v>
      </c>
      <c r="H1096" s="9">
        <v>10916</v>
      </c>
      <c r="I1096" s="14">
        <f>DATE(2012,12,31)-662</f>
        <v>40612</v>
      </c>
      <c r="J1096" s="15" t="s">
        <v>16</v>
      </c>
      <c r="K1096" s="9">
        <v>23</v>
      </c>
      <c r="L1096" s="16" t="s">
        <v>26</v>
      </c>
      <c r="M1096" s="16">
        <f t="shared" si="99"/>
        <v>-0.17760342600014073</v>
      </c>
      <c r="N1096">
        <f t="shared" si="100"/>
        <v>0</v>
      </c>
      <c r="O1096">
        <f t="shared" si="101"/>
        <v>0</v>
      </c>
      <c r="P1096">
        <f t="shared" si="98"/>
        <v>4550</v>
      </c>
      <c r="Q1096">
        <f t="shared" si="102"/>
        <v>4550</v>
      </c>
      <c r="T1096" s="16">
        <f t="shared" si="103"/>
        <v>-0.17760342600014112</v>
      </c>
    </row>
    <row r="1097" spans="7:20" ht="14.4" x14ac:dyDescent="0.25">
      <c r="G1097" s="10">
        <v>1512</v>
      </c>
      <c r="H1097" s="9">
        <v>10944</v>
      </c>
      <c r="I1097" s="14">
        <f>DATE(2012,12,31)-415</f>
        <v>40859</v>
      </c>
      <c r="J1097" s="15" t="s">
        <v>17</v>
      </c>
      <c r="K1097" s="9">
        <v>9</v>
      </c>
      <c r="L1097" s="16" t="s">
        <v>27</v>
      </c>
      <c r="M1097" s="16">
        <f t="shared" si="99"/>
        <v>-1.1444402986692408</v>
      </c>
      <c r="N1097">
        <f t="shared" si="100"/>
        <v>0</v>
      </c>
      <c r="O1097">
        <f t="shared" si="101"/>
        <v>0</v>
      </c>
      <c r="P1097">
        <f t="shared" si="98"/>
        <v>3850</v>
      </c>
      <c r="Q1097">
        <f t="shared" si="102"/>
        <v>3850</v>
      </c>
      <c r="T1097" s="16">
        <f t="shared" si="103"/>
        <v>-1.1444402986692412</v>
      </c>
    </row>
    <row r="1098" spans="7:20" ht="14.4" x14ac:dyDescent="0.25">
      <c r="G1098" s="10">
        <v>1565</v>
      </c>
      <c r="H1098" s="9">
        <v>11301</v>
      </c>
      <c r="I1098" s="14">
        <f>DATE(2012,12,31)-284</f>
        <v>40990</v>
      </c>
      <c r="J1098" s="15" t="s">
        <v>16</v>
      </c>
      <c r="K1098" s="9">
        <v>29</v>
      </c>
      <c r="L1098" s="16" t="s">
        <v>27</v>
      </c>
      <c r="M1098" s="16">
        <f t="shared" si="99"/>
        <v>0.23675523371518786</v>
      </c>
      <c r="N1098">
        <f t="shared" si="100"/>
        <v>0</v>
      </c>
      <c r="O1098">
        <f t="shared" si="101"/>
        <v>0</v>
      </c>
      <c r="P1098">
        <f t="shared" si="98"/>
        <v>4850</v>
      </c>
      <c r="Q1098">
        <f t="shared" si="102"/>
        <v>4850</v>
      </c>
      <c r="T1098" s="16">
        <f t="shared" si="103"/>
        <v>0.2367552337151875</v>
      </c>
    </row>
    <row r="1099" spans="7:20" ht="14.4" x14ac:dyDescent="0.25">
      <c r="G1099" s="10">
        <v>1567</v>
      </c>
      <c r="H1099" s="9">
        <v>11332</v>
      </c>
      <c r="I1099" s="14">
        <f>DATE(2012,12,31)-1141</f>
        <v>40133</v>
      </c>
      <c r="J1099" s="15" t="s">
        <v>25</v>
      </c>
      <c r="K1099" s="9">
        <v>6</v>
      </c>
      <c r="L1099" s="16" t="s">
        <v>27</v>
      </c>
      <c r="M1099" s="16">
        <f t="shared" si="99"/>
        <v>-1.3516196285269051</v>
      </c>
      <c r="N1099">
        <f t="shared" si="100"/>
        <v>0</v>
      </c>
      <c r="O1099">
        <f t="shared" si="101"/>
        <v>0</v>
      </c>
      <c r="P1099">
        <f t="shared" si="98"/>
        <v>3700</v>
      </c>
      <c r="Q1099">
        <f t="shared" si="102"/>
        <v>3700</v>
      </c>
      <c r="T1099" s="16">
        <f t="shared" si="103"/>
        <v>-1.3516196285269055</v>
      </c>
    </row>
    <row r="1100" spans="7:20" ht="14.4" x14ac:dyDescent="0.25">
      <c r="G1100" s="10">
        <v>1568</v>
      </c>
      <c r="H1100" s="9">
        <v>11332</v>
      </c>
      <c r="I1100" s="14">
        <f>DATE(2012,12,31)-1141</f>
        <v>40133</v>
      </c>
      <c r="J1100" s="15" t="s">
        <v>25</v>
      </c>
      <c r="K1100" s="9">
        <v>23</v>
      </c>
      <c r="L1100" s="16" t="s">
        <v>27</v>
      </c>
      <c r="M1100" s="16">
        <f t="shared" si="99"/>
        <v>-0.17760342600014073</v>
      </c>
      <c r="N1100">
        <f t="shared" si="100"/>
        <v>0</v>
      </c>
      <c r="O1100">
        <f t="shared" si="101"/>
        <v>0</v>
      </c>
      <c r="P1100">
        <f t="shared" ref="P1100:P1163" si="104">50*K1100+$P$10</f>
        <v>4550</v>
      </c>
      <c r="Q1100">
        <f t="shared" si="102"/>
        <v>4550</v>
      </c>
      <c r="T1100" s="16">
        <f t="shared" si="103"/>
        <v>-0.17760342600014112</v>
      </c>
    </row>
    <row r="1101" spans="7:20" ht="14.4" x14ac:dyDescent="0.25">
      <c r="G1101" s="10">
        <v>1575</v>
      </c>
      <c r="H1101" s="9">
        <v>11392</v>
      </c>
      <c r="I1101" s="14">
        <f>DATE(2012,12,31)-1213</f>
        <v>40061</v>
      </c>
      <c r="J1101" s="15" t="s">
        <v>25</v>
      </c>
      <c r="K1101" s="9">
        <v>28</v>
      </c>
      <c r="L1101" s="16" t="s">
        <v>26</v>
      </c>
      <c r="M1101" s="16">
        <f t="shared" ref="M1101:M1164" si="105">(K1101-$K$4)/$K$7</f>
        <v>0.16769545709596645</v>
      </c>
      <c r="N1101">
        <f t="shared" ref="N1101:N1164" si="106">IF(MOD($B$20+G1101,1000)=0,1,0)</f>
        <v>0</v>
      </c>
      <c r="O1101">
        <f t="shared" ref="O1101:O1164" si="107">+ROUND(N1101*(IF(K1101&lt;$K$4,-4.5,10.5)*$P$5),-2)</f>
        <v>0</v>
      </c>
      <c r="P1101">
        <f t="shared" si="104"/>
        <v>4800</v>
      </c>
      <c r="Q1101">
        <f t="shared" ref="Q1101:Q1164" si="108">P1101+O1101</f>
        <v>4800</v>
      </c>
      <c r="T1101" s="16">
        <f t="shared" ref="T1101:T1164" si="109">(Q1101-$P$4)/$P$5</f>
        <v>0.16769545709596606</v>
      </c>
    </row>
    <row r="1102" spans="7:20" ht="14.4" x14ac:dyDescent="0.25">
      <c r="G1102" s="10">
        <v>1623</v>
      </c>
      <c r="H1102" s="9">
        <v>11745</v>
      </c>
      <c r="I1102" s="14">
        <f>DATE(2012,12,31)-165</f>
        <v>41109</v>
      </c>
      <c r="J1102" s="15" t="s">
        <v>17</v>
      </c>
      <c r="K1102" s="9">
        <v>17</v>
      </c>
      <c r="L1102" s="16" t="s">
        <v>27</v>
      </c>
      <c r="M1102" s="16">
        <f t="shared" si="105"/>
        <v>-0.59196208571546938</v>
      </c>
      <c r="N1102">
        <f t="shared" si="106"/>
        <v>0</v>
      </c>
      <c r="O1102">
        <f t="shared" si="107"/>
        <v>0</v>
      </c>
      <c r="P1102">
        <f t="shared" si="104"/>
        <v>4250</v>
      </c>
      <c r="Q1102">
        <f t="shared" si="108"/>
        <v>4250</v>
      </c>
      <c r="T1102" s="16">
        <f t="shared" si="109"/>
        <v>-0.59196208571546971</v>
      </c>
    </row>
    <row r="1103" spans="7:20" ht="14.4" x14ac:dyDescent="0.25">
      <c r="G1103" s="10">
        <v>1644</v>
      </c>
      <c r="H1103" s="9">
        <v>11875</v>
      </c>
      <c r="I1103" s="14">
        <f>DATE(2012,12,31)-133</f>
        <v>41141</v>
      </c>
      <c r="J1103" s="15" t="s">
        <v>16</v>
      </c>
      <c r="K1103" s="9">
        <v>19</v>
      </c>
      <c r="L1103" s="16" t="s">
        <v>26</v>
      </c>
      <c r="M1103" s="16">
        <f t="shared" si="105"/>
        <v>-0.45384253247702649</v>
      </c>
      <c r="N1103">
        <f t="shared" si="106"/>
        <v>0</v>
      </c>
      <c r="O1103">
        <f t="shared" si="107"/>
        <v>0</v>
      </c>
      <c r="P1103">
        <f t="shared" si="104"/>
        <v>4350</v>
      </c>
      <c r="Q1103">
        <f t="shared" si="108"/>
        <v>4350</v>
      </c>
      <c r="T1103" s="16">
        <f t="shared" si="109"/>
        <v>-0.45384253247702688</v>
      </c>
    </row>
    <row r="1104" spans="7:20" ht="14.4" x14ac:dyDescent="0.25">
      <c r="G1104" s="10">
        <v>1650</v>
      </c>
      <c r="H1104" s="9">
        <v>11907</v>
      </c>
      <c r="I1104" s="14">
        <f>DATE(2012,12,31)-861</f>
        <v>40413</v>
      </c>
      <c r="J1104" s="15" t="s">
        <v>25</v>
      </c>
      <c r="K1104" s="9">
        <v>45</v>
      </c>
      <c r="L1104" s="16" t="s">
        <v>27</v>
      </c>
      <c r="M1104" s="16">
        <f t="shared" si="105"/>
        <v>1.3417116596227308</v>
      </c>
      <c r="N1104">
        <f t="shared" si="106"/>
        <v>0</v>
      </c>
      <c r="O1104">
        <f t="shared" si="107"/>
        <v>0</v>
      </c>
      <c r="P1104">
        <f t="shared" si="104"/>
        <v>5650</v>
      </c>
      <c r="Q1104">
        <f t="shared" si="108"/>
        <v>5650</v>
      </c>
      <c r="T1104" s="16">
        <f t="shared" si="109"/>
        <v>1.3417116596227305</v>
      </c>
    </row>
    <row r="1105" spans="7:20" ht="14.4" x14ac:dyDescent="0.25">
      <c r="G1105" s="10">
        <v>1681</v>
      </c>
      <c r="H1105" s="9">
        <v>12129</v>
      </c>
      <c r="I1105" s="14">
        <f>DATE(2012,12,31)-6</f>
        <v>41268</v>
      </c>
      <c r="J1105" s="15" t="s">
        <v>16</v>
      </c>
      <c r="K1105" s="9">
        <v>36</v>
      </c>
      <c r="L1105" s="16" t="s">
        <v>29</v>
      </c>
      <c r="M1105" s="16">
        <f t="shared" si="105"/>
        <v>0.72017367004973787</v>
      </c>
      <c r="N1105">
        <f t="shared" si="106"/>
        <v>0</v>
      </c>
      <c r="O1105">
        <f t="shared" si="107"/>
        <v>0</v>
      </c>
      <c r="P1105">
        <f t="shared" si="104"/>
        <v>5200</v>
      </c>
      <c r="Q1105">
        <f t="shared" si="108"/>
        <v>5200</v>
      </c>
      <c r="T1105" s="16">
        <f t="shared" si="109"/>
        <v>0.72017367004973754</v>
      </c>
    </row>
    <row r="1106" spans="7:20" ht="14.4" x14ac:dyDescent="0.25">
      <c r="G1106" s="10">
        <v>1753</v>
      </c>
      <c r="H1106" s="9">
        <v>12579</v>
      </c>
      <c r="I1106" s="14">
        <f>DATE(2012,12,31)-564</f>
        <v>40710</v>
      </c>
      <c r="J1106" s="15" t="s">
        <v>28</v>
      </c>
      <c r="K1106" s="9">
        <v>5</v>
      </c>
      <c r="L1106" s="16" t="s">
        <v>26</v>
      </c>
      <c r="M1106" s="16">
        <f t="shared" si="105"/>
        <v>-1.4206794051461267</v>
      </c>
      <c r="N1106">
        <f t="shared" si="106"/>
        <v>0</v>
      </c>
      <c r="O1106">
        <f t="shared" si="107"/>
        <v>0</v>
      </c>
      <c r="P1106">
        <f t="shared" si="104"/>
        <v>3650</v>
      </c>
      <c r="Q1106">
        <f t="shared" si="108"/>
        <v>3650</v>
      </c>
      <c r="T1106" s="16">
        <f t="shared" si="109"/>
        <v>-1.4206794051461269</v>
      </c>
    </row>
    <row r="1107" spans="7:20" ht="14.4" x14ac:dyDescent="0.25">
      <c r="G1107" s="10">
        <v>1779</v>
      </c>
      <c r="H1107" s="9">
        <v>12743</v>
      </c>
      <c r="I1107" s="14">
        <f>DATE(2012,12,31)-922</f>
        <v>40352</v>
      </c>
      <c r="J1107" s="15" t="s">
        <v>17</v>
      </c>
      <c r="K1107" s="9">
        <v>39</v>
      </c>
      <c r="L1107" s="16" t="s">
        <v>27</v>
      </c>
      <c r="M1107" s="16">
        <f t="shared" si="105"/>
        <v>0.92735299990740228</v>
      </c>
      <c r="N1107">
        <f t="shared" si="106"/>
        <v>0</v>
      </c>
      <c r="O1107">
        <f t="shared" si="107"/>
        <v>0</v>
      </c>
      <c r="P1107">
        <f t="shared" si="104"/>
        <v>5350</v>
      </c>
      <c r="Q1107">
        <f t="shared" si="108"/>
        <v>5350</v>
      </c>
      <c r="T1107" s="16">
        <f t="shared" si="109"/>
        <v>0.92735299990740183</v>
      </c>
    </row>
    <row r="1108" spans="7:20" ht="14.4" x14ac:dyDescent="0.25">
      <c r="G1108" s="10">
        <v>1803</v>
      </c>
      <c r="H1108" s="9">
        <v>12902</v>
      </c>
      <c r="I1108" s="14">
        <f>DATE(2012,12,31)-794</f>
        <v>40480</v>
      </c>
      <c r="J1108" s="15" t="s">
        <v>28</v>
      </c>
      <c r="K1108" s="9">
        <v>9</v>
      </c>
      <c r="L1108" s="16" t="s">
        <v>27</v>
      </c>
      <c r="M1108" s="16">
        <f t="shared" si="105"/>
        <v>-1.1444402986692408</v>
      </c>
      <c r="N1108">
        <f t="shared" si="106"/>
        <v>0</v>
      </c>
      <c r="O1108">
        <f t="shared" si="107"/>
        <v>0</v>
      </c>
      <c r="P1108">
        <f t="shared" si="104"/>
        <v>3850</v>
      </c>
      <c r="Q1108">
        <f t="shared" si="108"/>
        <v>3850</v>
      </c>
      <c r="T1108" s="16">
        <f t="shared" si="109"/>
        <v>-1.1444402986692412</v>
      </c>
    </row>
    <row r="1109" spans="7:20" ht="14.4" x14ac:dyDescent="0.25">
      <c r="G1109" s="10">
        <v>1860</v>
      </c>
      <c r="H1109" s="9">
        <v>13380</v>
      </c>
      <c r="I1109" s="14">
        <f>DATE(2012,12,31)-1265</f>
        <v>40009</v>
      </c>
      <c r="J1109" s="15" t="s">
        <v>30</v>
      </c>
      <c r="K1109" s="9">
        <v>24</v>
      </c>
      <c r="L1109" s="16" t="s">
        <v>26</v>
      </c>
      <c r="M1109" s="16">
        <f t="shared" si="105"/>
        <v>-0.1085436493809193</v>
      </c>
      <c r="N1109">
        <f t="shared" si="106"/>
        <v>0</v>
      </c>
      <c r="O1109">
        <f t="shared" si="107"/>
        <v>0</v>
      </c>
      <c r="P1109">
        <f t="shared" si="104"/>
        <v>4600</v>
      </c>
      <c r="Q1109">
        <f t="shared" si="108"/>
        <v>4600</v>
      </c>
      <c r="T1109" s="16">
        <f t="shared" si="109"/>
        <v>-0.10854364938091969</v>
      </c>
    </row>
    <row r="1110" spans="7:20" ht="14.4" x14ac:dyDescent="0.25">
      <c r="G1110" s="10">
        <v>1898</v>
      </c>
      <c r="H1110" s="9">
        <v>13606</v>
      </c>
      <c r="I1110" s="14">
        <f>DATE(2012,12,31)-1345</f>
        <v>39929</v>
      </c>
      <c r="J1110" s="15" t="s">
        <v>28</v>
      </c>
      <c r="K1110" s="9">
        <v>34</v>
      </c>
      <c r="L1110" s="16" t="s">
        <v>26</v>
      </c>
      <c r="M1110" s="16">
        <f t="shared" si="105"/>
        <v>0.58205411681129504</v>
      </c>
      <c r="N1110">
        <f t="shared" si="106"/>
        <v>0</v>
      </c>
      <c r="O1110">
        <f t="shared" si="107"/>
        <v>0</v>
      </c>
      <c r="P1110">
        <f t="shared" si="104"/>
        <v>5100</v>
      </c>
      <c r="Q1110">
        <f t="shared" si="108"/>
        <v>5100</v>
      </c>
      <c r="T1110" s="16">
        <f t="shared" si="109"/>
        <v>0.58205411681129471</v>
      </c>
    </row>
    <row r="1111" spans="7:20" ht="14.4" x14ac:dyDescent="0.25">
      <c r="G1111" s="10">
        <v>1936</v>
      </c>
      <c r="H1111" s="9">
        <v>13889</v>
      </c>
      <c r="I1111" s="14">
        <f>DATE(2012,12,31)-484</f>
        <v>40790</v>
      </c>
      <c r="J1111" s="15" t="s">
        <v>16</v>
      </c>
      <c r="K1111" s="9">
        <v>49</v>
      </c>
      <c r="L1111" s="16" t="s">
        <v>29</v>
      </c>
      <c r="M1111" s="16">
        <f t="shared" si="105"/>
        <v>1.6179507660996166</v>
      </c>
      <c r="N1111">
        <f t="shared" si="106"/>
        <v>0</v>
      </c>
      <c r="O1111">
        <f t="shared" si="107"/>
        <v>0</v>
      </c>
      <c r="P1111">
        <f t="shared" si="104"/>
        <v>5850</v>
      </c>
      <c r="Q1111">
        <f t="shared" si="108"/>
        <v>5850</v>
      </c>
      <c r="T1111" s="16">
        <f t="shared" si="109"/>
        <v>1.6179507660996162</v>
      </c>
    </row>
    <row r="1112" spans="7:20" ht="14.4" x14ac:dyDescent="0.25">
      <c r="G1112" s="10">
        <v>1952</v>
      </c>
      <c r="H1112" s="9">
        <v>13984</v>
      </c>
      <c r="I1112" s="14">
        <f>DATE(2012,12,31)-98</f>
        <v>41176</v>
      </c>
      <c r="J1112" s="15" t="s">
        <v>30</v>
      </c>
      <c r="K1112" s="9">
        <v>30</v>
      </c>
      <c r="L1112" s="16" t="s">
        <v>29</v>
      </c>
      <c r="M1112" s="16">
        <f t="shared" si="105"/>
        <v>0.30581501033440933</v>
      </c>
      <c r="N1112">
        <f t="shared" si="106"/>
        <v>0</v>
      </c>
      <c r="O1112">
        <f t="shared" si="107"/>
        <v>0</v>
      </c>
      <c r="P1112">
        <f t="shared" si="104"/>
        <v>4900</v>
      </c>
      <c r="Q1112">
        <f t="shared" si="108"/>
        <v>4900</v>
      </c>
      <c r="T1112" s="16">
        <f t="shared" si="109"/>
        <v>0.30581501033440894</v>
      </c>
    </row>
    <row r="1113" spans="7:20" ht="14.4" x14ac:dyDescent="0.25">
      <c r="G1113" s="10">
        <v>1953</v>
      </c>
      <c r="H1113" s="9">
        <v>13986</v>
      </c>
      <c r="I1113" s="14">
        <f>DATE(2012,12,31)-447</f>
        <v>40827</v>
      </c>
      <c r="J1113" s="15" t="s">
        <v>17</v>
      </c>
      <c r="K1113" s="9">
        <v>46</v>
      </c>
      <c r="L1113" s="16" t="s">
        <v>27</v>
      </c>
      <c r="M1113" s="16">
        <f t="shared" si="105"/>
        <v>1.4107714362419523</v>
      </c>
      <c r="N1113">
        <f t="shared" si="106"/>
        <v>0</v>
      </c>
      <c r="O1113">
        <f t="shared" si="107"/>
        <v>0</v>
      </c>
      <c r="P1113">
        <f t="shared" si="104"/>
        <v>5700</v>
      </c>
      <c r="Q1113">
        <f t="shared" si="108"/>
        <v>5700</v>
      </c>
      <c r="T1113" s="16">
        <f t="shared" si="109"/>
        <v>1.4107714362419519</v>
      </c>
    </row>
    <row r="1114" spans="7:20" ht="14.4" x14ac:dyDescent="0.25">
      <c r="G1114" s="10">
        <v>1995</v>
      </c>
      <c r="H1114" s="9">
        <v>14240</v>
      </c>
      <c r="I1114" s="14">
        <f>DATE(2012,12,31)-318</f>
        <v>40956</v>
      </c>
      <c r="J1114" s="15" t="s">
        <v>17</v>
      </c>
      <c r="K1114" s="9">
        <v>24</v>
      </c>
      <c r="L1114" s="16" t="s">
        <v>26</v>
      </c>
      <c r="M1114" s="16">
        <f t="shared" si="105"/>
        <v>-0.1085436493809193</v>
      </c>
      <c r="N1114">
        <f t="shared" si="106"/>
        <v>0</v>
      </c>
      <c r="O1114">
        <f t="shared" si="107"/>
        <v>0</v>
      </c>
      <c r="P1114">
        <f t="shared" si="104"/>
        <v>4600</v>
      </c>
      <c r="Q1114">
        <f t="shared" si="108"/>
        <v>4600</v>
      </c>
      <c r="T1114" s="16">
        <f t="shared" si="109"/>
        <v>-0.10854364938091969</v>
      </c>
    </row>
    <row r="1115" spans="7:20" ht="14.4" x14ac:dyDescent="0.25">
      <c r="G1115" s="10">
        <v>2006</v>
      </c>
      <c r="H1115" s="9">
        <v>14276</v>
      </c>
      <c r="I1115" s="14">
        <f>DATE(2012,12,31)-1292</f>
        <v>39982</v>
      </c>
      <c r="J1115" s="15" t="s">
        <v>16</v>
      </c>
      <c r="K1115" s="9">
        <v>11</v>
      </c>
      <c r="L1115" s="16" t="s">
        <v>26</v>
      </c>
      <c r="M1115" s="16">
        <f t="shared" si="105"/>
        <v>-1.0063207454307979</v>
      </c>
      <c r="N1115">
        <f t="shared" si="106"/>
        <v>0</v>
      </c>
      <c r="O1115">
        <f t="shared" si="107"/>
        <v>0</v>
      </c>
      <c r="P1115">
        <f t="shared" si="104"/>
        <v>3950</v>
      </c>
      <c r="Q1115">
        <f t="shared" si="108"/>
        <v>3950</v>
      </c>
      <c r="T1115" s="16">
        <f t="shared" si="109"/>
        <v>-1.0063207454307983</v>
      </c>
    </row>
    <row r="1116" spans="7:20" ht="14.4" x14ac:dyDescent="0.25">
      <c r="G1116" s="10">
        <v>2029</v>
      </c>
      <c r="H1116" s="9">
        <v>14471</v>
      </c>
      <c r="I1116" s="14">
        <f>DATE(2012,12,31)-585</f>
        <v>40689</v>
      </c>
      <c r="J1116" s="15" t="s">
        <v>28</v>
      </c>
      <c r="K1116" s="9">
        <v>44</v>
      </c>
      <c r="L1116" s="16" t="s">
        <v>29</v>
      </c>
      <c r="M1116" s="16">
        <f t="shared" si="105"/>
        <v>1.2726518830035094</v>
      </c>
      <c r="N1116">
        <f t="shared" si="106"/>
        <v>0</v>
      </c>
      <c r="O1116">
        <f t="shared" si="107"/>
        <v>0</v>
      </c>
      <c r="P1116">
        <f t="shared" si="104"/>
        <v>5600</v>
      </c>
      <c r="Q1116">
        <f t="shared" si="108"/>
        <v>5600</v>
      </c>
      <c r="T1116" s="16">
        <f t="shared" si="109"/>
        <v>1.272651883003509</v>
      </c>
    </row>
    <row r="1117" spans="7:20" ht="14.4" x14ac:dyDescent="0.25">
      <c r="G1117" s="10">
        <v>2030</v>
      </c>
      <c r="H1117" s="9">
        <v>14471</v>
      </c>
      <c r="I1117" s="14">
        <f>DATE(2012,12,31)-585</f>
        <v>40689</v>
      </c>
      <c r="J1117" s="15" t="s">
        <v>28</v>
      </c>
      <c r="K1117" s="9">
        <v>42</v>
      </c>
      <c r="L1117" s="16" t="s">
        <v>26</v>
      </c>
      <c r="M1117" s="16">
        <f t="shared" si="105"/>
        <v>1.1345323297650665</v>
      </c>
      <c r="N1117">
        <f t="shared" si="106"/>
        <v>0</v>
      </c>
      <c r="O1117">
        <f t="shared" si="107"/>
        <v>0</v>
      </c>
      <c r="P1117">
        <f t="shared" si="104"/>
        <v>5500</v>
      </c>
      <c r="Q1117">
        <f t="shared" si="108"/>
        <v>5500</v>
      </c>
      <c r="T1117" s="16">
        <f t="shared" si="109"/>
        <v>1.1345323297650662</v>
      </c>
    </row>
    <row r="1118" spans="7:20" ht="14.4" x14ac:dyDescent="0.25">
      <c r="G1118" s="10">
        <v>2037</v>
      </c>
      <c r="H1118" s="9">
        <v>14529</v>
      </c>
      <c r="I1118" s="14">
        <f>DATE(2012,12,31)-833</f>
        <v>40441</v>
      </c>
      <c r="J1118" s="15" t="s">
        <v>25</v>
      </c>
      <c r="K1118" s="9">
        <v>44</v>
      </c>
      <c r="L1118" s="16" t="s">
        <v>29</v>
      </c>
      <c r="M1118" s="16">
        <f t="shared" si="105"/>
        <v>1.2726518830035094</v>
      </c>
      <c r="N1118">
        <f t="shared" si="106"/>
        <v>0</v>
      </c>
      <c r="O1118">
        <f t="shared" si="107"/>
        <v>0</v>
      </c>
      <c r="P1118">
        <f t="shared" si="104"/>
        <v>5600</v>
      </c>
      <c r="Q1118">
        <f t="shared" si="108"/>
        <v>5600</v>
      </c>
      <c r="T1118" s="16">
        <f t="shared" si="109"/>
        <v>1.272651883003509</v>
      </c>
    </row>
    <row r="1119" spans="7:20" ht="14.4" x14ac:dyDescent="0.25">
      <c r="G1119" s="10">
        <v>2038</v>
      </c>
      <c r="H1119" s="9">
        <v>14529</v>
      </c>
      <c r="I1119" s="14">
        <f>DATE(2012,12,31)-833</f>
        <v>40441</v>
      </c>
      <c r="J1119" s="15" t="s">
        <v>25</v>
      </c>
      <c r="K1119" s="9">
        <v>42</v>
      </c>
      <c r="L1119" s="16" t="s">
        <v>29</v>
      </c>
      <c r="M1119" s="16">
        <f t="shared" si="105"/>
        <v>1.1345323297650665</v>
      </c>
      <c r="N1119">
        <f t="shared" si="106"/>
        <v>0</v>
      </c>
      <c r="O1119">
        <f t="shared" si="107"/>
        <v>0</v>
      </c>
      <c r="P1119">
        <f t="shared" si="104"/>
        <v>5500</v>
      </c>
      <c r="Q1119">
        <f t="shared" si="108"/>
        <v>5500</v>
      </c>
      <c r="T1119" s="16">
        <f t="shared" si="109"/>
        <v>1.1345323297650662</v>
      </c>
    </row>
    <row r="1120" spans="7:20" ht="14.4" x14ac:dyDescent="0.25">
      <c r="G1120" s="10">
        <v>2087</v>
      </c>
      <c r="H1120" s="9">
        <v>14948</v>
      </c>
      <c r="I1120" s="14">
        <f>DATE(2012,12,31)-583</f>
        <v>40691</v>
      </c>
      <c r="J1120" s="15" t="s">
        <v>16</v>
      </c>
      <c r="K1120" s="9">
        <v>6</v>
      </c>
      <c r="L1120" s="16" t="s">
        <v>29</v>
      </c>
      <c r="M1120" s="16">
        <f t="shared" si="105"/>
        <v>-1.3516196285269051</v>
      </c>
      <c r="N1120">
        <f t="shared" si="106"/>
        <v>0</v>
      </c>
      <c r="O1120">
        <f t="shared" si="107"/>
        <v>0</v>
      </c>
      <c r="P1120">
        <f t="shared" si="104"/>
        <v>3700</v>
      </c>
      <c r="Q1120">
        <f t="shared" si="108"/>
        <v>3700</v>
      </c>
      <c r="T1120" s="16">
        <f t="shared" si="109"/>
        <v>-1.3516196285269055</v>
      </c>
    </row>
    <row r="1121" spans="7:20" ht="14.4" x14ac:dyDescent="0.25">
      <c r="G1121" s="10">
        <v>2237</v>
      </c>
      <c r="H1121" s="9">
        <v>16161</v>
      </c>
      <c r="I1121" s="14">
        <f>DATE(2012,12,31)-156</f>
        <v>41118</v>
      </c>
      <c r="J1121" s="15" t="s">
        <v>16</v>
      </c>
      <c r="K1121" s="9">
        <v>49</v>
      </c>
      <c r="L1121" s="16" t="s">
        <v>27</v>
      </c>
      <c r="M1121" s="16">
        <f t="shared" si="105"/>
        <v>1.6179507660996166</v>
      </c>
      <c r="N1121">
        <f t="shared" si="106"/>
        <v>0</v>
      </c>
      <c r="O1121">
        <f t="shared" si="107"/>
        <v>0</v>
      </c>
      <c r="P1121">
        <f t="shared" si="104"/>
        <v>5850</v>
      </c>
      <c r="Q1121">
        <f t="shared" si="108"/>
        <v>5850</v>
      </c>
      <c r="T1121" s="16">
        <f t="shared" si="109"/>
        <v>1.6179507660996162</v>
      </c>
    </row>
    <row r="1122" spans="7:20" ht="14.4" x14ac:dyDescent="0.25">
      <c r="G1122" s="10">
        <v>2238</v>
      </c>
      <c r="H1122" s="9">
        <v>16161</v>
      </c>
      <c r="I1122" s="14">
        <f>DATE(2012,12,31)-156</f>
        <v>41118</v>
      </c>
      <c r="J1122" s="15" t="s">
        <v>16</v>
      </c>
      <c r="K1122" s="9">
        <v>38</v>
      </c>
      <c r="L1122" s="16" t="s">
        <v>26</v>
      </c>
      <c r="M1122" s="16">
        <f t="shared" si="105"/>
        <v>0.85829322328818081</v>
      </c>
      <c r="N1122">
        <f t="shared" si="106"/>
        <v>0</v>
      </c>
      <c r="O1122">
        <f t="shared" si="107"/>
        <v>0</v>
      </c>
      <c r="P1122">
        <f t="shared" si="104"/>
        <v>5300</v>
      </c>
      <c r="Q1122">
        <f t="shared" si="108"/>
        <v>5300</v>
      </c>
      <c r="T1122" s="16">
        <f t="shared" si="109"/>
        <v>0.85829322328818036</v>
      </c>
    </row>
    <row r="1123" spans="7:20" ht="14.4" x14ac:dyDescent="0.25">
      <c r="G1123" s="10">
        <v>2261</v>
      </c>
      <c r="H1123" s="9">
        <v>16257</v>
      </c>
      <c r="I1123" s="14">
        <f>DATE(2012,12,31)-240</f>
        <v>41034</v>
      </c>
      <c r="J1123" s="15" t="s">
        <v>28</v>
      </c>
      <c r="K1123" s="9">
        <v>16</v>
      </c>
      <c r="L1123" s="16" t="s">
        <v>26</v>
      </c>
      <c r="M1123" s="16">
        <f t="shared" si="105"/>
        <v>-0.66102186233469074</v>
      </c>
      <c r="N1123">
        <f t="shared" si="106"/>
        <v>0</v>
      </c>
      <c r="O1123">
        <f t="shared" si="107"/>
        <v>0</v>
      </c>
      <c r="P1123">
        <f t="shared" si="104"/>
        <v>4200</v>
      </c>
      <c r="Q1123">
        <f t="shared" si="108"/>
        <v>4200</v>
      </c>
      <c r="T1123" s="16">
        <f t="shared" si="109"/>
        <v>-0.66102186233469118</v>
      </c>
    </row>
    <row r="1124" spans="7:20" ht="14.4" x14ac:dyDescent="0.25">
      <c r="G1124" s="10">
        <v>2335</v>
      </c>
      <c r="H1124" s="9">
        <v>16806</v>
      </c>
      <c r="I1124" s="14">
        <f>DATE(2012,12,31)-928</f>
        <v>40346</v>
      </c>
      <c r="J1124" s="15" t="s">
        <v>17</v>
      </c>
      <c r="K1124" s="9">
        <v>4</v>
      </c>
      <c r="L1124" s="16" t="s">
        <v>27</v>
      </c>
      <c r="M1124" s="16">
        <f t="shared" si="105"/>
        <v>-1.489739181765348</v>
      </c>
      <c r="N1124">
        <f t="shared" si="106"/>
        <v>0</v>
      </c>
      <c r="O1124">
        <f t="shared" si="107"/>
        <v>0</v>
      </c>
      <c r="P1124">
        <f t="shared" si="104"/>
        <v>3600</v>
      </c>
      <c r="Q1124">
        <f t="shared" si="108"/>
        <v>3600</v>
      </c>
      <c r="T1124" s="16">
        <f t="shared" si="109"/>
        <v>-1.4897391817653485</v>
      </c>
    </row>
    <row r="1125" spans="7:20" ht="14.4" x14ac:dyDescent="0.25">
      <c r="G1125" s="10">
        <v>2336</v>
      </c>
      <c r="H1125" s="9">
        <v>16806</v>
      </c>
      <c r="I1125" s="14">
        <f>DATE(2012,12,31)-928</f>
        <v>40346</v>
      </c>
      <c r="J1125" s="15" t="s">
        <v>17</v>
      </c>
      <c r="K1125" s="9">
        <v>18</v>
      </c>
      <c r="L1125" s="16" t="s">
        <v>27</v>
      </c>
      <c r="M1125" s="16">
        <f t="shared" si="105"/>
        <v>-0.52290230909624791</v>
      </c>
      <c r="N1125">
        <f t="shared" si="106"/>
        <v>0</v>
      </c>
      <c r="O1125">
        <f t="shared" si="107"/>
        <v>0</v>
      </c>
      <c r="P1125">
        <f t="shared" si="104"/>
        <v>4300</v>
      </c>
      <c r="Q1125">
        <f t="shared" si="108"/>
        <v>4300</v>
      </c>
      <c r="T1125" s="16">
        <f t="shared" si="109"/>
        <v>-0.52290230909624835</v>
      </c>
    </row>
    <row r="1126" spans="7:20" ht="14.4" x14ac:dyDescent="0.25">
      <c r="G1126" s="10">
        <v>2393</v>
      </c>
      <c r="H1126" s="9">
        <v>17344</v>
      </c>
      <c r="I1126" s="14">
        <f>DATE(2012,12,31)-896</f>
        <v>40378</v>
      </c>
      <c r="J1126" s="15" t="s">
        <v>30</v>
      </c>
      <c r="K1126" s="9">
        <v>40</v>
      </c>
      <c r="L1126" s="16" t="s">
        <v>27</v>
      </c>
      <c r="M1126" s="16">
        <f t="shared" si="105"/>
        <v>0.99641277652662363</v>
      </c>
      <c r="N1126">
        <f t="shared" si="106"/>
        <v>0</v>
      </c>
      <c r="O1126">
        <f t="shared" si="107"/>
        <v>0</v>
      </c>
      <c r="P1126">
        <f t="shared" si="104"/>
        <v>5400</v>
      </c>
      <c r="Q1126">
        <f t="shared" si="108"/>
        <v>5400</v>
      </c>
      <c r="T1126" s="16">
        <f t="shared" si="109"/>
        <v>0.9964127765266233</v>
      </c>
    </row>
    <row r="1127" spans="7:20" ht="14.4" x14ac:dyDescent="0.25">
      <c r="G1127" s="10">
        <v>2399</v>
      </c>
      <c r="H1127" s="9">
        <v>17382</v>
      </c>
      <c r="I1127" s="14">
        <f>DATE(2012,12,31)-546</f>
        <v>40728</v>
      </c>
      <c r="J1127" s="15" t="s">
        <v>28</v>
      </c>
      <c r="K1127" s="9">
        <v>20</v>
      </c>
      <c r="L1127" s="16" t="s">
        <v>27</v>
      </c>
      <c r="M1127" s="16">
        <f t="shared" si="105"/>
        <v>-0.38478275585780503</v>
      </c>
      <c r="N1127">
        <f t="shared" si="106"/>
        <v>0</v>
      </c>
      <c r="O1127">
        <f t="shared" si="107"/>
        <v>0</v>
      </c>
      <c r="P1127">
        <f t="shared" si="104"/>
        <v>4400</v>
      </c>
      <c r="Q1127">
        <f t="shared" si="108"/>
        <v>4400</v>
      </c>
      <c r="T1127" s="16">
        <f t="shared" si="109"/>
        <v>-0.38478275585780541</v>
      </c>
    </row>
    <row r="1128" spans="7:20" ht="14.4" x14ac:dyDescent="0.25">
      <c r="G1128" s="10">
        <v>2411</v>
      </c>
      <c r="H1128" s="9">
        <v>17507</v>
      </c>
      <c r="I1128" s="14">
        <f>DATE(2012,12,31)-202</f>
        <v>41072</v>
      </c>
      <c r="J1128" s="15" t="s">
        <v>16</v>
      </c>
      <c r="K1128" s="9">
        <v>27</v>
      </c>
      <c r="L1128" s="16" t="s">
        <v>26</v>
      </c>
      <c r="M1128" s="16">
        <f t="shared" si="105"/>
        <v>9.8635680476745008E-2</v>
      </c>
      <c r="N1128">
        <f t="shared" si="106"/>
        <v>0</v>
      </c>
      <c r="O1128">
        <f t="shared" si="107"/>
        <v>0</v>
      </c>
      <c r="P1128">
        <f t="shared" si="104"/>
        <v>4750</v>
      </c>
      <c r="Q1128">
        <f t="shared" si="108"/>
        <v>4750</v>
      </c>
      <c r="T1128" s="16">
        <f t="shared" si="109"/>
        <v>9.8635680476744619E-2</v>
      </c>
    </row>
    <row r="1129" spans="7:20" ht="14.4" x14ac:dyDescent="0.25">
      <c r="G1129" s="10">
        <v>2412</v>
      </c>
      <c r="H1129" s="9">
        <v>17507</v>
      </c>
      <c r="I1129" s="14">
        <f>DATE(2012,12,31)-202</f>
        <v>41072</v>
      </c>
      <c r="J1129" s="15" t="s">
        <v>16</v>
      </c>
      <c r="K1129" s="9">
        <v>22</v>
      </c>
      <c r="L1129" s="16" t="s">
        <v>27</v>
      </c>
      <c r="M1129" s="16">
        <f t="shared" si="105"/>
        <v>-0.24666320261936217</v>
      </c>
      <c r="N1129">
        <f t="shared" si="106"/>
        <v>0</v>
      </c>
      <c r="O1129">
        <f t="shared" si="107"/>
        <v>0</v>
      </c>
      <c r="P1129">
        <f t="shared" si="104"/>
        <v>4500</v>
      </c>
      <c r="Q1129">
        <f t="shared" si="108"/>
        <v>4500</v>
      </c>
      <c r="T1129" s="16">
        <f t="shared" si="109"/>
        <v>-0.24666320261936256</v>
      </c>
    </row>
    <row r="1130" spans="7:20" ht="14.4" x14ac:dyDescent="0.25">
      <c r="G1130" s="10">
        <v>2442</v>
      </c>
      <c r="H1130" s="9">
        <v>17702</v>
      </c>
      <c r="I1130" s="14">
        <f>DATE(2012,12,31)-262</f>
        <v>41012</v>
      </c>
      <c r="J1130" s="15" t="s">
        <v>17</v>
      </c>
      <c r="K1130" s="9">
        <v>9</v>
      </c>
      <c r="L1130" s="16" t="s">
        <v>27</v>
      </c>
      <c r="M1130" s="16">
        <f t="shared" si="105"/>
        <v>-1.1444402986692408</v>
      </c>
      <c r="N1130">
        <f t="shared" si="106"/>
        <v>0</v>
      </c>
      <c r="O1130">
        <f t="shared" si="107"/>
        <v>0</v>
      </c>
      <c r="P1130">
        <f t="shared" si="104"/>
        <v>3850</v>
      </c>
      <c r="Q1130">
        <f t="shared" si="108"/>
        <v>3850</v>
      </c>
      <c r="T1130" s="16">
        <f t="shared" si="109"/>
        <v>-1.1444402986692412</v>
      </c>
    </row>
    <row r="1131" spans="7:20" ht="14.4" x14ac:dyDescent="0.25">
      <c r="G1131" s="10">
        <v>2453</v>
      </c>
      <c r="H1131" s="9">
        <v>17831</v>
      </c>
      <c r="I1131" s="14">
        <f>DATE(2012,12,31)-67</f>
        <v>41207</v>
      </c>
      <c r="J1131" s="15" t="s">
        <v>30</v>
      </c>
      <c r="K1131" s="9">
        <v>34</v>
      </c>
      <c r="L1131" s="16" t="s">
        <v>29</v>
      </c>
      <c r="M1131" s="16">
        <f t="shared" si="105"/>
        <v>0.58205411681129504</v>
      </c>
      <c r="N1131">
        <f t="shared" si="106"/>
        <v>0</v>
      </c>
      <c r="O1131">
        <f t="shared" si="107"/>
        <v>0</v>
      </c>
      <c r="P1131">
        <f t="shared" si="104"/>
        <v>5100</v>
      </c>
      <c r="Q1131">
        <f t="shared" si="108"/>
        <v>5100</v>
      </c>
      <c r="T1131" s="16">
        <f t="shared" si="109"/>
        <v>0.58205411681129471</v>
      </c>
    </row>
    <row r="1132" spans="7:20" ht="14.4" x14ac:dyDescent="0.25">
      <c r="G1132" s="10">
        <v>2454</v>
      </c>
      <c r="H1132" s="9">
        <v>17831</v>
      </c>
      <c r="I1132" s="14">
        <f>DATE(2012,12,31)-67</f>
        <v>41207</v>
      </c>
      <c r="J1132" s="15" t="s">
        <v>30</v>
      </c>
      <c r="K1132" s="9">
        <v>38</v>
      </c>
      <c r="L1132" s="16" t="s">
        <v>26</v>
      </c>
      <c r="M1132" s="16">
        <f t="shared" si="105"/>
        <v>0.85829322328818081</v>
      </c>
      <c r="N1132">
        <f t="shared" si="106"/>
        <v>0</v>
      </c>
      <c r="O1132">
        <f t="shared" si="107"/>
        <v>0</v>
      </c>
      <c r="P1132">
        <f t="shared" si="104"/>
        <v>5300</v>
      </c>
      <c r="Q1132">
        <f t="shared" si="108"/>
        <v>5300</v>
      </c>
      <c r="T1132" s="16">
        <f t="shared" si="109"/>
        <v>0.85829322328818036</v>
      </c>
    </row>
    <row r="1133" spans="7:20" ht="14.4" x14ac:dyDescent="0.25">
      <c r="G1133" s="10">
        <v>2498</v>
      </c>
      <c r="H1133" s="9">
        <v>18179</v>
      </c>
      <c r="I1133" s="14">
        <f>DATE(2012,12,31)-1248</f>
        <v>40026</v>
      </c>
      <c r="J1133" s="15" t="s">
        <v>28</v>
      </c>
      <c r="K1133" s="9">
        <v>50</v>
      </c>
      <c r="L1133" s="16" t="s">
        <v>27</v>
      </c>
      <c r="M1133" s="16">
        <f t="shared" si="105"/>
        <v>1.687010542718838</v>
      </c>
      <c r="N1133">
        <f t="shared" si="106"/>
        <v>0</v>
      </c>
      <c r="O1133">
        <f t="shared" si="107"/>
        <v>0</v>
      </c>
      <c r="P1133">
        <f t="shared" si="104"/>
        <v>5900</v>
      </c>
      <c r="Q1133">
        <f t="shared" si="108"/>
        <v>5900</v>
      </c>
      <c r="T1133" s="16">
        <f t="shared" si="109"/>
        <v>1.6870105427188375</v>
      </c>
    </row>
    <row r="1134" spans="7:20" ht="14.4" x14ac:dyDescent="0.25">
      <c r="G1134" s="10">
        <v>2499</v>
      </c>
      <c r="H1134" s="9">
        <v>18179</v>
      </c>
      <c r="I1134" s="14">
        <f>DATE(2012,12,31)-1248</f>
        <v>40026</v>
      </c>
      <c r="J1134" s="15" t="s">
        <v>28</v>
      </c>
      <c r="K1134" s="9">
        <v>24</v>
      </c>
      <c r="L1134" s="16" t="s">
        <v>26</v>
      </c>
      <c r="M1134" s="16">
        <f t="shared" si="105"/>
        <v>-0.1085436493809193</v>
      </c>
      <c r="N1134">
        <f t="shared" si="106"/>
        <v>0</v>
      </c>
      <c r="O1134">
        <f t="shared" si="107"/>
        <v>0</v>
      </c>
      <c r="P1134">
        <f t="shared" si="104"/>
        <v>4600</v>
      </c>
      <c r="Q1134">
        <f t="shared" si="108"/>
        <v>4600</v>
      </c>
      <c r="T1134" s="16">
        <f t="shared" si="109"/>
        <v>-0.10854364938091969</v>
      </c>
    </row>
    <row r="1135" spans="7:20" ht="14.4" x14ac:dyDescent="0.25">
      <c r="G1135" s="10">
        <v>2500</v>
      </c>
      <c r="H1135" s="9">
        <v>18179</v>
      </c>
      <c r="I1135" s="14">
        <f>DATE(2012,12,31)-1248</f>
        <v>40026</v>
      </c>
      <c r="J1135" s="15" t="s">
        <v>28</v>
      </c>
      <c r="K1135" s="9">
        <v>50</v>
      </c>
      <c r="L1135" s="16" t="s">
        <v>26</v>
      </c>
      <c r="M1135" s="16">
        <f t="shared" si="105"/>
        <v>1.687010542718838</v>
      </c>
      <c r="N1135">
        <f t="shared" si="106"/>
        <v>0</v>
      </c>
      <c r="O1135">
        <f t="shared" si="107"/>
        <v>0</v>
      </c>
      <c r="P1135">
        <f t="shared" si="104"/>
        <v>5900</v>
      </c>
      <c r="Q1135">
        <f t="shared" si="108"/>
        <v>5900</v>
      </c>
      <c r="T1135" s="16">
        <f t="shared" si="109"/>
        <v>1.6870105427188375</v>
      </c>
    </row>
    <row r="1136" spans="7:20" ht="14.4" x14ac:dyDescent="0.25">
      <c r="G1136" s="10">
        <v>2629</v>
      </c>
      <c r="H1136" s="9">
        <v>19044</v>
      </c>
      <c r="I1136" s="14">
        <f>DATE(2012,12,31)-264</f>
        <v>41010</v>
      </c>
      <c r="J1136" s="15" t="s">
        <v>25</v>
      </c>
      <c r="K1136" s="9">
        <v>32</v>
      </c>
      <c r="L1136" s="16" t="s">
        <v>27</v>
      </c>
      <c r="M1136" s="16">
        <f t="shared" si="105"/>
        <v>0.44393456357285216</v>
      </c>
      <c r="N1136">
        <f t="shared" si="106"/>
        <v>0</v>
      </c>
      <c r="O1136">
        <f t="shared" si="107"/>
        <v>0</v>
      </c>
      <c r="P1136">
        <f t="shared" si="104"/>
        <v>5000</v>
      </c>
      <c r="Q1136">
        <f t="shared" si="108"/>
        <v>5000</v>
      </c>
      <c r="T1136" s="16">
        <f t="shared" si="109"/>
        <v>0.44393456357285183</v>
      </c>
    </row>
    <row r="1137" spans="7:20" ht="14.4" x14ac:dyDescent="0.25">
      <c r="G1137" s="10">
        <v>2630</v>
      </c>
      <c r="H1137" s="9">
        <v>19044</v>
      </c>
      <c r="I1137" s="14">
        <f>DATE(2012,12,31)-264</f>
        <v>41010</v>
      </c>
      <c r="J1137" s="15" t="s">
        <v>25</v>
      </c>
      <c r="K1137" s="9">
        <v>29</v>
      </c>
      <c r="L1137" s="16" t="s">
        <v>26</v>
      </c>
      <c r="M1137" s="16">
        <f t="shared" si="105"/>
        <v>0.23675523371518786</v>
      </c>
      <c r="N1137">
        <f t="shared" si="106"/>
        <v>0</v>
      </c>
      <c r="O1137">
        <f t="shared" si="107"/>
        <v>0</v>
      </c>
      <c r="P1137">
        <f t="shared" si="104"/>
        <v>4850</v>
      </c>
      <c r="Q1137">
        <f t="shared" si="108"/>
        <v>4850</v>
      </c>
      <c r="T1137" s="16">
        <f t="shared" si="109"/>
        <v>0.2367552337151875</v>
      </c>
    </row>
    <row r="1138" spans="7:20" ht="14.4" x14ac:dyDescent="0.25">
      <c r="G1138" s="10">
        <v>2690</v>
      </c>
      <c r="H1138" s="9">
        <v>19462</v>
      </c>
      <c r="I1138" s="14">
        <f>DATE(2012,12,31)-468</f>
        <v>40806</v>
      </c>
      <c r="J1138" s="15" t="s">
        <v>16</v>
      </c>
      <c r="K1138" s="9">
        <v>2</v>
      </c>
      <c r="L1138" s="16" t="s">
        <v>26</v>
      </c>
      <c r="M1138" s="16">
        <f t="shared" si="105"/>
        <v>-1.627858735003791</v>
      </c>
      <c r="N1138">
        <f t="shared" si="106"/>
        <v>0</v>
      </c>
      <c r="O1138">
        <f t="shared" si="107"/>
        <v>0</v>
      </c>
      <c r="P1138">
        <f t="shared" si="104"/>
        <v>3500</v>
      </c>
      <c r="Q1138">
        <f t="shared" si="108"/>
        <v>3500</v>
      </c>
      <c r="T1138" s="16">
        <f t="shared" si="109"/>
        <v>-1.6278587350037912</v>
      </c>
    </row>
    <row r="1139" spans="7:20" ht="14.4" x14ac:dyDescent="0.25">
      <c r="G1139" s="10">
        <v>2758</v>
      </c>
      <c r="H1139" s="9">
        <v>19936</v>
      </c>
      <c r="I1139" s="14">
        <f>DATE(2012,12,31)-48</f>
        <v>41226</v>
      </c>
      <c r="J1139" s="15" t="s">
        <v>30</v>
      </c>
      <c r="K1139" s="9">
        <v>19</v>
      </c>
      <c r="L1139" s="16" t="s">
        <v>26</v>
      </c>
      <c r="M1139" s="16">
        <f t="shared" si="105"/>
        <v>-0.45384253247702649</v>
      </c>
      <c r="N1139">
        <f t="shared" si="106"/>
        <v>0</v>
      </c>
      <c r="O1139">
        <f t="shared" si="107"/>
        <v>0</v>
      </c>
      <c r="P1139">
        <f t="shared" si="104"/>
        <v>4350</v>
      </c>
      <c r="Q1139">
        <f t="shared" si="108"/>
        <v>4350</v>
      </c>
      <c r="T1139" s="16">
        <f t="shared" si="109"/>
        <v>-0.45384253247702688</v>
      </c>
    </row>
    <row r="1140" spans="7:20" ht="14.4" x14ac:dyDescent="0.25">
      <c r="G1140" s="10">
        <v>2759</v>
      </c>
      <c r="H1140" s="9">
        <v>19936</v>
      </c>
      <c r="I1140" s="14">
        <f>DATE(2012,12,31)-48</f>
        <v>41226</v>
      </c>
      <c r="J1140" s="15" t="s">
        <v>30</v>
      </c>
      <c r="K1140" s="9">
        <v>41</v>
      </c>
      <c r="L1140" s="16" t="s">
        <v>27</v>
      </c>
      <c r="M1140" s="16">
        <f t="shared" si="105"/>
        <v>1.0654725531458451</v>
      </c>
      <c r="N1140">
        <f t="shared" si="106"/>
        <v>0</v>
      </c>
      <c r="O1140">
        <f t="shared" si="107"/>
        <v>0</v>
      </c>
      <c r="P1140">
        <f t="shared" si="104"/>
        <v>5450</v>
      </c>
      <c r="Q1140">
        <f t="shared" si="108"/>
        <v>5450</v>
      </c>
      <c r="T1140" s="16">
        <f t="shared" si="109"/>
        <v>1.0654725531458447</v>
      </c>
    </row>
    <row r="1141" spans="7:20" ht="14.4" x14ac:dyDescent="0.25">
      <c r="G1141" s="10">
        <v>2761</v>
      </c>
      <c r="H1141" s="9">
        <v>19972</v>
      </c>
      <c r="I1141" s="14">
        <f>DATE(2012,12,31)-198</f>
        <v>41076</v>
      </c>
      <c r="J1141" s="15" t="s">
        <v>30</v>
      </c>
      <c r="K1141" s="9">
        <v>6</v>
      </c>
      <c r="L1141" s="16" t="s">
        <v>29</v>
      </c>
      <c r="M1141" s="16">
        <f t="shared" si="105"/>
        <v>-1.3516196285269051</v>
      </c>
      <c r="N1141">
        <f t="shared" si="106"/>
        <v>0</v>
      </c>
      <c r="O1141">
        <f t="shared" si="107"/>
        <v>0</v>
      </c>
      <c r="P1141">
        <f t="shared" si="104"/>
        <v>3700</v>
      </c>
      <c r="Q1141">
        <f t="shared" si="108"/>
        <v>3700</v>
      </c>
      <c r="T1141" s="16">
        <f t="shared" si="109"/>
        <v>-1.3516196285269055</v>
      </c>
    </row>
    <row r="1142" spans="7:20" ht="14.4" x14ac:dyDescent="0.25">
      <c r="G1142" s="10">
        <v>2777</v>
      </c>
      <c r="H1142" s="9">
        <v>20038</v>
      </c>
      <c r="I1142" s="14">
        <f>DATE(2012,12,31)-1039</f>
        <v>40235</v>
      </c>
      <c r="J1142" s="15" t="s">
        <v>25</v>
      </c>
      <c r="K1142" s="9">
        <v>42</v>
      </c>
      <c r="L1142" s="16" t="s">
        <v>29</v>
      </c>
      <c r="M1142" s="16">
        <f t="shared" si="105"/>
        <v>1.1345323297650665</v>
      </c>
      <c r="N1142">
        <f t="shared" si="106"/>
        <v>0</v>
      </c>
      <c r="O1142">
        <f t="shared" si="107"/>
        <v>0</v>
      </c>
      <c r="P1142">
        <f t="shared" si="104"/>
        <v>5500</v>
      </c>
      <c r="Q1142">
        <f t="shared" si="108"/>
        <v>5500</v>
      </c>
      <c r="T1142" s="16">
        <f t="shared" si="109"/>
        <v>1.1345323297650662</v>
      </c>
    </row>
    <row r="1143" spans="7:20" ht="14.4" x14ac:dyDescent="0.25">
      <c r="G1143" s="10">
        <v>2824</v>
      </c>
      <c r="H1143" s="9">
        <v>20389</v>
      </c>
      <c r="I1143" s="14">
        <f>DATE(2012,12,31)-1238</f>
        <v>40036</v>
      </c>
      <c r="J1143" s="15" t="s">
        <v>17</v>
      </c>
      <c r="K1143" s="9">
        <v>31</v>
      </c>
      <c r="L1143" s="16" t="s">
        <v>29</v>
      </c>
      <c r="M1143" s="16">
        <f t="shared" si="105"/>
        <v>0.37487478695363075</v>
      </c>
      <c r="N1143">
        <f t="shared" si="106"/>
        <v>0</v>
      </c>
      <c r="O1143">
        <f t="shared" si="107"/>
        <v>0</v>
      </c>
      <c r="P1143">
        <f t="shared" si="104"/>
        <v>4950</v>
      </c>
      <c r="Q1143">
        <f t="shared" si="108"/>
        <v>4950</v>
      </c>
      <c r="T1143" s="16">
        <f t="shared" si="109"/>
        <v>0.37487478695363036</v>
      </c>
    </row>
    <row r="1144" spans="7:20" ht="14.4" x14ac:dyDescent="0.25">
      <c r="G1144" s="10">
        <v>2825</v>
      </c>
      <c r="H1144" s="9">
        <v>20389</v>
      </c>
      <c r="I1144" s="14">
        <f>DATE(2012,12,31)-1238</f>
        <v>40036</v>
      </c>
      <c r="J1144" s="15" t="s">
        <v>17</v>
      </c>
      <c r="K1144" s="9">
        <v>24</v>
      </c>
      <c r="L1144" s="16" t="s">
        <v>29</v>
      </c>
      <c r="M1144" s="16">
        <f t="shared" si="105"/>
        <v>-0.1085436493809193</v>
      </c>
      <c r="N1144">
        <f t="shared" si="106"/>
        <v>0</v>
      </c>
      <c r="O1144">
        <f t="shared" si="107"/>
        <v>0</v>
      </c>
      <c r="P1144">
        <f t="shared" si="104"/>
        <v>4600</v>
      </c>
      <c r="Q1144">
        <f t="shared" si="108"/>
        <v>4600</v>
      </c>
      <c r="T1144" s="16">
        <f t="shared" si="109"/>
        <v>-0.10854364938091969</v>
      </c>
    </row>
    <row r="1145" spans="7:20" ht="14.4" x14ac:dyDescent="0.25">
      <c r="G1145" s="10">
        <v>2826</v>
      </c>
      <c r="H1145" s="9">
        <v>20389</v>
      </c>
      <c r="I1145" s="14">
        <f>DATE(2012,12,31)-1238</f>
        <v>40036</v>
      </c>
      <c r="J1145" s="15" t="s">
        <v>17</v>
      </c>
      <c r="K1145" s="9">
        <v>30</v>
      </c>
      <c r="L1145" s="16" t="s">
        <v>26</v>
      </c>
      <c r="M1145" s="16">
        <f t="shared" si="105"/>
        <v>0.30581501033440933</v>
      </c>
      <c r="N1145">
        <f t="shared" si="106"/>
        <v>0</v>
      </c>
      <c r="O1145">
        <f t="shared" si="107"/>
        <v>0</v>
      </c>
      <c r="P1145">
        <f t="shared" si="104"/>
        <v>4900</v>
      </c>
      <c r="Q1145">
        <f t="shared" si="108"/>
        <v>4900</v>
      </c>
      <c r="T1145" s="16">
        <f t="shared" si="109"/>
        <v>0.30581501033440894</v>
      </c>
    </row>
    <row r="1146" spans="7:20" ht="14.4" x14ac:dyDescent="0.25">
      <c r="G1146" s="10">
        <v>2829</v>
      </c>
      <c r="H1146" s="9">
        <v>20422</v>
      </c>
      <c r="I1146" s="14">
        <f>DATE(2012,12,31)-1435</f>
        <v>39839</v>
      </c>
      <c r="J1146" s="15" t="s">
        <v>17</v>
      </c>
      <c r="K1146" s="9">
        <v>5</v>
      </c>
      <c r="L1146" s="16" t="s">
        <v>26</v>
      </c>
      <c r="M1146" s="16">
        <f t="shared" si="105"/>
        <v>-1.4206794051461267</v>
      </c>
      <c r="N1146">
        <f t="shared" si="106"/>
        <v>0</v>
      </c>
      <c r="O1146">
        <f t="shared" si="107"/>
        <v>0</v>
      </c>
      <c r="P1146">
        <f t="shared" si="104"/>
        <v>3650</v>
      </c>
      <c r="Q1146">
        <f t="shared" si="108"/>
        <v>3650</v>
      </c>
      <c r="T1146" s="16">
        <f t="shared" si="109"/>
        <v>-1.4206794051461269</v>
      </c>
    </row>
    <row r="1147" spans="7:20" ht="14.4" x14ac:dyDescent="0.25">
      <c r="G1147" s="10">
        <v>2864</v>
      </c>
      <c r="H1147" s="9">
        <v>20676</v>
      </c>
      <c r="I1147" s="14">
        <f>DATE(2012,12,31)-39</f>
        <v>41235</v>
      </c>
      <c r="J1147" s="15" t="s">
        <v>25</v>
      </c>
      <c r="K1147" s="9">
        <v>22</v>
      </c>
      <c r="L1147" s="16" t="s">
        <v>26</v>
      </c>
      <c r="M1147" s="16">
        <f t="shared" si="105"/>
        <v>-0.24666320261936217</v>
      </c>
      <c r="N1147">
        <f t="shared" si="106"/>
        <v>0</v>
      </c>
      <c r="O1147">
        <f t="shared" si="107"/>
        <v>0</v>
      </c>
      <c r="P1147">
        <f t="shared" si="104"/>
        <v>4500</v>
      </c>
      <c r="Q1147">
        <f t="shared" si="108"/>
        <v>4500</v>
      </c>
      <c r="T1147" s="16">
        <f t="shared" si="109"/>
        <v>-0.24666320261936256</v>
      </c>
    </row>
    <row r="1148" spans="7:20" ht="14.4" x14ac:dyDescent="0.25">
      <c r="G1148" s="10">
        <v>2887</v>
      </c>
      <c r="H1148" s="9">
        <v>20807</v>
      </c>
      <c r="I1148" s="14">
        <f>DATE(2012,12,31)-163</f>
        <v>41111</v>
      </c>
      <c r="J1148" s="15" t="s">
        <v>28</v>
      </c>
      <c r="K1148" s="9">
        <v>39</v>
      </c>
      <c r="L1148" s="16" t="s">
        <v>29</v>
      </c>
      <c r="M1148" s="16">
        <f t="shared" si="105"/>
        <v>0.92735299990740228</v>
      </c>
      <c r="N1148">
        <f t="shared" si="106"/>
        <v>0</v>
      </c>
      <c r="O1148">
        <f t="shared" si="107"/>
        <v>0</v>
      </c>
      <c r="P1148">
        <f t="shared" si="104"/>
        <v>5350</v>
      </c>
      <c r="Q1148">
        <f t="shared" si="108"/>
        <v>5350</v>
      </c>
      <c r="T1148" s="16">
        <f t="shared" si="109"/>
        <v>0.92735299990740183</v>
      </c>
    </row>
    <row r="1149" spans="7:20" ht="14.4" x14ac:dyDescent="0.25">
      <c r="G1149" s="10">
        <v>2890</v>
      </c>
      <c r="H1149" s="9">
        <v>20838</v>
      </c>
      <c r="I1149" s="14">
        <f>DATE(2012,12,31)-1361</f>
        <v>39913</v>
      </c>
      <c r="J1149" s="15" t="s">
        <v>28</v>
      </c>
      <c r="K1149" s="9">
        <v>5</v>
      </c>
      <c r="L1149" s="16" t="s">
        <v>26</v>
      </c>
      <c r="M1149" s="16">
        <f t="shared" si="105"/>
        <v>-1.4206794051461267</v>
      </c>
      <c r="N1149">
        <f t="shared" si="106"/>
        <v>0</v>
      </c>
      <c r="O1149">
        <f t="shared" si="107"/>
        <v>0</v>
      </c>
      <c r="P1149">
        <f t="shared" si="104"/>
        <v>3650</v>
      </c>
      <c r="Q1149">
        <f t="shared" si="108"/>
        <v>3650</v>
      </c>
      <c r="T1149" s="16">
        <f t="shared" si="109"/>
        <v>-1.4206794051461269</v>
      </c>
    </row>
    <row r="1150" spans="7:20" ht="14.4" x14ac:dyDescent="0.25">
      <c r="G1150" s="10">
        <v>2891</v>
      </c>
      <c r="H1150" s="9">
        <v>20838</v>
      </c>
      <c r="I1150" s="14">
        <f>DATE(2012,12,31)-1361</f>
        <v>39913</v>
      </c>
      <c r="J1150" s="15" t="s">
        <v>28</v>
      </c>
      <c r="K1150" s="9">
        <v>21</v>
      </c>
      <c r="L1150" s="16" t="s">
        <v>26</v>
      </c>
      <c r="M1150" s="16">
        <f t="shared" si="105"/>
        <v>-0.31572297923858361</v>
      </c>
      <c r="N1150">
        <f t="shared" si="106"/>
        <v>0</v>
      </c>
      <c r="O1150">
        <f t="shared" si="107"/>
        <v>0</v>
      </c>
      <c r="P1150">
        <f t="shared" si="104"/>
        <v>4450</v>
      </c>
      <c r="Q1150">
        <f t="shared" si="108"/>
        <v>4450</v>
      </c>
      <c r="T1150" s="16">
        <f t="shared" si="109"/>
        <v>-0.315722979238584</v>
      </c>
    </row>
    <row r="1151" spans="7:20" ht="14.4" x14ac:dyDescent="0.25">
      <c r="G1151" s="10">
        <v>2901</v>
      </c>
      <c r="H1151" s="9">
        <v>20960</v>
      </c>
      <c r="I1151" s="14">
        <f>DATE(2012,12,31)-409</f>
        <v>40865</v>
      </c>
      <c r="J1151" s="15" t="s">
        <v>25</v>
      </c>
      <c r="K1151" s="9">
        <v>19</v>
      </c>
      <c r="L1151" s="16" t="s">
        <v>27</v>
      </c>
      <c r="M1151" s="16">
        <f t="shared" si="105"/>
        <v>-0.45384253247702649</v>
      </c>
      <c r="N1151">
        <f t="shared" si="106"/>
        <v>0</v>
      </c>
      <c r="O1151">
        <f t="shared" si="107"/>
        <v>0</v>
      </c>
      <c r="P1151">
        <f t="shared" si="104"/>
        <v>4350</v>
      </c>
      <c r="Q1151">
        <f t="shared" si="108"/>
        <v>4350</v>
      </c>
      <c r="T1151" s="16">
        <f t="shared" si="109"/>
        <v>-0.45384253247702688</v>
      </c>
    </row>
    <row r="1152" spans="7:20" ht="14.4" x14ac:dyDescent="0.25">
      <c r="G1152" s="10">
        <v>2902</v>
      </c>
      <c r="H1152" s="9">
        <v>20961</v>
      </c>
      <c r="I1152" s="14">
        <f>DATE(2012,12,31)-1082</f>
        <v>40192</v>
      </c>
      <c r="J1152" s="15" t="s">
        <v>28</v>
      </c>
      <c r="K1152" s="9">
        <v>34</v>
      </c>
      <c r="L1152" s="16" t="s">
        <v>27</v>
      </c>
      <c r="M1152" s="16">
        <f t="shared" si="105"/>
        <v>0.58205411681129504</v>
      </c>
      <c r="N1152">
        <f t="shared" si="106"/>
        <v>0</v>
      </c>
      <c r="O1152">
        <f t="shared" si="107"/>
        <v>0</v>
      </c>
      <c r="P1152">
        <f t="shared" si="104"/>
        <v>5100</v>
      </c>
      <c r="Q1152">
        <f t="shared" si="108"/>
        <v>5100</v>
      </c>
      <c r="T1152" s="16">
        <f t="shared" si="109"/>
        <v>0.58205411681129471</v>
      </c>
    </row>
    <row r="1153" spans="7:20" ht="14.4" x14ac:dyDescent="0.25">
      <c r="G1153" s="10">
        <v>2949</v>
      </c>
      <c r="H1153" s="9">
        <v>21350</v>
      </c>
      <c r="I1153" s="14">
        <f>DATE(2012,12,31)-676</f>
        <v>40598</v>
      </c>
      <c r="J1153" s="15" t="s">
        <v>16</v>
      </c>
      <c r="K1153" s="9">
        <v>30</v>
      </c>
      <c r="L1153" s="16" t="s">
        <v>26</v>
      </c>
      <c r="M1153" s="16">
        <f t="shared" si="105"/>
        <v>0.30581501033440933</v>
      </c>
      <c r="N1153">
        <f t="shared" si="106"/>
        <v>0</v>
      </c>
      <c r="O1153">
        <f t="shared" si="107"/>
        <v>0</v>
      </c>
      <c r="P1153">
        <f t="shared" si="104"/>
        <v>4900</v>
      </c>
      <c r="Q1153">
        <f t="shared" si="108"/>
        <v>4900</v>
      </c>
      <c r="T1153" s="16">
        <f t="shared" si="109"/>
        <v>0.30581501033440894</v>
      </c>
    </row>
    <row r="1154" spans="7:20" ht="14.4" x14ac:dyDescent="0.25">
      <c r="G1154" s="10">
        <v>2986</v>
      </c>
      <c r="H1154" s="9">
        <v>21572</v>
      </c>
      <c r="I1154" s="14">
        <f>DATE(2012,12,31)-1417</f>
        <v>39857</v>
      </c>
      <c r="J1154" s="15" t="s">
        <v>30</v>
      </c>
      <c r="K1154" s="9">
        <v>42</v>
      </c>
      <c r="L1154" s="16" t="s">
        <v>29</v>
      </c>
      <c r="M1154" s="16">
        <f t="shared" si="105"/>
        <v>1.1345323297650665</v>
      </c>
      <c r="N1154">
        <f t="shared" si="106"/>
        <v>0</v>
      </c>
      <c r="O1154">
        <f t="shared" si="107"/>
        <v>0</v>
      </c>
      <c r="P1154">
        <f t="shared" si="104"/>
        <v>5500</v>
      </c>
      <c r="Q1154">
        <f t="shared" si="108"/>
        <v>5500</v>
      </c>
      <c r="T1154" s="16">
        <f t="shared" si="109"/>
        <v>1.1345323297650662</v>
      </c>
    </row>
    <row r="1155" spans="7:20" ht="14.4" x14ac:dyDescent="0.25">
      <c r="G1155" s="10">
        <v>3014</v>
      </c>
      <c r="H1155" s="9">
        <v>21671</v>
      </c>
      <c r="I1155" s="14">
        <f>DATE(2012,12,31)-930</f>
        <v>40344</v>
      </c>
      <c r="J1155" s="15" t="s">
        <v>17</v>
      </c>
      <c r="K1155" s="9">
        <v>15</v>
      </c>
      <c r="L1155" s="16" t="s">
        <v>27</v>
      </c>
      <c r="M1155" s="16">
        <f t="shared" si="105"/>
        <v>-0.7300816389539122</v>
      </c>
      <c r="N1155">
        <f t="shared" si="106"/>
        <v>0</v>
      </c>
      <c r="O1155">
        <f t="shared" si="107"/>
        <v>0</v>
      </c>
      <c r="P1155">
        <f t="shared" si="104"/>
        <v>4150</v>
      </c>
      <c r="Q1155">
        <f t="shared" si="108"/>
        <v>4150</v>
      </c>
      <c r="T1155" s="16">
        <f t="shared" si="109"/>
        <v>-0.73008163895391265</v>
      </c>
    </row>
    <row r="1156" spans="7:20" ht="14.4" x14ac:dyDescent="0.25">
      <c r="G1156" s="10">
        <v>3156</v>
      </c>
      <c r="H1156" s="9">
        <v>22657</v>
      </c>
      <c r="I1156" s="14">
        <f>DATE(2012,12,31)-429</f>
        <v>40845</v>
      </c>
      <c r="J1156" s="15" t="s">
        <v>17</v>
      </c>
      <c r="K1156" s="9">
        <v>36</v>
      </c>
      <c r="L1156" s="16" t="s">
        <v>27</v>
      </c>
      <c r="M1156" s="16">
        <f t="shared" si="105"/>
        <v>0.72017367004973787</v>
      </c>
      <c r="N1156">
        <f t="shared" si="106"/>
        <v>0</v>
      </c>
      <c r="O1156">
        <f t="shared" si="107"/>
        <v>0</v>
      </c>
      <c r="P1156">
        <f t="shared" si="104"/>
        <v>5200</v>
      </c>
      <c r="Q1156">
        <f t="shared" si="108"/>
        <v>5200</v>
      </c>
      <c r="T1156" s="16">
        <f t="shared" si="109"/>
        <v>0.72017367004973754</v>
      </c>
    </row>
    <row r="1157" spans="7:20" ht="14.4" x14ac:dyDescent="0.25">
      <c r="G1157" s="10">
        <v>3157</v>
      </c>
      <c r="H1157" s="9">
        <v>22657</v>
      </c>
      <c r="I1157" s="14">
        <f>DATE(2012,12,31)-429</f>
        <v>40845</v>
      </c>
      <c r="J1157" s="15" t="s">
        <v>17</v>
      </c>
      <c r="K1157" s="9">
        <v>8</v>
      </c>
      <c r="L1157" s="16" t="s">
        <v>26</v>
      </c>
      <c r="M1157" s="16">
        <f t="shared" si="105"/>
        <v>-1.2135000752884624</v>
      </c>
      <c r="N1157">
        <f t="shared" si="106"/>
        <v>0</v>
      </c>
      <c r="O1157">
        <f t="shared" si="107"/>
        <v>0</v>
      </c>
      <c r="P1157">
        <f t="shared" si="104"/>
        <v>3800</v>
      </c>
      <c r="Q1157">
        <f t="shared" si="108"/>
        <v>3800</v>
      </c>
      <c r="T1157" s="16">
        <f t="shared" si="109"/>
        <v>-1.2135000752884626</v>
      </c>
    </row>
    <row r="1158" spans="7:20" ht="14.4" x14ac:dyDescent="0.25">
      <c r="G1158" s="10">
        <v>3238</v>
      </c>
      <c r="H1158" s="9">
        <v>23207</v>
      </c>
      <c r="I1158" s="14">
        <f>DATE(2012,12,31)-801</f>
        <v>40473</v>
      </c>
      <c r="J1158" s="15" t="s">
        <v>30</v>
      </c>
      <c r="K1158" s="9">
        <v>11</v>
      </c>
      <c r="L1158" s="16" t="s">
        <v>26</v>
      </c>
      <c r="M1158" s="16">
        <f t="shared" si="105"/>
        <v>-1.0063207454307979</v>
      </c>
      <c r="N1158">
        <f t="shared" si="106"/>
        <v>0</v>
      </c>
      <c r="O1158">
        <f t="shared" si="107"/>
        <v>0</v>
      </c>
      <c r="P1158">
        <f t="shared" si="104"/>
        <v>3950</v>
      </c>
      <c r="Q1158">
        <f t="shared" si="108"/>
        <v>3950</v>
      </c>
      <c r="T1158" s="16">
        <f t="shared" si="109"/>
        <v>-1.0063207454307983</v>
      </c>
    </row>
    <row r="1159" spans="7:20" ht="14.4" x14ac:dyDescent="0.25">
      <c r="G1159" s="10">
        <v>3346</v>
      </c>
      <c r="H1159" s="9">
        <v>23940</v>
      </c>
      <c r="I1159" s="14">
        <f>DATE(2012,12,31)-633</f>
        <v>40641</v>
      </c>
      <c r="J1159" s="15" t="s">
        <v>16</v>
      </c>
      <c r="K1159" s="9">
        <v>20</v>
      </c>
      <c r="L1159" s="16" t="s">
        <v>26</v>
      </c>
      <c r="M1159" s="16">
        <f t="shared" si="105"/>
        <v>-0.38478275585780503</v>
      </c>
      <c r="N1159">
        <f t="shared" si="106"/>
        <v>0</v>
      </c>
      <c r="O1159">
        <f t="shared" si="107"/>
        <v>0</v>
      </c>
      <c r="P1159">
        <f t="shared" si="104"/>
        <v>4400</v>
      </c>
      <c r="Q1159">
        <f t="shared" si="108"/>
        <v>4400</v>
      </c>
      <c r="T1159" s="16">
        <f t="shared" si="109"/>
        <v>-0.38478275585780541</v>
      </c>
    </row>
    <row r="1160" spans="7:20" ht="14.4" x14ac:dyDescent="0.25">
      <c r="G1160" s="10">
        <v>3347</v>
      </c>
      <c r="H1160" s="9">
        <v>23940</v>
      </c>
      <c r="I1160" s="14">
        <f>DATE(2012,12,31)-633</f>
        <v>40641</v>
      </c>
      <c r="J1160" s="15" t="s">
        <v>16</v>
      </c>
      <c r="K1160" s="9">
        <v>11</v>
      </c>
      <c r="L1160" s="16" t="s">
        <v>29</v>
      </c>
      <c r="M1160" s="16">
        <f t="shared" si="105"/>
        <v>-1.0063207454307979</v>
      </c>
      <c r="N1160">
        <f t="shared" si="106"/>
        <v>0</v>
      </c>
      <c r="O1160">
        <f t="shared" si="107"/>
        <v>0</v>
      </c>
      <c r="P1160">
        <f t="shared" si="104"/>
        <v>3950</v>
      </c>
      <c r="Q1160">
        <f t="shared" si="108"/>
        <v>3950</v>
      </c>
      <c r="T1160" s="16">
        <f t="shared" si="109"/>
        <v>-1.0063207454307983</v>
      </c>
    </row>
    <row r="1161" spans="7:20" ht="14.4" x14ac:dyDescent="0.25">
      <c r="G1161" s="10">
        <v>3425</v>
      </c>
      <c r="H1161" s="9">
        <v>24450</v>
      </c>
      <c r="I1161" s="14">
        <f>DATE(2012,12,31)-175</f>
        <v>41099</v>
      </c>
      <c r="J1161" s="15" t="s">
        <v>30</v>
      </c>
      <c r="K1161" s="9">
        <v>37</v>
      </c>
      <c r="L1161" s="16" t="s">
        <v>26</v>
      </c>
      <c r="M1161" s="16">
        <f t="shared" si="105"/>
        <v>0.78923344666895934</v>
      </c>
      <c r="N1161">
        <f t="shared" si="106"/>
        <v>0</v>
      </c>
      <c r="O1161">
        <f t="shared" si="107"/>
        <v>0</v>
      </c>
      <c r="P1161">
        <f t="shared" si="104"/>
        <v>5250</v>
      </c>
      <c r="Q1161">
        <f t="shared" si="108"/>
        <v>5250</v>
      </c>
      <c r="T1161" s="16">
        <f t="shared" si="109"/>
        <v>0.789233446668959</v>
      </c>
    </row>
    <row r="1162" spans="7:20" ht="14.4" x14ac:dyDescent="0.25">
      <c r="G1162" s="10">
        <v>3426</v>
      </c>
      <c r="H1162" s="9">
        <v>24450</v>
      </c>
      <c r="I1162" s="14">
        <f>DATE(2012,12,31)-175</f>
        <v>41099</v>
      </c>
      <c r="J1162" s="15" t="s">
        <v>30</v>
      </c>
      <c r="K1162" s="9">
        <v>41</v>
      </c>
      <c r="L1162" s="16" t="s">
        <v>29</v>
      </c>
      <c r="M1162" s="16">
        <f t="shared" si="105"/>
        <v>1.0654725531458451</v>
      </c>
      <c r="N1162">
        <f t="shared" si="106"/>
        <v>0</v>
      </c>
      <c r="O1162">
        <f t="shared" si="107"/>
        <v>0</v>
      </c>
      <c r="P1162">
        <f t="shared" si="104"/>
        <v>5450</v>
      </c>
      <c r="Q1162">
        <f t="shared" si="108"/>
        <v>5450</v>
      </c>
      <c r="T1162" s="16">
        <f t="shared" si="109"/>
        <v>1.0654725531458447</v>
      </c>
    </row>
    <row r="1163" spans="7:20" ht="14.4" x14ac:dyDescent="0.25">
      <c r="G1163" s="10">
        <v>3427</v>
      </c>
      <c r="H1163" s="9">
        <v>24450</v>
      </c>
      <c r="I1163" s="14">
        <f>DATE(2012,12,31)-175</f>
        <v>41099</v>
      </c>
      <c r="J1163" s="15" t="s">
        <v>30</v>
      </c>
      <c r="K1163" s="9">
        <v>4</v>
      </c>
      <c r="L1163" s="16" t="s">
        <v>26</v>
      </c>
      <c r="M1163" s="16">
        <f t="shared" si="105"/>
        <v>-1.489739181765348</v>
      </c>
      <c r="N1163">
        <f t="shared" si="106"/>
        <v>0</v>
      </c>
      <c r="O1163">
        <f t="shared" si="107"/>
        <v>0</v>
      </c>
      <c r="P1163">
        <f t="shared" si="104"/>
        <v>3600</v>
      </c>
      <c r="Q1163">
        <f t="shared" si="108"/>
        <v>3600</v>
      </c>
      <c r="T1163" s="16">
        <f t="shared" si="109"/>
        <v>-1.4897391817653485</v>
      </c>
    </row>
    <row r="1164" spans="7:20" ht="14.4" x14ac:dyDescent="0.25">
      <c r="G1164" s="10">
        <v>3446</v>
      </c>
      <c r="H1164" s="9">
        <v>24580</v>
      </c>
      <c r="I1164" s="14">
        <f>DATE(2012,12,31)-191</f>
        <v>41083</v>
      </c>
      <c r="J1164" s="15" t="s">
        <v>17</v>
      </c>
      <c r="K1164" s="9">
        <v>25</v>
      </c>
      <c r="L1164" s="16" t="s">
        <v>26</v>
      </c>
      <c r="M1164" s="16">
        <f t="shared" si="105"/>
        <v>-3.9483872761697868E-2</v>
      </c>
      <c r="N1164">
        <f t="shared" si="106"/>
        <v>0</v>
      </c>
      <c r="O1164">
        <f t="shared" si="107"/>
        <v>0</v>
      </c>
      <c r="P1164">
        <f t="shared" ref="P1164:P1227" si="110">50*K1164+$P$10</f>
        <v>4650</v>
      </c>
      <c r="Q1164">
        <f t="shared" si="108"/>
        <v>4650</v>
      </c>
      <c r="T1164" s="16">
        <f t="shared" si="109"/>
        <v>-3.9483872761698249E-2</v>
      </c>
    </row>
    <row r="1165" spans="7:20" ht="14.4" x14ac:dyDescent="0.25">
      <c r="G1165" s="10">
        <v>3447</v>
      </c>
      <c r="H1165" s="9">
        <v>24580</v>
      </c>
      <c r="I1165" s="14">
        <f>DATE(2012,12,31)-191</f>
        <v>41083</v>
      </c>
      <c r="J1165" s="15" t="s">
        <v>17</v>
      </c>
      <c r="K1165" s="9">
        <v>14</v>
      </c>
      <c r="L1165" s="16" t="s">
        <v>29</v>
      </c>
      <c r="M1165" s="16">
        <f t="shared" ref="M1165:M1228" si="111">(K1165-$K$4)/$K$7</f>
        <v>-0.79914141557313367</v>
      </c>
      <c r="N1165">
        <f t="shared" ref="N1165:N1228" si="112">IF(MOD($B$20+G1165,1000)=0,1,0)</f>
        <v>0</v>
      </c>
      <c r="O1165">
        <f t="shared" ref="O1165:O1228" si="113">+ROUND(N1165*(IF(K1165&lt;$K$4,-4.5,10.5)*$P$5),-2)</f>
        <v>0</v>
      </c>
      <c r="P1165">
        <f t="shared" si="110"/>
        <v>4100</v>
      </c>
      <c r="Q1165">
        <f t="shared" ref="Q1165:Q1228" si="114">P1165+O1165</f>
        <v>4100</v>
      </c>
      <c r="T1165" s="16">
        <f t="shared" ref="T1165:T1228" si="115">(Q1165-$P$4)/$P$5</f>
        <v>-0.79914141557313401</v>
      </c>
    </row>
    <row r="1166" spans="7:20" ht="14.4" x14ac:dyDescent="0.25">
      <c r="G1166" s="10">
        <v>3488</v>
      </c>
      <c r="H1166" s="9">
        <v>24833</v>
      </c>
      <c r="I1166" s="14">
        <f>DATE(2012,12,31)-899</f>
        <v>40375</v>
      </c>
      <c r="J1166" s="15" t="s">
        <v>28</v>
      </c>
      <c r="K1166" s="9">
        <v>45</v>
      </c>
      <c r="L1166" s="16" t="s">
        <v>29</v>
      </c>
      <c r="M1166" s="16">
        <f t="shared" si="111"/>
        <v>1.3417116596227308</v>
      </c>
      <c r="N1166">
        <f t="shared" si="112"/>
        <v>0</v>
      </c>
      <c r="O1166">
        <f t="shared" si="113"/>
        <v>0</v>
      </c>
      <c r="P1166">
        <f t="shared" si="110"/>
        <v>5650</v>
      </c>
      <c r="Q1166">
        <f t="shared" si="114"/>
        <v>5650</v>
      </c>
      <c r="T1166" s="16">
        <f t="shared" si="115"/>
        <v>1.3417116596227305</v>
      </c>
    </row>
    <row r="1167" spans="7:20" ht="14.4" x14ac:dyDescent="0.25">
      <c r="G1167" s="10">
        <v>3498</v>
      </c>
      <c r="H1167" s="9">
        <v>24933</v>
      </c>
      <c r="I1167" s="14">
        <f>DATE(2012,12,31)-1254</f>
        <v>40020</v>
      </c>
      <c r="J1167" s="15" t="s">
        <v>25</v>
      </c>
      <c r="K1167" s="9">
        <v>32</v>
      </c>
      <c r="L1167" s="16" t="s">
        <v>29</v>
      </c>
      <c r="M1167" s="16">
        <f t="shared" si="111"/>
        <v>0.44393456357285216</v>
      </c>
      <c r="N1167">
        <f t="shared" si="112"/>
        <v>0</v>
      </c>
      <c r="O1167">
        <f t="shared" si="113"/>
        <v>0</v>
      </c>
      <c r="P1167">
        <f t="shared" si="110"/>
        <v>5000</v>
      </c>
      <c r="Q1167">
        <f t="shared" si="114"/>
        <v>5000</v>
      </c>
      <c r="T1167" s="16">
        <f t="shared" si="115"/>
        <v>0.44393456357285183</v>
      </c>
    </row>
    <row r="1168" spans="7:20" ht="14.4" x14ac:dyDescent="0.25">
      <c r="G1168" s="10">
        <v>3499</v>
      </c>
      <c r="H1168" s="9">
        <v>24933</v>
      </c>
      <c r="I1168" s="14">
        <f>DATE(2012,12,31)-1254</f>
        <v>40020</v>
      </c>
      <c r="J1168" s="15" t="s">
        <v>25</v>
      </c>
      <c r="K1168" s="9">
        <v>14</v>
      </c>
      <c r="L1168" s="16" t="s">
        <v>26</v>
      </c>
      <c r="M1168" s="16">
        <f t="shared" si="111"/>
        <v>-0.79914141557313367</v>
      </c>
      <c r="N1168">
        <f t="shared" si="112"/>
        <v>0</v>
      </c>
      <c r="O1168">
        <f t="shared" si="113"/>
        <v>0</v>
      </c>
      <c r="P1168">
        <f t="shared" si="110"/>
        <v>4100</v>
      </c>
      <c r="Q1168">
        <f t="shared" si="114"/>
        <v>4100</v>
      </c>
      <c r="T1168" s="16">
        <f t="shared" si="115"/>
        <v>-0.79914141557313401</v>
      </c>
    </row>
    <row r="1169" spans="7:20" ht="14.4" x14ac:dyDescent="0.25">
      <c r="G1169" s="10">
        <v>3514</v>
      </c>
      <c r="H1169" s="9">
        <v>25031</v>
      </c>
      <c r="I1169" s="14">
        <f>DATE(2012,12,31)-1226</f>
        <v>40048</v>
      </c>
      <c r="J1169" s="15" t="s">
        <v>17</v>
      </c>
      <c r="K1169" s="9">
        <v>24</v>
      </c>
      <c r="L1169" s="16" t="s">
        <v>29</v>
      </c>
      <c r="M1169" s="16">
        <f t="shared" si="111"/>
        <v>-0.1085436493809193</v>
      </c>
      <c r="N1169">
        <f t="shared" si="112"/>
        <v>0</v>
      </c>
      <c r="O1169">
        <f t="shared" si="113"/>
        <v>0</v>
      </c>
      <c r="P1169">
        <f t="shared" si="110"/>
        <v>4600</v>
      </c>
      <c r="Q1169">
        <f t="shared" si="114"/>
        <v>4600</v>
      </c>
      <c r="T1169" s="16">
        <f t="shared" si="115"/>
        <v>-0.10854364938091969</v>
      </c>
    </row>
    <row r="1170" spans="7:20" ht="14.4" x14ac:dyDescent="0.25">
      <c r="G1170" s="10">
        <v>3515</v>
      </c>
      <c r="H1170" s="9">
        <v>25031</v>
      </c>
      <c r="I1170" s="14">
        <f>DATE(2012,12,31)-1226</f>
        <v>40048</v>
      </c>
      <c r="J1170" s="15" t="s">
        <v>17</v>
      </c>
      <c r="K1170" s="9">
        <v>20</v>
      </c>
      <c r="L1170" s="16" t="s">
        <v>26</v>
      </c>
      <c r="M1170" s="16">
        <f t="shared" si="111"/>
        <v>-0.38478275585780503</v>
      </c>
      <c r="N1170">
        <f t="shared" si="112"/>
        <v>0</v>
      </c>
      <c r="O1170">
        <f t="shared" si="113"/>
        <v>0</v>
      </c>
      <c r="P1170">
        <f t="shared" si="110"/>
        <v>4400</v>
      </c>
      <c r="Q1170">
        <f t="shared" si="114"/>
        <v>4400</v>
      </c>
      <c r="T1170" s="16">
        <f t="shared" si="115"/>
        <v>-0.38478275585780541</v>
      </c>
    </row>
    <row r="1171" spans="7:20" ht="14.4" x14ac:dyDescent="0.25">
      <c r="G1171" s="10">
        <v>3590</v>
      </c>
      <c r="H1171" s="9">
        <v>25633</v>
      </c>
      <c r="I1171" s="14">
        <f>DATE(2012,12,31)-518</f>
        <v>40756</v>
      </c>
      <c r="J1171" s="15" t="s">
        <v>25</v>
      </c>
      <c r="K1171" s="9">
        <v>36</v>
      </c>
      <c r="L1171" s="16" t="s">
        <v>29</v>
      </c>
      <c r="M1171" s="16">
        <f t="shared" si="111"/>
        <v>0.72017367004973787</v>
      </c>
      <c r="N1171">
        <f t="shared" si="112"/>
        <v>0</v>
      </c>
      <c r="O1171">
        <f t="shared" si="113"/>
        <v>0</v>
      </c>
      <c r="P1171">
        <f t="shared" si="110"/>
        <v>5200</v>
      </c>
      <c r="Q1171">
        <f t="shared" si="114"/>
        <v>5200</v>
      </c>
      <c r="T1171" s="16">
        <f t="shared" si="115"/>
        <v>0.72017367004973754</v>
      </c>
    </row>
    <row r="1172" spans="7:20" ht="14.4" x14ac:dyDescent="0.25">
      <c r="G1172" s="10">
        <v>3593</v>
      </c>
      <c r="H1172" s="9">
        <v>25635</v>
      </c>
      <c r="I1172" s="14">
        <f>DATE(2012,12,31)-216</f>
        <v>41058</v>
      </c>
      <c r="J1172" s="15" t="s">
        <v>30</v>
      </c>
      <c r="K1172" s="9">
        <v>14</v>
      </c>
      <c r="L1172" s="16" t="s">
        <v>26</v>
      </c>
      <c r="M1172" s="16">
        <f t="shared" si="111"/>
        <v>-0.79914141557313367</v>
      </c>
      <c r="N1172">
        <f t="shared" si="112"/>
        <v>0</v>
      </c>
      <c r="O1172">
        <f t="shared" si="113"/>
        <v>0</v>
      </c>
      <c r="P1172">
        <f t="shared" si="110"/>
        <v>4100</v>
      </c>
      <c r="Q1172">
        <f t="shared" si="114"/>
        <v>4100</v>
      </c>
      <c r="T1172" s="16">
        <f t="shared" si="115"/>
        <v>-0.79914141557313401</v>
      </c>
    </row>
    <row r="1173" spans="7:20" ht="14.4" x14ac:dyDescent="0.25">
      <c r="G1173" s="10">
        <v>3594</v>
      </c>
      <c r="H1173" s="9">
        <v>25635</v>
      </c>
      <c r="I1173" s="14">
        <f>DATE(2012,12,31)-216</f>
        <v>41058</v>
      </c>
      <c r="J1173" s="15" t="s">
        <v>30</v>
      </c>
      <c r="K1173" s="9">
        <v>22</v>
      </c>
      <c r="L1173" s="16" t="s">
        <v>29</v>
      </c>
      <c r="M1173" s="16">
        <f t="shared" si="111"/>
        <v>-0.24666320261936217</v>
      </c>
      <c r="N1173">
        <f t="shared" si="112"/>
        <v>0</v>
      </c>
      <c r="O1173">
        <f t="shared" si="113"/>
        <v>0</v>
      </c>
      <c r="P1173">
        <f t="shared" si="110"/>
        <v>4500</v>
      </c>
      <c r="Q1173">
        <f t="shared" si="114"/>
        <v>4500</v>
      </c>
      <c r="T1173" s="16">
        <f t="shared" si="115"/>
        <v>-0.24666320261936256</v>
      </c>
    </row>
    <row r="1174" spans="7:20" ht="14.4" x14ac:dyDescent="0.25">
      <c r="G1174" s="10">
        <v>3618</v>
      </c>
      <c r="H1174" s="9">
        <v>25830</v>
      </c>
      <c r="I1174" s="14">
        <f>DATE(2012,12,31)-970</f>
        <v>40304</v>
      </c>
      <c r="J1174" s="15" t="s">
        <v>25</v>
      </c>
      <c r="K1174" s="9">
        <v>5</v>
      </c>
      <c r="L1174" s="16" t="s">
        <v>26</v>
      </c>
      <c r="M1174" s="16">
        <f t="shared" si="111"/>
        <v>-1.4206794051461267</v>
      </c>
      <c r="N1174">
        <f t="shared" si="112"/>
        <v>0</v>
      </c>
      <c r="O1174">
        <f t="shared" si="113"/>
        <v>0</v>
      </c>
      <c r="P1174">
        <f t="shared" si="110"/>
        <v>3650</v>
      </c>
      <c r="Q1174">
        <f t="shared" si="114"/>
        <v>3650</v>
      </c>
      <c r="T1174" s="16">
        <f t="shared" si="115"/>
        <v>-1.4206794051461269</v>
      </c>
    </row>
    <row r="1175" spans="7:20" ht="14.4" x14ac:dyDescent="0.25">
      <c r="G1175" s="10">
        <v>3619</v>
      </c>
      <c r="H1175" s="9">
        <v>25830</v>
      </c>
      <c r="I1175" s="14">
        <f>DATE(2012,12,31)-970</f>
        <v>40304</v>
      </c>
      <c r="J1175" s="15" t="s">
        <v>25</v>
      </c>
      <c r="K1175" s="9">
        <v>11</v>
      </c>
      <c r="L1175" s="16" t="s">
        <v>26</v>
      </c>
      <c r="M1175" s="16">
        <f t="shared" si="111"/>
        <v>-1.0063207454307979</v>
      </c>
      <c r="N1175">
        <f t="shared" si="112"/>
        <v>0</v>
      </c>
      <c r="O1175">
        <f t="shared" si="113"/>
        <v>0</v>
      </c>
      <c r="P1175">
        <f t="shared" si="110"/>
        <v>3950</v>
      </c>
      <c r="Q1175">
        <f t="shared" si="114"/>
        <v>3950</v>
      </c>
      <c r="T1175" s="16">
        <f t="shared" si="115"/>
        <v>-1.0063207454307983</v>
      </c>
    </row>
    <row r="1176" spans="7:20" ht="14.4" x14ac:dyDescent="0.25">
      <c r="G1176" s="10">
        <v>3684</v>
      </c>
      <c r="H1176" s="9">
        <v>26342</v>
      </c>
      <c r="I1176" s="14">
        <f>DATE(2012,12,31)-1170</f>
        <v>40104</v>
      </c>
      <c r="J1176" s="15" t="s">
        <v>25</v>
      </c>
      <c r="K1176" s="9">
        <v>24</v>
      </c>
      <c r="L1176" s="16" t="s">
        <v>26</v>
      </c>
      <c r="M1176" s="16">
        <f t="shared" si="111"/>
        <v>-0.1085436493809193</v>
      </c>
      <c r="N1176">
        <f t="shared" si="112"/>
        <v>0</v>
      </c>
      <c r="O1176">
        <f t="shared" si="113"/>
        <v>0</v>
      </c>
      <c r="P1176">
        <f t="shared" si="110"/>
        <v>4600</v>
      </c>
      <c r="Q1176">
        <f t="shared" si="114"/>
        <v>4600</v>
      </c>
      <c r="T1176" s="16">
        <f t="shared" si="115"/>
        <v>-0.10854364938091969</v>
      </c>
    </row>
    <row r="1177" spans="7:20" ht="14.4" x14ac:dyDescent="0.25">
      <c r="G1177" s="10">
        <v>3685</v>
      </c>
      <c r="H1177" s="9">
        <v>26342</v>
      </c>
      <c r="I1177" s="14">
        <f>DATE(2012,12,31)-1170</f>
        <v>40104</v>
      </c>
      <c r="J1177" s="15" t="s">
        <v>25</v>
      </c>
      <c r="K1177" s="9">
        <v>41</v>
      </c>
      <c r="L1177" s="16" t="s">
        <v>26</v>
      </c>
      <c r="M1177" s="16">
        <f t="shared" si="111"/>
        <v>1.0654725531458451</v>
      </c>
      <c r="N1177">
        <f t="shared" si="112"/>
        <v>0</v>
      </c>
      <c r="O1177">
        <f t="shared" si="113"/>
        <v>0</v>
      </c>
      <c r="P1177">
        <f t="shared" si="110"/>
        <v>5450</v>
      </c>
      <c r="Q1177">
        <f t="shared" si="114"/>
        <v>5450</v>
      </c>
      <c r="T1177" s="16">
        <f t="shared" si="115"/>
        <v>1.0654725531458447</v>
      </c>
    </row>
    <row r="1178" spans="7:20" ht="14.4" x14ac:dyDescent="0.25">
      <c r="G1178" s="10">
        <v>3686</v>
      </c>
      <c r="H1178" s="9">
        <v>26342</v>
      </c>
      <c r="I1178" s="14">
        <f>DATE(2012,12,31)-1170</f>
        <v>40104</v>
      </c>
      <c r="J1178" s="15" t="s">
        <v>25</v>
      </c>
      <c r="K1178" s="9">
        <v>3</v>
      </c>
      <c r="L1178" s="16" t="s">
        <v>26</v>
      </c>
      <c r="M1178" s="16">
        <f t="shared" si="111"/>
        <v>-1.5587989583845694</v>
      </c>
      <c r="N1178">
        <f t="shared" si="112"/>
        <v>0</v>
      </c>
      <c r="O1178">
        <f t="shared" si="113"/>
        <v>0</v>
      </c>
      <c r="P1178">
        <f t="shared" si="110"/>
        <v>3550</v>
      </c>
      <c r="Q1178">
        <f t="shared" si="114"/>
        <v>3550</v>
      </c>
      <c r="T1178" s="16">
        <f t="shared" si="115"/>
        <v>-1.5587989583845698</v>
      </c>
    </row>
    <row r="1179" spans="7:20" ht="14.4" x14ac:dyDescent="0.25">
      <c r="G1179" s="10">
        <v>3687</v>
      </c>
      <c r="H1179" s="9">
        <v>26368</v>
      </c>
      <c r="I1179" s="14">
        <f>DATE(2012,12,31)-900</f>
        <v>40374</v>
      </c>
      <c r="J1179" s="15" t="s">
        <v>16</v>
      </c>
      <c r="K1179" s="9">
        <v>25</v>
      </c>
      <c r="L1179" s="16" t="s">
        <v>27</v>
      </c>
      <c r="M1179" s="16">
        <f t="shared" si="111"/>
        <v>-3.9483872761697868E-2</v>
      </c>
      <c r="N1179">
        <f t="shared" si="112"/>
        <v>0</v>
      </c>
      <c r="O1179">
        <f t="shared" si="113"/>
        <v>0</v>
      </c>
      <c r="P1179">
        <f t="shared" si="110"/>
        <v>4650</v>
      </c>
      <c r="Q1179">
        <f t="shared" si="114"/>
        <v>4650</v>
      </c>
      <c r="T1179" s="16">
        <f t="shared" si="115"/>
        <v>-3.9483872761698249E-2</v>
      </c>
    </row>
    <row r="1180" spans="7:20" ht="14.4" x14ac:dyDescent="0.25">
      <c r="G1180" s="10">
        <v>3690</v>
      </c>
      <c r="H1180" s="9">
        <v>26372</v>
      </c>
      <c r="I1180" s="14">
        <f>DATE(2012,12,31)-1268</f>
        <v>40006</v>
      </c>
      <c r="J1180" s="15" t="s">
        <v>25</v>
      </c>
      <c r="K1180" s="9">
        <v>1</v>
      </c>
      <c r="L1180" s="16" t="s">
        <v>27</v>
      </c>
      <c r="M1180" s="16">
        <f t="shared" si="111"/>
        <v>-1.6969185116230123</v>
      </c>
      <c r="N1180">
        <f t="shared" si="112"/>
        <v>0</v>
      </c>
      <c r="O1180">
        <f t="shared" si="113"/>
        <v>0</v>
      </c>
      <c r="P1180">
        <f t="shared" si="110"/>
        <v>3450</v>
      </c>
      <c r="Q1180">
        <f t="shared" si="114"/>
        <v>3450</v>
      </c>
      <c r="T1180" s="16">
        <f t="shared" si="115"/>
        <v>-1.6969185116230128</v>
      </c>
    </row>
    <row r="1181" spans="7:20" ht="14.4" x14ac:dyDescent="0.25">
      <c r="G1181" s="10">
        <v>3743</v>
      </c>
      <c r="H1181" s="9">
        <v>26756</v>
      </c>
      <c r="I1181" s="14">
        <f>DATE(2012,12,31)-235</f>
        <v>41039</v>
      </c>
      <c r="J1181" s="15" t="s">
        <v>16</v>
      </c>
      <c r="K1181" s="9">
        <v>25</v>
      </c>
      <c r="L1181" s="16" t="s">
        <v>27</v>
      </c>
      <c r="M1181" s="16">
        <f t="shared" si="111"/>
        <v>-3.9483872761697868E-2</v>
      </c>
      <c r="N1181">
        <f t="shared" si="112"/>
        <v>0</v>
      </c>
      <c r="O1181">
        <f t="shared" si="113"/>
        <v>0</v>
      </c>
      <c r="P1181">
        <f t="shared" si="110"/>
        <v>4650</v>
      </c>
      <c r="Q1181">
        <f t="shared" si="114"/>
        <v>4650</v>
      </c>
      <c r="T1181" s="16">
        <f t="shared" si="115"/>
        <v>-3.9483872761698249E-2</v>
      </c>
    </row>
    <row r="1182" spans="7:20" ht="14.4" x14ac:dyDescent="0.25">
      <c r="G1182" s="10">
        <v>3744</v>
      </c>
      <c r="H1182" s="9">
        <v>26756</v>
      </c>
      <c r="I1182" s="14">
        <f>DATE(2012,12,31)-235</f>
        <v>41039</v>
      </c>
      <c r="J1182" s="15" t="s">
        <v>16</v>
      </c>
      <c r="K1182" s="9">
        <v>40</v>
      </c>
      <c r="L1182" s="16" t="s">
        <v>26</v>
      </c>
      <c r="M1182" s="16">
        <f t="shared" si="111"/>
        <v>0.99641277652662363</v>
      </c>
      <c r="N1182">
        <f t="shared" si="112"/>
        <v>0</v>
      </c>
      <c r="O1182">
        <f t="shared" si="113"/>
        <v>0</v>
      </c>
      <c r="P1182">
        <f t="shared" si="110"/>
        <v>5400</v>
      </c>
      <c r="Q1182">
        <f t="shared" si="114"/>
        <v>5400</v>
      </c>
      <c r="T1182" s="16">
        <f t="shared" si="115"/>
        <v>0.9964127765266233</v>
      </c>
    </row>
    <row r="1183" spans="7:20" ht="14.4" x14ac:dyDescent="0.25">
      <c r="G1183" s="10">
        <v>3745</v>
      </c>
      <c r="H1183" s="9">
        <v>26756</v>
      </c>
      <c r="I1183" s="14">
        <f>DATE(2012,12,31)-235</f>
        <v>41039</v>
      </c>
      <c r="J1183" s="15" t="s">
        <v>16</v>
      </c>
      <c r="K1183" s="9">
        <v>20</v>
      </c>
      <c r="L1183" s="16" t="s">
        <v>26</v>
      </c>
      <c r="M1183" s="16">
        <f t="shared" si="111"/>
        <v>-0.38478275585780503</v>
      </c>
      <c r="N1183">
        <f t="shared" si="112"/>
        <v>0</v>
      </c>
      <c r="O1183">
        <f t="shared" si="113"/>
        <v>0</v>
      </c>
      <c r="P1183">
        <f t="shared" si="110"/>
        <v>4400</v>
      </c>
      <c r="Q1183">
        <f t="shared" si="114"/>
        <v>4400</v>
      </c>
      <c r="T1183" s="16">
        <f t="shared" si="115"/>
        <v>-0.38478275585780541</v>
      </c>
    </row>
    <row r="1184" spans="7:20" ht="14.4" x14ac:dyDescent="0.25">
      <c r="G1184" s="10">
        <v>3757</v>
      </c>
      <c r="H1184" s="9">
        <v>26851</v>
      </c>
      <c r="I1184" s="14">
        <f>DATE(2012,12,31)-526</f>
        <v>40748</v>
      </c>
      <c r="J1184" s="15" t="s">
        <v>17</v>
      </c>
      <c r="K1184" s="9">
        <v>44</v>
      </c>
      <c r="L1184" s="16" t="s">
        <v>27</v>
      </c>
      <c r="M1184" s="16">
        <f t="shared" si="111"/>
        <v>1.2726518830035094</v>
      </c>
      <c r="N1184">
        <f t="shared" si="112"/>
        <v>0</v>
      </c>
      <c r="O1184">
        <f t="shared" si="113"/>
        <v>0</v>
      </c>
      <c r="P1184">
        <f t="shared" si="110"/>
        <v>5600</v>
      </c>
      <c r="Q1184">
        <f t="shared" si="114"/>
        <v>5600</v>
      </c>
      <c r="T1184" s="16">
        <f t="shared" si="115"/>
        <v>1.272651883003509</v>
      </c>
    </row>
    <row r="1185" spans="7:20" ht="14.4" x14ac:dyDescent="0.25">
      <c r="G1185" s="10">
        <v>3787</v>
      </c>
      <c r="H1185" s="9">
        <v>26981</v>
      </c>
      <c r="I1185" s="14">
        <f>DATE(2012,12,31)-123</f>
        <v>41151</v>
      </c>
      <c r="J1185" s="15" t="s">
        <v>16</v>
      </c>
      <c r="K1185" s="9">
        <v>13</v>
      </c>
      <c r="L1185" s="16" t="s">
        <v>27</v>
      </c>
      <c r="M1185" s="16">
        <f t="shared" si="111"/>
        <v>-0.86820119219235514</v>
      </c>
      <c r="N1185">
        <f t="shared" si="112"/>
        <v>0</v>
      </c>
      <c r="O1185">
        <f t="shared" si="113"/>
        <v>0</v>
      </c>
      <c r="P1185">
        <f t="shared" si="110"/>
        <v>4050</v>
      </c>
      <c r="Q1185">
        <f t="shared" si="114"/>
        <v>4050</v>
      </c>
      <c r="T1185" s="16">
        <f t="shared" si="115"/>
        <v>-0.86820119219235548</v>
      </c>
    </row>
    <row r="1186" spans="7:20" ht="14.4" x14ac:dyDescent="0.25">
      <c r="G1186" s="10">
        <v>3788</v>
      </c>
      <c r="H1186" s="9">
        <v>26981</v>
      </c>
      <c r="I1186" s="14">
        <f>DATE(2012,12,31)-123</f>
        <v>41151</v>
      </c>
      <c r="J1186" s="15" t="s">
        <v>16</v>
      </c>
      <c r="K1186" s="9">
        <v>44</v>
      </c>
      <c r="L1186" s="16" t="s">
        <v>26</v>
      </c>
      <c r="M1186" s="16">
        <f t="shared" si="111"/>
        <v>1.2726518830035094</v>
      </c>
      <c r="N1186">
        <f t="shared" si="112"/>
        <v>0</v>
      </c>
      <c r="O1186">
        <f t="shared" si="113"/>
        <v>0</v>
      </c>
      <c r="P1186">
        <f t="shared" si="110"/>
        <v>5600</v>
      </c>
      <c r="Q1186">
        <f t="shared" si="114"/>
        <v>5600</v>
      </c>
      <c r="T1186" s="16">
        <f t="shared" si="115"/>
        <v>1.272651883003509</v>
      </c>
    </row>
    <row r="1187" spans="7:20" ht="14.4" x14ac:dyDescent="0.25">
      <c r="G1187" s="10">
        <v>3827</v>
      </c>
      <c r="H1187" s="9">
        <v>27298</v>
      </c>
      <c r="I1187" s="14">
        <f>DATE(2012,12,31)-408</f>
        <v>40866</v>
      </c>
      <c r="J1187" s="15" t="s">
        <v>25</v>
      </c>
      <c r="K1187" s="9">
        <v>40</v>
      </c>
      <c r="L1187" s="16" t="s">
        <v>27</v>
      </c>
      <c r="M1187" s="16">
        <f t="shared" si="111"/>
        <v>0.99641277652662363</v>
      </c>
      <c r="N1187">
        <f t="shared" si="112"/>
        <v>0</v>
      </c>
      <c r="O1187">
        <f t="shared" si="113"/>
        <v>0</v>
      </c>
      <c r="P1187">
        <f t="shared" si="110"/>
        <v>5400</v>
      </c>
      <c r="Q1187">
        <f t="shared" si="114"/>
        <v>5400</v>
      </c>
      <c r="T1187" s="16">
        <f t="shared" si="115"/>
        <v>0.9964127765266233</v>
      </c>
    </row>
    <row r="1188" spans="7:20" ht="14.4" x14ac:dyDescent="0.25">
      <c r="G1188" s="10">
        <v>3828</v>
      </c>
      <c r="H1188" s="9">
        <v>27298</v>
      </c>
      <c r="I1188" s="14">
        <f>DATE(2012,12,31)-408</f>
        <v>40866</v>
      </c>
      <c r="J1188" s="15" t="s">
        <v>25</v>
      </c>
      <c r="K1188" s="9">
        <v>31</v>
      </c>
      <c r="L1188" s="16" t="s">
        <v>26</v>
      </c>
      <c r="M1188" s="16">
        <f t="shared" si="111"/>
        <v>0.37487478695363075</v>
      </c>
      <c r="N1188">
        <f t="shared" si="112"/>
        <v>0</v>
      </c>
      <c r="O1188">
        <f t="shared" si="113"/>
        <v>0</v>
      </c>
      <c r="P1188">
        <f t="shared" si="110"/>
        <v>4950</v>
      </c>
      <c r="Q1188">
        <f t="shared" si="114"/>
        <v>4950</v>
      </c>
      <c r="T1188" s="16">
        <f t="shared" si="115"/>
        <v>0.37487478695363036</v>
      </c>
    </row>
    <row r="1189" spans="7:20" ht="14.4" x14ac:dyDescent="0.25">
      <c r="G1189" s="10">
        <v>3834</v>
      </c>
      <c r="H1189" s="9">
        <v>27330</v>
      </c>
      <c r="I1189" s="14">
        <f>DATE(2012,12,31)-1202</f>
        <v>40072</v>
      </c>
      <c r="J1189" s="15" t="s">
        <v>25</v>
      </c>
      <c r="K1189" s="9">
        <v>8</v>
      </c>
      <c r="L1189" s="16" t="s">
        <v>29</v>
      </c>
      <c r="M1189" s="16">
        <f t="shared" si="111"/>
        <v>-1.2135000752884624</v>
      </c>
      <c r="N1189">
        <f t="shared" si="112"/>
        <v>0</v>
      </c>
      <c r="O1189">
        <f t="shared" si="113"/>
        <v>0</v>
      </c>
      <c r="P1189">
        <f t="shared" si="110"/>
        <v>3800</v>
      </c>
      <c r="Q1189">
        <f t="shared" si="114"/>
        <v>3800</v>
      </c>
      <c r="T1189" s="16">
        <f t="shared" si="115"/>
        <v>-1.2135000752884626</v>
      </c>
    </row>
    <row r="1190" spans="7:20" ht="14.4" x14ac:dyDescent="0.25">
      <c r="G1190" s="10">
        <v>3835</v>
      </c>
      <c r="H1190" s="9">
        <v>27330</v>
      </c>
      <c r="I1190" s="14">
        <f>DATE(2012,12,31)-1202</f>
        <v>40072</v>
      </c>
      <c r="J1190" s="15" t="s">
        <v>25</v>
      </c>
      <c r="K1190" s="9">
        <v>30</v>
      </c>
      <c r="L1190" s="16" t="s">
        <v>27</v>
      </c>
      <c r="M1190" s="16">
        <f t="shared" si="111"/>
        <v>0.30581501033440933</v>
      </c>
      <c r="N1190">
        <f t="shared" si="112"/>
        <v>0</v>
      </c>
      <c r="O1190">
        <f t="shared" si="113"/>
        <v>0</v>
      </c>
      <c r="P1190">
        <f t="shared" si="110"/>
        <v>4900</v>
      </c>
      <c r="Q1190">
        <f t="shared" si="114"/>
        <v>4900</v>
      </c>
      <c r="T1190" s="16">
        <f t="shared" si="115"/>
        <v>0.30581501033440894</v>
      </c>
    </row>
    <row r="1191" spans="7:20" ht="14.4" x14ac:dyDescent="0.25">
      <c r="G1191" s="10">
        <v>3896</v>
      </c>
      <c r="H1191" s="9">
        <v>27781</v>
      </c>
      <c r="I1191" s="14">
        <f>DATE(2012,12,31)-473</f>
        <v>40801</v>
      </c>
      <c r="J1191" s="15" t="s">
        <v>17</v>
      </c>
      <c r="K1191" s="9">
        <v>47</v>
      </c>
      <c r="L1191" s="16" t="s">
        <v>26</v>
      </c>
      <c r="M1191" s="16">
        <f t="shared" si="111"/>
        <v>1.4798312128611737</v>
      </c>
      <c r="N1191">
        <f t="shared" si="112"/>
        <v>0</v>
      </c>
      <c r="O1191">
        <f t="shared" si="113"/>
        <v>0</v>
      </c>
      <c r="P1191">
        <f t="shared" si="110"/>
        <v>5750</v>
      </c>
      <c r="Q1191">
        <f t="shared" si="114"/>
        <v>5750</v>
      </c>
      <c r="T1191" s="16">
        <f t="shared" si="115"/>
        <v>1.4798312128611733</v>
      </c>
    </row>
    <row r="1192" spans="7:20" ht="14.4" x14ac:dyDescent="0.25">
      <c r="G1192" s="10">
        <v>3956</v>
      </c>
      <c r="H1192" s="9">
        <v>28225</v>
      </c>
      <c r="I1192" s="14">
        <f>DATE(2012,12,31)-1439</f>
        <v>39835</v>
      </c>
      <c r="J1192" s="15" t="s">
        <v>30</v>
      </c>
      <c r="K1192" s="9">
        <v>9</v>
      </c>
      <c r="L1192" s="16" t="s">
        <v>29</v>
      </c>
      <c r="M1192" s="16">
        <f t="shared" si="111"/>
        <v>-1.1444402986692408</v>
      </c>
      <c r="N1192">
        <f t="shared" si="112"/>
        <v>0</v>
      </c>
      <c r="O1192">
        <f t="shared" si="113"/>
        <v>0</v>
      </c>
      <c r="P1192">
        <f t="shared" si="110"/>
        <v>3850</v>
      </c>
      <c r="Q1192">
        <f t="shared" si="114"/>
        <v>3850</v>
      </c>
      <c r="T1192" s="16">
        <f t="shared" si="115"/>
        <v>-1.1444402986692412</v>
      </c>
    </row>
    <row r="1193" spans="7:20" ht="14.4" x14ac:dyDescent="0.25">
      <c r="G1193" s="10">
        <v>3975</v>
      </c>
      <c r="H1193" s="9">
        <v>28389</v>
      </c>
      <c r="I1193" s="14">
        <f>DATE(2012,12,31)-1154</f>
        <v>40120</v>
      </c>
      <c r="J1193" s="15" t="s">
        <v>17</v>
      </c>
      <c r="K1193" s="9">
        <v>22</v>
      </c>
      <c r="L1193" s="16" t="s">
        <v>29</v>
      </c>
      <c r="M1193" s="16">
        <f t="shared" si="111"/>
        <v>-0.24666320261936217</v>
      </c>
      <c r="N1193">
        <f t="shared" si="112"/>
        <v>0</v>
      </c>
      <c r="O1193">
        <f t="shared" si="113"/>
        <v>0</v>
      </c>
      <c r="P1193">
        <f t="shared" si="110"/>
        <v>4500</v>
      </c>
      <c r="Q1193">
        <f t="shared" si="114"/>
        <v>4500</v>
      </c>
      <c r="T1193" s="16">
        <f t="shared" si="115"/>
        <v>-0.24666320261936256</v>
      </c>
    </row>
    <row r="1194" spans="7:20" ht="14.4" x14ac:dyDescent="0.25">
      <c r="G1194" s="10">
        <v>3976</v>
      </c>
      <c r="H1194" s="9">
        <v>28389</v>
      </c>
      <c r="I1194" s="14">
        <f>DATE(2012,12,31)-1154</f>
        <v>40120</v>
      </c>
      <c r="J1194" s="15" t="s">
        <v>17</v>
      </c>
      <c r="K1194" s="9">
        <v>16</v>
      </c>
      <c r="L1194" s="16" t="s">
        <v>27</v>
      </c>
      <c r="M1194" s="16">
        <f t="shared" si="111"/>
        <v>-0.66102186233469074</v>
      </c>
      <c r="N1194">
        <f t="shared" si="112"/>
        <v>0</v>
      </c>
      <c r="O1194">
        <f t="shared" si="113"/>
        <v>0</v>
      </c>
      <c r="P1194">
        <f t="shared" si="110"/>
        <v>4200</v>
      </c>
      <c r="Q1194">
        <f t="shared" si="114"/>
        <v>4200</v>
      </c>
      <c r="T1194" s="16">
        <f t="shared" si="115"/>
        <v>-0.66102186233469118</v>
      </c>
    </row>
    <row r="1195" spans="7:20" ht="14.4" x14ac:dyDescent="0.25">
      <c r="G1195" s="10">
        <v>3977</v>
      </c>
      <c r="H1195" s="9">
        <v>28389</v>
      </c>
      <c r="I1195" s="14">
        <f>DATE(2012,12,31)-1154</f>
        <v>40120</v>
      </c>
      <c r="J1195" s="15" t="s">
        <v>17</v>
      </c>
      <c r="K1195" s="9">
        <v>7</v>
      </c>
      <c r="L1195" s="16" t="s">
        <v>29</v>
      </c>
      <c r="M1195" s="16">
        <f t="shared" si="111"/>
        <v>-1.2825598519076837</v>
      </c>
      <c r="N1195">
        <f t="shared" si="112"/>
        <v>0</v>
      </c>
      <c r="O1195">
        <f t="shared" si="113"/>
        <v>0</v>
      </c>
      <c r="P1195">
        <f t="shared" si="110"/>
        <v>3750</v>
      </c>
      <c r="Q1195">
        <f t="shared" si="114"/>
        <v>3750</v>
      </c>
      <c r="T1195" s="16">
        <f t="shared" si="115"/>
        <v>-1.2825598519076842</v>
      </c>
    </row>
    <row r="1196" spans="7:20" ht="14.4" x14ac:dyDescent="0.25">
      <c r="G1196" s="10">
        <v>4054</v>
      </c>
      <c r="H1196" s="9">
        <v>28898</v>
      </c>
      <c r="I1196" s="14">
        <f>DATE(2012,12,31)-583</f>
        <v>40691</v>
      </c>
      <c r="J1196" s="15" t="s">
        <v>25</v>
      </c>
      <c r="K1196" s="9">
        <v>44</v>
      </c>
      <c r="L1196" s="16" t="s">
        <v>26</v>
      </c>
      <c r="M1196" s="16">
        <f t="shared" si="111"/>
        <v>1.2726518830035094</v>
      </c>
      <c r="N1196">
        <f t="shared" si="112"/>
        <v>0</v>
      </c>
      <c r="O1196">
        <f t="shared" si="113"/>
        <v>0</v>
      </c>
      <c r="P1196">
        <f t="shared" si="110"/>
        <v>5600</v>
      </c>
      <c r="Q1196">
        <f t="shared" si="114"/>
        <v>5600</v>
      </c>
      <c r="T1196" s="16">
        <f t="shared" si="115"/>
        <v>1.272651883003509</v>
      </c>
    </row>
    <row r="1197" spans="7:20" ht="14.4" x14ac:dyDescent="0.25">
      <c r="G1197" s="10">
        <v>4056</v>
      </c>
      <c r="H1197" s="9">
        <v>28901</v>
      </c>
      <c r="I1197" s="14">
        <f>DATE(2012,12,31)-203</f>
        <v>41071</v>
      </c>
      <c r="J1197" s="15" t="s">
        <v>17</v>
      </c>
      <c r="K1197" s="9">
        <v>23</v>
      </c>
      <c r="L1197" s="16" t="s">
        <v>26</v>
      </c>
      <c r="M1197" s="16">
        <f t="shared" si="111"/>
        <v>-0.17760342600014073</v>
      </c>
      <c r="N1197">
        <f t="shared" si="112"/>
        <v>0</v>
      </c>
      <c r="O1197">
        <f t="shared" si="113"/>
        <v>0</v>
      </c>
      <c r="P1197">
        <f t="shared" si="110"/>
        <v>4550</v>
      </c>
      <c r="Q1197">
        <f t="shared" si="114"/>
        <v>4550</v>
      </c>
      <c r="T1197" s="16">
        <f t="shared" si="115"/>
        <v>-0.17760342600014112</v>
      </c>
    </row>
    <row r="1198" spans="7:20" ht="14.4" x14ac:dyDescent="0.25">
      <c r="G1198" s="10">
        <v>4091</v>
      </c>
      <c r="H1198" s="9">
        <v>29185</v>
      </c>
      <c r="I1198" s="14">
        <f>DATE(2012,12,31)-1076</f>
        <v>40198</v>
      </c>
      <c r="J1198" s="15" t="s">
        <v>17</v>
      </c>
      <c r="K1198" s="9">
        <v>8</v>
      </c>
      <c r="L1198" s="16" t="s">
        <v>26</v>
      </c>
      <c r="M1198" s="16">
        <f t="shared" si="111"/>
        <v>-1.2135000752884624</v>
      </c>
      <c r="N1198">
        <f t="shared" si="112"/>
        <v>0</v>
      </c>
      <c r="O1198">
        <f t="shared" si="113"/>
        <v>0</v>
      </c>
      <c r="P1198">
        <f t="shared" si="110"/>
        <v>3800</v>
      </c>
      <c r="Q1198">
        <f t="shared" si="114"/>
        <v>3800</v>
      </c>
      <c r="T1198" s="16">
        <f t="shared" si="115"/>
        <v>-1.2135000752884626</v>
      </c>
    </row>
    <row r="1199" spans="7:20" ht="14.4" x14ac:dyDescent="0.25">
      <c r="G1199" s="10">
        <v>4092</v>
      </c>
      <c r="H1199" s="9">
        <v>29185</v>
      </c>
      <c r="I1199" s="14">
        <f>DATE(2012,12,31)-1076</f>
        <v>40198</v>
      </c>
      <c r="J1199" s="15" t="s">
        <v>17</v>
      </c>
      <c r="K1199" s="9">
        <v>48</v>
      </c>
      <c r="L1199" s="16" t="s">
        <v>29</v>
      </c>
      <c r="M1199" s="16">
        <f t="shared" si="111"/>
        <v>1.5488909894803951</v>
      </c>
      <c r="N1199">
        <f t="shared" si="112"/>
        <v>0</v>
      </c>
      <c r="O1199">
        <f t="shared" si="113"/>
        <v>0</v>
      </c>
      <c r="P1199">
        <f t="shared" si="110"/>
        <v>5800</v>
      </c>
      <c r="Q1199">
        <f t="shared" si="114"/>
        <v>5800</v>
      </c>
      <c r="T1199" s="16">
        <f t="shared" si="115"/>
        <v>1.5488909894803948</v>
      </c>
    </row>
    <row r="1200" spans="7:20" ht="14.4" x14ac:dyDescent="0.25">
      <c r="G1200" s="10">
        <v>4093</v>
      </c>
      <c r="H1200" s="9">
        <v>29185</v>
      </c>
      <c r="I1200" s="14">
        <f>DATE(2012,12,31)-1076</f>
        <v>40198</v>
      </c>
      <c r="J1200" s="15" t="s">
        <v>17</v>
      </c>
      <c r="K1200" s="9">
        <v>5</v>
      </c>
      <c r="L1200" s="16" t="s">
        <v>26</v>
      </c>
      <c r="M1200" s="16">
        <f t="shared" si="111"/>
        <v>-1.4206794051461267</v>
      </c>
      <c r="N1200">
        <f t="shared" si="112"/>
        <v>0</v>
      </c>
      <c r="O1200">
        <f t="shared" si="113"/>
        <v>0</v>
      </c>
      <c r="P1200">
        <f t="shared" si="110"/>
        <v>3650</v>
      </c>
      <c r="Q1200">
        <f t="shared" si="114"/>
        <v>3650</v>
      </c>
      <c r="T1200" s="16">
        <f t="shared" si="115"/>
        <v>-1.4206794051461269</v>
      </c>
    </row>
    <row r="1201" spans="7:20" ht="14.4" x14ac:dyDescent="0.25">
      <c r="G1201" s="10">
        <v>4143</v>
      </c>
      <c r="H1201" s="9">
        <v>29408</v>
      </c>
      <c r="I1201" s="14">
        <f>DATE(2012,12,31)-974</f>
        <v>40300</v>
      </c>
      <c r="J1201" s="15" t="s">
        <v>28</v>
      </c>
      <c r="K1201" s="9">
        <v>44</v>
      </c>
      <c r="L1201" s="16" t="s">
        <v>27</v>
      </c>
      <c r="M1201" s="16">
        <f t="shared" si="111"/>
        <v>1.2726518830035094</v>
      </c>
      <c r="N1201">
        <f t="shared" si="112"/>
        <v>0</v>
      </c>
      <c r="O1201">
        <f t="shared" si="113"/>
        <v>0</v>
      </c>
      <c r="P1201">
        <f t="shared" si="110"/>
        <v>5600</v>
      </c>
      <c r="Q1201">
        <f t="shared" si="114"/>
        <v>5600</v>
      </c>
      <c r="T1201" s="16">
        <f t="shared" si="115"/>
        <v>1.272651883003509</v>
      </c>
    </row>
    <row r="1202" spans="7:20" ht="14.4" x14ac:dyDescent="0.25">
      <c r="G1202" s="10">
        <v>4219</v>
      </c>
      <c r="H1202" s="9">
        <v>29985</v>
      </c>
      <c r="I1202" s="14">
        <f>DATE(2012,12,31)-173</f>
        <v>41101</v>
      </c>
      <c r="J1202" s="15" t="s">
        <v>30</v>
      </c>
      <c r="K1202" s="9">
        <v>22</v>
      </c>
      <c r="L1202" s="16" t="s">
        <v>29</v>
      </c>
      <c r="M1202" s="16">
        <f t="shared" si="111"/>
        <v>-0.24666320261936217</v>
      </c>
      <c r="N1202">
        <f t="shared" si="112"/>
        <v>0</v>
      </c>
      <c r="O1202">
        <f t="shared" si="113"/>
        <v>0</v>
      </c>
      <c r="P1202">
        <f t="shared" si="110"/>
        <v>4500</v>
      </c>
      <c r="Q1202">
        <f t="shared" si="114"/>
        <v>4500</v>
      </c>
      <c r="T1202" s="16">
        <f t="shared" si="115"/>
        <v>-0.24666320261936256</v>
      </c>
    </row>
    <row r="1203" spans="7:20" ht="14.4" x14ac:dyDescent="0.25">
      <c r="G1203" s="10">
        <v>4220</v>
      </c>
      <c r="H1203" s="9">
        <v>29986</v>
      </c>
      <c r="I1203" s="14">
        <f>DATE(2012,12,31)-547</f>
        <v>40727</v>
      </c>
      <c r="J1203" s="15" t="s">
        <v>30</v>
      </c>
      <c r="K1203" s="9">
        <v>40</v>
      </c>
      <c r="L1203" s="16" t="s">
        <v>26</v>
      </c>
      <c r="M1203" s="16">
        <f t="shared" si="111"/>
        <v>0.99641277652662363</v>
      </c>
      <c r="N1203">
        <f t="shared" si="112"/>
        <v>0</v>
      </c>
      <c r="O1203">
        <f t="shared" si="113"/>
        <v>0</v>
      </c>
      <c r="P1203">
        <f t="shared" si="110"/>
        <v>5400</v>
      </c>
      <c r="Q1203">
        <f t="shared" si="114"/>
        <v>5400</v>
      </c>
      <c r="T1203" s="16">
        <f t="shared" si="115"/>
        <v>0.9964127765266233</v>
      </c>
    </row>
    <row r="1204" spans="7:20" ht="14.4" x14ac:dyDescent="0.25">
      <c r="G1204" s="10">
        <v>4237</v>
      </c>
      <c r="H1204" s="9">
        <v>30147</v>
      </c>
      <c r="I1204" s="14">
        <f>DATE(2012,12,31)-197</f>
        <v>41077</v>
      </c>
      <c r="J1204" s="15" t="s">
        <v>28</v>
      </c>
      <c r="K1204" s="9">
        <v>37</v>
      </c>
      <c r="L1204" s="16" t="s">
        <v>29</v>
      </c>
      <c r="M1204" s="16">
        <f t="shared" si="111"/>
        <v>0.78923344666895934</v>
      </c>
      <c r="N1204">
        <f t="shared" si="112"/>
        <v>0</v>
      </c>
      <c r="O1204">
        <f t="shared" si="113"/>
        <v>0</v>
      </c>
      <c r="P1204">
        <f t="shared" si="110"/>
        <v>5250</v>
      </c>
      <c r="Q1204">
        <f t="shared" si="114"/>
        <v>5250</v>
      </c>
      <c r="T1204" s="16">
        <f t="shared" si="115"/>
        <v>0.789233446668959</v>
      </c>
    </row>
    <row r="1205" spans="7:20" ht="14.4" x14ac:dyDescent="0.25">
      <c r="G1205" s="10">
        <v>4238</v>
      </c>
      <c r="H1205" s="9">
        <v>30149</v>
      </c>
      <c r="I1205" s="14">
        <f>DATE(2012,12,31)-750</f>
        <v>40524</v>
      </c>
      <c r="J1205" s="15" t="s">
        <v>16</v>
      </c>
      <c r="K1205" s="9">
        <v>8</v>
      </c>
      <c r="L1205" s="16" t="s">
        <v>26</v>
      </c>
      <c r="M1205" s="16">
        <f t="shared" si="111"/>
        <v>-1.2135000752884624</v>
      </c>
      <c r="N1205">
        <f t="shared" si="112"/>
        <v>0</v>
      </c>
      <c r="O1205">
        <f t="shared" si="113"/>
        <v>0</v>
      </c>
      <c r="P1205">
        <f t="shared" si="110"/>
        <v>3800</v>
      </c>
      <c r="Q1205">
        <f t="shared" si="114"/>
        <v>3800</v>
      </c>
      <c r="T1205" s="16">
        <f t="shared" si="115"/>
        <v>-1.2135000752884626</v>
      </c>
    </row>
    <row r="1206" spans="7:20" ht="14.4" x14ac:dyDescent="0.25">
      <c r="G1206" s="10">
        <v>4239</v>
      </c>
      <c r="H1206" s="9">
        <v>30149</v>
      </c>
      <c r="I1206" s="14">
        <f>DATE(2012,12,31)-750</f>
        <v>40524</v>
      </c>
      <c r="J1206" s="15" t="s">
        <v>16</v>
      </c>
      <c r="K1206" s="9">
        <v>5</v>
      </c>
      <c r="L1206" s="16" t="s">
        <v>29</v>
      </c>
      <c r="M1206" s="16">
        <f t="shared" si="111"/>
        <v>-1.4206794051461267</v>
      </c>
      <c r="N1206">
        <f t="shared" si="112"/>
        <v>0</v>
      </c>
      <c r="O1206">
        <f t="shared" si="113"/>
        <v>0</v>
      </c>
      <c r="P1206">
        <f t="shared" si="110"/>
        <v>3650</v>
      </c>
      <c r="Q1206">
        <f t="shared" si="114"/>
        <v>3650</v>
      </c>
      <c r="T1206" s="16">
        <f t="shared" si="115"/>
        <v>-1.4206794051461269</v>
      </c>
    </row>
    <row r="1207" spans="7:20" ht="14.4" x14ac:dyDescent="0.25">
      <c r="G1207" s="10">
        <v>4240</v>
      </c>
      <c r="H1207" s="9">
        <v>30149</v>
      </c>
      <c r="I1207" s="14">
        <f>DATE(2012,12,31)-750</f>
        <v>40524</v>
      </c>
      <c r="J1207" s="15" t="s">
        <v>16</v>
      </c>
      <c r="K1207" s="9">
        <v>50</v>
      </c>
      <c r="L1207" s="16" t="s">
        <v>29</v>
      </c>
      <c r="M1207" s="16">
        <f t="shared" si="111"/>
        <v>1.687010542718838</v>
      </c>
      <c r="N1207">
        <f t="shared" si="112"/>
        <v>0</v>
      </c>
      <c r="O1207">
        <f t="shared" si="113"/>
        <v>0</v>
      </c>
      <c r="P1207">
        <f t="shared" si="110"/>
        <v>5900</v>
      </c>
      <c r="Q1207">
        <f t="shared" si="114"/>
        <v>5900</v>
      </c>
      <c r="T1207" s="16">
        <f t="shared" si="115"/>
        <v>1.6870105427188375</v>
      </c>
    </row>
    <row r="1208" spans="7:20" ht="14.4" x14ac:dyDescent="0.25">
      <c r="G1208" s="10">
        <v>4257</v>
      </c>
      <c r="H1208" s="9">
        <v>30310</v>
      </c>
      <c r="I1208" s="14">
        <f>DATE(2012,12,31)-249</f>
        <v>41025</v>
      </c>
      <c r="J1208" s="15" t="s">
        <v>16</v>
      </c>
      <c r="K1208" s="9">
        <v>21</v>
      </c>
      <c r="L1208" s="16" t="s">
        <v>27</v>
      </c>
      <c r="M1208" s="16">
        <f t="shared" si="111"/>
        <v>-0.31572297923858361</v>
      </c>
      <c r="N1208">
        <f t="shared" si="112"/>
        <v>0</v>
      </c>
      <c r="O1208">
        <f t="shared" si="113"/>
        <v>0</v>
      </c>
      <c r="P1208">
        <f t="shared" si="110"/>
        <v>4450</v>
      </c>
      <c r="Q1208">
        <f t="shared" si="114"/>
        <v>4450</v>
      </c>
      <c r="T1208" s="16">
        <f t="shared" si="115"/>
        <v>-0.315722979238584</v>
      </c>
    </row>
    <row r="1209" spans="7:20" ht="14.4" x14ac:dyDescent="0.25">
      <c r="G1209" s="10">
        <v>4407</v>
      </c>
      <c r="H1209" s="9">
        <v>31426</v>
      </c>
      <c r="I1209" s="14">
        <f>DATE(2012,12,31)-1244</f>
        <v>40030</v>
      </c>
      <c r="J1209" s="15" t="s">
        <v>25</v>
      </c>
      <c r="K1209" s="9">
        <v>40</v>
      </c>
      <c r="L1209" s="16" t="s">
        <v>27</v>
      </c>
      <c r="M1209" s="16">
        <f t="shared" si="111"/>
        <v>0.99641277652662363</v>
      </c>
      <c r="N1209">
        <f t="shared" si="112"/>
        <v>0</v>
      </c>
      <c r="O1209">
        <f t="shared" si="113"/>
        <v>0</v>
      </c>
      <c r="P1209">
        <f t="shared" si="110"/>
        <v>5400</v>
      </c>
      <c r="Q1209">
        <f t="shared" si="114"/>
        <v>5400</v>
      </c>
      <c r="T1209" s="16">
        <f t="shared" si="115"/>
        <v>0.9964127765266233</v>
      </c>
    </row>
    <row r="1210" spans="7:20" ht="14.4" x14ac:dyDescent="0.25">
      <c r="G1210" s="10">
        <v>4471</v>
      </c>
      <c r="H1210" s="9">
        <v>31872</v>
      </c>
      <c r="I1210" s="14">
        <f>DATE(2012,12,31)-847</f>
        <v>40427</v>
      </c>
      <c r="J1210" s="15" t="s">
        <v>25</v>
      </c>
      <c r="K1210" s="9">
        <v>34</v>
      </c>
      <c r="L1210" s="16" t="s">
        <v>26</v>
      </c>
      <c r="M1210" s="16">
        <f t="shared" si="111"/>
        <v>0.58205411681129504</v>
      </c>
      <c r="N1210">
        <f t="shared" si="112"/>
        <v>0</v>
      </c>
      <c r="O1210">
        <f t="shared" si="113"/>
        <v>0</v>
      </c>
      <c r="P1210">
        <f t="shared" si="110"/>
        <v>5100</v>
      </c>
      <c r="Q1210">
        <f t="shared" si="114"/>
        <v>5100</v>
      </c>
      <c r="T1210" s="16">
        <f t="shared" si="115"/>
        <v>0.58205411681129471</v>
      </c>
    </row>
    <row r="1211" spans="7:20" ht="14.4" x14ac:dyDescent="0.25">
      <c r="G1211" s="10">
        <v>4472</v>
      </c>
      <c r="H1211" s="9">
        <v>31872</v>
      </c>
      <c r="I1211" s="14">
        <f>DATE(2012,12,31)-847</f>
        <v>40427</v>
      </c>
      <c r="J1211" s="15" t="s">
        <v>25</v>
      </c>
      <c r="K1211" s="9">
        <v>30</v>
      </c>
      <c r="L1211" s="16" t="s">
        <v>29</v>
      </c>
      <c r="M1211" s="16">
        <f t="shared" si="111"/>
        <v>0.30581501033440933</v>
      </c>
      <c r="N1211">
        <f t="shared" si="112"/>
        <v>0</v>
      </c>
      <c r="O1211">
        <f t="shared" si="113"/>
        <v>0</v>
      </c>
      <c r="P1211">
        <f t="shared" si="110"/>
        <v>4900</v>
      </c>
      <c r="Q1211">
        <f t="shared" si="114"/>
        <v>4900</v>
      </c>
      <c r="T1211" s="16">
        <f t="shared" si="115"/>
        <v>0.30581501033440894</v>
      </c>
    </row>
    <row r="1212" spans="7:20" ht="14.4" x14ac:dyDescent="0.25">
      <c r="G1212" s="10">
        <v>4477</v>
      </c>
      <c r="H1212" s="9">
        <v>31874</v>
      </c>
      <c r="I1212" s="14">
        <f>DATE(2012,12,31)-107</f>
        <v>41167</v>
      </c>
      <c r="J1212" s="15" t="s">
        <v>17</v>
      </c>
      <c r="K1212" s="9">
        <v>29</v>
      </c>
      <c r="L1212" s="16" t="s">
        <v>26</v>
      </c>
      <c r="M1212" s="16">
        <f t="shared" si="111"/>
        <v>0.23675523371518786</v>
      </c>
      <c r="N1212">
        <f t="shared" si="112"/>
        <v>0</v>
      </c>
      <c r="O1212">
        <f t="shared" si="113"/>
        <v>0</v>
      </c>
      <c r="P1212">
        <f t="shared" si="110"/>
        <v>4850</v>
      </c>
      <c r="Q1212">
        <f t="shared" si="114"/>
        <v>4850</v>
      </c>
      <c r="T1212" s="16">
        <f t="shared" si="115"/>
        <v>0.2367552337151875</v>
      </c>
    </row>
    <row r="1213" spans="7:20" ht="14.4" x14ac:dyDescent="0.25">
      <c r="G1213" s="10">
        <v>4478</v>
      </c>
      <c r="H1213" s="9">
        <v>31874</v>
      </c>
      <c r="I1213" s="14">
        <f>DATE(2012,12,31)-107</f>
        <v>41167</v>
      </c>
      <c r="J1213" s="15" t="s">
        <v>17</v>
      </c>
      <c r="K1213" s="9">
        <v>39</v>
      </c>
      <c r="L1213" s="16" t="s">
        <v>29</v>
      </c>
      <c r="M1213" s="16">
        <f t="shared" si="111"/>
        <v>0.92735299990740228</v>
      </c>
      <c r="N1213">
        <f t="shared" si="112"/>
        <v>0</v>
      </c>
      <c r="O1213">
        <f t="shared" si="113"/>
        <v>0</v>
      </c>
      <c r="P1213">
        <f t="shared" si="110"/>
        <v>5350</v>
      </c>
      <c r="Q1213">
        <f t="shared" si="114"/>
        <v>5350</v>
      </c>
      <c r="T1213" s="16">
        <f t="shared" si="115"/>
        <v>0.92735299990740183</v>
      </c>
    </row>
    <row r="1214" spans="7:20" ht="14.4" x14ac:dyDescent="0.25">
      <c r="G1214" s="10">
        <v>4485</v>
      </c>
      <c r="H1214" s="9">
        <v>31938</v>
      </c>
      <c r="I1214" s="14">
        <f>DATE(2012,12,31)-523</f>
        <v>40751</v>
      </c>
      <c r="J1214" s="15" t="s">
        <v>16</v>
      </c>
      <c r="K1214" s="9">
        <v>13</v>
      </c>
      <c r="L1214" s="16" t="s">
        <v>29</v>
      </c>
      <c r="M1214" s="16">
        <f t="shared" si="111"/>
        <v>-0.86820119219235514</v>
      </c>
      <c r="N1214">
        <f t="shared" si="112"/>
        <v>0</v>
      </c>
      <c r="O1214">
        <f t="shared" si="113"/>
        <v>0</v>
      </c>
      <c r="P1214">
        <f t="shared" si="110"/>
        <v>4050</v>
      </c>
      <c r="Q1214">
        <f t="shared" si="114"/>
        <v>4050</v>
      </c>
      <c r="T1214" s="16">
        <f t="shared" si="115"/>
        <v>-0.86820119219235548</v>
      </c>
    </row>
    <row r="1215" spans="7:20" ht="14.4" x14ac:dyDescent="0.25">
      <c r="G1215" s="10">
        <v>4486</v>
      </c>
      <c r="H1215" s="9">
        <v>31938</v>
      </c>
      <c r="I1215" s="14">
        <f>DATE(2012,12,31)-523</f>
        <v>40751</v>
      </c>
      <c r="J1215" s="15" t="s">
        <v>16</v>
      </c>
      <c r="K1215" s="9">
        <v>47</v>
      </c>
      <c r="L1215" s="16" t="s">
        <v>29</v>
      </c>
      <c r="M1215" s="16">
        <f t="shared" si="111"/>
        <v>1.4798312128611737</v>
      </c>
      <c r="N1215">
        <f t="shared" si="112"/>
        <v>0</v>
      </c>
      <c r="O1215">
        <f t="shared" si="113"/>
        <v>0</v>
      </c>
      <c r="P1215">
        <f t="shared" si="110"/>
        <v>5750</v>
      </c>
      <c r="Q1215">
        <f t="shared" si="114"/>
        <v>5750</v>
      </c>
      <c r="T1215" s="16">
        <f t="shared" si="115"/>
        <v>1.4798312128611733</v>
      </c>
    </row>
    <row r="1216" spans="7:20" ht="14.4" x14ac:dyDescent="0.25">
      <c r="G1216" s="10">
        <v>4576</v>
      </c>
      <c r="H1216" s="9">
        <v>32582</v>
      </c>
      <c r="I1216" s="14">
        <f>DATE(2012,12,31)-1285</f>
        <v>39989</v>
      </c>
      <c r="J1216" s="15" t="s">
        <v>28</v>
      </c>
      <c r="K1216" s="9">
        <v>27</v>
      </c>
      <c r="L1216" s="16" t="s">
        <v>29</v>
      </c>
      <c r="M1216" s="16">
        <f t="shared" si="111"/>
        <v>9.8635680476745008E-2</v>
      </c>
      <c r="N1216">
        <f t="shared" si="112"/>
        <v>0</v>
      </c>
      <c r="O1216">
        <f t="shared" si="113"/>
        <v>0</v>
      </c>
      <c r="P1216">
        <f t="shared" si="110"/>
        <v>4750</v>
      </c>
      <c r="Q1216">
        <f t="shared" si="114"/>
        <v>4750</v>
      </c>
      <c r="T1216" s="16">
        <f t="shared" si="115"/>
        <v>9.8635680476744619E-2</v>
      </c>
    </row>
    <row r="1217" spans="7:20" ht="14.4" x14ac:dyDescent="0.25">
      <c r="G1217" s="10">
        <v>4580</v>
      </c>
      <c r="H1217" s="9">
        <v>32611</v>
      </c>
      <c r="I1217" s="14">
        <f>DATE(2012,12,31)-1222</f>
        <v>40052</v>
      </c>
      <c r="J1217" s="15" t="s">
        <v>16</v>
      </c>
      <c r="K1217" s="9">
        <v>16</v>
      </c>
      <c r="L1217" s="16" t="s">
        <v>26</v>
      </c>
      <c r="M1217" s="16">
        <f t="shared" si="111"/>
        <v>-0.66102186233469074</v>
      </c>
      <c r="N1217">
        <f t="shared" si="112"/>
        <v>0</v>
      </c>
      <c r="O1217">
        <f t="shared" si="113"/>
        <v>0</v>
      </c>
      <c r="P1217">
        <f t="shared" si="110"/>
        <v>4200</v>
      </c>
      <c r="Q1217">
        <f t="shared" si="114"/>
        <v>4200</v>
      </c>
      <c r="T1217" s="16">
        <f t="shared" si="115"/>
        <v>-0.66102186233469118</v>
      </c>
    </row>
    <row r="1218" spans="7:20" ht="14.4" x14ac:dyDescent="0.25">
      <c r="G1218" s="10">
        <v>4581</v>
      </c>
      <c r="H1218" s="9">
        <v>32611</v>
      </c>
      <c r="I1218" s="14">
        <f>DATE(2012,12,31)-1222</f>
        <v>40052</v>
      </c>
      <c r="J1218" s="15" t="s">
        <v>16</v>
      </c>
      <c r="K1218" s="9">
        <v>19</v>
      </c>
      <c r="L1218" s="16" t="s">
        <v>29</v>
      </c>
      <c r="M1218" s="16">
        <f t="shared" si="111"/>
        <v>-0.45384253247702649</v>
      </c>
      <c r="N1218">
        <f t="shared" si="112"/>
        <v>0</v>
      </c>
      <c r="O1218">
        <f t="shared" si="113"/>
        <v>0</v>
      </c>
      <c r="P1218">
        <f t="shared" si="110"/>
        <v>4350</v>
      </c>
      <c r="Q1218">
        <f t="shared" si="114"/>
        <v>4350</v>
      </c>
      <c r="T1218" s="16">
        <f t="shared" si="115"/>
        <v>-0.45384253247702688</v>
      </c>
    </row>
    <row r="1219" spans="7:20" ht="14.4" x14ac:dyDescent="0.25">
      <c r="G1219" s="10">
        <v>4582</v>
      </c>
      <c r="H1219" s="9">
        <v>32611</v>
      </c>
      <c r="I1219" s="14">
        <f>DATE(2012,12,31)-1222</f>
        <v>40052</v>
      </c>
      <c r="J1219" s="15" t="s">
        <v>16</v>
      </c>
      <c r="K1219" s="9">
        <v>18</v>
      </c>
      <c r="L1219" s="16" t="s">
        <v>27</v>
      </c>
      <c r="M1219" s="16">
        <f t="shared" si="111"/>
        <v>-0.52290230909624791</v>
      </c>
      <c r="N1219">
        <f t="shared" si="112"/>
        <v>0</v>
      </c>
      <c r="O1219">
        <f t="shared" si="113"/>
        <v>0</v>
      </c>
      <c r="P1219">
        <f t="shared" si="110"/>
        <v>4300</v>
      </c>
      <c r="Q1219">
        <f t="shared" si="114"/>
        <v>4300</v>
      </c>
      <c r="T1219" s="16">
        <f t="shared" si="115"/>
        <v>-0.52290230909624835</v>
      </c>
    </row>
    <row r="1220" spans="7:20" ht="14.4" x14ac:dyDescent="0.25">
      <c r="G1220" s="10">
        <v>4583</v>
      </c>
      <c r="H1220" s="9">
        <v>32611</v>
      </c>
      <c r="I1220" s="14">
        <f>DATE(2012,12,31)-1222</f>
        <v>40052</v>
      </c>
      <c r="J1220" s="15" t="s">
        <v>16</v>
      </c>
      <c r="K1220" s="9">
        <v>15</v>
      </c>
      <c r="L1220" s="16" t="s">
        <v>26</v>
      </c>
      <c r="M1220" s="16">
        <f t="shared" si="111"/>
        <v>-0.7300816389539122</v>
      </c>
      <c r="N1220">
        <f t="shared" si="112"/>
        <v>0</v>
      </c>
      <c r="O1220">
        <f t="shared" si="113"/>
        <v>0</v>
      </c>
      <c r="P1220">
        <f t="shared" si="110"/>
        <v>4150</v>
      </c>
      <c r="Q1220">
        <f t="shared" si="114"/>
        <v>4150</v>
      </c>
      <c r="T1220" s="16">
        <f t="shared" si="115"/>
        <v>-0.73008163895391265</v>
      </c>
    </row>
    <row r="1221" spans="7:20" ht="14.4" x14ac:dyDescent="0.25">
      <c r="G1221" s="10">
        <v>4620</v>
      </c>
      <c r="H1221" s="9">
        <v>32901</v>
      </c>
      <c r="I1221" s="14">
        <f>DATE(2012,12,31)-721</f>
        <v>40553</v>
      </c>
      <c r="J1221" s="15" t="s">
        <v>30</v>
      </c>
      <c r="K1221" s="9">
        <v>13</v>
      </c>
      <c r="L1221" s="16" t="s">
        <v>26</v>
      </c>
      <c r="M1221" s="16">
        <f t="shared" si="111"/>
        <v>-0.86820119219235514</v>
      </c>
      <c r="N1221">
        <f t="shared" si="112"/>
        <v>0</v>
      </c>
      <c r="O1221">
        <f t="shared" si="113"/>
        <v>0</v>
      </c>
      <c r="P1221">
        <f t="shared" si="110"/>
        <v>4050</v>
      </c>
      <c r="Q1221">
        <f t="shared" si="114"/>
        <v>4050</v>
      </c>
      <c r="T1221" s="16">
        <f t="shared" si="115"/>
        <v>-0.86820119219235548</v>
      </c>
    </row>
    <row r="1222" spans="7:20" ht="14.4" x14ac:dyDescent="0.25">
      <c r="G1222" s="10">
        <v>4678</v>
      </c>
      <c r="H1222" s="9">
        <v>33284</v>
      </c>
      <c r="I1222" s="14">
        <f>DATE(2012,12,31)-275</f>
        <v>40999</v>
      </c>
      <c r="J1222" s="15" t="s">
        <v>25</v>
      </c>
      <c r="K1222" s="9">
        <v>21</v>
      </c>
      <c r="L1222" s="16" t="s">
        <v>29</v>
      </c>
      <c r="M1222" s="16">
        <f t="shared" si="111"/>
        <v>-0.31572297923858361</v>
      </c>
      <c r="N1222">
        <f t="shared" si="112"/>
        <v>0</v>
      </c>
      <c r="O1222">
        <f t="shared" si="113"/>
        <v>0</v>
      </c>
      <c r="P1222">
        <f t="shared" si="110"/>
        <v>4450</v>
      </c>
      <c r="Q1222">
        <f t="shared" si="114"/>
        <v>4450</v>
      </c>
      <c r="T1222" s="16">
        <f t="shared" si="115"/>
        <v>-0.315722979238584</v>
      </c>
    </row>
    <row r="1223" spans="7:20" ht="14.4" x14ac:dyDescent="0.25">
      <c r="G1223" s="10">
        <v>4680</v>
      </c>
      <c r="H1223" s="9">
        <v>33287</v>
      </c>
      <c r="I1223" s="14">
        <f>DATE(2012,12,31)-619</f>
        <v>40655</v>
      </c>
      <c r="J1223" s="15" t="s">
        <v>30</v>
      </c>
      <c r="K1223" s="9">
        <v>44</v>
      </c>
      <c r="L1223" s="16" t="s">
        <v>27</v>
      </c>
      <c r="M1223" s="16">
        <f t="shared" si="111"/>
        <v>1.2726518830035094</v>
      </c>
      <c r="N1223">
        <f t="shared" si="112"/>
        <v>0</v>
      </c>
      <c r="O1223">
        <f t="shared" si="113"/>
        <v>0</v>
      </c>
      <c r="P1223">
        <f t="shared" si="110"/>
        <v>5600</v>
      </c>
      <c r="Q1223">
        <f t="shared" si="114"/>
        <v>5600</v>
      </c>
      <c r="T1223" s="16">
        <f t="shared" si="115"/>
        <v>1.272651883003509</v>
      </c>
    </row>
    <row r="1224" spans="7:20" ht="14.4" x14ac:dyDescent="0.25">
      <c r="G1224" s="10">
        <v>4745</v>
      </c>
      <c r="H1224" s="9">
        <v>33732</v>
      </c>
      <c r="I1224" s="14">
        <f>DATE(2012,12,31)-1221</f>
        <v>40053</v>
      </c>
      <c r="J1224" s="15" t="s">
        <v>28</v>
      </c>
      <c r="K1224" s="9">
        <v>33</v>
      </c>
      <c r="L1224" s="16" t="s">
        <v>29</v>
      </c>
      <c r="M1224" s="16">
        <f t="shared" si="111"/>
        <v>0.51299434019207357</v>
      </c>
      <c r="N1224">
        <f t="shared" si="112"/>
        <v>0</v>
      </c>
      <c r="O1224">
        <f t="shared" si="113"/>
        <v>0</v>
      </c>
      <c r="P1224">
        <f t="shared" si="110"/>
        <v>5050</v>
      </c>
      <c r="Q1224">
        <f t="shared" si="114"/>
        <v>5050</v>
      </c>
      <c r="T1224" s="16">
        <f t="shared" si="115"/>
        <v>0.51299434019207324</v>
      </c>
    </row>
    <row r="1225" spans="7:20" ht="14.4" x14ac:dyDescent="0.25">
      <c r="G1225" s="10">
        <v>4843</v>
      </c>
      <c r="H1225" s="9">
        <v>34435</v>
      </c>
      <c r="I1225" s="14">
        <f>DATE(2012,12,31)-1244</f>
        <v>40030</v>
      </c>
      <c r="J1225" s="15" t="s">
        <v>25</v>
      </c>
      <c r="K1225" s="9">
        <v>42</v>
      </c>
      <c r="L1225" s="16" t="s">
        <v>26</v>
      </c>
      <c r="M1225" s="16">
        <f t="shared" si="111"/>
        <v>1.1345323297650665</v>
      </c>
      <c r="N1225">
        <f t="shared" si="112"/>
        <v>0</v>
      </c>
      <c r="O1225">
        <f t="shared" si="113"/>
        <v>0</v>
      </c>
      <c r="P1225">
        <f t="shared" si="110"/>
        <v>5500</v>
      </c>
      <c r="Q1225">
        <f t="shared" si="114"/>
        <v>5500</v>
      </c>
      <c r="T1225" s="16">
        <f t="shared" si="115"/>
        <v>1.1345323297650662</v>
      </c>
    </row>
    <row r="1226" spans="7:20" ht="14.4" x14ac:dyDescent="0.25">
      <c r="G1226" s="10">
        <v>4899</v>
      </c>
      <c r="H1226" s="9">
        <v>34852</v>
      </c>
      <c r="I1226" s="14">
        <f>DATE(2012,12,31)-117</f>
        <v>41157</v>
      </c>
      <c r="J1226" s="15" t="s">
        <v>25</v>
      </c>
      <c r="K1226" s="9">
        <v>26</v>
      </c>
      <c r="L1226" s="16" t="s">
        <v>26</v>
      </c>
      <c r="M1226" s="16">
        <f t="shared" si="111"/>
        <v>2.9575903857523567E-2</v>
      </c>
      <c r="N1226">
        <f t="shared" si="112"/>
        <v>0</v>
      </c>
      <c r="O1226">
        <f t="shared" si="113"/>
        <v>0</v>
      </c>
      <c r="P1226">
        <f t="shared" si="110"/>
        <v>4700</v>
      </c>
      <c r="Q1226">
        <f t="shared" si="114"/>
        <v>4700</v>
      </c>
      <c r="T1226" s="16">
        <f t="shared" si="115"/>
        <v>2.9575903857523185E-2</v>
      </c>
    </row>
    <row r="1227" spans="7:20" ht="14.4" x14ac:dyDescent="0.25">
      <c r="G1227" s="10">
        <v>5001</v>
      </c>
      <c r="H1227" s="9">
        <v>35649</v>
      </c>
      <c r="I1227" s="14">
        <f>DATE(2012,12,31)-449</f>
        <v>40825</v>
      </c>
      <c r="J1227" s="15" t="s">
        <v>16</v>
      </c>
      <c r="K1227" s="9">
        <v>9</v>
      </c>
      <c r="L1227" s="16" t="s">
        <v>26</v>
      </c>
      <c r="M1227" s="16">
        <f t="shared" si="111"/>
        <v>-1.1444402986692408</v>
      </c>
      <c r="N1227">
        <f t="shared" si="112"/>
        <v>0</v>
      </c>
      <c r="O1227">
        <f t="shared" si="113"/>
        <v>0</v>
      </c>
      <c r="P1227">
        <f t="shared" si="110"/>
        <v>3850</v>
      </c>
      <c r="Q1227">
        <f t="shared" si="114"/>
        <v>3850</v>
      </c>
      <c r="T1227" s="16">
        <f t="shared" si="115"/>
        <v>-1.1444402986692412</v>
      </c>
    </row>
    <row r="1228" spans="7:20" ht="14.4" x14ac:dyDescent="0.25">
      <c r="G1228" s="10">
        <v>5002</v>
      </c>
      <c r="H1228" s="9">
        <v>35649</v>
      </c>
      <c r="I1228" s="14">
        <f>DATE(2012,12,31)-449</f>
        <v>40825</v>
      </c>
      <c r="J1228" s="15" t="s">
        <v>16</v>
      </c>
      <c r="K1228" s="9">
        <v>25</v>
      </c>
      <c r="L1228" s="16" t="s">
        <v>26</v>
      </c>
      <c r="M1228" s="16">
        <f t="shared" si="111"/>
        <v>-3.9483872761697868E-2</v>
      </c>
      <c r="N1228">
        <f t="shared" si="112"/>
        <v>0</v>
      </c>
      <c r="O1228">
        <f t="shared" si="113"/>
        <v>0</v>
      </c>
      <c r="P1228">
        <f t="shared" ref="P1228:P1291" si="116">50*K1228+$P$10</f>
        <v>4650</v>
      </c>
      <c r="Q1228">
        <f t="shared" si="114"/>
        <v>4650</v>
      </c>
      <c r="T1228" s="16">
        <f t="shared" si="115"/>
        <v>-3.9483872761698249E-2</v>
      </c>
    </row>
    <row r="1229" spans="7:20" ht="14.4" x14ac:dyDescent="0.25">
      <c r="G1229" s="10">
        <v>5121</v>
      </c>
      <c r="H1229" s="9">
        <v>36480</v>
      </c>
      <c r="I1229" s="14">
        <f>DATE(2012,12,31)-862</f>
        <v>40412</v>
      </c>
      <c r="J1229" s="15" t="s">
        <v>16</v>
      </c>
      <c r="K1229" s="9">
        <v>44</v>
      </c>
      <c r="L1229" s="16" t="s">
        <v>26</v>
      </c>
      <c r="M1229" s="16">
        <f t="shared" ref="M1229:M1292" si="117">(K1229-$K$4)/$K$7</f>
        <v>1.2726518830035094</v>
      </c>
      <c r="N1229">
        <f t="shared" ref="N1229:N1292" si="118">IF(MOD($B$20+G1229,1000)=0,1,0)</f>
        <v>0</v>
      </c>
      <c r="O1229">
        <f t="shared" ref="O1229:O1292" si="119">+ROUND(N1229*(IF(K1229&lt;$K$4,-4.5,10.5)*$P$5),-2)</f>
        <v>0</v>
      </c>
      <c r="P1229">
        <f t="shared" si="116"/>
        <v>5600</v>
      </c>
      <c r="Q1229">
        <f t="shared" ref="Q1229:Q1292" si="120">P1229+O1229</f>
        <v>5600</v>
      </c>
      <c r="T1229" s="16">
        <f t="shared" ref="T1229:T1292" si="121">(Q1229-$P$4)/$P$5</f>
        <v>1.272651883003509</v>
      </c>
    </row>
    <row r="1230" spans="7:20" ht="14.4" x14ac:dyDescent="0.25">
      <c r="G1230" s="10">
        <v>5171</v>
      </c>
      <c r="H1230" s="9">
        <v>36803</v>
      </c>
      <c r="I1230" s="14">
        <f>DATE(2012,12,31)-149</f>
        <v>41125</v>
      </c>
      <c r="J1230" s="15" t="s">
        <v>28</v>
      </c>
      <c r="K1230" s="9">
        <v>42</v>
      </c>
      <c r="L1230" s="16" t="s">
        <v>26</v>
      </c>
      <c r="M1230" s="16">
        <f t="shared" si="117"/>
        <v>1.1345323297650665</v>
      </c>
      <c r="N1230">
        <f t="shared" si="118"/>
        <v>0</v>
      </c>
      <c r="O1230">
        <f t="shared" si="119"/>
        <v>0</v>
      </c>
      <c r="P1230">
        <f t="shared" si="116"/>
        <v>5500</v>
      </c>
      <c r="Q1230">
        <f t="shared" si="120"/>
        <v>5500</v>
      </c>
      <c r="T1230" s="16">
        <f t="shared" si="121"/>
        <v>1.1345323297650662</v>
      </c>
    </row>
    <row r="1231" spans="7:20" ht="14.4" x14ac:dyDescent="0.25">
      <c r="G1231" s="10">
        <v>5172</v>
      </c>
      <c r="H1231" s="9">
        <v>36803</v>
      </c>
      <c r="I1231" s="14">
        <f>DATE(2012,12,31)-149</f>
        <v>41125</v>
      </c>
      <c r="J1231" s="15" t="s">
        <v>28</v>
      </c>
      <c r="K1231" s="9">
        <v>2</v>
      </c>
      <c r="L1231" s="16" t="s">
        <v>29</v>
      </c>
      <c r="M1231" s="16">
        <f t="shared" si="117"/>
        <v>-1.627858735003791</v>
      </c>
      <c r="N1231">
        <f t="shared" si="118"/>
        <v>0</v>
      </c>
      <c r="O1231">
        <f t="shared" si="119"/>
        <v>0</v>
      </c>
      <c r="P1231">
        <f t="shared" si="116"/>
        <v>3500</v>
      </c>
      <c r="Q1231">
        <f t="shared" si="120"/>
        <v>3500</v>
      </c>
      <c r="T1231" s="16">
        <f t="shared" si="121"/>
        <v>-1.6278587350037912</v>
      </c>
    </row>
    <row r="1232" spans="7:20" ht="14.4" x14ac:dyDescent="0.25">
      <c r="G1232" s="10">
        <v>5173</v>
      </c>
      <c r="H1232" s="9">
        <v>36803</v>
      </c>
      <c r="I1232" s="14">
        <f>DATE(2012,12,31)-149</f>
        <v>41125</v>
      </c>
      <c r="J1232" s="15" t="s">
        <v>28</v>
      </c>
      <c r="K1232" s="9">
        <v>2</v>
      </c>
      <c r="L1232" s="16" t="s">
        <v>27</v>
      </c>
      <c r="M1232" s="16">
        <f t="shared" si="117"/>
        <v>-1.627858735003791</v>
      </c>
      <c r="N1232">
        <f t="shared" si="118"/>
        <v>0</v>
      </c>
      <c r="O1232">
        <f t="shared" si="119"/>
        <v>0</v>
      </c>
      <c r="P1232">
        <f t="shared" si="116"/>
        <v>3500</v>
      </c>
      <c r="Q1232">
        <f t="shared" si="120"/>
        <v>3500</v>
      </c>
      <c r="T1232" s="16">
        <f t="shared" si="121"/>
        <v>-1.6278587350037912</v>
      </c>
    </row>
    <row r="1233" spans="7:20" ht="14.4" x14ac:dyDescent="0.25">
      <c r="G1233" s="10">
        <v>5174</v>
      </c>
      <c r="H1233" s="9">
        <v>36805</v>
      </c>
      <c r="I1233" s="14">
        <f>DATE(2012,12,31)-748</f>
        <v>40526</v>
      </c>
      <c r="J1233" s="15" t="s">
        <v>16</v>
      </c>
      <c r="K1233" s="9">
        <v>7</v>
      </c>
      <c r="L1233" s="16" t="s">
        <v>29</v>
      </c>
      <c r="M1233" s="16">
        <f t="shared" si="117"/>
        <v>-1.2825598519076837</v>
      </c>
      <c r="N1233">
        <f t="shared" si="118"/>
        <v>0</v>
      </c>
      <c r="O1233">
        <f t="shared" si="119"/>
        <v>0</v>
      </c>
      <c r="P1233">
        <f t="shared" si="116"/>
        <v>3750</v>
      </c>
      <c r="Q1233">
        <f t="shared" si="120"/>
        <v>3750</v>
      </c>
      <c r="T1233" s="16">
        <f t="shared" si="121"/>
        <v>-1.2825598519076842</v>
      </c>
    </row>
    <row r="1234" spans="7:20" ht="14.4" x14ac:dyDescent="0.25">
      <c r="G1234" s="10">
        <v>5175</v>
      </c>
      <c r="H1234" s="9">
        <v>36805</v>
      </c>
      <c r="I1234" s="14">
        <f>DATE(2012,12,31)-748</f>
        <v>40526</v>
      </c>
      <c r="J1234" s="15" t="s">
        <v>16</v>
      </c>
      <c r="K1234" s="9">
        <v>28</v>
      </c>
      <c r="L1234" s="16" t="s">
        <v>27</v>
      </c>
      <c r="M1234" s="16">
        <f t="shared" si="117"/>
        <v>0.16769545709596645</v>
      </c>
      <c r="N1234">
        <f t="shared" si="118"/>
        <v>0</v>
      </c>
      <c r="O1234">
        <f t="shared" si="119"/>
        <v>0</v>
      </c>
      <c r="P1234">
        <f t="shared" si="116"/>
        <v>4800</v>
      </c>
      <c r="Q1234">
        <f t="shared" si="120"/>
        <v>4800</v>
      </c>
      <c r="T1234" s="16">
        <f t="shared" si="121"/>
        <v>0.16769545709596606</v>
      </c>
    </row>
    <row r="1235" spans="7:20" ht="14.4" x14ac:dyDescent="0.25">
      <c r="G1235" s="10">
        <v>5180</v>
      </c>
      <c r="H1235" s="9">
        <v>36834</v>
      </c>
      <c r="I1235" s="14">
        <f>DATE(2012,12,31)-1103</f>
        <v>40171</v>
      </c>
      <c r="J1235" s="15" t="s">
        <v>25</v>
      </c>
      <c r="K1235" s="9">
        <v>11</v>
      </c>
      <c r="L1235" s="16" t="s">
        <v>29</v>
      </c>
      <c r="M1235" s="16">
        <f t="shared" si="117"/>
        <v>-1.0063207454307979</v>
      </c>
      <c r="N1235">
        <f t="shared" si="118"/>
        <v>0</v>
      </c>
      <c r="O1235">
        <f t="shared" si="119"/>
        <v>0</v>
      </c>
      <c r="P1235">
        <f t="shared" si="116"/>
        <v>3950</v>
      </c>
      <c r="Q1235">
        <f t="shared" si="120"/>
        <v>3950</v>
      </c>
      <c r="T1235" s="16">
        <f t="shared" si="121"/>
        <v>-1.0063207454307983</v>
      </c>
    </row>
    <row r="1236" spans="7:20" ht="14.4" x14ac:dyDescent="0.25">
      <c r="G1236" s="10">
        <v>5255</v>
      </c>
      <c r="H1236" s="9">
        <v>37410</v>
      </c>
      <c r="I1236" s="14">
        <f>DATE(2012,12,31)-811</f>
        <v>40463</v>
      </c>
      <c r="J1236" s="15" t="s">
        <v>16</v>
      </c>
      <c r="K1236" s="9">
        <v>45</v>
      </c>
      <c r="L1236" s="16" t="s">
        <v>27</v>
      </c>
      <c r="M1236" s="16">
        <f t="shared" si="117"/>
        <v>1.3417116596227308</v>
      </c>
      <c r="N1236">
        <f t="shared" si="118"/>
        <v>0</v>
      </c>
      <c r="O1236">
        <f t="shared" si="119"/>
        <v>0</v>
      </c>
      <c r="P1236">
        <f t="shared" si="116"/>
        <v>5650</v>
      </c>
      <c r="Q1236">
        <f t="shared" si="120"/>
        <v>5650</v>
      </c>
      <c r="T1236" s="16">
        <f t="shared" si="121"/>
        <v>1.3417116596227305</v>
      </c>
    </row>
    <row r="1237" spans="7:20" ht="14.4" x14ac:dyDescent="0.25">
      <c r="G1237" s="10">
        <v>5297</v>
      </c>
      <c r="H1237" s="9">
        <v>37729</v>
      </c>
      <c r="I1237" s="14">
        <f>DATE(2012,12,31)-1446</f>
        <v>39828</v>
      </c>
      <c r="J1237" s="15" t="s">
        <v>28</v>
      </c>
      <c r="K1237" s="9">
        <v>48</v>
      </c>
      <c r="L1237" s="16" t="s">
        <v>26</v>
      </c>
      <c r="M1237" s="16">
        <f t="shared" si="117"/>
        <v>1.5488909894803951</v>
      </c>
      <c r="N1237">
        <f t="shared" si="118"/>
        <v>0</v>
      </c>
      <c r="O1237">
        <f t="shared" si="119"/>
        <v>0</v>
      </c>
      <c r="P1237">
        <f t="shared" si="116"/>
        <v>5800</v>
      </c>
      <c r="Q1237">
        <f t="shared" si="120"/>
        <v>5800</v>
      </c>
      <c r="T1237" s="16">
        <f t="shared" si="121"/>
        <v>1.5488909894803948</v>
      </c>
    </row>
    <row r="1238" spans="7:20" ht="14.4" x14ac:dyDescent="0.25">
      <c r="G1238" s="10">
        <v>5346</v>
      </c>
      <c r="H1238" s="9">
        <v>37988</v>
      </c>
      <c r="I1238" s="14">
        <f>DATE(2012,12,31)-636</f>
        <v>40638</v>
      </c>
      <c r="J1238" s="15" t="s">
        <v>28</v>
      </c>
      <c r="K1238" s="9">
        <v>12</v>
      </c>
      <c r="L1238" s="16" t="s">
        <v>26</v>
      </c>
      <c r="M1238" s="16">
        <f t="shared" si="117"/>
        <v>-0.9372609688115765</v>
      </c>
      <c r="N1238">
        <f t="shared" si="118"/>
        <v>0</v>
      </c>
      <c r="O1238">
        <f t="shared" si="119"/>
        <v>0</v>
      </c>
      <c r="P1238">
        <f t="shared" si="116"/>
        <v>4000</v>
      </c>
      <c r="Q1238">
        <f t="shared" si="120"/>
        <v>4000</v>
      </c>
      <c r="T1238" s="16">
        <f t="shared" si="121"/>
        <v>-0.93726096881157694</v>
      </c>
    </row>
    <row r="1239" spans="7:20" ht="14.4" x14ac:dyDescent="0.25">
      <c r="G1239" s="10">
        <v>5449</v>
      </c>
      <c r="H1239" s="9">
        <v>38690</v>
      </c>
      <c r="I1239" s="14">
        <f>DATE(2012,12,31)-346</f>
        <v>40928</v>
      </c>
      <c r="J1239" s="15" t="s">
        <v>25</v>
      </c>
      <c r="K1239" s="9">
        <v>28</v>
      </c>
      <c r="L1239" s="16" t="s">
        <v>27</v>
      </c>
      <c r="M1239" s="16">
        <f t="shared" si="117"/>
        <v>0.16769545709596645</v>
      </c>
      <c r="N1239">
        <f t="shared" si="118"/>
        <v>0</v>
      </c>
      <c r="O1239">
        <f t="shared" si="119"/>
        <v>0</v>
      </c>
      <c r="P1239">
        <f t="shared" si="116"/>
        <v>4800</v>
      </c>
      <c r="Q1239">
        <f t="shared" si="120"/>
        <v>4800</v>
      </c>
      <c r="T1239" s="16">
        <f t="shared" si="121"/>
        <v>0.16769545709596606</v>
      </c>
    </row>
    <row r="1240" spans="7:20" ht="14.4" x14ac:dyDescent="0.25">
      <c r="G1240" s="10">
        <v>5457</v>
      </c>
      <c r="H1240" s="9">
        <v>38758</v>
      </c>
      <c r="I1240" s="14">
        <f>DATE(2012,12,31)-464</f>
        <v>40810</v>
      </c>
      <c r="J1240" s="15" t="s">
        <v>28</v>
      </c>
      <c r="K1240" s="9">
        <v>7</v>
      </c>
      <c r="L1240" s="16" t="s">
        <v>26</v>
      </c>
      <c r="M1240" s="16">
        <f t="shared" si="117"/>
        <v>-1.2825598519076837</v>
      </c>
      <c r="N1240">
        <f t="shared" si="118"/>
        <v>0</v>
      </c>
      <c r="O1240">
        <f t="shared" si="119"/>
        <v>0</v>
      </c>
      <c r="P1240">
        <f t="shared" si="116"/>
        <v>3750</v>
      </c>
      <c r="Q1240">
        <f t="shared" si="120"/>
        <v>3750</v>
      </c>
      <c r="T1240" s="16">
        <f t="shared" si="121"/>
        <v>-1.2825598519076842</v>
      </c>
    </row>
    <row r="1241" spans="7:20" ht="14.4" x14ac:dyDescent="0.25">
      <c r="G1241" s="10">
        <v>5554</v>
      </c>
      <c r="H1241" s="9">
        <v>39332</v>
      </c>
      <c r="I1241" s="14">
        <f>DATE(2012,12,31)-449</f>
        <v>40825</v>
      </c>
      <c r="J1241" s="15" t="s">
        <v>30</v>
      </c>
      <c r="K1241" s="9">
        <v>4</v>
      </c>
      <c r="L1241" s="16" t="s">
        <v>29</v>
      </c>
      <c r="M1241" s="16">
        <f t="shared" si="117"/>
        <v>-1.489739181765348</v>
      </c>
      <c r="N1241">
        <f t="shared" si="118"/>
        <v>0</v>
      </c>
      <c r="O1241">
        <f t="shared" si="119"/>
        <v>0</v>
      </c>
      <c r="P1241">
        <f t="shared" si="116"/>
        <v>3600</v>
      </c>
      <c r="Q1241">
        <f t="shared" si="120"/>
        <v>3600</v>
      </c>
      <c r="T1241" s="16">
        <f t="shared" si="121"/>
        <v>-1.4897391817653485</v>
      </c>
    </row>
    <row r="1242" spans="7:20" ht="14.4" x14ac:dyDescent="0.25">
      <c r="G1242" s="10">
        <v>5608</v>
      </c>
      <c r="H1242" s="9">
        <v>39745</v>
      </c>
      <c r="I1242" s="14">
        <f>DATE(2012,12,31)-607</f>
        <v>40667</v>
      </c>
      <c r="J1242" s="15" t="s">
        <v>28</v>
      </c>
      <c r="K1242" s="9">
        <v>8</v>
      </c>
      <c r="L1242" s="16" t="s">
        <v>27</v>
      </c>
      <c r="M1242" s="16">
        <f t="shared" si="117"/>
        <v>-1.2135000752884624</v>
      </c>
      <c r="N1242">
        <f t="shared" si="118"/>
        <v>0</v>
      </c>
      <c r="O1242">
        <f t="shared" si="119"/>
        <v>0</v>
      </c>
      <c r="P1242">
        <f t="shared" si="116"/>
        <v>3800</v>
      </c>
      <c r="Q1242">
        <f t="shared" si="120"/>
        <v>3800</v>
      </c>
      <c r="T1242" s="16">
        <f t="shared" si="121"/>
        <v>-1.2135000752884626</v>
      </c>
    </row>
    <row r="1243" spans="7:20" ht="14.4" x14ac:dyDescent="0.25">
      <c r="G1243" s="10">
        <v>5678</v>
      </c>
      <c r="H1243" s="9">
        <v>40134</v>
      </c>
      <c r="I1243" s="14">
        <f>DATE(2012,12,31)-449</f>
        <v>40825</v>
      </c>
      <c r="J1243" s="15" t="s">
        <v>25</v>
      </c>
      <c r="K1243" s="9">
        <v>10</v>
      </c>
      <c r="L1243" s="16" t="s">
        <v>26</v>
      </c>
      <c r="M1243" s="16">
        <f t="shared" si="117"/>
        <v>-1.0753805220500194</v>
      </c>
      <c r="N1243">
        <f t="shared" si="118"/>
        <v>0</v>
      </c>
      <c r="O1243">
        <f t="shared" si="119"/>
        <v>0</v>
      </c>
      <c r="P1243">
        <f t="shared" si="116"/>
        <v>3900</v>
      </c>
      <c r="Q1243">
        <f t="shared" si="120"/>
        <v>3900</v>
      </c>
      <c r="T1243" s="16">
        <f t="shared" si="121"/>
        <v>-1.0753805220500199</v>
      </c>
    </row>
    <row r="1244" spans="7:20" ht="14.4" x14ac:dyDescent="0.25">
      <c r="G1244" s="10">
        <v>5679</v>
      </c>
      <c r="H1244" s="9">
        <v>40134</v>
      </c>
      <c r="I1244" s="14">
        <f>DATE(2012,12,31)-449</f>
        <v>40825</v>
      </c>
      <c r="J1244" s="15" t="s">
        <v>25</v>
      </c>
      <c r="K1244" s="9">
        <v>43</v>
      </c>
      <c r="L1244" s="16" t="s">
        <v>27</v>
      </c>
      <c r="M1244" s="16">
        <f t="shared" si="117"/>
        <v>1.203592106384288</v>
      </c>
      <c r="N1244">
        <f t="shared" si="118"/>
        <v>0</v>
      </c>
      <c r="O1244">
        <f t="shared" si="119"/>
        <v>0</v>
      </c>
      <c r="P1244">
        <f t="shared" si="116"/>
        <v>5550</v>
      </c>
      <c r="Q1244">
        <f t="shared" si="120"/>
        <v>5550</v>
      </c>
      <c r="T1244" s="16">
        <f t="shared" si="121"/>
        <v>1.2035921063842876</v>
      </c>
    </row>
    <row r="1245" spans="7:20" ht="14.4" x14ac:dyDescent="0.25">
      <c r="G1245" s="10">
        <v>5680</v>
      </c>
      <c r="H1245" s="9">
        <v>40134</v>
      </c>
      <c r="I1245" s="14">
        <f>DATE(2012,12,31)-449</f>
        <v>40825</v>
      </c>
      <c r="J1245" s="15" t="s">
        <v>25</v>
      </c>
      <c r="K1245" s="9">
        <v>1</v>
      </c>
      <c r="L1245" s="16" t="s">
        <v>26</v>
      </c>
      <c r="M1245" s="16">
        <f t="shared" si="117"/>
        <v>-1.6969185116230123</v>
      </c>
      <c r="N1245">
        <f t="shared" si="118"/>
        <v>0</v>
      </c>
      <c r="O1245">
        <f t="shared" si="119"/>
        <v>0</v>
      </c>
      <c r="P1245">
        <f t="shared" si="116"/>
        <v>3450</v>
      </c>
      <c r="Q1245">
        <f t="shared" si="120"/>
        <v>3450</v>
      </c>
      <c r="T1245" s="16">
        <f t="shared" si="121"/>
        <v>-1.6969185116230128</v>
      </c>
    </row>
    <row r="1246" spans="7:20" ht="14.4" x14ac:dyDescent="0.25">
      <c r="G1246" s="10">
        <v>5683</v>
      </c>
      <c r="H1246" s="9">
        <v>40164</v>
      </c>
      <c r="I1246" s="14">
        <f>DATE(2012,12,31)-996</f>
        <v>40278</v>
      </c>
      <c r="J1246" s="15" t="s">
        <v>28</v>
      </c>
      <c r="K1246" s="9">
        <v>8</v>
      </c>
      <c r="L1246" s="16" t="s">
        <v>29</v>
      </c>
      <c r="M1246" s="16">
        <f t="shared" si="117"/>
        <v>-1.2135000752884624</v>
      </c>
      <c r="N1246">
        <f t="shared" si="118"/>
        <v>0</v>
      </c>
      <c r="O1246">
        <f t="shared" si="119"/>
        <v>0</v>
      </c>
      <c r="P1246">
        <f t="shared" si="116"/>
        <v>3800</v>
      </c>
      <c r="Q1246">
        <f t="shared" si="120"/>
        <v>3800</v>
      </c>
      <c r="T1246" s="16">
        <f t="shared" si="121"/>
        <v>-1.2135000752884626</v>
      </c>
    </row>
    <row r="1247" spans="7:20" ht="14.4" x14ac:dyDescent="0.25">
      <c r="G1247" s="10">
        <v>5723</v>
      </c>
      <c r="H1247" s="9">
        <v>40608</v>
      </c>
      <c r="I1247" s="14">
        <f>DATE(2012,12,31)-134</f>
        <v>41140</v>
      </c>
      <c r="J1247" s="15" t="s">
        <v>28</v>
      </c>
      <c r="K1247" s="9">
        <v>29</v>
      </c>
      <c r="L1247" s="16" t="s">
        <v>26</v>
      </c>
      <c r="M1247" s="16">
        <f t="shared" si="117"/>
        <v>0.23675523371518786</v>
      </c>
      <c r="N1247">
        <f t="shared" si="118"/>
        <v>0</v>
      </c>
      <c r="O1247">
        <f t="shared" si="119"/>
        <v>0</v>
      </c>
      <c r="P1247">
        <f t="shared" si="116"/>
        <v>4850</v>
      </c>
      <c r="Q1247">
        <f t="shared" si="120"/>
        <v>4850</v>
      </c>
      <c r="T1247" s="16">
        <f t="shared" si="121"/>
        <v>0.2367552337151875</v>
      </c>
    </row>
    <row r="1248" spans="7:20" ht="14.4" x14ac:dyDescent="0.25">
      <c r="G1248" s="10">
        <v>5724</v>
      </c>
      <c r="H1248" s="9">
        <v>40608</v>
      </c>
      <c r="I1248" s="14">
        <f>DATE(2012,12,31)-134</f>
        <v>41140</v>
      </c>
      <c r="J1248" s="15" t="s">
        <v>28</v>
      </c>
      <c r="K1248" s="9">
        <v>39</v>
      </c>
      <c r="L1248" s="16" t="s">
        <v>26</v>
      </c>
      <c r="M1248" s="16">
        <f t="shared" si="117"/>
        <v>0.92735299990740228</v>
      </c>
      <c r="N1248">
        <f t="shared" si="118"/>
        <v>0</v>
      </c>
      <c r="O1248">
        <f t="shared" si="119"/>
        <v>0</v>
      </c>
      <c r="P1248">
        <f t="shared" si="116"/>
        <v>5350</v>
      </c>
      <c r="Q1248">
        <f t="shared" si="120"/>
        <v>5350</v>
      </c>
      <c r="T1248" s="16">
        <f t="shared" si="121"/>
        <v>0.92735299990740183</v>
      </c>
    </row>
    <row r="1249" spans="7:20" ht="14.4" x14ac:dyDescent="0.25">
      <c r="G1249" s="10">
        <v>5742</v>
      </c>
      <c r="H1249" s="9">
        <v>40801</v>
      </c>
      <c r="I1249" s="14">
        <f>DATE(2012,12,31)-183</f>
        <v>41091</v>
      </c>
      <c r="J1249" s="15" t="s">
        <v>28</v>
      </c>
      <c r="K1249" s="9">
        <v>20</v>
      </c>
      <c r="L1249" s="16" t="s">
        <v>26</v>
      </c>
      <c r="M1249" s="16">
        <f t="shared" si="117"/>
        <v>-0.38478275585780503</v>
      </c>
      <c r="N1249">
        <f t="shared" si="118"/>
        <v>0</v>
      </c>
      <c r="O1249">
        <f t="shared" si="119"/>
        <v>0</v>
      </c>
      <c r="P1249">
        <f t="shared" si="116"/>
        <v>4400</v>
      </c>
      <c r="Q1249">
        <f t="shared" si="120"/>
        <v>4400</v>
      </c>
      <c r="T1249" s="16">
        <f t="shared" si="121"/>
        <v>-0.38478275585780541</v>
      </c>
    </row>
    <row r="1250" spans="7:20" ht="14.4" x14ac:dyDescent="0.25">
      <c r="G1250" s="10">
        <v>5775</v>
      </c>
      <c r="H1250" s="9">
        <v>40965</v>
      </c>
      <c r="I1250" s="14">
        <f>DATE(2012,12,31)-1137</f>
        <v>40137</v>
      </c>
      <c r="J1250" s="15" t="s">
        <v>16</v>
      </c>
      <c r="K1250" s="9">
        <v>29</v>
      </c>
      <c r="L1250" s="16" t="s">
        <v>26</v>
      </c>
      <c r="M1250" s="16">
        <f t="shared" si="117"/>
        <v>0.23675523371518786</v>
      </c>
      <c r="N1250">
        <f t="shared" si="118"/>
        <v>0</v>
      </c>
      <c r="O1250">
        <f t="shared" si="119"/>
        <v>0</v>
      </c>
      <c r="P1250">
        <f t="shared" si="116"/>
        <v>4850</v>
      </c>
      <c r="Q1250">
        <f t="shared" si="120"/>
        <v>4850</v>
      </c>
      <c r="T1250" s="16">
        <f t="shared" si="121"/>
        <v>0.2367552337151875</v>
      </c>
    </row>
    <row r="1251" spans="7:20" ht="14.4" x14ac:dyDescent="0.25">
      <c r="G1251" s="10">
        <v>5820</v>
      </c>
      <c r="H1251" s="9">
        <v>41286</v>
      </c>
      <c r="I1251" s="14">
        <f>DATE(2012,12,31)-106</f>
        <v>41168</v>
      </c>
      <c r="J1251" s="15" t="s">
        <v>16</v>
      </c>
      <c r="K1251" s="9">
        <v>40</v>
      </c>
      <c r="L1251" s="16" t="s">
        <v>26</v>
      </c>
      <c r="M1251" s="16">
        <f t="shared" si="117"/>
        <v>0.99641277652662363</v>
      </c>
      <c r="N1251">
        <f t="shared" si="118"/>
        <v>0</v>
      </c>
      <c r="O1251">
        <f t="shared" si="119"/>
        <v>0</v>
      </c>
      <c r="P1251">
        <f t="shared" si="116"/>
        <v>5400</v>
      </c>
      <c r="Q1251">
        <f t="shared" si="120"/>
        <v>5400</v>
      </c>
      <c r="T1251" s="16">
        <f t="shared" si="121"/>
        <v>0.9964127765266233</v>
      </c>
    </row>
    <row r="1252" spans="7:20" ht="14.4" x14ac:dyDescent="0.25">
      <c r="G1252" s="10">
        <v>5836</v>
      </c>
      <c r="H1252" s="9">
        <v>41412</v>
      </c>
      <c r="I1252" s="14">
        <f>DATE(2012,12,31)-1201</f>
        <v>40073</v>
      </c>
      <c r="J1252" s="15" t="s">
        <v>28</v>
      </c>
      <c r="K1252" s="9">
        <v>47</v>
      </c>
      <c r="L1252" s="16" t="s">
        <v>26</v>
      </c>
      <c r="M1252" s="16">
        <f t="shared" si="117"/>
        <v>1.4798312128611737</v>
      </c>
      <c r="N1252">
        <f t="shared" si="118"/>
        <v>0</v>
      </c>
      <c r="O1252">
        <f t="shared" si="119"/>
        <v>0</v>
      </c>
      <c r="P1252">
        <f t="shared" si="116"/>
        <v>5750</v>
      </c>
      <c r="Q1252">
        <f t="shared" si="120"/>
        <v>5750</v>
      </c>
      <c r="T1252" s="16">
        <f t="shared" si="121"/>
        <v>1.4798312128611733</v>
      </c>
    </row>
    <row r="1253" spans="7:20" ht="14.4" x14ac:dyDescent="0.25">
      <c r="G1253" s="10">
        <v>5856</v>
      </c>
      <c r="H1253" s="9">
        <v>41569</v>
      </c>
      <c r="I1253" s="14">
        <f>DATE(2012,12,31)-894</f>
        <v>40380</v>
      </c>
      <c r="J1253" s="15" t="s">
        <v>30</v>
      </c>
      <c r="K1253" s="9">
        <v>16</v>
      </c>
      <c r="L1253" s="16" t="s">
        <v>29</v>
      </c>
      <c r="M1253" s="16">
        <f t="shared" si="117"/>
        <v>-0.66102186233469074</v>
      </c>
      <c r="N1253">
        <f t="shared" si="118"/>
        <v>0</v>
      </c>
      <c r="O1253">
        <f t="shared" si="119"/>
        <v>0</v>
      </c>
      <c r="P1253">
        <f t="shared" si="116"/>
        <v>4200</v>
      </c>
      <c r="Q1253">
        <f t="shared" si="120"/>
        <v>4200</v>
      </c>
      <c r="T1253" s="16">
        <f t="shared" si="121"/>
        <v>-0.66102186233469118</v>
      </c>
    </row>
    <row r="1254" spans="7:20" ht="14.4" x14ac:dyDescent="0.25">
      <c r="G1254" s="10">
        <v>5866</v>
      </c>
      <c r="H1254" s="9">
        <v>41633</v>
      </c>
      <c r="I1254" s="14">
        <f>DATE(2012,12,31)-783</f>
        <v>40491</v>
      </c>
      <c r="J1254" s="15" t="s">
        <v>25</v>
      </c>
      <c r="K1254" s="9">
        <v>29</v>
      </c>
      <c r="L1254" s="16" t="s">
        <v>29</v>
      </c>
      <c r="M1254" s="16">
        <f t="shared" si="117"/>
        <v>0.23675523371518786</v>
      </c>
      <c r="N1254">
        <f t="shared" si="118"/>
        <v>0</v>
      </c>
      <c r="O1254">
        <f t="shared" si="119"/>
        <v>0</v>
      </c>
      <c r="P1254">
        <f t="shared" si="116"/>
        <v>4850</v>
      </c>
      <c r="Q1254">
        <f t="shared" si="120"/>
        <v>4850</v>
      </c>
      <c r="T1254" s="16">
        <f t="shared" si="121"/>
        <v>0.2367552337151875</v>
      </c>
    </row>
    <row r="1255" spans="7:20" ht="14.4" x14ac:dyDescent="0.25">
      <c r="G1255" s="10">
        <v>5910</v>
      </c>
      <c r="H1255" s="9">
        <v>41895</v>
      </c>
      <c r="I1255" s="14">
        <f>DATE(2012,12,31)-721</f>
        <v>40553</v>
      </c>
      <c r="J1255" s="15" t="s">
        <v>30</v>
      </c>
      <c r="K1255" s="9">
        <v>8</v>
      </c>
      <c r="L1255" s="16" t="s">
        <v>27</v>
      </c>
      <c r="M1255" s="16">
        <f t="shared" si="117"/>
        <v>-1.2135000752884624</v>
      </c>
      <c r="N1255">
        <f t="shared" si="118"/>
        <v>0</v>
      </c>
      <c r="O1255">
        <f t="shared" si="119"/>
        <v>0</v>
      </c>
      <c r="P1255">
        <f t="shared" si="116"/>
        <v>3800</v>
      </c>
      <c r="Q1255">
        <f t="shared" si="120"/>
        <v>3800</v>
      </c>
      <c r="T1255" s="16">
        <f t="shared" si="121"/>
        <v>-1.2135000752884626</v>
      </c>
    </row>
    <row r="1256" spans="7:20" ht="14.4" x14ac:dyDescent="0.25">
      <c r="G1256" s="10">
        <v>5936</v>
      </c>
      <c r="H1256" s="9">
        <v>42112</v>
      </c>
      <c r="I1256" s="14">
        <f>DATE(2012,12,31)-738</f>
        <v>40536</v>
      </c>
      <c r="J1256" s="15" t="s">
        <v>28</v>
      </c>
      <c r="K1256" s="9">
        <v>16</v>
      </c>
      <c r="L1256" s="16" t="s">
        <v>27</v>
      </c>
      <c r="M1256" s="16">
        <f t="shared" si="117"/>
        <v>-0.66102186233469074</v>
      </c>
      <c r="N1256">
        <f t="shared" si="118"/>
        <v>0</v>
      </c>
      <c r="O1256">
        <f t="shared" si="119"/>
        <v>0</v>
      </c>
      <c r="P1256">
        <f t="shared" si="116"/>
        <v>4200</v>
      </c>
      <c r="Q1256">
        <f t="shared" si="120"/>
        <v>4200</v>
      </c>
      <c r="T1256" s="16">
        <f t="shared" si="121"/>
        <v>-0.66102186233469118</v>
      </c>
    </row>
    <row r="1257" spans="7:20" ht="14.4" x14ac:dyDescent="0.25">
      <c r="G1257" s="10">
        <v>5942</v>
      </c>
      <c r="H1257" s="9">
        <v>42177</v>
      </c>
      <c r="I1257" s="14">
        <f>DATE(2012,12,31)-215</f>
        <v>41059</v>
      </c>
      <c r="J1257" s="15" t="s">
        <v>28</v>
      </c>
      <c r="K1257" s="9">
        <v>49</v>
      </c>
      <c r="L1257" s="16" t="s">
        <v>27</v>
      </c>
      <c r="M1257" s="16">
        <f t="shared" si="117"/>
        <v>1.6179507660996166</v>
      </c>
      <c r="N1257">
        <f t="shared" si="118"/>
        <v>0</v>
      </c>
      <c r="O1257">
        <f t="shared" si="119"/>
        <v>0</v>
      </c>
      <c r="P1257">
        <f t="shared" si="116"/>
        <v>5850</v>
      </c>
      <c r="Q1257">
        <f t="shared" si="120"/>
        <v>5850</v>
      </c>
      <c r="T1257" s="16">
        <f t="shared" si="121"/>
        <v>1.6179507660996162</v>
      </c>
    </row>
    <row r="1258" spans="7:20" ht="14.4" x14ac:dyDescent="0.25">
      <c r="G1258" s="10">
        <v>5943</v>
      </c>
      <c r="H1258" s="9">
        <v>42177</v>
      </c>
      <c r="I1258" s="14">
        <f>DATE(2012,12,31)-215</f>
        <v>41059</v>
      </c>
      <c r="J1258" s="15" t="s">
        <v>28</v>
      </c>
      <c r="K1258" s="9">
        <v>38</v>
      </c>
      <c r="L1258" s="16" t="s">
        <v>29</v>
      </c>
      <c r="M1258" s="16">
        <f t="shared" si="117"/>
        <v>0.85829322328818081</v>
      </c>
      <c r="N1258">
        <f t="shared" si="118"/>
        <v>0</v>
      </c>
      <c r="O1258">
        <f t="shared" si="119"/>
        <v>0</v>
      </c>
      <c r="P1258">
        <f t="shared" si="116"/>
        <v>5300</v>
      </c>
      <c r="Q1258">
        <f t="shared" si="120"/>
        <v>5300</v>
      </c>
      <c r="T1258" s="16">
        <f t="shared" si="121"/>
        <v>0.85829322328818036</v>
      </c>
    </row>
    <row r="1259" spans="7:20" ht="14.4" x14ac:dyDescent="0.25">
      <c r="G1259" s="10">
        <v>5969</v>
      </c>
      <c r="H1259" s="9">
        <v>42339</v>
      </c>
      <c r="I1259" s="14">
        <f>DATE(2012,12,31)-1418</f>
        <v>39856</v>
      </c>
      <c r="J1259" s="15" t="s">
        <v>30</v>
      </c>
      <c r="K1259" s="9">
        <v>31</v>
      </c>
      <c r="L1259" s="16" t="s">
        <v>26</v>
      </c>
      <c r="M1259" s="16">
        <f t="shared" si="117"/>
        <v>0.37487478695363075</v>
      </c>
      <c r="N1259">
        <f t="shared" si="118"/>
        <v>0</v>
      </c>
      <c r="O1259">
        <f t="shared" si="119"/>
        <v>0</v>
      </c>
      <c r="P1259">
        <f t="shared" si="116"/>
        <v>4950</v>
      </c>
      <c r="Q1259">
        <f t="shared" si="120"/>
        <v>4950</v>
      </c>
      <c r="T1259" s="16">
        <f t="shared" si="121"/>
        <v>0.37487478695363036</v>
      </c>
    </row>
    <row r="1260" spans="7:20" ht="14.4" x14ac:dyDescent="0.25">
      <c r="G1260" s="10">
        <v>5971</v>
      </c>
      <c r="H1260" s="9">
        <v>42342</v>
      </c>
      <c r="I1260" s="14">
        <f>DATE(2012,12,31)-1214</f>
        <v>40060</v>
      </c>
      <c r="J1260" s="15" t="s">
        <v>28</v>
      </c>
      <c r="K1260" s="9">
        <v>25</v>
      </c>
      <c r="L1260" s="16" t="s">
        <v>26</v>
      </c>
      <c r="M1260" s="16">
        <f t="shared" si="117"/>
        <v>-3.9483872761697868E-2</v>
      </c>
      <c r="N1260">
        <f t="shared" si="118"/>
        <v>0</v>
      </c>
      <c r="O1260">
        <f t="shared" si="119"/>
        <v>0</v>
      </c>
      <c r="P1260">
        <f t="shared" si="116"/>
        <v>4650</v>
      </c>
      <c r="Q1260">
        <f t="shared" si="120"/>
        <v>4650</v>
      </c>
      <c r="T1260" s="16">
        <f t="shared" si="121"/>
        <v>-3.9483872761698249E-2</v>
      </c>
    </row>
    <row r="1261" spans="7:20" ht="14.4" x14ac:dyDescent="0.25">
      <c r="G1261" s="10">
        <v>6061</v>
      </c>
      <c r="H1261" s="9">
        <v>42947</v>
      </c>
      <c r="I1261" s="14">
        <f>DATE(2012,12,31)-858</f>
        <v>40416</v>
      </c>
      <c r="J1261" s="15" t="s">
        <v>25</v>
      </c>
      <c r="K1261" s="9">
        <v>5</v>
      </c>
      <c r="L1261" s="16" t="s">
        <v>27</v>
      </c>
      <c r="M1261" s="16">
        <f t="shared" si="117"/>
        <v>-1.4206794051461267</v>
      </c>
      <c r="N1261">
        <f t="shared" si="118"/>
        <v>0</v>
      </c>
      <c r="O1261">
        <f t="shared" si="119"/>
        <v>0</v>
      </c>
      <c r="P1261">
        <f t="shared" si="116"/>
        <v>3650</v>
      </c>
      <c r="Q1261">
        <f t="shared" si="120"/>
        <v>3650</v>
      </c>
      <c r="T1261" s="16">
        <f t="shared" si="121"/>
        <v>-1.4206794051461269</v>
      </c>
    </row>
    <row r="1262" spans="7:20" ht="14.4" x14ac:dyDescent="0.25">
      <c r="G1262" s="10">
        <v>6080</v>
      </c>
      <c r="H1262" s="9">
        <v>43079</v>
      </c>
      <c r="I1262" s="14">
        <f>DATE(2012,12,31)-1259</f>
        <v>40015</v>
      </c>
      <c r="J1262" s="15" t="s">
        <v>16</v>
      </c>
      <c r="K1262" s="9">
        <v>40</v>
      </c>
      <c r="L1262" s="16" t="s">
        <v>27</v>
      </c>
      <c r="M1262" s="16">
        <f t="shared" si="117"/>
        <v>0.99641277652662363</v>
      </c>
      <c r="N1262">
        <f t="shared" si="118"/>
        <v>0</v>
      </c>
      <c r="O1262">
        <f t="shared" si="119"/>
        <v>0</v>
      </c>
      <c r="P1262">
        <f t="shared" si="116"/>
        <v>5400</v>
      </c>
      <c r="Q1262">
        <f t="shared" si="120"/>
        <v>5400</v>
      </c>
      <c r="T1262" s="16">
        <f t="shared" si="121"/>
        <v>0.9964127765266233</v>
      </c>
    </row>
    <row r="1263" spans="7:20" ht="14.4" x14ac:dyDescent="0.25">
      <c r="G1263" s="10">
        <v>6087</v>
      </c>
      <c r="H1263" s="9">
        <v>43111</v>
      </c>
      <c r="I1263" s="14">
        <f>DATE(2012,12,31)-476</f>
        <v>40798</v>
      </c>
      <c r="J1263" s="15" t="s">
        <v>17</v>
      </c>
      <c r="K1263" s="9">
        <v>27</v>
      </c>
      <c r="L1263" s="16" t="s">
        <v>26</v>
      </c>
      <c r="M1263" s="16">
        <f t="shared" si="117"/>
        <v>9.8635680476745008E-2</v>
      </c>
      <c r="N1263">
        <f t="shared" si="118"/>
        <v>0</v>
      </c>
      <c r="O1263">
        <f t="shared" si="119"/>
        <v>0</v>
      </c>
      <c r="P1263">
        <f t="shared" si="116"/>
        <v>4750</v>
      </c>
      <c r="Q1263">
        <f t="shared" si="120"/>
        <v>4750</v>
      </c>
      <c r="T1263" s="16">
        <f t="shared" si="121"/>
        <v>9.8635680476744619E-2</v>
      </c>
    </row>
    <row r="1264" spans="7:20" ht="14.4" x14ac:dyDescent="0.25">
      <c r="G1264" s="10">
        <v>6091</v>
      </c>
      <c r="H1264" s="9">
        <v>43140</v>
      </c>
      <c r="I1264" s="14">
        <f>DATE(2012,12,31)-1384</f>
        <v>39890</v>
      </c>
      <c r="J1264" s="15" t="s">
        <v>30</v>
      </c>
      <c r="K1264" s="9">
        <v>23</v>
      </c>
      <c r="L1264" s="16" t="s">
        <v>26</v>
      </c>
      <c r="M1264" s="16">
        <f t="shared" si="117"/>
        <v>-0.17760342600014073</v>
      </c>
      <c r="N1264">
        <f t="shared" si="118"/>
        <v>0</v>
      </c>
      <c r="O1264">
        <f t="shared" si="119"/>
        <v>0</v>
      </c>
      <c r="P1264">
        <f t="shared" si="116"/>
        <v>4550</v>
      </c>
      <c r="Q1264">
        <f t="shared" si="120"/>
        <v>4550</v>
      </c>
      <c r="T1264" s="16">
        <f t="shared" si="121"/>
        <v>-0.17760342600014112</v>
      </c>
    </row>
    <row r="1265" spans="7:20" ht="14.4" x14ac:dyDescent="0.25">
      <c r="G1265" s="10">
        <v>6228</v>
      </c>
      <c r="H1265" s="9">
        <v>44098</v>
      </c>
      <c r="I1265" s="14">
        <f>DATE(2012,12,31)-1069</f>
        <v>40205</v>
      </c>
      <c r="J1265" s="15" t="s">
        <v>25</v>
      </c>
      <c r="K1265" s="9">
        <v>1</v>
      </c>
      <c r="L1265" s="16" t="s">
        <v>26</v>
      </c>
      <c r="M1265" s="16">
        <f t="shared" si="117"/>
        <v>-1.6969185116230123</v>
      </c>
      <c r="N1265">
        <f t="shared" si="118"/>
        <v>0</v>
      </c>
      <c r="O1265">
        <f t="shared" si="119"/>
        <v>0</v>
      </c>
      <c r="P1265">
        <f t="shared" si="116"/>
        <v>3450</v>
      </c>
      <c r="Q1265">
        <f t="shared" si="120"/>
        <v>3450</v>
      </c>
      <c r="T1265" s="16">
        <f t="shared" si="121"/>
        <v>-1.6969185116230128</v>
      </c>
    </row>
    <row r="1266" spans="7:20" ht="14.4" x14ac:dyDescent="0.25">
      <c r="G1266" s="10">
        <v>6282</v>
      </c>
      <c r="H1266" s="9">
        <v>44451</v>
      </c>
      <c r="I1266" s="14">
        <f>DATE(2012,12,31)-477</f>
        <v>40797</v>
      </c>
      <c r="J1266" s="15" t="s">
        <v>30</v>
      </c>
      <c r="K1266" s="9">
        <v>4</v>
      </c>
      <c r="L1266" s="16" t="s">
        <v>29</v>
      </c>
      <c r="M1266" s="16">
        <f t="shared" si="117"/>
        <v>-1.489739181765348</v>
      </c>
      <c r="N1266">
        <f t="shared" si="118"/>
        <v>0</v>
      </c>
      <c r="O1266">
        <f t="shared" si="119"/>
        <v>0</v>
      </c>
      <c r="P1266">
        <f t="shared" si="116"/>
        <v>3600</v>
      </c>
      <c r="Q1266">
        <f t="shared" si="120"/>
        <v>3600</v>
      </c>
      <c r="T1266" s="16">
        <f t="shared" si="121"/>
        <v>-1.4897391817653485</v>
      </c>
    </row>
    <row r="1267" spans="7:20" ht="14.4" x14ac:dyDescent="0.25">
      <c r="G1267" s="10">
        <v>6354</v>
      </c>
      <c r="H1267" s="9">
        <v>45059</v>
      </c>
      <c r="I1267" s="14">
        <f>DATE(2012,12,31)-697</f>
        <v>40577</v>
      </c>
      <c r="J1267" s="15" t="s">
        <v>28</v>
      </c>
      <c r="K1267" s="9">
        <v>35</v>
      </c>
      <c r="L1267" s="16" t="s">
        <v>26</v>
      </c>
      <c r="M1267" s="16">
        <f t="shared" si="117"/>
        <v>0.65111389343051651</v>
      </c>
      <c r="N1267">
        <f t="shared" si="118"/>
        <v>0</v>
      </c>
      <c r="O1267">
        <f t="shared" si="119"/>
        <v>0</v>
      </c>
      <c r="P1267">
        <f t="shared" si="116"/>
        <v>5150</v>
      </c>
      <c r="Q1267">
        <f t="shared" si="120"/>
        <v>5150</v>
      </c>
      <c r="T1267" s="16">
        <f t="shared" si="121"/>
        <v>0.65111389343051607</v>
      </c>
    </row>
    <row r="1268" spans="7:20" ht="14.4" x14ac:dyDescent="0.25">
      <c r="G1268" s="10">
        <v>6355</v>
      </c>
      <c r="H1268" s="9">
        <v>45059</v>
      </c>
      <c r="I1268" s="14">
        <f>DATE(2012,12,31)-697</f>
        <v>40577</v>
      </c>
      <c r="J1268" s="15" t="s">
        <v>28</v>
      </c>
      <c r="K1268" s="9">
        <v>39</v>
      </c>
      <c r="L1268" s="16" t="s">
        <v>26</v>
      </c>
      <c r="M1268" s="16">
        <f t="shared" si="117"/>
        <v>0.92735299990740228</v>
      </c>
      <c r="N1268">
        <f t="shared" si="118"/>
        <v>0</v>
      </c>
      <c r="O1268">
        <f t="shared" si="119"/>
        <v>0</v>
      </c>
      <c r="P1268">
        <f t="shared" si="116"/>
        <v>5350</v>
      </c>
      <c r="Q1268">
        <f t="shared" si="120"/>
        <v>5350</v>
      </c>
      <c r="T1268" s="16">
        <f t="shared" si="121"/>
        <v>0.92735299990740183</v>
      </c>
    </row>
    <row r="1269" spans="7:20" ht="14.4" x14ac:dyDescent="0.25">
      <c r="G1269" s="10">
        <v>6362</v>
      </c>
      <c r="H1269" s="9">
        <v>45155</v>
      </c>
      <c r="I1269" s="14">
        <f>DATE(2012,12,31)-685</f>
        <v>40589</v>
      </c>
      <c r="J1269" s="15" t="s">
        <v>25</v>
      </c>
      <c r="K1269" s="9">
        <v>44</v>
      </c>
      <c r="L1269" s="16" t="s">
        <v>26</v>
      </c>
      <c r="M1269" s="16">
        <f t="shared" si="117"/>
        <v>1.2726518830035094</v>
      </c>
      <c r="N1269">
        <f t="shared" si="118"/>
        <v>0</v>
      </c>
      <c r="O1269">
        <f t="shared" si="119"/>
        <v>0</v>
      </c>
      <c r="P1269">
        <f t="shared" si="116"/>
        <v>5600</v>
      </c>
      <c r="Q1269">
        <f t="shared" si="120"/>
        <v>5600</v>
      </c>
      <c r="T1269" s="16">
        <f t="shared" si="121"/>
        <v>1.272651883003509</v>
      </c>
    </row>
    <row r="1270" spans="7:20" ht="14.4" x14ac:dyDescent="0.25">
      <c r="G1270" s="10">
        <v>6363</v>
      </c>
      <c r="H1270" s="9">
        <v>45155</v>
      </c>
      <c r="I1270" s="14">
        <f>DATE(2012,12,31)-685</f>
        <v>40589</v>
      </c>
      <c r="J1270" s="15" t="s">
        <v>25</v>
      </c>
      <c r="K1270" s="9">
        <v>35</v>
      </c>
      <c r="L1270" s="16" t="s">
        <v>26</v>
      </c>
      <c r="M1270" s="16">
        <f t="shared" si="117"/>
        <v>0.65111389343051651</v>
      </c>
      <c r="N1270">
        <f t="shared" si="118"/>
        <v>0</v>
      </c>
      <c r="O1270">
        <f t="shared" si="119"/>
        <v>0</v>
      </c>
      <c r="P1270">
        <f t="shared" si="116"/>
        <v>5150</v>
      </c>
      <c r="Q1270">
        <f t="shared" si="120"/>
        <v>5150</v>
      </c>
      <c r="T1270" s="16">
        <f t="shared" si="121"/>
        <v>0.65111389343051607</v>
      </c>
    </row>
    <row r="1271" spans="7:20" ht="14.4" x14ac:dyDescent="0.25">
      <c r="G1271" s="10">
        <v>6380</v>
      </c>
      <c r="H1271" s="9">
        <v>45317</v>
      </c>
      <c r="I1271" s="14">
        <f>DATE(2012,12,31)-305</f>
        <v>40969</v>
      </c>
      <c r="J1271" s="15" t="s">
        <v>25</v>
      </c>
      <c r="K1271" s="9">
        <v>36</v>
      </c>
      <c r="L1271" s="16" t="s">
        <v>27</v>
      </c>
      <c r="M1271" s="16">
        <f t="shared" si="117"/>
        <v>0.72017367004973787</v>
      </c>
      <c r="N1271">
        <f t="shared" si="118"/>
        <v>0</v>
      </c>
      <c r="O1271">
        <f t="shared" si="119"/>
        <v>0</v>
      </c>
      <c r="P1271">
        <f t="shared" si="116"/>
        <v>5200</v>
      </c>
      <c r="Q1271">
        <f t="shared" si="120"/>
        <v>5200</v>
      </c>
      <c r="T1271" s="16">
        <f t="shared" si="121"/>
        <v>0.72017367004973754</v>
      </c>
    </row>
    <row r="1272" spans="7:20" ht="14.4" x14ac:dyDescent="0.25">
      <c r="G1272" s="10">
        <v>6381</v>
      </c>
      <c r="H1272" s="9">
        <v>45317</v>
      </c>
      <c r="I1272" s="14">
        <f>DATE(2012,12,31)-305</f>
        <v>40969</v>
      </c>
      <c r="J1272" s="15" t="s">
        <v>25</v>
      </c>
      <c r="K1272" s="9">
        <v>28</v>
      </c>
      <c r="L1272" s="16" t="s">
        <v>29</v>
      </c>
      <c r="M1272" s="16">
        <f t="shared" si="117"/>
        <v>0.16769545709596645</v>
      </c>
      <c r="N1272">
        <f t="shared" si="118"/>
        <v>0</v>
      </c>
      <c r="O1272">
        <f t="shared" si="119"/>
        <v>0</v>
      </c>
      <c r="P1272">
        <f t="shared" si="116"/>
        <v>4800</v>
      </c>
      <c r="Q1272">
        <f t="shared" si="120"/>
        <v>4800</v>
      </c>
      <c r="T1272" s="16">
        <f t="shared" si="121"/>
        <v>0.16769545709596606</v>
      </c>
    </row>
    <row r="1273" spans="7:20" ht="14.4" x14ac:dyDescent="0.25">
      <c r="G1273" s="10">
        <v>6432</v>
      </c>
      <c r="H1273" s="9">
        <v>45731</v>
      </c>
      <c r="I1273" s="14">
        <f>DATE(2012,12,31)-1239</f>
        <v>40035</v>
      </c>
      <c r="J1273" s="15" t="s">
        <v>30</v>
      </c>
      <c r="K1273" s="9">
        <v>19</v>
      </c>
      <c r="L1273" s="16" t="s">
        <v>26</v>
      </c>
      <c r="M1273" s="16">
        <f t="shared" si="117"/>
        <v>-0.45384253247702649</v>
      </c>
      <c r="N1273">
        <f t="shared" si="118"/>
        <v>0</v>
      </c>
      <c r="O1273">
        <f t="shared" si="119"/>
        <v>0</v>
      </c>
      <c r="P1273">
        <f t="shared" si="116"/>
        <v>4350</v>
      </c>
      <c r="Q1273">
        <f t="shared" si="120"/>
        <v>4350</v>
      </c>
      <c r="T1273" s="16">
        <f t="shared" si="121"/>
        <v>-0.45384253247702688</v>
      </c>
    </row>
    <row r="1274" spans="7:20" ht="14.4" x14ac:dyDescent="0.25">
      <c r="G1274" s="10">
        <v>6433</v>
      </c>
      <c r="H1274" s="9">
        <v>45731</v>
      </c>
      <c r="I1274" s="14">
        <f>DATE(2012,12,31)-1239</f>
        <v>40035</v>
      </c>
      <c r="J1274" s="15" t="s">
        <v>30</v>
      </c>
      <c r="K1274" s="9">
        <v>35</v>
      </c>
      <c r="L1274" s="16" t="s">
        <v>27</v>
      </c>
      <c r="M1274" s="16">
        <f t="shared" si="117"/>
        <v>0.65111389343051651</v>
      </c>
      <c r="N1274">
        <f t="shared" si="118"/>
        <v>0</v>
      </c>
      <c r="O1274">
        <f t="shared" si="119"/>
        <v>0</v>
      </c>
      <c r="P1274">
        <f t="shared" si="116"/>
        <v>5150</v>
      </c>
      <c r="Q1274">
        <f t="shared" si="120"/>
        <v>5150</v>
      </c>
      <c r="T1274" s="16">
        <f t="shared" si="121"/>
        <v>0.65111389343051607</v>
      </c>
    </row>
    <row r="1275" spans="7:20" ht="14.4" x14ac:dyDescent="0.25">
      <c r="G1275" s="10">
        <v>6578</v>
      </c>
      <c r="H1275" s="9">
        <v>46849</v>
      </c>
      <c r="I1275" s="14">
        <f>DATE(2012,12,31)-749</f>
        <v>40525</v>
      </c>
      <c r="J1275" s="15" t="s">
        <v>28</v>
      </c>
      <c r="K1275" s="9">
        <v>23</v>
      </c>
      <c r="L1275" s="16" t="s">
        <v>27</v>
      </c>
      <c r="M1275" s="16">
        <f t="shared" si="117"/>
        <v>-0.17760342600014073</v>
      </c>
      <c r="N1275">
        <f t="shared" si="118"/>
        <v>0</v>
      </c>
      <c r="O1275">
        <f t="shared" si="119"/>
        <v>0</v>
      </c>
      <c r="P1275">
        <f t="shared" si="116"/>
        <v>4550</v>
      </c>
      <c r="Q1275">
        <f t="shared" si="120"/>
        <v>4550</v>
      </c>
      <c r="T1275" s="16">
        <f t="shared" si="121"/>
        <v>-0.17760342600014112</v>
      </c>
    </row>
    <row r="1276" spans="7:20" ht="14.4" x14ac:dyDescent="0.25">
      <c r="G1276" s="10">
        <v>6621</v>
      </c>
      <c r="H1276" s="9">
        <v>47108</v>
      </c>
      <c r="I1276" s="14">
        <f>DATE(2012,12,31)-1173</f>
        <v>40101</v>
      </c>
      <c r="J1276" s="15" t="s">
        <v>28</v>
      </c>
      <c r="K1276" s="9">
        <v>19</v>
      </c>
      <c r="L1276" s="16" t="s">
        <v>29</v>
      </c>
      <c r="M1276" s="16">
        <f t="shared" si="117"/>
        <v>-0.45384253247702649</v>
      </c>
      <c r="N1276">
        <f t="shared" si="118"/>
        <v>0</v>
      </c>
      <c r="O1276">
        <f t="shared" si="119"/>
        <v>0</v>
      </c>
      <c r="P1276">
        <f t="shared" si="116"/>
        <v>4350</v>
      </c>
      <c r="Q1276">
        <f t="shared" si="120"/>
        <v>4350</v>
      </c>
      <c r="T1276" s="16">
        <f t="shared" si="121"/>
        <v>-0.45384253247702688</v>
      </c>
    </row>
    <row r="1277" spans="7:20" ht="14.4" x14ac:dyDescent="0.25">
      <c r="G1277" s="10">
        <v>6622</v>
      </c>
      <c r="H1277" s="9">
        <v>47108</v>
      </c>
      <c r="I1277" s="14">
        <f>DATE(2012,12,31)-1173</f>
        <v>40101</v>
      </c>
      <c r="J1277" s="15" t="s">
        <v>28</v>
      </c>
      <c r="K1277" s="9">
        <v>7</v>
      </c>
      <c r="L1277" s="16" t="s">
        <v>27</v>
      </c>
      <c r="M1277" s="16">
        <f t="shared" si="117"/>
        <v>-1.2825598519076837</v>
      </c>
      <c r="N1277">
        <f t="shared" si="118"/>
        <v>0</v>
      </c>
      <c r="O1277">
        <f t="shared" si="119"/>
        <v>0</v>
      </c>
      <c r="P1277">
        <f t="shared" si="116"/>
        <v>3750</v>
      </c>
      <c r="Q1277">
        <f t="shared" si="120"/>
        <v>3750</v>
      </c>
      <c r="T1277" s="16">
        <f t="shared" si="121"/>
        <v>-1.2825598519076842</v>
      </c>
    </row>
    <row r="1278" spans="7:20" ht="14.4" x14ac:dyDescent="0.25">
      <c r="G1278" s="10">
        <v>6623</v>
      </c>
      <c r="H1278" s="9">
        <v>47108</v>
      </c>
      <c r="I1278" s="14">
        <f>DATE(2012,12,31)-1173</f>
        <v>40101</v>
      </c>
      <c r="J1278" s="15" t="s">
        <v>28</v>
      </c>
      <c r="K1278" s="9">
        <v>26</v>
      </c>
      <c r="L1278" s="16" t="s">
        <v>26</v>
      </c>
      <c r="M1278" s="16">
        <f t="shared" si="117"/>
        <v>2.9575903857523567E-2</v>
      </c>
      <c r="N1278">
        <f t="shared" si="118"/>
        <v>0</v>
      </c>
      <c r="O1278">
        <f t="shared" si="119"/>
        <v>0</v>
      </c>
      <c r="P1278">
        <f t="shared" si="116"/>
        <v>4700</v>
      </c>
      <c r="Q1278">
        <f t="shared" si="120"/>
        <v>4700</v>
      </c>
      <c r="T1278" s="16">
        <f t="shared" si="121"/>
        <v>2.9575903857523185E-2</v>
      </c>
    </row>
    <row r="1279" spans="7:20" ht="14.4" x14ac:dyDescent="0.25">
      <c r="G1279" s="10">
        <v>6624</v>
      </c>
      <c r="H1279" s="9">
        <v>47108</v>
      </c>
      <c r="I1279" s="14">
        <f>DATE(2012,12,31)-1173</f>
        <v>40101</v>
      </c>
      <c r="J1279" s="15" t="s">
        <v>28</v>
      </c>
      <c r="K1279" s="9">
        <v>9</v>
      </c>
      <c r="L1279" s="16" t="s">
        <v>27</v>
      </c>
      <c r="M1279" s="16">
        <f t="shared" si="117"/>
        <v>-1.1444402986692408</v>
      </c>
      <c r="N1279">
        <f t="shared" si="118"/>
        <v>0</v>
      </c>
      <c r="O1279">
        <f t="shared" si="119"/>
        <v>0</v>
      </c>
      <c r="P1279">
        <f t="shared" si="116"/>
        <v>3850</v>
      </c>
      <c r="Q1279">
        <f t="shared" si="120"/>
        <v>3850</v>
      </c>
      <c r="T1279" s="16">
        <f t="shared" si="121"/>
        <v>-1.1444402986692412</v>
      </c>
    </row>
    <row r="1280" spans="7:20" ht="14.4" x14ac:dyDescent="0.25">
      <c r="G1280" s="10">
        <v>6676</v>
      </c>
      <c r="H1280" s="9">
        <v>47520</v>
      </c>
      <c r="I1280" s="14">
        <f>DATE(2012,12,31)-1181</f>
        <v>40093</v>
      </c>
      <c r="J1280" s="15" t="s">
        <v>28</v>
      </c>
      <c r="K1280" s="9">
        <v>36</v>
      </c>
      <c r="L1280" s="16" t="s">
        <v>26</v>
      </c>
      <c r="M1280" s="16">
        <f t="shared" si="117"/>
        <v>0.72017367004973787</v>
      </c>
      <c r="N1280">
        <f t="shared" si="118"/>
        <v>0</v>
      </c>
      <c r="O1280">
        <f t="shared" si="119"/>
        <v>0</v>
      </c>
      <c r="P1280">
        <f t="shared" si="116"/>
        <v>5200</v>
      </c>
      <c r="Q1280">
        <f t="shared" si="120"/>
        <v>5200</v>
      </c>
      <c r="T1280" s="16">
        <f t="shared" si="121"/>
        <v>0.72017367004973754</v>
      </c>
    </row>
    <row r="1281" spans="7:20" ht="14.4" x14ac:dyDescent="0.25">
      <c r="G1281" s="10">
        <v>6677</v>
      </c>
      <c r="H1281" s="9">
        <v>47520</v>
      </c>
      <c r="I1281" s="14">
        <f>DATE(2012,12,31)-1181</f>
        <v>40093</v>
      </c>
      <c r="J1281" s="15" t="s">
        <v>28</v>
      </c>
      <c r="K1281" s="9">
        <v>13</v>
      </c>
      <c r="L1281" s="16" t="s">
        <v>29</v>
      </c>
      <c r="M1281" s="16">
        <f t="shared" si="117"/>
        <v>-0.86820119219235514</v>
      </c>
      <c r="N1281">
        <f t="shared" si="118"/>
        <v>0</v>
      </c>
      <c r="O1281">
        <f t="shared" si="119"/>
        <v>0</v>
      </c>
      <c r="P1281">
        <f t="shared" si="116"/>
        <v>4050</v>
      </c>
      <c r="Q1281">
        <f t="shared" si="120"/>
        <v>4050</v>
      </c>
      <c r="T1281" s="16">
        <f t="shared" si="121"/>
        <v>-0.86820119219235548</v>
      </c>
    </row>
    <row r="1282" spans="7:20" ht="14.4" x14ac:dyDescent="0.25">
      <c r="G1282" s="10">
        <v>6678</v>
      </c>
      <c r="H1282" s="9">
        <v>47520</v>
      </c>
      <c r="I1282" s="14">
        <f>DATE(2012,12,31)-1181</f>
        <v>40093</v>
      </c>
      <c r="J1282" s="15" t="s">
        <v>28</v>
      </c>
      <c r="K1282" s="9">
        <v>47</v>
      </c>
      <c r="L1282" s="16" t="s">
        <v>26</v>
      </c>
      <c r="M1282" s="16">
        <f t="shared" si="117"/>
        <v>1.4798312128611737</v>
      </c>
      <c r="N1282">
        <f t="shared" si="118"/>
        <v>0</v>
      </c>
      <c r="O1282">
        <f t="shared" si="119"/>
        <v>0</v>
      </c>
      <c r="P1282">
        <f t="shared" si="116"/>
        <v>5750</v>
      </c>
      <c r="Q1282">
        <f t="shared" si="120"/>
        <v>5750</v>
      </c>
      <c r="T1282" s="16">
        <f t="shared" si="121"/>
        <v>1.4798312128611733</v>
      </c>
    </row>
    <row r="1283" spans="7:20" ht="14.4" x14ac:dyDescent="0.25">
      <c r="G1283" s="10">
        <v>6683</v>
      </c>
      <c r="H1283" s="9">
        <v>47527</v>
      </c>
      <c r="I1283" s="14">
        <f>DATE(2012,12,31)-836</f>
        <v>40438</v>
      </c>
      <c r="J1283" s="15" t="s">
        <v>16</v>
      </c>
      <c r="K1283" s="9">
        <v>48</v>
      </c>
      <c r="L1283" s="16" t="s">
        <v>29</v>
      </c>
      <c r="M1283" s="16">
        <f t="shared" si="117"/>
        <v>1.5488909894803951</v>
      </c>
      <c r="N1283">
        <f t="shared" si="118"/>
        <v>0</v>
      </c>
      <c r="O1283">
        <f t="shared" si="119"/>
        <v>0</v>
      </c>
      <c r="P1283">
        <f t="shared" si="116"/>
        <v>5800</v>
      </c>
      <c r="Q1283">
        <f t="shared" si="120"/>
        <v>5800</v>
      </c>
      <c r="T1283" s="16">
        <f t="shared" si="121"/>
        <v>1.5488909894803948</v>
      </c>
    </row>
    <row r="1284" spans="7:20" ht="14.4" x14ac:dyDescent="0.25">
      <c r="G1284" s="10">
        <v>6699</v>
      </c>
      <c r="H1284" s="9">
        <v>47713</v>
      </c>
      <c r="I1284" s="14">
        <f>DATE(2012,12,31)-1277</f>
        <v>39997</v>
      </c>
      <c r="J1284" s="15" t="s">
        <v>17</v>
      </c>
      <c r="K1284" s="9">
        <v>34</v>
      </c>
      <c r="L1284" s="16" t="s">
        <v>27</v>
      </c>
      <c r="M1284" s="16">
        <f t="shared" si="117"/>
        <v>0.58205411681129504</v>
      </c>
      <c r="N1284">
        <f t="shared" si="118"/>
        <v>0</v>
      </c>
      <c r="O1284">
        <f t="shared" si="119"/>
        <v>0</v>
      </c>
      <c r="P1284">
        <f t="shared" si="116"/>
        <v>5100</v>
      </c>
      <c r="Q1284">
        <f t="shared" si="120"/>
        <v>5100</v>
      </c>
      <c r="T1284" s="16">
        <f t="shared" si="121"/>
        <v>0.58205411681129471</v>
      </c>
    </row>
    <row r="1285" spans="7:20" ht="14.4" x14ac:dyDescent="0.25">
      <c r="G1285" s="10">
        <v>6707</v>
      </c>
      <c r="H1285" s="9">
        <v>47750</v>
      </c>
      <c r="I1285" s="14">
        <f>DATE(2012,12,31)-930</f>
        <v>40344</v>
      </c>
      <c r="J1285" s="15" t="s">
        <v>25</v>
      </c>
      <c r="K1285" s="9">
        <v>1</v>
      </c>
      <c r="L1285" s="16" t="s">
        <v>26</v>
      </c>
      <c r="M1285" s="16">
        <f t="shared" si="117"/>
        <v>-1.6969185116230123</v>
      </c>
      <c r="N1285">
        <f t="shared" si="118"/>
        <v>0</v>
      </c>
      <c r="O1285">
        <f t="shared" si="119"/>
        <v>0</v>
      </c>
      <c r="P1285">
        <f t="shared" si="116"/>
        <v>3450</v>
      </c>
      <c r="Q1285">
        <f t="shared" si="120"/>
        <v>3450</v>
      </c>
      <c r="T1285" s="16">
        <f t="shared" si="121"/>
        <v>-1.6969185116230128</v>
      </c>
    </row>
    <row r="1286" spans="7:20" ht="14.4" x14ac:dyDescent="0.25">
      <c r="G1286" s="10">
        <v>6797</v>
      </c>
      <c r="H1286" s="9">
        <v>48452</v>
      </c>
      <c r="I1286" s="14">
        <f>DATE(2012,12,31)-814</f>
        <v>40460</v>
      </c>
      <c r="J1286" s="15" t="s">
        <v>17</v>
      </c>
      <c r="K1286" s="9">
        <v>32</v>
      </c>
      <c r="L1286" s="16" t="s">
        <v>29</v>
      </c>
      <c r="M1286" s="16">
        <f t="shared" si="117"/>
        <v>0.44393456357285216</v>
      </c>
      <c r="N1286">
        <f t="shared" si="118"/>
        <v>0</v>
      </c>
      <c r="O1286">
        <f t="shared" si="119"/>
        <v>0</v>
      </c>
      <c r="P1286">
        <f t="shared" si="116"/>
        <v>5000</v>
      </c>
      <c r="Q1286">
        <f t="shared" si="120"/>
        <v>5000</v>
      </c>
      <c r="T1286" s="16">
        <f t="shared" si="121"/>
        <v>0.44393456357285183</v>
      </c>
    </row>
    <row r="1287" spans="7:20" ht="14.4" x14ac:dyDescent="0.25">
      <c r="G1287" s="10">
        <v>6798</v>
      </c>
      <c r="H1287" s="9">
        <v>48452</v>
      </c>
      <c r="I1287" s="14">
        <f>DATE(2012,12,31)-814</f>
        <v>40460</v>
      </c>
      <c r="J1287" s="15" t="s">
        <v>17</v>
      </c>
      <c r="K1287" s="9">
        <v>19</v>
      </c>
      <c r="L1287" s="16" t="s">
        <v>27</v>
      </c>
      <c r="M1287" s="16">
        <f t="shared" si="117"/>
        <v>-0.45384253247702649</v>
      </c>
      <c r="N1287">
        <f t="shared" si="118"/>
        <v>0</v>
      </c>
      <c r="O1287">
        <f t="shared" si="119"/>
        <v>0</v>
      </c>
      <c r="P1287">
        <f t="shared" si="116"/>
        <v>4350</v>
      </c>
      <c r="Q1287">
        <f t="shared" si="120"/>
        <v>4350</v>
      </c>
      <c r="T1287" s="16">
        <f t="shared" si="121"/>
        <v>-0.45384253247702688</v>
      </c>
    </row>
    <row r="1288" spans="7:20" ht="14.4" x14ac:dyDescent="0.25">
      <c r="G1288" s="10">
        <v>6799</v>
      </c>
      <c r="H1288" s="9">
        <v>48452</v>
      </c>
      <c r="I1288" s="14">
        <f>DATE(2012,12,31)-814</f>
        <v>40460</v>
      </c>
      <c r="J1288" s="15" t="s">
        <v>17</v>
      </c>
      <c r="K1288" s="9">
        <v>44</v>
      </c>
      <c r="L1288" s="16" t="s">
        <v>29</v>
      </c>
      <c r="M1288" s="16">
        <f t="shared" si="117"/>
        <v>1.2726518830035094</v>
      </c>
      <c r="N1288">
        <f t="shared" si="118"/>
        <v>0</v>
      </c>
      <c r="O1288">
        <f t="shared" si="119"/>
        <v>0</v>
      </c>
      <c r="P1288">
        <f t="shared" si="116"/>
        <v>5600</v>
      </c>
      <c r="Q1288">
        <f t="shared" si="120"/>
        <v>5600</v>
      </c>
      <c r="T1288" s="16">
        <f t="shared" si="121"/>
        <v>1.272651883003509</v>
      </c>
    </row>
    <row r="1289" spans="7:20" ht="14.4" x14ac:dyDescent="0.25">
      <c r="G1289" s="10">
        <v>6800</v>
      </c>
      <c r="H1289" s="9">
        <v>48452</v>
      </c>
      <c r="I1289" s="14">
        <f>DATE(2012,12,31)-814</f>
        <v>40460</v>
      </c>
      <c r="J1289" s="15" t="s">
        <v>17</v>
      </c>
      <c r="K1289" s="9">
        <v>15</v>
      </c>
      <c r="L1289" s="16" t="s">
        <v>26</v>
      </c>
      <c r="M1289" s="16">
        <f t="shared" si="117"/>
        <v>-0.7300816389539122</v>
      </c>
      <c r="N1289">
        <f t="shared" si="118"/>
        <v>0</v>
      </c>
      <c r="O1289">
        <f t="shared" si="119"/>
        <v>0</v>
      </c>
      <c r="P1289">
        <f t="shared" si="116"/>
        <v>4150</v>
      </c>
      <c r="Q1289">
        <f t="shared" si="120"/>
        <v>4150</v>
      </c>
      <c r="T1289" s="16">
        <f t="shared" si="121"/>
        <v>-0.73008163895391265</v>
      </c>
    </row>
    <row r="1290" spans="7:20" ht="14.4" x14ac:dyDescent="0.25">
      <c r="G1290" s="10">
        <v>6801</v>
      </c>
      <c r="H1290" s="9">
        <v>48452</v>
      </c>
      <c r="I1290" s="14">
        <f>DATE(2012,12,31)-814</f>
        <v>40460</v>
      </c>
      <c r="J1290" s="15" t="s">
        <v>17</v>
      </c>
      <c r="K1290" s="9">
        <v>28</v>
      </c>
      <c r="L1290" s="16" t="s">
        <v>26</v>
      </c>
      <c r="M1290" s="16">
        <f t="shared" si="117"/>
        <v>0.16769545709596645</v>
      </c>
      <c r="N1290">
        <f t="shared" si="118"/>
        <v>0</v>
      </c>
      <c r="O1290">
        <f t="shared" si="119"/>
        <v>0</v>
      </c>
      <c r="P1290">
        <f t="shared" si="116"/>
        <v>4800</v>
      </c>
      <c r="Q1290">
        <f t="shared" si="120"/>
        <v>4800</v>
      </c>
      <c r="T1290" s="16">
        <f t="shared" si="121"/>
        <v>0.16769545709596606</v>
      </c>
    </row>
    <row r="1291" spans="7:20" ht="14.4" x14ac:dyDescent="0.25">
      <c r="G1291" s="10">
        <v>6885</v>
      </c>
      <c r="H1291" s="9">
        <v>49088</v>
      </c>
      <c r="I1291" s="14">
        <f>DATE(2012,12,31)-1195</f>
        <v>40079</v>
      </c>
      <c r="J1291" s="15" t="s">
        <v>30</v>
      </c>
      <c r="K1291" s="9">
        <v>16</v>
      </c>
      <c r="L1291" s="16" t="s">
        <v>27</v>
      </c>
      <c r="M1291" s="16">
        <f t="shared" si="117"/>
        <v>-0.66102186233469074</v>
      </c>
      <c r="N1291">
        <f t="shared" si="118"/>
        <v>0</v>
      </c>
      <c r="O1291">
        <f t="shared" si="119"/>
        <v>0</v>
      </c>
      <c r="P1291">
        <f t="shared" si="116"/>
        <v>4200</v>
      </c>
      <c r="Q1291">
        <f t="shared" si="120"/>
        <v>4200</v>
      </c>
      <c r="T1291" s="16">
        <f t="shared" si="121"/>
        <v>-0.66102186233469118</v>
      </c>
    </row>
    <row r="1292" spans="7:20" ht="14.4" x14ac:dyDescent="0.25">
      <c r="G1292" s="10">
        <v>6886</v>
      </c>
      <c r="H1292" s="9">
        <v>49088</v>
      </c>
      <c r="I1292" s="14">
        <f>DATE(2012,12,31)-1195</f>
        <v>40079</v>
      </c>
      <c r="J1292" s="15" t="s">
        <v>30</v>
      </c>
      <c r="K1292" s="9">
        <v>15</v>
      </c>
      <c r="L1292" s="16" t="s">
        <v>26</v>
      </c>
      <c r="M1292" s="16">
        <f t="shared" si="117"/>
        <v>-0.7300816389539122</v>
      </c>
      <c r="N1292">
        <f t="shared" si="118"/>
        <v>0</v>
      </c>
      <c r="O1292">
        <f t="shared" si="119"/>
        <v>0</v>
      </c>
      <c r="P1292">
        <f t="shared" ref="P1292:P1355" si="122">50*K1292+$P$10</f>
        <v>4150</v>
      </c>
      <c r="Q1292">
        <f t="shared" si="120"/>
        <v>4150</v>
      </c>
      <c r="T1292" s="16">
        <f t="shared" si="121"/>
        <v>-0.73008163895391265</v>
      </c>
    </row>
    <row r="1293" spans="7:20" ht="14.4" x14ac:dyDescent="0.25">
      <c r="G1293" s="10">
        <v>6887</v>
      </c>
      <c r="H1293" s="9">
        <v>49088</v>
      </c>
      <c r="I1293" s="14">
        <f>DATE(2012,12,31)-1195</f>
        <v>40079</v>
      </c>
      <c r="J1293" s="15" t="s">
        <v>30</v>
      </c>
      <c r="K1293" s="9">
        <v>31</v>
      </c>
      <c r="L1293" s="16" t="s">
        <v>26</v>
      </c>
      <c r="M1293" s="16">
        <f t="shared" ref="M1293:M1356" si="123">(K1293-$K$4)/$K$7</f>
        <v>0.37487478695363075</v>
      </c>
      <c r="N1293">
        <f t="shared" ref="N1293:N1356" si="124">IF(MOD($B$20+G1293,1000)=0,1,0)</f>
        <v>0</v>
      </c>
      <c r="O1293">
        <f t="shared" ref="O1293:O1356" si="125">+ROUND(N1293*(IF(K1293&lt;$K$4,-4.5,10.5)*$P$5),-2)</f>
        <v>0</v>
      </c>
      <c r="P1293">
        <f t="shared" si="122"/>
        <v>4950</v>
      </c>
      <c r="Q1293">
        <f t="shared" ref="Q1293:Q1356" si="126">P1293+O1293</f>
        <v>4950</v>
      </c>
      <c r="T1293" s="16">
        <f t="shared" ref="T1293:T1356" si="127">(Q1293-$P$4)/$P$5</f>
        <v>0.37487478695363036</v>
      </c>
    </row>
    <row r="1294" spans="7:20" ht="14.4" x14ac:dyDescent="0.25">
      <c r="G1294" s="10">
        <v>6906</v>
      </c>
      <c r="H1294" s="9">
        <v>49223</v>
      </c>
      <c r="I1294" s="14">
        <f>DATE(2012,12,31)-456</f>
        <v>40818</v>
      </c>
      <c r="J1294" s="15" t="s">
        <v>16</v>
      </c>
      <c r="K1294" s="9">
        <v>24</v>
      </c>
      <c r="L1294" s="16" t="s">
        <v>26</v>
      </c>
      <c r="M1294" s="16">
        <f t="shared" si="123"/>
        <v>-0.1085436493809193</v>
      </c>
      <c r="N1294">
        <f t="shared" si="124"/>
        <v>0</v>
      </c>
      <c r="O1294">
        <f t="shared" si="125"/>
        <v>0</v>
      </c>
      <c r="P1294">
        <f t="shared" si="122"/>
        <v>4600</v>
      </c>
      <c r="Q1294">
        <f t="shared" si="126"/>
        <v>4600</v>
      </c>
      <c r="T1294" s="16">
        <f t="shared" si="127"/>
        <v>-0.10854364938091969</v>
      </c>
    </row>
    <row r="1295" spans="7:20" ht="14.4" x14ac:dyDescent="0.25">
      <c r="G1295" s="10">
        <v>6947</v>
      </c>
      <c r="H1295" s="9">
        <v>49634</v>
      </c>
      <c r="I1295" s="14">
        <f>DATE(2012,12,31)-283</f>
        <v>40991</v>
      </c>
      <c r="J1295" s="15" t="s">
        <v>28</v>
      </c>
      <c r="K1295" s="9">
        <v>39</v>
      </c>
      <c r="L1295" s="16" t="s">
        <v>26</v>
      </c>
      <c r="M1295" s="16">
        <f t="shared" si="123"/>
        <v>0.92735299990740228</v>
      </c>
      <c r="N1295">
        <f t="shared" si="124"/>
        <v>0</v>
      </c>
      <c r="O1295">
        <f t="shared" si="125"/>
        <v>0</v>
      </c>
      <c r="P1295">
        <f t="shared" si="122"/>
        <v>5350</v>
      </c>
      <c r="Q1295">
        <f t="shared" si="126"/>
        <v>5350</v>
      </c>
      <c r="T1295" s="16">
        <f t="shared" si="127"/>
        <v>0.92735299990740183</v>
      </c>
    </row>
    <row r="1296" spans="7:20" ht="14.4" x14ac:dyDescent="0.25">
      <c r="G1296" s="10">
        <v>6948</v>
      </c>
      <c r="H1296" s="9">
        <v>49634</v>
      </c>
      <c r="I1296" s="14">
        <f>DATE(2012,12,31)-283</f>
        <v>40991</v>
      </c>
      <c r="J1296" s="15" t="s">
        <v>28</v>
      </c>
      <c r="K1296" s="9">
        <v>3</v>
      </c>
      <c r="L1296" s="16" t="s">
        <v>27</v>
      </c>
      <c r="M1296" s="16">
        <f t="shared" si="123"/>
        <v>-1.5587989583845694</v>
      </c>
      <c r="N1296">
        <f t="shared" si="124"/>
        <v>0</v>
      </c>
      <c r="O1296">
        <f t="shared" si="125"/>
        <v>0</v>
      </c>
      <c r="P1296">
        <f t="shared" si="122"/>
        <v>3550</v>
      </c>
      <c r="Q1296">
        <f t="shared" si="126"/>
        <v>3550</v>
      </c>
      <c r="T1296" s="16">
        <f t="shared" si="127"/>
        <v>-1.5587989583845698</v>
      </c>
    </row>
    <row r="1297" spans="7:20" ht="14.4" x14ac:dyDescent="0.25">
      <c r="G1297" s="10">
        <v>6999</v>
      </c>
      <c r="H1297" s="9">
        <v>49987</v>
      </c>
      <c r="I1297" s="14">
        <f>DATE(2012,12,31)-712</f>
        <v>40562</v>
      </c>
      <c r="J1297" s="15" t="s">
        <v>17</v>
      </c>
      <c r="K1297" s="9">
        <v>15</v>
      </c>
      <c r="L1297" s="16" t="s">
        <v>29</v>
      </c>
      <c r="M1297" s="16">
        <f t="shared" si="123"/>
        <v>-0.7300816389539122</v>
      </c>
      <c r="N1297">
        <f t="shared" si="124"/>
        <v>0</v>
      </c>
      <c r="O1297">
        <f t="shared" si="125"/>
        <v>0</v>
      </c>
      <c r="P1297">
        <f t="shared" si="122"/>
        <v>4150</v>
      </c>
      <c r="Q1297">
        <f t="shared" si="126"/>
        <v>4150</v>
      </c>
      <c r="T1297" s="16">
        <f t="shared" si="127"/>
        <v>-0.73008163895391265</v>
      </c>
    </row>
    <row r="1298" spans="7:20" ht="14.4" x14ac:dyDescent="0.25">
      <c r="G1298" s="10">
        <v>7000</v>
      </c>
      <c r="H1298" s="9">
        <v>49987</v>
      </c>
      <c r="I1298" s="14">
        <f>DATE(2012,12,31)-712</f>
        <v>40562</v>
      </c>
      <c r="J1298" s="15" t="s">
        <v>17</v>
      </c>
      <c r="K1298" s="9">
        <v>4</v>
      </c>
      <c r="L1298" s="16" t="s">
        <v>29</v>
      </c>
      <c r="M1298" s="16">
        <f t="shared" si="123"/>
        <v>-1.489739181765348</v>
      </c>
      <c r="N1298">
        <f t="shared" si="124"/>
        <v>0</v>
      </c>
      <c r="O1298">
        <f t="shared" si="125"/>
        <v>0</v>
      </c>
      <c r="P1298">
        <f t="shared" si="122"/>
        <v>3600</v>
      </c>
      <c r="Q1298">
        <f t="shared" si="126"/>
        <v>3600</v>
      </c>
      <c r="T1298" s="16">
        <f t="shared" si="127"/>
        <v>-1.4897391817653485</v>
      </c>
    </row>
    <row r="1299" spans="7:20" ht="14.4" x14ac:dyDescent="0.25">
      <c r="G1299" s="10">
        <v>7032</v>
      </c>
      <c r="H1299" s="9">
        <v>50208</v>
      </c>
      <c r="I1299" s="14">
        <f>DATE(2012,12,31)-709</f>
        <v>40565</v>
      </c>
      <c r="J1299" s="15" t="s">
        <v>16</v>
      </c>
      <c r="K1299" s="9">
        <v>4</v>
      </c>
      <c r="L1299" s="16" t="s">
        <v>26</v>
      </c>
      <c r="M1299" s="16">
        <f t="shared" si="123"/>
        <v>-1.489739181765348</v>
      </c>
      <c r="N1299">
        <f t="shared" si="124"/>
        <v>0</v>
      </c>
      <c r="O1299">
        <f t="shared" si="125"/>
        <v>0</v>
      </c>
      <c r="P1299">
        <f t="shared" si="122"/>
        <v>3600</v>
      </c>
      <c r="Q1299">
        <f t="shared" si="126"/>
        <v>3600</v>
      </c>
      <c r="T1299" s="16">
        <f t="shared" si="127"/>
        <v>-1.4897391817653485</v>
      </c>
    </row>
    <row r="1300" spans="7:20" ht="14.4" x14ac:dyDescent="0.25">
      <c r="G1300" s="10">
        <v>7057</v>
      </c>
      <c r="H1300" s="9">
        <v>50338</v>
      </c>
      <c r="I1300" s="14">
        <f>DATE(2012,12,31)-1379</f>
        <v>39895</v>
      </c>
      <c r="J1300" s="15" t="s">
        <v>28</v>
      </c>
      <c r="K1300" s="9">
        <v>36</v>
      </c>
      <c r="L1300" s="16" t="s">
        <v>27</v>
      </c>
      <c r="M1300" s="16">
        <f t="shared" si="123"/>
        <v>0.72017367004973787</v>
      </c>
      <c r="N1300">
        <f t="shared" si="124"/>
        <v>0</v>
      </c>
      <c r="O1300">
        <f t="shared" si="125"/>
        <v>0</v>
      </c>
      <c r="P1300">
        <f t="shared" si="122"/>
        <v>5200</v>
      </c>
      <c r="Q1300">
        <f t="shared" si="126"/>
        <v>5200</v>
      </c>
      <c r="T1300" s="16">
        <f t="shared" si="127"/>
        <v>0.72017367004973754</v>
      </c>
    </row>
    <row r="1301" spans="7:20" ht="14.4" x14ac:dyDescent="0.25">
      <c r="G1301" s="10">
        <v>7138</v>
      </c>
      <c r="H1301" s="9">
        <v>50945</v>
      </c>
      <c r="I1301" s="14">
        <f>DATE(2012,12,31)-724</f>
        <v>40550</v>
      </c>
      <c r="J1301" s="15" t="s">
        <v>30</v>
      </c>
      <c r="K1301" s="9">
        <v>27</v>
      </c>
      <c r="L1301" s="16" t="s">
        <v>27</v>
      </c>
      <c r="M1301" s="16">
        <f t="shared" si="123"/>
        <v>9.8635680476745008E-2</v>
      </c>
      <c r="N1301">
        <f t="shared" si="124"/>
        <v>0</v>
      </c>
      <c r="O1301">
        <f t="shared" si="125"/>
        <v>0</v>
      </c>
      <c r="P1301">
        <f t="shared" si="122"/>
        <v>4750</v>
      </c>
      <c r="Q1301">
        <f t="shared" si="126"/>
        <v>4750</v>
      </c>
      <c r="T1301" s="16">
        <f t="shared" si="127"/>
        <v>9.8635680476744619E-2</v>
      </c>
    </row>
    <row r="1302" spans="7:20" ht="14.4" x14ac:dyDescent="0.25">
      <c r="G1302" s="10">
        <v>7210</v>
      </c>
      <c r="H1302" s="9">
        <v>51462</v>
      </c>
      <c r="I1302" s="14">
        <f>DATE(2012,12,31)-558</f>
        <v>40716</v>
      </c>
      <c r="J1302" s="15" t="s">
        <v>16</v>
      </c>
      <c r="K1302" s="9">
        <v>15</v>
      </c>
      <c r="L1302" s="16" t="s">
        <v>26</v>
      </c>
      <c r="M1302" s="16">
        <f t="shared" si="123"/>
        <v>-0.7300816389539122</v>
      </c>
      <c r="N1302">
        <f t="shared" si="124"/>
        <v>0</v>
      </c>
      <c r="O1302">
        <f t="shared" si="125"/>
        <v>0</v>
      </c>
      <c r="P1302">
        <f t="shared" si="122"/>
        <v>4150</v>
      </c>
      <c r="Q1302">
        <f t="shared" si="126"/>
        <v>4150</v>
      </c>
      <c r="T1302" s="16">
        <f t="shared" si="127"/>
        <v>-0.73008163895391265</v>
      </c>
    </row>
    <row r="1303" spans="7:20" ht="14.4" x14ac:dyDescent="0.25">
      <c r="G1303" s="10">
        <v>7218</v>
      </c>
      <c r="H1303" s="9">
        <v>51494</v>
      </c>
      <c r="I1303" s="14">
        <f>DATE(2012,12,31)-516</f>
        <v>40758</v>
      </c>
      <c r="J1303" s="15" t="s">
        <v>30</v>
      </c>
      <c r="K1303" s="9">
        <v>42</v>
      </c>
      <c r="L1303" s="16" t="s">
        <v>27</v>
      </c>
      <c r="M1303" s="16">
        <f t="shared" si="123"/>
        <v>1.1345323297650665</v>
      </c>
      <c r="N1303">
        <f t="shared" si="124"/>
        <v>0</v>
      </c>
      <c r="O1303">
        <f t="shared" si="125"/>
        <v>0</v>
      </c>
      <c r="P1303">
        <f t="shared" si="122"/>
        <v>5500</v>
      </c>
      <c r="Q1303">
        <f t="shared" si="126"/>
        <v>5500</v>
      </c>
      <c r="T1303" s="16">
        <f t="shared" si="127"/>
        <v>1.1345323297650662</v>
      </c>
    </row>
    <row r="1304" spans="7:20" ht="14.4" x14ac:dyDescent="0.25">
      <c r="G1304" s="10">
        <v>7221</v>
      </c>
      <c r="H1304" s="9">
        <v>51525</v>
      </c>
      <c r="I1304" s="14">
        <f>DATE(2012,12,31)-420</f>
        <v>40854</v>
      </c>
      <c r="J1304" s="15" t="s">
        <v>30</v>
      </c>
      <c r="K1304" s="9">
        <v>18</v>
      </c>
      <c r="L1304" s="16" t="s">
        <v>27</v>
      </c>
      <c r="M1304" s="16">
        <f t="shared" si="123"/>
        <v>-0.52290230909624791</v>
      </c>
      <c r="N1304">
        <f t="shared" si="124"/>
        <v>0</v>
      </c>
      <c r="O1304">
        <f t="shared" si="125"/>
        <v>0</v>
      </c>
      <c r="P1304">
        <f t="shared" si="122"/>
        <v>4300</v>
      </c>
      <c r="Q1304">
        <f t="shared" si="126"/>
        <v>4300</v>
      </c>
      <c r="T1304" s="16">
        <f t="shared" si="127"/>
        <v>-0.52290230909624835</v>
      </c>
    </row>
    <row r="1305" spans="7:20" ht="14.4" x14ac:dyDescent="0.25">
      <c r="G1305" s="10">
        <v>7222</v>
      </c>
      <c r="H1305" s="9">
        <v>51525</v>
      </c>
      <c r="I1305" s="14">
        <f>DATE(2012,12,31)-420</f>
        <v>40854</v>
      </c>
      <c r="J1305" s="15" t="s">
        <v>30</v>
      </c>
      <c r="K1305" s="9">
        <v>46</v>
      </c>
      <c r="L1305" s="16" t="s">
        <v>26</v>
      </c>
      <c r="M1305" s="16">
        <f t="shared" si="123"/>
        <v>1.4107714362419523</v>
      </c>
      <c r="N1305">
        <f t="shared" si="124"/>
        <v>0</v>
      </c>
      <c r="O1305">
        <f t="shared" si="125"/>
        <v>0</v>
      </c>
      <c r="P1305">
        <f t="shared" si="122"/>
        <v>5700</v>
      </c>
      <c r="Q1305">
        <f t="shared" si="126"/>
        <v>5700</v>
      </c>
      <c r="T1305" s="16">
        <f t="shared" si="127"/>
        <v>1.4107714362419519</v>
      </c>
    </row>
    <row r="1306" spans="7:20" ht="14.4" x14ac:dyDescent="0.25">
      <c r="G1306" s="10">
        <v>7428</v>
      </c>
      <c r="H1306" s="9">
        <v>52933</v>
      </c>
      <c r="I1306" s="14">
        <f>DATE(2012,12,31)-858</f>
        <v>40416</v>
      </c>
      <c r="J1306" s="15" t="s">
        <v>25</v>
      </c>
      <c r="K1306" s="9">
        <v>44</v>
      </c>
      <c r="L1306" s="16" t="s">
        <v>26</v>
      </c>
      <c r="M1306" s="16">
        <f t="shared" si="123"/>
        <v>1.2726518830035094</v>
      </c>
      <c r="N1306">
        <f t="shared" si="124"/>
        <v>0</v>
      </c>
      <c r="O1306">
        <f t="shared" si="125"/>
        <v>0</v>
      </c>
      <c r="P1306">
        <f t="shared" si="122"/>
        <v>5600</v>
      </c>
      <c r="Q1306">
        <f t="shared" si="126"/>
        <v>5600</v>
      </c>
      <c r="T1306" s="16">
        <f t="shared" si="127"/>
        <v>1.272651883003509</v>
      </c>
    </row>
    <row r="1307" spans="7:20" ht="14.4" x14ac:dyDescent="0.25">
      <c r="G1307" s="10">
        <v>7437</v>
      </c>
      <c r="H1307" s="9">
        <v>53025</v>
      </c>
      <c r="I1307" s="14">
        <f>DATE(2012,12,31)-1020</f>
        <v>40254</v>
      </c>
      <c r="J1307" s="15" t="s">
        <v>30</v>
      </c>
      <c r="K1307" s="9">
        <v>32</v>
      </c>
      <c r="L1307" s="16" t="s">
        <v>26</v>
      </c>
      <c r="M1307" s="16">
        <f t="shared" si="123"/>
        <v>0.44393456357285216</v>
      </c>
      <c r="N1307">
        <f t="shared" si="124"/>
        <v>0</v>
      </c>
      <c r="O1307">
        <f t="shared" si="125"/>
        <v>0</v>
      </c>
      <c r="P1307">
        <f t="shared" si="122"/>
        <v>5000</v>
      </c>
      <c r="Q1307">
        <f t="shared" si="126"/>
        <v>5000</v>
      </c>
      <c r="T1307" s="16">
        <f t="shared" si="127"/>
        <v>0.44393456357285183</v>
      </c>
    </row>
    <row r="1308" spans="7:20" ht="14.4" x14ac:dyDescent="0.25">
      <c r="G1308" s="10">
        <v>7539</v>
      </c>
      <c r="H1308" s="9">
        <v>53894</v>
      </c>
      <c r="I1308" s="14">
        <f>DATE(2012,12,31)-1273</f>
        <v>40001</v>
      </c>
      <c r="J1308" s="15" t="s">
        <v>30</v>
      </c>
      <c r="K1308" s="9">
        <v>47</v>
      </c>
      <c r="L1308" s="16" t="s">
        <v>29</v>
      </c>
      <c r="M1308" s="16">
        <f t="shared" si="123"/>
        <v>1.4798312128611737</v>
      </c>
      <c r="N1308">
        <f t="shared" si="124"/>
        <v>0</v>
      </c>
      <c r="O1308">
        <f t="shared" si="125"/>
        <v>0</v>
      </c>
      <c r="P1308">
        <f t="shared" si="122"/>
        <v>5750</v>
      </c>
      <c r="Q1308">
        <f t="shared" si="126"/>
        <v>5750</v>
      </c>
      <c r="T1308" s="16">
        <f t="shared" si="127"/>
        <v>1.4798312128611733</v>
      </c>
    </row>
    <row r="1309" spans="7:20" ht="14.4" x14ac:dyDescent="0.25">
      <c r="G1309" s="10">
        <v>7540</v>
      </c>
      <c r="H1309" s="9">
        <v>53894</v>
      </c>
      <c r="I1309" s="14">
        <f>DATE(2012,12,31)-1273</f>
        <v>40001</v>
      </c>
      <c r="J1309" s="15" t="s">
        <v>30</v>
      </c>
      <c r="K1309" s="9">
        <v>37</v>
      </c>
      <c r="L1309" s="16" t="s">
        <v>29</v>
      </c>
      <c r="M1309" s="16">
        <f t="shared" si="123"/>
        <v>0.78923344666895934</v>
      </c>
      <c r="N1309">
        <f t="shared" si="124"/>
        <v>0</v>
      </c>
      <c r="O1309">
        <f t="shared" si="125"/>
        <v>0</v>
      </c>
      <c r="P1309">
        <f t="shared" si="122"/>
        <v>5250</v>
      </c>
      <c r="Q1309">
        <f t="shared" si="126"/>
        <v>5250</v>
      </c>
      <c r="T1309" s="16">
        <f t="shared" si="127"/>
        <v>0.789233446668959</v>
      </c>
    </row>
    <row r="1310" spans="7:20" ht="14.4" x14ac:dyDescent="0.25">
      <c r="G1310" s="10">
        <v>7541</v>
      </c>
      <c r="H1310" s="9">
        <v>53894</v>
      </c>
      <c r="I1310" s="14">
        <f>DATE(2012,12,31)-1273</f>
        <v>40001</v>
      </c>
      <c r="J1310" s="15" t="s">
        <v>30</v>
      </c>
      <c r="K1310" s="9">
        <v>29</v>
      </c>
      <c r="L1310" s="16" t="s">
        <v>27</v>
      </c>
      <c r="M1310" s="16">
        <f t="shared" si="123"/>
        <v>0.23675523371518786</v>
      </c>
      <c r="N1310">
        <f t="shared" si="124"/>
        <v>0</v>
      </c>
      <c r="O1310">
        <f t="shared" si="125"/>
        <v>0</v>
      </c>
      <c r="P1310">
        <f t="shared" si="122"/>
        <v>4850</v>
      </c>
      <c r="Q1310">
        <f t="shared" si="126"/>
        <v>4850</v>
      </c>
      <c r="T1310" s="16">
        <f t="shared" si="127"/>
        <v>0.2367552337151875</v>
      </c>
    </row>
    <row r="1311" spans="7:20" ht="14.4" x14ac:dyDescent="0.25">
      <c r="G1311" s="10">
        <v>7544</v>
      </c>
      <c r="H1311" s="9">
        <v>53953</v>
      </c>
      <c r="I1311" s="14">
        <f>DATE(2012,12,31)-1375</f>
        <v>39899</v>
      </c>
      <c r="J1311" s="15" t="s">
        <v>28</v>
      </c>
      <c r="K1311" s="9">
        <v>36</v>
      </c>
      <c r="L1311" s="16" t="s">
        <v>26</v>
      </c>
      <c r="M1311" s="16">
        <f t="shared" si="123"/>
        <v>0.72017367004973787</v>
      </c>
      <c r="N1311">
        <f t="shared" si="124"/>
        <v>0</v>
      </c>
      <c r="O1311">
        <f t="shared" si="125"/>
        <v>0</v>
      </c>
      <c r="P1311">
        <f t="shared" si="122"/>
        <v>5200</v>
      </c>
      <c r="Q1311">
        <f t="shared" si="126"/>
        <v>5200</v>
      </c>
      <c r="T1311" s="16">
        <f t="shared" si="127"/>
        <v>0.72017367004973754</v>
      </c>
    </row>
    <row r="1312" spans="7:20" ht="14.4" x14ac:dyDescent="0.25">
      <c r="G1312" s="10">
        <v>7587</v>
      </c>
      <c r="H1312" s="9">
        <v>54304</v>
      </c>
      <c r="I1312" s="14">
        <f>DATE(2012,12,31)-1048</f>
        <v>40226</v>
      </c>
      <c r="J1312" s="15" t="s">
        <v>17</v>
      </c>
      <c r="K1312" s="9">
        <v>11</v>
      </c>
      <c r="L1312" s="16" t="s">
        <v>26</v>
      </c>
      <c r="M1312" s="16">
        <f t="shared" si="123"/>
        <v>-1.0063207454307979</v>
      </c>
      <c r="N1312">
        <f t="shared" si="124"/>
        <v>0</v>
      </c>
      <c r="O1312">
        <f t="shared" si="125"/>
        <v>0</v>
      </c>
      <c r="P1312">
        <f t="shared" si="122"/>
        <v>3950</v>
      </c>
      <c r="Q1312">
        <f t="shared" si="126"/>
        <v>3950</v>
      </c>
      <c r="T1312" s="16">
        <f t="shared" si="127"/>
        <v>-1.0063207454307983</v>
      </c>
    </row>
    <row r="1313" spans="7:20" ht="14.4" x14ac:dyDescent="0.25">
      <c r="G1313" s="10">
        <v>7685</v>
      </c>
      <c r="H1313" s="9">
        <v>55075</v>
      </c>
      <c r="I1313" s="14">
        <f>DATE(2012,12,31)-699</f>
        <v>40575</v>
      </c>
      <c r="J1313" s="15" t="s">
        <v>30</v>
      </c>
      <c r="K1313" s="9">
        <v>21</v>
      </c>
      <c r="L1313" s="16" t="s">
        <v>29</v>
      </c>
      <c r="M1313" s="16">
        <f t="shared" si="123"/>
        <v>-0.31572297923858361</v>
      </c>
      <c r="N1313">
        <f t="shared" si="124"/>
        <v>0</v>
      </c>
      <c r="O1313">
        <f t="shared" si="125"/>
        <v>0</v>
      </c>
      <c r="P1313">
        <f t="shared" si="122"/>
        <v>4450</v>
      </c>
      <c r="Q1313">
        <f t="shared" si="126"/>
        <v>4450</v>
      </c>
      <c r="T1313" s="16">
        <f t="shared" si="127"/>
        <v>-0.315722979238584</v>
      </c>
    </row>
    <row r="1314" spans="7:20" ht="14.4" x14ac:dyDescent="0.25">
      <c r="G1314" s="10">
        <v>7710</v>
      </c>
      <c r="H1314" s="9">
        <v>55268</v>
      </c>
      <c r="I1314" s="14">
        <f>DATE(2012,12,31)-289</f>
        <v>40985</v>
      </c>
      <c r="J1314" s="15" t="s">
        <v>17</v>
      </c>
      <c r="K1314" s="9">
        <v>11</v>
      </c>
      <c r="L1314" s="16" t="s">
        <v>27</v>
      </c>
      <c r="M1314" s="16">
        <f t="shared" si="123"/>
        <v>-1.0063207454307979</v>
      </c>
      <c r="N1314">
        <f t="shared" si="124"/>
        <v>0</v>
      </c>
      <c r="O1314">
        <f t="shared" si="125"/>
        <v>0</v>
      </c>
      <c r="P1314">
        <f t="shared" si="122"/>
        <v>3950</v>
      </c>
      <c r="Q1314">
        <f t="shared" si="126"/>
        <v>3950</v>
      </c>
      <c r="T1314" s="16">
        <f t="shared" si="127"/>
        <v>-1.0063207454307983</v>
      </c>
    </row>
    <row r="1315" spans="7:20" ht="14.4" x14ac:dyDescent="0.25">
      <c r="G1315" s="10">
        <v>7731</v>
      </c>
      <c r="H1315" s="9">
        <v>55367</v>
      </c>
      <c r="I1315" s="14">
        <f>DATE(2012,12,31)-1451</f>
        <v>39823</v>
      </c>
      <c r="J1315" s="15" t="s">
        <v>30</v>
      </c>
      <c r="K1315" s="9">
        <v>31</v>
      </c>
      <c r="L1315" s="16" t="s">
        <v>29</v>
      </c>
      <c r="M1315" s="16">
        <f t="shared" si="123"/>
        <v>0.37487478695363075</v>
      </c>
      <c r="N1315">
        <f t="shared" si="124"/>
        <v>0</v>
      </c>
      <c r="O1315">
        <f t="shared" si="125"/>
        <v>0</v>
      </c>
      <c r="P1315">
        <f t="shared" si="122"/>
        <v>4950</v>
      </c>
      <c r="Q1315">
        <f t="shared" si="126"/>
        <v>4950</v>
      </c>
      <c r="T1315" s="16">
        <f t="shared" si="127"/>
        <v>0.37487478695363036</v>
      </c>
    </row>
    <row r="1316" spans="7:20" ht="14.4" x14ac:dyDescent="0.25">
      <c r="G1316" s="10">
        <v>7732</v>
      </c>
      <c r="H1316" s="9">
        <v>55367</v>
      </c>
      <c r="I1316" s="14">
        <f>DATE(2012,12,31)-1451</f>
        <v>39823</v>
      </c>
      <c r="J1316" s="15" t="s">
        <v>30</v>
      </c>
      <c r="K1316" s="9">
        <v>48</v>
      </c>
      <c r="L1316" s="16" t="s">
        <v>26</v>
      </c>
      <c r="M1316" s="16">
        <f t="shared" si="123"/>
        <v>1.5488909894803951</v>
      </c>
      <c r="N1316">
        <f t="shared" si="124"/>
        <v>0</v>
      </c>
      <c r="O1316">
        <f t="shared" si="125"/>
        <v>0</v>
      </c>
      <c r="P1316">
        <f t="shared" si="122"/>
        <v>5800</v>
      </c>
      <c r="Q1316">
        <f t="shared" si="126"/>
        <v>5800</v>
      </c>
      <c r="T1316" s="16">
        <f t="shared" si="127"/>
        <v>1.5488909894803948</v>
      </c>
    </row>
    <row r="1317" spans="7:20" ht="14.4" x14ac:dyDescent="0.25">
      <c r="G1317" s="10">
        <v>7875</v>
      </c>
      <c r="H1317" s="9">
        <v>56321</v>
      </c>
      <c r="I1317" s="14">
        <f>DATE(2012,12,31)-990</f>
        <v>40284</v>
      </c>
      <c r="J1317" s="15" t="s">
        <v>30</v>
      </c>
      <c r="K1317" s="9">
        <v>24</v>
      </c>
      <c r="L1317" s="16" t="s">
        <v>26</v>
      </c>
      <c r="M1317" s="16">
        <f t="shared" si="123"/>
        <v>-0.1085436493809193</v>
      </c>
      <c r="N1317">
        <f t="shared" si="124"/>
        <v>0</v>
      </c>
      <c r="O1317">
        <f t="shared" si="125"/>
        <v>0</v>
      </c>
      <c r="P1317">
        <f t="shared" si="122"/>
        <v>4600</v>
      </c>
      <c r="Q1317">
        <f t="shared" si="126"/>
        <v>4600</v>
      </c>
      <c r="T1317" s="16">
        <f t="shared" si="127"/>
        <v>-0.10854364938091969</v>
      </c>
    </row>
    <row r="1318" spans="7:20" ht="14.4" x14ac:dyDescent="0.25">
      <c r="G1318" s="10">
        <v>7919</v>
      </c>
      <c r="H1318" s="9">
        <v>56610</v>
      </c>
      <c r="I1318" s="14">
        <f>DATE(2012,12,31)-1030</f>
        <v>40244</v>
      </c>
      <c r="J1318" s="15" t="s">
        <v>16</v>
      </c>
      <c r="K1318" s="9">
        <v>20</v>
      </c>
      <c r="L1318" s="16" t="s">
        <v>27</v>
      </c>
      <c r="M1318" s="16">
        <f t="shared" si="123"/>
        <v>-0.38478275585780503</v>
      </c>
      <c r="N1318">
        <f t="shared" si="124"/>
        <v>0</v>
      </c>
      <c r="O1318">
        <f t="shared" si="125"/>
        <v>0</v>
      </c>
      <c r="P1318">
        <f t="shared" si="122"/>
        <v>4400</v>
      </c>
      <c r="Q1318">
        <f t="shared" si="126"/>
        <v>4400</v>
      </c>
      <c r="T1318" s="16">
        <f t="shared" si="127"/>
        <v>-0.38478275585780541</v>
      </c>
    </row>
    <row r="1319" spans="7:20" ht="14.4" x14ac:dyDescent="0.25">
      <c r="G1319" s="10">
        <v>7943</v>
      </c>
      <c r="H1319" s="9">
        <v>56740</v>
      </c>
      <c r="I1319" s="14">
        <f>DATE(2012,12,31)-76</f>
        <v>41198</v>
      </c>
      <c r="J1319" s="15" t="s">
        <v>30</v>
      </c>
      <c r="K1319" s="9">
        <v>33</v>
      </c>
      <c r="L1319" s="16" t="s">
        <v>29</v>
      </c>
      <c r="M1319" s="16">
        <f t="shared" si="123"/>
        <v>0.51299434019207357</v>
      </c>
      <c r="N1319">
        <f t="shared" si="124"/>
        <v>0</v>
      </c>
      <c r="O1319">
        <f t="shared" si="125"/>
        <v>0</v>
      </c>
      <c r="P1319">
        <f t="shared" si="122"/>
        <v>5050</v>
      </c>
      <c r="Q1319">
        <f t="shared" si="126"/>
        <v>5050</v>
      </c>
      <c r="T1319" s="16">
        <f t="shared" si="127"/>
        <v>0.51299434019207324</v>
      </c>
    </row>
    <row r="1320" spans="7:20" ht="14.4" x14ac:dyDescent="0.25">
      <c r="G1320" s="10">
        <v>7962</v>
      </c>
      <c r="H1320" s="9">
        <v>56901</v>
      </c>
      <c r="I1320" s="14">
        <f>DATE(2012,12,31)-1207</f>
        <v>40067</v>
      </c>
      <c r="J1320" s="15" t="s">
        <v>30</v>
      </c>
      <c r="K1320" s="9">
        <v>36</v>
      </c>
      <c r="L1320" s="16" t="s">
        <v>26</v>
      </c>
      <c r="M1320" s="16">
        <f t="shared" si="123"/>
        <v>0.72017367004973787</v>
      </c>
      <c r="N1320">
        <f t="shared" si="124"/>
        <v>0</v>
      </c>
      <c r="O1320">
        <f t="shared" si="125"/>
        <v>0</v>
      </c>
      <c r="P1320">
        <f t="shared" si="122"/>
        <v>5200</v>
      </c>
      <c r="Q1320">
        <f t="shared" si="126"/>
        <v>5200</v>
      </c>
      <c r="T1320" s="16">
        <f t="shared" si="127"/>
        <v>0.72017367004973754</v>
      </c>
    </row>
    <row r="1321" spans="7:20" ht="14.4" x14ac:dyDescent="0.25">
      <c r="G1321" s="10">
        <v>8020</v>
      </c>
      <c r="H1321" s="9">
        <v>57314</v>
      </c>
      <c r="I1321" s="14">
        <f>DATE(2012,12,31)-811</f>
        <v>40463</v>
      </c>
      <c r="J1321" s="15" t="s">
        <v>25</v>
      </c>
      <c r="K1321" s="9">
        <v>22</v>
      </c>
      <c r="L1321" s="16" t="s">
        <v>26</v>
      </c>
      <c r="M1321" s="16">
        <f t="shared" si="123"/>
        <v>-0.24666320261936217</v>
      </c>
      <c r="N1321">
        <f t="shared" si="124"/>
        <v>0</v>
      </c>
      <c r="O1321">
        <f t="shared" si="125"/>
        <v>0</v>
      </c>
      <c r="P1321">
        <f t="shared" si="122"/>
        <v>4500</v>
      </c>
      <c r="Q1321">
        <f t="shared" si="126"/>
        <v>4500</v>
      </c>
      <c r="T1321" s="16">
        <f t="shared" si="127"/>
        <v>-0.24666320261936256</v>
      </c>
    </row>
    <row r="1322" spans="7:20" ht="14.4" x14ac:dyDescent="0.25">
      <c r="G1322" s="10">
        <v>8021</v>
      </c>
      <c r="H1322" s="9">
        <v>57314</v>
      </c>
      <c r="I1322" s="14">
        <f>DATE(2012,12,31)-811</f>
        <v>40463</v>
      </c>
      <c r="J1322" s="15" t="s">
        <v>25</v>
      </c>
      <c r="K1322" s="9">
        <v>26</v>
      </c>
      <c r="L1322" s="16" t="s">
        <v>27</v>
      </c>
      <c r="M1322" s="16">
        <f t="shared" si="123"/>
        <v>2.9575903857523567E-2</v>
      </c>
      <c r="N1322">
        <f t="shared" si="124"/>
        <v>0</v>
      </c>
      <c r="O1322">
        <f t="shared" si="125"/>
        <v>0</v>
      </c>
      <c r="P1322">
        <f t="shared" si="122"/>
        <v>4700</v>
      </c>
      <c r="Q1322">
        <f t="shared" si="126"/>
        <v>4700</v>
      </c>
      <c r="T1322" s="16">
        <f t="shared" si="127"/>
        <v>2.9575903857523185E-2</v>
      </c>
    </row>
    <row r="1323" spans="7:20" ht="14.4" x14ac:dyDescent="0.25">
      <c r="G1323" s="10">
        <v>8027</v>
      </c>
      <c r="H1323" s="9">
        <v>57376</v>
      </c>
      <c r="I1323" s="14">
        <f>DATE(2012,12,31)-561</f>
        <v>40713</v>
      </c>
      <c r="J1323" s="15" t="s">
        <v>30</v>
      </c>
      <c r="K1323" s="9">
        <v>44</v>
      </c>
      <c r="L1323" s="16" t="s">
        <v>29</v>
      </c>
      <c r="M1323" s="16">
        <f t="shared" si="123"/>
        <v>1.2726518830035094</v>
      </c>
      <c r="N1323">
        <f t="shared" si="124"/>
        <v>0</v>
      </c>
      <c r="O1323">
        <f t="shared" si="125"/>
        <v>0</v>
      </c>
      <c r="P1323">
        <f t="shared" si="122"/>
        <v>5600</v>
      </c>
      <c r="Q1323">
        <f t="shared" si="126"/>
        <v>5600</v>
      </c>
      <c r="T1323" s="16">
        <f t="shared" si="127"/>
        <v>1.272651883003509</v>
      </c>
    </row>
    <row r="1324" spans="7:20" ht="14.4" x14ac:dyDescent="0.25">
      <c r="G1324" s="10">
        <v>8028</v>
      </c>
      <c r="H1324" s="9">
        <v>57376</v>
      </c>
      <c r="I1324" s="14">
        <f>DATE(2012,12,31)-561</f>
        <v>40713</v>
      </c>
      <c r="J1324" s="15" t="s">
        <v>30</v>
      </c>
      <c r="K1324" s="9">
        <v>6</v>
      </c>
      <c r="L1324" s="16" t="s">
        <v>27</v>
      </c>
      <c r="M1324" s="16">
        <f t="shared" si="123"/>
        <v>-1.3516196285269051</v>
      </c>
      <c r="N1324">
        <f t="shared" si="124"/>
        <v>0</v>
      </c>
      <c r="O1324">
        <f t="shared" si="125"/>
        <v>0</v>
      </c>
      <c r="P1324">
        <f t="shared" si="122"/>
        <v>3700</v>
      </c>
      <c r="Q1324">
        <f t="shared" si="126"/>
        <v>3700</v>
      </c>
      <c r="T1324" s="16">
        <f t="shared" si="127"/>
        <v>-1.3516196285269055</v>
      </c>
    </row>
    <row r="1325" spans="7:20" ht="14.4" x14ac:dyDescent="0.25">
      <c r="G1325" s="10">
        <v>8086</v>
      </c>
      <c r="H1325" s="9">
        <v>57671</v>
      </c>
      <c r="I1325" s="14">
        <f>DATE(2012,12,31)-54</f>
        <v>41220</v>
      </c>
      <c r="J1325" s="15" t="s">
        <v>28</v>
      </c>
      <c r="K1325" s="9">
        <v>6</v>
      </c>
      <c r="L1325" s="16" t="s">
        <v>26</v>
      </c>
      <c r="M1325" s="16">
        <f t="shared" si="123"/>
        <v>-1.3516196285269051</v>
      </c>
      <c r="N1325">
        <f t="shared" si="124"/>
        <v>0</v>
      </c>
      <c r="O1325">
        <f t="shared" si="125"/>
        <v>0</v>
      </c>
      <c r="P1325">
        <f t="shared" si="122"/>
        <v>3700</v>
      </c>
      <c r="Q1325">
        <f t="shared" si="126"/>
        <v>3700</v>
      </c>
      <c r="T1325" s="16">
        <f t="shared" si="127"/>
        <v>-1.3516196285269055</v>
      </c>
    </row>
    <row r="1326" spans="7:20" ht="14.4" x14ac:dyDescent="0.25">
      <c r="G1326" s="10">
        <v>8092</v>
      </c>
      <c r="H1326" s="9">
        <v>57700</v>
      </c>
      <c r="I1326" s="14">
        <f>DATE(2012,12,31)-415</f>
        <v>40859</v>
      </c>
      <c r="J1326" s="15" t="s">
        <v>16</v>
      </c>
      <c r="K1326" s="9">
        <v>38</v>
      </c>
      <c r="L1326" s="16" t="s">
        <v>27</v>
      </c>
      <c r="M1326" s="16">
        <f t="shared" si="123"/>
        <v>0.85829322328818081</v>
      </c>
      <c r="N1326">
        <f t="shared" si="124"/>
        <v>0</v>
      </c>
      <c r="O1326">
        <f t="shared" si="125"/>
        <v>0</v>
      </c>
      <c r="P1326">
        <f t="shared" si="122"/>
        <v>5300</v>
      </c>
      <c r="Q1326">
        <f t="shared" si="126"/>
        <v>5300</v>
      </c>
      <c r="T1326" s="16">
        <f t="shared" si="127"/>
        <v>0.85829322328818036</v>
      </c>
    </row>
    <row r="1327" spans="7:20" ht="14.4" x14ac:dyDescent="0.25">
      <c r="G1327" s="10">
        <v>8172</v>
      </c>
      <c r="H1327" s="9">
        <v>58407</v>
      </c>
      <c r="I1327" s="14">
        <f>DATE(2012,12,31)-605</f>
        <v>40669</v>
      </c>
      <c r="J1327" s="15" t="s">
        <v>17</v>
      </c>
      <c r="K1327" s="9">
        <v>29</v>
      </c>
      <c r="L1327" s="16" t="s">
        <v>26</v>
      </c>
      <c r="M1327" s="16">
        <f t="shared" si="123"/>
        <v>0.23675523371518786</v>
      </c>
      <c r="N1327">
        <f t="shared" si="124"/>
        <v>0</v>
      </c>
      <c r="O1327">
        <f t="shared" si="125"/>
        <v>0</v>
      </c>
      <c r="P1327">
        <f t="shared" si="122"/>
        <v>4850</v>
      </c>
      <c r="Q1327">
        <f t="shared" si="126"/>
        <v>4850</v>
      </c>
      <c r="T1327" s="16">
        <f t="shared" si="127"/>
        <v>0.2367552337151875</v>
      </c>
    </row>
    <row r="1328" spans="7:20" ht="14.4" x14ac:dyDescent="0.25">
      <c r="G1328" s="10">
        <v>8191</v>
      </c>
      <c r="H1328" s="9">
        <v>58593</v>
      </c>
      <c r="I1328" s="14">
        <f>DATE(2012,12,31)-480</f>
        <v>40794</v>
      </c>
      <c r="J1328" s="15" t="s">
        <v>30</v>
      </c>
      <c r="K1328" s="9">
        <v>29</v>
      </c>
      <c r="L1328" s="16" t="s">
        <v>29</v>
      </c>
      <c r="M1328" s="16">
        <f t="shared" si="123"/>
        <v>0.23675523371518786</v>
      </c>
      <c r="N1328">
        <f t="shared" si="124"/>
        <v>0</v>
      </c>
      <c r="O1328">
        <f t="shared" si="125"/>
        <v>0</v>
      </c>
      <c r="P1328">
        <f t="shared" si="122"/>
        <v>4850</v>
      </c>
      <c r="Q1328">
        <f t="shared" si="126"/>
        <v>4850</v>
      </c>
      <c r="T1328" s="16">
        <f t="shared" si="127"/>
        <v>0.2367552337151875</v>
      </c>
    </row>
    <row r="1329" spans="7:20" ht="14.4" x14ac:dyDescent="0.25">
      <c r="G1329" s="10">
        <v>8238</v>
      </c>
      <c r="H1329" s="9">
        <v>58884</v>
      </c>
      <c r="I1329" s="14">
        <f>DATE(2012,12,31)-651</f>
        <v>40623</v>
      </c>
      <c r="J1329" s="15" t="s">
        <v>25</v>
      </c>
      <c r="K1329" s="9">
        <v>29</v>
      </c>
      <c r="L1329" s="16" t="s">
        <v>26</v>
      </c>
      <c r="M1329" s="16">
        <f t="shared" si="123"/>
        <v>0.23675523371518786</v>
      </c>
      <c r="N1329">
        <f t="shared" si="124"/>
        <v>0</v>
      </c>
      <c r="O1329">
        <f t="shared" si="125"/>
        <v>0</v>
      </c>
      <c r="P1329">
        <f t="shared" si="122"/>
        <v>4850</v>
      </c>
      <c r="Q1329">
        <f t="shared" si="126"/>
        <v>4850</v>
      </c>
      <c r="T1329" s="16">
        <f t="shared" si="127"/>
        <v>0.2367552337151875</v>
      </c>
    </row>
    <row r="1330" spans="7:20" ht="14.4" x14ac:dyDescent="0.25">
      <c r="G1330" s="10">
        <v>8239</v>
      </c>
      <c r="H1330" s="9">
        <v>58884</v>
      </c>
      <c r="I1330" s="14">
        <f>DATE(2012,12,31)-651</f>
        <v>40623</v>
      </c>
      <c r="J1330" s="15" t="s">
        <v>25</v>
      </c>
      <c r="K1330" s="9">
        <v>46</v>
      </c>
      <c r="L1330" s="16" t="s">
        <v>29</v>
      </c>
      <c r="M1330" s="16">
        <f t="shared" si="123"/>
        <v>1.4107714362419523</v>
      </c>
      <c r="N1330">
        <f t="shared" si="124"/>
        <v>0</v>
      </c>
      <c r="O1330">
        <f t="shared" si="125"/>
        <v>0</v>
      </c>
      <c r="P1330">
        <f t="shared" si="122"/>
        <v>5700</v>
      </c>
      <c r="Q1330">
        <f t="shared" si="126"/>
        <v>5700</v>
      </c>
      <c r="T1330" s="16">
        <f t="shared" si="127"/>
        <v>1.4107714362419519</v>
      </c>
    </row>
    <row r="1331" spans="7:20" ht="14.4" x14ac:dyDescent="0.25">
      <c r="G1331" s="10">
        <v>8240</v>
      </c>
      <c r="H1331" s="9">
        <v>58913</v>
      </c>
      <c r="I1331" s="14">
        <f>DATE(2012,12,31)-965</f>
        <v>40309</v>
      </c>
      <c r="J1331" s="15" t="s">
        <v>16</v>
      </c>
      <c r="K1331" s="9">
        <v>23</v>
      </c>
      <c r="L1331" s="16" t="s">
        <v>26</v>
      </c>
      <c r="M1331" s="16">
        <f t="shared" si="123"/>
        <v>-0.17760342600014073</v>
      </c>
      <c r="N1331">
        <f t="shared" si="124"/>
        <v>0</v>
      </c>
      <c r="O1331">
        <f t="shared" si="125"/>
        <v>0</v>
      </c>
      <c r="P1331">
        <f t="shared" si="122"/>
        <v>4550</v>
      </c>
      <c r="Q1331">
        <f t="shared" si="126"/>
        <v>4550</v>
      </c>
      <c r="T1331" s="16">
        <f t="shared" si="127"/>
        <v>-0.17760342600014112</v>
      </c>
    </row>
    <row r="1332" spans="7:20" ht="14.4" x14ac:dyDescent="0.25">
      <c r="G1332" s="10">
        <v>8248</v>
      </c>
      <c r="H1332" s="9">
        <v>58978</v>
      </c>
      <c r="I1332" s="14">
        <f>DATE(2012,12,31)-329</f>
        <v>40945</v>
      </c>
      <c r="J1332" s="15" t="s">
        <v>25</v>
      </c>
      <c r="K1332" s="9">
        <v>13</v>
      </c>
      <c r="L1332" s="16" t="s">
        <v>26</v>
      </c>
      <c r="M1332" s="16">
        <f t="shared" si="123"/>
        <v>-0.86820119219235514</v>
      </c>
      <c r="N1332">
        <f t="shared" si="124"/>
        <v>0</v>
      </c>
      <c r="O1332">
        <f t="shared" si="125"/>
        <v>0</v>
      </c>
      <c r="P1332">
        <f t="shared" si="122"/>
        <v>4050</v>
      </c>
      <c r="Q1332">
        <f t="shared" si="126"/>
        <v>4050</v>
      </c>
      <c r="T1332" s="16">
        <f t="shared" si="127"/>
        <v>-0.86820119219235548</v>
      </c>
    </row>
    <row r="1333" spans="7:20" ht="14.4" x14ac:dyDescent="0.25">
      <c r="G1333" s="10">
        <v>37</v>
      </c>
      <c r="H1333" s="9">
        <v>229</v>
      </c>
      <c r="I1333" s="14">
        <f>DATE(2012,12,31)-734</f>
        <v>40540</v>
      </c>
      <c r="J1333" s="15" t="s">
        <v>30</v>
      </c>
      <c r="K1333" s="9">
        <v>43</v>
      </c>
      <c r="L1333" s="16" t="s">
        <v>29</v>
      </c>
      <c r="M1333" s="16">
        <f t="shared" si="123"/>
        <v>1.203592106384288</v>
      </c>
      <c r="N1333">
        <f t="shared" si="124"/>
        <v>0</v>
      </c>
      <c r="O1333">
        <f t="shared" si="125"/>
        <v>0</v>
      </c>
      <c r="P1333">
        <f t="shared" si="122"/>
        <v>5550</v>
      </c>
      <c r="Q1333">
        <f t="shared" si="126"/>
        <v>5550</v>
      </c>
      <c r="T1333" s="16">
        <f t="shared" si="127"/>
        <v>1.2035921063842876</v>
      </c>
    </row>
    <row r="1334" spans="7:20" ht="14.4" x14ac:dyDescent="0.25">
      <c r="G1334" s="10">
        <v>108</v>
      </c>
      <c r="H1334" s="9">
        <v>706</v>
      </c>
      <c r="I1334" s="14">
        <f>DATE(2012,12,31)-480</f>
        <v>40794</v>
      </c>
      <c r="J1334" s="15" t="s">
        <v>30</v>
      </c>
      <c r="K1334" s="9">
        <v>42</v>
      </c>
      <c r="L1334" s="16" t="s">
        <v>26</v>
      </c>
      <c r="M1334" s="16">
        <f t="shared" si="123"/>
        <v>1.1345323297650665</v>
      </c>
      <c r="N1334">
        <f t="shared" si="124"/>
        <v>0</v>
      </c>
      <c r="O1334">
        <f t="shared" si="125"/>
        <v>0</v>
      </c>
      <c r="P1334">
        <f t="shared" si="122"/>
        <v>5500</v>
      </c>
      <c r="Q1334">
        <f t="shared" si="126"/>
        <v>5500</v>
      </c>
      <c r="T1334" s="16">
        <f t="shared" si="127"/>
        <v>1.1345323297650662</v>
      </c>
    </row>
    <row r="1335" spans="7:20" ht="14.4" x14ac:dyDescent="0.25">
      <c r="G1335" s="10">
        <v>193</v>
      </c>
      <c r="H1335" s="9">
        <v>1285</v>
      </c>
      <c r="I1335" s="14">
        <f>DATE(2012,12,31)-214</f>
        <v>41060</v>
      </c>
      <c r="J1335" s="15" t="s">
        <v>30</v>
      </c>
      <c r="K1335" s="9">
        <v>27</v>
      </c>
      <c r="L1335" s="16" t="s">
        <v>29</v>
      </c>
      <c r="M1335" s="16">
        <f t="shared" si="123"/>
        <v>9.8635680476745008E-2</v>
      </c>
      <c r="N1335">
        <f t="shared" si="124"/>
        <v>0</v>
      </c>
      <c r="O1335">
        <f t="shared" si="125"/>
        <v>0</v>
      </c>
      <c r="P1335">
        <f t="shared" si="122"/>
        <v>4750</v>
      </c>
      <c r="Q1335">
        <f t="shared" si="126"/>
        <v>4750</v>
      </c>
      <c r="T1335" s="16">
        <f t="shared" si="127"/>
        <v>9.8635680476744619E-2</v>
      </c>
    </row>
    <row r="1336" spans="7:20" ht="14.4" x14ac:dyDescent="0.25">
      <c r="G1336" s="10">
        <v>194</v>
      </c>
      <c r="H1336" s="9">
        <v>1285</v>
      </c>
      <c r="I1336" s="14">
        <f>DATE(2012,12,31)-214</f>
        <v>41060</v>
      </c>
      <c r="J1336" s="15" t="s">
        <v>30</v>
      </c>
      <c r="K1336" s="9">
        <v>8</v>
      </c>
      <c r="L1336" s="16" t="s">
        <v>29</v>
      </c>
      <c r="M1336" s="16">
        <f t="shared" si="123"/>
        <v>-1.2135000752884624</v>
      </c>
      <c r="N1336">
        <f t="shared" si="124"/>
        <v>0</v>
      </c>
      <c r="O1336">
        <f t="shared" si="125"/>
        <v>0</v>
      </c>
      <c r="P1336">
        <f t="shared" si="122"/>
        <v>3800</v>
      </c>
      <c r="Q1336">
        <f t="shared" si="126"/>
        <v>3800</v>
      </c>
      <c r="T1336" s="16">
        <f t="shared" si="127"/>
        <v>-1.2135000752884626</v>
      </c>
    </row>
    <row r="1337" spans="7:20" ht="14.4" x14ac:dyDescent="0.25">
      <c r="G1337" s="10">
        <v>198</v>
      </c>
      <c r="H1337" s="9">
        <v>1313</v>
      </c>
      <c r="I1337" s="14">
        <f>DATE(2012,12,31)-1206</f>
        <v>40068</v>
      </c>
      <c r="J1337" s="15" t="s">
        <v>30</v>
      </c>
      <c r="K1337" s="9">
        <v>34</v>
      </c>
      <c r="L1337" s="16" t="s">
        <v>26</v>
      </c>
      <c r="M1337" s="16">
        <f t="shared" si="123"/>
        <v>0.58205411681129504</v>
      </c>
      <c r="N1337">
        <f t="shared" si="124"/>
        <v>0</v>
      </c>
      <c r="O1337">
        <f t="shared" si="125"/>
        <v>0</v>
      </c>
      <c r="P1337">
        <f t="shared" si="122"/>
        <v>5100</v>
      </c>
      <c r="Q1337">
        <f t="shared" si="126"/>
        <v>5100</v>
      </c>
      <c r="T1337" s="16">
        <f t="shared" si="127"/>
        <v>0.58205411681129471</v>
      </c>
    </row>
    <row r="1338" spans="7:20" ht="14.4" x14ac:dyDescent="0.25">
      <c r="G1338" s="10">
        <v>206</v>
      </c>
      <c r="H1338" s="9">
        <v>1346</v>
      </c>
      <c r="I1338" s="14">
        <f>DATE(2012,12,31)-197</f>
        <v>41077</v>
      </c>
      <c r="J1338" s="15" t="s">
        <v>17</v>
      </c>
      <c r="K1338" s="9">
        <v>48</v>
      </c>
      <c r="L1338" s="16" t="s">
        <v>29</v>
      </c>
      <c r="M1338" s="16">
        <f t="shared" si="123"/>
        <v>1.5488909894803951</v>
      </c>
      <c r="N1338">
        <f t="shared" si="124"/>
        <v>0</v>
      </c>
      <c r="O1338">
        <f t="shared" si="125"/>
        <v>0</v>
      </c>
      <c r="P1338">
        <f t="shared" si="122"/>
        <v>5800</v>
      </c>
      <c r="Q1338">
        <f t="shared" si="126"/>
        <v>5800</v>
      </c>
      <c r="T1338" s="16">
        <f t="shared" si="127"/>
        <v>1.5488909894803948</v>
      </c>
    </row>
    <row r="1339" spans="7:20" ht="14.4" x14ac:dyDescent="0.25">
      <c r="G1339" s="10">
        <v>246</v>
      </c>
      <c r="H1339" s="9">
        <v>1699</v>
      </c>
      <c r="I1339" s="14">
        <f>DATE(2012,12,31)-733</f>
        <v>40541</v>
      </c>
      <c r="J1339" s="15" t="s">
        <v>30</v>
      </c>
      <c r="K1339" s="9">
        <v>40</v>
      </c>
      <c r="L1339" s="16" t="s">
        <v>26</v>
      </c>
      <c r="M1339" s="16">
        <f t="shared" si="123"/>
        <v>0.99641277652662363</v>
      </c>
      <c r="N1339">
        <f t="shared" si="124"/>
        <v>0</v>
      </c>
      <c r="O1339">
        <f t="shared" si="125"/>
        <v>0</v>
      </c>
      <c r="P1339">
        <f t="shared" si="122"/>
        <v>5400</v>
      </c>
      <c r="Q1339">
        <f t="shared" si="126"/>
        <v>5400</v>
      </c>
      <c r="T1339" s="16">
        <f t="shared" si="127"/>
        <v>0.9964127765266233</v>
      </c>
    </row>
    <row r="1340" spans="7:20" ht="14.4" x14ac:dyDescent="0.25">
      <c r="G1340" s="10">
        <v>314</v>
      </c>
      <c r="H1340" s="9">
        <v>2208</v>
      </c>
      <c r="I1340" s="14">
        <f>DATE(2012,12,31)-611</f>
        <v>40663</v>
      </c>
      <c r="J1340" s="15" t="s">
        <v>28</v>
      </c>
      <c r="K1340" s="9">
        <v>7</v>
      </c>
      <c r="L1340" s="16" t="s">
        <v>26</v>
      </c>
      <c r="M1340" s="16">
        <f t="shared" si="123"/>
        <v>-1.2825598519076837</v>
      </c>
      <c r="N1340">
        <f t="shared" si="124"/>
        <v>0</v>
      </c>
      <c r="O1340">
        <f t="shared" si="125"/>
        <v>0</v>
      </c>
      <c r="P1340">
        <f t="shared" si="122"/>
        <v>3750</v>
      </c>
      <c r="Q1340">
        <f t="shared" si="126"/>
        <v>3750</v>
      </c>
      <c r="T1340" s="16">
        <f t="shared" si="127"/>
        <v>-1.2825598519076842</v>
      </c>
    </row>
    <row r="1341" spans="7:20" ht="14.4" x14ac:dyDescent="0.25">
      <c r="G1341" s="10">
        <v>315</v>
      </c>
      <c r="H1341" s="9">
        <v>2208</v>
      </c>
      <c r="I1341" s="14">
        <f>DATE(2012,12,31)-611</f>
        <v>40663</v>
      </c>
      <c r="J1341" s="15" t="s">
        <v>28</v>
      </c>
      <c r="K1341" s="9">
        <v>41</v>
      </c>
      <c r="L1341" s="16" t="s">
        <v>27</v>
      </c>
      <c r="M1341" s="16">
        <f t="shared" si="123"/>
        <v>1.0654725531458451</v>
      </c>
      <c r="N1341">
        <f t="shared" si="124"/>
        <v>0</v>
      </c>
      <c r="O1341">
        <f t="shared" si="125"/>
        <v>0</v>
      </c>
      <c r="P1341">
        <f t="shared" si="122"/>
        <v>5450</v>
      </c>
      <c r="Q1341">
        <f t="shared" si="126"/>
        <v>5450</v>
      </c>
      <c r="T1341" s="16">
        <f t="shared" si="127"/>
        <v>1.0654725531458447</v>
      </c>
    </row>
    <row r="1342" spans="7:20" ht="14.4" x14ac:dyDescent="0.25">
      <c r="G1342" s="10">
        <v>382</v>
      </c>
      <c r="H1342" s="9">
        <v>2656</v>
      </c>
      <c r="I1342" s="14">
        <f>DATE(2012,12,31)-973</f>
        <v>40301</v>
      </c>
      <c r="J1342" s="15" t="s">
        <v>30</v>
      </c>
      <c r="K1342" s="9">
        <v>3</v>
      </c>
      <c r="L1342" s="16" t="s">
        <v>29</v>
      </c>
      <c r="M1342" s="16">
        <f t="shared" si="123"/>
        <v>-1.5587989583845694</v>
      </c>
      <c r="N1342">
        <f t="shared" si="124"/>
        <v>0</v>
      </c>
      <c r="O1342">
        <f t="shared" si="125"/>
        <v>0</v>
      </c>
      <c r="P1342">
        <f t="shared" si="122"/>
        <v>3550</v>
      </c>
      <c r="Q1342">
        <f t="shared" si="126"/>
        <v>3550</v>
      </c>
      <c r="T1342" s="16">
        <f t="shared" si="127"/>
        <v>-1.5587989583845698</v>
      </c>
    </row>
    <row r="1343" spans="7:20" ht="14.4" x14ac:dyDescent="0.25">
      <c r="G1343" s="10">
        <v>383</v>
      </c>
      <c r="H1343" s="9">
        <v>2656</v>
      </c>
      <c r="I1343" s="14">
        <f>DATE(2012,12,31)-973</f>
        <v>40301</v>
      </c>
      <c r="J1343" s="15" t="s">
        <v>30</v>
      </c>
      <c r="K1343" s="9">
        <v>29</v>
      </c>
      <c r="L1343" s="16" t="s">
        <v>27</v>
      </c>
      <c r="M1343" s="16">
        <f t="shared" si="123"/>
        <v>0.23675523371518786</v>
      </c>
      <c r="N1343">
        <f t="shared" si="124"/>
        <v>0</v>
      </c>
      <c r="O1343">
        <f t="shared" si="125"/>
        <v>0</v>
      </c>
      <c r="P1343">
        <f t="shared" si="122"/>
        <v>4850</v>
      </c>
      <c r="Q1343">
        <f t="shared" si="126"/>
        <v>4850</v>
      </c>
      <c r="T1343" s="16">
        <f t="shared" si="127"/>
        <v>0.2367552337151875</v>
      </c>
    </row>
    <row r="1344" spans="7:20" ht="14.4" x14ac:dyDescent="0.25">
      <c r="G1344" s="10">
        <v>483</v>
      </c>
      <c r="H1344" s="9">
        <v>3361</v>
      </c>
      <c r="I1344" s="14">
        <f>DATE(2012,12,31)-131</f>
        <v>41143</v>
      </c>
      <c r="J1344" s="15" t="s">
        <v>28</v>
      </c>
      <c r="K1344" s="9">
        <v>49</v>
      </c>
      <c r="L1344" s="16" t="s">
        <v>26</v>
      </c>
      <c r="M1344" s="16">
        <f t="shared" si="123"/>
        <v>1.6179507660996166</v>
      </c>
      <c r="N1344">
        <f t="shared" si="124"/>
        <v>0</v>
      </c>
      <c r="O1344">
        <f t="shared" si="125"/>
        <v>0</v>
      </c>
      <c r="P1344">
        <f t="shared" si="122"/>
        <v>5850</v>
      </c>
      <c r="Q1344">
        <f t="shared" si="126"/>
        <v>5850</v>
      </c>
      <c r="T1344" s="16">
        <f t="shared" si="127"/>
        <v>1.6179507660996162</v>
      </c>
    </row>
    <row r="1345" spans="7:20" ht="14.4" x14ac:dyDescent="0.25">
      <c r="G1345" s="10">
        <v>484</v>
      </c>
      <c r="H1345" s="9">
        <v>3361</v>
      </c>
      <c r="I1345" s="14">
        <f>DATE(2012,12,31)-131</f>
        <v>41143</v>
      </c>
      <c r="J1345" s="15" t="s">
        <v>28</v>
      </c>
      <c r="K1345" s="9">
        <v>23</v>
      </c>
      <c r="L1345" s="16" t="s">
        <v>26</v>
      </c>
      <c r="M1345" s="16">
        <f t="shared" si="123"/>
        <v>-0.17760342600014073</v>
      </c>
      <c r="N1345">
        <f t="shared" si="124"/>
        <v>0</v>
      </c>
      <c r="O1345">
        <f t="shared" si="125"/>
        <v>0</v>
      </c>
      <c r="P1345">
        <f t="shared" si="122"/>
        <v>4550</v>
      </c>
      <c r="Q1345">
        <f t="shared" si="126"/>
        <v>4550</v>
      </c>
      <c r="T1345" s="16">
        <f t="shared" si="127"/>
        <v>-0.17760342600014112</v>
      </c>
    </row>
    <row r="1346" spans="7:20" ht="14.4" x14ac:dyDescent="0.25">
      <c r="G1346" s="10">
        <v>488</v>
      </c>
      <c r="H1346" s="9">
        <v>3393</v>
      </c>
      <c r="I1346" s="14">
        <f>DATE(2012,12,31)-547</f>
        <v>40727</v>
      </c>
      <c r="J1346" s="15" t="s">
        <v>17</v>
      </c>
      <c r="K1346" s="9">
        <v>7</v>
      </c>
      <c r="L1346" s="16" t="s">
        <v>27</v>
      </c>
      <c r="M1346" s="16">
        <f t="shared" si="123"/>
        <v>-1.2825598519076837</v>
      </c>
      <c r="N1346">
        <f t="shared" si="124"/>
        <v>0</v>
      </c>
      <c r="O1346">
        <f t="shared" si="125"/>
        <v>0</v>
      </c>
      <c r="P1346">
        <f t="shared" si="122"/>
        <v>3750</v>
      </c>
      <c r="Q1346">
        <f t="shared" si="126"/>
        <v>3750</v>
      </c>
      <c r="T1346" s="16">
        <f t="shared" si="127"/>
        <v>-1.2825598519076842</v>
      </c>
    </row>
    <row r="1347" spans="7:20" ht="14.4" x14ac:dyDescent="0.25">
      <c r="G1347" s="10">
        <v>489</v>
      </c>
      <c r="H1347" s="9">
        <v>3393</v>
      </c>
      <c r="I1347" s="14">
        <f>DATE(2012,12,31)-547</f>
        <v>40727</v>
      </c>
      <c r="J1347" s="15" t="s">
        <v>17</v>
      </c>
      <c r="K1347" s="9">
        <v>33</v>
      </c>
      <c r="L1347" s="16" t="s">
        <v>29</v>
      </c>
      <c r="M1347" s="16">
        <f t="shared" si="123"/>
        <v>0.51299434019207357</v>
      </c>
      <c r="N1347">
        <f t="shared" si="124"/>
        <v>0</v>
      </c>
      <c r="O1347">
        <f t="shared" si="125"/>
        <v>0</v>
      </c>
      <c r="P1347">
        <f t="shared" si="122"/>
        <v>5050</v>
      </c>
      <c r="Q1347">
        <f t="shared" si="126"/>
        <v>5050</v>
      </c>
      <c r="T1347" s="16">
        <f t="shared" si="127"/>
        <v>0.51299434019207324</v>
      </c>
    </row>
    <row r="1348" spans="7:20" ht="14.4" x14ac:dyDescent="0.25">
      <c r="G1348" s="10">
        <v>638</v>
      </c>
      <c r="H1348" s="9">
        <v>4487</v>
      </c>
      <c r="I1348" s="14">
        <f>DATE(2012,12,31)-1043</f>
        <v>40231</v>
      </c>
      <c r="J1348" s="15" t="s">
        <v>16</v>
      </c>
      <c r="K1348" s="9">
        <v>50</v>
      </c>
      <c r="L1348" s="16" t="s">
        <v>26</v>
      </c>
      <c r="M1348" s="16">
        <f t="shared" si="123"/>
        <v>1.687010542718838</v>
      </c>
      <c r="N1348">
        <f t="shared" si="124"/>
        <v>0</v>
      </c>
      <c r="O1348">
        <f t="shared" si="125"/>
        <v>0</v>
      </c>
      <c r="P1348">
        <f t="shared" si="122"/>
        <v>5900</v>
      </c>
      <c r="Q1348">
        <f t="shared" si="126"/>
        <v>5900</v>
      </c>
      <c r="T1348" s="16">
        <f t="shared" si="127"/>
        <v>1.6870105427188375</v>
      </c>
    </row>
    <row r="1349" spans="7:20" ht="14.4" x14ac:dyDescent="0.25">
      <c r="G1349" s="10">
        <v>649</v>
      </c>
      <c r="H1349" s="9">
        <v>4579</v>
      </c>
      <c r="I1349" s="14">
        <f>DATE(2012,12,31)-397</f>
        <v>40877</v>
      </c>
      <c r="J1349" s="15" t="s">
        <v>17</v>
      </c>
      <c r="K1349" s="9">
        <v>40</v>
      </c>
      <c r="L1349" s="16" t="s">
        <v>26</v>
      </c>
      <c r="M1349" s="16">
        <f t="shared" si="123"/>
        <v>0.99641277652662363</v>
      </c>
      <c r="N1349">
        <f t="shared" si="124"/>
        <v>0</v>
      </c>
      <c r="O1349">
        <f t="shared" si="125"/>
        <v>0</v>
      </c>
      <c r="P1349">
        <f t="shared" si="122"/>
        <v>5400</v>
      </c>
      <c r="Q1349">
        <f t="shared" si="126"/>
        <v>5400</v>
      </c>
      <c r="T1349" s="16">
        <f t="shared" si="127"/>
        <v>0.9964127765266233</v>
      </c>
    </row>
    <row r="1350" spans="7:20" ht="14.4" x14ac:dyDescent="0.25">
      <c r="G1350" s="10">
        <v>713</v>
      </c>
      <c r="H1350" s="9">
        <v>5061</v>
      </c>
      <c r="I1350" s="14">
        <f>DATE(2012,12,31)-871</f>
        <v>40403</v>
      </c>
      <c r="J1350" s="15" t="s">
        <v>30</v>
      </c>
      <c r="K1350" s="9">
        <v>4</v>
      </c>
      <c r="L1350" s="16" t="s">
        <v>26</v>
      </c>
      <c r="M1350" s="16">
        <f t="shared" si="123"/>
        <v>-1.489739181765348</v>
      </c>
      <c r="N1350">
        <f t="shared" si="124"/>
        <v>0</v>
      </c>
      <c r="O1350">
        <f t="shared" si="125"/>
        <v>0</v>
      </c>
      <c r="P1350">
        <f t="shared" si="122"/>
        <v>3600</v>
      </c>
      <c r="Q1350">
        <f t="shared" si="126"/>
        <v>3600</v>
      </c>
      <c r="T1350" s="16">
        <f t="shared" si="127"/>
        <v>-1.4897391817653485</v>
      </c>
    </row>
    <row r="1351" spans="7:20" ht="14.4" x14ac:dyDescent="0.25">
      <c r="G1351" s="10">
        <v>714</v>
      </c>
      <c r="H1351" s="9">
        <v>5092</v>
      </c>
      <c r="I1351" s="14">
        <f>DATE(2012,12,31)-429</f>
        <v>40845</v>
      </c>
      <c r="J1351" s="15" t="s">
        <v>25</v>
      </c>
      <c r="K1351" s="9">
        <v>3</v>
      </c>
      <c r="L1351" s="16" t="s">
        <v>29</v>
      </c>
      <c r="M1351" s="16">
        <f t="shared" si="123"/>
        <v>-1.5587989583845694</v>
      </c>
      <c r="N1351">
        <f t="shared" si="124"/>
        <v>0</v>
      </c>
      <c r="O1351">
        <f t="shared" si="125"/>
        <v>0</v>
      </c>
      <c r="P1351">
        <f t="shared" si="122"/>
        <v>3550</v>
      </c>
      <c r="Q1351">
        <f t="shared" si="126"/>
        <v>3550</v>
      </c>
      <c r="T1351" s="16">
        <f t="shared" si="127"/>
        <v>-1.5587989583845698</v>
      </c>
    </row>
    <row r="1352" spans="7:20" ht="14.4" x14ac:dyDescent="0.25">
      <c r="G1352" s="10">
        <v>715</v>
      </c>
      <c r="H1352" s="9">
        <v>5092</v>
      </c>
      <c r="I1352" s="14">
        <f>DATE(2012,12,31)-429</f>
        <v>40845</v>
      </c>
      <c r="J1352" s="15" t="s">
        <v>25</v>
      </c>
      <c r="K1352" s="9">
        <v>25</v>
      </c>
      <c r="L1352" s="16" t="s">
        <v>26</v>
      </c>
      <c r="M1352" s="16">
        <f t="shared" si="123"/>
        <v>-3.9483872761697868E-2</v>
      </c>
      <c r="N1352">
        <f t="shared" si="124"/>
        <v>0</v>
      </c>
      <c r="O1352">
        <f t="shared" si="125"/>
        <v>0</v>
      </c>
      <c r="P1352">
        <f t="shared" si="122"/>
        <v>4650</v>
      </c>
      <c r="Q1352">
        <f t="shared" si="126"/>
        <v>4650</v>
      </c>
      <c r="T1352" s="16">
        <f t="shared" si="127"/>
        <v>-3.9483872761698249E-2</v>
      </c>
    </row>
    <row r="1353" spans="7:20" ht="14.4" x14ac:dyDescent="0.25">
      <c r="G1353" s="10">
        <v>773</v>
      </c>
      <c r="H1353" s="9">
        <v>5511</v>
      </c>
      <c r="I1353" s="14">
        <f>DATE(2012,12,31)-1129</f>
        <v>40145</v>
      </c>
      <c r="J1353" s="15" t="s">
        <v>30</v>
      </c>
      <c r="K1353" s="9">
        <v>46</v>
      </c>
      <c r="L1353" s="16" t="s">
        <v>26</v>
      </c>
      <c r="M1353" s="16">
        <f t="shared" si="123"/>
        <v>1.4107714362419523</v>
      </c>
      <c r="N1353">
        <f t="shared" si="124"/>
        <v>0</v>
      </c>
      <c r="O1353">
        <f t="shared" si="125"/>
        <v>0</v>
      </c>
      <c r="P1353">
        <f t="shared" si="122"/>
        <v>5700</v>
      </c>
      <c r="Q1353">
        <f t="shared" si="126"/>
        <v>5700</v>
      </c>
      <c r="T1353" s="16">
        <f t="shared" si="127"/>
        <v>1.4107714362419519</v>
      </c>
    </row>
    <row r="1354" spans="7:20" ht="14.4" x14ac:dyDescent="0.25">
      <c r="G1354" s="10">
        <v>774</v>
      </c>
      <c r="H1354" s="9">
        <v>5511</v>
      </c>
      <c r="I1354" s="14">
        <f>DATE(2012,12,31)-1129</f>
        <v>40145</v>
      </c>
      <c r="J1354" s="15" t="s">
        <v>30</v>
      </c>
      <c r="K1354" s="9">
        <v>32</v>
      </c>
      <c r="L1354" s="16" t="s">
        <v>27</v>
      </c>
      <c r="M1354" s="16">
        <f t="shared" si="123"/>
        <v>0.44393456357285216</v>
      </c>
      <c r="N1354">
        <f t="shared" si="124"/>
        <v>0</v>
      </c>
      <c r="O1354">
        <f t="shared" si="125"/>
        <v>0</v>
      </c>
      <c r="P1354">
        <f t="shared" si="122"/>
        <v>5000</v>
      </c>
      <c r="Q1354">
        <f t="shared" si="126"/>
        <v>5000</v>
      </c>
      <c r="T1354" s="16">
        <f t="shared" si="127"/>
        <v>0.44393456357285183</v>
      </c>
    </row>
    <row r="1355" spans="7:20" ht="14.4" x14ac:dyDescent="0.25">
      <c r="G1355" s="10">
        <v>807</v>
      </c>
      <c r="H1355" s="9">
        <v>5799</v>
      </c>
      <c r="I1355" s="14">
        <f>DATE(2012,12,31)-517</f>
        <v>40757</v>
      </c>
      <c r="J1355" s="15" t="s">
        <v>30</v>
      </c>
      <c r="K1355" s="9">
        <v>34</v>
      </c>
      <c r="L1355" s="16" t="s">
        <v>26</v>
      </c>
      <c r="M1355" s="16">
        <f t="shared" si="123"/>
        <v>0.58205411681129504</v>
      </c>
      <c r="N1355">
        <f t="shared" si="124"/>
        <v>0</v>
      </c>
      <c r="O1355">
        <f t="shared" si="125"/>
        <v>0</v>
      </c>
      <c r="P1355">
        <f t="shared" si="122"/>
        <v>5100</v>
      </c>
      <c r="Q1355">
        <f t="shared" si="126"/>
        <v>5100</v>
      </c>
      <c r="T1355" s="16">
        <f t="shared" si="127"/>
        <v>0.58205411681129471</v>
      </c>
    </row>
    <row r="1356" spans="7:20" ht="14.4" x14ac:dyDescent="0.25">
      <c r="G1356" s="10">
        <v>815</v>
      </c>
      <c r="H1356" s="9">
        <v>5890</v>
      </c>
      <c r="I1356" s="14">
        <f>DATE(2012,12,31)-58</f>
        <v>41216</v>
      </c>
      <c r="J1356" s="15" t="s">
        <v>17</v>
      </c>
      <c r="K1356" s="9">
        <v>42</v>
      </c>
      <c r="L1356" s="16" t="s">
        <v>27</v>
      </c>
      <c r="M1356" s="16">
        <f t="shared" si="123"/>
        <v>1.1345323297650665</v>
      </c>
      <c r="N1356">
        <f t="shared" si="124"/>
        <v>0</v>
      </c>
      <c r="O1356">
        <f t="shared" si="125"/>
        <v>0</v>
      </c>
      <c r="P1356">
        <f t="shared" ref="P1356:P1419" si="128">50*K1356+$P$10</f>
        <v>5500</v>
      </c>
      <c r="Q1356">
        <f t="shared" si="126"/>
        <v>5500</v>
      </c>
      <c r="T1356" s="16">
        <f t="shared" si="127"/>
        <v>1.1345323297650662</v>
      </c>
    </row>
    <row r="1357" spans="7:20" ht="14.4" x14ac:dyDescent="0.25">
      <c r="G1357" s="10">
        <v>919</v>
      </c>
      <c r="H1357" s="9">
        <v>6596</v>
      </c>
      <c r="I1357" s="14">
        <f>DATE(2012,12,31)-529</f>
        <v>40745</v>
      </c>
      <c r="J1357" s="15" t="s">
        <v>25</v>
      </c>
      <c r="K1357" s="9">
        <v>36</v>
      </c>
      <c r="L1357" s="16" t="s">
        <v>27</v>
      </c>
      <c r="M1357" s="16">
        <f t="shared" ref="M1357:M1420" si="129">(K1357-$K$4)/$K$7</f>
        <v>0.72017367004973787</v>
      </c>
      <c r="N1357">
        <f t="shared" ref="N1357:N1420" si="130">IF(MOD($B$20+G1357,1000)=0,1,0)</f>
        <v>0</v>
      </c>
      <c r="O1357">
        <f t="shared" ref="O1357:O1420" si="131">+ROUND(N1357*(IF(K1357&lt;$K$4,-4.5,10.5)*$P$5),-2)</f>
        <v>0</v>
      </c>
      <c r="P1357">
        <f t="shared" si="128"/>
        <v>5200</v>
      </c>
      <c r="Q1357">
        <f t="shared" ref="Q1357:Q1420" si="132">P1357+O1357</f>
        <v>5200</v>
      </c>
      <c r="T1357" s="16">
        <f t="shared" ref="T1357:T1420" si="133">(Q1357-$P$4)/$P$5</f>
        <v>0.72017367004973754</v>
      </c>
    </row>
    <row r="1358" spans="7:20" ht="14.4" x14ac:dyDescent="0.25">
      <c r="G1358" s="10">
        <v>967</v>
      </c>
      <c r="H1358" s="9">
        <v>7015</v>
      </c>
      <c r="I1358" s="14">
        <f>DATE(2012,12,31)-811</f>
        <v>40463</v>
      </c>
      <c r="J1358" s="15" t="s">
        <v>28</v>
      </c>
      <c r="K1358" s="9">
        <v>47</v>
      </c>
      <c r="L1358" s="16" t="s">
        <v>27</v>
      </c>
      <c r="M1358" s="16">
        <f t="shared" si="129"/>
        <v>1.4798312128611737</v>
      </c>
      <c r="N1358">
        <f t="shared" si="130"/>
        <v>0</v>
      </c>
      <c r="O1358">
        <f t="shared" si="131"/>
        <v>0</v>
      </c>
      <c r="P1358">
        <f t="shared" si="128"/>
        <v>5750</v>
      </c>
      <c r="Q1358">
        <f t="shared" si="132"/>
        <v>5750</v>
      </c>
      <c r="T1358" s="16">
        <f t="shared" si="133"/>
        <v>1.4798312128611733</v>
      </c>
    </row>
    <row r="1359" spans="7:20" ht="14.4" x14ac:dyDescent="0.25">
      <c r="G1359" s="10">
        <v>968</v>
      </c>
      <c r="H1359" s="9">
        <v>7015</v>
      </c>
      <c r="I1359" s="14">
        <f>DATE(2012,12,31)-811</f>
        <v>40463</v>
      </c>
      <c r="J1359" s="15" t="s">
        <v>28</v>
      </c>
      <c r="K1359" s="9">
        <v>42</v>
      </c>
      <c r="L1359" s="16" t="s">
        <v>27</v>
      </c>
      <c r="M1359" s="16">
        <f t="shared" si="129"/>
        <v>1.1345323297650665</v>
      </c>
      <c r="N1359">
        <f t="shared" si="130"/>
        <v>0</v>
      </c>
      <c r="O1359">
        <f t="shared" si="131"/>
        <v>0</v>
      </c>
      <c r="P1359">
        <f t="shared" si="128"/>
        <v>5500</v>
      </c>
      <c r="Q1359">
        <f t="shared" si="132"/>
        <v>5500</v>
      </c>
      <c r="T1359" s="16">
        <f t="shared" si="133"/>
        <v>1.1345323297650662</v>
      </c>
    </row>
    <row r="1360" spans="7:20" ht="14.4" x14ac:dyDescent="0.25">
      <c r="G1360" s="10">
        <v>982</v>
      </c>
      <c r="H1360" s="9">
        <v>7106</v>
      </c>
      <c r="I1360" s="14">
        <f>DATE(2012,12,31)-235</f>
        <v>41039</v>
      </c>
      <c r="J1360" s="15" t="s">
        <v>25</v>
      </c>
      <c r="K1360" s="9">
        <v>8</v>
      </c>
      <c r="L1360" s="16" t="s">
        <v>26</v>
      </c>
      <c r="M1360" s="16">
        <f t="shared" si="129"/>
        <v>-1.2135000752884624</v>
      </c>
      <c r="N1360">
        <f t="shared" si="130"/>
        <v>0</v>
      </c>
      <c r="O1360">
        <f t="shared" si="131"/>
        <v>0</v>
      </c>
      <c r="P1360">
        <f t="shared" si="128"/>
        <v>3800</v>
      </c>
      <c r="Q1360">
        <f t="shared" si="132"/>
        <v>3800</v>
      </c>
      <c r="T1360" s="16">
        <f t="shared" si="133"/>
        <v>-1.2135000752884626</v>
      </c>
    </row>
    <row r="1361" spans="7:20" ht="14.4" x14ac:dyDescent="0.25">
      <c r="G1361" s="10">
        <v>983</v>
      </c>
      <c r="H1361" s="9">
        <v>7106</v>
      </c>
      <c r="I1361" s="14">
        <f>DATE(2012,12,31)-235</f>
        <v>41039</v>
      </c>
      <c r="J1361" s="15" t="s">
        <v>25</v>
      </c>
      <c r="K1361" s="9">
        <v>31</v>
      </c>
      <c r="L1361" s="16" t="s">
        <v>27</v>
      </c>
      <c r="M1361" s="16">
        <f t="shared" si="129"/>
        <v>0.37487478695363075</v>
      </c>
      <c r="N1361">
        <f t="shared" si="130"/>
        <v>0</v>
      </c>
      <c r="O1361">
        <f t="shared" si="131"/>
        <v>0</v>
      </c>
      <c r="P1361">
        <f t="shared" si="128"/>
        <v>4950</v>
      </c>
      <c r="Q1361">
        <f t="shared" si="132"/>
        <v>4950</v>
      </c>
      <c r="T1361" s="16">
        <f t="shared" si="133"/>
        <v>0.37487478695363036</v>
      </c>
    </row>
    <row r="1362" spans="7:20" ht="14.4" x14ac:dyDescent="0.25">
      <c r="G1362" s="10">
        <v>984</v>
      </c>
      <c r="H1362" s="9">
        <v>7106</v>
      </c>
      <c r="I1362" s="14">
        <f>DATE(2012,12,31)-235</f>
        <v>41039</v>
      </c>
      <c r="J1362" s="15" t="s">
        <v>25</v>
      </c>
      <c r="K1362" s="9">
        <v>36</v>
      </c>
      <c r="L1362" s="16" t="s">
        <v>26</v>
      </c>
      <c r="M1362" s="16">
        <f t="shared" si="129"/>
        <v>0.72017367004973787</v>
      </c>
      <c r="N1362">
        <f t="shared" si="130"/>
        <v>0</v>
      </c>
      <c r="O1362">
        <f t="shared" si="131"/>
        <v>0</v>
      </c>
      <c r="P1362">
        <f t="shared" si="128"/>
        <v>5200</v>
      </c>
      <c r="Q1362">
        <f t="shared" si="132"/>
        <v>5200</v>
      </c>
      <c r="T1362" s="16">
        <f t="shared" si="133"/>
        <v>0.72017367004973754</v>
      </c>
    </row>
    <row r="1363" spans="7:20" ht="14.4" x14ac:dyDescent="0.25">
      <c r="G1363" s="10">
        <v>1090</v>
      </c>
      <c r="H1363" s="9">
        <v>8007</v>
      </c>
      <c r="I1363" s="14">
        <f>DATE(2012,12,31)-324</f>
        <v>40950</v>
      </c>
      <c r="J1363" s="15" t="s">
        <v>25</v>
      </c>
      <c r="K1363" s="9">
        <v>5</v>
      </c>
      <c r="L1363" s="16" t="s">
        <v>27</v>
      </c>
      <c r="M1363" s="16">
        <f t="shared" si="129"/>
        <v>-1.4206794051461267</v>
      </c>
      <c r="N1363">
        <f t="shared" si="130"/>
        <v>0</v>
      </c>
      <c r="O1363">
        <f t="shared" si="131"/>
        <v>0</v>
      </c>
      <c r="P1363">
        <f t="shared" si="128"/>
        <v>3650</v>
      </c>
      <c r="Q1363">
        <f t="shared" si="132"/>
        <v>3650</v>
      </c>
      <c r="T1363" s="16">
        <f t="shared" si="133"/>
        <v>-1.4206794051461269</v>
      </c>
    </row>
    <row r="1364" spans="7:20" ht="14.4" x14ac:dyDescent="0.25">
      <c r="G1364" s="10">
        <v>1127</v>
      </c>
      <c r="H1364" s="9">
        <v>8257</v>
      </c>
      <c r="I1364" s="14">
        <f>DATE(2012,12,31)-1380</f>
        <v>39894</v>
      </c>
      <c r="J1364" s="15" t="s">
        <v>25</v>
      </c>
      <c r="K1364" s="9">
        <v>5</v>
      </c>
      <c r="L1364" s="16" t="s">
        <v>27</v>
      </c>
      <c r="M1364" s="16">
        <f t="shared" si="129"/>
        <v>-1.4206794051461267</v>
      </c>
      <c r="N1364">
        <f t="shared" si="130"/>
        <v>0</v>
      </c>
      <c r="O1364">
        <f t="shared" si="131"/>
        <v>0</v>
      </c>
      <c r="P1364">
        <f t="shared" si="128"/>
        <v>3650</v>
      </c>
      <c r="Q1364">
        <f t="shared" si="132"/>
        <v>3650</v>
      </c>
      <c r="T1364" s="16">
        <f t="shared" si="133"/>
        <v>-1.4206794051461269</v>
      </c>
    </row>
    <row r="1365" spans="7:20" ht="14.4" x14ac:dyDescent="0.25">
      <c r="G1365" s="10">
        <v>1128</v>
      </c>
      <c r="H1365" s="9">
        <v>8257</v>
      </c>
      <c r="I1365" s="14">
        <f>DATE(2012,12,31)-1380</f>
        <v>39894</v>
      </c>
      <c r="J1365" s="15" t="s">
        <v>25</v>
      </c>
      <c r="K1365" s="9">
        <v>18</v>
      </c>
      <c r="L1365" s="16" t="s">
        <v>26</v>
      </c>
      <c r="M1365" s="16">
        <f t="shared" si="129"/>
        <v>-0.52290230909624791</v>
      </c>
      <c r="N1365">
        <f t="shared" si="130"/>
        <v>0</v>
      </c>
      <c r="O1365">
        <f t="shared" si="131"/>
        <v>0</v>
      </c>
      <c r="P1365">
        <f t="shared" si="128"/>
        <v>4300</v>
      </c>
      <c r="Q1365">
        <f t="shared" si="132"/>
        <v>4300</v>
      </c>
      <c r="T1365" s="16">
        <f t="shared" si="133"/>
        <v>-0.52290230909624835</v>
      </c>
    </row>
    <row r="1366" spans="7:20" ht="14.4" x14ac:dyDescent="0.25">
      <c r="G1366" s="10">
        <v>1129</v>
      </c>
      <c r="H1366" s="9">
        <v>8257</v>
      </c>
      <c r="I1366" s="14">
        <f>DATE(2012,12,31)-1380</f>
        <v>39894</v>
      </c>
      <c r="J1366" s="15" t="s">
        <v>25</v>
      </c>
      <c r="K1366" s="9">
        <v>5</v>
      </c>
      <c r="L1366" s="16" t="s">
        <v>26</v>
      </c>
      <c r="M1366" s="16">
        <f t="shared" si="129"/>
        <v>-1.4206794051461267</v>
      </c>
      <c r="N1366">
        <f t="shared" si="130"/>
        <v>0</v>
      </c>
      <c r="O1366">
        <f t="shared" si="131"/>
        <v>0</v>
      </c>
      <c r="P1366">
        <f t="shared" si="128"/>
        <v>3650</v>
      </c>
      <c r="Q1366">
        <f t="shared" si="132"/>
        <v>3650</v>
      </c>
      <c r="T1366" s="16">
        <f t="shared" si="133"/>
        <v>-1.4206794051461269</v>
      </c>
    </row>
    <row r="1367" spans="7:20" ht="14.4" x14ac:dyDescent="0.25">
      <c r="G1367" s="10">
        <v>1196</v>
      </c>
      <c r="H1367" s="9">
        <v>8773</v>
      </c>
      <c r="I1367" s="14">
        <f>DATE(2012,12,31)-436</f>
        <v>40838</v>
      </c>
      <c r="J1367" s="15" t="s">
        <v>30</v>
      </c>
      <c r="K1367" s="9">
        <v>5</v>
      </c>
      <c r="L1367" s="16" t="s">
        <v>27</v>
      </c>
      <c r="M1367" s="16">
        <f t="shared" si="129"/>
        <v>-1.4206794051461267</v>
      </c>
      <c r="N1367">
        <f t="shared" si="130"/>
        <v>0</v>
      </c>
      <c r="O1367">
        <f t="shared" si="131"/>
        <v>0</v>
      </c>
      <c r="P1367">
        <f t="shared" si="128"/>
        <v>3650</v>
      </c>
      <c r="Q1367">
        <f t="shared" si="132"/>
        <v>3650</v>
      </c>
      <c r="T1367" s="16">
        <f t="shared" si="133"/>
        <v>-1.4206794051461269</v>
      </c>
    </row>
    <row r="1368" spans="7:20" ht="14.4" x14ac:dyDescent="0.25">
      <c r="G1368" s="10">
        <v>1243</v>
      </c>
      <c r="H1368" s="9">
        <v>9057</v>
      </c>
      <c r="I1368" s="14">
        <f>DATE(2012,12,31)-1153</f>
        <v>40121</v>
      </c>
      <c r="J1368" s="15" t="s">
        <v>30</v>
      </c>
      <c r="K1368" s="9">
        <v>20</v>
      </c>
      <c r="L1368" s="16" t="s">
        <v>29</v>
      </c>
      <c r="M1368" s="16">
        <f t="shared" si="129"/>
        <v>-0.38478275585780503</v>
      </c>
      <c r="N1368">
        <f t="shared" si="130"/>
        <v>0</v>
      </c>
      <c r="O1368">
        <f t="shared" si="131"/>
        <v>0</v>
      </c>
      <c r="P1368">
        <f t="shared" si="128"/>
        <v>4400</v>
      </c>
      <c r="Q1368">
        <f t="shared" si="132"/>
        <v>4400</v>
      </c>
      <c r="T1368" s="16">
        <f t="shared" si="133"/>
        <v>-0.38478275585780541</v>
      </c>
    </row>
    <row r="1369" spans="7:20" ht="14.4" x14ac:dyDescent="0.25">
      <c r="G1369" s="10">
        <v>1279</v>
      </c>
      <c r="H1369" s="9">
        <v>9285</v>
      </c>
      <c r="I1369" s="14">
        <f>DATE(2012,12,31)-1459</f>
        <v>39815</v>
      </c>
      <c r="J1369" s="15" t="s">
        <v>30</v>
      </c>
      <c r="K1369" s="9">
        <v>3</v>
      </c>
      <c r="L1369" s="16" t="s">
        <v>26</v>
      </c>
      <c r="M1369" s="16">
        <f t="shared" si="129"/>
        <v>-1.5587989583845694</v>
      </c>
      <c r="N1369">
        <f t="shared" si="130"/>
        <v>0</v>
      </c>
      <c r="O1369">
        <f t="shared" si="131"/>
        <v>0</v>
      </c>
      <c r="P1369">
        <f t="shared" si="128"/>
        <v>3550</v>
      </c>
      <c r="Q1369">
        <f t="shared" si="132"/>
        <v>3550</v>
      </c>
      <c r="T1369" s="16">
        <f t="shared" si="133"/>
        <v>-1.5587989583845698</v>
      </c>
    </row>
    <row r="1370" spans="7:20" ht="14.4" x14ac:dyDescent="0.25">
      <c r="G1370" s="10">
        <v>1353</v>
      </c>
      <c r="H1370" s="9">
        <v>9861</v>
      </c>
      <c r="I1370" s="14">
        <f>DATE(2012,12,31)-64</f>
        <v>41210</v>
      </c>
      <c r="J1370" s="15" t="s">
        <v>25</v>
      </c>
      <c r="K1370" s="9">
        <v>47</v>
      </c>
      <c r="L1370" s="16" t="s">
        <v>26</v>
      </c>
      <c r="M1370" s="16">
        <f t="shared" si="129"/>
        <v>1.4798312128611737</v>
      </c>
      <c r="N1370">
        <f t="shared" si="130"/>
        <v>0</v>
      </c>
      <c r="O1370">
        <f t="shared" si="131"/>
        <v>0</v>
      </c>
      <c r="P1370">
        <f t="shared" si="128"/>
        <v>5750</v>
      </c>
      <c r="Q1370">
        <f t="shared" si="132"/>
        <v>5750</v>
      </c>
      <c r="T1370" s="16">
        <f t="shared" si="133"/>
        <v>1.4798312128611733</v>
      </c>
    </row>
    <row r="1371" spans="7:20" ht="14.4" x14ac:dyDescent="0.25">
      <c r="G1371" s="10">
        <v>1363</v>
      </c>
      <c r="H1371" s="9">
        <v>9922</v>
      </c>
      <c r="I1371" s="14">
        <f>DATE(2012,12,31)-638</f>
        <v>40636</v>
      </c>
      <c r="J1371" s="15" t="s">
        <v>28</v>
      </c>
      <c r="K1371" s="9">
        <v>24</v>
      </c>
      <c r="L1371" s="16" t="s">
        <v>29</v>
      </c>
      <c r="M1371" s="16">
        <f t="shared" si="129"/>
        <v>-0.1085436493809193</v>
      </c>
      <c r="N1371">
        <f t="shared" si="130"/>
        <v>0</v>
      </c>
      <c r="O1371">
        <f t="shared" si="131"/>
        <v>0</v>
      </c>
      <c r="P1371">
        <f t="shared" si="128"/>
        <v>4600</v>
      </c>
      <c r="Q1371">
        <f t="shared" si="132"/>
        <v>4600</v>
      </c>
      <c r="T1371" s="16">
        <f t="shared" si="133"/>
        <v>-0.10854364938091969</v>
      </c>
    </row>
    <row r="1372" spans="7:20" ht="14.4" x14ac:dyDescent="0.25">
      <c r="G1372" s="10">
        <v>1364</v>
      </c>
      <c r="H1372" s="9">
        <v>9923</v>
      </c>
      <c r="I1372" s="14">
        <f>DATE(2012,12,31)-1183</f>
        <v>40091</v>
      </c>
      <c r="J1372" s="15" t="s">
        <v>17</v>
      </c>
      <c r="K1372" s="9">
        <v>27</v>
      </c>
      <c r="L1372" s="16" t="s">
        <v>29</v>
      </c>
      <c r="M1372" s="16">
        <f t="shared" si="129"/>
        <v>9.8635680476745008E-2</v>
      </c>
      <c r="N1372">
        <f t="shared" si="130"/>
        <v>0</v>
      </c>
      <c r="O1372">
        <f t="shared" si="131"/>
        <v>0</v>
      </c>
      <c r="P1372">
        <f t="shared" si="128"/>
        <v>4750</v>
      </c>
      <c r="Q1372">
        <f t="shared" si="132"/>
        <v>4750</v>
      </c>
      <c r="T1372" s="16">
        <f t="shared" si="133"/>
        <v>9.8635680476744619E-2</v>
      </c>
    </row>
    <row r="1373" spans="7:20" ht="14.4" x14ac:dyDescent="0.25">
      <c r="G1373" s="10">
        <v>1365</v>
      </c>
      <c r="H1373" s="9">
        <v>9923</v>
      </c>
      <c r="I1373" s="14">
        <f>DATE(2012,12,31)-1183</f>
        <v>40091</v>
      </c>
      <c r="J1373" s="15" t="s">
        <v>17</v>
      </c>
      <c r="K1373" s="9">
        <v>14</v>
      </c>
      <c r="L1373" s="16" t="s">
        <v>26</v>
      </c>
      <c r="M1373" s="16">
        <f t="shared" si="129"/>
        <v>-0.79914141557313367</v>
      </c>
      <c r="N1373">
        <f t="shared" si="130"/>
        <v>0</v>
      </c>
      <c r="O1373">
        <f t="shared" si="131"/>
        <v>0</v>
      </c>
      <c r="P1373">
        <f t="shared" si="128"/>
        <v>4100</v>
      </c>
      <c r="Q1373">
        <f t="shared" si="132"/>
        <v>4100</v>
      </c>
      <c r="T1373" s="16">
        <f t="shared" si="133"/>
        <v>-0.79914141557313401</v>
      </c>
    </row>
    <row r="1374" spans="7:20" ht="14.4" x14ac:dyDescent="0.25">
      <c r="G1374" s="10">
        <v>1366</v>
      </c>
      <c r="H1374" s="9">
        <v>9925</v>
      </c>
      <c r="I1374" s="14">
        <f>DATE(2012,12,31)-336</f>
        <v>40938</v>
      </c>
      <c r="J1374" s="15" t="s">
        <v>30</v>
      </c>
      <c r="K1374" s="9">
        <v>43</v>
      </c>
      <c r="L1374" s="16" t="s">
        <v>26</v>
      </c>
      <c r="M1374" s="16">
        <f t="shared" si="129"/>
        <v>1.203592106384288</v>
      </c>
      <c r="N1374">
        <f t="shared" si="130"/>
        <v>0</v>
      </c>
      <c r="O1374">
        <f t="shared" si="131"/>
        <v>0</v>
      </c>
      <c r="P1374">
        <f t="shared" si="128"/>
        <v>5550</v>
      </c>
      <c r="Q1374">
        <f t="shared" si="132"/>
        <v>5550</v>
      </c>
      <c r="T1374" s="16">
        <f t="shared" si="133"/>
        <v>1.2035921063842876</v>
      </c>
    </row>
    <row r="1375" spans="7:20" ht="14.4" x14ac:dyDescent="0.25">
      <c r="G1375" s="10">
        <v>1367</v>
      </c>
      <c r="H1375" s="9">
        <v>9925</v>
      </c>
      <c r="I1375" s="14">
        <f>DATE(2012,12,31)-336</f>
        <v>40938</v>
      </c>
      <c r="J1375" s="15" t="s">
        <v>30</v>
      </c>
      <c r="K1375" s="9">
        <v>17</v>
      </c>
      <c r="L1375" s="16" t="s">
        <v>26</v>
      </c>
      <c r="M1375" s="16">
        <f t="shared" si="129"/>
        <v>-0.59196208571546938</v>
      </c>
      <c r="N1375">
        <f t="shared" si="130"/>
        <v>0</v>
      </c>
      <c r="O1375">
        <f t="shared" si="131"/>
        <v>0</v>
      </c>
      <c r="P1375">
        <f t="shared" si="128"/>
        <v>4250</v>
      </c>
      <c r="Q1375">
        <f t="shared" si="132"/>
        <v>4250</v>
      </c>
      <c r="T1375" s="16">
        <f t="shared" si="133"/>
        <v>-0.59196208571546971</v>
      </c>
    </row>
    <row r="1376" spans="7:20" ht="14.4" x14ac:dyDescent="0.25">
      <c r="G1376" s="10">
        <v>1368</v>
      </c>
      <c r="H1376" s="9">
        <v>9925</v>
      </c>
      <c r="I1376" s="14">
        <f>DATE(2012,12,31)-336</f>
        <v>40938</v>
      </c>
      <c r="J1376" s="15" t="s">
        <v>30</v>
      </c>
      <c r="K1376" s="9">
        <v>31</v>
      </c>
      <c r="L1376" s="16" t="s">
        <v>26</v>
      </c>
      <c r="M1376" s="16">
        <f t="shared" si="129"/>
        <v>0.37487478695363075</v>
      </c>
      <c r="N1376">
        <f t="shared" si="130"/>
        <v>0</v>
      </c>
      <c r="O1376">
        <f t="shared" si="131"/>
        <v>0</v>
      </c>
      <c r="P1376">
        <f t="shared" si="128"/>
        <v>4950</v>
      </c>
      <c r="Q1376">
        <f t="shared" si="132"/>
        <v>4950</v>
      </c>
      <c r="T1376" s="16">
        <f t="shared" si="133"/>
        <v>0.37487478695363036</v>
      </c>
    </row>
    <row r="1377" spans="7:20" ht="14.4" x14ac:dyDescent="0.25">
      <c r="G1377" s="10">
        <v>1468</v>
      </c>
      <c r="H1377" s="9">
        <v>10593</v>
      </c>
      <c r="I1377" s="14">
        <f>DATE(2012,12,31)-323</f>
        <v>40951</v>
      </c>
      <c r="J1377" s="15" t="s">
        <v>17</v>
      </c>
      <c r="K1377" s="9">
        <v>27</v>
      </c>
      <c r="L1377" s="16" t="s">
        <v>27</v>
      </c>
      <c r="M1377" s="16">
        <f t="shared" si="129"/>
        <v>9.8635680476745008E-2</v>
      </c>
      <c r="N1377">
        <f t="shared" si="130"/>
        <v>0</v>
      </c>
      <c r="O1377">
        <f t="shared" si="131"/>
        <v>0</v>
      </c>
      <c r="P1377">
        <f t="shared" si="128"/>
        <v>4750</v>
      </c>
      <c r="Q1377">
        <f t="shared" si="132"/>
        <v>4750</v>
      </c>
      <c r="T1377" s="16">
        <f t="shared" si="133"/>
        <v>9.8635680476744619E-2</v>
      </c>
    </row>
    <row r="1378" spans="7:20" ht="14.4" x14ac:dyDescent="0.25">
      <c r="G1378" s="10">
        <v>1469</v>
      </c>
      <c r="H1378" s="9">
        <v>10593</v>
      </c>
      <c r="I1378" s="14">
        <f>DATE(2012,12,31)-323</f>
        <v>40951</v>
      </c>
      <c r="J1378" s="15" t="s">
        <v>17</v>
      </c>
      <c r="K1378" s="9">
        <v>26</v>
      </c>
      <c r="L1378" s="16" t="s">
        <v>29</v>
      </c>
      <c r="M1378" s="16">
        <f t="shared" si="129"/>
        <v>2.9575903857523567E-2</v>
      </c>
      <c r="N1378">
        <f t="shared" si="130"/>
        <v>0</v>
      </c>
      <c r="O1378">
        <f t="shared" si="131"/>
        <v>0</v>
      </c>
      <c r="P1378">
        <f t="shared" si="128"/>
        <v>4700</v>
      </c>
      <c r="Q1378">
        <f t="shared" si="132"/>
        <v>4700</v>
      </c>
      <c r="T1378" s="16">
        <f t="shared" si="133"/>
        <v>2.9575903857523185E-2</v>
      </c>
    </row>
    <row r="1379" spans="7:20" ht="14.4" x14ac:dyDescent="0.25">
      <c r="G1379" s="10">
        <v>1660</v>
      </c>
      <c r="H1379" s="9">
        <v>11969</v>
      </c>
      <c r="I1379" s="14">
        <f>DATE(2012,12,31)-347</f>
        <v>40927</v>
      </c>
      <c r="J1379" s="15" t="s">
        <v>28</v>
      </c>
      <c r="K1379" s="9">
        <v>16</v>
      </c>
      <c r="L1379" s="16" t="s">
        <v>26</v>
      </c>
      <c r="M1379" s="16">
        <f t="shared" si="129"/>
        <v>-0.66102186233469074</v>
      </c>
      <c r="N1379">
        <f t="shared" si="130"/>
        <v>0</v>
      </c>
      <c r="O1379">
        <f t="shared" si="131"/>
        <v>0</v>
      </c>
      <c r="P1379">
        <f t="shared" si="128"/>
        <v>4200</v>
      </c>
      <c r="Q1379">
        <f t="shared" si="132"/>
        <v>4200</v>
      </c>
      <c r="T1379" s="16">
        <f t="shared" si="133"/>
        <v>-0.66102186233469118</v>
      </c>
    </row>
    <row r="1380" spans="7:20" ht="14.4" x14ac:dyDescent="0.25">
      <c r="G1380" s="10">
        <v>1661</v>
      </c>
      <c r="H1380" s="9">
        <v>11969</v>
      </c>
      <c r="I1380" s="14">
        <f>DATE(2012,12,31)-347</f>
        <v>40927</v>
      </c>
      <c r="J1380" s="15" t="s">
        <v>28</v>
      </c>
      <c r="K1380" s="9">
        <v>9</v>
      </c>
      <c r="L1380" s="16" t="s">
        <v>29</v>
      </c>
      <c r="M1380" s="16">
        <f t="shared" si="129"/>
        <v>-1.1444402986692408</v>
      </c>
      <c r="N1380">
        <f t="shared" si="130"/>
        <v>0</v>
      </c>
      <c r="O1380">
        <f t="shared" si="131"/>
        <v>0</v>
      </c>
      <c r="P1380">
        <f t="shared" si="128"/>
        <v>3850</v>
      </c>
      <c r="Q1380">
        <f t="shared" si="132"/>
        <v>3850</v>
      </c>
      <c r="T1380" s="16">
        <f t="shared" si="133"/>
        <v>-1.1444402986692412</v>
      </c>
    </row>
    <row r="1381" spans="7:20" ht="14.4" x14ac:dyDescent="0.25">
      <c r="G1381" s="10">
        <v>1662</v>
      </c>
      <c r="H1381" s="9">
        <v>11969</v>
      </c>
      <c r="I1381" s="14">
        <f>DATE(2012,12,31)-347</f>
        <v>40927</v>
      </c>
      <c r="J1381" s="15" t="s">
        <v>28</v>
      </c>
      <c r="K1381" s="9">
        <v>42</v>
      </c>
      <c r="L1381" s="16" t="s">
        <v>29</v>
      </c>
      <c r="M1381" s="16">
        <f t="shared" si="129"/>
        <v>1.1345323297650665</v>
      </c>
      <c r="N1381">
        <f t="shared" si="130"/>
        <v>0</v>
      </c>
      <c r="O1381">
        <f t="shared" si="131"/>
        <v>0</v>
      </c>
      <c r="P1381">
        <f t="shared" si="128"/>
        <v>5500</v>
      </c>
      <c r="Q1381">
        <f t="shared" si="132"/>
        <v>5500</v>
      </c>
      <c r="T1381" s="16">
        <f t="shared" si="133"/>
        <v>1.1345323297650662</v>
      </c>
    </row>
    <row r="1382" spans="7:20" ht="14.4" x14ac:dyDescent="0.25">
      <c r="G1382" s="10">
        <v>1694</v>
      </c>
      <c r="H1382" s="9">
        <v>12228</v>
      </c>
      <c r="I1382" s="14">
        <f>DATE(2012,12,31)-1285</f>
        <v>39989</v>
      </c>
      <c r="J1382" s="15" t="s">
        <v>28</v>
      </c>
      <c r="K1382" s="9">
        <v>1</v>
      </c>
      <c r="L1382" s="16" t="s">
        <v>29</v>
      </c>
      <c r="M1382" s="16">
        <f t="shared" si="129"/>
        <v>-1.6969185116230123</v>
      </c>
      <c r="N1382">
        <f t="shared" si="130"/>
        <v>0</v>
      </c>
      <c r="O1382">
        <f t="shared" si="131"/>
        <v>0</v>
      </c>
      <c r="P1382">
        <f t="shared" si="128"/>
        <v>3450</v>
      </c>
      <c r="Q1382">
        <f t="shared" si="132"/>
        <v>3450</v>
      </c>
      <c r="T1382" s="16">
        <f t="shared" si="133"/>
        <v>-1.6969185116230128</v>
      </c>
    </row>
    <row r="1383" spans="7:20" ht="14.4" x14ac:dyDescent="0.25">
      <c r="G1383" s="10">
        <v>1695</v>
      </c>
      <c r="H1383" s="9">
        <v>12228</v>
      </c>
      <c r="I1383" s="14">
        <f>DATE(2012,12,31)-1285</f>
        <v>39989</v>
      </c>
      <c r="J1383" s="15" t="s">
        <v>28</v>
      </c>
      <c r="K1383" s="9">
        <v>30</v>
      </c>
      <c r="L1383" s="16" t="s">
        <v>27</v>
      </c>
      <c r="M1383" s="16">
        <f t="shared" si="129"/>
        <v>0.30581501033440933</v>
      </c>
      <c r="N1383">
        <f t="shared" si="130"/>
        <v>0</v>
      </c>
      <c r="O1383">
        <f t="shared" si="131"/>
        <v>0</v>
      </c>
      <c r="P1383">
        <f t="shared" si="128"/>
        <v>4900</v>
      </c>
      <c r="Q1383">
        <f t="shared" si="132"/>
        <v>4900</v>
      </c>
      <c r="T1383" s="16">
        <f t="shared" si="133"/>
        <v>0.30581501033440894</v>
      </c>
    </row>
    <row r="1384" spans="7:20" ht="14.4" x14ac:dyDescent="0.25">
      <c r="G1384" s="10">
        <v>1721</v>
      </c>
      <c r="H1384" s="9">
        <v>12355</v>
      </c>
      <c r="I1384" s="14">
        <f>DATE(2012,12,31)-583</f>
        <v>40691</v>
      </c>
      <c r="J1384" s="15" t="s">
        <v>28</v>
      </c>
      <c r="K1384" s="9">
        <v>45</v>
      </c>
      <c r="L1384" s="16" t="s">
        <v>26</v>
      </c>
      <c r="M1384" s="16">
        <f t="shared" si="129"/>
        <v>1.3417116596227308</v>
      </c>
      <c r="N1384">
        <f t="shared" si="130"/>
        <v>0</v>
      </c>
      <c r="O1384">
        <f t="shared" si="131"/>
        <v>0</v>
      </c>
      <c r="P1384">
        <f t="shared" si="128"/>
        <v>5650</v>
      </c>
      <c r="Q1384">
        <f t="shared" si="132"/>
        <v>5650</v>
      </c>
      <c r="T1384" s="16">
        <f t="shared" si="133"/>
        <v>1.3417116596227305</v>
      </c>
    </row>
    <row r="1385" spans="7:20" ht="14.4" x14ac:dyDescent="0.25">
      <c r="G1385" s="10">
        <v>1723</v>
      </c>
      <c r="H1385" s="9">
        <v>12389</v>
      </c>
      <c r="I1385" s="14">
        <f>DATE(2012,12,31)-1245</f>
        <v>40029</v>
      </c>
      <c r="J1385" s="15" t="s">
        <v>16</v>
      </c>
      <c r="K1385" s="9">
        <v>34</v>
      </c>
      <c r="L1385" s="16" t="s">
        <v>27</v>
      </c>
      <c r="M1385" s="16">
        <f t="shared" si="129"/>
        <v>0.58205411681129504</v>
      </c>
      <c r="N1385">
        <f t="shared" si="130"/>
        <v>0</v>
      </c>
      <c r="O1385">
        <f t="shared" si="131"/>
        <v>0</v>
      </c>
      <c r="P1385">
        <f t="shared" si="128"/>
        <v>5100</v>
      </c>
      <c r="Q1385">
        <f t="shared" si="132"/>
        <v>5100</v>
      </c>
      <c r="T1385" s="16">
        <f t="shared" si="133"/>
        <v>0.58205411681129471</v>
      </c>
    </row>
    <row r="1386" spans="7:20" ht="14.4" x14ac:dyDescent="0.25">
      <c r="G1386" s="10">
        <v>1724</v>
      </c>
      <c r="H1386" s="9">
        <v>12389</v>
      </c>
      <c r="I1386" s="14">
        <f>DATE(2012,12,31)-1245</f>
        <v>40029</v>
      </c>
      <c r="J1386" s="15" t="s">
        <v>16</v>
      </c>
      <c r="K1386" s="9">
        <v>16</v>
      </c>
      <c r="L1386" s="16" t="s">
        <v>26</v>
      </c>
      <c r="M1386" s="16">
        <f t="shared" si="129"/>
        <v>-0.66102186233469074</v>
      </c>
      <c r="N1386">
        <f t="shared" si="130"/>
        <v>0</v>
      </c>
      <c r="O1386">
        <f t="shared" si="131"/>
        <v>0</v>
      </c>
      <c r="P1386">
        <f t="shared" si="128"/>
        <v>4200</v>
      </c>
      <c r="Q1386">
        <f t="shared" si="132"/>
        <v>4200</v>
      </c>
      <c r="T1386" s="16">
        <f t="shared" si="133"/>
        <v>-0.66102186233469118</v>
      </c>
    </row>
    <row r="1387" spans="7:20" ht="14.4" x14ac:dyDescent="0.25">
      <c r="G1387" s="10">
        <v>1775</v>
      </c>
      <c r="H1387" s="9">
        <v>12710</v>
      </c>
      <c r="I1387" s="14">
        <f>DATE(2012,12,31)-867</f>
        <v>40407</v>
      </c>
      <c r="J1387" s="15" t="s">
        <v>30</v>
      </c>
      <c r="K1387" s="9">
        <v>37</v>
      </c>
      <c r="L1387" s="16" t="s">
        <v>26</v>
      </c>
      <c r="M1387" s="16">
        <f t="shared" si="129"/>
        <v>0.78923344666895934</v>
      </c>
      <c r="N1387">
        <f t="shared" si="130"/>
        <v>0</v>
      </c>
      <c r="O1387">
        <f t="shared" si="131"/>
        <v>0</v>
      </c>
      <c r="P1387">
        <f t="shared" si="128"/>
        <v>5250</v>
      </c>
      <c r="Q1387">
        <f t="shared" si="132"/>
        <v>5250</v>
      </c>
      <c r="T1387" s="16">
        <f t="shared" si="133"/>
        <v>0.789233446668959</v>
      </c>
    </row>
    <row r="1388" spans="7:20" ht="14.4" x14ac:dyDescent="0.25">
      <c r="G1388" s="10">
        <v>1909</v>
      </c>
      <c r="H1388" s="9">
        <v>13636</v>
      </c>
      <c r="I1388" s="14">
        <f>DATE(2012,12,31)-1439</f>
        <v>39835</v>
      </c>
      <c r="J1388" s="15" t="s">
        <v>25</v>
      </c>
      <c r="K1388" s="9">
        <v>32</v>
      </c>
      <c r="L1388" s="16" t="s">
        <v>29</v>
      </c>
      <c r="M1388" s="16">
        <f t="shared" si="129"/>
        <v>0.44393456357285216</v>
      </c>
      <c r="N1388">
        <f t="shared" si="130"/>
        <v>0</v>
      </c>
      <c r="O1388">
        <f t="shared" si="131"/>
        <v>0</v>
      </c>
      <c r="P1388">
        <f t="shared" si="128"/>
        <v>5000</v>
      </c>
      <c r="Q1388">
        <f t="shared" si="132"/>
        <v>5000</v>
      </c>
      <c r="T1388" s="16">
        <f t="shared" si="133"/>
        <v>0.44393456357285183</v>
      </c>
    </row>
    <row r="1389" spans="7:20" ht="14.4" x14ac:dyDescent="0.25">
      <c r="G1389" s="10">
        <v>1961</v>
      </c>
      <c r="H1389" s="9">
        <v>14021</v>
      </c>
      <c r="I1389" s="14">
        <f>DATE(2012,12,31)-665</f>
        <v>40609</v>
      </c>
      <c r="J1389" s="15" t="s">
        <v>17</v>
      </c>
      <c r="K1389" s="9">
        <v>12</v>
      </c>
      <c r="L1389" s="16" t="s">
        <v>26</v>
      </c>
      <c r="M1389" s="16">
        <f t="shared" si="129"/>
        <v>-0.9372609688115765</v>
      </c>
      <c r="N1389">
        <f t="shared" si="130"/>
        <v>0</v>
      </c>
      <c r="O1389">
        <f t="shared" si="131"/>
        <v>0</v>
      </c>
      <c r="P1389">
        <f t="shared" si="128"/>
        <v>4000</v>
      </c>
      <c r="Q1389">
        <f t="shared" si="132"/>
        <v>4000</v>
      </c>
      <c r="T1389" s="16">
        <f t="shared" si="133"/>
        <v>-0.93726096881157694</v>
      </c>
    </row>
    <row r="1390" spans="7:20" ht="14.4" x14ac:dyDescent="0.25">
      <c r="G1390" s="10">
        <v>2009</v>
      </c>
      <c r="H1390" s="9">
        <v>14338</v>
      </c>
      <c r="I1390" s="14">
        <f>DATE(2012,12,31)-1065</f>
        <v>40209</v>
      </c>
      <c r="J1390" s="15" t="s">
        <v>25</v>
      </c>
      <c r="K1390" s="9">
        <v>34</v>
      </c>
      <c r="L1390" s="16" t="s">
        <v>27</v>
      </c>
      <c r="M1390" s="16">
        <f t="shared" si="129"/>
        <v>0.58205411681129504</v>
      </c>
      <c r="N1390">
        <f t="shared" si="130"/>
        <v>0</v>
      </c>
      <c r="O1390">
        <f t="shared" si="131"/>
        <v>0</v>
      </c>
      <c r="P1390">
        <f t="shared" si="128"/>
        <v>5100</v>
      </c>
      <c r="Q1390">
        <f t="shared" si="132"/>
        <v>5100</v>
      </c>
      <c r="T1390" s="16">
        <f t="shared" si="133"/>
        <v>0.58205411681129471</v>
      </c>
    </row>
    <row r="1391" spans="7:20" ht="14.4" x14ac:dyDescent="0.25">
      <c r="G1391" s="10">
        <v>2021</v>
      </c>
      <c r="H1391" s="9">
        <v>14406</v>
      </c>
      <c r="I1391" s="14">
        <f>DATE(2012,12,31)-1029</f>
        <v>40245</v>
      </c>
      <c r="J1391" s="15" t="s">
        <v>16</v>
      </c>
      <c r="K1391" s="9">
        <v>37</v>
      </c>
      <c r="L1391" s="16" t="s">
        <v>27</v>
      </c>
      <c r="M1391" s="16">
        <f t="shared" si="129"/>
        <v>0.78923344666895934</v>
      </c>
      <c r="N1391">
        <f t="shared" si="130"/>
        <v>0</v>
      </c>
      <c r="O1391">
        <f t="shared" si="131"/>
        <v>0</v>
      </c>
      <c r="P1391">
        <f t="shared" si="128"/>
        <v>5250</v>
      </c>
      <c r="Q1391">
        <f t="shared" si="132"/>
        <v>5250</v>
      </c>
      <c r="T1391" s="16">
        <f t="shared" si="133"/>
        <v>0.789233446668959</v>
      </c>
    </row>
    <row r="1392" spans="7:20" ht="14.4" x14ac:dyDescent="0.25">
      <c r="G1392" s="10">
        <v>2022</v>
      </c>
      <c r="H1392" s="9">
        <v>14406</v>
      </c>
      <c r="I1392" s="14">
        <f>DATE(2012,12,31)-1029</f>
        <v>40245</v>
      </c>
      <c r="J1392" s="15" t="s">
        <v>16</v>
      </c>
      <c r="K1392" s="9">
        <v>20</v>
      </c>
      <c r="L1392" s="16" t="s">
        <v>26</v>
      </c>
      <c r="M1392" s="16">
        <f t="shared" si="129"/>
        <v>-0.38478275585780503</v>
      </c>
      <c r="N1392">
        <f t="shared" si="130"/>
        <v>0</v>
      </c>
      <c r="O1392">
        <f t="shared" si="131"/>
        <v>0</v>
      </c>
      <c r="P1392">
        <f t="shared" si="128"/>
        <v>4400</v>
      </c>
      <c r="Q1392">
        <f t="shared" si="132"/>
        <v>4400</v>
      </c>
      <c r="T1392" s="16">
        <f t="shared" si="133"/>
        <v>-0.38478275585780541</v>
      </c>
    </row>
    <row r="1393" spans="7:20" ht="14.4" x14ac:dyDescent="0.25">
      <c r="G1393" s="10">
        <v>2023</v>
      </c>
      <c r="H1393" s="9">
        <v>14406</v>
      </c>
      <c r="I1393" s="14">
        <f>DATE(2012,12,31)-1029</f>
        <v>40245</v>
      </c>
      <c r="J1393" s="15" t="s">
        <v>16</v>
      </c>
      <c r="K1393" s="9">
        <v>35</v>
      </c>
      <c r="L1393" s="16" t="s">
        <v>27</v>
      </c>
      <c r="M1393" s="16">
        <f t="shared" si="129"/>
        <v>0.65111389343051651</v>
      </c>
      <c r="N1393">
        <f t="shared" si="130"/>
        <v>0</v>
      </c>
      <c r="O1393">
        <f t="shared" si="131"/>
        <v>0</v>
      </c>
      <c r="P1393">
        <f t="shared" si="128"/>
        <v>5150</v>
      </c>
      <c r="Q1393">
        <f t="shared" si="132"/>
        <v>5150</v>
      </c>
      <c r="T1393" s="16">
        <f t="shared" si="133"/>
        <v>0.65111389343051607</v>
      </c>
    </row>
    <row r="1394" spans="7:20" ht="14.4" x14ac:dyDescent="0.25">
      <c r="G1394" s="10">
        <v>2202</v>
      </c>
      <c r="H1394" s="9">
        <v>15878</v>
      </c>
      <c r="I1394" s="14">
        <f>DATE(2012,12,31)-788</f>
        <v>40486</v>
      </c>
      <c r="J1394" s="15" t="s">
        <v>17</v>
      </c>
      <c r="K1394" s="9">
        <v>36</v>
      </c>
      <c r="L1394" s="16" t="s">
        <v>26</v>
      </c>
      <c r="M1394" s="16">
        <f t="shared" si="129"/>
        <v>0.72017367004973787</v>
      </c>
      <c r="N1394">
        <f t="shared" si="130"/>
        <v>0</v>
      </c>
      <c r="O1394">
        <f t="shared" si="131"/>
        <v>0</v>
      </c>
      <c r="P1394">
        <f t="shared" si="128"/>
        <v>5200</v>
      </c>
      <c r="Q1394">
        <f t="shared" si="132"/>
        <v>5200</v>
      </c>
      <c r="T1394" s="16">
        <f t="shared" si="133"/>
        <v>0.72017367004973754</v>
      </c>
    </row>
    <row r="1395" spans="7:20" ht="14.4" x14ac:dyDescent="0.25">
      <c r="G1395" s="10">
        <v>2234</v>
      </c>
      <c r="H1395" s="9">
        <v>16133</v>
      </c>
      <c r="I1395" s="14">
        <f>DATE(2012,12,31)-1193</f>
        <v>40081</v>
      </c>
      <c r="J1395" s="15" t="s">
        <v>30</v>
      </c>
      <c r="K1395" s="9">
        <v>1</v>
      </c>
      <c r="L1395" s="16" t="s">
        <v>29</v>
      </c>
      <c r="M1395" s="16">
        <f t="shared" si="129"/>
        <v>-1.6969185116230123</v>
      </c>
      <c r="N1395">
        <f t="shared" si="130"/>
        <v>0</v>
      </c>
      <c r="O1395">
        <f t="shared" si="131"/>
        <v>0</v>
      </c>
      <c r="P1395">
        <f t="shared" si="128"/>
        <v>3450</v>
      </c>
      <c r="Q1395">
        <f t="shared" si="132"/>
        <v>3450</v>
      </c>
      <c r="T1395" s="16">
        <f t="shared" si="133"/>
        <v>-1.6969185116230128</v>
      </c>
    </row>
    <row r="1396" spans="7:20" ht="14.4" x14ac:dyDescent="0.25">
      <c r="G1396" s="10">
        <v>2304</v>
      </c>
      <c r="H1396" s="9">
        <v>16612</v>
      </c>
      <c r="I1396" s="14">
        <f>DATE(2012,12,31)-1417</f>
        <v>39857</v>
      </c>
      <c r="J1396" s="15" t="s">
        <v>17</v>
      </c>
      <c r="K1396" s="9">
        <v>45</v>
      </c>
      <c r="L1396" s="16" t="s">
        <v>27</v>
      </c>
      <c r="M1396" s="16">
        <f t="shared" si="129"/>
        <v>1.3417116596227308</v>
      </c>
      <c r="N1396">
        <f t="shared" si="130"/>
        <v>0</v>
      </c>
      <c r="O1396">
        <f t="shared" si="131"/>
        <v>0</v>
      </c>
      <c r="P1396">
        <f t="shared" si="128"/>
        <v>5650</v>
      </c>
      <c r="Q1396">
        <f t="shared" si="132"/>
        <v>5650</v>
      </c>
      <c r="T1396" s="16">
        <f t="shared" si="133"/>
        <v>1.3417116596227305</v>
      </c>
    </row>
    <row r="1397" spans="7:20" ht="14.4" x14ac:dyDescent="0.25">
      <c r="G1397" s="10">
        <v>2305</v>
      </c>
      <c r="H1397" s="9">
        <v>16612</v>
      </c>
      <c r="I1397" s="14">
        <f>DATE(2012,12,31)-1417</f>
        <v>39857</v>
      </c>
      <c r="J1397" s="15" t="s">
        <v>17</v>
      </c>
      <c r="K1397" s="9">
        <v>6</v>
      </c>
      <c r="L1397" s="16" t="s">
        <v>26</v>
      </c>
      <c r="M1397" s="16">
        <f t="shared" si="129"/>
        <v>-1.3516196285269051</v>
      </c>
      <c r="N1397">
        <f t="shared" si="130"/>
        <v>0</v>
      </c>
      <c r="O1397">
        <f t="shared" si="131"/>
        <v>0</v>
      </c>
      <c r="P1397">
        <f t="shared" si="128"/>
        <v>3700</v>
      </c>
      <c r="Q1397">
        <f t="shared" si="132"/>
        <v>3700</v>
      </c>
      <c r="T1397" s="16">
        <f t="shared" si="133"/>
        <v>-1.3516196285269055</v>
      </c>
    </row>
    <row r="1398" spans="7:20" ht="14.4" x14ac:dyDescent="0.25">
      <c r="G1398" s="10">
        <v>2352</v>
      </c>
      <c r="H1398" s="9">
        <v>16967</v>
      </c>
      <c r="I1398" s="14">
        <f>DATE(2012,12,31)-500</f>
        <v>40774</v>
      </c>
      <c r="J1398" s="15" t="s">
        <v>25</v>
      </c>
      <c r="K1398" s="9">
        <v>5</v>
      </c>
      <c r="L1398" s="16" t="s">
        <v>27</v>
      </c>
      <c r="M1398" s="16">
        <f t="shared" si="129"/>
        <v>-1.4206794051461267</v>
      </c>
      <c r="N1398">
        <f t="shared" si="130"/>
        <v>0</v>
      </c>
      <c r="O1398">
        <f t="shared" si="131"/>
        <v>0</v>
      </c>
      <c r="P1398">
        <f t="shared" si="128"/>
        <v>3650</v>
      </c>
      <c r="Q1398">
        <f t="shared" si="132"/>
        <v>3650</v>
      </c>
      <c r="T1398" s="16">
        <f t="shared" si="133"/>
        <v>-1.4206794051461269</v>
      </c>
    </row>
    <row r="1399" spans="7:20" ht="14.4" x14ac:dyDescent="0.25">
      <c r="G1399" s="10">
        <v>2353</v>
      </c>
      <c r="H1399" s="9">
        <v>16967</v>
      </c>
      <c r="I1399" s="14">
        <f>DATE(2012,12,31)-500</f>
        <v>40774</v>
      </c>
      <c r="J1399" s="15" t="s">
        <v>25</v>
      </c>
      <c r="K1399" s="9">
        <v>34</v>
      </c>
      <c r="L1399" s="16" t="s">
        <v>26</v>
      </c>
      <c r="M1399" s="16">
        <f t="shared" si="129"/>
        <v>0.58205411681129504</v>
      </c>
      <c r="N1399">
        <f t="shared" si="130"/>
        <v>0</v>
      </c>
      <c r="O1399">
        <f t="shared" si="131"/>
        <v>0</v>
      </c>
      <c r="P1399">
        <f t="shared" si="128"/>
        <v>5100</v>
      </c>
      <c r="Q1399">
        <f t="shared" si="132"/>
        <v>5100</v>
      </c>
      <c r="T1399" s="16">
        <f t="shared" si="133"/>
        <v>0.58205411681129471</v>
      </c>
    </row>
    <row r="1400" spans="7:20" ht="14.4" x14ac:dyDescent="0.25">
      <c r="G1400" s="10">
        <v>2540</v>
      </c>
      <c r="H1400" s="9">
        <v>18432</v>
      </c>
      <c r="I1400" s="14">
        <f>DATE(2012,12,31)-660</f>
        <v>40614</v>
      </c>
      <c r="J1400" s="15" t="s">
        <v>17</v>
      </c>
      <c r="K1400" s="9">
        <v>42</v>
      </c>
      <c r="L1400" s="16" t="s">
        <v>29</v>
      </c>
      <c r="M1400" s="16">
        <f t="shared" si="129"/>
        <v>1.1345323297650665</v>
      </c>
      <c r="N1400">
        <f t="shared" si="130"/>
        <v>0</v>
      </c>
      <c r="O1400">
        <f t="shared" si="131"/>
        <v>0</v>
      </c>
      <c r="P1400">
        <f t="shared" si="128"/>
        <v>5500</v>
      </c>
      <c r="Q1400">
        <f t="shared" si="132"/>
        <v>5500</v>
      </c>
      <c r="T1400" s="16">
        <f t="shared" si="133"/>
        <v>1.1345323297650662</v>
      </c>
    </row>
    <row r="1401" spans="7:20" ht="14.4" x14ac:dyDescent="0.25">
      <c r="G1401" s="10">
        <v>2541</v>
      </c>
      <c r="H1401" s="9">
        <v>18432</v>
      </c>
      <c r="I1401" s="14">
        <f>DATE(2012,12,31)-660</f>
        <v>40614</v>
      </c>
      <c r="J1401" s="15" t="s">
        <v>17</v>
      </c>
      <c r="K1401" s="9">
        <v>15</v>
      </c>
      <c r="L1401" s="16" t="s">
        <v>26</v>
      </c>
      <c r="M1401" s="16">
        <f t="shared" si="129"/>
        <v>-0.7300816389539122</v>
      </c>
      <c r="N1401">
        <f t="shared" si="130"/>
        <v>0</v>
      </c>
      <c r="O1401">
        <f t="shared" si="131"/>
        <v>0</v>
      </c>
      <c r="P1401">
        <f t="shared" si="128"/>
        <v>4150</v>
      </c>
      <c r="Q1401">
        <f t="shared" si="132"/>
        <v>4150</v>
      </c>
      <c r="T1401" s="16">
        <f t="shared" si="133"/>
        <v>-0.73008163895391265</v>
      </c>
    </row>
    <row r="1402" spans="7:20" ht="14.4" x14ac:dyDescent="0.25">
      <c r="G1402" s="10">
        <v>2542</v>
      </c>
      <c r="H1402" s="9">
        <v>18432</v>
      </c>
      <c r="I1402" s="14">
        <f>DATE(2012,12,31)-660</f>
        <v>40614</v>
      </c>
      <c r="J1402" s="15" t="s">
        <v>17</v>
      </c>
      <c r="K1402" s="9">
        <v>5</v>
      </c>
      <c r="L1402" s="16" t="s">
        <v>26</v>
      </c>
      <c r="M1402" s="16">
        <f t="shared" si="129"/>
        <v>-1.4206794051461267</v>
      </c>
      <c r="N1402">
        <f t="shared" si="130"/>
        <v>0</v>
      </c>
      <c r="O1402">
        <f t="shared" si="131"/>
        <v>0</v>
      </c>
      <c r="P1402">
        <f t="shared" si="128"/>
        <v>3650</v>
      </c>
      <c r="Q1402">
        <f t="shared" si="132"/>
        <v>3650</v>
      </c>
      <c r="T1402" s="16">
        <f t="shared" si="133"/>
        <v>-1.4206794051461269</v>
      </c>
    </row>
    <row r="1403" spans="7:20" ht="14.4" x14ac:dyDescent="0.25">
      <c r="G1403" s="10">
        <v>2543</v>
      </c>
      <c r="H1403" s="9">
        <v>18432</v>
      </c>
      <c r="I1403" s="14">
        <f>DATE(2012,12,31)-660</f>
        <v>40614</v>
      </c>
      <c r="J1403" s="15" t="s">
        <v>17</v>
      </c>
      <c r="K1403" s="9">
        <v>12</v>
      </c>
      <c r="L1403" s="16" t="s">
        <v>26</v>
      </c>
      <c r="M1403" s="16">
        <f t="shared" si="129"/>
        <v>-0.9372609688115765</v>
      </c>
      <c r="N1403">
        <f t="shared" si="130"/>
        <v>0</v>
      </c>
      <c r="O1403">
        <f t="shared" si="131"/>
        <v>0</v>
      </c>
      <c r="P1403">
        <f t="shared" si="128"/>
        <v>4000</v>
      </c>
      <c r="Q1403">
        <f t="shared" si="132"/>
        <v>4000</v>
      </c>
      <c r="T1403" s="16">
        <f t="shared" si="133"/>
        <v>-0.93726096881157694</v>
      </c>
    </row>
    <row r="1404" spans="7:20" ht="14.4" x14ac:dyDescent="0.25">
      <c r="G1404" s="10">
        <v>2544</v>
      </c>
      <c r="H1404" s="9">
        <v>18464</v>
      </c>
      <c r="I1404" s="14">
        <f>DATE(2012,12,31)-278</f>
        <v>40996</v>
      </c>
      <c r="J1404" s="15" t="s">
        <v>17</v>
      </c>
      <c r="K1404" s="9">
        <v>27</v>
      </c>
      <c r="L1404" s="16" t="s">
        <v>26</v>
      </c>
      <c r="M1404" s="16">
        <f t="shared" si="129"/>
        <v>9.8635680476745008E-2</v>
      </c>
      <c r="N1404">
        <f t="shared" si="130"/>
        <v>0</v>
      </c>
      <c r="O1404">
        <f t="shared" si="131"/>
        <v>0</v>
      </c>
      <c r="P1404">
        <f t="shared" si="128"/>
        <v>4750</v>
      </c>
      <c r="Q1404">
        <f t="shared" si="132"/>
        <v>4750</v>
      </c>
      <c r="T1404" s="16">
        <f t="shared" si="133"/>
        <v>9.8635680476744619E-2</v>
      </c>
    </row>
    <row r="1405" spans="7:20" ht="14.4" x14ac:dyDescent="0.25">
      <c r="G1405" s="10">
        <v>2545</v>
      </c>
      <c r="H1405" s="9">
        <v>18464</v>
      </c>
      <c r="I1405" s="14">
        <f>DATE(2012,12,31)-278</f>
        <v>40996</v>
      </c>
      <c r="J1405" s="15" t="s">
        <v>17</v>
      </c>
      <c r="K1405" s="9">
        <v>37</v>
      </c>
      <c r="L1405" s="16" t="s">
        <v>29</v>
      </c>
      <c r="M1405" s="16">
        <f t="shared" si="129"/>
        <v>0.78923344666895934</v>
      </c>
      <c r="N1405">
        <f t="shared" si="130"/>
        <v>0</v>
      </c>
      <c r="O1405">
        <f t="shared" si="131"/>
        <v>0</v>
      </c>
      <c r="P1405">
        <f t="shared" si="128"/>
        <v>5250</v>
      </c>
      <c r="Q1405">
        <f t="shared" si="132"/>
        <v>5250</v>
      </c>
      <c r="T1405" s="16">
        <f t="shared" si="133"/>
        <v>0.789233446668959</v>
      </c>
    </row>
    <row r="1406" spans="7:20" ht="14.4" x14ac:dyDescent="0.25">
      <c r="G1406" s="10">
        <v>2546</v>
      </c>
      <c r="H1406" s="9">
        <v>18464</v>
      </c>
      <c r="I1406" s="14">
        <f>DATE(2012,12,31)-278</f>
        <v>40996</v>
      </c>
      <c r="J1406" s="15" t="s">
        <v>17</v>
      </c>
      <c r="K1406" s="9">
        <v>31</v>
      </c>
      <c r="L1406" s="16" t="s">
        <v>26</v>
      </c>
      <c r="M1406" s="16">
        <f t="shared" si="129"/>
        <v>0.37487478695363075</v>
      </c>
      <c r="N1406">
        <f t="shared" si="130"/>
        <v>0</v>
      </c>
      <c r="O1406">
        <f t="shared" si="131"/>
        <v>0</v>
      </c>
      <c r="P1406">
        <f t="shared" si="128"/>
        <v>4950</v>
      </c>
      <c r="Q1406">
        <f t="shared" si="132"/>
        <v>4950</v>
      </c>
      <c r="T1406" s="16">
        <f t="shared" si="133"/>
        <v>0.37487478695363036</v>
      </c>
    </row>
    <row r="1407" spans="7:20" ht="14.4" x14ac:dyDescent="0.25">
      <c r="G1407" s="10">
        <v>2547</v>
      </c>
      <c r="H1407" s="9">
        <v>18464</v>
      </c>
      <c r="I1407" s="14">
        <f>DATE(2012,12,31)-278</f>
        <v>40996</v>
      </c>
      <c r="J1407" s="15" t="s">
        <v>17</v>
      </c>
      <c r="K1407" s="9">
        <v>41</v>
      </c>
      <c r="L1407" s="16" t="s">
        <v>26</v>
      </c>
      <c r="M1407" s="16">
        <f t="shared" si="129"/>
        <v>1.0654725531458451</v>
      </c>
      <c r="N1407">
        <f t="shared" si="130"/>
        <v>0</v>
      </c>
      <c r="O1407">
        <f t="shared" si="131"/>
        <v>0</v>
      </c>
      <c r="P1407">
        <f t="shared" si="128"/>
        <v>5450</v>
      </c>
      <c r="Q1407">
        <f t="shared" si="132"/>
        <v>5450</v>
      </c>
      <c r="T1407" s="16">
        <f t="shared" si="133"/>
        <v>1.0654725531458447</v>
      </c>
    </row>
    <row r="1408" spans="7:20" ht="14.4" x14ac:dyDescent="0.25">
      <c r="G1408" s="10">
        <v>2594</v>
      </c>
      <c r="H1408" s="9">
        <v>18754</v>
      </c>
      <c r="I1408" s="14">
        <f>DATE(2012,12,31)-1193</f>
        <v>40081</v>
      </c>
      <c r="J1408" s="15" t="s">
        <v>28</v>
      </c>
      <c r="K1408" s="9">
        <v>8</v>
      </c>
      <c r="L1408" s="16" t="s">
        <v>29</v>
      </c>
      <c r="M1408" s="16">
        <f t="shared" si="129"/>
        <v>-1.2135000752884624</v>
      </c>
      <c r="N1408">
        <f t="shared" si="130"/>
        <v>0</v>
      </c>
      <c r="O1408">
        <f t="shared" si="131"/>
        <v>0</v>
      </c>
      <c r="P1408">
        <f t="shared" si="128"/>
        <v>3800</v>
      </c>
      <c r="Q1408">
        <f t="shared" si="132"/>
        <v>3800</v>
      </c>
      <c r="T1408" s="16">
        <f t="shared" si="133"/>
        <v>-1.2135000752884626</v>
      </c>
    </row>
    <row r="1409" spans="7:20" ht="14.4" x14ac:dyDescent="0.25">
      <c r="G1409" s="10">
        <v>2595</v>
      </c>
      <c r="H1409" s="9">
        <v>18754</v>
      </c>
      <c r="I1409" s="14">
        <f>DATE(2012,12,31)-1193</f>
        <v>40081</v>
      </c>
      <c r="J1409" s="15" t="s">
        <v>28</v>
      </c>
      <c r="K1409" s="9">
        <v>32</v>
      </c>
      <c r="L1409" s="16" t="s">
        <v>27</v>
      </c>
      <c r="M1409" s="16">
        <f t="shared" si="129"/>
        <v>0.44393456357285216</v>
      </c>
      <c r="N1409">
        <f t="shared" si="130"/>
        <v>0</v>
      </c>
      <c r="O1409">
        <f t="shared" si="131"/>
        <v>0</v>
      </c>
      <c r="P1409">
        <f t="shared" si="128"/>
        <v>5000</v>
      </c>
      <c r="Q1409">
        <f t="shared" si="132"/>
        <v>5000</v>
      </c>
      <c r="T1409" s="16">
        <f t="shared" si="133"/>
        <v>0.44393456357285183</v>
      </c>
    </row>
    <row r="1410" spans="7:20" ht="14.4" x14ac:dyDescent="0.25">
      <c r="G1410" s="10">
        <v>2753</v>
      </c>
      <c r="H1410" s="9">
        <v>19905</v>
      </c>
      <c r="I1410" s="14">
        <f>DATE(2012,12,31)-141</f>
        <v>41133</v>
      </c>
      <c r="J1410" s="15" t="s">
        <v>30</v>
      </c>
      <c r="K1410" s="9">
        <v>20</v>
      </c>
      <c r="L1410" s="16" t="s">
        <v>26</v>
      </c>
      <c r="M1410" s="16">
        <f t="shared" si="129"/>
        <v>-0.38478275585780503</v>
      </c>
      <c r="N1410">
        <f t="shared" si="130"/>
        <v>0</v>
      </c>
      <c r="O1410">
        <f t="shared" si="131"/>
        <v>0</v>
      </c>
      <c r="P1410">
        <f t="shared" si="128"/>
        <v>4400</v>
      </c>
      <c r="Q1410">
        <f t="shared" si="132"/>
        <v>4400</v>
      </c>
      <c r="T1410" s="16">
        <f t="shared" si="133"/>
        <v>-0.38478275585780541</v>
      </c>
    </row>
    <row r="1411" spans="7:20" ht="14.4" x14ac:dyDescent="0.25">
      <c r="G1411" s="10">
        <v>2754</v>
      </c>
      <c r="H1411" s="9">
        <v>19905</v>
      </c>
      <c r="I1411" s="14">
        <f>DATE(2012,12,31)-141</f>
        <v>41133</v>
      </c>
      <c r="J1411" s="15" t="s">
        <v>30</v>
      </c>
      <c r="K1411" s="9">
        <v>25</v>
      </c>
      <c r="L1411" s="16" t="s">
        <v>29</v>
      </c>
      <c r="M1411" s="16">
        <f t="shared" si="129"/>
        <v>-3.9483872761697868E-2</v>
      </c>
      <c r="N1411">
        <f t="shared" si="130"/>
        <v>0</v>
      </c>
      <c r="O1411">
        <f t="shared" si="131"/>
        <v>0</v>
      </c>
      <c r="P1411">
        <f t="shared" si="128"/>
        <v>4650</v>
      </c>
      <c r="Q1411">
        <f t="shared" si="132"/>
        <v>4650</v>
      </c>
      <c r="T1411" s="16">
        <f t="shared" si="133"/>
        <v>-3.9483872761698249E-2</v>
      </c>
    </row>
    <row r="1412" spans="7:20" ht="14.4" x14ac:dyDescent="0.25">
      <c r="G1412" s="10">
        <v>2805</v>
      </c>
      <c r="H1412" s="9">
        <v>20256</v>
      </c>
      <c r="I1412" s="14">
        <f>DATE(2012,12,31)-335</f>
        <v>40939</v>
      </c>
      <c r="J1412" s="15" t="s">
        <v>25</v>
      </c>
      <c r="K1412" s="9">
        <v>24</v>
      </c>
      <c r="L1412" s="16" t="s">
        <v>26</v>
      </c>
      <c r="M1412" s="16">
        <f t="shared" si="129"/>
        <v>-0.1085436493809193</v>
      </c>
      <c r="N1412">
        <f t="shared" si="130"/>
        <v>0</v>
      </c>
      <c r="O1412">
        <f t="shared" si="131"/>
        <v>0</v>
      </c>
      <c r="P1412">
        <f t="shared" si="128"/>
        <v>4600</v>
      </c>
      <c r="Q1412">
        <f t="shared" si="132"/>
        <v>4600</v>
      </c>
      <c r="T1412" s="16">
        <f t="shared" si="133"/>
        <v>-0.10854364938091969</v>
      </c>
    </row>
    <row r="1413" spans="7:20" ht="14.4" x14ac:dyDescent="0.25">
      <c r="G1413" s="10">
        <v>2823</v>
      </c>
      <c r="H1413" s="9">
        <v>20386</v>
      </c>
      <c r="I1413" s="14">
        <f>DATE(2012,12,31)-1038</f>
        <v>40236</v>
      </c>
      <c r="J1413" s="15" t="s">
        <v>30</v>
      </c>
      <c r="K1413" s="9">
        <v>35</v>
      </c>
      <c r="L1413" s="16" t="s">
        <v>26</v>
      </c>
      <c r="M1413" s="16">
        <f t="shared" si="129"/>
        <v>0.65111389343051651</v>
      </c>
      <c r="N1413">
        <f t="shared" si="130"/>
        <v>0</v>
      </c>
      <c r="O1413">
        <f t="shared" si="131"/>
        <v>0</v>
      </c>
      <c r="P1413">
        <f t="shared" si="128"/>
        <v>5150</v>
      </c>
      <c r="Q1413">
        <f t="shared" si="132"/>
        <v>5150</v>
      </c>
      <c r="T1413" s="16">
        <f t="shared" si="133"/>
        <v>0.65111389343051607</v>
      </c>
    </row>
    <row r="1414" spans="7:20" ht="14.4" x14ac:dyDescent="0.25">
      <c r="G1414" s="10">
        <v>2839</v>
      </c>
      <c r="H1414" s="9">
        <v>20455</v>
      </c>
      <c r="I1414" s="14">
        <f>DATE(2012,12,31)-917</f>
        <v>40357</v>
      </c>
      <c r="J1414" s="15" t="s">
        <v>30</v>
      </c>
      <c r="K1414" s="9">
        <v>7</v>
      </c>
      <c r="L1414" s="16" t="s">
        <v>27</v>
      </c>
      <c r="M1414" s="16">
        <f t="shared" si="129"/>
        <v>-1.2825598519076837</v>
      </c>
      <c r="N1414">
        <f t="shared" si="130"/>
        <v>0</v>
      </c>
      <c r="O1414">
        <f t="shared" si="131"/>
        <v>0</v>
      </c>
      <c r="P1414">
        <f t="shared" si="128"/>
        <v>3750</v>
      </c>
      <c r="Q1414">
        <f t="shared" si="132"/>
        <v>3750</v>
      </c>
      <c r="T1414" s="16">
        <f t="shared" si="133"/>
        <v>-1.2825598519076842</v>
      </c>
    </row>
    <row r="1415" spans="7:20" ht="14.4" x14ac:dyDescent="0.25">
      <c r="G1415" s="10">
        <v>2860</v>
      </c>
      <c r="H1415" s="9">
        <v>20642</v>
      </c>
      <c r="I1415" s="14">
        <f>DATE(2012,12,31)-226</f>
        <v>41048</v>
      </c>
      <c r="J1415" s="15" t="s">
        <v>17</v>
      </c>
      <c r="K1415" s="9">
        <v>32</v>
      </c>
      <c r="L1415" s="16" t="s">
        <v>26</v>
      </c>
      <c r="M1415" s="16">
        <f t="shared" si="129"/>
        <v>0.44393456357285216</v>
      </c>
      <c r="N1415">
        <f t="shared" si="130"/>
        <v>0</v>
      </c>
      <c r="O1415">
        <f t="shared" si="131"/>
        <v>0</v>
      </c>
      <c r="P1415">
        <f t="shared" si="128"/>
        <v>5000</v>
      </c>
      <c r="Q1415">
        <f t="shared" si="132"/>
        <v>5000</v>
      </c>
      <c r="T1415" s="16">
        <f t="shared" si="133"/>
        <v>0.44393456357285183</v>
      </c>
    </row>
    <row r="1416" spans="7:20" ht="14.4" x14ac:dyDescent="0.25">
      <c r="G1416" s="10">
        <v>2952</v>
      </c>
      <c r="H1416" s="9">
        <v>21379</v>
      </c>
      <c r="I1416" s="14">
        <f>DATE(2012,12,31)-717</f>
        <v>40557</v>
      </c>
      <c r="J1416" s="15" t="s">
        <v>17</v>
      </c>
      <c r="K1416" s="9">
        <v>35</v>
      </c>
      <c r="L1416" s="16" t="s">
        <v>29</v>
      </c>
      <c r="M1416" s="16">
        <f t="shared" si="129"/>
        <v>0.65111389343051651</v>
      </c>
      <c r="N1416">
        <f t="shared" si="130"/>
        <v>0</v>
      </c>
      <c r="O1416">
        <f t="shared" si="131"/>
        <v>0</v>
      </c>
      <c r="P1416">
        <f t="shared" si="128"/>
        <v>5150</v>
      </c>
      <c r="Q1416">
        <f t="shared" si="132"/>
        <v>5150</v>
      </c>
      <c r="T1416" s="16">
        <f t="shared" si="133"/>
        <v>0.65111389343051607</v>
      </c>
    </row>
    <row r="1417" spans="7:20" ht="14.4" x14ac:dyDescent="0.25">
      <c r="G1417" s="10">
        <v>3027</v>
      </c>
      <c r="H1417" s="9">
        <v>21766</v>
      </c>
      <c r="I1417" s="14">
        <f>DATE(2012,12,31)-1309</f>
        <v>39965</v>
      </c>
      <c r="J1417" s="15" t="s">
        <v>17</v>
      </c>
      <c r="K1417" s="9">
        <v>41</v>
      </c>
      <c r="L1417" s="16" t="s">
        <v>29</v>
      </c>
      <c r="M1417" s="16">
        <f t="shared" si="129"/>
        <v>1.0654725531458451</v>
      </c>
      <c r="N1417">
        <f t="shared" si="130"/>
        <v>0</v>
      </c>
      <c r="O1417">
        <f t="shared" si="131"/>
        <v>0</v>
      </c>
      <c r="P1417">
        <f t="shared" si="128"/>
        <v>5450</v>
      </c>
      <c r="Q1417">
        <f t="shared" si="132"/>
        <v>5450</v>
      </c>
      <c r="T1417" s="16">
        <f t="shared" si="133"/>
        <v>1.0654725531458447</v>
      </c>
    </row>
    <row r="1418" spans="7:20" ht="14.4" x14ac:dyDescent="0.25">
      <c r="G1418" s="10">
        <v>3028</v>
      </c>
      <c r="H1418" s="9">
        <v>21766</v>
      </c>
      <c r="I1418" s="14">
        <f>DATE(2012,12,31)-1309</f>
        <v>39965</v>
      </c>
      <c r="J1418" s="15" t="s">
        <v>17</v>
      </c>
      <c r="K1418" s="9">
        <v>32</v>
      </c>
      <c r="L1418" s="16" t="s">
        <v>29</v>
      </c>
      <c r="M1418" s="16">
        <f t="shared" si="129"/>
        <v>0.44393456357285216</v>
      </c>
      <c r="N1418">
        <f t="shared" si="130"/>
        <v>0</v>
      </c>
      <c r="O1418">
        <f t="shared" si="131"/>
        <v>0</v>
      </c>
      <c r="P1418">
        <f t="shared" si="128"/>
        <v>5000</v>
      </c>
      <c r="Q1418">
        <f t="shared" si="132"/>
        <v>5000</v>
      </c>
      <c r="T1418" s="16">
        <f t="shared" si="133"/>
        <v>0.44393456357285183</v>
      </c>
    </row>
    <row r="1419" spans="7:20" ht="14.4" x14ac:dyDescent="0.25">
      <c r="G1419" s="10">
        <v>3074</v>
      </c>
      <c r="H1419" s="9">
        <v>22053</v>
      </c>
      <c r="I1419" s="14">
        <f>DATE(2012,12,31)-863</f>
        <v>40411</v>
      </c>
      <c r="J1419" s="15" t="s">
        <v>30</v>
      </c>
      <c r="K1419" s="9">
        <v>32</v>
      </c>
      <c r="L1419" s="16" t="s">
        <v>26</v>
      </c>
      <c r="M1419" s="16">
        <f t="shared" si="129"/>
        <v>0.44393456357285216</v>
      </c>
      <c r="N1419">
        <f t="shared" si="130"/>
        <v>0</v>
      </c>
      <c r="O1419">
        <f t="shared" si="131"/>
        <v>0</v>
      </c>
      <c r="P1419">
        <f t="shared" si="128"/>
        <v>5000</v>
      </c>
      <c r="Q1419">
        <f t="shared" si="132"/>
        <v>5000</v>
      </c>
      <c r="T1419" s="16">
        <f t="shared" si="133"/>
        <v>0.44393456357285183</v>
      </c>
    </row>
    <row r="1420" spans="7:20" ht="14.4" x14ac:dyDescent="0.25">
      <c r="G1420" s="10">
        <v>3111</v>
      </c>
      <c r="H1420" s="9">
        <v>22368</v>
      </c>
      <c r="I1420" s="14">
        <f>DATE(2012,12,31)-1046</f>
        <v>40228</v>
      </c>
      <c r="J1420" s="15" t="s">
        <v>16</v>
      </c>
      <c r="K1420" s="9">
        <v>5</v>
      </c>
      <c r="L1420" s="16" t="s">
        <v>27</v>
      </c>
      <c r="M1420" s="16">
        <f t="shared" si="129"/>
        <v>-1.4206794051461267</v>
      </c>
      <c r="N1420">
        <f t="shared" si="130"/>
        <v>0</v>
      </c>
      <c r="O1420">
        <f t="shared" si="131"/>
        <v>0</v>
      </c>
      <c r="P1420">
        <f t="shared" ref="P1420:P1483" si="134">50*K1420+$P$10</f>
        <v>3650</v>
      </c>
      <c r="Q1420">
        <f t="shared" si="132"/>
        <v>3650</v>
      </c>
      <c r="T1420" s="16">
        <f t="shared" si="133"/>
        <v>-1.4206794051461269</v>
      </c>
    </row>
    <row r="1421" spans="7:20" ht="14.4" x14ac:dyDescent="0.25">
      <c r="G1421" s="10">
        <v>3112</v>
      </c>
      <c r="H1421" s="9">
        <v>22368</v>
      </c>
      <c r="I1421" s="14">
        <f>DATE(2012,12,31)-1046</f>
        <v>40228</v>
      </c>
      <c r="J1421" s="15" t="s">
        <v>16</v>
      </c>
      <c r="K1421" s="9">
        <v>33</v>
      </c>
      <c r="L1421" s="16" t="s">
        <v>27</v>
      </c>
      <c r="M1421" s="16">
        <f t="shared" ref="M1421:M1484" si="135">(K1421-$K$4)/$K$7</f>
        <v>0.51299434019207357</v>
      </c>
      <c r="N1421">
        <f t="shared" ref="N1421:N1484" si="136">IF(MOD($B$20+G1421,1000)=0,1,0)</f>
        <v>0</v>
      </c>
      <c r="O1421">
        <f t="shared" ref="O1421:O1484" si="137">+ROUND(N1421*(IF(K1421&lt;$K$4,-4.5,10.5)*$P$5),-2)</f>
        <v>0</v>
      </c>
      <c r="P1421">
        <f t="shared" si="134"/>
        <v>5050</v>
      </c>
      <c r="Q1421">
        <f t="shared" ref="Q1421:Q1484" si="138">P1421+O1421</f>
        <v>5050</v>
      </c>
      <c r="T1421" s="16">
        <f t="shared" ref="T1421:T1484" si="139">(Q1421-$P$4)/$P$5</f>
        <v>0.51299434019207324</v>
      </c>
    </row>
    <row r="1422" spans="7:20" ht="14.4" x14ac:dyDescent="0.25">
      <c r="G1422" s="10">
        <v>3113</v>
      </c>
      <c r="H1422" s="9">
        <v>22368</v>
      </c>
      <c r="I1422" s="14">
        <f>DATE(2012,12,31)-1046</f>
        <v>40228</v>
      </c>
      <c r="J1422" s="15" t="s">
        <v>16</v>
      </c>
      <c r="K1422" s="9">
        <v>34</v>
      </c>
      <c r="L1422" s="16" t="s">
        <v>26</v>
      </c>
      <c r="M1422" s="16">
        <f t="shared" si="135"/>
        <v>0.58205411681129504</v>
      </c>
      <c r="N1422">
        <f t="shared" si="136"/>
        <v>0</v>
      </c>
      <c r="O1422">
        <f t="shared" si="137"/>
        <v>0</v>
      </c>
      <c r="P1422">
        <f t="shared" si="134"/>
        <v>5100</v>
      </c>
      <c r="Q1422">
        <f t="shared" si="138"/>
        <v>5100</v>
      </c>
      <c r="T1422" s="16">
        <f t="shared" si="139"/>
        <v>0.58205411681129471</v>
      </c>
    </row>
    <row r="1423" spans="7:20" ht="14.4" x14ac:dyDescent="0.25">
      <c r="G1423" s="10">
        <v>3190</v>
      </c>
      <c r="H1423" s="9">
        <v>22885</v>
      </c>
      <c r="I1423" s="14">
        <f>DATE(2012,12,31)-1134</f>
        <v>40140</v>
      </c>
      <c r="J1423" s="15" t="s">
        <v>16</v>
      </c>
      <c r="K1423" s="9">
        <v>4</v>
      </c>
      <c r="L1423" s="16" t="s">
        <v>26</v>
      </c>
      <c r="M1423" s="16">
        <f t="shared" si="135"/>
        <v>-1.489739181765348</v>
      </c>
      <c r="N1423">
        <f t="shared" si="136"/>
        <v>0</v>
      </c>
      <c r="O1423">
        <f t="shared" si="137"/>
        <v>0</v>
      </c>
      <c r="P1423">
        <f t="shared" si="134"/>
        <v>3600</v>
      </c>
      <c r="Q1423">
        <f t="shared" si="138"/>
        <v>3600</v>
      </c>
      <c r="T1423" s="16">
        <f t="shared" si="139"/>
        <v>-1.4897391817653485</v>
      </c>
    </row>
    <row r="1424" spans="7:20" ht="14.4" x14ac:dyDescent="0.25">
      <c r="G1424" s="10">
        <v>3200</v>
      </c>
      <c r="H1424" s="9">
        <v>22947</v>
      </c>
      <c r="I1424" s="14">
        <f>DATE(2012,12,31)-1109</f>
        <v>40165</v>
      </c>
      <c r="J1424" s="15" t="s">
        <v>25</v>
      </c>
      <c r="K1424" s="9">
        <v>19</v>
      </c>
      <c r="L1424" s="16" t="s">
        <v>29</v>
      </c>
      <c r="M1424" s="16">
        <f t="shared" si="135"/>
        <v>-0.45384253247702649</v>
      </c>
      <c r="N1424">
        <f t="shared" si="136"/>
        <v>0</v>
      </c>
      <c r="O1424">
        <f t="shared" si="137"/>
        <v>0</v>
      </c>
      <c r="P1424">
        <f t="shared" si="134"/>
        <v>4350</v>
      </c>
      <c r="Q1424">
        <f t="shared" si="138"/>
        <v>4350</v>
      </c>
      <c r="T1424" s="16">
        <f t="shared" si="139"/>
        <v>-0.45384253247702688</v>
      </c>
    </row>
    <row r="1425" spans="7:20" ht="14.4" x14ac:dyDescent="0.25">
      <c r="G1425" s="10">
        <v>3334</v>
      </c>
      <c r="H1425" s="9">
        <v>23844</v>
      </c>
      <c r="I1425" s="14">
        <f>DATE(2012,12,31)-1274</f>
        <v>40000</v>
      </c>
      <c r="J1425" s="15" t="s">
        <v>28</v>
      </c>
      <c r="K1425" s="9">
        <v>40</v>
      </c>
      <c r="L1425" s="16" t="s">
        <v>26</v>
      </c>
      <c r="M1425" s="16">
        <f t="shared" si="135"/>
        <v>0.99641277652662363</v>
      </c>
      <c r="N1425">
        <f t="shared" si="136"/>
        <v>0</v>
      </c>
      <c r="O1425">
        <f t="shared" si="137"/>
        <v>0</v>
      </c>
      <c r="P1425">
        <f t="shared" si="134"/>
        <v>5400</v>
      </c>
      <c r="Q1425">
        <f t="shared" si="138"/>
        <v>5400</v>
      </c>
      <c r="T1425" s="16">
        <f t="shared" si="139"/>
        <v>0.9964127765266233</v>
      </c>
    </row>
    <row r="1426" spans="7:20" ht="14.4" x14ac:dyDescent="0.25">
      <c r="G1426" s="10">
        <v>3335</v>
      </c>
      <c r="H1426" s="9">
        <v>23844</v>
      </c>
      <c r="I1426" s="14">
        <f>DATE(2012,12,31)-1274</f>
        <v>40000</v>
      </c>
      <c r="J1426" s="15" t="s">
        <v>28</v>
      </c>
      <c r="K1426" s="9">
        <v>42</v>
      </c>
      <c r="L1426" s="16" t="s">
        <v>26</v>
      </c>
      <c r="M1426" s="16">
        <f t="shared" si="135"/>
        <v>1.1345323297650665</v>
      </c>
      <c r="N1426">
        <f t="shared" si="136"/>
        <v>0</v>
      </c>
      <c r="O1426">
        <f t="shared" si="137"/>
        <v>0</v>
      </c>
      <c r="P1426">
        <f t="shared" si="134"/>
        <v>5500</v>
      </c>
      <c r="Q1426">
        <f t="shared" si="138"/>
        <v>5500</v>
      </c>
      <c r="T1426" s="16">
        <f t="shared" si="139"/>
        <v>1.1345323297650662</v>
      </c>
    </row>
    <row r="1427" spans="7:20" ht="14.4" x14ac:dyDescent="0.25">
      <c r="G1427" s="10">
        <v>3336</v>
      </c>
      <c r="H1427" s="9">
        <v>23844</v>
      </c>
      <c r="I1427" s="14">
        <f>DATE(2012,12,31)-1274</f>
        <v>40000</v>
      </c>
      <c r="J1427" s="15" t="s">
        <v>28</v>
      </c>
      <c r="K1427" s="9">
        <v>11</v>
      </c>
      <c r="L1427" s="16" t="s">
        <v>26</v>
      </c>
      <c r="M1427" s="16">
        <f t="shared" si="135"/>
        <v>-1.0063207454307979</v>
      </c>
      <c r="N1427">
        <f t="shared" si="136"/>
        <v>0</v>
      </c>
      <c r="O1427">
        <f t="shared" si="137"/>
        <v>0</v>
      </c>
      <c r="P1427">
        <f t="shared" si="134"/>
        <v>3950</v>
      </c>
      <c r="Q1427">
        <f t="shared" si="138"/>
        <v>3950</v>
      </c>
      <c r="T1427" s="16">
        <f t="shared" si="139"/>
        <v>-1.0063207454307983</v>
      </c>
    </row>
    <row r="1428" spans="7:20" ht="14.4" x14ac:dyDescent="0.25">
      <c r="G1428" s="10">
        <v>3361</v>
      </c>
      <c r="H1428" s="9">
        <v>24039</v>
      </c>
      <c r="I1428" s="14">
        <f>DATE(2012,12,31)-167</f>
        <v>41107</v>
      </c>
      <c r="J1428" s="15" t="s">
        <v>28</v>
      </c>
      <c r="K1428" s="9">
        <v>5</v>
      </c>
      <c r="L1428" s="16" t="s">
        <v>27</v>
      </c>
      <c r="M1428" s="16">
        <f t="shared" si="135"/>
        <v>-1.4206794051461267</v>
      </c>
      <c r="N1428">
        <f t="shared" si="136"/>
        <v>0</v>
      </c>
      <c r="O1428">
        <f t="shared" si="137"/>
        <v>0</v>
      </c>
      <c r="P1428">
        <f t="shared" si="134"/>
        <v>3650</v>
      </c>
      <c r="Q1428">
        <f t="shared" si="138"/>
        <v>3650</v>
      </c>
      <c r="T1428" s="16">
        <f t="shared" si="139"/>
        <v>-1.4206794051461269</v>
      </c>
    </row>
    <row r="1429" spans="7:20" ht="14.4" x14ac:dyDescent="0.25">
      <c r="G1429" s="10">
        <v>3554</v>
      </c>
      <c r="H1429" s="9">
        <v>25347</v>
      </c>
      <c r="I1429" s="14">
        <f>DATE(2012,12,31)-1298</f>
        <v>39976</v>
      </c>
      <c r="J1429" s="15" t="s">
        <v>25</v>
      </c>
      <c r="K1429" s="9">
        <v>28</v>
      </c>
      <c r="L1429" s="16" t="s">
        <v>26</v>
      </c>
      <c r="M1429" s="16">
        <f t="shared" si="135"/>
        <v>0.16769545709596645</v>
      </c>
      <c r="N1429">
        <f t="shared" si="136"/>
        <v>0</v>
      </c>
      <c r="O1429">
        <f t="shared" si="137"/>
        <v>0</v>
      </c>
      <c r="P1429">
        <f t="shared" si="134"/>
        <v>4800</v>
      </c>
      <c r="Q1429">
        <f t="shared" si="138"/>
        <v>4800</v>
      </c>
      <c r="T1429" s="16">
        <f t="shared" si="139"/>
        <v>0.16769545709596606</v>
      </c>
    </row>
    <row r="1430" spans="7:20" ht="14.4" x14ac:dyDescent="0.25">
      <c r="G1430" s="10">
        <v>3613</v>
      </c>
      <c r="H1430" s="9">
        <v>25825</v>
      </c>
      <c r="I1430" s="14">
        <f>DATE(2012,12,31)-165</f>
        <v>41109</v>
      </c>
      <c r="J1430" s="15" t="s">
        <v>28</v>
      </c>
      <c r="K1430" s="9">
        <v>45</v>
      </c>
      <c r="L1430" s="16" t="s">
        <v>26</v>
      </c>
      <c r="M1430" s="16">
        <f t="shared" si="135"/>
        <v>1.3417116596227308</v>
      </c>
      <c r="N1430">
        <f t="shared" si="136"/>
        <v>0</v>
      </c>
      <c r="O1430">
        <f t="shared" si="137"/>
        <v>0</v>
      </c>
      <c r="P1430">
        <f t="shared" si="134"/>
        <v>5650</v>
      </c>
      <c r="Q1430">
        <f t="shared" si="138"/>
        <v>5650</v>
      </c>
      <c r="T1430" s="16">
        <f t="shared" si="139"/>
        <v>1.3417116596227305</v>
      </c>
    </row>
    <row r="1431" spans="7:20" ht="14.4" x14ac:dyDescent="0.25">
      <c r="G1431" s="10">
        <v>3614</v>
      </c>
      <c r="H1431" s="9">
        <v>25825</v>
      </c>
      <c r="I1431" s="14">
        <f>DATE(2012,12,31)-165</f>
        <v>41109</v>
      </c>
      <c r="J1431" s="15" t="s">
        <v>28</v>
      </c>
      <c r="K1431" s="9">
        <v>27</v>
      </c>
      <c r="L1431" s="16" t="s">
        <v>26</v>
      </c>
      <c r="M1431" s="16">
        <f t="shared" si="135"/>
        <v>9.8635680476745008E-2</v>
      </c>
      <c r="N1431">
        <f t="shared" si="136"/>
        <v>0</v>
      </c>
      <c r="O1431">
        <f t="shared" si="137"/>
        <v>0</v>
      </c>
      <c r="P1431">
        <f t="shared" si="134"/>
        <v>4750</v>
      </c>
      <c r="Q1431">
        <f t="shared" si="138"/>
        <v>4750</v>
      </c>
      <c r="T1431" s="16">
        <f t="shared" si="139"/>
        <v>9.8635680476744619E-2</v>
      </c>
    </row>
    <row r="1432" spans="7:20" ht="14.4" x14ac:dyDescent="0.25">
      <c r="G1432" s="10">
        <v>3672</v>
      </c>
      <c r="H1432" s="9">
        <v>26304</v>
      </c>
      <c r="I1432" s="14">
        <f>DATE(2012,12,31)-653</f>
        <v>40621</v>
      </c>
      <c r="J1432" s="15" t="s">
        <v>16</v>
      </c>
      <c r="K1432" s="9">
        <v>43</v>
      </c>
      <c r="L1432" s="16" t="s">
        <v>27</v>
      </c>
      <c r="M1432" s="16">
        <f t="shared" si="135"/>
        <v>1.203592106384288</v>
      </c>
      <c r="N1432">
        <f t="shared" si="136"/>
        <v>0</v>
      </c>
      <c r="O1432">
        <f t="shared" si="137"/>
        <v>0</v>
      </c>
      <c r="P1432">
        <f t="shared" si="134"/>
        <v>5550</v>
      </c>
      <c r="Q1432">
        <f t="shared" si="138"/>
        <v>5550</v>
      </c>
      <c r="T1432" s="16">
        <f t="shared" si="139"/>
        <v>1.2035921063842876</v>
      </c>
    </row>
    <row r="1433" spans="7:20" ht="14.4" x14ac:dyDescent="0.25">
      <c r="G1433" s="10">
        <v>3740</v>
      </c>
      <c r="H1433" s="9">
        <v>26726</v>
      </c>
      <c r="I1433" s="14">
        <f>DATE(2012,12,31)-4</f>
        <v>41270</v>
      </c>
      <c r="J1433" s="15" t="s">
        <v>17</v>
      </c>
      <c r="K1433" s="9">
        <v>37</v>
      </c>
      <c r="L1433" s="16" t="s">
        <v>26</v>
      </c>
      <c r="M1433" s="16">
        <f t="shared" si="135"/>
        <v>0.78923344666895934</v>
      </c>
      <c r="N1433">
        <f t="shared" si="136"/>
        <v>0</v>
      </c>
      <c r="O1433">
        <f t="shared" si="137"/>
        <v>0</v>
      </c>
      <c r="P1433">
        <f t="shared" si="134"/>
        <v>5250</v>
      </c>
      <c r="Q1433">
        <f t="shared" si="138"/>
        <v>5250</v>
      </c>
      <c r="T1433" s="16">
        <f t="shared" si="139"/>
        <v>0.789233446668959</v>
      </c>
    </row>
    <row r="1434" spans="7:20" ht="14.4" x14ac:dyDescent="0.25">
      <c r="G1434" s="10">
        <v>3741</v>
      </c>
      <c r="H1434" s="9">
        <v>26726</v>
      </c>
      <c r="I1434" s="14">
        <f>DATE(2012,12,31)-4</f>
        <v>41270</v>
      </c>
      <c r="J1434" s="15" t="s">
        <v>17</v>
      </c>
      <c r="K1434" s="9">
        <v>11</v>
      </c>
      <c r="L1434" s="16" t="s">
        <v>26</v>
      </c>
      <c r="M1434" s="16">
        <f t="shared" si="135"/>
        <v>-1.0063207454307979</v>
      </c>
      <c r="N1434">
        <f t="shared" si="136"/>
        <v>0</v>
      </c>
      <c r="O1434">
        <f t="shared" si="137"/>
        <v>0</v>
      </c>
      <c r="P1434">
        <f t="shared" si="134"/>
        <v>3950</v>
      </c>
      <c r="Q1434">
        <f t="shared" si="138"/>
        <v>3950</v>
      </c>
      <c r="T1434" s="16">
        <f t="shared" si="139"/>
        <v>-1.0063207454307983</v>
      </c>
    </row>
    <row r="1435" spans="7:20" ht="14.4" x14ac:dyDescent="0.25">
      <c r="G1435" s="10">
        <v>3742</v>
      </c>
      <c r="H1435" s="9">
        <v>26726</v>
      </c>
      <c r="I1435" s="14">
        <f>DATE(2012,12,31)-4</f>
        <v>41270</v>
      </c>
      <c r="J1435" s="15" t="s">
        <v>17</v>
      </c>
      <c r="K1435" s="9">
        <v>41</v>
      </c>
      <c r="L1435" s="16" t="s">
        <v>26</v>
      </c>
      <c r="M1435" s="16">
        <f t="shared" si="135"/>
        <v>1.0654725531458451</v>
      </c>
      <c r="N1435">
        <f t="shared" si="136"/>
        <v>0</v>
      </c>
      <c r="O1435">
        <f t="shared" si="137"/>
        <v>0</v>
      </c>
      <c r="P1435">
        <f t="shared" si="134"/>
        <v>5450</v>
      </c>
      <c r="Q1435">
        <f t="shared" si="138"/>
        <v>5450</v>
      </c>
      <c r="T1435" s="16">
        <f t="shared" si="139"/>
        <v>1.0654725531458447</v>
      </c>
    </row>
    <row r="1436" spans="7:20" ht="14.4" x14ac:dyDescent="0.25">
      <c r="G1436" s="10">
        <v>3825</v>
      </c>
      <c r="H1436" s="9">
        <v>27266</v>
      </c>
      <c r="I1436" s="14">
        <f>DATE(2012,12,31)-480</f>
        <v>40794</v>
      </c>
      <c r="J1436" s="15" t="s">
        <v>30</v>
      </c>
      <c r="K1436" s="9">
        <v>9</v>
      </c>
      <c r="L1436" s="16" t="s">
        <v>27</v>
      </c>
      <c r="M1436" s="16">
        <f t="shared" si="135"/>
        <v>-1.1444402986692408</v>
      </c>
      <c r="N1436">
        <f t="shared" si="136"/>
        <v>0</v>
      </c>
      <c r="O1436">
        <f t="shared" si="137"/>
        <v>0</v>
      </c>
      <c r="P1436">
        <f t="shared" si="134"/>
        <v>3850</v>
      </c>
      <c r="Q1436">
        <f t="shared" si="138"/>
        <v>3850</v>
      </c>
      <c r="T1436" s="16">
        <f t="shared" si="139"/>
        <v>-1.1444402986692412</v>
      </c>
    </row>
    <row r="1437" spans="7:20" ht="14.4" x14ac:dyDescent="0.25">
      <c r="G1437" s="10">
        <v>3842</v>
      </c>
      <c r="H1437" s="9">
        <v>27396</v>
      </c>
      <c r="I1437" s="14">
        <f>DATE(2012,12,31)-754</f>
        <v>40520</v>
      </c>
      <c r="J1437" s="15" t="s">
        <v>30</v>
      </c>
      <c r="K1437" s="9">
        <v>14</v>
      </c>
      <c r="L1437" s="16" t="s">
        <v>29</v>
      </c>
      <c r="M1437" s="16">
        <f t="shared" si="135"/>
        <v>-0.79914141557313367</v>
      </c>
      <c r="N1437">
        <f t="shared" si="136"/>
        <v>0</v>
      </c>
      <c r="O1437">
        <f t="shared" si="137"/>
        <v>0</v>
      </c>
      <c r="P1437">
        <f t="shared" si="134"/>
        <v>4100</v>
      </c>
      <c r="Q1437">
        <f t="shared" si="138"/>
        <v>4100</v>
      </c>
      <c r="T1437" s="16">
        <f t="shared" si="139"/>
        <v>-0.79914141557313401</v>
      </c>
    </row>
    <row r="1438" spans="7:20" ht="14.4" x14ac:dyDescent="0.25">
      <c r="G1438" s="10">
        <v>3988</v>
      </c>
      <c r="H1438" s="9">
        <v>28480</v>
      </c>
      <c r="I1438" s="14">
        <f>DATE(2012,12,31)-1387</f>
        <v>39887</v>
      </c>
      <c r="J1438" s="15" t="s">
        <v>16</v>
      </c>
      <c r="K1438" s="9">
        <v>17</v>
      </c>
      <c r="L1438" s="16" t="s">
        <v>26</v>
      </c>
      <c r="M1438" s="16">
        <f t="shared" si="135"/>
        <v>-0.59196208571546938</v>
      </c>
      <c r="N1438">
        <f t="shared" si="136"/>
        <v>0</v>
      </c>
      <c r="O1438">
        <f t="shared" si="137"/>
        <v>0</v>
      </c>
      <c r="P1438">
        <f t="shared" si="134"/>
        <v>4250</v>
      </c>
      <c r="Q1438">
        <f t="shared" si="138"/>
        <v>4250</v>
      </c>
      <c r="T1438" s="16">
        <f t="shared" si="139"/>
        <v>-0.59196208571546971</v>
      </c>
    </row>
    <row r="1439" spans="7:20" ht="14.4" x14ac:dyDescent="0.25">
      <c r="G1439" s="10">
        <v>4090</v>
      </c>
      <c r="H1439" s="9">
        <v>29158</v>
      </c>
      <c r="I1439" s="14">
        <f>DATE(2012,12,31)-438</f>
        <v>40836</v>
      </c>
      <c r="J1439" s="15" t="s">
        <v>17</v>
      </c>
      <c r="K1439" s="9">
        <v>12</v>
      </c>
      <c r="L1439" s="16" t="s">
        <v>29</v>
      </c>
      <c r="M1439" s="16">
        <f t="shared" si="135"/>
        <v>-0.9372609688115765</v>
      </c>
      <c r="N1439">
        <f t="shared" si="136"/>
        <v>0</v>
      </c>
      <c r="O1439">
        <f t="shared" si="137"/>
        <v>0</v>
      </c>
      <c r="P1439">
        <f t="shared" si="134"/>
        <v>4000</v>
      </c>
      <c r="Q1439">
        <f t="shared" si="138"/>
        <v>4000</v>
      </c>
      <c r="T1439" s="16">
        <f t="shared" si="139"/>
        <v>-0.93726096881157694</v>
      </c>
    </row>
    <row r="1440" spans="7:20" ht="14.4" x14ac:dyDescent="0.25">
      <c r="G1440" s="10">
        <v>4144</v>
      </c>
      <c r="H1440" s="9">
        <v>29409</v>
      </c>
      <c r="I1440" s="14">
        <f>DATE(2012,12,31)-718</f>
        <v>40556</v>
      </c>
      <c r="J1440" s="15" t="s">
        <v>17</v>
      </c>
      <c r="K1440" s="9">
        <v>23</v>
      </c>
      <c r="L1440" s="16" t="s">
        <v>27</v>
      </c>
      <c r="M1440" s="16">
        <f t="shared" si="135"/>
        <v>-0.17760342600014073</v>
      </c>
      <c r="N1440">
        <f t="shared" si="136"/>
        <v>0</v>
      </c>
      <c r="O1440">
        <f t="shared" si="137"/>
        <v>0</v>
      </c>
      <c r="P1440">
        <f t="shared" si="134"/>
        <v>4550</v>
      </c>
      <c r="Q1440">
        <f t="shared" si="138"/>
        <v>4550</v>
      </c>
      <c r="T1440" s="16">
        <f t="shared" si="139"/>
        <v>-0.17760342600014112</v>
      </c>
    </row>
    <row r="1441" spans="7:20" ht="14.4" x14ac:dyDescent="0.25">
      <c r="G1441" s="10">
        <v>4213</v>
      </c>
      <c r="H1441" s="9">
        <v>29956</v>
      </c>
      <c r="I1441" s="14">
        <f>DATE(2012,12,31)-1235</f>
        <v>40039</v>
      </c>
      <c r="J1441" s="15" t="s">
        <v>30</v>
      </c>
      <c r="K1441" s="9">
        <v>48</v>
      </c>
      <c r="L1441" s="16" t="s">
        <v>26</v>
      </c>
      <c r="M1441" s="16">
        <f t="shared" si="135"/>
        <v>1.5488909894803951</v>
      </c>
      <c r="N1441">
        <f t="shared" si="136"/>
        <v>0</v>
      </c>
      <c r="O1441">
        <f t="shared" si="137"/>
        <v>0</v>
      </c>
      <c r="P1441">
        <f t="shared" si="134"/>
        <v>5800</v>
      </c>
      <c r="Q1441">
        <f t="shared" si="138"/>
        <v>5800</v>
      </c>
      <c r="T1441" s="16">
        <f t="shared" si="139"/>
        <v>1.5488909894803948</v>
      </c>
    </row>
    <row r="1442" spans="7:20" ht="14.4" x14ac:dyDescent="0.25">
      <c r="G1442" s="10">
        <v>4259</v>
      </c>
      <c r="H1442" s="9">
        <v>30341</v>
      </c>
      <c r="I1442" s="14">
        <f>DATE(2012,12,31)-1430</f>
        <v>39844</v>
      </c>
      <c r="J1442" s="15" t="s">
        <v>25</v>
      </c>
      <c r="K1442" s="9">
        <v>42</v>
      </c>
      <c r="L1442" s="16" t="s">
        <v>29</v>
      </c>
      <c r="M1442" s="16">
        <f t="shared" si="135"/>
        <v>1.1345323297650665</v>
      </c>
      <c r="N1442">
        <f t="shared" si="136"/>
        <v>0</v>
      </c>
      <c r="O1442">
        <f t="shared" si="137"/>
        <v>0</v>
      </c>
      <c r="P1442">
        <f t="shared" si="134"/>
        <v>5500</v>
      </c>
      <c r="Q1442">
        <f t="shared" si="138"/>
        <v>5500</v>
      </c>
      <c r="T1442" s="16">
        <f t="shared" si="139"/>
        <v>1.1345323297650662</v>
      </c>
    </row>
    <row r="1443" spans="7:20" ht="14.4" x14ac:dyDescent="0.25">
      <c r="G1443" s="10">
        <v>4260</v>
      </c>
      <c r="H1443" s="9">
        <v>30341</v>
      </c>
      <c r="I1443" s="14">
        <f>DATE(2012,12,31)-1430</f>
        <v>39844</v>
      </c>
      <c r="J1443" s="15" t="s">
        <v>25</v>
      </c>
      <c r="K1443" s="9">
        <v>41</v>
      </c>
      <c r="L1443" s="16" t="s">
        <v>26</v>
      </c>
      <c r="M1443" s="16">
        <f t="shared" si="135"/>
        <v>1.0654725531458451</v>
      </c>
      <c r="N1443">
        <f t="shared" si="136"/>
        <v>0</v>
      </c>
      <c r="O1443">
        <f t="shared" si="137"/>
        <v>0</v>
      </c>
      <c r="P1443">
        <f t="shared" si="134"/>
        <v>5450</v>
      </c>
      <c r="Q1443">
        <f t="shared" si="138"/>
        <v>5450</v>
      </c>
      <c r="T1443" s="16">
        <f t="shared" si="139"/>
        <v>1.0654725531458447</v>
      </c>
    </row>
    <row r="1444" spans="7:20" ht="14.4" x14ac:dyDescent="0.25">
      <c r="G1444" s="10">
        <v>4261</v>
      </c>
      <c r="H1444" s="9">
        <v>30341</v>
      </c>
      <c r="I1444" s="14">
        <f>DATE(2012,12,31)-1430</f>
        <v>39844</v>
      </c>
      <c r="J1444" s="15" t="s">
        <v>25</v>
      </c>
      <c r="K1444" s="9">
        <v>30</v>
      </c>
      <c r="L1444" s="16" t="s">
        <v>26</v>
      </c>
      <c r="M1444" s="16">
        <f t="shared" si="135"/>
        <v>0.30581501033440933</v>
      </c>
      <c r="N1444">
        <f t="shared" si="136"/>
        <v>0</v>
      </c>
      <c r="O1444">
        <f t="shared" si="137"/>
        <v>0</v>
      </c>
      <c r="P1444">
        <f t="shared" si="134"/>
        <v>4900</v>
      </c>
      <c r="Q1444">
        <f t="shared" si="138"/>
        <v>4900</v>
      </c>
      <c r="T1444" s="16">
        <f t="shared" si="139"/>
        <v>0.30581501033440894</v>
      </c>
    </row>
    <row r="1445" spans="7:20" ht="14.4" x14ac:dyDescent="0.25">
      <c r="G1445" s="10">
        <v>4278</v>
      </c>
      <c r="H1445" s="9">
        <v>30467</v>
      </c>
      <c r="I1445" s="14">
        <f>DATE(2012,12,31)-1234</f>
        <v>40040</v>
      </c>
      <c r="J1445" s="15" t="s">
        <v>30</v>
      </c>
      <c r="K1445" s="9">
        <v>5</v>
      </c>
      <c r="L1445" s="16" t="s">
        <v>26</v>
      </c>
      <c r="M1445" s="16">
        <f t="shared" si="135"/>
        <v>-1.4206794051461267</v>
      </c>
      <c r="N1445">
        <f t="shared" si="136"/>
        <v>0</v>
      </c>
      <c r="O1445">
        <f t="shared" si="137"/>
        <v>0</v>
      </c>
      <c r="P1445">
        <f t="shared" si="134"/>
        <v>3650</v>
      </c>
      <c r="Q1445">
        <f t="shared" si="138"/>
        <v>3650</v>
      </c>
      <c r="T1445" s="16">
        <f t="shared" si="139"/>
        <v>-1.4206794051461269</v>
      </c>
    </row>
    <row r="1446" spans="7:20" ht="14.4" x14ac:dyDescent="0.25">
      <c r="G1446" s="10">
        <v>4321</v>
      </c>
      <c r="H1446" s="9">
        <v>30785</v>
      </c>
      <c r="I1446" s="14">
        <f>DATE(2012,12,31)-1277</f>
        <v>39997</v>
      </c>
      <c r="J1446" s="15" t="s">
        <v>17</v>
      </c>
      <c r="K1446" s="9">
        <v>7</v>
      </c>
      <c r="L1446" s="16" t="s">
        <v>26</v>
      </c>
      <c r="M1446" s="16">
        <f t="shared" si="135"/>
        <v>-1.2825598519076837</v>
      </c>
      <c r="N1446">
        <f t="shared" si="136"/>
        <v>0</v>
      </c>
      <c r="O1446">
        <f t="shared" si="137"/>
        <v>0</v>
      </c>
      <c r="P1446">
        <f t="shared" si="134"/>
        <v>3750</v>
      </c>
      <c r="Q1446">
        <f t="shared" si="138"/>
        <v>3750</v>
      </c>
      <c r="T1446" s="16">
        <f t="shared" si="139"/>
        <v>-1.2825598519076842</v>
      </c>
    </row>
    <row r="1447" spans="7:20" ht="14.4" x14ac:dyDescent="0.25">
      <c r="G1447" s="10">
        <v>4322</v>
      </c>
      <c r="H1447" s="9">
        <v>30785</v>
      </c>
      <c r="I1447" s="14">
        <f>DATE(2012,12,31)-1277</f>
        <v>39997</v>
      </c>
      <c r="J1447" s="15" t="s">
        <v>17</v>
      </c>
      <c r="K1447" s="9">
        <v>38</v>
      </c>
      <c r="L1447" s="16" t="s">
        <v>26</v>
      </c>
      <c r="M1447" s="16">
        <f t="shared" si="135"/>
        <v>0.85829322328818081</v>
      </c>
      <c r="N1447">
        <f t="shared" si="136"/>
        <v>0</v>
      </c>
      <c r="O1447">
        <f t="shared" si="137"/>
        <v>0</v>
      </c>
      <c r="P1447">
        <f t="shared" si="134"/>
        <v>5300</v>
      </c>
      <c r="Q1447">
        <f t="shared" si="138"/>
        <v>5300</v>
      </c>
      <c r="T1447" s="16">
        <f t="shared" si="139"/>
        <v>0.85829322328818036</v>
      </c>
    </row>
    <row r="1448" spans="7:20" ht="14.4" x14ac:dyDescent="0.25">
      <c r="G1448" s="10">
        <v>4374</v>
      </c>
      <c r="H1448" s="9">
        <v>31171</v>
      </c>
      <c r="I1448" s="14">
        <f>DATE(2012,12,31)-1363</f>
        <v>39911</v>
      </c>
      <c r="J1448" s="15" t="s">
        <v>28</v>
      </c>
      <c r="K1448" s="9">
        <v>37</v>
      </c>
      <c r="L1448" s="16" t="s">
        <v>26</v>
      </c>
      <c r="M1448" s="16">
        <f t="shared" si="135"/>
        <v>0.78923344666895934</v>
      </c>
      <c r="N1448">
        <f t="shared" si="136"/>
        <v>0</v>
      </c>
      <c r="O1448">
        <f t="shared" si="137"/>
        <v>0</v>
      </c>
      <c r="P1448">
        <f t="shared" si="134"/>
        <v>5250</v>
      </c>
      <c r="Q1448">
        <f t="shared" si="138"/>
        <v>5250</v>
      </c>
      <c r="T1448" s="16">
        <f t="shared" si="139"/>
        <v>0.789233446668959</v>
      </c>
    </row>
    <row r="1449" spans="7:20" ht="14.4" x14ac:dyDescent="0.25">
      <c r="G1449" s="10">
        <v>4394</v>
      </c>
      <c r="H1449" s="9">
        <v>31297</v>
      </c>
      <c r="I1449" s="14">
        <f>DATE(2012,12,31)-135</f>
        <v>41139</v>
      </c>
      <c r="J1449" s="15" t="s">
        <v>25</v>
      </c>
      <c r="K1449" s="9">
        <v>39</v>
      </c>
      <c r="L1449" s="16" t="s">
        <v>26</v>
      </c>
      <c r="M1449" s="16">
        <f t="shared" si="135"/>
        <v>0.92735299990740228</v>
      </c>
      <c r="N1449">
        <f t="shared" si="136"/>
        <v>0</v>
      </c>
      <c r="O1449">
        <f t="shared" si="137"/>
        <v>0</v>
      </c>
      <c r="P1449">
        <f t="shared" si="134"/>
        <v>5350</v>
      </c>
      <c r="Q1449">
        <f t="shared" si="138"/>
        <v>5350</v>
      </c>
      <c r="T1449" s="16">
        <f t="shared" si="139"/>
        <v>0.92735299990740183</v>
      </c>
    </row>
    <row r="1450" spans="7:20" ht="14.4" x14ac:dyDescent="0.25">
      <c r="G1450" s="10">
        <v>4395</v>
      </c>
      <c r="H1450" s="9">
        <v>31297</v>
      </c>
      <c r="I1450" s="14">
        <f>DATE(2012,12,31)-135</f>
        <v>41139</v>
      </c>
      <c r="J1450" s="15" t="s">
        <v>25</v>
      </c>
      <c r="K1450" s="9">
        <v>44</v>
      </c>
      <c r="L1450" s="16" t="s">
        <v>26</v>
      </c>
      <c r="M1450" s="16">
        <f t="shared" si="135"/>
        <v>1.2726518830035094</v>
      </c>
      <c r="N1450">
        <f t="shared" si="136"/>
        <v>0</v>
      </c>
      <c r="O1450">
        <f t="shared" si="137"/>
        <v>0</v>
      </c>
      <c r="P1450">
        <f t="shared" si="134"/>
        <v>5600</v>
      </c>
      <c r="Q1450">
        <f t="shared" si="138"/>
        <v>5600</v>
      </c>
      <c r="T1450" s="16">
        <f t="shared" si="139"/>
        <v>1.272651883003509</v>
      </c>
    </row>
    <row r="1451" spans="7:20" ht="14.4" x14ac:dyDescent="0.25">
      <c r="G1451" s="10">
        <v>4425</v>
      </c>
      <c r="H1451" s="9">
        <v>31553</v>
      </c>
      <c r="I1451" s="14">
        <f>DATE(2012,12,31)-1451</f>
        <v>39823</v>
      </c>
      <c r="J1451" s="15" t="s">
        <v>30</v>
      </c>
      <c r="K1451" s="9">
        <v>32</v>
      </c>
      <c r="L1451" s="16" t="s">
        <v>26</v>
      </c>
      <c r="M1451" s="16">
        <f t="shared" si="135"/>
        <v>0.44393456357285216</v>
      </c>
      <c r="N1451">
        <f t="shared" si="136"/>
        <v>0</v>
      </c>
      <c r="O1451">
        <f t="shared" si="137"/>
        <v>0</v>
      </c>
      <c r="P1451">
        <f t="shared" si="134"/>
        <v>5000</v>
      </c>
      <c r="Q1451">
        <f t="shared" si="138"/>
        <v>5000</v>
      </c>
      <c r="T1451" s="16">
        <f t="shared" si="139"/>
        <v>0.44393456357285183</v>
      </c>
    </row>
    <row r="1452" spans="7:20" ht="14.4" x14ac:dyDescent="0.25">
      <c r="G1452" s="10">
        <v>4595</v>
      </c>
      <c r="H1452" s="9">
        <v>32706</v>
      </c>
      <c r="I1452" s="14">
        <f>DATE(2012,12,31)-1276</f>
        <v>39998</v>
      </c>
      <c r="J1452" s="15" t="s">
        <v>30</v>
      </c>
      <c r="K1452" s="9">
        <v>5</v>
      </c>
      <c r="L1452" s="16" t="s">
        <v>27</v>
      </c>
      <c r="M1452" s="16">
        <f t="shared" si="135"/>
        <v>-1.4206794051461267</v>
      </c>
      <c r="N1452">
        <f t="shared" si="136"/>
        <v>0</v>
      </c>
      <c r="O1452">
        <f t="shared" si="137"/>
        <v>0</v>
      </c>
      <c r="P1452">
        <f t="shared" si="134"/>
        <v>3650</v>
      </c>
      <c r="Q1452">
        <f t="shared" si="138"/>
        <v>3650</v>
      </c>
      <c r="T1452" s="16">
        <f t="shared" si="139"/>
        <v>-1.4206794051461269</v>
      </c>
    </row>
    <row r="1453" spans="7:20" ht="14.4" x14ac:dyDescent="0.25">
      <c r="G1453" s="10">
        <v>4650</v>
      </c>
      <c r="H1453" s="9">
        <v>33122</v>
      </c>
      <c r="I1453" s="14">
        <f>DATE(2012,12,31)-926</f>
        <v>40348</v>
      </c>
      <c r="J1453" s="15" t="s">
        <v>25</v>
      </c>
      <c r="K1453" s="9">
        <v>21</v>
      </c>
      <c r="L1453" s="16" t="s">
        <v>27</v>
      </c>
      <c r="M1453" s="16">
        <f t="shared" si="135"/>
        <v>-0.31572297923858361</v>
      </c>
      <c r="N1453">
        <f t="shared" si="136"/>
        <v>0</v>
      </c>
      <c r="O1453">
        <f t="shared" si="137"/>
        <v>0</v>
      </c>
      <c r="P1453">
        <f t="shared" si="134"/>
        <v>4450</v>
      </c>
      <c r="Q1453">
        <f t="shared" si="138"/>
        <v>4450</v>
      </c>
      <c r="T1453" s="16">
        <f t="shared" si="139"/>
        <v>-0.315722979238584</v>
      </c>
    </row>
    <row r="1454" spans="7:20" ht="14.4" x14ac:dyDescent="0.25">
      <c r="G1454" s="10">
        <v>4713</v>
      </c>
      <c r="H1454" s="9">
        <v>33570</v>
      </c>
      <c r="I1454" s="14">
        <f>DATE(2012,12,31)-15</f>
        <v>41259</v>
      </c>
      <c r="J1454" s="15" t="s">
        <v>28</v>
      </c>
      <c r="K1454" s="9">
        <v>46</v>
      </c>
      <c r="L1454" s="16" t="s">
        <v>26</v>
      </c>
      <c r="M1454" s="16">
        <f t="shared" si="135"/>
        <v>1.4107714362419523</v>
      </c>
      <c r="N1454">
        <f t="shared" si="136"/>
        <v>0</v>
      </c>
      <c r="O1454">
        <f t="shared" si="137"/>
        <v>0</v>
      </c>
      <c r="P1454">
        <f t="shared" si="134"/>
        <v>5700</v>
      </c>
      <c r="Q1454">
        <f t="shared" si="138"/>
        <v>5700</v>
      </c>
      <c r="T1454" s="16">
        <f t="shared" si="139"/>
        <v>1.4107714362419519</v>
      </c>
    </row>
    <row r="1455" spans="7:20" ht="14.4" x14ac:dyDescent="0.25">
      <c r="G1455" s="10">
        <v>4714</v>
      </c>
      <c r="H1455" s="9">
        <v>33570</v>
      </c>
      <c r="I1455" s="14">
        <f>DATE(2012,12,31)-15</f>
        <v>41259</v>
      </c>
      <c r="J1455" s="15" t="s">
        <v>28</v>
      </c>
      <c r="K1455" s="9">
        <v>1</v>
      </c>
      <c r="L1455" s="16" t="s">
        <v>27</v>
      </c>
      <c r="M1455" s="16">
        <f t="shared" si="135"/>
        <v>-1.6969185116230123</v>
      </c>
      <c r="N1455">
        <f t="shared" si="136"/>
        <v>0</v>
      </c>
      <c r="O1455">
        <f t="shared" si="137"/>
        <v>0</v>
      </c>
      <c r="P1455">
        <f t="shared" si="134"/>
        <v>3450</v>
      </c>
      <c r="Q1455">
        <f t="shared" si="138"/>
        <v>3450</v>
      </c>
      <c r="T1455" s="16">
        <f t="shared" si="139"/>
        <v>-1.6969185116230128</v>
      </c>
    </row>
    <row r="1456" spans="7:20" ht="14.4" x14ac:dyDescent="0.25">
      <c r="G1456" s="10">
        <v>4715</v>
      </c>
      <c r="H1456" s="9">
        <v>33570</v>
      </c>
      <c r="I1456" s="14">
        <f>DATE(2012,12,31)-15</f>
        <v>41259</v>
      </c>
      <c r="J1456" s="15" t="s">
        <v>28</v>
      </c>
      <c r="K1456" s="9">
        <v>19</v>
      </c>
      <c r="L1456" s="16" t="s">
        <v>27</v>
      </c>
      <c r="M1456" s="16">
        <f t="shared" si="135"/>
        <v>-0.45384253247702649</v>
      </c>
      <c r="N1456">
        <f t="shared" si="136"/>
        <v>0</v>
      </c>
      <c r="O1456">
        <f t="shared" si="137"/>
        <v>0</v>
      </c>
      <c r="P1456">
        <f t="shared" si="134"/>
        <v>4350</v>
      </c>
      <c r="Q1456">
        <f t="shared" si="138"/>
        <v>4350</v>
      </c>
      <c r="T1456" s="16">
        <f t="shared" si="139"/>
        <v>-0.45384253247702688</v>
      </c>
    </row>
    <row r="1457" spans="7:20" ht="14.4" x14ac:dyDescent="0.25">
      <c r="G1457" s="10">
        <v>4770</v>
      </c>
      <c r="H1457" s="9">
        <v>33893</v>
      </c>
      <c r="I1457" s="14">
        <f>DATE(2012,12,31)-102</f>
        <v>41172</v>
      </c>
      <c r="J1457" s="15" t="s">
        <v>28</v>
      </c>
      <c r="K1457" s="9">
        <v>6</v>
      </c>
      <c r="L1457" s="16" t="s">
        <v>26</v>
      </c>
      <c r="M1457" s="16">
        <f t="shared" si="135"/>
        <v>-1.3516196285269051</v>
      </c>
      <c r="N1457">
        <f t="shared" si="136"/>
        <v>0</v>
      </c>
      <c r="O1457">
        <f t="shared" si="137"/>
        <v>0</v>
      </c>
      <c r="P1457">
        <f t="shared" si="134"/>
        <v>3700</v>
      </c>
      <c r="Q1457">
        <f t="shared" si="138"/>
        <v>3700</v>
      </c>
      <c r="T1457" s="16">
        <f t="shared" si="139"/>
        <v>-1.3516196285269055</v>
      </c>
    </row>
    <row r="1458" spans="7:20" ht="14.4" x14ac:dyDescent="0.25">
      <c r="G1458" s="10">
        <v>4771</v>
      </c>
      <c r="H1458" s="9">
        <v>33893</v>
      </c>
      <c r="I1458" s="14">
        <f>DATE(2012,12,31)-102</f>
        <v>41172</v>
      </c>
      <c r="J1458" s="15" t="s">
        <v>28</v>
      </c>
      <c r="K1458" s="9">
        <v>16</v>
      </c>
      <c r="L1458" s="16" t="s">
        <v>26</v>
      </c>
      <c r="M1458" s="16">
        <f t="shared" si="135"/>
        <v>-0.66102186233469074</v>
      </c>
      <c r="N1458">
        <f t="shared" si="136"/>
        <v>0</v>
      </c>
      <c r="O1458">
        <f t="shared" si="137"/>
        <v>0</v>
      </c>
      <c r="P1458">
        <f t="shared" si="134"/>
        <v>4200</v>
      </c>
      <c r="Q1458">
        <f t="shared" si="138"/>
        <v>4200</v>
      </c>
      <c r="T1458" s="16">
        <f t="shared" si="139"/>
        <v>-0.66102186233469118</v>
      </c>
    </row>
    <row r="1459" spans="7:20" ht="14.4" x14ac:dyDescent="0.25">
      <c r="G1459" s="10">
        <v>4862</v>
      </c>
      <c r="H1459" s="9">
        <v>34599</v>
      </c>
      <c r="I1459" s="14">
        <f>DATE(2012,12,31)-1034</f>
        <v>40240</v>
      </c>
      <c r="J1459" s="15" t="s">
        <v>25</v>
      </c>
      <c r="K1459" s="9">
        <v>26</v>
      </c>
      <c r="L1459" s="16" t="s">
        <v>29</v>
      </c>
      <c r="M1459" s="16">
        <f t="shared" si="135"/>
        <v>2.9575903857523567E-2</v>
      </c>
      <c r="N1459">
        <f t="shared" si="136"/>
        <v>0</v>
      </c>
      <c r="O1459">
        <f t="shared" si="137"/>
        <v>0</v>
      </c>
      <c r="P1459">
        <f t="shared" si="134"/>
        <v>4700</v>
      </c>
      <c r="Q1459">
        <f t="shared" si="138"/>
        <v>4700</v>
      </c>
      <c r="T1459" s="16">
        <f t="shared" si="139"/>
        <v>2.9575903857523185E-2</v>
      </c>
    </row>
    <row r="1460" spans="7:20" ht="14.4" x14ac:dyDescent="0.25">
      <c r="G1460" s="10">
        <v>4863</v>
      </c>
      <c r="H1460" s="9">
        <v>34599</v>
      </c>
      <c r="I1460" s="14">
        <f>DATE(2012,12,31)-1034</f>
        <v>40240</v>
      </c>
      <c r="J1460" s="15" t="s">
        <v>25</v>
      </c>
      <c r="K1460" s="9">
        <v>29</v>
      </c>
      <c r="L1460" s="16" t="s">
        <v>26</v>
      </c>
      <c r="M1460" s="16">
        <f t="shared" si="135"/>
        <v>0.23675523371518786</v>
      </c>
      <c r="N1460">
        <f t="shared" si="136"/>
        <v>0</v>
      </c>
      <c r="O1460">
        <f t="shared" si="137"/>
        <v>0</v>
      </c>
      <c r="P1460">
        <f t="shared" si="134"/>
        <v>4850</v>
      </c>
      <c r="Q1460">
        <f t="shared" si="138"/>
        <v>4850</v>
      </c>
      <c r="T1460" s="16">
        <f t="shared" si="139"/>
        <v>0.2367552337151875</v>
      </c>
    </row>
    <row r="1461" spans="7:20" ht="14.4" x14ac:dyDescent="0.25">
      <c r="G1461" s="10">
        <v>4879</v>
      </c>
      <c r="H1461" s="9">
        <v>34721</v>
      </c>
      <c r="I1461" s="14">
        <f>DATE(2012,12,31)-791</f>
        <v>40483</v>
      </c>
      <c r="J1461" s="15" t="s">
        <v>28</v>
      </c>
      <c r="K1461" s="9">
        <v>46</v>
      </c>
      <c r="L1461" s="16" t="s">
        <v>26</v>
      </c>
      <c r="M1461" s="16">
        <f t="shared" si="135"/>
        <v>1.4107714362419523</v>
      </c>
      <c r="N1461">
        <f t="shared" si="136"/>
        <v>0</v>
      </c>
      <c r="O1461">
        <f t="shared" si="137"/>
        <v>0</v>
      </c>
      <c r="P1461">
        <f t="shared" si="134"/>
        <v>5700</v>
      </c>
      <c r="Q1461">
        <f t="shared" si="138"/>
        <v>5700</v>
      </c>
      <c r="T1461" s="16">
        <f t="shared" si="139"/>
        <v>1.4107714362419519</v>
      </c>
    </row>
    <row r="1462" spans="7:20" ht="14.4" x14ac:dyDescent="0.25">
      <c r="G1462" s="10">
        <v>4889</v>
      </c>
      <c r="H1462" s="9">
        <v>34787</v>
      </c>
      <c r="I1462" s="14">
        <f>DATE(2012,12,31)-1037</f>
        <v>40237</v>
      </c>
      <c r="J1462" s="15" t="s">
        <v>25</v>
      </c>
      <c r="K1462" s="9">
        <v>14</v>
      </c>
      <c r="L1462" s="16" t="s">
        <v>26</v>
      </c>
      <c r="M1462" s="16">
        <f t="shared" si="135"/>
        <v>-0.79914141557313367</v>
      </c>
      <c r="N1462">
        <f t="shared" si="136"/>
        <v>0</v>
      </c>
      <c r="O1462">
        <f t="shared" si="137"/>
        <v>0</v>
      </c>
      <c r="P1462">
        <f t="shared" si="134"/>
        <v>4100</v>
      </c>
      <c r="Q1462">
        <f t="shared" si="138"/>
        <v>4100</v>
      </c>
      <c r="T1462" s="16">
        <f t="shared" si="139"/>
        <v>-0.79914141557313401</v>
      </c>
    </row>
    <row r="1463" spans="7:20" ht="14.4" x14ac:dyDescent="0.25">
      <c r="G1463" s="10">
        <v>4891</v>
      </c>
      <c r="H1463" s="9">
        <v>34791</v>
      </c>
      <c r="I1463" s="14">
        <f>DATE(2012,12,31)-604</f>
        <v>40670</v>
      </c>
      <c r="J1463" s="15" t="s">
        <v>16</v>
      </c>
      <c r="K1463" s="9">
        <v>37</v>
      </c>
      <c r="L1463" s="16" t="s">
        <v>29</v>
      </c>
      <c r="M1463" s="16">
        <f t="shared" si="135"/>
        <v>0.78923344666895934</v>
      </c>
      <c r="N1463">
        <f t="shared" si="136"/>
        <v>0</v>
      </c>
      <c r="O1463">
        <f t="shared" si="137"/>
        <v>0</v>
      </c>
      <c r="P1463">
        <f t="shared" si="134"/>
        <v>5250</v>
      </c>
      <c r="Q1463">
        <f t="shared" si="138"/>
        <v>5250</v>
      </c>
      <c r="T1463" s="16">
        <f t="shared" si="139"/>
        <v>0.789233446668959</v>
      </c>
    </row>
    <row r="1464" spans="7:20" ht="14.4" x14ac:dyDescent="0.25">
      <c r="G1464" s="10">
        <v>4892</v>
      </c>
      <c r="H1464" s="9">
        <v>34791</v>
      </c>
      <c r="I1464" s="14">
        <f>DATE(2012,12,31)-604</f>
        <v>40670</v>
      </c>
      <c r="J1464" s="15" t="s">
        <v>16</v>
      </c>
      <c r="K1464" s="9">
        <v>9</v>
      </c>
      <c r="L1464" s="16" t="s">
        <v>26</v>
      </c>
      <c r="M1464" s="16">
        <f t="shared" si="135"/>
        <v>-1.1444402986692408</v>
      </c>
      <c r="N1464">
        <f t="shared" si="136"/>
        <v>0</v>
      </c>
      <c r="O1464">
        <f t="shared" si="137"/>
        <v>0</v>
      </c>
      <c r="P1464">
        <f t="shared" si="134"/>
        <v>3850</v>
      </c>
      <c r="Q1464">
        <f t="shared" si="138"/>
        <v>3850</v>
      </c>
      <c r="T1464" s="16">
        <f t="shared" si="139"/>
        <v>-1.1444402986692412</v>
      </c>
    </row>
    <row r="1465" spans="7:20" ht="14.4" x14ac:dyDescent="0.25">
      <c r="G1465" s="10">
        <v>4895</v>
      </c>
      <c r="H1465" s="9">
        <v>34822</v>
      </c>
      <c r="I1465" s="14">
        <f>DATE(2012,12,31)-174</f>
        <v>41100</v>
      </c>
      <c r="J1465" s="15" t="s">
        <v>28</v>
      </c>
      <c r="K1465" s="9">
        <v>23</v>
      </c>
      <c r="L1465" s="16" t="s">
        <v>27</v>
      </c>
      <c r="M1465" s="16">
        <f t="shared" si="135"/>
        <v>-0.17760342600014073</v>
      </c>
      <c r="N1465">
        <f t="shared" si="136"/>
        <v>0</v>
      </c>
      <c r="O1465">
        <f t="shared" si="137"/>
        <v>0</v>
      </c>
      <c r="P1465">
        <f t="shared" si="134"/>
        <v>4550</v>
      </c>
      <c r="Q1465">
        <f t="shared" si="138"/>
        <v>4550</v>
      </c>
      <c r="T1465" s="16">
        <f t="shared" si="139"/>
        <v>-0.17760342600014112</v>
      </c>
    </row>
    <row r="1466" spans="7:20" ht="14.4" x14ac:dyDescent="0.25">
      <c r="G1466" s="10">
        <v>4900</v>
      </c>
      <c r="H1466" s="9">
        <v>34853</v>
      </c>
      <c r="I1466" s="14">
        <f>DATE(2012,12,31)-459</f>
        <v>40815</v>
      </c>
      <c r="J1466" s="15" t="s">
        <v>30</v>
      </c>
      <c r="K1466" s="9">
        <v>49</v>
      </c>
      <c r="L1466" s="16" t="s">
        <v>29</v>
      </c>
      <c r="M1466" s="16">
        <f t="shared" si="135"/>
        <v>1.6179507660996166</v>
      </c>
      <c r="N1466">
        <f t="shared" si="136"/>
        <v>0</v>
      </c>
      <c r="O1466">
        <f t="shared" si="137"/>
        <v>0</v>
      </c>
      <c r="P1466">
        <f t="shared" si="134"/>
        <v>5850</v>
      </c>
      <c r="Q1466">
        <f t="shared" si="138"/>
        <v>5850</v>
      </c>
      <c r="T1466" s="16">
        <f t="shared" si="139"/>
        <v>1.6179507660996162</v>
      </c>
    </row>
    <row r="1467" spans="7:20" ht="14.4" x14ac:dyDescent="0.25">
      <c r="G1467" s="10">
        <v>4991</v>
      </c>
      <c r="H1467" s="9">
        <v>35522</v>
      </c>
      <c r="I1467" s="14">
        <f>DATE(2012,12,31)-798</f>
        <v>40476</v>
      </c>
      <c r="J1467" s="15" t="s">
        <v>25</v>
      </c>
      <c r="K1467" s="9">
        <v>27</v>
      </c>
      <c r="L1467" s="16" t="s">
        <v>27</v>
      </c>
      <c r="M1467" s="16">
        <f t="shared" si="135"/>
        <v>9.8635680476745008E-2</v>
      </c>
      <c r="N1467">
        <f t="shared" si="136"/>
        <v>0</v>
      </c>
      <c r="O1467">
        <f t="shared" si="137"/>
        <v>0</v>
      </c>
      <c r="P1467">
        <f t="shared" si="134"/>
        <v>4750</v>
      </c>
      <c r="Q1467">
        <f t="shared" si="138"/>
        <v>4750</v>
      </c>
      <c r="T1467" s="16">
        <f t="shared" si="139"/>
        <v>9.8635680476744619E-2</v>
      </c>
    </row>
    <row r="1468" spans="7:20" ht="14.4" x14ac:dyDescent="0.25">
      <c r="G1468" s="10">
        <v>5062</v>
      </c>
      <c r="H1468" s="9">
        <v>36099</v>
      </c>
      <c r="I1468" s="14">
        <f>DATE(2012,12,31)-836</f>
        <v>40438</v>
      </c>
      <c r="J1468" s="15" t="s">
        <v>25</v>
      </c>
      <c r="K1468" s="9">
        <v>32</v>
      </c>
      <c r="L1468" s="16" t="s">
        <v>26</v>
      </c>
      <c r="M1468" s="16">
        <f t="shared" si="135"/>
        <v>0.44393456357285216</v>
      </c>
      <c r="N1468">
        <f t="shared" si="136"/>
        <v>0</v>
      </c>
      <c r="O1468">
        <f t="shared" si="137"/>
        <v>0</v>
      </c>
      <c r="P1468">
        <f t="shared" si="134"/>
        <v>5000</v>
      </c>
      <c r="Q1468">
        <f t="shared" si="138"/>
        <v>5000</v>
      </c>
      <c r="T1468" s="16">
        <f t="shared" si="139"/>
        <v>0.44393456357285183</v>
      </c>
    </row>
    <row r="1469" spans="7:20" ht="14.4" x14ac:dyDescent="0.25">
      <c r="G1469" s="10">
        <v>5063</v>
      </c>
      <c r="H1469" s="9">
        <v>36099</v>
      </c>
      <c r="I1469" s="14">
        <f>DATE(2012,12,31)-836</f>
        <v>40438</v>
      </c>
      <c r="J1469" s="15" t="s">
        <v>25</v>
      </c>
      <c r="K1469" s="9">
        <v>15</v>
      </c>
      <c r="L1469" s="16" t="s">
        <v>26</v>
      </c>
      <c r="M1469" s="16">
        <f t="shared" si="135"/>
        <v>-0.7300816389539122</v>
      </c>
      <c r="N1469">
        <f t="shared" si="136"/>
        <v>0</v>
      </c>
      <c r="O1469">
        <f t="shared" si="137"/>
        <v>0</v>
      </c>
      <c r="P1469">
        <f t="shared" si="134"/>
        <v>4150</v>
      </c>
      <c r="Q1469">
        <f t="shared" si="138"/>
        <v>4150</v>
      </c>
      <c r="T1469" s="16">
        <f t="shared" si="139"/>
        <v>-0.73008163895391265</v>
      </c>
    </row>
    <row r="1470" spans="7:20" ht="14.4" x14ac:dyDescent="0.25">
      <c r="G1470" s="10">
        <v>5106</v>
      </c>
      <c r="H1470" s="9">
        <v>36359</v>
      </c>
      <c r="I1470" s="14">
        <f>DATE(2012,12,31)-404</f>
        <v>40870</v>
      </c>
      <c r="J1470" s="15" t="s">
        <v>17</v>
      </c>
      <c r="K1470" s="9">
        <v>2</v>
      </c>
      <c r="L1470" s="16" t="s">
        <v>26</v>
      </c>
      <c r="M1470" s="16">
        <f t="shared" si="135"/>
        <v>-1.627858735003791</v>
      </c>
      <c r="N1470">
        <f t="shared" si="136"/>
        <v>0</v>
      </c>
      <c r="O1470">
        <f t="shared" si="137"/>
        <v>0</v>
      </c>
      <c r="P1470">
        <f t="shared" si="134"/>
        <v>3500</v>
      </c>
      <c r="Q1470">
        <f t="shared" si="138"/>
        <v>3500</v>
      </c>
      <c r="T1470" s="16">
        <f t="shared" si="139"/>
        <v>-1.6278587350037912</v>
      </c>
    </row>
    <row r="1471" spans="7:20" ht="14.4" x14ac:dyDescent="0.25">
      <c r="G1471" s="10">
        <v>5193</v>
      </c>
      <c r="H1471" s="9">
        <v>36901</v>
      </c>
      <c r="I1471" s="14">
        <f>DATE(2012,12,31)-109</f>
        <v>41165</v>
      </c>
      <c r="J1471" s="15" t="s">
        <v>30</v>
      </c>
      <c r="K1471" s="9">
        <v>30</v>
      </c>
      <c r="L1471" s="16" t="s">
        <v>26</v>
      </c>
      <c r="M1471" s="16">
        <f t="shared" si="135"/>
        <v>0.30581501033440933</v>
      </c>
      <c r="N1471">
        <f t="shared" si="136"/>
        <v>0</v>
      </c>
      <c r="O1471">
        <f t="shared" si="137"/>
        <v>0</v>
      </c>
      <c r="P1471">
        <f t="shared" si="134"/>
        <v>4900</v>
      </c>
      <c r="Q1471">
        <f t="shared" si="138"/>
        <v>4900</v>
      </c>
      <c r="T1471" s="16">
        <f t="shared" si="139"/>
        <v>0.30581501033440894</v>
      </c>
    </row>
    <row r="1472" spans="7:20" ht="14.4" x14ac:dyDescent="0.25">
      <c r="G1472" s="10">
        <v>5256</v>
      </c>
      <c r="H1472" s="9">
        <v>37412</v>
      </c>
      <c r="I1472" s="14">
        <f>DATE(2012,12,31)-150</f>
        <v>41124</v>
      </c>
      <c r="J1472" s="15" t="s">
        <v>17</v>
      </c>
      <c r="K1472" s="9">
        <v>17</v>
      </c>
      <c r="L1472" s="16" t="s">
        <v>26</v>
      </c>
      <c r="M1472" s="16">
        <f t="shared" si="135"/>
        <v>-0.59196208571546938</v>
      </c>
      <c r="N1472">
        <f t="shared" si="136"/>
        <v>0</v>
      </c>
      <c r="O1472">
        <f t="shared" si="137"/>
        <v>0</v>
      </c>
      <c r="P1472">
        <f t="shared" si="134"/>
        <v>4250</v>
      </c>
      <c r="Q1472">
        <f t="shared" si="138"/>
        <v>4250</v>
      </c>
      <c r="T1472" s="16">
        <f t="shared" si="139"/>
        <v>-0.59196208571546971</v>
      </c>
    </row>
    <row r="1473" spans="7:20" ht="14.4" x14ac:dyDescent="0.25">
      <c r="G1473" s="10">
        <v>5437</v>
      </c>
      <c r="H1473" s="9">
        <v>38625</v>
      </c>
      <c r="I1473" s="14">
        <f>DATE(2012,12,31)-775</f>
        <v>40499</v>
      </c>
      <c r="J1473" s="15" t="s">
        <v>28</v>
      </c>
      <c r="K1473" s="9">
        <v>28</v>
      </c>
      <c r="L1473" s="16" t="s">
        <v>27</v>
      </c>
      <c r="M1473" s="16">
        <f t="shared" si="135"/>
        <v>0.16769545709596645</v>
      </c>
      <c r="N1473">
        <f t="shared" si="136"/>
        <v>0</v>
      </c>
      <c r="O1473">
        <f t="shared" si="137"/>
        <v>0</v>
      </c>
      <c r="P1473">
        <f t="shared" si="134"/>
        <v>4800</v>
      </c>
      <c r="Q1473">
        <f t="shared" si="138"/>
        <v>4800</v>
      </c>
      <c r="T1473" s="16">
        <f t="shared" si="139"/>
        <v>0.16769545709596606</v>
      </c>
    </row>
    <row r="1474" spans="7:20" ht="14.4" x14ac:dyDescent="0.25">
      <c r="G1474" s="10">
        <v>5438</v>
      </c>
      <c r="H1474" s="9">
        <v>38625</v>
      </c>
      <c r="I1474" s="14">
        <f>DATE(2012,12,31)-775</f>
        <v>40499</v>
      </c>
      <c r="J1474" s="15" t="s">
        <v>28</v>
      </c>
      <c r="K1474" s="9">
        <v>12</v>
      </c>
      <c r="L1474" s="16" t="s">
        <v>26</v>
      </c>
      <c r="M1474" s="16">
        <f t="shared" si="135"/>
        <v>-0.9372609688115765</v>
      </c>
      <c r="N1474">
        <f t="shared" si="136"/>
        <v>0</v>
      </c>
      <c r="O1474">
        <f t="shared" si="137"/>
        <v>0</v>
      </c>
      <c r="P1474">
        <f t="shared" si="134"/>
        <v>4000</v>
      </c>
      <c r="Q1474">
        <f t="shared" si="138"/>
        <v>4000</v>
      </c>
      <c r="T1474" s="16">
        <f t="shared" si="139"/>
        <v>-0.93726096881157694</v>
      </c>
    </row>
    <row r="1475" spans="7:20" ht="14.4" x14ac:dyDescent="0.25">
      <c r="G1475" s="10">
        <v>5443</v>
      </c>
      <c r="H1475" s="9">
        <v>38656</v>
      </c>
      <c r="I1475" s="14">
        <f>DATE(2012,12,31)-143</f>
        <v>41131</v>
      </c>
      <c r="J1475" s="15" t="s">
        <v>25</v>
      </c>
      <c r="K1475" s="9">
        <v>13</v>
      </c>
      <c r="L1475" s="16" t="s">
        <v>26</v>
      </c>
      <c r="M1475" s="16">
        <f t="shared" si="135"/>
        <v>-0.86820119219235514</v>
      </c>
      <c r="N1475">
        <f t="shared" si="136"/>
        <v>0</v>
      </c>
      <c r="O1475">
        <f t="shared" si="137"/>
        <v>0</v>
      </c>
      <c r="P1475">
        <f t="shared" si="134"/>
        <v>4050</v>
      </c>
      <c r="Q1475">
        <f t="shared" si="138"/>
        <v>4050</v>
      </c>
      <c r="T1475" s="16">
        <f t="shared" si="139"/>
        <v>-0.86820119219235548</v>
      </c>
    </row>
    <row r="1476" spans="7:20" ht="14.4" x14ac:dyDescent="0.25">
      <c r="G1476" s="10">
        <v>5458</v>
      </c>
      <c r="H1476" s="9">
        <v>38784</v>
      </c>
      <c r="I1476" s="14">
        <f>DATE(2012,12,31)-697</f>
        <v>40577</v>
      </c>
      <c r="J1476" s="15" t="s">
        <v>16</v>
      </c>
      <c r="K1476" s="9">
        <v>50</v>
      </c>
      <c r="L1476" s="16" t="s">
        <v>26</v>
      </c>
      <c r="M1476" s="16">
        <f t="shared" si="135"/>
        <v>1.687010542718838</v>
      </c>
      <c r="N1476">
        <f t="shared" si="136"/>
        <v>0</v>
      </c>
      <c r="O1476">
        <f t="shared" si="137"/>
        <v>0</v>
      </c>
      <c r="P1476">
        <f t="shared" si="134"/>
        <v>5900</v>
      </c>
      <c r="Q1476">
        <f t="shared" si="138"/>
        <v>5900</v>
      </c>
      <c r="T1476" s="16">
        <f t="shared" si="139"/>
        <v>1.6870105427188375</v>
      </c>
    </row>
    <row r="1477" spans="7:20" ht="14.4" x14ac:dyDescent="0.25">
      <c r="G1477" s="10">
        <v>5471</v>
      </c>
      <c r="H1477" s="9">
        <v>38882</v>
      </c>
      <c r="I1477" s="14">
        <f>DATE(2012,12,31)-1113</f>
        <v>40161</v>
      </c>
      <c r="J1477" s="15" t="s">
        <v>30</v>
      </c>
      <c r="K1477" s="9">
        <v>37</v>
      </c>
      <c r="L1477" s="16" t="s">
        <v>29</v>
      </c>
      <c r="M1477" s="16">
        <f t="shared" si="135"/>
        <v>0.78923344666895934</v>
      </c>
      <c r="N1477">
        <f t="shared" si="136"/>
        <v>0</v>
      </c>
      <c r="O1477">
        <f t="shared" si="137"/>
        <v>0</v>
      </c>
      <c r="P1477">
        <f t="shared" si="134"/>
        <v>5250</v>
      </c>
      <c r="Q1477">
        <f t="shared" si="138"/>
        <v>5250</v>
      </c>
      <c r="T1477" s="16">
        <f t="shared" si="139"/>
        <v>0.789233446668959</v>
      </c>
    </row>
    <row r="1478" spans="7:20" ht="14.4" x14ac:dyDescent="0.25">
      <c r="G1478" s="10">
        <v>5579</v>
      </c>
      <c r="H1478" s="9">
        <v>39527</v>
      </c>
      <c r="I1478" s="14">
        <f>DATE(2012,12,31)-624</f>
        <v>40650</v>
      </c>
      <c r="J1478" s="15" t="s">
        <v>25</v>
      </c>
      <c r="K1478" s="9">
        <v>29</v>
      </c>
      <c r="L1478" s="16" t="s">
        <v>26</v>
      </c>
      <c r="M1478" s="16">
        <f t="shared" si="135"/>
        <v>0.23675523371518786</v>
      </c>
      <c r="N1478">
        <f t="shared" si="136"/>
        <v>0</v>
      </c>
      <c r="O1478">
        <f t="shared" si="137"/>
        <v>0</v>
      </c>
      <c r="P1478">
        <f t="shared" si="134"/>
        <v>4850</v>
      </c>
      <c r="Q1478">
        <f t="shared" si="138"/>
        <v>4850</v>
      </c>
      <c r="T1478" s="16">
        <f t="shared" si="139"/>
        <v>0.2367552337151875</v>
      </c>
    </row>
    <row r="1479" spans="7:20" ht="14.4" x14ac:dyDescent="0.25">
      <c r="G1479" s="10">
        <v>5627</v>
      </c>
      <c r="H1479" s="9">
        <v>39845</v>
      </c>
      <c r="I1479" s="14">
        <f>DATE(2012,12,31)-1212</f>
        <v>40062</v>
      </c>
      <c r="J1479" s="15" t="s">
        <v>30</v>
      </c>
      <c r="K1479" s="9">
        <v>44</v>
      </c>
      <c r="L1479" s="16" t="s">
        <v>26</v>
      </c>
      <c r="M1479" s="16">
        <f t="shared" si="135"/>
        <v>1.2726518830035094</v>
      </c>
      <c r="N1479">
        <f t="shared" si="136"/>
        <v>0</v>
      </c>
      <c r="O1479">
        <f t="shared" si="137"/>
        <v>0</v>
      </c>
      <c r="P1479">
        <f t="shared" si="134"/>
        <v>5600</v>
      </c>
      <c r="Q1479">
        <f t="shared" si="138"/>
        <v>5600</v>
      </c>
      <c r="T1479" s="16">
        <f t="shared" si="139"/>
        <v>1.272651883003509</v>
      </c>
    </row>
    <row r="1480" spans="7:20" ht="14.4" x14ac:dyDescent="0.25">
      <c r="G1480" s="10">
        <v>5637</v>
      </c>
      <c r="H1480" s="9">
        <v>39877</v>
      </c>
      <c r="I1480" s="14">
        <f>DATE(2012,12,31)-137</f>
        <v>41137</v>
      </c>
      <c r="J1480" s="15" t="s">
        <v>30</v>
      </c>
      <c r="K1480" s="9">
        <v>41</v>
      </c>
      <c r="L1480" s="16" t="s">
        <v>26</v>
      </c>
      <c r="M1480" s="16">
        <f t="shared" si="135"/>
        <v>1.0654725531458451</v>
      </c>
      <c r="N1480">
        <f t="shared" si="136"/>
        <v>0</v>
      </c>
      <c r="O1480">
        <f t="shared" si="137"/>
        <v>0</v>
      </c>
      <c r="P1480">
        <f t="shared" si="134"/>
        <v>5450</v>
      </c>
      <c r="Q1480">
        <f t="shared" si="138"/>
        <v>5450</v>
      </c>
      <c r="T1480" s="16">
        <f t="shared" si="139"/>
        <v>1.0654725531458447</v>
      </c>
    </row>
    <row r="1481" spans="7:20" ht="14.4" x14ac:dyDescent="0.25">
      <c r="G1481" s="10">
        <v>5695</v>
      </c>
      <c r="H1481" s="9">
        <v>40259</v>
      </c>
      <c r="I1481" s="14">
        <f>DATE(2012,12,31)-811</f>
        <v>40463</v>
      </c>
      <c r="J1481" s="15" t="s">
        <v>16</v>
      </c>
      <c r="K1481" s="9">
        <v>4</v>
      </c>
      <c r="L1481" s="16" t="s">
        <v>27</v>
      </c>
      <c r="M1481" s="16">
        <f t="shared" si="135"/>
        <v>-1.489739181765348</v>
      </c>
      <c r="N1481">
        <f t="shared" si="136"/>
        <v>0</v>
      </c>
      <c r="O1481">
        <f t="shared" si="137"/>
        <v>0</v>
      </c>
      <c r="P1481">
        <f t="shared" si="134"/>
        <v>3600</v>
      </c>
      <c r="Q1481">
        <f t="shared" si="138"/>
        <v>3600</v>
      </c>
      <c r="T1481" s="16">
        <f t="shared" si="139"/>
        <v>-1.4897391817653485</v>
      </c>
    </row>
    <row r="1482" spans="7:20" ht="14.4" x14ac:dyDescent="0.25">
      <c r="G1482" s="10">
        <v>5814</v>
      </c>
      <c r="H1482" s="9">
        <v>41217</v>
      </c>
      <c r="I1482" s="14">
        <f>DATE(2012,12,31)-537</f>
        <v>40737</v>
      </c>
      <c r="J1482" s="15" t="s">
        <v>17</v>
      </c>
      <c r="K1482" s="9">
        <v>23</v>
      </c>
      <c r="L1482" s="16" t="s">
        <v>26</v>
      </c>
      <c r="M1482" s="16">
        <f t="shared" si="135"/>
        <v>-0.17760342600014073</v>
      </c>
      <c r="N1482">
        <f t="shared" si="136"/>
        <v>0</v>
      </c>
      <c r="O1482">
        <f t="shared" si="137"/>
        <v>0</v>
      </c>
      <c r="P1482">
        <f t="shared" si="134"/>
        <v>4550</v>
      </c>
      <c r="Q1482">
        <f t="shared" si="138"/>
        <v>4550</v>
      </c>
      <c r="T1482" s="16">
        <f t="shared" si="139"/>
        <v>-0.17760342600014112</v>
      </c>
    </row>
    <row r="1483" spans="7:20" ht="14.4" x14ac:dyDescent="0.25">
      <c r="G1483" s="10">
        <v>5876</v>
      </c>
      <c r="H1483" s="9">
        <v>41671</v>
      </c>
      <c r="I1483" s="14">
        <f>DATE(2012,12,31)-28</f>
        <v>41246</v>
      </c>
      <c r="J1483" s="15" t="s">
        <v>30</v>
      </c>
      <c r="K1483" s="9">
        <v>49</v>
      </c>
      <c r="L1483" s="16" t="s">
        <v>26</v>
      </c>
      <c r="M1483" s="16">
        <f t="shared" si="135"/>
        <v>1.6179507660996166</v>
      </c>
      <c r="N1483">
        <f t="shared" si="136"/>
        <v>0</v>
      </c>
      <c r="O1483">
        <f t="shared" si="137"/>
        <v>0</v>
      </c>
      <c r="P1483">
        <f t="shared" si="134"/>
        <v>5850</v>
      </c>
      <c r="Q1483">
        <f t="shared" si="138"/>
        <v>5850</v>
      </c>
      <c r="T1483" s="16">
        <f t="shared" si="139"/>
        <v>1.6179507660996162</v>
      </c>
    </row>
    <row r="1484" spans="7:20" ht="14.4" x14ac:dyDescent="0.25">
      <c r="G1484" s="10">
        <v>5915</v>
      </c>
      <c r="H1484" s="9">
        <v>41927</v>
      </c>
      <c r="I1484" s="14">
        <f>DATE(2012,12,31)-171</f>
        <v>41103</v>
      </c>
      <c r="J1484" s="15" t="s">
        <v>28</v>
      </c>
      <c r="K1484" s="9">
        <v>46</v>
      </c>
      <c r="L1484" s="16" t="s">
        <v>26</v>
      </c>
      <c r="M1484" s="16">
        <f t="shared" si="135"/>
        <v>1.4107714362419523</v>
      </c>
      <c r="N1484">
        <f t="shared" si="136"/>
        <v>0</v>
      </c>
      <c r="O1484">
        <f t="shared" si="137"/>
        <v>0</v>
      </c>
      <c r="P1484">
        <f t="shared" ref="P1484:P1547" si="140">50*K1484+$P$10</f>
        <v>5700</v>
      </c>
      <c r="Q1484">
        <f t="shared" si="138"/>
        <v>5700</v>
      </c>
      <c r="T1484" s="16">
        <f t="shared" si="139"/>
        <v>1.4107714362419519</v>
      </c>
    </row>
    <row r="1485" spans="7:20" ht="14.4" x14ac:dyDescent="0.25">
      <c r="G1485" s="10">
        <v>5919</v>
      </c>
      <c r="H1485" s="9">
        <v>41988</v>
      </c>
      <c r="I1485" s="14">
        <f>DATE(2012,12,31)-1426</f>
        <v>39848</v>
      </c>
      <c r="J1485" s="15" t="s">
        <v>25</v>
      </c>
      <c r="K1485" s="9">
        <v>33</v>
      </c>
      <c r="L1485" s="16" t="s">
        <v>27</v>
      </c>
      <c r="M1485" s="16">
        <f t="shared" ref="M1485:M1548" si="141">(K1485-$K$4)/$K$7</f>
        <v>0.51299434019207357</v>
      </c>
      <c r="N1485">
        <f t="shared" ref="N1485:N1548" si="142">IF(MOD($B$20+G1485,1000)=0,1,0)</f>
        <v>0</v>
      </c>
      <c r="O1485">
        <f t="shared" ref="O1485:O1548" si="143">+ROUND(N1485*(IF(K1485&lt;$K$4,-4.5,10.5)*$P$5),-2)</f>
        <v>0</v>
      </c>
      <c r="P1485">
        <f t="shared" si="140"/>
        <v>5050</v>
      </c>
      <c r="Q1485">
        <f t="shared" ref="Q1485:Q1548" si="144">P1485+O1485</f>
        <v>5050</v>
      </c>
      <c r="T1485" s="16">
        <f t="shared" ref="T1485:T1548" si="145">(Q1485-$P$4)/$P$5</f>
        <v>0.51299434019207324</v>
      </c>
    </row>
    <row r="1486" spans="7:20" ht="14.4" x14ac:dyDescent="0.25">
      <c r="G1486" s="10">
        <v>5920</v>
      </c>
      <c r="H1486" s="9">
        <v>41988</v>
      </c>
      <c r="I1486" s="14">
        <f>DATE(2012,12,31)-1426</f>
        <v>39848</v>
      </c>
      <c r="J1486" s="15" t="s">
        <v>25</v>
      </c>
      <c r="K1486" s="9">
        <v>18</v>
      </c>
      <c r="L1486" s="16" t="s">
        <v>29</v>
      </c>
      <c r="M1486" s="16">
        <f t="shared" si="141"/>
        <v>-0.52290230909624791</v>
      </c>
      <c r="N1486">
        <f t="shared" si="142"/>
        <v>0</v>
      </c>
      <c r="O1486">
        <f t="shared" si="143"/>
        <v>0</v>
      </c>
      <c r="P1486">
        <f t="shared" si="140"/>
        <v>4300</v>
      </c>
      <c r="Q1486">
        <f t="shared" si="144"/>
        <v>4300</v>
      </c>
      <c r="T1486" s="16">
        <f t="shared" si="145"/>
        <v>-0.52290230909624835</v>
      </c>
    </row>
    <row r="1487" spans="7:20" ht="14.4" x14ac:dyDescent="0.25">
      <c r="G1487" s="10">
        <v>5921</v>
      </c>
      <c r="H1487" s="9">
        <v>41988</v>
      </c>
      <c r="I1487" s="14">
        <f>DATE(2012,12,31)-1426</f>
        <v>39848</v>
      </c>
      <c r="J1487" s="15" t="s">
        <v>25</v>
      </c>
      <c r="K1487" s="9">
        <v>14</v>
      </c>
      <c r="L1487" s="16" t="s">
        <v>26</v>
      </c>
      <c r="M1487" s="16">
        <f t="shared" si="141"/>
        <v>-0.79914141557313367</v>
      </c>
      <c r="N1487">
        <f t="shared" si="142"/>
        <v>0</v>
      </c>
      <c r="O1487">
        <f t="shared" si="143"/>
        <v>0</v>
      </c>
      <c r="P1487">
        <f t="shared" si="140"/>
        <v>4100</v>
      </c>
      <c r="Q1487">
        <f t="shared" si="144"/>
        <v>4100</v>
      </c>
      <c r="T1487" s="16">
        <f t="shared" si="145"/>
        <v>-0.79914141557313401</v>
      </c>
    </row>
    <row r="1488" spans="7:20" ht="14.4" x14ac:dyDescent="0.25">
      <c r="G1488" s="10">
        <v>6026</v>
      </c>
      <c r="H1488" s="9">
        <v>42692</v>
      </c>
      <c r="I1488" s="14">
        <f>DATE(2012,12,31)-377</f>
        <v>40897</v>
      </c>
      <c r="J1488" s="15" t="s">
        <v>16</v>
      </c>
      <c r="K1488" s="9">
        <v>41</v>
      </c>
      <c r="L1488" s="16" t="s">
        <v>26</v>
      </c>
      <c r="M1488" s="16">
        <f t="shared" si="141"/>
        <v>1.0654725531458451</v>
      </c>
      <c r="N1488">
        <f t="shared" si="142"/>
        <v>0</v>
      </c>
      <c r="O1488">
        <f t="shared" si="143"/>
        <v>0</v>
      </c>
      <c r="P1488">
        <f t="shared" si="140"/>
        <v>5450</v>
      </c>
      <c r="Q1488">
        <f t="shared" si="144"/>
        <v>5450</v>
      </c>
      <c r="T1488" s="16">
        <f t="shared" si="145"/>
        <v>1.0654725531458447</v>
      </c>
    </row>
    <row r="1489" spans="7:20" ht="14.4" x14ac:dyDescent="0.25">
      <c r="G1489" s="10">
        <v>6027</v>
      </c>
      <c r="H1489" s="9">
        <v>42692</v>
      </c>
      <c r="I1489" s="14">
        <f>DATE(2012,12,31)-377</f>
        <v>40897</v>
      </c>
      <c r="J1489" s="15" t="s">
        <v>16</v>
      </c>
      <c r="K1489" s="9">
        <v>42</v>
      </c>
      <c r="L1489" s="16" t="s">
        <v>26</v>
      </c>
      <c r="M1489" s="16">
        <f t="shared" si="141"/>
        <v>1.1345323297650665</v>
      </c>
      <c r="N1489">
        <f t="shared" si="142"/>
        <v>0</v>
      </c>
      <c r="O1489">
        <f t="shared" si="143"/>
        <v>0</v>
      </c>
      <c r="P1489">
        <f t="shared" si="140"/>
        <v>5500</v>
      </c>
      <c r="Q1489">
        <f t="shared" si="144"/>
        <v>5500</v>
      </c>
      <c r="T1489" s="16">
        <f t="shared" si="145"/>
        <v>1.1345323297650662</v>
      </c>
    </row>
    <row r="1490" spans="7:20" ht="14.4" x14ac:dyDescent="0.25">
      <c r="G1490" s="10">
        <v>6216</v>
      </c>
      <c r="H1490" s="9">
        <v>44007</v>
      </c>
      <c r="I1490" s="14">
        <f>DATE(2012,12,31)-581</f>
        <v>40693</v>
      </c>
      <c r="J1490" s="15" t="s">
        <v>16</v>
      </c>
      <c r="K1490" s="9">
        <v>50</v>
      </c>
      <c r="L1490" s="16" t="s">
        <v>26</v>
      </c>
      <c r="M1490" s="16">
        <f t="shared" si="141"/>
        <v>1.687010542718838</v>
      </c>
      <c r="N1490">
        <f t="shared" si="142"/>
        <v>0</v>
      </c>
      <c r="O1490">
        <f t="shared" si="143"/>
        <v>0</v>
      </c>
      <c r="P1490">
        <f t="shared" si="140"/>
        <v>5900</v>
      </c>
      <c r="Q1490">
        <f t="shared" si="144"/>
        <v>5900</v>
      </c>
      <c r="T1490" s="16">
        <f t="shared" si="145"/>
        <v>1.6870105427188375</v>
      </c>
    </row>
    <row r="1491" spans="7:20" ht="14.4" x14ac:dyDescent="0.25">
      <c r="G1491" s="10">
        <v>6279</v>
      </c>
      <c r="H1491" s="9">
        <v>44450</v>
      </c>
      <c r="I1491" s="14">
        <f>DATE(2012,12,31)-814</f>
        <v>40460</v>
      </c>
      <c r="J1491" s="15" t="s">
        <v>30</v>
      </c>
      <c r="K1491" s="9">
        <v>14</v>
      </c>
      <c r="L1491" s="16" t="s">
        <v>27</v>
      </c>
      <c r="M1491" s="16">
        <f t="shared" si="141"/>
        <v>-0.79914141557313367</v>
      </c>
      <c r="N1491">
        <f t="shared" si="142"/>
        <v>0</v>
      </c>
      <c r="O1491">
        <f t="shared" si="143"/>
        <v>0</v>
      </c>
      <c r="P1491">
        <f t="shared" si="140"/>
        <v>4100</v>
      </c>
      <c r="Q1491">
        <f t="shared" si="144"/>
        <v>4100</v>
      </c>
      <c r="T1491" s="16">
        <f t="shared" si="145"/>
        <v>-0.79914141557313401</v>
      </c>
    </row>
    <row r="1492" spans="7:20" ht="14.4" x14ac:dyDescent="0.25">
      <c r="G1492" s="10">
        <v>6280</v>
      </c>
      <c r="H1492" s="9">
        <v>44450</v>
      </c>
      <c r="I1492" s="14">
        <f>DATE(2012,12,31)-814</f>
        <v>40460</v>
      </c>
      <c r="J1492" s="15" t="s">
        <v>30</v>
      </c>
      <c r="K1492" s="9">
        <v>24</v>
      </c>
      <c r="L1492" s="16" t="s">
        <v>27</v>
      </c>
      <c r="M1492" s="16">
        <f t="shared" si="141"/>
        <v>-0.1085436493809193</v>
      </c>
      <c r="N1492">
        <f t="shared" si="142"/>
        <v>0</v>
      </c>
      <c r="O1492">
        <f t="shared" si="143"/>
        <v>0</v>
      </c>
      <c r="P1492">
        <f t="shared" si="140"/>
        <v>4600</v>
      </c>
      <c r="Q1492">
        <f t="shared" si="144"/>
        <v>4600</v>
      </c>
      <c r="T1492" s="16">
        <f t="shared" si="145"/>
        <v>-0.10854364938091969</v>
      </c>
    </row>
    <row r="1493" spans="7:20" ht="14.4" x14ac:dyDescent="0.25">
      <c r="G1493" s="10">
        <v>6302</v>
      </c>
      <c r="H1493" s="9">
        <v>44610</v>
      </c>
      <c r="I1493" s="14">
        <f>DATE(2012,12,31)-662</f>
        <v>40612</v>
      </c>
      <c r="J1493" s="15" t="s">
        <v>17</v>
      </c>
      <c r="K1493" s="9">
        <v>31</v>
      </c>
      <c r="L1493" s="16" t="s">
        <v>26</v>
      </c>
      <c r="M1493" s="16">
        <f t="shared" si="141"/>
        <v>0.37487478695363075</v>
      </c>
      <c r="N1493">
        <f t="shared" si="142"/>
        <v>0</v>
      </c>
      <c r="O1493">
        <f t="shared" si="143"/>
        <v>0</v>
      </c>
      <c r="P1493">
        <f t="shared" si="140"/>
        <v>4950</v>
      </c>
      <c r="Q1493">
        <f t="shared" si="144"/>
        <v>4950</v>
      </c>
      <c r="T1493" s="16">
        <f t="shared" si="145"/>
        <v>0.37487478695363036</v>
      </c>
    </row>
    <row r="1494" spans="7:20" ht="14.4" x14ac:dyDescent="0.25">
      <c r="G1494" s="10">
        <v>6350</v>
      </c>
      <c r="H1494" s="9">
        <v>44999</v>
      </c>
      <c r="I1494" s="14">
        <f>DATE(2012,12,31)-1074</f>
        <v>40200</v>
      </c>
      <c r="J1494" s="15" t="s">
        <v>16</v>
      </c>
      <c r="K1494" s="9">
        <v>17</v>
      </c>
      <c r="L1494" s="16" t="s">
        <v>26</v>
      </c>
      <c r="M1494" s="16">
        <f t="shared" si="141"/>
        <v>-0.59196208571546938</v>
      </c>
      <c r="N1494">
        <f t="shared" si="142"/>
        <v>0</v>
      </c>
      <c r="O1494">
        <f t="shared" si="143"/>
        <v>0</v>
      </c>
      <c r="P1494">
        <f t="shared" si="140"/>
        <v>4250</v>
      </c>
      <c r="Q1494">
        <f t="shared" si="144"/>
        <v>4250</v>
      </c>
      <c r="T1494" s="16">
        <f t="shared" si="145"/>
        <v>-0.59196208571546971</v>
      </c>
    </row>
    <row r="1495" spans="7:20" ht="14.4" x14ac:dyDescent="0.25">
      <c r="G1495" s="10">
        <v>6351</v>
      </c>
      <c r="H1495" s="9">
        <v>45025</v>
      </c>
      <c r="I1495" s="14">
        <f>DATE(2012,12,31)-630</f>
        <v>40644</v>
      </c>
      <c r="J1495" s="15" t="s">
        <v>17</v>
      </c>
      <c r="K1495" s="9">
        <v>26</v>
      </c>
      <c r="L1495" s="16" t="s">
        <v>26</v>
      </c>
      <c r="M1495" s="16">
        <f t="shared" si="141"/>
        <v>2.9575903857523567E-2</v>
      </c>
      <c r="N1495">
        <f t="shared" si="142"/>
        <v>0</v>
      </c>
      <c r="O1495">
        <f t="shared" si="143"/>
        <v>0</v>
      </c>
      <c r="P1495">
        <f t="shared" si="140"/>
        <v>4700</v>
      </c>
      <c r="Q1495">
        <f t="shared" si="144"/>
        <v>4700</v>
      </c>
      <c r="T1495" s="16">
        <f t="shared" si="145"/>
        <v>2.9575903857523185E-2</v>
      </c>
    </row>
    <row r="1496" spans="7:20" ht="14.4" x14ac:dyDescent="0.25">
      <c r="G1496" s="10">
        <v>6374</v>
      </c>
      <c r="H1496" s="9">
        <v>45248</v>
      </c>
      <c r="I1496" s="14">
        <f>DATE(2012,12,31)-625</f>
        <v>40649</v>
      </c>
      <c r="J1496" s="15" t="s">
        <v>16</v>
      </c>
      <c r="K1496" s="9">
        <v>38</v>
      </c>
      <c r="L1496" s="16" t="s">
        <v>26</v>
      </c>
      <c r="M1496" s="16">
        <f t="shared" si="141"/>
        <v>0.85829322328818081</v>
      </c>
      <c r="N1496">
        <f t="shared" si="142"/>
        <v>0</v>
      </c>
      <c r="O1496">
        <f t="shared" si="143"/>
        <v>0</v>
      </c>
      <c r="P1496">
        <f t="shared" si="140"/>
        <v>5300</v>
      </c>
      <c r="Q1496">
        <f t="shared" si="144"/>
        <v>5300</v>
      </c>
      <c r="T1496" s="16">
        <f t="shared" si="145"/>
        <v>0.85829322328818036</v>
      </c>
    </row>
    <row r="1497" spans="7:20" ht="14.4" x14ac:dyDescent="0.25">
      <c r="G1497" s="10">
        <v>6375</v>
      </c>
      <c r="H1497" s="9">
        <v>45248</v>
      </c>
      <c r="I1497" s="14">
        <f>DATE(2012,12,31)-625</f>
        <v>40649</v>
      </c>
      <c r="J1497" s="15" t="s">
        <v>16</v>
      </c>
      <c r="K1497" s="9">
        <v>32</v>
      </c>
      <c r="L1497" s="16" t="s">
        <v>27</v>
      </c>
      <c r="M1497" s="16">
        <f t="shared" si="141"/>
        <v>0.44393456357285216</v>
      </c>
      <c r="N1497">
        <f t="shared" si="142"/>
        <v>0</v>
      </c>
      <c r="O1497">
        <f t="shared" si="143"/>
        <v>0</v>
      </c>
      <c r="P1497">
        <f t="shared" si="140"/>
        <v>5000</v>
      </c>
      <c r="Q1497">
        <f t="shared" si="144"/>
        <v>5000</v>
      </c>
      <c r="T1497" s="16">
        <f t="shared" si="145"/>
        <v>0.44393456357285183</v>
      </c>
    </row>
    <row r="1498" spans="7:20" ht="14.4" x14ac:dyDescent="0.25">
      <c r="G1498" s="10">
        <v>6376</v>
      </c>
      <c r="H1498" s="9">
        <v>45249</v>
      </c>
      <c r="I1498" s="14">
        <f>DATE(2012,12,31)-765</f>
        <v>40509</v>
      </c>
      <c r="J1498" s="15" t="s">
        <v>25</v>
      </c>
      <c r="K1498" s="9">
        <v>24</v>
      </c>
      <c r="L1498" s="16" t="s">
        <v>27</v>
      </c>
      <c r="M1498" s="16">
        <f t="shared" si="141"/>
        <v>-0.1085436493809193</v>
      </c>
      <c r="N1498">
        <f t="shared" si="142"/>
        <v>0</v>
      </c>
      <c r="O1498">
        <f t="shared" si="143"/>
        <v>0</v>
      </c>
      <c r="P1498">
        <f t="shared" si="140"/>
        <v>4600</v>
      </c>
      <c r="Q1498">
        <f t="shared" si="144"/>
        <v>4600</v>
      </c>
      <c r="T1498" s="16">
        <f t="shared" si="145"/>
        <v>-0.10854364938091969</v>
      </c>
    </row>
    <row r="1499" spans="7:20" ht="14.4" x14ac:dyDescent="0.25">
      <c r="G1499" s="10">
        <v>6411</v>
      </c>
      <c r="H1499" s="9">
        <v>45570</v>
      </c>
      <c r="I1499" s="14">
        <f>DATE(2012,12,31)-875</f>
        <v>40399</v>
      </c>
      <c r="J1499" s="15" t="s">
        <v>30</v>
      </c>
      <c r="K1499" s="9">
        <v>19</v>
      </c>
      <c r="L1499" s="16" t="s">
        <v>26</v>
      </c>
      <c r="M1499" s="16">
        <f t="shared" si="141"/>
        <v>-0.45384253247702649</v>
      </c>
      <c r="N1499">
        <f t="shared" si="142"/>
        <v>0</v>
      </c>
      <c r="O1499">
        <f t="shared" si="143"/>
        <v>0</v>
      </c>
      <c r="P1499">
        <f t="shared" si="140"/>
        <v>4350</v>
      </c>
      <c r="Q1499">
        <f t="shared" si="144"/>
        <v>4350</v>
      </c>
      <c r="T1499" s="16">
        <f t="shared" si="145"/>
        <v>-0.45384253247702688</v>
      </c>
    </row>
    <row r="1500" spans="7:20" ht="14.4" x14ac:dyDescent="0.25">
      <c r="G1500" s="10">
        <v>6434</v>
      </c>
      <c r="H1500" s="9">
        <v>45731</v>
      </c>
      <c r="I1500" s="14">
        <f>DATE(2012,12,31)-1239</f>
        <v>40035</v>
      </c>
      <c r="J1500" s="15" t="s">
        <v>30</v>
      </c>
      <c r="K1500" s="9">
        <v>44</v>
      </c>
      <c r="L1500" s="16" t="s">
        <v>29</v>
      </c>
      <c r="M1500" s="16">
        <f t="shared" si="141"/>
        <v>1.2726518830035094</v>
      </c>
      <c r="N1500">
        <f t="shared" si="142"/>
        <v>0</v>
      </c>
      <c r="O1500">
        <f t="shared" si="143"/>
        <v>0</v>
      </c>
      <c r="P1500">
        <f t="shared" si="140"/>
        <v>5600</v>
      </c>
      <c r="Q1500">
        <f t="shared" si="144"/>
        <v>5600</v>
      </c>
      <c r="T1500" s="16">
        <f t="shared" si="145"/>
        <v>1.272651883003509</v>
      </c>
    </row>
    <row r="1501" spans="7:20" ht="14.4" x14ac:dyDescent="0.25">
      <c r="G1501" s="10">
        <v>6517</v>
      </c>
      <c r="H1501" s="9">
        <v>46375</v>
      </c>
      <c r="I1501" s="14">
        <f>DATE(2012,12,31)-858</f>
        <v>40416</v>
      </c>
      <c r="J1501" s="15" t="s">
        <v>16</v>
      </c>
      <c r="K1501" s="9">
        <v>24</v>
      </c>
      <c r="L1501" s="16" t="s">
        <v>26</v>
      </c>
      <c r="M1501" s="16">
        <f t="shared" si="141"/>
        <v>-0.1085436493809193</v>
      </c>
      <c r="N1501">
        <f t="shared" si="142"/>
        <v>0</v>
      </c>
      <c r="O1501">
        <f t="shared" si="143"/>
        <v>0</v>
      </c>
      <c r="P1501">
        <f t="shared" si="140"/>
        <v>4600</v>
      </c>
      <c r="Q1501">
        <f t="shared" si="144"/>
        <v>4600</v>
      </c>
      <c r="T1501" s="16">
        <f t="shared" si="145"/>
        <v>-0.10854364938091969</v>
      </c>
    </row>
    <row r="1502" spans="7:20" ht="14.4" x14ac:dyDescent="0.25">
      <c r="G1502" s="10">
        <v>6518</v>
      </c>
      <c r="H1502" s="9">
        <v>46375</v>
      </c>
      <c r="I1502" s="14">
        <f>DATE(2012,12,31)-858</f>
        <v>40416</v>
      </c>
      <c r="J1502" s="15" t="s">
        <v>16</v>
      </c>
      <c r="K1502" s="9">
        <v>16</v>
      </c>
      <c r="L1502" s="16" t="s">
        <v>27</v>
      </c>
      <c r="M1502" s="16">
        <f t="shared" si="141"/>
        <v>-0.66102186233469074</v>
      </c>
      <c r="N1502">
        <f t="shared" si="142"/>
        <v>0</v>
      </c>
      <c r="O1502">
        <f t="shared" si="143"/>
        <v>0</v>
      </c>
      <c r="P1502">
        <f t="shared" si="140"/>
        <v>4200</v>
      </c>
      <c r="Q1502">
        <f t="shared" si="144"/>
        <v>4200</v>
      </c>
      <c r="T1502" s="16">
        <f t="shared" si="145"/>
        <v>-0.66102186233469118</v>
      </c>
    </row>
    <row r="1503" spans="7:20" ht="14.4" x14ac:dyDescent="0.25">
      <c r="G1503" s="10">
        <v>6588</v>
      </c>
      <c r="H1503" s="9">
        <v>46885</v>
      </c>
      <c r="I1503" s="14">
        <f>DATE(2012,12,31)-573</f>
        <v>40701</v>
      </c>
      <c r="J1503" s="15" t="s">
        <v>25</v>
      </c>
      <c r="K1503" s="9">
        <v>27</v>
      </c>
      <c r="L1503" s="16" t="s">
        <v>29</v>
      </c>
      <c r="M1503" s="16">
        <f t="shared" si="141"/>
        <v>9.8635680476745008E-2</v>
      </c>
      <c r="N1503">
        <f t="shared" si="142"/>
        <v>0</v>
      </c>
      <c r="O1503">
        <f t="shared" si="143"/>
        <v>0</v>
      </c>
      <c r="P1503">
        <f t="shared" si="140"/>
        <v>4750</v>
      </c>
      <c r="Q1503">
        <f t="shared" si="144"/>
        <v>4750</v>
      </c>
      <c r="T1503" s="16">
        <f t="shared" si="145"/>
        <v>9.8635680476744619E-2</v>
      </c>
    </row>
    <row r="1504" spans="7:20" ht="14.4" x14ac:dyDescent="0.25">
      <c r="G1504" s="10">
        <v>6589</v>
      </c>
      <c r="H1504" s="9">
        <v>46885</v>
      </c>
      <c r="I1504" s="14">
        <f>DATE(2012,12,31)-573</f>
        <v>40701</v>
      </c>
      <c r="J1504" s="15" t="s">
        <v>25</v>
      </c>
      <c r="K1504" s="9">
        <v>48</v>
      </c>
      <c r="L1504" s="16" t="s">
        <v>26</v>
      </c>
      <c r="M1504" s="16">
        <f t="shared" si="141"/>
        <v>1.5488909894803951</v>
      </c>
      <c r="N1504">
        <f t="shared" si="142"/>
        <v>0</v>
      </c>
      <c r="O1504">
        <f t="shared" si="143"/>
        <v>0</v>
      </c>
      <c r="P1504">
        <f t="shared" si="140"/>
        <v>5800</v>
      </c>
      <c r="Q1504">
        <f t="shared" si="144"/>
        <v>5800</v>
      </c>
      <c r="T1504" s="16">
        <f t="shared" si="145"/>
        <v>1.5488909894803948</v>
      </c>
    </row>
    <row r="1505" spans="7:20" ht="14.4" x14ac:dyDescent="0.25">
      <c r="G1505" s="10">
        <v>6590</v>
      </c>
      <c r="H1505" s="9">
        <v>46885</v>
      </c>
      <c r="I1505" s="14">
        <f>DATE(2012,12,31)-573</f>
        <v>40701</v>
      </c>
      <c r="J1505" s="15" t="s">
        <v>25</v>
      </c>
      <c r="K1505" s="9">
        <v>32</v>
      </c>
      <c r="L1505" s="16" t="s">
        <v>29</v>
      </c>
      <c r="M1505" s="16">
        <f t="shared" si="141"/>
        <v>0.44393456357285216</v>
      </c>
      <c r="N1505">
        <f t="shared" si="142"/>
        <v>0</v>
      </c>
      <c r="O1505">
        <f t="shared" si="143"/>
        <v>0</v>
      </c>
      <c r="P1505">
        <f t="shared" si="140"/>
        <v>5000</v>
      </c>
      <c r="Q1505">
        <f t="shared" si="144"/>
        <v>5000</v>
      </c>
      <c r="T1505" s="16">
        <f t="shared" si="145"/>
        <v>0.44393456357285183</v>
      </c>
    </row>
    <row r="1506" spans="7:20" ht="14.4" x14ac:dyDescent="0.25">
      <c r="G1506" s="10">
        <v>6596</v>
      </c>
      <c r="H1506" s="9">
        <v>46948</v>
      </c>
      <c r="I1506" s="14">
        <f>DATE(2012,12,31)-956</f>
        <v>40318</v>
      </c>
      <c r="J1506" s="15" t="s">
        <v>25</v>
      </c>
      <c r="K1506" s="9">
        <v>10</v>
      </c>
      <c r="L1506" s="16" t="s">
        <v>26</v>
      </c>
      <c r="M1506" s="16">
        <f t="shared" si="141"/>
        <v>-1.0753805220500194</v>
      </c>
      <c r="N1506">
        <f t="shared" si="142"/>
        <v>0</v>
      </c>
      <c r="O1506">
        <f t="shared" si="143"/>
        <v>0</v>
      </c>
      <c r="P1506">
        <f t="shared" si="140"/>
        <v>3900</v>
      </c>
      <c r="Q1506">
        <f t="shared" si="144"/>
        <v>3900</v>
      </c>
      <c r="T1506" s="16">
        <f t="shared" si="145"/>
        <v>-1.0753805220500199</v>
      </c>
    </row>
    <row r="1507" spans="7:20" ht="14.4" x14ac:dyDescent="0.25">
      <c r="G1507" s="10">
        <v>6644</v>
      </c>
      <c r="H1507" s="9">
        <v>47267</v>
      </c>
      <c r="I1507" s="14">
        <f>DATE(2012,12,31)-733</f>
        <v>40541</v>
      </c>
      <c r="J1507" s="15" t="s">
        <v>16</v>
      </c>
      <c r="K1507" s="9">
        <v>24</v>
      </c>
      <c r="L1507" s="16" t="s">
        <v>26</v>
      </c>
      <c r="M1507" s="16">
        <f t="shared" si="141"/>
        <v>-0.1085436493809193</v>
      </c>
      <c r="N1507">
        <f t="shared" si="142"/>
        <v>0</v>
      </c>
      <c r="O1507">
        <f t="shared" si="143"/>
        <v>0</v>
      </c>
      <c r="P1507">
        <f t="shared" si="140"/>
        <v>4600</v>
      </c>
      <c r="Q1507">
        <f t="shared" si="144"/>
        <v>4600</v>
      </c>
      <c r="T1507" s="16">
        <f t="shared" si="145"/>
        <v>-0.10854364938091969</v>
      </c>
    </row>
    <row r="1508" spans="7:20" ht="14.4" x14ac:dyDescent="0.25">
      <c r="G1508" s="10">
        <v>6645</v>
      </c>
      <c r="H1508" s="9">
        <v>47267</v>
      </c>
      <c r="I1508" s="14">
        <f>DATE(2012,12,31)-733</f>
        <v>40541</v>
      </c>
      <c r="J1508" s="15" t="s">
        <v>16</v>
      </c>
      <c r="K1508" s="9">
        <v>14</v>
      </c>
      <c r="L1508" s="16" t="s">
        <v>29</v>
      </c>
      <c r="M1508" s="16">
        <f t="shared" si="141"/>
        <v>-0.79914141557313367</v>
      </c>
      <c r="N1508">
        <f t="shared" si="142"/>
        <v>0</v>
      </c>
      <c r="O1508">
        <f t="shared" si="143"/>
        <v>0</v>
      </c>
      <c r="P1508">
        <f t="shared" si="140"/>
        <v>4100</v>
      </c>
      <c r="Q1508">
        <f t="shared" si="144"/>
        <v>4100</v>
      </c>
      <c r="T1508" s="16">
        <f t="shared" si="145"/>
        <v>-0.79914141557313401</v>
      </c>
    </row>
    <row r="1509" spans="7:20" ht="14.4" x14ac:dyDescent="0.25">
      <c r="G1509" s="10">
        <v>6656</v>
      </c>
      <c r="H1509" s="9">
        <v>47333</v>
      </c>
      <c r="I1509" s="14">
        <f>DATE(2012,12,31)-481</f>
        <v>40793</v>
      </c>
      <c r="J1509" s="15" t="s">
        <v>30</v>
      </c>
      <c r="K1509" s="9">
        <v>16</v>
      </c>
      <c r="L1509" s="16" t="s">
        <v>27</v>
      </c>
      <c r="M1509" s="16">
        <f t="shared" si="141"/>
        <v>-0.66102186233469074</v>
      </c>
      <c r="N1509">
        <f t="shared" si="142"/>
        <v>0</v>
      </c>
      <c r="O1509">
        <f t="shared" si="143"/>
        <v>0</v>
      </c>
      <c r="P1509">
        <f t="shared" si="140"/>
        <v>4200</v>
      </c>
      <c r="Q1509">
        <f t="shared" si="144"/>
        <v>4200</v>
      </c>
      <c r="T1509" s="16">
        <f t="shared" si="145"/>
        <v>-0.66102186233469118</v>
      </c>
    </row>
    <row r="1510" spans="7:20" ht="14.4" x14ac:dyDescent="0.25">
      <c r="G1510" s="10">
        <v>6762</v>
      </c>
      <c r="H1510" s="9">
        <v>48167</v>
      </c>
      <c r="I1510" s="14">
        <f>DATE(2012,12,31)-1212</f>
        <v>40062</v>
      </c>
      <c r="J1510" s="15" t="s">
        <v>30</v>
      </c>
      <c r="K1510" s="9">
        <v>43</v>
      </c>
      <c r="L1510" s="16" t="s">
        <v>29</v>
      </c>
      <c r="M1510" s="16">
        <f t="shared" si="141"/>
        <v>1.203592106384288</v>
      </c>
      <c r="N1510">
        <f t="shared" si="142"/>
        <v>0</v>
      </c>
      <c r="O1510">
        <f t="shared" si="143"/>
        <v>0</v>
      </c>
      <c r="P1510">
        <f t="shared" si="140"/>
        <v>5550</v>
      </c>
      <c r="Q1510">
        <f t="shared" si="144"/>
        <v>5550</v>
      </c>
      <c r="T1510" s="16">
        <f t="shared" si="145"/>
        <v>1.2035921063842876</v>
      </c>
    </row>
    <row r="1511" spans="7:20" ht="14.4" x14ac:dyDescent="0.25">
      <c r="G1511" s="10">
        <v>6763</v>
      </c>
      <c r="H1511" s="9">
        <v>48167</v>
      </c>
      <c r="I1511" s="14">
        <f>DATE(2012,12,31)-1212</f>
        <v>40062</v>
      </c>
      <c r="J1511" s="15" t="s">
        <v>30</v>
      </c>
      <c r="K1511" s="9">
        <v>45</v>
      </c>
      <c r="L1511" s="16" t="s">
        <v>26</v>
      </c>
      <c r="M1511" s="16">
        <f t="shared" si="141"/>
        <v>1.3417116596227308</v>
      </c>
      <c r="N1511">
        <f t="shared" si="142"/>
        <v>0</v>
      </c>
      <c r="O1511">
        <f t="shared" si="143"/>
        <v>0</v>
      </c>
      <c r="P1511">
        <f t="shared" si="140"/>
        <v>5650</v>
      </c>
      <c r="Q1511">
        <f t="shared" si="144"/>
        <v>5650</v>
      </c>
      <c r="T1511" s="16">
        <f t="shared" si="145"/>
        <v>1.3417116596227305</v>
      </c>
    </row>
    <row r="1512" spans="7:20" ht="14.4" x14ac:dyDescent="0.25">
      <c r="G1512" s="10">
        <v>6764</v>
      </c>
      <c r="H1512" s="9">
        <v>48167</v>
      </c>
      <c r="I1512" s="14">
        <f>DATE(2012,12,31)-1212</f>
        <v>40062</v>
      </c>
      <c r="J1512" s="15" t="s">
        <v>30</v>
      </c>
      <c r="K1512" s="9">
        <v>27</v>
      </c>
      <c r="L1512" s="16" t="s">
        <v>29</v>
      </c>
      <c r="M1512" s="16">
        <f t="shared" si="141"/>
        <v>9.8635680476745008E-2</v>
      </c>
      <c r="N1512">
        <f t="shared" si="142"/>
        <v>0</v>
      </c>
      <c r="O1512">
        <f t="shared" si="143"/>
        <v>0</v>
      </c>
      <c r="P1512">
        <f t="shared" si="140"/>
        <v>4750</v>
      </c>
      <c r="Q1512">
        <f t="shared" si="144"/>
        <v>4750</v>
      </c>
      <c r="T1512" s="16">
        <f t="shared" si="145"/>
        <v>9.8635680476744619E-2</v>
      </c>
    </row>
    <row r="1513" spans="7:20" ht="14.4" x14ac:dyDescent="0.25">
      <c r="G1513" s="10">
        <v>6774</v>
      </c>
      <c r="H1513" s="9">
        <v>48230</v>
      </c>
      <c r="I1513" s="14">
        <f>DATE(2012,12,31)-1405</f>
        <v>39869</v>
      </c>
      <c r="J1513" s="15" t="s">
        <v>28</v>
      </c>
      <c r="K1513" s="9">
        <v>39</v>
      </c>
      <c r="L1513" s="16" t="s">
        <v>29</v>
      </c>
      <c r="M1513" s="16">
        <f t="shared" si="141"/>
        <v>0.92735299990740228</v>
      </c>
      <c r="N1513">
        <f t="shared" si="142"/>
        <v>0</v>
      </c>
      <c r="O1513">
        <f t="shared" si="143"/>
        <v>0</v>
      </c>
      <c r="P1513">
        <f t="shared" si="140"/>
        <v>5350</v>
      </c>
      <c r="Q1513">
        <f t="shared" si="144"/>
        <v>5350</v>
      </c>
      <c r="T1513" s="16">
        <f t="shared" si="145"/>
        <v>0.92735299990740183</v>
      </c>
    </row>
    <row r="1514" spans="7:20" ht="14.4" x14ac:dyDescent="0.25">
      <c r="G1514" s="10">
        <v>6775</v>
      </c>
      <c r="H1514" s="9">
        <v>48230</v>
      </c>
      <c r="I1514" s="14">
        <f>DATE(2012,12,31)-1405</f>
        <v>39869</v>
      </c>
      <c r="J1514" s="15" t="s">
        <v>28</v>
      </c>
      <c r="K1514" s="9">
        <v>31</v>
      </c>
      <c r="L1514" s="16" t="s">
        <v>26</v>
      </c>
      <c r="M1514" s="16">
        <f t="shared" si="141"/>
        <v>0.37487478695363075</v>
      </c>
      <c r="N1514">
        <f t="shared" si="142"/>
        <v>0</v>
      </c>
      <c r="O1514">
        <f t="shared" si="143"/>
        <v>0</v>
      </c>
      <c r="P1514">
        <f t="shared" si="140"/>
        <v>4950</v>
      </c>
      <c r="Q1514">
        <f t="shared" si="144"/>
        <v>4950</v>
      </c>
      <c r="T1514" s="16">
        <f t="shared" si="145"/>
        <v>0.37487478695363036</v>
      </c>
    </row>
    <row r="1515" spans="7:20" ht="14.4" x14ac:dyDescent="0.25">
      <c r="G1515" s="10">
        <v>6806</v>
      </c>
      <c r="H1515" s="9">
        <v>48480</v>
      </c>
      <c r="I1515" s="14">
        <f>DATE(2012,12,31)-1094</f>
        <v>40180</v>
      </c>
      <c r="J1515" s="15" t="s">
        <v>30</v>
      </c>
      <c r="K1515" s="9">
        <v>32</v>
      </c>
      <c r="L1515" s="16" t="s">
        <v>26</v>
      </c>
      <c r="M1515" s="16">
        <f t="shared" si="141"/>
        <v>0.44393456357285216</v>
      </c>
      <c r="N1515">
        <f t="shared" si="142"/>
        <v>0</v>
      </c>
      <c r="O1515">
        <f t="shared" si="143"/>
        <v>0</v>
      </c>
      <c r="P1515">
        <f t="shared" si="140"/>
        <v>5000</v>
      </c>
      <c r="Q1515">
        <f t="shared" si="144"/>
        <v>5000</v>
      </c>
      <c r="T1515" s="16">
        <f t="shared" si="145"/>
        <v>0.44393456357285183</v>
      </c>
    </row>
    <row r="1516" spans="7:20" ht="14.4" x14ac:dyDescent="0.25">
      <c r="G1516" s="10">
        <v>6825</v>
      </c>
      <c r="H1516" s="9">
        <v>48614</v>
      </c>
      <c r="I1516" s="14">
        <f>DATE(2012,12,31)-214</f>
        <v>41060</v>
      </c>
      <c r="J1516" s="15" t="s">
        <v>30</v>
      </c>
      <c r="K1516" s="9">
        <v>46</v>
      </c>
      <c r="L1516" s="16" t="s">
        <v>27</v>
      </c>
      <c r="M1516" s="16">
        <f t="shared" si="141"/>
        <v>1.4107714362419523</v>
      </c>
      <c r="N1516">
        <f t="shared" si="142"/>
        <v>0</v>
      </c>
      <c r="O1516">
        <f t="shared" si="143"/>
        <v>0</v>
      </c>
      <c r="P1516">
        <f t="shared" si="140"/>
        <v>5700</v>
      </c>
      <c r="Q1516">
        <f t="shared" si="144"/>
        <v>5700</v>
      </c>
      <c r="T1516" s="16">
        <f t="shared" si="145"/>
        <v>1.4107714362419519</v>
      </c>
    </row>
    <row r="1517" spans="7:20" ht="14.4" x14ac:dyDescent="0.25">
      <c r="G1517" s="10">
        <v>6844</v>
      </c>
      <c r="H1517" s="9">
        <v>48772</v>
      </c>
      <c r="I1517" s="14">
        <f>DATE(2012,12,31)-1329</f>
        <v>39945</v>
      </c>
      <c r="J1517" s="15" t="s">
        <v>16</v>
      </c>
      <c r="K1517" s="9">
        <v>44</v>
      </c>
      <c r="L1517" s="16" t="s">
        <v>29</v>
      </c>
      <c r="M1517" s="16">
        <f t="shared" si="141"/>
        <v>1.2726518830035094</v>
      </c>
      <c r="N1517">
        <f t="shared" si="142"/>
        <v>0</v>
      </c>
      <c r="O1517">
        <f t="shared" si="143"/>
        <v>0</v>
      </c>
      <c r="P1517">
        <f t="shared" si="140"/>
        <v>5600</v>
      </c>
      <c r="Q1517">
        <f t="shared" si="144"/>
        <v>5600</v>
      </c>
      <c r="T1517" s="16">
        <f t="shared" si="145"/>
        <v>1.272651883003509</v>
      </c>
    </row>
    <row r="1518" spans="7:20" ht="14.4" x14ac:dyDescent="0.25">
      <c r="G1518" s="10">
        <v>6845</v>
      </c>
      <c r="H1518" s="9">
        <v>48772</v>
      </c>
      <c r="I1518" s="14">
        <f>DATE(2012,12,31)-1329</f>
        <v>39945</v>
      </c>
      <c r="J1518" s="15" t="s">
        <v>16</v>
      </c>
      <c r="K1518" s="9">
        <v>11</v>
      </c>
      <c r="L1518" s="16" t="s">
        <v>26</v>
      </c>
      <c r="M1518" s="16">
        <f t="shared" si="141"/>
        <v>-1.0063207454307979</v>
      </c>
      <c r="N1518">
        <f t="shared" si="142"/>
        <v>0</v>
      </c>
      <c r="O1518">
        <f t="shared" si="143"/>
        <v>0</v>
      </c>
      <c r="P1518">
        <f t="shared" si="140"/>
        <v>3950</v>
      </c>
      <c r="Q1518">
        <f t="shared" si="144"/>
        <v>3950</v>
      </c>
      <c r="T1518" s="16">
        <f t="shared" si="145"/>
        <v>-1.0063207454307983</v>
      </c>
    </row>
    <row r="1519" spans="7:20" ht="14.4" x14ac:dyDescent="0.25">
      <c r="G1519" s="10">
        <v>6846</v>
      </c>
      <c r="H1519" s="9">
        <v>48772</v>
      </c>
      <c r="I1519" s="14">
        <f>DATE(2012,12,31)-1329</f>
        <v>39945</v>
      </c>
      <c r="J1519" s="15" t="s">
        <v>16</v>
      </c>
      <c r="K1519" s="9">
        <v>18</v>
      </c>
      <c r="L1519" s="16" t="s">
        <v>26</v>
      </c>
      <c r="M1519" s="16">
        <f t="shared" si="141"/>
        <v>-0.52290230909624791</v>
      </c>
      <c r="N1519">
        <f t="shared" si="142"/>
        <v>0</v>
      </c>
      <c r="O1519">
        <f t="shared" si="143"/>
        <v>0</v>
      </c>
      <c r="P1519">
        <f t="shared" si="140"/>
        <v>4300</v>
      </c>
      <c r="Q1519">
        <f t="shared" si="144"/>
        <v>4300</v>
      </c>
      <c r="T1519" s="16">
        <f t="shared" si="145"/>
        <v>-0.52290230909624835</v>
      </c>
    </row>
    <row r="1520" spans="7:20" ht="14.4" x14ac:dyDescent="0.25">
      <c r="G1520" s="10">
        <v>6847</v>
      </c>
      <c r="H1520" s="9">
        <v>48772</v>
      </c>
      <c r="I1520" s="14">
        <f>DATE(2012,12,31)-1329</f>
        <v>39945</v>
      </c>
      <c r="J1520" s="15" t="s">
        <v>16</v>
      </c>
      <c r="K1520" s="9">
        <v>12</v>
      </c>
      <c r="L1520" s="16" t="s">
        <v>26</v>
      </c>
      <c r="M1520" s="16">
        <f t="shared" si="141"/>
        <v>-0.9372609688115765</v>
      </c>
      <c r="N1520">
        <f t="shared" si="142"/>
        <v>0</v>
      </c>
      <c r="O1520">
        <f t="shared" si="143"/>
        <v>0</v>
      </c>
      <c r="P1520">
        <f t="shared" si="140"/>
        <v>4000</v>
      </c>
      <c r="Q1520">
        <f t="shared" si="144"/>
        <v>4000</v>
      </c>
      <c r="T1520" s="16">
        <f t="shared" si="145"/>
        <v>-0.93726096881157694</v>
      </c>
    </row>
    <row r="1521" spans="7:20" ht="14.4" x14ac:dyDescent="0.25">
      <c r="G1521" s="10">
        <v>6848</v>
      </c>
      <c r="H1521" s="9">
        <v>48772</v>
      </c>
      <c r="I1521" s="14">
        <f>DATE(2012,12,31)-1329</f>
        <v>39945</v>
      </c>
      <c r="J1521" s="15" t="s">
        <v>16</v>
      </c>
      <c r="K1521" s="9">
        <v>10</v>
      </c>
      <c r="L1521" s="16" t="s">
        <v>26</v>
      </c>
      <c r="M1521" s="16">
        <f t="shared" si="141"/>
        <v>-1.0753805220500194</v>
      </c>
      <c r="N1521">
        <f t="shared" si="142"/>
        <v>0</v>
      </c>
      <c r="O1521">
        <f t="shared" si="143"/>
        <v>0</v>
      </c>
      <c r="P1521">
        <f t="shared" si="140"/>
        <v>3900</v>
      </c>
      <c r="Q1521">
        <f t="shared" si="144"/>
        <v>3900</v>
      </c>
      <c r="T1521" s="16">
        <f t="shared" si="145"/>
        <v>-1.0753805220500199</v>
      </c>
    </row>
    <row r="1522" spans="7:20" ht="14.4" x14ac:dyDescent="0.25">
      <c r="G1522" s="10">
        <v>6852</v>
      </c>
      <c r="H1522" s="9">
        <v>48800</v>
      </c>
      <c r="I1522" s="14">
        <f>DATE(2012,12,31)-801</f>
        <v>40473</v>
      </c>
      <c r="J1522" s="15" t="s">
        <v>28</v>
      </c>
      <c r="K1522" s="9">
        <v>8</v>
      </c>
      <c r="L1522" s="16" t="s">
        <v>27</v>
      </c>
      <c r="M1522" s="16">
        <f t="shared" si="141"/>
        <v>-1.2135000752884624</v>
      </c>
      <c r="N1522">
        <f t="shared" si="142"/>
        <v>0</v>
      </c>
      <c r="O1522">
        <f t="shared" si="143"/>
        <v>0</v>
      </c>
      <c r="P1522">
        <f t="shared" si="140"/>
        <v>3800</v>
      </c>
      <c r="Q1522">
        <f t="shared" si="144"/>
        <v>3800</v>
      </c>
      <c r="T1522" s="16">
        <f t="shared" si="145"/>
        <v>-1.2135000752884626</v>
      </c>
    </row>
    <row r="1523" spans="7:20" ht="14.4" x14ac:dyDescent="0.25">
      <c r="G1523" s="10">
        <v>6867</v>
      </c>
      <c r="H1523" s="9">
        <v>48931</v>
      </c>
      <c r="I1523" s="14">
        <f>DATE(2012,12,31)-1293</f>
        <v>39981</v>
      </c>
      <c r="J1523" s="15" t="s">
        <v>25</v>
      </c>
      <c r="K1523" s="9">
        <v>33</v>
      </c>
      <c r="L1523" s="16" t="s">
        <v>27</v>
      </c>
      <c r="M1523" s="16">
        <f t="shared" si="141"/>
        <v>0.51299434019207357</v>
      </c>
      <c r="N1523">
        <f t="shared" si="142"/>
        <v>0</v>
      </c>
      <c r="O1523">
        <f t="shared" si="143"/>
        <v>0</v>
      </c>
      <c r="P1523">
        <f t="shared" si="140"/>
        <v>5050</v>
      </c>
      <c r="Q1523">
        <f t="shared" si="144"/>
        <v>5050</v>
      </c>
      <c r="T1523" s="16">
        <f t="shared" si="145"/>
        <v>0.51299434019207324</v>
      </c>
    </row>
    <row r="1524" spans="7:20" ht="14.4" x14ac:dyDescent="0.25">
      <c r="G1524" s="10">
        <v>6868</v>
      </c>
      <c r="H1524" s="9">
        <v>48931</v>
      </c>
      <c r="I1524" s="14">
        <f>DATE(2012,12,31)-1293</f>
        <v>39981</v>
      </c>
      <c r="J1524" s="15" t="s">
        <v>25</v>
      </c>
      <c r="K1524" s="9">
        <v>8</v>
      </c>
      <c r="L1524" s="16" t="s">
        <v>27</v>
      </c>
      <c r="M1524" s="16">
        <f t="shared" si="141"/>
        <v>-1.2135000752884624</v>
      </c>
      <c r="N1524">
        <f t="shared" si="142"/>
        <v>0</v>
      </c>
      <c r="O1524">
        <f t="shared" si="143"/>
        <v>0</v>
      </c>
      <c r="P1524">
        <f t="shared" si="140"/>
        <v>3800</v>
      </c>
      <c r="Q1524">
        <f t="shared" si="144"/>
        <v>3800</v>
      </c>
      <c r="T1524" s="16">
        <f t="shared" si="145"/>
        <v>-1.2135000752884626</v>
      </c>
    </row>
    <row r="1525" spans="7:20" ht="14.4" x14ac:dyDescent="0.25">
      <c r="G1525" s="10">
        <v>6869</v>
      </c>
      <c r="H1525" s="9">
        <v>48931</v>
      </c>
      <c r="I1525" s="14">
        <f>DATE(2012,12,31)-1293</f>
        <v>39981</v>
      </c>
      <c r="J1525" s="15" t="s">
        <v>25</v>
      </c>
      <c r="K1525" s="9">
        <v>42</v>
      </c>
      <c r="L1525" s="16" t="s">
        <v>29</v>
      </c>
      <c r="M1525" s="16">
        <f t="shared" si="141"/>
        <v>1.1345323297650665</v>
      </c>
      <c r="N1525">
        <f t="shared" si="142"/>
        <v>0</v>
      </c>
      <c r="O1525">
        <f t="shared" si="143"/>
        <v>0</v>
      </c>
      <c r="P1525">
        <f t="shared" si="140"/>
        <v>5500</v>
      </c>
      <c r="Q1525">
        <f t="shared" si="144"/>
        <v>5500</v>
      </c>
      <c r="T1525" s="16">
        <f t="shared" si="145"/>
        <v>1.1345323297650662</v>
      </c>
    </row>
    <row r="1526" spans="7:20" ht="14.4" x14ac:dyDescent="0.25">
      <c r="G1526" s="10">
        <v>6892</v>
      </c>
      <c r="H1526" s="9">
        <v>49126</v>
      </c>
      <c r="I1526" s="14">
        <f>DATE(2012,12,31)-540</f>
        <v>40734</v>
      </c>
      <c r="J1526" s="15" t="s">
        <v>25</v>
      </c>
      <c r="K1526" s="9">
        <v>33</v>
      </c>
      <c r="L1526" s="16" t="s">
        <v>29</v>
      </c>
      <c r="M1526" s="16">
        <f t="shared" si="141"/>
        <v>0.51299434019207357</v>
      </c>
      <c r="N1526">
        <f t="shared" si="142"/>
        <v>0</v>
      </c>
      <c r="O1526">
        <f t="shared" si="143"/>
        <v>0</v>
      </c>
      <c r="P1526">
        <f t="shared" si="140"/>
        <v>5050</v>
      </c>
      <c r="Q1526">
        <f t="shared" si="144"/>
        <v>5050</v>
      </c>
      <c r="T1526" s="16">
        <f t="shared" si="145"/>
        <v>0.51299434019207324</v>
      </c>
    </row>
    <row r="1527" spans="7:20" ht="14.4" x14ac:dyDescent="0.25">
      <c r="G1527" s="10">
        <v>6908</v>
      </c>
      <c r="H1527" s="9">
        <v>49283</v>
      </c>
      <c r="I1527" s="14">
        <f>DATE(2012,12,31)-1116</f>
        <v>40158</v>
      </c>
      <c r="J1527" s="15" t="s">
        <v>17</v>
      </c>
      <c r="K1527" s="9">
        <v>25</v>
      </c>
      <c r="L1527" s="16" t="s">
        <v>26</v>
      </c>
      <c r="M1527" s="16">
        <f t="shared" si="141"/>
        <v>-3.9483872761697868E-2</v>
      </c>
      <c r="N1527">
        <f t="shared" si="142"/>
        <v>0</v>
      </c>
      <c r="O1527">
        <f t="shared" si="143"/>
        <v>0</v>
      </c>
      <c r="P1527">
        <f t="shared" si="140"/>
        <v>4650</v>
      </c>
      <c r="Q1527">
        <f t="shared" si="144"/>
        <v>4650</v>
      </c>
      <c r="T1527" s="16">
        <f t="shared" si="145"/>
        <v>-3.9483872761698249E-2</v>
      </c>
    </row>
    <row r="1528" spans="7:20" ht="14.4" x14ac:dyDescent="0.25">
      <c r="G1528" s="10">
        <v>6927</v>
      </c>
      <c r="H1528" s="9">
        <v>49441</v>
      </c>
      <c r="I1528" s="14">
        <f>DATE(2012,12,31)-1191</f>
        <v>40083</v>
      </c>
      <c r="J1528" s="15" t="s">
        <v>16</v>
      </c>
      <c r="K1528" s="9">
        <v>49</v>
      </c>
      <c r="L1528" s="16" t="s">
        <v>29</v>
      </c>
      <c r="M1528" s="16">
        <f t="shared" si="141"/>
        <v>1.6179507660996166</v>
      </c>
      <c r="N1528">
        <f t="shared" si="142"/>
        <v>0</v>
      </c>
      <c r="O1528">
        <f t="shared" si="143"/>
        <v>0</v>
      </c>
      <c r="P1528">
        <f t="shared" si="140"/>
        <v>5850</v>
      </c>
      <c r="Q1528">
        <f t="shared" si="144"/>
        <v>5850</v>
      </c>
      <c r="T1528" s="16">
        <f t="shared" si="145"/>
        <v>1.6179507660996162</v>
      </c>
    </row>
    <row r="1529" spans="7:20" ht="14.4" x14ac:dyDescent="0.25">
      <c r="G1529" s="10">
        <v>6944</v>
      </c>
      <c r="H1529" s="9">
        <v>49601</v>
      </c>
      <c r="I1529" s="14">
        <f>DATE(2012,12,31)-705</f>
        <v>40569</v>
      </c>
      <c r="J1529" s="15" t="s">
        <v>25</v>
      </c>
      <c r="K1529" s="9">
        <v>15</v>
      </c>
      <c r="L1529" s="16" t="s">
        <v>29</v>
      </c>
      <c r="M1529" s="16">
        <f t="shared" si="141"/>
        <v>-0.7300816389539122</v>
      </c>
      <c r="N1529">
        <f t="shared" si="142"/>
        <v>0</v>
      </c>
      <c r="O1529">
        <f t="shared" si="143"/>
        <v>0</v>
      </c>
      <c r="P1529">
        <f t="shared" si="140"/>
        <v>4150</v>
      </c>
      <c r="Q1529">
        <f t="shared" si="144"/>
        <v>4150</v>
      </c>
      <c r="T1529" s="16">
        <f t="shared" si="145"/>
        <v>-0.73008163895391265</v>
      </c>
    </row>
    <row r="1530" spans="7:20" ht="14.4" x14ac:dyDescent="0.25">
      <c r="G1530" s="10">
        <v>6960</v>
      </c>
      <c r="H1530" s="9">
        <v>49763</v>
      </c>
      <c r="I1530" s="14">
        <f>DATE(2012,12,31)-687</f>
        <v>40587</v>
      </c>
      <c r="J1530" s="15" t="s">
        <v>30</v>
      </c>
      <c r="K1530" s="9">
        <v>8</v>
      </c>
      <c r="L1530" s="16" t="s">
        <v>26</v>
      </c>
      <c r="M1530" s="16">
        <f t="shared" si="141"/>
        <v>-1.2135000752884624</v>
      </c>
      <c r="N1530">
        <f t="shared" si="142"/>
        <v>0</v>
      </c>
      <c r="O1530">
        <f t="shared" si="143"/>
        <v>0</v>
      </c>
      <c r="P1530">
        <f t="shared" si="140"/>
        <v>3800</v>
      </c>
      <c r="Q1530">
        <f t="shared" si="144"/>
        <v>3800</v>
      </c>
      <c r="T1530" s="16">
        <f t="shared" si="145"/>
        <v>-1.2135000752884626</v>
      </c>
    </row>
    <row r="1531" spans="7:20" ht="14.4" x14ac:dyDescent="0.25">
      <c r="G1531" s="10">
        <v>6961</v>
      </c>
      <c r="H1531" s="9">
        <v>49763</v>
      </c>
      <c r="I1531" s="14">
        <f>DATE(2012,12,31)-687</f>
        <v>40587</v>
      </c>
      <c r="J1531" s="15" t="s">
        <v>30</v>
      </c>
      <c r="K1531" s="9">
        <v>6</v>
      </c>
      <c r="L1531" s="16" t="s">
        <v>29</v>
      </c>
      <c r="M1531" s="16">
        <f t="shared" si="141"/>
        <v>-1.3516196285269051</v>
      </c>
      <c r="N1531">
        <f t="shared" si="142"/>
        <v>0</v>
      </c>
      <c r="O1531">
        <f t="shared" si="143"/>
        <v>0</v>
      </c>
      <c r="P1531">
        <f t="shared" si="140"/>
        <v>3700</v>
      </c>
      <c r="Q1531">
        <f t="shared" si="144"/>
        <v>3700</v>
      </c>
      <c r="T1531" s="16">
        <f t="shared" si="145"/>
        <v>-1.3516196285269055</v>
      </c>
    </row>
    <row r="1532" spans="7:20" ht="14.4" x14ac:dyDescent="0.25">
      <c r="G1532" s="10">
        <v>6988</v>
      </c>
      <c r="H1532" s="9">
        <v>49927</v>
      </c>
      <c r="I1532" s="14">
        <f>DATE(2012,12,31)-164</f>
        <v>41110</v>
      </c>
      <c r="J1532" s="15" t="s">
        <v>28</v>
      </c>
      <c r="K1532" s="9">
        <v>26</v>
      </c>
      <c r="L1532" s="16" t="s">
        <v>26</v>
      </c>
      <c r="M1532" s="16">
        <f t="shared" si="141"/>
        <v>2.9575903857523567E-2</v>
      </c>
      <c r="N1532">
        <f t="shared" si="142"/>
        <v>0</v>
      </c>
      <c r="O1532">
        <f t="shared" si="143"/>
        <v>0</v>
      </c>
      <c r="P1532">
        <f t="shared" si="140"/>
        <v>4700</v>
      </c>
      <c r="Q1532">
        <f t="shared" si="144"/>
        <v>4700</v>
      </c>
      <c r="T1532" s="16">
        <f t="shared" si="145"/>
        <v>2.9575903857523185E-2</v>
      </c>
    </row>
    <row r="1533" spans="7:20" ht="14.4" x14ac:dyDescent="0.25">
      <c r="G1533" s="10">
        <v>6989</v>
      </c>
      <c r="H1533" s="9">
        <v>49927</v>
      </c>
      <c r="I1533" s="14">
        <f>DATE(2012,12,31)-164</f>
        <v>41110</v>
      </c>
      <c r="J1533" s="15" t="s">
        <v>28</v>
      </c>
      <c r="K1533" s="9">
        <v>28</v>
      </c>
      <c r="L1533" s="16" t="s">
        <v>29</v>
      </c>
      <c r="M1533" s="16">
        <f t="shared" si="141"/>
        <v>0.16769545709596645</v>
      </c>
      <c r="N1533">
        <f t="shared" si="142"/>
        <v>0</v>
      </c>
      <c r="O1533">
        <f t="shared" si="143"/>
        <v>0</v>
      </c>
      <c r="P1533">
        <f t="shared" si="140"/>
        <v>4800</v>
      </c>
      <c r="Q1533">
        <f t="shared" si="144"/>
        <v>4800</v>
      </c>
      <c r="T1533" s="16">
        <f t="shared" si="145"/>
        <v>0.16769545709596606</v>
      </c>
    </row>
    <row r="1534" spans="7:20" ht="14.4" x14ac:dyDescent="0.25">
      <c r="G1534" s="10">
        <v>6990</v>
      </c>
      <c r="H1534" s="9">
        <v>49927</v>
      </c>
      <c r="I1534" s="14">
        <f>DATE(2012,12,31)-164</f>
        <v>41110</v>
      </c>
      <c r="J1534" s="15" t="s">
        <v>28</v>
      </c>
      <c r="K1534" s="9">
        <v>39</v>
      </c>
      <c r="L1534" s="16" t="s">
        <v>26</v>
      </c>
      <c r="M1534" s="16">
        <f t="shared" si="141"/>
        <v>0.92735299990740228</v>
      </c>
      <c r="N1534">
        <f t="shared" si="142"/>
        <v>0</v>
      </c>
      <c r="O1534">
        <f t="shared" si="143"/>
        <v>0</v>
      </c>
      <c r="P1534">
        <f t="shared" si="140"/>
        <v>5350</v>
      </c>
      <c r="Q1534">
        <f t="shared" si="144"/>
        <v>5350</v>
      </c>
      <c r="T1534" s="16">
        <f t="shared" si="145"/>
        <v>0.92735299990740183</v>
      </c>
    </row>
    <row r="1535" spans="7:20" ht="14.4" x14ac:dyDescent="0.25">
      <c r="G1535" s="10">
        <v>7009</v>
      </c>
      <c r="H1535" s="9">
        <v>50048</v>
      </c>
      <c r="I1535" s="14">
        <f>DATE(2012,12,31)-1078</f>
        <v>40196</v>
      </c>
      <c r="J1535" s="15" t="s">
        <v>17</v>
      </c>
      <c r="K1535" s="9">
        <v>14</v>
      </c>
      <c r="L1535" s="16" t="s">
        <v>26</v>
      </c>
      <c r="M1535" s="16">
        <f t="shared" si="141"/>
        <v>-0.79914141557313367</v>
      </c>
      <c r="N1535">
        <f t="shared" si="142"/>
        <v>0</v>
      </c>
      <c r="O1535">
        <f t="shared" si="143"/>
        <v>0</v>
      </c>
      <c r="P1535">
        <f t="shared" si="140"/>
        <v>4100</v>
      </c>
      <c r="Q1535">
        <f t="shared" si="144"/>
        <v>4100</v>
      </c>
      <c r="T1535" s="16">
        <f t="shared" si="145"/>
        <v>-0.79914141557313401</v>
      </c>
    </row>
    <row r="1536" spans="7:20" ht="14.4" x14ac:dyDescent="0.25">
      <c r="G1536" s="10">
        <v>7010</v>
      </c>
      <c r="H1536" s="9">
        <v>50048</v>
      </c>
      <c r="I1536" s="14">
        <f>DATE(2012,12,31)-1078</f>
        <v>40196</v>
      </c>
      <c r="J1536" s="15" t="s">
        <v>17</v>
      </c>
      <c r="K1536" s="9">
        <v>1</v>
      </c>
      <c r="L1536" s="16" t="s">
        <v>26</v>
      </c>
      <c r="M1536" s="16">
        <f t="shared" si="141"/>
        <v>-1.6969185116230123</v>
      </c>
      <c r="N1536">
        <f t="shared" si="142"/>
        <v>0</v>
      </c>
      <c r="O1536">
        <f t="shared" si="143"/>
        <v>0</v>
      </c>
      <c r="P1536">
        <f t="shared" si="140"/>
        <v>3450</v>
      </c>
      <c r="Q1536">
        <f t="shared" si="144"/>
        <v>3450</v>
      </c>
      <c r="T1536" s="16">
        <f t="shared" si="145"/>
        <v>-1.6969185116230128</v>
      </c>
    </row>
    <row r="1537" spans="7:20" ht="14.4" x14ac:dyDescent="0.25">
      <c r="G1537" s="10">
        <v>7075</v>
      </c>
      <c r="H1537" s="9">
        <v>50499</v>
      </c>
      <c r="I1537" s="14">
        <f>DATE(2012,12,31)-446</f>
        <v>40828</v>
      </c>
      <c r="J1537" s="15" t="s">
        <v>28</v>
      </c>
      <c r="K1537" s="9">
        <v>18</v>
      </c>
      <c r="L1537" s="16" t="s">
        <v>26</v>
      </c>
      <c r="M1537" s="16">
        <f t="shared" si="141"/>
        <v>-0.52290230909624791</v>
      </c>
      <c r="N1537">
        <f t="shared" si="142"/>
        <v>0</v>
      </c>
      <c r="O1537">
        <f t="shared" si="143"/>
        <v>0</v>
      </c>
      <c r="P1537">
        <f t="shared" si="140"/>
        <v>4300</v>
      </c>
      <c r="Q1537">
        <f t="shared" si="144"/>
        <v>4300</v>
      </c>
      <c r="T1537" s="16">
        <f t="shared" si="145"/>
        <v>-0.52290230909624835</v>
      </c>
    </row>
    <row r="1538" spans="7:20" ht="14.4" x14ac:dyDescent="0.25">
      <c r="G1538" s="10">
        <v>7152</v>
      </c>
      <c r="H1538" s="9">
        <v>51041</v>
      </c>
      <c r="I1538" s="14">
        <f>DATE(2012,12,31)-886</f>
        <v>40388</v>
      </c>
      <c r="J1538" s="15" t="s">
        <v>17</v>
      </c>
      <c r="K1538" s="9">
        <v>47</v>
      </c>
      <c r="L1538" s="16" t="s">
        <v>27</v>
      </c>
      <c r="M1538" s="16">
        <f t="shared" si="141"/>
        <v>1.4798312128611737</v>
      </c>
      <c r="N1538">
        <f t="shared" si="142"/>
        <v>0</v>
      </c>
      <c r="O1538">
        <f t="shared" si="143"/>
        <v>0</v>
      </c>
      <c r="P1538">
        <f t="shared" si="140"/>
        <v>5750</v>
      </c>
      <c r="Q1538">
        <f t="shared" si="144"/>
        <v>5750</v>
      </c>
      <c r="T1538" s="16">
        <f t="shared" si="145"/>
        <v>1.4798312128611733</v>
      </c>
    </row>
    <row r="1539" spans="7:20" ht="14.4" x14ac:dyDescent="0.25">
      <c r="G1539" s="10">
        <v>7194</v>
      </c>
      <c r="H1539" s="9">
        <v>51328</v>
      </c>
      <c r="I1539" s="14">
        <f>DATE(2012,12,31)-797</f>
        <v>40477</v>
      </c>
      <c r="J1539" s="15" t="s">
        <v>25</v>
      </c>
      <c r="K1539" s="9">
        <v>38</v>
      </c>
      <c r="L1539" s="16" t="s">
        <v>29</v>
      </c>
      <c r="M1539" s="16">
        <f t="shared" si="141"/>
        <v>0.85829322328818081</v>
      </c>
      <c r="N1539">
        <f t="shared" si="142"/>
        <v>0</v>
      </c>
      <c r="O1539">
        <f t="shared" si="143"/>
        <v>0</v>
      </c>
      <c r="P1539">
        <f t="shared" si="140"/>
        <v>5300</v>
      </c>
      <c r="Q1539">
        <f t="shared" si="144"/>
        <v>5300</v>
      </c>
      <c r="T1539" s="16">
        <f t="shared" si="145"/>
        <v>0.85829322328818036</v>
      </c>
    </row>
    <row r="1540" spans="7:20" ht="14.4" x14ac:dyDescent="0.25">
      <c r="G1540" s="10">
        <v>7195</v>
      </c>
      <c r="H1540" s="9">
        <v>51333</v>
      </c>
      <c r="I1540" s="14">
        <f>DATE(2012,12,31)-88</f>
        <v>41186</v>
      </c>
      <c r="J1540" s="15" t="s">
        <v>28</v>
      </c>
      <c r="K1540" s="9">
        <v>30</v>
      </c>
      <c r="L1540" s="16" t="s">
        <v>27</v>
      </c>
      <c r="M1540" s="16">
        <f t="shared" si="141"/>
        <v>0.30581501033440933</v>
      </c>
      <c r="N1540">
        <f t="shared" si="142"/>
        <v>0</v>
      </c>
      <c r="O1540">
        <f t="shared" si="143"/>
        <v>0</v>
      </c>
      <c r="P1540">
        <f t="shared" si="140"/>
        <v>4900</v>
      </c>
      <c r="Q1540">
        <f t="shared" si="144"/>
        <v>4900</v>
      </c>
      <c r="T1540" s="16">
        <f t="shared" si="145"/>
        <v>0.30581501033440894</v>
      </c>
    </row>
    <row r="1541" spans="7:20" ht="14.4" x14ac:dyDescent="0.25">
      <c r="G1541" s="10">
        <v>7196</v>
      </c>
      <c r="H1541" s="9">
        <v>51333</v>
      </c>
      <c r="I1541" s="14">
        <f>DATE(2012,12,31)-88</f>
        <v>41186</v>
      </c>
      <c r="J1541" s="15" t="s">
        <v>28</v>
      </c>
      <c r="K1541" s="9">
        <v>25</v>
      </c>
      <c r="L1541" s="16" t="s">
        <v>26</v>
      </c>
      <c r="M1541" s="16">
        <f t="shared" si="141"/>
        <v>-3.9483872761697868E-2</v>
      </c>
      <c r="N1541">
        <f t="shared" si="142"/>
        <v>0</v>
      </c>
      <c r="O1541">
        <f t="shared" si="143"/>
        <v>0</v>
      </c>
      <c r="P1541">
        <f t="shared" si="140"/>
        <v>4650</v>
      </c>
      <c r="Q1541">
        <f t="shared" si="144"/>
        <v>4650</v>
      </c>
      <c r="T1541" s="16">
        <f t="shared" si="145"/>
        <v>-3.9483872761698249E-2</v>
      </c>
    </row>
    <row r="1542" spans="7:20" ht="14.4" x14ac:dyDescent="0.25">
      <c r="G1542" s="10">
        <v>7201</v>
      </c>
      <c r="H1542" s="9">
        <v>51365</v>
      </c>
      <c r="I1542" s="14">
        <f>DATE(2012,12,31)-146</f>
        <v>41128</v>
      </c>
      <c r="J1542" s="15" t="s">
        <v>17</v>
      </c>
      <c r="K1542" s="9">
        <v>35</v>
      </c>
      <c r="L1542" s="16" t="s">
        <v>29</v>
      </c>
      <c r="M1542" s="16">
        <f t="shared" si="141"/>
        <v>0.65111389343051651</v>
      </c>
      <c r="N1542">
        <f t="shared" si="142"/>
        <v>0</v>
      </c>
      <c r="O1542">
        <f t="shared" si="143"/>
        <v>0</v>
      </c>
      <c r="P1542">
        <f t="shared" si="140"/>
        <v>5150</v>
      </c>
      <c r="Q1542">
        <f t="shared" si="144"/>
        <v>5150</v>
      </c>
      <c r="T1542" s="16">
        <f t="shared" si="145"/>
        <v>0.65111389343051607</v>
      </c>
    </row>
    <row r="1543" spans="7:20" ht="14.4" x14ac:dyDescent="0.25">
      <c r="G1543" s="10">
        <v>7202</v>
      </c>
      <c r="H1543" s="9">
        <v>51365</v>
      </c>
      <c r="I1543" s="14">
        <f>DATE(2012,12,31)-146</f>
        <v>41128</v>
      </c>
      <c r="J1543" s="15" t="s">
        <v>17</v>
      </c>
      <c r="K1543" s="9">
        <v>35</v>
      </c>
      <c r="L1543" s="16" t="s">
        <v>29</v>
      </c>
      <c r="M1543" s="16">
        <f t="shared" si="141"/>
        <v>0.65111389343051651</v>
      </c>
      <c r="N1543">
        <f t="shared" si="142"/>
        <v>0</v>
      </c>
      <c r="O1543">
        <f t="shared" si="143"/>
        <v>0</v>
      </c>
      <c r="P1543">
        <f t="shared" si="140"/>
        <v>5150</v>
      </c>
      <c r="Q1543">
        <f t="shared" si="144"/>
        <v>5150</v>
      </c>
      <c r="T1543" s="16">
        <f t="shared" si="145"/>
        <v>0.65111389343051607</v>
      </c>
    </row>
    <row r="1544" spans="7:20" ht="14.4" x14ac:dyDescent="0.25">
      <c r="G1544" s="10">
        <v>7253</v>
      </c>
      <c r="H1544" s="9">
        <v>51777</v>
      </c>
      <c r="I1544" s="14">
        <f>DATE(2012,12,31)-681</f>
        <v>40593</v>
      </c>
      <c r="J1544" s="15" t="s">
        <v>16</v>
      </c>
      <c r="K1544" s="9">
        <v>4</v>
      </c>
      <c r="L1544" s="16" t="s">
        <v>26</v>
      </c>
      <c r="M1544" s="16">
        <f t="shared" si="141"/>
        <v>-1.489739181765348</v>
      </c>
      <c r="N1544">
        <f t="shared" si="142"/>
        <v>0</v>
      </c>
      <c r="O1544">
        <f t="shared" si="143"/>
        <v>0</v>
      </c>
      <c r="P1544">
        <f t="shared" si="140"/>
        <v>3600</v>
      </c>
      <c r="Q1544">
        <f t="shared" si="144"/>
        <v>3600</v>
      </c>
      <c r="T1544" s="16">
        <f t="shared" si="145"/>
        <v>-1.4897391817653485</v>
      </c>
    </row>
    <row r="1545" spans="7:20" ht="14.4" x14ac:dyDescent="0.25">
      <c r="G1545" s="10">
        <v>7254</v>
      </c>
      <c r="H1545" s="9">
        <v>51777</v>
      </c>
      <c r="I1545" s="14">
        <f>DATE(2012,12,31)-681</f>
        <v>40593</v>
      </c>
      <c r="J1545" s="15" t="s">
        <v>16</v>
      </c>
      <c r="K1545" s="9">
        <v>13</v>
      </c>
      <c r="L1545" s="16" t="s">
        <v>27</v>
      </c>
      <c r="M1545" s="16">
        <f t="shared" si="141"/>
        <v>-0.86820119219235514</v>
      </c>
      <c r="N1545">
        <f t="shared" si="142"/>
        <v>0</v>
      </c>
      <c r="O1545">
        <f t="shared" si="143"/>
        <v>0</v>
      </c>
      <c r="P1545">
        <f t="shared" si="140"/>
        <v>4050</v>
      </c>
      <c r="Q1545">
        <f t="shared" si="144"/>
        <v>4050</v>
      </c>
      <c r="T1545" s="16">
        <f t="shared" si="145"/>
        <v>-0.86820119219235548</v>
      </c>
    </row>
    <row r="1546" spans="7:20" ht="14.4" x14ac:dyDescent="0.25">
      <c r="G1546" s="10">
        <v>7263</v>
      </c>
      <c r="H1546" s="9">
        <v>51814</v>
      </c>
      <c r="I1546" s="14">
        <f>DATE(2012,12,31)-829</f>
        <v>40445</v>
      </c>
      <c r="J1546" s="15" t="s">
        <v>30</v>
      </c>
      <c r="K1546" s="9">
        <v>13</v>
      </c>
      <c r="L1546" s="16" t="s">
        <v>26</v>
      </c>
      <c r="M1546" s="16">
        <f t="shared" si="141"/>
        <v>-0.86820119219235514</v>
      </c>
      <c r="N1546">
        <f t="shared" si="142"/>
        <v>0</v>
      </c>
      <c r="O1546">
        <f t="shared" si="143"/>
        <v>0</v>
      </c>
      <c r="P1546">
        <f t="shared" si="140"/>
        <v>4050</v>
      </c>
      <c r="Q1546">
        <f t="shared" si="144"/>
        <v>4050</v>
      </c>
      <c r="T1546" s="16">
        <f t="shared" si="145"/>
        <v>-0.86820119219235548</v>
      </c>
    </row>
    <row r="1547" spans="7:20" ht="14.4" x14ac:dyDescent="0.25">
      <c r="G1547" s="10">
        <v>7290</v>
      </c>
      <c r="H1547" s="9">
        <v>51975</v>
      </c>
      <c r="I1547" s="14">
        <f>DATE(2012,12,31)-1109</f>
        <v>40165</v>
      </c>
      <c r="J1547" s="15" t="s">
        <v>25</v>
      </c>
      <c r="K1547" s="9">
        <v>12</v>
      </c>
      <c r="L1547" s="16" t="s">
        <v>27</v>
      </c>
      <c r="M1547" s="16">
        <f t="shared" si="141"/>
        <v>-0.9372609688115765</v>
      </c>
      <c r="N1547">
        <f t="shared" si="142"/>
        <v>0</v>
      </c>
      <c r="O1547">
        <f t="shared" si="143"/>
        <v>0</v>
      </c>
      <c r="P1547">
        <f t="shared" si="140"/>
        <v>4000</v>
      </c>
      <c r="Q1547">
        <f t="shared" si="144"/>
        <v>4000</v>
      </c>
      <c r="T1547" s="16">
        <f t="shared" si="145"/>
        <v>-0.93726096881157694</v>
      </c>
    </row>
    <row r="1548" spans="7:20" ht="14.4" x14ac:dyDescent="0.25">
      <c r="G1548" s="10">
        <v>7328</v>
      </c>
      <c r="H1548" s="9">
        <v>52225</v>
      </c>
      <c r="I1548" s="14">
        <f>DATE(2012,12,31)-263</f>
        <v>41011</v>
      </c>
      <c r="J1548" s="15" t="s">
        <v>30</v>
      </c>
      <c r="K1548" s="9">
        <v>10</v>
      </c>
      <c r="L1548" s="16" t="s">
        <v>29</v>
      </c>
      <c r="M1548" s="16">
        <f t="shared" si="141"/>
        <v>-1.0753805220500194</v>
      </c>
      <c r="N1548">
        <f t="shared" si="142"/>
        <v>0</v>
      </c>
      <c r="O1548">
        <f t="shared" si="143"/>
        <v>0</v>
      </c>
      <c r="P1548">
        <f t="shared" ref="P1548:P1611" si="146">50*K1548+$P$10</f>
        <v>3900</v>
      </c>
      <c r="Q1548">
        <f t="shared" si="144"/>
        <v>3900</v>
      </c>
      <c r="T1548" s="16">
        <f t="shared" si="145"/>
        <v>-1.0753805220500199</v>
      </c>
    </row>
    <row r="1549" spans="7:20" ht="14.4" x14ac:dyDescent="0.25">
      <c r="G1549" s="10">
        <v>7329</v>
      </c>
      <c r="H1549" s="9">
        <v>52225</v>
      </c>
      <c r="I1549" s="14">
        <f>DATE(2012,12,31)-263</f>
        <v>41011</v>
      </c>
      <c r="J1549" s="15" t="s">
        <v>30</v>
      </c>
      <c r="K1549" s="9">
        <v>33</v>
      </c>
      <c r="L1549" s="16" t="s">
        <v>26</v>
      </c>
      <c r="M1549" s="16">
        <f t="shared" ref="M1549:M1612" si="147">(K1549-$K$4)/$K$7</f>
        <v>0.51299434019207357</v>
      </c>
      <c r="N1549">
        <f t="shared" ref="N1549:N1612" si="148">IF(MOD($B$20+G1549,1000)=0,1,0)</f>
        <v>0</v>
      </c>
      <c r="O1549">
        <f t="shared" ref="O1549:O1612" si="149">+ROUND(N1549*(IF(K1549&lt;$K$4,-4.5,10.5)*$P$5),-2)</f>
        <v>0</v>
      </c>
      <c r="P1549">
        <f t="shared" si="146"/>
        <v>5050</v>
      </c>
      <c r="Q1549">
        <f t="shared" ref="Q1549:Q1612" si="150">P1549+O1549</f>
        <v>5050</v>
      </c>
      <c r="T1549" s="16">
        <f t="shared" ref="T1549:T1612" si="151">(Q1549-$P$4)/$P$5</f>
        <v>0.51299434019207324</v>
      </c>
    </row>
    <row r="1550" spans="7:20" ht="14.4" x14ac:dyDescent="0.25">
      <c r="G1550" s="10">
        <v>7366</v>
      </c>
      <c r="H1550" s="9">
        <v>52487</v>
      </c>
      <c r="I1550" s="14">
        <f>DATE(2012,12,31)-1309</f>
        <v>39965</v>
      </c>
      <c r="J1550" s="15" t="s">
        <v>30</v>
      </c>
      <c r="K1550" s="9">
        <v>17</v>
      </c>
      <c r="L1550" s="16" t="s">
        <v>26</v>
      </c>
      <c r="M1550" s="16">
        <f t="shared" si="147"/>
        <v>-0.59196208571546938</v>
      </c>
      <c r="N1550">
        <f t="shared" si="148"/>
        <v>0</v>
      </c>
      <c r="O1550">
        <f t="shared" si="149"/>
        <v>0</v>
      </c>
      <c r="P1550">
        <f t="shared" si="146"/>
        <v>4250</v>
      </c>
      <c r="Q1550">
        <f t="shared" si="150"/>
        <v>4250</v>
      </c>
      <c r="T1550" s="16">
        <f t="shared" si="151"/>
        <v>-0.59196208571546971</v>
      </c>
    </row>
    <row r="1551" spans="7:20" ht="14.4" x14ac:dyDescent="0.25">
      <c r="G1551" s="10">
        <v>7410</v>
      </c>
      <c r="H1551" s="9">
        <v>52868</v>
      </c>
      <c r="I1551" s="14">
        <f>DATE(2012,12,31)-684</f>
        <v>40590</v>
      </c>
      <c r="J1551" s="15" t="s">
        <v>25</v>
      </c>
      <c r="K1551" s="9">
        <v>19</v>
      </c>
      <c r="L1551" s="16" t="s">
        <v>27</v>
      </c>
      <c r="M1551" s="16">
        <f t="shared" si="147"/>
        <v>-0.45384253247702649</v>
      </c>
      <c r="N1551">
        <f t="shared" si="148"/>
        <v>0</v>
      </c>
      <c r="O1551">
        <f t="shared" si="149"/>
        <v>0</v>
      </c>
      <c r="P1551">
        <f t="shared" si="146"/>
        <v>4350</v>
      </c>
      <c r="Q1551">
        <f t="shared" si="150"/>
        <v>4350</v>
      </c>
      <c r="T1551" s="16">
        <f t="shared" si="151"/>
        <v>-0.45384253247702688</v>
      </c>
    </row>
    <row r="1552" spans="7:20" ht="14.4" x14ac:dyDescent="0.25">
      <c r="G1552" s="10">
        <v>7459</v>
      </c>
      <c r="H1552" s="9">
        <v>53221</v>
      </c>
      <c r="I1552" s="14">
        <f>DATE(2012,12,31)-309</f>
        <v>40965</v>
      </c>
      <c r="J1552" s="15" t="s">
        <v>28</v>
      </c>
      <c r="K1552" s="9">
        <v>29</v>
      </c>
      <c r="L1552" s="16" t="s">
        <v>29</v>
      </c>
      <c r="M1552" s="16">
        <f t="shared" si="147"/>
        <v>0.23675523371518786</v>
      </c>
      <c r="N1552">
        <f t="shared" si="148"/>
        <v>0</v>
      </c>
      <c r="O1552">
        <f t="shared" si="149"/>
        <v>0</v>
      </c>
      <c r="P1552">
        <f t="shared" si="146"/>
        <v>4850</v>
      </c>
      <c r="Q1552">
        <f t="shared" si="150"/>
        <v>4850</v>
      </c>
      <c r="T1552" s="16">
        <f t="shared" si="151"/>
        <v>0.2367552337151875</v>
      </c>
    </row>
    <row r="1553" spans="7:20" ht="14.4" x14ac:dyDescent="0.25">
      <c r="G1553" s="10">
        <v>7509</v>
      </c>
      <c r="H1553" s="9">
        <v>53600</v>
      </c>
      <c r="I1553" s="14">
        <f>DATE(2012,12,31)-174</f>
        <v>41100</v>
      </c>
      <c r="J1553" s="15" t="s">
        <v>16</v>
      </c>
      <c r="K1553" s="9">
        <v>8</v>
      </c>
      <c r="L1553" s="16" t="s">
        <v>26</v>
      </c>
      <c r="M1553" s="16">
        <f t="shared" si="147"/>
        <v>-1.2135000752884624</v>
      </c>
      <c r="N1553">
        <f t="shared" si="148"/>
        <v>0</v>
      </c>
      <c r="O1553">
        <f t="shared" si="149"/>
        <v>0</v>
      </c>
      <c r="P1553">
        <f t="shared" si="146"/>
        <v>3800</v>
      </c>
      <c r="Q1553">
        <f t="shared" si="150"/>
        <v>3800</v>
      </c>
      <c r="T1553" s="16">
        <f t="shared" si="151"/>
        <v>-1.2135000752884626</v>
      </c>
    </row>
    <row r="1554" spans="7:20" ht="14.4" x14ac:dyDescent="0.25">
      <c r="G1554" s="10">
        <v>7515</v>
      </c>
      <c r="H1554" s="9">
        <v>53667</v>
      </c>
      <c r="I1554" s="14">
        <f>DATE(2012,12,31)-228</f>
        <v>41046</v>
      </c>
      <c r="J1554" s="15" t="s">
        <v>16</v>
      </c>
      <c r="K1554" s="9">
        <v>33</v>
      </c>
      <c r="L1554" s="16" t="s">
        <v>26</v>
      </c>
      <c r="M1554" s="16">
        <f t="shared" si="147"/>
        <v>0.51299434019207357</v>
      </c>
      <c r="N1554">
        <f t="shared" si="148"/>
        <v>0</v>
      </c>
      <c r="O1554">
        <f t="shared" si="149"/>
        <v>0</v>
      </c>
      <c r="P1554">
        <f t="shared" si="146"/>
        <v>5050</v>
      </c>
      <c r="Q1554">
        <f t="shared" si="150"/>
        <v>5050</v>
      </c>
      <c r="T1554" s="16">
        <f t="shared" si="151"/>
        <v>0.51299434019207324</v>
      </c>
    </row>
    <row r="1555" spans="7:20" ht="14.4" x14ac:dyDescent="0.25">
      <c r="G1555" s="10">
        <v>7516</v>
      </c>
      <c r="H1555" s="9">
        <v>53667</v>
      </c>
      <c r="I1555" s="14">
        <f>DATE(2012,12,31)-228</f>
        <v>41046</v>
      </c>
      <c r="J1555" s="15" t="s">
        <v>16</v>
      </c>
      <c r="K1555" s="9">
        <v>16</v>
      </c>
      <c r="L1555" s="16" t="s">
        <v>27</v>
      </c>
      <c r="M1555" s="16">
        <f t="shared" si="147"/>
        <v>-0.66102186233469074</v>
      </c>
      <c r="N1555">
        <f t="shared" si="148"/>
        <v>0</v>
      </c>
      <c r="O1555">
        <f t="shared" si="149"/>
        <v>0</v>
      </c>
      <c r="P1555">
        <f t="shared" si="146"/>
        <v>4200</v>
      </c>
      <c r="Q1555">
        <f t="shared" si="150"/>
        <v>4200</v>
      </c>
      <c r="T1555" s="16">
        <f t="shared" si="151"/>
        <v>-0.66102186233469118</v>
      </c>
    </row>
    <row r="1556" spans="7:20" ht="14.4" x14ac:dyDescent="0.25">
      <c r="G1556" s="10">
        <v>7535</v>
      </c>
      <c r="H1556" s="9">
        <v>53891</v>
      </c>
      <c r="I1556" s="14">
        <f>DATE(2012,12,31)-1439</f>
        <v>39835</v>
      </c>
      <c r="J1556" s="15" t="s">
        <v>17</v>
      </c>
      <c r="K1556" s="9">
        <v>36</v>
      </c>
      <c r="L1556" s="16" t="s">
        <v>26</v>
      </c>
      <c r="M1556" s="16">
        <f t="shared" si="147"/>
        <v>0.72017367004973787</v>
      </c>
      <c r="N1556">
        <f t="shared" si="148"/>
        <v>0</v>
      </c>
      <c r="O1556">
        <f t="shared" si="149"/>
        <v>0</v>
      </c>
      <c r="P1556">
        <f t="shared" si="146"/>
        <v>5200</v>
      </c>
      <c r="Q1556">
        <f t="shared" si="150"/>
        <v>5200</v>
      </c>
      <c r="T1556" s="16">
        <f t="shared" si="151"/>
        <v>0.72017367004973754</v>
      </c>
    </row>
    <row r="1557" spans="7:20" ht="14.4" x14ac:dyDescent="0.25">
      <c r="G1557" s="10">
        <v>7545</v>
      </c>
      <c r="H1557" s="9">
        <v>53955</v>
      </c>
      <c r="I1557" s="14">
        <f>DATE(2012,12,31)-668</f>
        <v>40606</v>
      </c>
      <c r="J1557" s="15" t="s">
        <v>30</v>
      </c>
      <c r="K1557" s="9">
        <v>43</v>
      </c>
      <c r="L1557" s="16" t="s">
        <v>29</v>
      </c>
      <c r="M1557" s="16">
        <f t="shared" si="147"/>
        <v>1.203592106384288</v>
      </c>
      <c r="N1557">
        <f t="shared" si="148"/>
        <v>0</v>
      </c>
      <c r="O1557">
        <f t="shared" si="149"/>
        <v>0</v>
      </c>
      <c r="P1557">
        <f t="shared" si="146"/>
        <v>5550</v>
      </c>
      <c r="Q1557">
        <f t="shared" si="150"/>
        <v>5550</v>
      </c>
      <c r="T1557" s="16">
        <f t="shared" si="151"/>
        <v>1.2035921063842876</v>
      </c>
    </row>
    <row r="1558" spans="7:20" ht="14.4" x14ac:dyDescent="0.25">
      <c r="G1558" s="10">
        <v>7569</v>
      </c>
      <c r="H1558" s="9">
        <v>54150</v>
      </c>
      <c r="I1558" s="14">
        <f>DATE(2012,12,31)-558</f>
        <v>40716</v>
      </c>
      <c r="J1558" s="15" t="s">
        <v>30</v>
      </c>
      <c r="K1558" s="9">
        <v>12</v>
      </c>
      <c r="L1558" s="16" t="s">
        <v>27</v>
      </c>
      <c r="M1558" s="16">
        <f t="shared" si="147"/>
        <v>-0.9372609688115765</v>
      </c>
      <c r="N1558">
        <f t="shared" si="148"/>
        <v>0</v>
      </c>
      <c r="O1558">
        <f t="shared" si="149"/>
        <v>0</v>
      </c>
      <c r="P1558">
        <f t="shared" si="146"/>
        <v>4000</v>
      </c>
      <c r="Q1558">
        <f t="shared" si="150"/>
        <v>4000</v>
      </c>
      <c r="T1558" s="16">
        <f t="shared" si="151"/>
        <v>-0.93726096881157694</v>
      </c>
    </row>
    <row r="1559" spans="7:20" ht="14.4" x14ac:dyDescent="0.25">
      <c r="G1559" s="10">
        <v>7742</v>
      </c>
      <c r="H1559" s="9">
        <v>55429</v>
      </c>
      <c r="I1559" s="14">
        <f>DATE(2012,12,31)-1281</f>
        <v>39993</v>
      </c>
      <c r="J1559" s="15" t="s">
        <v>17</v>
      </c>
      <c r="K1559" s="9">
        <v>43</v>
      </c>
      <c r="L1559" s="16" t="s">
        <v>26</v>
      </c>
      <c r="M1559" s="16">
        <f t="shared" si="147"/>
        <v>1.203592106384288</v>
      </c>
      <c r="N1559">
        <f t="shared" si="148"/>
        <v>0</v>
      </c>
      <c r="O1559">
        <f t="shared" si="149"/>
        <v>0</v>
      </c>
      <c r="P1559">
        <f t="shared" si="146"/>
        <v>5550</v>
      </c>
      <c r="Q1559">
        <f t="shared" si="150"/>
        <v>5550</v>
      </c>
      <c r="T1559" s="16">
        <f t="shared" si="151"/>
        <v>1.2035921063842876</v>
      </c>
    </row>
    <row r="1560" spans="7:20" ht="14.4" x14ac:dyDescent="0.25">
      <c r="G1560" s="10">
        <v>7751</v>
      </c>
      <c r="H1560" s="9">
        <v>55462</v>
      </c>
      <c r="I1560" s="14">
        <f>DATE(2012,12,31)-279</f>
        <v>40995</v>
      </c>
      <c r="J1560" s="15" t="s">
        <v>16</v>
      </c>
      <c r="K1560" s="9">
        <v>13</v>
      </c>
      <c r="L1560" s="16" t="s">
        <v>26</v>
      </c>
      <c r="M1560" s="16">
        <f t="shared" si="147"/>
        <v>-0.86820119219235514</v>
      </c>
      <c r="N1560">
        <f t="shared" si="148"/>
        <v>0</v>
      </c>
      <c r="O1560">
        <f t="shared" si="149"/>
        <v>0</v>
      </c>
      <c r="P1560">
        <f t="shared" si="146"/>
        <v>4050</v>
      </c>
      <c r="Q1560">
        <f t="shared" si="150"/>
        <v>4050</v>
      </c>
      <c r="T1560" s="16">
        <f t="shared" si="151"/>
        <v>-0.86820119219235548</v>
      </c>
    </row>
    <row r="1561" spans="7:20" ht="14.4" x14ac:dyDescent="0.25">
      <c r="G1561" s="10">
        <v>7752</v>
      </c>
      <c r="H1561" s="9">
        <v>55462</v>
      </c>
      <c r="I1561" s="14">
        <f>DATE(2012,12,31)-279</f>
        <v>40995</v>
      </c>
      <c r="J1561" s="15" t="s">
        <v>16</v>
      </c>
      <c r="K1561" s="9">
        <v>31</v>
      </c>
      <c r="L1561" s="16" t="s">
        <v>27</v>
      </c>
      <c r="M1561" s="16">
        <f t="shared" si="147"/>
        <v>0.37487478695363075</v>
      </c>
      <c r="N1561">
        <f t="shared" si="148"/>
        <v>0</v>
      </c>
      <c r="O1561">
        <f t="shared" si="149"/>
        <v>0</v>
      </c>
      <c r="P1561">
        <f t="shared" si="146"/>
        <v>4950</v>
      </c>
      <c r="Q1561">
        <f t="shared" si="150"/>
        <v>4950</v>
      </c>
      <c r="T1561" s="16">
        <f t="shared" si="151"/>
        <v>0.37487478695363036</v>
      </c>
    </row>
    <row r="1562" spans="7:20" ht="14.4" x14ac:dyDescent="0.25">
      <c r="G1562" s="10">
        <v>7753</v>
      </c>
      <c r="H1562" s="9">
        <v>55462</v>
      </c>
      <c r="I1562" s="14">
        <f>DATE(2012,12,31)-279</f>
        <v>40995</v>
      </c>
      <c r="J1562" s="15" t="s">
        <v>16</v>
      </c>
      <c r="K1562" s="9">
        <v>35</v>
      </c>
      <c r="L1562" s="16" t="s">
        <v>27</v>
      </c>
      <c r="M1562" s="16">
        <f t="shared" si="147"/>
        <v>0.65111389343051651</v>
      </c>
      <c r="N1562">
        <f t="shared" si="148"/>
        <v>0</v>
      </c>
      <c r="O1562">
        <f t="shared" si="149"/>
        <v>0</v>
      </c>
      <c r="P1562">
        <f t="shared" si="146"/>
        <v>5150</v>
      </c>
      <c r="Q1562">
        <f t="shared" si="150"/>
        <v>5150</v>
      </c>
      <c r="T1562" s="16">
        <f t="shared" si="151"/>
        <v>0.65111389343051607</v>
      </c>
    </row>
    <row r="1563" spans="7:20" ht="14.4" x14ac:dyDescent="0.25">
      <c r="G1563" s="10">
        <v>7793</v>
      </c>
      <c r="H1563" s="9">
        <v>55749</v>
      </c>
      <c r="I1563" s="14">
        <f>DATE(2012,12,31)-242</f>
        <v>41032</v>
      </c>
      <c r="J1563" s="15" t="s">
        <v>30</v>
      </c>
      <c r="K1563" s="9">
        <v>42</v>
      </c>
      <c r="L1563" s="16" t="s">
        <v>26</v>
      </c>
      <c r="M1563" s="16">
        <f t="shared" si="147"/>
        <v>1.1345323297650665</v>
      </c>
      <c r="N1563">
        <f t="shared" si="148"/>
        <v>0</v>
      </c>
      <c r="O1563">
        <f t="shared" si="149"/>
        <v>0</v>
      </c>
      <c r="P1563">
        <f t="shared" si="146"/>
        <v>5500</v>
      </c>
      <c r="Q1563">
        <f t="shared" si="150"/>
        <v>5500</v>
      </c>
      <c r="T1563" s="16">
        <f t="shared" si="151"/>
        <v>1.1345323297650662</v>
      </c>
    </row>
    <row r="1564" spans="7:20" ht="14.4" x14ac:dyDescent="0.25">
      <c r="G1564" s="10">
        <v>7809</v>
      </c>
      <c r="H1564" s="9">
        <v>55873</v>
      </c>
      <c r="I1564" s="14">
        <f>DATE(2012,12,31)-408</f>
        <v>40866</v>
      </c>
      <c r="J1564" s="15" t="s">
        <v>25</v>
      </c>
      <c r="K1564" s="9">
        <v>48</v>
      </c>
      <c r="L1564" s="16" t="s">
        <v>27</v>
      </c>
      <c r="M1564" s="16">
        <f t="shared" si="147"/>
        <v>1.5488909894803951</v>
      </c>
      <c r="N1564">
        <f t="shared" si="148"/>
        <v>0</v>
      </c>
      <c r="O1564">
        <f t="shared" si="149"/>
        <v>0</v>
      </c>
      <c r="P1564">
        <f t="shared" si="146"/>
        <v>5800</v>
      </c>
      <c r="Q1564">
        <f t="shared" si="150"/>
        <v>5800</v>
      </c>
      <c r="T1564" s="16">
        <f t="shared" si="151"/>
        <v>1.5488909894803948</v>
      </c>
    </row>
    <row r="1565" spans="7:20" ht="14.4" x14ac:dyDescent="0.25">
      <c r="G1565" s="10">
        <v>7852</v>
      </c>
      <c r="H1565" s="9">
        <v>56135</v>
      </c>
      <c r="I1565" s="14">
        <f>DATE(2012,12,31)-779</f>
        <v>40495</v>
      </c>
      <c r="J1565" s="15" t="s">
        <v>16</v>
      </c>
      <c r="K1565" s="9">
        <v>8</v>
      </c>
      <c r="L1565" s="16" t="s">
        <v>29</v>
      </c>
      <c r="M1565" s="16">
        <f t="shared" si="147"/>
        <v>-1.2135000752884624</v>
      </c>
      <c r="N1565">
        <f t="shared" si="148"/>
        <v>0</v>
      </c>
      <c r="O1565">
        <f t="shared" si="149"/>
        <v>0</v>
      </c>
      <c r="P1565">
        <f t="shared" si="146"/>
        <v>3800</v>
      </c>
      <c r="Q1565">
        <f t="shared" si="150"/>
        <v>3800</v>
      </c>
      <c r="T1565" s="16">
        <f t="shared" si="151"/>
        <v>-1.2135000752884626</v>
      </c>
    </row>
    <row r="1566" spans="7:20" ht="14.4" x14ac:dyDescent="0.25">
      <c r="G1566" s="10">
        <v>7853</v>
      </c>
      <c r="H1566" s="9">
        <v>56135</v>
      </c>
      <c r="I1566" s="14">
        <f>DATE(2012,12,31)-779</f>
        <v>40495</v>
      </c>
      <c r="J1566" s="15" t="s">
        <v>16</v>
      </c>
      <c r="K1566" s="9">
        <v>48</v>
      </c>
      <c r="L1566" s="16" t="s">
        <v>26</v>
      </c>
      <c r="M1566" s="16">
        <f t="shared" si="147"/>
        <v>1.5488909894803951</v>
      </c>
      <c r="N1566">
        <f t="shared" si="148"/>
        <v>0</v>
      </c>
      <c r="O1566">
        <f t="shared" si="149"/>
        <v>0</v>
      </c>
      <c r="P1566">
        <f t="shared" si="146"/>
        <v>5800</v>
      </c>
      <c r="Q1566">
        <f t="shared" si="150"/>
        <v>5800</v>
      </c>
      <c r="T1566" s="16">
        <f t="shared" si="151"/>
        <v>1.5488909894803948</v>
      </c>
    </row>
    <row r="1567" spans="7:20" ht="14.4" x14ac:dyDescent="0.25">
      <c r="G1567" s="10">
        <v>7934</v>
      </c>
      <c r="H1567" s="9">
        <v>56708</v>
      </c>
      <c r="I1567" s="14">
        <f>DATE(2012,12,31)-29</f>
        <v>41245</v>
      </c>
      <c r="J1567" s="15" t="s">
        <v>28</v>
      </c>
      <c r="K1567" s="9">
        <v>36</v>
      </c>
      <c r="L1567" s="16" t="s">
        <v>29</v>
      </c>
      <c r="M1567" s="16">
        <f t="shared" si="147"/>
        <v>0.72017367004973787</v>
      </c>
      <c r="N1567">
        <f t="shared" si="148"/>
        <v>0</v>
      </c>
      <c r="O1567">
        <f t="shared" si="149"/>
        <v>0</v>
      </c>
      <c r="P1567">
        <f t="shared" si="146"/>
        <v>5200</v>
      </c>
      <c r="Q1567">
        <f t="shared" si="150"/>
        <v>5200</v>
      </c>
      <c r="T1567" s="16">
        <f t="shared" si="151"/>
        <v>0.72017367004973754</v>
      </c>
    </row>
    <row r="1568" spans="7:20" ht="14.4" x14ac:dyDescent="0.25">
      <c r="G1568" s="10">
        <v>7935</v>
      </c>
      <c r="H1568" s="9">
        <v>56708</v>
      </c>
      <c r="I1568" s="14">
        <f>DATE(2012,12,31)-29</f>
        <v>41245</v>
      </c>
      <c r="J1568" s="15" t="s">
        <v>28</v>
      </c>
      <c r="K1568" s="9">
        <v>36</v>
      </c>
      <c r="L1568" s="16" t="s">
        <v>26</v>
      </c>
      <c r="M1568" s="16">
        <f t="shared" si="147"/>
        <v>0.72017367004973787</v>
      </c>
      <c r="N1568">
        <f t="shared" si="148"/>
        <v>0</v>
      </c>
      <c r="O1568">
        <f t="shared" si="149"/>
        <v>0</v>
      </c>
      <c r="P1568">
        <f t="shared" si="146"/>
        <v>5200</v>
      </c>
      <c r="Q1568">
        <f t="shared" si="150"/>
        <v>5200</v>
      </c>
      <c r="T1568" s="16">
        <f t="shared" si="151"/>
        <v>0.72017367004973754</v>
      </c>
    </row>
    <row r="1569" spans="7:20" ht="14.4" x14ac:dyDescent="0.25">
      <c r="G1569" s="10">
        <v>8120</v>
      </c>
      <c r="H1569" s="9">
        <v>57986</v>
      </c>
      <c r="I1569" s="14">
        <f>DATE(2012,12,31)-794</f>
        <v>40480</v>
      </c>
      <c r="J1569" s="15" t="s">
        <v>17</v>
      </c>
      <c r="K1569" s="9">
        <v>14</v>
      </c>
      <c r="L1569" s="16" t="s">
        <v>26</v>
      </c>
      <c r="M1569" s="16">
        <f t="shared" si="147"/>
        <v>-0.79914141557313367</v>
      </c>
      <c r="N1569">
        <f t="shared" si="148"/>
        <v>0</v>
      </c>
      <c r="O1569">
        <f t="shared" si="149"/>
        <v>0</v>
      </c>
      <c r="P1569">
        <f t="shared" si="146"/>
        <v>4100</v>
      </c>
      <c r="Q1569">
        <f t="shared" si="150"/>
        <v>4100</v>
      </c>
      <c r="T1569" s="16">
        <f t="shared" si="151"/>
        <v>-0.79914141557313401</v>
      </c>
    </row>
    <row r="1570" spans="7:20" ht="14.4" x14ac:dyDescent="0.25">
      <c r="G1570" s="10">
        <v>8155</v>
      </c>
      <c r="H1570" s="9">
        <v>58310</v>
      </c>
      <c r="I1570" s="14">
        <f>DATE(2012,12,31)-1407</f>
        <v>39867</v>
      </c>
      <c r="J1570" s="15" t="s">
        <v>30</v>
      </c>
      <c r="K1570" s="9">
        <v>22</v>
      </c>
      <c r="L1570" s="16" t="s">
        <v>26</v>
      </c>
      <c r="M1570" s="16">
        <f t="shared" si="147"/>
        <v>-0.24666320261936217</v>
      </c>
      <c r="N1570">
        <f t="shared" si="148"/>
        <v>0</v>
      </c>
      <c r="O1570">
        <f t="shared" si="149"/>
        <v>0</v>
      </c>
      <c r="P1570">
        <f t="shared" si="146"/>
        <v>4500</v>
      </c>
      <c r="Q1570">
        <f t="shared" si="150"/>
        <v>4500</v>
      </c>
      <c r="T1570" s="16">
        <f t="shared" si="151"/>
        <v>-0.24666320261936256</v>
      </c>
    </row>
    <row r="1571" spans="7:20" ht="14.4" x14ac:dyDescent="0.25">
      <c r="G1571" s="10">
        <v>8215</v>
      </c>
      <c r="H1571" s="9">
        <v>58725</v>
      </c>
      <c r="I1571" s="14">
        <f>DATE(2012,12,31)-956</f>
        <v>40318</v>
      </c>
      <c r="J1571" s="15" t="s">
        <v>28</v>
      </c>
      <c r="K1571" s="9">
        <v>39</v>
      </c>
      <c r="L1571" s="16" t="s">
        <v>26</v>
      </c>
      <c r="M1571" s="16">
        <f t="shared" si="147"/>
        <v>0.92735299990740228</v>
      </c>
      <c r="N1571">
        <f t="shared" si="148"/>
        <v>0</v>
      </c>
      <c r="O1571">
        <f t="shared" si="149"/>
        <v>0</v>
      </c>
      <c r="P1571">
        <f t="shared" si="146"/>
        <v>5350</v>
      </c>
      <c r="Q1571">
        <f t="shared" si="150"/>
        <v>5350</v>
      </c>
      <c r="T1571" s="16">
        <f t="shared" si="151"/>
        <v>0.92735299990740183</v>
      </c>
    </row>
    <row r="1572" spans="7:20" ht="14.4" x14ac:dyDescent="0.25">
      <c r="G1572" s="10">
        <v>142</v>
      </c>
      <c r="H1572" s="9">
        <v>902</v>
      </c>
      <c r="I1572" s="14">
        <f>DATE(2012,12,31)-1254</f>
        <v>40020</v>
      </c>
      <c r="J1572" s="15" t="s">
        <v>28</v>
      </c>
      <c r="K1572" s="9">
        <v>10</v>
      </c>
      <c r="L1572" s="16" t="s">
        <v>26</v>
      </c>
      <c r="M1572" s="16">
        <f t="shared" si="147"/>
        <v>-1.0753805220500194</v>
      </c>
      <c r="N1572">
        <f t="shared" si="148"/>
        <v>0</v>
      </c>
      <c r="O1572">
        <f t="shared" si="149"/>
        <v>0</v>
      </c>
      <c r="P1572">
        <f t="shared" si="146"/>
        <v>3900</v>
      </c>
      <c r="Q1572">
        <f t="shared" si="150"/>
        <v>3900</v>
      </c>
      <c r="T1572" s="16">
        <f t="shared" si="151"/>
        <v>-1.0753805220500199</v>
      </c>
    </row>
    <row r="1573" spans="7:20" ht="14.4" x14ac:dyDescent="0.25">
      <c r="G1573" s="10">
        <v>309</v>
      </c>
      <c r="H1573" s="9">
        <v>2147</v>
      </c>
      <c r="I1573" s="14">
        <f>DATE(2012,12,31)-117</f>
        <v>41157</v>
      </c>
      <c r="J1573" s="15" t="s">
        <v>28</v>
      </c>
      <c r="K1573" s="9">
        <v>15</v>
      </c>
      <c r="L1573" s="16" t="s">
        <v>26</v>
      </c>
      <c r="M1573" s="16">
        <f t="shared" si="147"/>
        <v>-0.7300816389539122</v>
      </c>
      <c r="N1573">
        <f t="shared" si="148"/>
        <v>0</v>
      </c>
      <c r="O1573">
        <f t="shared" si="149"/>
        <v>0</v>
      </c>
      <c r="P1573">
        <f t="shared" si="146"/>
        <v>4150</v>
      </c>
      <c r="Q1573">
        <f t="shared" si="150"/>
        <v>4150</v>
      </c>
      <c r="T1573" s="16">
        <f t="shared" si="151"/>
        <v>-0.73008163895391265</v>
      </c>
    </row>
    <row r="1574" spans="7:20" ht="14.4" x14ac:dyDescent="0.25">
      <c r="G1574" s="10">
        <v>338</v>
      </c>
      <c r="H1574" s="9">
        <v>2306</v>
      </c>
      <c r="I1574" s="14">
        <f>DATE(2012,12,31)-525</f>
        <v>40749</v>
      </c>
      <c r="J1574" s="15" t="s">
        <v>17</v>
      </c>
      <c r="K1574" s="9">
        <v>15</v>
      </c>
      <c r="L1574" s="16" t="s">
        <v>26</v>
      </c>
      <c r="M1574" s="16">
        <f t="shared" si="147"/>
        <v>-0.7300816389539122</v>
      </c>
      <c r="N1574">
        <f t="shared" si="148"/>
        <v>0</v>
      </c>
      <c r="O1574">
        <f t="shared" si="149"/>
        <v>0</v>
      </c>
      <c r="P1574">
        <f t="shared" si="146"/>
        <v>4150</v>
      </c>
      <c r="Q1574">
        <f t="shared" si="150"/>
        <v>4150</v>
      </c>
      <c r="T1574" s="16">
        <f t="shared" si="151"/>
        <v>-0.73008163895391265</v>
      </c>
    </row>
    <row r="1575" spans="7:20" ht="14.4" x14ac:dyDescent="0.25">
      <c r="G1575" s="10">
        <v>422</v>
      </c>
      <c r="H1575" s="9">
        <v>2823</v>
      </c>
      <c r="I1575" s="14">
        <f>DATE(2012,12,31)-480</f>
        <v>40794</v>
      </c>
      <c r="J1575" s="15" t="s">
        <v>17</v>
      </c>
      <c r="K1575" s="9">
        <v>17</v>
      </c>
      <c r="L1575" s="16" t="s">
        <v>27</v>
      </c>
      <c r="M1575" s="16">
        <f t="shared" si="147"/>
        <v>-0.59196208571546938</v>
      </c>
      <c r="N1575">
        <f t="shared" si="148"/>
        <v>0</v>
      </c>
      <c r="O1575">
        <f t="shared" si="149"/>
        <v>0</v>
      </c>
      <c r="P1575">
        <f t="shared" si="146"/>
        <v>4250</v>
      </c>
      <c r="Q1575">
        <f t="shared" si="150"/>
        <v>4250</v>
      </c>
      <c r="T1575" s="16">
        <f t="shared" si="151"/>
        <v>-0.59196208571546971</v>
      </c>
    </row>
    <row r="1576" spans="7:20" ht="14.4" x14ac:dyDescent="0.25">
      <c r="G1576" s="10">
        <v>423</v>
      </c>
      <c r="H1576" s="9">
        <v>2823</v>
      </c>
      <c r="I1576" s="14">
        <f>DATE(2012,12,31)-480</f>
        <v>40794</v>
      </c>
      <c r="J1576" s="15" t="s">
        <v>17</v>
      </c>
      <c r="K1576" s="9">
        <v>21</v>
      </c>
      <c r="L1576" s="16" t="s">
        <v>26</v>
      </c>
      <c r="M1576" s="16">
        <f t="shared" si="147"/>
        <v>-0.31572297923858361</v>
      </c>
      <c r="N1576">
        <f t="shared" si="148"/>
        <v>0</v>
      </c>
      <c r="O1576">
        <f t="shared" si="149"/>
        <v>0</v>
      </c>
      <c r="P1576">
        <f t="shared" si="146"/>
        <v>4450</v>
      </c>
      <c r="Q1576">
        <f t="shared" si="150"/>
        <v>4450</v>
      </c>
      <c r="T1576" s="16">
        <f t="shared" si="151"/>
        <v>-0.315722979238584</v>
      </c>
    </row>
    <row r="1577" spans="7:20" ht="14.4" x14ac:dyDescent="0.25">
      <c r="G1577" s="10">
        <v>460</v>
      </c>
      <c r="H1577" s="9">
        <v>3110</v>
      </c>
      <c r="I1577" s="14">
        <f>DATE(2012,12,31)-1111</f>
        <v>40163</v>
      </c>
      <c r="J1577" s="15" t="s">
        <v>17</v>
      </c>
      <c r="K1577" s="9">
        <v>13</v>
      </c>
      <c r="L1577" s="16" t="s">
        <v>27</v>
      </c>
      <c r="M1577" s="16">
        <f t="shared" si="147"/>
        <v>-0.86820119219235514</v>
      </c>
      <c r="N1577">
        <f t="shared" si="148"/>
        <v>0</v>
      </c>
      <c r="O1577">
        <f t="shared" si="149"/>
        <v>0</v>
      </c>
      <c r="P1577">
        <f t="shared" si="146"/>
        <v>4050</v>
      </c>
      <c r="Q1577">
        <f t="shared" si="150"/>
        <v>4050</v>
      </c>
      <c r="T1577" s="16">
        <f t="shared" si="151"/>
        <v>-0.86820119219235548</v>
      </c>
    </row>
    <row r="1578" spans="7:20" ht="14.4" x14ac:dyDescent="0.25">
      <c r="G1578" s="10">
        <v>503</v>
      </c>
      <c r="H1578" s="9">
        <v>3463</v>
      </c>
      <c r="I1578" s="14">
        <f>DATE(2012,12,31)-867</f>
        <v>40407</v>
      </c>
      <c r="J1578" s="15" t="s">
        <v>30</v>
      </c>
      <c r="K1578" s="9">
        <v>43</v>
      </c>
      <c r="L1578" s="16" t="s">
        <v>26</v>
      </c>
      <c r="M1578" s="16">
        <f t="shared" si="147"/>
        <v>1.203592106384288</v>
      </c>
      <c r="N1578">
        <f t="shared" si="148"/>
        <v>0</v>
      </c>
      <c r="O1578">
        <f t="shared" si="149"/>
        <v>0</v>
      </c>
      <c r="P1578">
        <f t="shared" si="146"/>
        <v>5550</v>
      </c>
      <c r="Q1578">
        <f t="shared" si="150"/>
        <v>5550</v>
      </c>
      <c r="T1578" s="16">
        <f t="shared" si="151"/>
        <v>1.2035921063842876</v>
      </c>
    </row>
    <row r="1579" spans="7:20" ht="14.4" x14ac:dyDescent="0.25">
      <c r="G1579" s="10">
        <v>591</v>
      </c>
      <c r="H1579" s="9">
        <v>4034</v>
      </c>
      <c r="I1579" s="14">
        <f>DATE(2012,12,31)-779</f>
        <v>40495</v>
      </c>
      <c r="J1579" s="15" t="s">
        <v>28</v>
      </c>
      <c r="K1579" s="9">
        <v>44</v>
      </c>
      <c r="L1579" s="16" t="s">
        <v>29</v>
      </c>
      <c r="M1579" s="16">
        <f t="shared" si="147"/>
        <v>1.2726518830035094</v>
      </c>
      <c r="N1579">
        <f t="shared" si="148"/>
        <v>0</v>
      </c>
      <c r="O1579">
        <f t="shared" si="149"/>
        <v>0</v>
      </c>
      <c r="P1579">
        <f t="shared" si="146"/>
        <v>5600</v>
      </c>
      <c r="Q1579">
        <f t="shared" si="150"/>
        <v>5600</v>
      </c>
      <c r="T1579" s="16">
        <f t="shared" si="151"/>
        <v>1.272651883003509</v>
      </c>
    </row>
    <row r="1580" spans="7:20" ht="14.4" x14ac:dyDescent="0.25">
      <c r="G1580" s="10">
        <v>592</v>
      </c>
      <c r="H1580" s="9">
        <v>4034</v>
      </c>
      <c r="I1580" s="14">
        <f>DATE(2012,12,31)-779</f>
        <v>40495</v>
      </c>
      <c r="J1580" s="15" t="s">
        <v>28</v>
      </c>
      <c r="K1580" s="9">
        <v>37</v>
      </c>
      <c r="L1580" s="16" t="s">
        <v>29</v>
      </c>
      <c r="M1580" s="16">
        <f t="shared" si="147"/>
        <v>0.78923344666895934</v>
      </c>
      <c r="N1580">
        <f t="shared" si="148"/>
        <v>0</v>
      </c>
      <c r="O1580">
        <f t="shared" si="149"/>
        <v>0</v>
      </c>
      <c r="P1580">
        <f t="shared" si="146"/>
        <v>5250</v>
      </c>
      <c r="Q1580">
        <f t="shared" si="150"/>
        <v>5250</v>
      </c>
      <c r="T1580" s="16">
        <f t="shared" si="151"/>
        <v>0.789233446668959</v>
      </c>
    </row>
    <row r="1581" spans="7:20" ht="14.4" x14ac:dyDescent="0.25">
      <c r="G1581" s="10">
        <v>593</v>
      </c>
      <c r="H1581" s="9">
        <v>4037</v>
      </c>
      <c r="I1581" s="14">
        <f>DATE(2012,12,31)-1014</f>
        <v>40260</v>
      </c>
      <c r="J1581" s="15" t="s">
        <v>17</v>
      </c>
      <c r="K1581" s="9">
        <v>27</v>
      </c>
      <c r="L1581" s="16" t="s">
        <v>26</v>
      </c>
      <c r="M1581" s="16">
        <f t="shared" si="147"/>
        <v>9.8635680476745008E-2</v>
      </c>
      <c r="N1581">
        <f t="shared" si="148"/>
        <v>0</v>
      </c>
      <c r="O1581">
        <f t="shared" si="149"/>
        <v>0</v>
      </c>
      <c r="P1581">
        <f t="shared" si="146"/>
        <v>4750</v>
      </c>
      <c r="Q1581">
        <f t="shared" si="150"/>
        <v>4750</v>
      </c>
      <c r="T1581" s="16">
        <f t="shared" si="151"/>
        <v>9.8635680476744619E-2</v>
      </c>
    </row>
    <row r="1582" spans="7:20" ht="14.4" x14ac:dyDescent="0.25">
      <c r="G1582" s="10">
        <v>775</v>
      </c>
      <c r="H1582" s="9">
        <v>5538</v>
      </c>
      <c r="I1582" s="14">
        <f>DATE(2012,12,31)-738</f>
        <v>40536</v>
      </c>
      <c r="J1582" s="15" t="s">
        <v>30</v>
      </c>
      <c r="K1582" s="9">
        <v>43</v>
      </c>
      <c r="L1582" s="16" t="s">
        <v>26</v>
      </c>
      <c r="M1582" s="16">
        <f t="shared" si="147"/>
        <v>1.203592106384288</v>
      </c>
      <c r="N1582">
        <f t="shared" si="148"/>
        <v>0</v>
      </c>
      <c r="O1582">
        <f t="shared" si="149"/>
        <v>0</v>
      </c>
      <c r="P1582">
        <f t="shared" si="146"/>
        <v>5550</v>
      </c>
      <c r="Q1582">
        <f t="shared" si="150"/>
        <v>5550</v>
      </c>
      <c r="T1582" s="16">
        <f t="shared" si="151"/>
        <v>1.2035921063842876</v>
      </c>
    </row>
    <row r="1583" spans="7:20" ht="14.4" x14ac:dyDescent="0.25">
      <c r="G1583" s="10">
        <v>776</v>
      </c>
      <c r="H1583" s="9">
        <v>5538</v>
      </c>
      <c r="I1583" s="14">
        <f>DATE(2012,12,31)-738</f>
        <v>40536</v>
      </c>
      <c r="J1583" s="15" t="s">
        <v>30</v>
      </c>
      <c r="K1583" s="9">
        <v>13</v>
      </c>
      <c r="L1583" s="16" t="s">
        <v>29</v>
      </c>
      <c r="M1583" s="16">
        <f t="shared" si="147"/>
        <v>-0.86820119219235514</v>
      </c>
      <c r="N1583">
        <f t="shared" si="148"/>
        <v>0</v>
      </c>
      <c r="O1583">
        <f t="shared" si="149"/>
        <v>0</v>
      </c>
      <c r="P1583">
        <f t="shared" si="146"/>
        <v>4050</v>
      </c>
      <c r="Q1583">
        <f t="shared" si="150"/>
        <v>4050</v>
      </c>
      <c r="T1583" s="16">
        <f t="shared" si="151"/>
        <v>-0.86820119219235548</v>
      </c>
    </row>
    <row r="1584" spans="7:20" ht="14.4" x14ac:dyDescent="0.25">
      <c r="G1584" s="10">
        <v>777</v>
      </c>
      <c r="H1584" s="9">
        <v>5538</v>
      </c>
      <c r="I1584" s="14">
        <f>DATE(2012,12,31)-738</f>
        <v>40536</v>
      </c>
      <c r="J1584" s="15" t="s">
        <v>30</v>
      </c>
      <c r="K1584" s="9">
        <v>4</v>
      </c>
      <c r="L1584" s="16" t="s">
        <v>27</v>
      </c>
      <c r="M1584" s="16">
        <f t="shared" si="147"/>
        <v>-1.489739181765348</v>
      </c>
      <c r="N1584">
        <f t="shared" si="148"/>
        <v>0</v>
      </c>
      <c r="O1584">
        <f t="shared" si="149"/>
        <v>0</v>
      </c>
      <c r="P1584">
        <f t="shared" si="146"/>
        <v>3600</v>
      </c>
      <c r="Q1584">
        <f t="shared" si="150"/>
        <v>3600</v>
      </c>
      <c r="T1584" s="16">
        <f t="shared" si="151"/>
        <v>-1.4897391817653485</v>
      </c>
    </row>
    <row r="1585" spans="7:20" ht="14.4" x14ac:dyDescent="0.25">
      <c r="G1585" s="10">
        <v>814</v>
      </c>
      <c r="H1585" s="9">
        <v>5863</v>
      </c>
      <c r="I1585" s="14">
        <f>DATE(2012,12,31)-771</f>
        <v>40503</v>
      </c>
      <c r="J1585" s="15" t="s">
        <v>16</v>
      </c>
      <c r="K1585" s="9">
        <v>40</v>
      </c>
      <c r="L1585" s="16" t="s">
        <v>29</v>
      </c>
      <c r="M1585" s="16">
        <f t="shared" si="147"/>
        <v>0.99641277652662363</v>
      </c>
      <c r="N1585">
        <f t="shared" si="148"/>
        <v>0</v>
      </c>
      <c r="O1585">
        <f t="shared" si="149"/>
        <v>0</v>
      </c>
      <c r="P1585">
        <f t="shared" si="146"/>
        <v>5400</v>
      </c>
      <c r="Q1585">
        <f t="shared" si="150"/>
        <v>5400</v>
      </c>
      <c r="T1585" s="16">
        <f t="shared" si="151"/>
        <v>0.9964127765266233</v>
      </c>
    </row>
    <row r="1586" spans="7:20" ht="14.4" x14ac:dyDescent="0.25">
      <c r="G1586" s="10">
        <v>997</v>
      </c>
      <c r="H1586" s="9">
        <v>7175</v>
      </c>
      <c r="I1586" s="14">
        <f>DATE(2012,12,31)-1058</f>
        <v>40216</v>
      </c>
      <c r="J1586" s="15" t="s">
        <v>30</v>
      </c>
      <c r="K1586" s="9">
        <v>10</v>
      </c>
      <c r="L1586" s="16" t="s">
        <v>29</v>
      </c>
      <c r="M1586" s="16">
        <f t="shared" si="147"/>
        <v>-1.0753805220500194</v>
      </c>
      <c r="N1586">
        <f t="shared" si="148"/>
        <v>0</v>
      </c>
      <c r="O1586">
        <f t="shared" si="149"/>
        <v>0</v>
      </c>
      <c r="P1586">
        <f t="shared" si="146"/>
        <v>3900</v>
      </c>
      <c r="Q1586">
        <f t="shared" si="150"/>
        <v>3900</v>
      </c>
      <c r="T1586" s="16">
        <f t="shared" si="151"/>
        <v>-1.0753805220500199</v>
      </c>
    </row>
    <row r="1587" spans="7:20" ht="14.4" x14ac:dyDescent="0.25">
      <c r="G1587" s="10">
        <v>1008</v>
      </c>
      <c r="H1587" s="9">
        <v>7364</v>
      </c>
      <c r="I1587" s="14">
        <f>DATE(2012,12,31)-1333</f>
        <v>39941</v>
      </c>
      <c r="J1587" s="15" t="s">
        <v>17</v>
      </c>
      <c r="K1587" s="9">
        <v>15</v>
      </c>
      <c r="L1587" s="16" t="s">
        <v>26</v>
      </c>
      <c r="M1587" s="16">
        <f t="shared" si="147"/>
        <v>-0.7300816389539122</v>
      </c>
      <c r="N1587">
        <f t="shared" si="148"/>
        <v>0</v>
      </c>
      <c r="O1587">
        <f t="shared" si="149"/>
        <v>0</v>
      </c>
      <c r="P1587">
        <f t="shared" si="146"/>
        <v>4150</v>
      </c>
      <c r="Q1587">
        <f t="shared" si="150"/>
        <v>4150</v>
      </c>
      <c r="T1587" s="16">
        <f t="shared" si="151"/>
        <v>-0.73008163895391265</v>
      </c>
    </row>
    <row r="1588" spans="7:20" ht="14.4" x14ac:dyDescent="0.25">
      <c r="G1588" s="10">
        <v>1068</v>
      </c>
      <c r="H1588" s="9">
        <v>7878</v>
      </c>
      <c r="I1588" s="14">
        <f>DATE(2012,12,31)-610</f>
        <v>40664</v>
      </c>
      <c r="J1588" s="15" t="s">
        <v>30</v>
      </c>
      <c r="K1588" s="9">
        <v>50</v>
      </c>
      <c r="L1588" s="16" t="s">
        <v>29</v>
      </c>
      <c r="M1588" s="16">
        <f t="shared" si="147"/>
        <v>1.687010542718838</v>
      </c>
      <c r="N1588">
        <f t="shared" si="148"/>
        <v>0</v>
      </c>
      <c r="O1588">
        <f t="shared" si="149"/>
        <v>0</v>
      </c>
      <c r="P1588">
        <f t="shared" si="146"/>
        <v>5900</v>
      </c>
      <c r="Q1588">
        <f t="shared" si="150"/>
        <v>5900</v>
      </c>
      <c r="T1588" s="16">
        <f t="shared" si="151"/>
        <v>1.6870105427188375</v>
      </c>
    </row>
    <row r="1589" spans="7:20" ht="14.4" x14ac:dyDescent="0.25">
      <c r="G1589" s="10">
        <v>1069</v>
      </c>
      <c r="H1589" s="9">
        <v>7878</v>
      </c>
      <c r="I1589" s="14">
        <f>DATE(2012,12,31)-610</f>
        <v>40664</v>
      </c>
      <c r="J1589" s="15" t="s">
        <v>30</v>
      </c>
      <c r="K1589" s="9">
        <v>41</v>
      </c>
      <c r="L1589" s="16" t="s">
        <v>29</v>
      </c>
      <c r="M1589" s="16">
        <f t="shared" si="147"/>
        <v>1.0654725531458451</v>
      </c>
      <c r="N1589">
        <f t="shared" si="148"/>
        <v>0</v>
      </c>
      <c r="O1589">
        <f t="shared" si="149"/>
        <v>0</v>
      </c>
      <c r="P1589">
        <f t="shared" si="146"/>
        <v>5450</v>
      </c>
      <c r="Q1589">
        <f t="shared" si="150"/>
        <v>5450</v>
      </c>
      <c r="T1589" s="16">
        <f t="shared" si="151"/>
        <v>1.0654725531458447</v>
      </c>
    </row>
    <row r="1590" spans="7:20" ht="14.4" x14ac:dyDescent="0.25">
      <c r="G1590" s="10">
        <v>1070</v>
      </c>
      <c r="H1590" s="9">
        <v>7878</v>
      </c>
      <c r="I1590" s="14">
        <f>DATE(2012,12,31)-610</f>
        <v>40664</v>
      </c>
      <c r="J1590" s="15" t="s">
        <v>25</v>
      </c>
      <c r="K1590" s="9">
        <v>42</v>
      </c>
      <c r="L1590" s="16" t="s">
        <v>26</v>
      </c>
      <c r="M1590" s="16">
        <f t="shared" si="147"/>
        <v>1.1345323297650665</v>
      </c>
      <c r="N1590">
        <f t="shared" si="148"/>
        <v>0</v>
      </c>
      <c r="O1590">
        <f t="shared" si="149"/>
        <v>0</v>
      </c>
      <c r="P1590">
        <f t="shared" si="146"/>
        <v>5500</v>
      </c>
      <c r="Q1590">
        <f t="shared" si="150"/>
        <v>5500</v>
      </c>
      <c r="T1590" s="16">
        <f t="shared" si="151"/>
        <v>1.1345323297650662</v>
      </c>
    </row>
    <row r="1591" spans="7:20" ht="14.4" x14ac:dyDescent="0.25">
      <c r="G1591" s="10">
        <v>1171</v>
      </c>
      <c r="H1591" s="9">
        <v>8551</v>
      </c>
      <c r="I1591" s="14">
        <f>DATE(2012,12,31)-1251</f>
        <v>40023</v>
      </c>
      <c r="J1591" s="15" t="s">
        <v>30</v>
      </c>
      <c r="K1591" s="9">
        <v>25</v>
      </c>
      <c r="L1591" s="16" t="s">
        <v>26</v>
      </c>
      <c r="M1591" s="16">
        <f t="shared" si="147"/>
        <v>-3.9483872761697868E-2</v>
      </c>
      <c r="N1591">
        <f t="shared" si="148"/>
        <v>0</v>
      </c>
      <c r="O1591">
        <f t="shared" si="149"/>
        <v>0</v>
      </c>
      <c r="P1591">
        <f t="shared" si="146"/>
        <v>4650</v>
      </c>
      <c r="Q1591">
        <f t="shared" si="150"/>
        <v>4650</v>
      </c>
      <c r="T1591" s="16">
        <f t="shared" si="151"/>
        <v>-3.9483872761698249E-2</v>
      </c>
    </row>
    <row r="1592" spans="7:20" ht="14.4" x14ac:dyDescent="0.25">
      <c r="G1592" s="10">
        <v>1172</v>
      </c>
      <c r="H1592" s="9">
        <v>8551</v>
      </c>
      <c r="I1592" s="14">
        <f>DATE(2012,12,31)-1251</f>
        <v>40023</v>
      </c>
      <c r="J1592" s="15" t="s">
        <v>30</v>
      </c>
      <c r="K1592" s="9">
        <v>34</v>
      </c>
      <c r="L1592" s="16" t="s">
        <v>26</v>
      </c>
      <c r="M1592" s="16">
        <f t="shared" si="147"/>
        <v>0.58205411681129504</v>
      </c>
      <c r="N1592">
        <f t="shared" si="148"/>
        <v>0</v>
      </c>
      <c r="O1592">
        <f t="shared" si="149"/>
        <v>0</v>
      </c>
      <c r="P1592">
        <f t="shared" si="146"/>
        <v>5100</v>
      </c>
      <c r="Q1592">
        <f t="shared" si="150"/>
        <v>5100</v>
      </c>
      <c r="T1592" s="16">
        <f t="shared" si="151"/>
        <v>0.58205411681129471</v>
      </c>
    </row>
    <row r="1593" spans="7:20" ht="14.4" x14ac:dyDescent="0.25">
      <c r="G1593" s="10">
        <v>1207</v>
      </c>
      <c r="H1593" s="9">
        <v>8834</v>
      </c>
      <c r="I1593" s="14">
        <f>DATE(2012,12,31)-784</f>
        <v>40490</v>
      </c>
      <c r="J1593" s="15" t="s">
        <v>17</v>
      </c>
      <c r="K1593" s="9">
        <v>1</v>
      </c>
      <c r="L1593" s="16" t="s">
        <v>29</v>
      </c>
      <c r="M1593" s="16">
        <f t="shared" si="147"/>
        <v>-1.6969185116230123</v>
      </c>
      <c r="N1593">
        <f t="shared" si="148"/>
        <v>0</v>
      </c>
      <c r="O1593">
        <f t="shared" si="149"/>
        <v>0</v>
      </c>
      <c r="P1593">
        <f t="shared" si="146"/>
        <v>3450</v>
      </c>
      <c r="Q1593">
        <f t="shared" si="150"/>
        <v>3450</v>
      </c>
      <c r="T1593" s="16">
        <f t="shared" si="151"/>
        <v>-1.6969185116230128</v>
      </c>
    </row>
    <row r="1594" spans="7:20" ht="14.4" x14ac:dyDescent="0.25">
      <c r="G1594" s="10">
        <v>1261</v>
      </c>
      <c r="H1594" s="9">
        <v>9155</v>
      </c>
      <c r="I1594" s="14">
        <f>DATE(2012,12,31)-123</f>
        <v>41151</v>
      </c>
      <c r="J1594" s="15" t="s">
        <v>30</v>
      </c>
      <c r="K1594" s="9">
        <v>17</v>
      </c>
      <c r="L1594" s="16" t="s">
        <v>26</v>
      </c>
      <c r="M1594" s="16">
        <f t="shared" si="147"/>
        <v>-0.59196208571546938</v>
      </c>
      <c r="N1594">
        <f t="shared" si="148"/>
        <v>0</v>
      </c>
      <c r="O1594">
        <f t="shared" si="149"/>
        <v>0</v>
      </c>
      <c r="P1594">
        <f t="shared" si="146"/>
        <v>4250</v>
      </c>
      <c r="Q1594">
        <f t="shared" si="150"/>
        <v>4250</v>
      </c>
      <c r="T1594" s="16">
        <f t="shared" si="151"/>
        <v>-0.59196208571546971</v>
      </c>
    </row>
    <row r="1595" spans="7:20" ht="14.4" x14ac:dyDescent="0.25">
      <c r="G1595" s="10">
        <v>1325</v>
      </c>
      <c r="H1595" s="9">
        <v>9668</v>
      </c>
      <c r="I1595" s="14">
        <f>DATE(2012,12,31)-1212</f>
        <v>40062</v>
      </c>
      <c r="J1595" s="15" t="s">
        <v>25</v>
      </c>
      <c r="K1595" s="9">
        <v>10</v>
      </c>
      <c r="L1595" s="16" t="s">
        <v>26</v>
      </c>
      <c r="M1595" s="16">
        <f t="shared" si="147"/>
        <v>-1.0753805220500194</v>
      </c>
      <c r="N1595">
        <f t="shared" si="148"/>
        <v>0</v>
      </c>
      <c r="O1595">
        <f t="shared" si="149"/>
        <v>0</v>
      </c>
      <c r="P1595">
        <f t="shared" si="146"/>
        <v>3900</v>
      </c>
      <c r="Q1595">
        <f t="shared" si="150"/>
        <v>3900</v>
      </c>
      <c r="T1595" s="16">
        <f t="shared" si="151"/>
        <v>-1.0753805220500199</v>
      </c>
    </row>
    <row r="1596" spans="7:20" ht="14.4" x14ac:dyDescent="0.25">
      <c r="G1596" s="10">
        <v>1408</v>
      </c>
      <c r="H1596" s="9">
        <v>10242</v>
      </c>
      <c r="I1596" s="14">
        <f>DATE(2012,12,31)-750</f>
        <v>40524</v>
      </c>
      <c r="J1596" s="15" t="s">
        <v>16</v>
      </c>
      <c r="K1596" s="9">
        <v>32</v>
      </c>
      <c r="L1596" s="16" t="s">
        <v>29</v>
      </c>
      <c r="M1596" s="16">
        <f t="shared" si="147"/>
        <v>0.44393456357285216</v>
      </c>
      <c r="N1596">
        <f t="shared" si="148"/>
        <v>0</v>
      </c>
      <c r="O1596">
        <f t="shared" si="149"/>
        <v>0</v>
      </c>
      <c r="P1596">
        <f t="shared" si="146"/>
        <v>5000</v>
      </c>
      <c r="Q1596">
        <f t="shared" si="150"/>
        <v>5000</v>
      </c>
      <c r="T1596" s="16">
        <f t="shared" si="151"/>
        <v>0.44393456357285183</v>
      </c>
    </row>
    <row r="1597" spans="7:20" ht="14.4" x14ac:dyDescent="0.25">
      <c r="G1597" s="10">
        <v>1711</v>
      </c>
      <c r="H1597" s="9">
        <v>12292</v>
      </c>
      <c r="I1597" s="14">
        <f>DATE(2012,12,31)-212</f>
        <v>41062</v>
      </c>
      <c r="J1597" s="15" t="s">
        <v>28</v>
      </c>
      <c r="K1597" s="9">
        <v>32</v>
      </c>
      <c r="L1597" s="16" t="s">
        <v>27</v>
      </c>
      <c r="M1597" s="16">
        <f t="shared" si="147"/>
        <v>0.44393456357285216</v>
      </c>
      <c r="N1597">
        <f t="shared" si="148"/>
        <v>0</v>
      </c>
      <c r="O1597">
        <f t="shared" si="149"/>
        <v>0</v>
      </c>
      <c r="P1597">
        <f t="shared" si="146"/>
        <v>5000</v>
      </c>
      <c r="Q1597">
        <f t="shared" si="150"/>
        <v>5000</v>
      </c>
      <c r="T1597" s="16">
        <f t="shared" si="151"/>
        <v>0.44393456357285183</v>
      </c>
    </row>
    <row r="1598" spans="7:20" ht="14.4" x14ac:dyDescent="0.25">
      <c r="G1598" s="10">
        <v>2035</v>
      </c>
      <c r="H1598" s="9">
        <v>14503</v>
      </c>
      <c r="I1598" s="14">
        <f>DATE(2012,12,31)-695</f>
        <v>40579</v>
      </c>
      <c r="J1598" s="15" t="s">
        <v>28</v>
      </c>
      <c r="K1598" s="9">
        <v>14</v>
      </c>
      <c r="L1598" s="16" t="s">
        <v>26</v>
      </c>
      <c r="M1598" s="16">
        <f t="shared" si="147"/>
        <v>-0.79914141557313367</v>
      </c>
      <c r="N1598">
        <f t="shared" si="148"/>
        <v>0</v>
      </c>
      <c r="O1598">
        <f t="shared" si="149"/>
        <v>0</v>
      </c>
      <c r="P1598">
        <f t="shared" si="146"/>
        <v>4100</v>
      </c>
      <c r="Q1598">
        <f t="shared" si="150"/>
        <v>4100</v>
      </c>
      <c r="T1598" s="16">
        <f t="shared" si="151"/>
        <v>-0.79914141557313401</v>
      </c>
    </row>
    <row r="1599" spans="7:20" ht="14.4" x14ac:dyDescent="0.25">
      <c r="G1599" s="10">
        <v>2118</v>
      </c>
      <c r="H1599" s="9">
        <v>15109</v>
      </c>
      <c r="I1599" s="14">
        <f>DATE(2012,12,31)-748</f>
        <v>40526</v>
      </c>
      <c r="J1599" s="15" t="s">
        <v>28</v>
      </c>
      <c r="K1599" s="9">
        <v>11</v>
      </c>
      <c r="L1599" s="16" t="s">
        <v>27</v>
      </c>
      <c r="M1599" s="16">
        <f t="shared" si="147"/>
        <v>-1.0063207454307979</v>
      </c>
      <c r="N1599">
        <f t="shared" si="148"/>
        <v>0</v>
      </c>
      <c r="O1599">
        <f t="shared" si="149"/>
        <v>0</v>
      </c>
      <c r="P1599">
        <f t="shared" si="146"/>
        <v>3950</v>
      </c>
      <c r="Q1599">
        <f t="shared" si="150"/>
        <v>3950</v>
      </c>
      <c r="T1599" s="16">
        <f t="shared" si="151"/>
        <v>-1.0063207454307983</v>
      </c>
    </row>
    <row r="1600" spans="7:20" ht="14.4" x14ac:dyDescent="0.25">
      <c r="G1600" s="10">
        <v>2119</v>
      </c>
      <c r="H1600" s="9">
        <v>15109</v>
      </c>
      <c r="I1600" s="14">
        <f>DATE(2012,12,31)-748</f>
        <v>40526</v>
      </c>
      <c r="J1600" s="15" t="s">
        <v>28</v>
      </c>
      <c r="K1600" s="9">
        <v>45</v>
      </c>
      <c r="L1600" s="16" t="s">
        <v>26</v>
      </c>
      <c r="M1600" s="16">
        <f t="shared" si="147"/>
        <v>1.3417116596227308</v>
      </c>
      <c r="N1600">
        <f t="shared" si="148"/>
        <v>0</v>
      </c>
      <c r="O1600">
        <f t="shared" si="149"/>
        <v>0</v>
      </c>
      <c r="P1600">
        <f t="shared" si="146"/>
        <v>5650</v>
      </c>
      <c r="Q1600">
        <f t="shared" si="150"/>
        <v>5650</v>
      </c>
      <c r="T1600" s="16">
        <f t="shared" si="151"/>
        <v>1.3417116596227305</v>
      </c>
    </row>
    <row r="1601" spans="7:20" ht="14.4" x14ac:dyDescent="0.25">
      <c r="G1601" s="10">
        <v>2120</v>
      </c>
      <c r="H1601" s="9">
        <v>15109</v>
      </c>
      <c r="I1601" s="14">
        <f>DATE(2012,12,31)-748</f>
        <v>40526</v>
      </c>
      <c r="J1601" s="15" t="s">
        <v>28</v>
      </c>
      <c r="K1601" s="9">
        <v>33</v>
      </c>
      <c r="L1601" s="16" t="s">
        <v>26</v>
      </c>
      <c r="M1601" s="16">
        <f t="shared" si="147"/>
        <v>0.51299434019207357</v>
      </c>
      <c r="N1601">
        <f t="shared" si="148"/>
        <v>0</v>
      </c>
      <c r="O1601">
        <f t="shared" si="149"/>
        <v>0</v>
      </c>
      <c r="P1601">
        <f t="shared" si="146"/>
        <v>5050</v>
      </c>
      <c r="Q1601">
        <f t="shared" si="150"/>
        <v>5050</v>
      </c>
      <c r="T1601" s="16">
        <f t="shared" si="151"/>
        <v>0.51299434019207324</v>
      </c>
    </row>
    <row r="1602" spans="7:20" ht="14.4" x14ac:dyDescent="0.25">
      <c r="G1602" s="10">
        <v>2121</v>
      </c>
      <c r="H1602" s="9">
        <v>15109</v>
      </c>
      <c r="I1602" s="14">
        <f>DATE(2012,12,31)-748</f>
        <v>40526</v>
      </c>
      <c r="J1602" s="15" t="s">
        <v>28</v>
      </c>
      <c r="K1602" s="9">
        <v>23</v>
      </c>
      <c r="L1602" s="16" t="s">
        <v>26</v>
      </c>
      <c r="M1602" s="16">
        <f t="shared" si="147"/>
        <v>-0.17760342600014073</v>
      </c>
      <c r="N1602">
        <f t="shared" si="148"/>
        <v>0</v>
      </c>
      <c r="O1602">
        <f t="shared" si="149"/>
        <v>0</v>
      </c>
      <c r="P1602">
        <f t="shared" si="146"/>
        <v>4550</v>
      </c>
      <c r="Q1602">
        <f t="shared" si="150"/>
        <v>4550</v>
      </c>
      <c r="T1602" s="16">
        <f t="shared" si="151"/>
        <v>-0.17760342600014112</v>
      </c>
    </row>
    <row r="1603" spans="7:20" ht="14.4" x14ac:dyDescent="0.25">
      <c r="G1603" s="10">
        <v>2122</v>
      </c>
      <c r="H1603" s="9">
        <v>15109</v>
      </c>
      <c r="I1603" s="14">
        <f>DATE(2012,12,31)-748</f>
        <v>40526</v>
      </c>
      <c r="J1603" s="15" t="s">
        <v>28</v>
      </c>
      <c r="K1603" s="9">
        <v>10</v>
      </c>
      <c r="L1603" s="16" t="s">
        <v>26</v>
      </c>
      <c r="M1603" s="16">
        <f t="shared" si="147"/>
        <v>-1.0753805220500194</v>
      </c>
      <c r="N1603">
        <f t="shared" si="148"/>
        <v>0</v>
      </c>
      <c r="O1603">
        <f t="shared" si="149"/>
        <v>0</v>
      </c>
      <c r="P1603">
        <f t="shared" si="146"/>
        <v>3900</v>
      </c>
      <c r="Q1603">
        <f t="shared" si="150"/>
        <v>3900</v>
      </c>
      <c r="T1603" s="16">
        <f t="shared" si="151"/>
        <v>-1.0753805220500199</v>
      </c>
    </row>
    <row r="1604" spans="7:20" ht="14.4" x14ac:dyDescent="0.25">
      <c r="G1604" s="10">
        <v>2126</v>
      </c>
      <c r="H1604" s="9">
        <v>15142</v>
      </c>
      <c r="I1604" s="14">
        <f>DATE(2012,12,31)-271</f>
        <v>41003</v>
      </c>
      <c r="J1604" s="15" t="s">
        <v>28</v>
      </c>
      <c r="K1604" s="9">
        <v>21</v>
      </c>
      <c r="L1604" s="16" t="s">
        <v>26</v>
      </c>
      <c r="M1604" s="16">
        <f t="shared" si="147"/>
        <v>-0.31572297923858361</v>
      </c>
      <c r="N1604">
        <f t="shared" si="148"/>
        <v>0</v>
      </c>
      <c r="O1604">
        <f t="shared" si="149"/>
        <v>0</v>
      </c>
      <c r="P1604">
        <f t="shared" si="146"/>
        <v>4450</v>
      </c>
      <c r="Q1604">
        <f t="shared" si="150"/>
        <v>4450</v>
      </c>
      <c r="T1604" s="16">
        <f t="shared" si="151"/>
        <v>-0.315722979238584</v>
      </c>
    </row>
    <row r="1605" spans="7:20" ht="14.4" x14ac:dyDescent="0.25">
      <c r="G1605" s="10">
        <v>2146</v>
      </c>
      <c r="H1605" s="9">
        <v>15332</v>
      </c>
      <c r="I1605" s="14">
        <f>DATE(2012,12,31)-946</f>
        <v>40328</v>
      </c>
      <c r="J1605" s="15" t="s">
        <v>28</v>
      </c>
      <c r="K1605" s="9">
        <v>6</v>
      </c>
      <c r="L1605" s="16" t="s">
        <v>26</v>
      </c>
      <c r="M1605" s="16">
        <f t="shared" si="147"/>
        <v>-1.3516196285269051</v>
      </c>
      <c r="N1605">
        <f t="shared" si="148"/>
        <v>0</v>
      </c>
      <c r="O1605">
        <f t="shared" si="149"/>
        <v>0</v>
      </c>
      <c r="P1605">
        <f t="shared" si="146"/>
        <v>3700</v>
      </c>
      <c r="Q1605">
        <f t="shared" si="150"/>
        <v>3700</v>
      </c>
      <c r="T1605" s="16">
        <f t="shared" si="151"/>
        <v>-1.3516196285269055</v>
      </c>
    </row>
    <row r="1606" spans="7:20" ht="14.4" x14ac:dyDescent="0.25">
      <c r="G1606" s="10">
        <v>2199</v>
      </c>
      <c r="H1606" s="9">
        <v>15872</v>
      </c>
      <c r="I1606" s="14">
        <f>DATE(2012,12,31)-62</f>
        <v>41212</v>
      </c>
      <c r="J1606" s="15" t="s">
        <v>28</v>
      </c>
      <c r="K1606" s="9">
        <v>48</v>
      </c>
      <c r="L1606" s="16" t="s">
        <v>26</v>
      </c>
      <c r="M1606" s="16">
        <f t="shared" si="147"/>
        <v>1.5488909894803951</v>
      </c>
      <c r="N1606">
        <f t="shared" si="148"/>
        <v>0</v>
      </c>
      <c r="O1606">
        <f t="shared" si="149"/>
        <v>0</v>
      </c>
      <c r="P1606">
        <f t="shared" si="146"/>
        <v>5800</v>
      </c>
      <c r="Q1606">
        <f t="shared" si="150"/>
        <v>5800</v>
      </c>
      <c r="T1606" s="16">
        <f t="shared" si="151"/>
        <v>1.5488909894803948</v>
      </c>
    </row>
    <row r="1607" spans="7:20" ht="14.4" x14ac:dyDescent="0.25">
      <c r="G1607" s="10">
        <v>2200</v>
      </c>
      <c r="H1607" s="9">
        <v>15872</v>
      </c>
      <c r="I1607" s="14">
        <f>DATE(2012,12,31)-62</f>
        <v>41212</v>
      </c>
      <c r="J1607" s="15" t="s">
        <v>28</v>
      </c>
      <c r="K1607" s="9">
        <v>23</v>
      </c>
      <c r="L1607" s="16" t="s">
        <v>26</v>
      </c>
      <c r="M1607" s="16">
        <f t="shared" si="147"/>
        <v>-0.17760342600014073</v>
      </c>
      <c r="N1607">
        <f t="shared" si="148"/>
        <v>0</v>
      </c>
      <c r="O1607">
        <f t="shared" si="149"/>
        <v>0</v>
      </c>
      <c r="P1607">
        <f t="shared" si="146"/>
        <v>4550</v>
      </c>
      <c r="Q1607">
        <f t="shared" si="150"/>
        <v>4550</v>
      </c>
      <c r="T1607" s="16">
        <f t="shared" si="151"/>
        <v>-0.17760342600014112</v>
      </c>
    </row>
    <row r="1608" spans="7:20" ht="14.4" x14ac:dyDescent="0.25">
      <c r="G1608" s="10">
        <v>2201</v>
      </c>
      <c r="H1608" s="9">
        <v>15872</v>
      </c>
      <c r="I1608" s="14">
        <f>DATE(2012,12,31)-62</f>
        <v>41212</v>
      </c>
      <c r="J1608" s="15" t="s">
        <v>28</v>
      </c>
      <c r="K1608" s="9">
        <v>19</v>
      </c>
      <c r="L1608" s="16" t="s">
        <v>26</v>
      </c>
      <c r="M1608" s="16">
        <f t="shared" si="147"/>
        <v>-0.45384253247702649</v>
      </c>
      <c r="N1608">
        <f t="shared" si="148"/>
        <v>0</v>
      </c>
      <c r="O1608">
        <f t="shared" si="149"/>
        <v>0</v>
      </c>
      <c r="P1608">
        <f t="shared" si="146"/>
        <v>4350</v>
      </c>
      <c r="Q1608">
        <f t="shared" si="150"/>
        <v>4350</v>
      </c>
      <c r="T1608" s="16">
        <f t="shared" si="151"/>
        <v>-0.45384253247702688</v>
      </c>
    </row>
    <row r="1609" spans="7:20" ht="14.4" x14ac:dyDescent="0.25">
      <c r="G1609" s="10">
        <v>2216</v>
      </c>
      <c r="H1609" s="9">
        <v>16032</v>
      </c>
      <c r="I1609" s="14">
        <f>DATE(2012,12,31)-1122</f>
        <v>40152</v>
      </c>
      <c r="J1609" s="15" t="s">
        <v>25</v>
      </c>
      <c r="K1609" s="9">
        <v>35</v>
      </c>
      <c r="L1609" s="16" t="s">
        <v>29</v>
      </c>
      <c r="M1609" s="16">
        <f t="shared" si="147"/>
        <v>0.65111389343051651</v>
      </c>
      <c r="N1609">
        <f t="shared" si="148"/>
        <v>0</v>
      </c>
      <c r="O1609">
        <f t="shared" si="149"/>
        <v>0</v>
      </c>
      <c r="P1609">
        <f t="shared" si="146"/>
        <v>5150</v>
      </c>
      <c r="Q1609">
        <f t="shared" si="150"/>
        <v>5150</v>
      </c>
      <c r="T1609" s="16">
        <f t="shared" si="151"/>
        <v>0.65111389343051607</v>
      </c>
    </row>
    <row r="1610" spans="7:20" ht="14.4" x14ac:dyDescent="0.25">
      <c r="G1610" s="10">
        <v>2242</v>
      </c>
      <c r="H1610" s="9">
        <v>16165</v>
      </c>
      <c r="I1610" s="14">
        <f>DATE(2012,12,31)-893</f>
        <v>40381</v>
      </c>
      <c r="J1610" s="15" t="s">
        <v>28</v>
      </c>
      <c r="K1610" s="9">
        <v>4</v>
      </c>
      <c r="L1610" s="16" t="s">
        <v>27</v>
      </c>
      <c r="M1610" s="16">
        <f t="shared" si="147"/>
        <v>-1.489739181765348</v>
      </c>
      <c r="N1610">
        <f t="shared" si="148"/>
        <v>0</v>
      </c>
      <c r="O1610">
        <f t="shared" si="149"/>
        <v>0</v>
      </c>
      <c r="P1610">
        <f t="shared" si="146"/>
        <v>3600</v>
      </c>
      <c r="Q1610">
        <f t="shared" si="150"/>
        <v>3600</v>
      </c>
      <c r="T1610" s="16">
        <f t="shared" si="151"/>
        <v>-1.4897391817653485</v>
      </c>
    </row>
    <row r="1611" spans="7:20" ht="14.4" x14ac:dyDescent="0.25">
      <c r="G1611" s="10">
        <v>2243</v>
      </c>
      <c r="H1611" s="9">
        <v>16165</v>
      </c>
      <c r="I1611" s="14">
        <f>DATE(2012,12,31)-893</f>
        <v>40381</v>
      </c>
      <c r="J1611" s="15" t="s">
        <v>28</v>
      </c>
      <c r="K1611" s="9">
        <v>24</v>
      </c>
      <c r="L1611" s="16" t="s">
        <v>29</v>
      </c>
      <c r="M1611" s="16">
        <f t="shared" si="147"/>
        <v>-0.1085436493809193</v>
      </c>
      <c r="N1611">
        <f t="shared" si="148"/>
        <v>0</v>
      </c>
      <c r="O1611">
        <f t="shared" si="149"/>
        <v>0</v>
      </c>
      <c r="P1611">
        <f t="shared" si="146"/>
        <v>4600</v>
      </c>
      <c r="Q1611">
        <f t="shared" si="150"/>
        <v>4600</v>
      </c>
      <c r="T1611" s="16">
        <f t="shared" si="151"/>
        <v>-0.10854364938091969</v>
      </c>
    </row>
    <row r="1612" spans="7:20" ht="14.4" x14ac:dyDescent="0.25">
      <c r="G1612" s="10">
        <v>2244</v>
      </c>
      <c r="H1612" s="9">
        <v>16165</v>
      </c>
      <c r="I1612" s="14">
        <f>DATE(2012,12,31)-893</f>
        <v>40381</v>
      </c>
      <c r="J1612" s="15" t="s">
        <v>28</v>
      </c>
      <c r="K1612" s="9">
        <v>19</v>
      </c>
      <c r="L1612" s="16" t="s">
        <v>26</v>
      </c>
      <c r="M1612" s="16">
        <f t="shared" si="147"/>
        <v>-0.45384253247702649</v>
      </c>
      <c r="N1612">
        <f t="shared" si="148"/>
        <v>0</v>
      </c>
      <c r="O1612">
        <f t="shared" si="149"/>
        <v>0</v>
      </c>
      <c r="P1612">
        <f t="shared" ref="P1612:P1675" si="152">50*K1612+$P$10</f>
        <v>4350</v>
      </c>
      <c r="Q1612">
        <f t="shared" si="150"/>
        <v>4350</v>
      </c>
      <c r="T1612" s="16">
        <f t="shared" si="151"/>
        <v>-0.45384253247702688</v>
      </c>
    </row>
    <row r="1613" spans="7:20" ht="14.4" x14ac:dyDescent="0.25">
      <c r="G1613" s="10">
        <v>2426</v>
      </c>
      <c r="H1613" s="9">
        <v>17632</v>
      </c>
      <c r="I1613" s="14">
        <f>DATE(2012,12,31)-1044</f>
        <v>40230</v>
      </c>
      <c r="J1613" s="15" t="s">
        <v>16</v>
      </c>
      <c r="K1613" s="9">
        <v>38</v>
      </c>
      <c r="L1613" s="16" t="s">
        <v>26</v>
      </c>
      <c r="M1613" s="16">
        <f t="shared" ref="M1613:M1676" si="153">(K1613-$K$4)/$K$7</f>
        <v>0.85829322328818081</v>
      </c>
      <c r="N1613">
        <f t="shared" ref="N1613:N1676" si="154">IF(MOD($B$20+G1613,1000)=0,1,0)</f>
        <v>0</v>
      </c>
      <c r="O1613">
        <f t="shared" ref="O1613:O1676" si="155">+ROUND(N1613*(IF(K1613&lt;$K$4,-4.5,10.5)*$P$5),-2)</f>
        <v>0</v>
      </c>
      <c r="P1613">
        <f t="shared" si="152"/>
        <v>5300</v>
      </c>
      <c r="Q1613">
        <f t="shared" ref="Q1613:Q1676" si="156">P1613+O1613</f>
        <v>5300</v>
      </c>
      <c r="T1613" s="16">
        <f t="shared" ref="T1613:T1676" si="157">(Q1613-$P$4)/$P$5</f>
        <v>0.85829322328818036</v>
      </c>
    </row>
    <row r="1614" spans="7:20" ht="14.4" x14ac:dyDescent="0.25">
      <c r="G1614" s="10">
        <v>2691</v>
      </c>
      <c r="H1614" s="9">
        <v>19492</v>
      </c>
      <c r="I1614" s="14">
        <f>DATE(2012,12,31)-750</f>
        <v>40524</v>
      </c>
      <c r="J1614" s="15" t="s">
        <v>17</v>
      </c>
      <c r="K1614" s="9">
        <v>9</v>
      </c>
      <c r="L1614" s="16" t="s">
        <v>29</v>
      </c>
      <c r="M1614" s="16">
        <f t="shared" si="153"/>
        <v>-1.1444402986692408</v>
      </c>
      <c r="N1614">
        <f t="shared" si="154"/>
        <v>0</v>
      </c>
      <c r="O1614">
        <f t="shared" si="155"/>
        <v>0</v>
      </c>
      <c r="P1614">
        <f t="shared" si="152"/>
        <v>3850</v>
      </c>
      <c r="Q1614">
        <f t="shared" si="156"/>
        <v>3850</v>
      </c>
      <c r="T1614" s="16">
        <f t="shared" si="157"/>
        <v>-1.1444402986692412</v>
      </c>
    </row>
    <row r="1615" spans="7:20" ht="14.4" x14ac:dyDescent="0.25">
      <c r="G1615" s="10">
        <v>2692</v>
      </c>
      <c r="H1615" s="9">
        <v>19492</v>
      </c>
      <c r="I1615" s="14">
        <f>DATE(2012,12,31)-750</f>
        <v>40524</v>
      </c>
      <c r="J1615" s="15" t="s">
        <v>17</v>
      </c>
      <c r="K1615" s="9">
        <v>33</v>
      </c>
      <c r="L1615" s="16" t="s">
        <v>26</v>
      </c>
      <c r="M1615" s="16">
        <f t="shared" si="153"/>
        <v>0.51299434019207357</v>
      </c>
      <c r="N1615">
        <f t="shared" si="154"/>
        <v>0</v>
      </c>
      <c r="O1615">
        <f t="shared" si="155"/>
        <v>0</v>
      </c>
      <c r="P1615">
        <f t="shared" si="152"/>
        <v>5050</v>
      </c>
      <c r="Q1615">
        <f t="shared" si="156"/>
        <v>5050</v>
      </c>
      <c r="T1615" s="16">
        <f t="shared" si="157"/>
        <v>0.51299434019207324</v>
      </c>
    </row>
    <row r="1616" spans="7:20" ht="14.4" x14ac:dyDescent="0.25">
      <c r="G1616" s="10">
        <v>2786</v>
      </c>
      <c r="H1616" s="9">
        <v>20102</v>
      </c>
      <c r="I1616" s="14">
        <f>DATE(2012,12,31)-575</f>
        <v>40699</v>
      </c>
      <c r="J1616" s="15" t="s">
        <v>17</v>
      </c>
      <c r="K1616" s="9">
        <v>15</v>
      </c>
      <c r="L1616" s="16" t="s">
        <v>27</v>
      </c>
      <c r="M1616" s="16">
        <f t="shared" si="153"/>
        <v>-0.7300816389539122</v>
      </c>
      <c r="N1616">
        <f t="shared" si="154"/>
        <v>0</v>
      </c>
      <c r="O1616">
        <f t="shared" si="155"/>
        <v>0</v>
      </c>
      <c r="P1616">
        <f t="shared" si="152"/>
        <v>4150</v>
      </c>
      <c r="Q1616">
        <f t="shared" si="156"/>
        <v>4150</v>
      </c>
      <c r="T1616" s="16">
        <f t="shared" si="157"/>
        <v>-0.73008163895391265</v>
      </c>
    </row>
    <row r="1617" spans="7:20" ht="14.4" x14ac:dyDescent="0.25">
      <c r="G1617" s="10">
        <v>3050</v>
      </c>
      <c r="H1617" s="9">
        <v>21863</v>
      </c>
      <c r="I1617" s="14">
        <f>DATE(2012,12,31)-771</f>
        <v>40503</v>
      </c>
      <c r="J1617" s="15" t="s">
        <v>28</v>
      </c>
      <c r="K1617" s="9">
        <v>27</v>
      </c>
      <c r="L1617" s="16" t="s">
        <v>26</v>
      </c>
      <c r="M1617" s="16">
        <f t="shared" si="153"/>
        <v>9.8635680476745008E-2</v>
      </c>
      <c r="N1617">
        <f t="shared" si="154"/>
        <v>0</v>
      </c>
      <c r="O1617">
        <f t="shared" si="155"/>
        <v>0</v>
      </c>
      <c r="P1617">
        <f t="shared" si="152"/>
        <v>4750</v>
      </c>
      <c r="Q1617">
        <f t="shared" si="156"/>
        <v>4750</v>
      </c>
      <c r="T1617" s="16">
        <f t="shared" si="157"/>
        <v>9.8635680476744619E-2</v>
      </c>
    </row>
    <row r="1618" spans="7:20" ht="14.4" x14ac:dyDescent="0.25">
      <c r="G1618" s="10">
        <v>3051</v>
      </c>
      <c r="H1618" s="9">
        <v>21863</v>
      </c>
      <c r="I1618" s="14">
        <f>DATE(2012,12,31)-771</f>
        <v>40503</v>
      </c>
      <c r="J1618" s="15" t="s">
        <v>28</v>
      </c>
      <c r="K1618" s="9">
        <v>13</v>
      </c>
      <c r="L1618" s="16" t="s">
        <v>26</v>
      </c>
      <c r="M1618" s="16">
        <f t="shared" si="153"/>
        <v>-0.86820119219235514</v>
      </c>
      <c r="N1618">
        <f t="shared" si="154"/>
        <v>0</v>
      </c>
      <c r="O1618">
        <f t="shared" si="155"/>
        <v>0</v>
      </c>
      <c r="P1618">
        <f t="shared" si="152"/>
        <v>4050</v>
      </c>
      <c r="Q1618">
        <f t="shared" si="156"/>
        <v>4050</v>
      </c>
      <c r="T1618" s="16">
        <f t="shared" si="157"/>
        <v>-0.86820119219235548</v>
      </c>
    </row>
    <row r="1619" spans="7:20" ht="14.4" x14ac:dyDescent="0.25">
      <c r="G1619" s="10">
        <v>3058</v>
      </c>
      <c r="H1619" s="9">
        <v>21894</v>
      </c>
      <c r="I1619" s="14">
        <f>DATE(2012,12,31)-379</f>
        <v>40895</v>
      </c>
      <c r="J1619" s="15" t="s">
        <v>30</v>
      </c>
      <c r="K1619" s="9">
        <v>6</v>
      </c>
      <c r="L1619" s="16" t="s">
        <v>26</v>
      </c>
      <c r="M1619" s="16">
        <f t="shared" si="153"/>
        <v>-1.3516196285269051</v>
      </c>
      <c r="N1619">
        <f t="shared" si="154"/>
        <v>0</v>
      </c>
      <c r="O1619">
        <f t="shared" si="155"/>
        <v>0</v>
      </c>
      <c r="P1619">
        <f t="shared" si="152"/>
        <v>3700</v>
      </c>
      <c r="Q1619">
        <f t="shared" si="156"/>
        <v>3700</v>
      </c>
      <c r="T1619" s="16">
        <f t="shared" si="157"/>
        <v>-1.3516196285269055</v>
      </c>
    </row>
    <row r="1620" spans="7:20" ht="14.4" x14ac:dyDescent="0.25">
      <c r="G1620" s="10">
        <v>3072</v>
      </c>
      <c r="H1620" s="9">
        <v>22022</v>
      </c>
      <c r="I1620" s="14">
        <f>DATE(2012,12,31)-1003</f>
        <v>40271</v>
      </c>
      <c r="J1620" s="15" t="s">
        <v>30</v>
      </c>
      <c r="K1620" s="9">
        <v>1</v>
      </c>
      <c r="L1620" s="16" t="s">
        <v>27</v>
      </c>
      <c r="M1620" s="16">
        <f t="shared" si="153"/>
        <v>-1.6969185116230123</v>
      </c>
      <c r="N1620">
        <f t="shared" si="154"/>
        <v>0</v>
      </c>
      <c r="O1620">
        <f t="shared" si="155"/>
        <v>0</v>
      </c>
      <c r="P1620">
        <f t="shared" si="152"/>
        <v>3450</v>
      </c>
      <c r="Q1620">
        <f t="shared" si="156"/>
        <v>3450</v>
      </c>
      <c r="T1620" s="16">
        <f t="shared" si="157"/>
        <v>-1.6969185116230128</v>
      </c>
    </row>
    <row r="1621" spans="7:20" ht="14.4" x14ac:dyDescent="0.25">
      <c r="G1621" s="10">
        <v>3159</v>
      </c>
      <c r="H1621" s="9">
        <v>22663</v>
      </c>
      <c r="I1621" s="14">
        <f>DATE(2012,12,31)-355</f>
        <v>40919</v>
      </c>
      <c r="J1621" s="15" t="s">
        <v>25</v>
      </c>
      <c r="K1621" s="9">
        <v>35</v>
      </c>
      <c r="L1621" s="16" t="s">
        <v>29</v>
      </c>
      <c r="M1621" s="16">
        <f t="shared" si="153"/>
        <v>0.65111389343051651</v>
      </c>
      <c r="N1621">
        <f t="shared" si="154"/>
        <v>0</v>
      </c>
      <c r="O1621">
        <f t="shared" si="155"/>
        <v>0</v>
      </c>
      <c r="P1621">
        <f t="shared" si="152"/>
        <v>5150</v>
      </c>
      <c r="Q1621">
        <f t="shared" si="156"/>
        <v>5150</v>
      </c>
      <c r="T1621" s="16">
        <f t="shared" si="157"/>
        <v>0.65111389343051607</v>
      </c>
    </row>
    <row r="1622" spans="7:20" ht="14.4" x14ac:dyDescent="0.25">
      <c r="G1622" s="10">
        <v>3160</v>
      </c>
      <c r="H1622" s="9">
        <v>22663</v>
      </c>
      <c r="I1622" s="14">
        <f>DATE(2012,12,31)-355</f>
        <v>40919</v>
      </c>
      <c r="J1622" s="15" t="s">
        <v>25</v>
      </c>
      <c r="K1622" s="9">
        <v>15</v>
      </c>
      <c r="L1622" s="16" t="s">
        <v>27</v>
      </c>
      <c r="M1622" s="16">
        <f t="shared" si="153"/>
        <v>-0.7300816389539122</v>
      </c>
      <c r="N1622">
        <f t="shared" si="154"/>
        <v>0</v>
      </c>
      <c r="O1622">
        <f t="shared" si="155"/>
        <v>0</v>
      </c>
      <c r="P1622">
        <f t="shared" si="152"/>
        <v>4150</v>
      </c>
      <c r="Q1622">
        <f t="shared" si="156"/>
        <v>4150</v>
      </c>
      <c r="T1622" s="16">
        <f t="shared" si="157"/>
        <v>-0.73008163895391265</v>
      </c>
    </row>
    <row r="1623" spans="7:20" ht="14.4" x14ac:dyDescent="0.25">
      <c r="G1623" s="10">
        <v>3317</v>
      </c>
      <c r="H1623" s="9">
        <v>23713</v>
      </c>
      <c r="I1623" s="14">
        <f>DATE(2012,12,31)-33</f>
        <v>41241</v>
      </c>
      <c r="J1623" s="15" t="s">
        <v>28</v>
      </c>
      <c r="K1623" s="9">
        <v>38</v>
      </c>
      <c r="L1623" s="16" t="s">
        <v>27</v>
      </c>
      <c r="M1623" s="16">
        <f t="shared" si="153"/>
        <v>0.85829322328818081</v>
      </c>
      <c r="N1623">
        <f t="shared" si="154"/>
        <v>0</v>
      </c>
      <c r="O1623">
        <f t="shared" si="155"/>
        <v>0</v>
      </c>
      <c r="P1623">
        <f t="shared" si="152"/>
        <v>5300</v>
      </c>
      <c r="Q1623">
        <f t="shared" si="156"/>
        <v>5300</v>
      </c>
      <c r="T1623" s="16">
        <f t="shared" si="157"/>
        <v>0.85829322328818036</v>
      </c>
    </row>
    <row r="1624" spans="7:20" ht="14.4" x14ac:dyDescent="0.25">
      <c r="G1624" s="10">
        <v>3411</v>
      </c>
      <c r="H1624" s="9">
        <v>24358</v>
      </c>
      <c r="I1624" s="14">
        <f>DATE(2012,12,31)-1325</f>
        <v>39949</v>
      </c>
      <c r="J1624" s="15" t="s">
        <v>30</v>
      </c>
      <c r="K1624" s="9">
        <v>27</v>
      </c>
      <c r="L1624" s="16" t="s">
        <v>26</v>
      </c>
      <c r="M1624" s="16">
        <f t="shared" si="153"/>
        <v>9.8635680476745008E-2</v>
      </c>
      <c r="N1624">
        <f t="shared" si="154"/>
        <v>0</v>
      </c>
      <c r="O1624">
        <f t="shared" si="155"/>
        <v>0</v>
      </c>
      <c r="P1624">
        <f t="shared" si="152"/>
        <v>4750</v>
      </c>
      <c r="Q1624">
        <f t="shared" si="156"/>
        <v>4750</v>
      </c>
      <c r="T1624" s="16">
        <f t="shared" si="157"/>
        <v>9.8635680476744619E-2</v>
      </c>
    </row>
    <row r="1625" spans="7:20" ht="14.4" x14ac:dyDescent="0.25">
      <c r="G1625" s="10">
        <v>3415</v>
      </c>
      <c r="H1625" s="9">
        <v>24386</v>
      </c>
      <c r="I1625" s="14">
        <f>DATE(2012,12,31)-188</f>
        <v>41086</v>
      </c>
      <c r="J1625" s="15" t="s">
        <v>17</v>
      </c>
      <c r="K1625" s="9">
        <v>41</v>
      </c>
      <c r="L1625" s="16" t="s">
        <v>27</v>
      </c>
      <c r="M1625" s="16">
        <f t="shared" si="153"/>
        <v>1.0654725531458451</v>
      </c>
      <c r="N1625">
        <f t="shared" si="154"/>
        <v>0</v>
      </c>
      <c r="O1625">
        <f t="shared" si="155"/>
        <v>0</v>
      </c>
      <c r="P1625">
        <f t="shared" si="152"/>
        <v>5450</v>
      </c>
      <c r="Q1625">
        <f t="shared" si="156"/>
        <v>5450</v>
      </c>
      <c r="T1625" s="16">
        <f t="shared" si="157"/>
        <v>1.0654725531458447</v>
      </c>
    </row>
    <row r="1626" spans="7:20" ht="14.4" x14ac:dyDescent="0.25">
      <c r="G1626" s="10">
        <v>3416</v>
      </c>
      <c r="H1626" s="9">
        <v>24386</v>
      </c>
      <c r="I1626" s="14">
        <f>DATE(2012,12,31)-188</f>
        <v>41086</v>
      </c>
      <c r="J1626" s="15" t="s">
        <v>17</v>
      </c>
      <c r="K1626" s="9">
        <v>12</v>
      </c>
      <c r="L1626" s="16" t="s">
        <v>27</v>
      </c>
      <c r="M1626" s="16">
        <f t="shared" si="153"/>
        <v>-0.9372609688115765</v>
      </c>
      <c r="N1626">
        <f t="shared" si="154"/>
        <v>0</v>
      </c>
      <c r="O1626">
        <f t="shared" si="155"/>
        <v>0</v>
      </c>
      <c r="P1626">
        <f t="shared" si="152"/>
        <v>4000</v>
      </c>
      <c r="Q1626">
        <f t="shared" si="156"/>
        <v>4000</v>
      </c>
      <c r="T1626" s="16">
        <f t="shared" si="157"/>
        <v>-0.93726096881157694</v>
      </c>
    </row>
    <row r="1627" spans="7:20" ht="14.4" x14ac:dyDescent="0.25">
      <c r="G1627" s="10">
        <v>3417</v>
      </c>
      <c r="H1627" s="9">
        <v>24386</v>
      </c>
      <c r="I1627" s="14">
        <f>DATE(2012,12,31)-188</f>
        <v>41086</v>
      </c>
      <c r="J1627" s="15" t="s">
        <v>17</v>
      </c>
      <c r="K1627" s="9">
        <v>15</v>
      </c>
      <c r="L1627" s="16" t="s">
        <v>26</v>
      </c>
      <c r="M1627" s="16">
        <f t="shared" si="153"/>
        <v>-0.7300816389539122</v>
      </c>
      <c r="N1627">
        <f t="shared" si="154"/>
        <v>0</v>
      </c>
      <c r="O1627">
        <f t="shared" si="155"/>
        <v>0</v>
      </c>
      <c r="P1627">
        <f t="shared" si="152"/>
        <v>4150</v>
      </c>
      <c r="Q1627">
        <f t="shared" si="156"/>
        <v>4150</v>
      </c>
      <c r="T1627" s="16">
        <f t="shared" si="157"/>
        <v>-0.73008163895391265</v>
      </c>
    </row>
    <row r="1628" spans="7:20" ht="14.4" x14ac:dyDescent="0.25">
      <c r="G1628" s="10">
        <v>3494</v>
      </c>
      <c r="H1628" s="9">
        <v>24899</v>
      </c>
      <c r="I1628" s="14">
        <f>DATE(2012,12,31)-499</f>
        <v>40775</v>
      </c>
      <c r="J1628" s="15" t="s">
        <v>28</v>
      </c>
      <c r="K1628" s="9">
        <v>37</v>
      </c>
      <c r="L1628" s="16" t="s">
        <v>26</v>
      </c>
      <c r="M1628" s="16">
        <f t="shared" si="153"/>
        <v>0.78923344666895934</v>
      </c>
      <c r="N1628">
        <f t="shared" si="154"/>
        <v>0</v>
      </c>
      <c r="O1628">
        <f t="shared" si="155"/>
        <v>0</v>
      </c>
      <c r="P1628">
        <f t="shared" si="152"/>
        <v>5250</v>
      </c>
      <c r="Q1628">
        <f t="shared" si="156"/>
        <v>5250</v>
      </c>
      <c r="T1628" s="16">
        <f t="shared" si="157"/>
        <v>0.789233446668959</v>
      </c>
    </row>
    <row r="1629" spans="7:20" ht="14.4" x14ac:dyDescent="0.25">
      <c r="G1629" s="10">
        <v>3571</v>
      </c>
      <c r="H1629" s="9">
        <v>25473</v>
      </c>
      <c r="I1629" s="14">
        <f>DATE(2012,12,31)-78</f>
        <v>41196</v>
      </c>
      <c r="J1629" s="15" t="s">
        <v>17</v>
      </c>
      <c r="K1629" s="9">
        <v>36</v>
      </c>
      <c r="L1629" s="16" t="s">
        <v>27</v>
      </c>
      <c r="M1629" s="16">
        <f t="shared" si="153"/>
        <v>0.72017367004973787</v>
      </c>
      <c r="N1629">
        <f t="shared" si="154"/>
        <v>0</v>
      </c>
      <c r="O1629">
        <f t="shared" si="155"/>
        <v>0</v>
      </c>
      <c r="P1629">
        <f t="shared" si="152"/>
        <v>5200</v>
      </c>
      <c r="Q1629">
        <f t="shared" si="156"/>
        <v>5200</v>
      </c>
      <c r="T1629" s="16">
        <f t="shared" si="157"/>
        <v>0.72017367004973754</v>
      </c>
    </row>
    <row r="1630" spans="7:20" ht="14.4" x14ac:dyDescent="0.25">
      <c r="G1630" s="10">
        <v>3572</v>
      </c>
      <c r="H1630" s="9">
        <v>25473</v>
      </c>
      <c r="I1630" s="14">
        <f>DATE(2012,12,31)-78</f>
        <v>41196</v>
      </c>
      <c r="J1630" s="15" t="s">
        <v>17</v>
      </c>
      <c r="K1630" s="9">
        <v>20</v>
      </c>
      <c r="L1630" s="16" t="s">
        <v>26</v>
      </c>
      <c r="M1630" s="16">
        <f t="shared" si="153"/>
        <v>-0.38478275585780503</v>
      </c>
      <c r="N1630">
        <f t="shared" si="154"/>
        <v>0</v>
      </c>
      <c r="O1630">
        <f t="shared" si="155"/>
        <v>0</v>
      </c>
      <c r="P1630">
        <f t="shared" si="152"/>
        <v>4400</v>
      </c>
      <c r="Q1630">
        <f t="shared" si="156"/>
        <v>4400</v>
      </c>
      <c r="T1630" s="16">
        <f t="shared" si="157"/>
        <v>-0.38478275585780541</v>
      </c>
    </row>
    <row r="1631" spans="7:20" ht="14.4" x14ac:dyDescent="0.25">
      <c r="G1631" s="10">
        <v>3596</v>
      </c>
      <c r="H1631" s="9">
        <v>25638</v>
      </c>
      <c r="I1631" s="14">
        <f>DATE(2012,12,31)-1243</f>
        <v>40031</v>
      </c>
      <c r="J1631" s="15" t="s">
        <v>17</v>
      </c>
      <c r="K1631" s="9">
        <v>31</v>
      </c>
      <c r="L1631" s="16" t="s">
        <v>27</v>
      </c>
      <c r="M1631" s="16">
        <f t="shared" si="153"/>
        <v>0.37487478695363075</v>
      </c>
      <c r="N1631">
        <f t="shared" si="154"/>
        <v>0</v>
      </c>
      <c r="O1631">
        <f t="shared" si="155"/>
        <v>0</v>
      </c>
      <c r="P1631">
        <f t="shared" si="152"/>
        <v>4950</v>
      </c>
      <c r="Q1631">
        <f t="shared" si="156"/>
        <v>4950</v>
      </c>
      <c r="T1631" s="16">
        <f t="shared" si="157"/>
        <v>0.37487478695363036</v>
      </c>
    </row>
    <row r="1632" spans="7:20" ht="14.4" x14ac:dyDescent="0.25">
      <c r="G1632" s="10">
        <v>3597</v>
      </c>
      <c r="H1632" s="9">
        <v>25638</v>
      </c>
      <c r="I1632" s="14">
        <f>DATE(2012,12,31)-1243</f>
        <v>40031</v>
      </c>
      <c r="J1632" s="15" t="s">
        <v>17</v>
      </c>
      <c r="K1632" s="9">
        <v>12</v>
      </c>
      <c r="L1632" s="16" t="s">
        <v>26</v>
      </c>
      <c r="M1632" s="16">
        <f t="shared" si="153"/>
        <v>-0.9372609688115765</v>
      </c>
      <c r="N1632">
        <f t="shared" si="154"/>
        <v>0</v>
      </c>
      <c r="O1632">
        <f t="shared" si="155"/>
        <v>0</v>
      </c>
      <c r="P1632">
        <f t="shared" si="152"/>
        <v>4000</v>
      </c>
      <c r="Q1632">
        <f t="shared" si="156"/>
        <v>4000</v>
      </c>
      <c r="T1632" s="16">
        <f t="shared" si="157"/>
        <v>-0.93726096881157694</v>
      </c>
    </row>
    <row r="1633" spans="7:20" ht="14.4" x14ac:dyDescent="0.25">
      <c r="G1633" s="10">
        <v>3638</v>
      </c>
      <c r="H1633" s="9">
        <v>26016</v>
      </c>
      <c r="I1633" s="14">
        <f>DATE(2012,12,31)-1181</f>
        <v>40093</v>
      </c>
      <c r="J1633" s="15" t="s">
        <v>17</v>
      </c>
      <c r="K1633" s="9">
        <v>2</v>
      </c>
      <c r="L1633" s="16" t="s">
        <v>27</v>
      </c>
      <c r="M1633" s="16">
        <f t="shared" si="153"/>
        <v>-1.627858735003791</v>
      </c>
      <c r="N1633">
        <f t="shared" si="154"/>
        <v>0</v>
      </c>
      <c r="O1633">
        <f t="shared" si="155"/>
        <v>0</v>
      </c>
      <c r="P1633">
        <f t="shared" si="152"/>
        <v>3500</v>
      </c>
      <c r="Q1633">
        <f t="shared" si="156"/>
        <v>3500</v>
      </c>
      <c r="T1633" s="16">
        <f t="shared" si="157"/>
        <v>-1.6278587350037912</v>
      </c>
    </row>
    <row r="1634" spans="7:20" ht="14.4" x14ac:dyDescent="0.25">
      <c r="G1634" s="10">
        <v>3639</v>
      </c>
      <c r="H1634" s="9">
        <v>26016</v>
      </c>
      <c r="I1634" s="14">
        <f>DATE(2012,12,31)-1181</f>
        <v>40093</v>
      </c>
      <c r="J1634" s="15" t="s">
        <v>17</v>
      </c>
      <c r="K1634" s="9">
        <v>44</v>
      </c>
      <c r="L1634" s="16" t="s">
        <v>27</v>
      </c>
      <c r="M1634" s="16">
        <f t="shared" si="153"/>
        <v>1.2726518830035094</v>
      </c>
      <c r="N1634">
        <f t="shared" si="154"/>
        <v>0</v>
      </c>
      <c r="O1634">
        <f t="shared" si="155"/>
        <v>0</v>
      </c>
      <c r="P1634">
        <f t="shared" si="152"/>
        <v>5600</v>
      </c>
      <c r="Q1634">
        <f t="shared" si="156"/>
        <v>5600</v>
      </c>
      <c r="T1634" s="16">
        <f t="shared" si="157"/>
        <v>1.272651883003509</v>
      </c>
    </row>
    <row r="1635" spans="7:20" ht="14.4" x14ac:dyDescent="0.25">
      <c r="G1635" s="10">
        <v>3659</v>
      </c>
      <c r="H1635" s="9">
        <v>26182</v>
      </c>
      <c r="I1635" s="14">
        <f>DATE(2012,12,31)-1080</f>
        <v>40194</v>
      </c>
      <c r="J1635" s="15" t="s">
        <v>28</v>
      </c>
      <c r="K1635" s="9">
        <v>4</v>
      </c>
      <c r="L1635" s="16" t="s">
        <v>29</v>
      </c>
      <c r="M1635" s="16">
        <f t="shared" si="153"/>
        <v>-1.489739181765348</v>
      </c>
      <c r="N1635">
        <f t="shared" si="154"/>
        <v>0</v>
      </c>
      <c r="O1635">
        <f t="shared" si="155"/>
        <v>0</v>
      </c>
      <c r="P1635">
        <f t="shared" si="152"/>
        <v>3600</v>
      </c>
      <c r="Q1635">
        <f t="shared" si="156"/>
        <v>3600</v>
      </c>
      <c r="T1635" s="16">
        <f t="shared" si="157"/>
        <v>-1.4897391817653485</v>
      </c>
    </row>
    <row r="1636" spans="7:20" ht="14.4" x14ac:dyDescent="0.25">
      <c r="G1636" s="10">
        <v>3735</v>
      </c>
      <c r="H1636" s="9">
        <v>26691</v>
      </c>
      <c r="I1636" s="14">
        <f>DATE(2012,12,31)-150</f>
        <v>41124</v>
      </c>
      <c r="J1636" s="15" t="s">
        <v>28</v>
      </c>
      <c r="K1636" s="9">
        <v>37</v>
      </c>
      <c r="L1636" s="16" t="s">
        <v>26</v>
      </c>
      <c r="M1636" s="16">
        <f t="shared" si="153"/>
        <v>0.78923344666895934</v>
      </c>
      <c r="N1636">
        <f t="shared" si="154"/>
        <v>0</v>
      </c>
      <c r="O1636">
        <f t="shared" si="155"/>
        <v>0</v>
      </c>
      <c r="P1636">
        <f t="shared" si="152"/>
        <v>5250</v>
      </c>
      <c r="Q1636">
        <f t="shared" si="156"/>
        <v>5250</v>
      </c>
      <c r="T1636" s="16">
        <f t="shared" si="157"/>
        <v>0.789233446668959</v>
      </c>
    </row>
    <row r="1637" spans="7:20" ht="14.4" x14ac:dyDescent="0.25">
      <c r="G1637" s="10">
        <v>3793</v>
      </c>
      <c r="H1637" s="9">
        <v>27015</v>
      </c>
      <c r="I1637" s="14">
        <f>DATE(2012,12,31)-366</f>
        <v>40908</v>
      </c>
      <c r="J1637" s="15" t="s">
        <v>25</v>
      </c>
      <c r="K1637" s="9">
        <v>24</v>
      </c>
      <c r="L1637" s="16" t="s">
        <v>26</v>
      </c>
      <c r="M1637" s="16">
        <f t="shared" si="153"/>
        <v>-0.1085436493809193</v>
      </c>
      <c r="N1637">
        <f t="shared" si="154"/>
        <v>0</v>
      </c>
      <c r="O1637">
        <f t="shared" si="155"/>
        <v>0</v>
      </c>
      <c r="P1637">
        <f t="shared" si="152"/>
        <v>4600</v>
      </c>
      <c r="Q1637">
        <f t="shared" si="156"/>
        <v>4600</v>
      </c>
      <c r="T1637" s="16">
        <f t="shared" si="157"/>
        <v>-0.10854364938091969</v>
      </c>
    </row>
    <row r="1638" spans="7:20" ht="14.4" x14ac:dyDescent="0.25">
      <c r="G1638" s="10">
        <v>3902</v>
      </c>
      <c r="H1638" s="9">
        <v>27840</v>
      </c>
      <c r="I1638" s="14">
        <f>DATE(2012,12,31)-1277</f>
        <v>39997</v>
      </c>
      <c r="J1638" s="15" t="s">
        <v>17</v>
      </c>
      <c r="K1638" s="9">
        <v>8</v>
      </c>
      <c r="L1638" s="16" t="s">
        <v>29</v>
      </c>
      <c r="M1638" s="16">
        <f t="shared" si="153"/>
        <v>-1.2135000752884624</v>
      </c>
      <c r="N1638">
        <f t="shared" si="154"/>
        <v>0</v>
      </c>
      <c r="O1638">
        <f t="shared" si="155"/>
        <v>0</v>
      </c>
      <c r="P1638">
        <f t="shared" si="152"/>
        <v>3800</v>
      </c>
      <c r="Q1638">
        <f t="shared" si="156"/>
        <v>3800</v>
      </c>
      <c r="T1638" s="16">
        <f t="shared" si="157"/>
        <v>-1.2135000752884626</v>
      </c>
    </row>
    <row r="1639" spans="7:20" ht="14.4" x14ac:dyDescent="0.25">
      <c r="G1639" s="10">
        <v>3945</v>
      </c>
      <c r="H1639" s="9">
        <v>28130</v>
      </c>
      <c r="I1639" s="14">
        <f>DATE(2012,12,31)-1250</f>
        <v>40024</v>
      </c>
      <c r="J1639" s="15" t="s">
        <v>25</v>
      </c>
      <c r="K1639" s="9">
        <v>23</v>
      </c>
      <c r="L1639" s="16" t="s">
        <v>26</v>
      </c>
      <c r="M1639" s="16">
        <f t="shared" si="153"/>
        <v>-0.17760342600014073</v>
      </c>
      <c r="N1639">
        <f t="shared" si="154"/>
        <v>0</v>
      </c>
      <c r="O1639">
        <f t="shared" si="155"/>
        <v>0</v>
      </c>
      <c r="P1639">
        <f t="shared" si="152"/>
        <v>4550</v>
      </c>
      <c r="Q1639">
        <f t="shared" si="156"/>
        <v>4550</v>
      </c>
      <c r="T1639" s="16">
        <f t="shared" si="157"/>
        <v>-0.17760342600014112</v>
      </c>
    </row>
    <row r="1640" spans="7:20" ht="14.4" x14ac:dyDescent="0.25">
      <c r="G1640" s="10">
        <v>3946</v>
      </c>
      <c r="H1640" s="9">
        <v>28130</v>
      </c>
      <c r="I1640" s="14">
        <f>DATE(2012,12,31)-1250</f>
        <v>40024</v>
      </c>
      <c r="J1640" s="15" t="s">
        <v>25</v>
      </c>
      <c r="K1640" s="9">
        <v>32</v>
      </c>
      <c r="L1640" s="16" t="s">
        <v>29</v>
      </c>
      <c r="M1640" s="16">
        <f t="shared" si="153"/>
        <v>0.44393456357285216</v>
      </c>
      <c r="N1640">
        <f t="shared" si="154"/>
        <v>0</v>
      </c>
      <c r="O1640">
        <f t="shared" si="155"/>
        <v>0</v>
      </c>
      <c r="P1640">
        <f t="shared" si="152"/>
        <v>5000</v>
      </c>
      <c r="Q1640">
        <f t="shared" si="156"/>
        <v>5000</v>
      </c>
      <c r="T1640" s="16">
        <f t="shared" si="157"/>
        <v>0.44393456357285183</v>
      </c>
    </row>
    <row r="1641" spans="7:20" ht="14.4" x14ac:dyDescent="0.25">
      <c r="G1641" s="10">
        <v>3964</v>
      </c>
      <c r="H1641" s="9">
        <v>28290</v>
      </c>
      <c r="I1641" s="14">
        <f>DATE(2012,12,31)-1451</f>
        <v>39823</v>
      </c>
      <c r="J1641" s="15" t="s">
        <v>25</v>
      </c>
      <c r="K1641" s="9">
        <v>43</v>
      </c>
      <c r="L1641" s="16" t="s">
        <v>27</v>
      </c>
      <c r="M1641" s="16">
        <f t="shared" si="153"/>
        <v>1.203592106384288</v>
      </c>
      <c r="N1641">
        <f t="shared" si="154"/>
        <v>0</v>
      </c>
      <c r="O1641">
        <f t="shared" si="155"/>
        <v>0</v>
      </c>
      <c r="P1641">
        <f t="shared" si="152"/>
        <v>5550</v>
      </c>
      <c r="Q1641">
        <f t="shared" si="156"/>
        <v>5550</v>
      </c>
      <c r="T1641" s="16">
        <f t="shared" si="157"/>
        <v>1.2035921063842876</v>
      </c>
    </row>
    <row r="1642" spans="7:20" ht="14.4" x14ac:dyDescent="0.25">
      <c r="G1642" s="10">
        <v>3965</v>
      </c>
      <c r="H1642" s="9">
        <v>28290</v>
      </c>
      <c r="I1642" s="14">
        <f>DATE(2012,12,31)-1451</f>
        <v>39823</v>
      </c>
      <c r="J1642" s="15" t="s">
        <v>25</v>
      </c>
      <c r="K1642" s="9">
        <v>3</v>
      </c>
      <c r="L1642" s="16" t="s">
        <v>26</v>
      </c>
      <c r="M1642" s="16">
        <f t="shared" si="153"/>
        <v>-1.5587989583845694</v>
      </c>
      <c r="N1642">
        <f t="shared" si="154"/>
        <v>0</v>
      </c>
      <c r="O1642">
        <f t="shared" si="155"/>
        <v>0</v>
      </c>
      <c r="P1642">
        <f t="shared" si="152"/>
        <v>3550</v>
      </c>
      <c r="Q1642">
        <f t="shared" si="156"/>
        <v>3550</v>
      </c>
      <c r="T1642" s="16">
        <f t="shared" si="157"/>
        <v>-1.5587989583845698</v>
      </c>
    </row>
    <row r="1643" spans="7:20" ht="14.4" x14ac:dyDescent="0.25">
      <c r="G1643" s="10">
        <v>4211</v>
      </c>
      <c r="H1643" s="9">
        <v>29927</v>
      </c>
      <c r="I1643" s="14">
        <f>DATE(2012,12,31)-54</f>
        <v>41220</v>
      </c>
      <c r="J1643" s="15" t="s">
        <v>17</v>
      </c>
      <c r="K1643" s="9">
        <v>19</v>
      </c>
      <c r="L1643" s="16" t="s">
        <v>26</v>
      </c>
      <c r="M1643" s="16">
        <f t="shared" si="153"/>
        <v>-0.45384253247702649</v>
      </c>
      <c r="N1643">
        <f t="shared" si="154"/>
        <v>0</v>
      </c>
      <c r="O1643">
        <f t="shared" si="155"/>
        <v>0</v>
      </c>
      <c r="P1643">
        <f t="shared" si="152"/>
        <v>4350</v>
      </c>
      <c r="Q1643">
        <f t="shared" si="156"/>
        <v>4350</v>
      </c>
      <c r="T1643" s="16">
        <f t="shared" si="157"/>
        <v>-0.45384253247702688</v>
      </c>
    </row>
    <row r="1644" spans="7:20" ht="14.4" x14ac:dyDescent="0.25">
      <c r="G1644" s="10">
        <v>4212</v>
      </c>
      <c r="H1644" s="9">
        <v>29953</v>
      </c>
      <c r="I1644" s="14">
        <f>DATE(2012,12,31)-693</f>
        <v>40581</v>
      </c>
      <c r="J1644" s="15" t="s">
        <v>30</v>
      </c>
      <c r="K1644" s="9">
        <v>42</v>
      </c>
      <c r="L1644" s="16" t="s">
        <v>26</v>
      </c>
      <c r="M1644" s="16">
        <f t="shared" si="153"/>
        <v>1.1345323297650665</v>
      </c>
      <c r="N1644">
        <f t="shared" si="154"/>
        <v>0</v>
      </c>
      <c r="O1644">
        <f t="shared" si="155"/>
        <v>0</v>
      </c>
      <c r="P1644">
        <f t="shared" si="152"/>
        <v>5500</v>
      </c>
      <c r="Q1644">
        <f t="shared" si="156"/>
        <v>5500</v>
      </c>
      <c r="T1644" s="16">
        <f t="shared" si="157"/>
        <v>1.1345323297650662</v>
      </c>
    </row>
    <row r="1645" spans="7:20" ht="14.4" x14ac:dyDescent="0.25">
      <c r="G1645" s="10">
        <v>4387</v>
      </c>
      <c r="H1645" s="9">
        <v>31238</v>
      </c>
      <c r="I1645" s="14">
        <f>DATE(2012,12,31)-862</f>
        <v>40412</v>
      </c>
      <c r="J1645" s="15" t="s">
        <v>16</v>
      </c>
      <c r="K1645" s="9">
        <v>21</v>
      </c>
      <c r="L1645" s="16" t="s">
        <v>26</v>
      </c>
      <c r="M1645" s="16">
        <f t="shared" si="153"/>
        <v>-0.31572297923858361</v>
      </c>
      <c r="N1645">
        <f t="shared" si="154"/>
        <v>0</v>
      </c>
      <c r="O1645">
        <f t="shared" si="155"/>
        <v>0</v>
      </c>
      <c r="P1645">
        <f t="shared" si="152"/>
        <v>4450</v>
      </c>
      <c r="Q1645">
        <f t="shared" si="156"/>
        <v>4450</v>
      </c>
      <c r="T1645" s="16">
        <f t="shared" si="157"/>
        <v>-0.315722979238584</v>
      </c>
    </row>
    <row r="1646" spans="7:20" ht="14.4" x14ac:dyDescent="0.25">
      <c r="G1646" s="10">
        <v>4505</v>
      </c>
      <c r="H1646" s="9">
        <v>32067</v>
      </c>
      <c r="I1646" s="14">
        <f>DATE(2012,12,31)-294</f>
        <v>40980</v>
      </c>
      <c r="J1646" s="15" t="s">
        <v>17</v>
      </c>
      <c r="K1646" s="9">
        <v>27</v>
      </c>
      <c r="L1646" s="16" t="s">
        <v>27</v>
      </c>
      <c r="M1646" s="16">
        <f t="shared" si="153"/>
        <v>9.8635680476745008E-2</v>
      </c>
      <c r="N1646">
        <f t="shared" si="154"/>
        <v>0</v>
      </c>
      <c r="O1646">
        <f t="shared" si="155"/>
        <v>0</v>
      </c>
      <c r="P1646">
        <f t="shared" si="152"/>
        <v>4750</v>
      </c>
      <c r="Q1646">
        <f t="shared" si="156"/>
        <v>4750</v>
      </c>
      <c r="T1646" s="16">
        <f t="shared" si="157"/>
        <v>9.8635680476744619E-2</v>
      </c>
    </row>
    <row r="1647" spans="7:20" ht="14.4" x14ac:dyDescent="0.25">
      <c r="G1647" s="10">
        <v>4527</v>
      </c>
      <c r="H1647" s="9">
        <v>32198</v>
      </c>
      <c r="I1647" s="14">
        <f>DATE(2012,12,31)-418</f>
        <v>40856</v>
      </c>
      <c r="J1647" s="15" t="s">
        <v>16</v>
      </c>
      <c r="K1647" s="9">
        <v>31</v>
      </c>
      <c r="L1647" s="16" t="s">
        <v>27</v>
      </c>
      <c r="M1647" s="16">
        <f t="shared" si="153"/>
        <v>0.37487478695363075</v>
      </c>
      <c r="N1647">
        <f t="shared" si="154"/>
        <v>0</v>
      </c>
      <c r="O1647">
        <f t="shared" si="155"/>
        <v>0</v>
      </c>
      <c r="P1647">
        <f t="shared" si="152"/>
        <v>4950</v>
      </c>
      <c r="Q1647">
        <f t="shared" si="156"/>
        <v>4950</v>
      </c>
      <c r="T1647" s="16">
        <f t="shared" si="157"/>
        <v>0.37487478695363036</v>
      </c>
    </row>
    <row r="1648" spans="7:20" ht="14.4" x14ac:dyDescent="0.25">
      <c r="G1648" s="10">
        <v>4535</v>
      </c>
      <c r="H1648" s="9">
        <v>32231</v>
      </c>
      <c r="I1648" s="14">
        <f>DATE(2012,12,31)-60</f>
        <v>41214</v>
      </c>
      <c r="J1648" s="15" t="s">
        <v>25</v>
      </c>
      <c r="K1648" s="9">
        <v>44</v>
      </c>
      <c r="L1648" s="16" t="s">
        <v>26</v>
      </c>
      <c r="M1648" s="16">
        <f t="shared" si="153"/>
        <v>1.2726518830035094</v>
      </c>
      <c r="N1648">
        <f t="shared" si="154"/>
        <v>0</v>
      </c>
      <c r="O1648">
        <f t="shared" si="155"/>
        <v>0</v>
      </c>
      <c r="P1648">
        <f t="shared" si="152"/>
        <v>5600</v>
      </c>
      <c r="Q1648">
        <f t="shared" si="156"/>
        <v>5600</v>
      </c>
      <c r="T1648" s="16">
        <f t="shared" si="157"/>
        <v>1.272651883003509</v>
      </c>
    </row>
    <row r="1649" spans="7:20" ht="14.4" x14ac:dyDescent="0.25">
      <c r="G1649" s="10">
        <v>4563</v>
      </c>
      <c r="H1649" s="9">
        <v>32452</v>
      </c>
      <c r="I1649" s="14">
        <f>DATE(2012,12,31)-532</f>
        <v>40742</v>
      </c>
      <c r="J1649" s="15" t="s">
        <v>16</v>
      </c>
      <c r="K1649" s="9">
        <v>3</v>
      </c>
      <c r="L1649" s="16" t="s">
        <v>26</v>
      </c>
      <c r="M1649" s="16">
        <f t="shared" si="153"/>
        <v>-1.5587989583845694</v>
      </c>
      <c r="N1649">
        <f t="shared" si="154"/>
        <v>0</v>
      </c>
      <c r="O1649">
        <f t="shared" si="155"/>
        <v>0</v>
      </c>
      <c r="P1649">
        <f t="shared" si="152"/>
        <v>3550</v>
      </c>
      <c r="Q1649">
        <f t="shared" si="156"/>
        <v>3550</v>
      </c>
      <c r="T1649" s="16">
        <f t="shared" si="157"/>
        <v>-1.5587989583845698</v>
      </c>
    </row>
    <row r="1650" spans="7:20" ht="14.4" x14ac:dyDescent="0.25">
      <c r="G1650" s="10">
        <v>4637</v>
      </c>
      <c r="H1650" s="9">
        <v>32998</v>
      </c>
      <c r="I1650" s="14">
        <f>DATE(2012,12,31)-824</f>
        <v>40450</v>
      </c>
      <c r="J1650" s="15" t="s">
        <v>28</v>
      </c>
      <c r="K1650" s="9">
        <v>13</v>
      </c>
      <c r="L1650" s="16" t="s">
        <v>29</v>
      </c>
      <c r="M1650" s="16">
        <f t="shared" si="153"/>
        <v>-0.86820119219235514</v>
      </c>
      <c r="N1650">
        <f t="shared" si="154"/>
        <v>0</v>
      </c>
      <c r="O1650">
        <f t="shared" si="155"/>
        <v>0</v>
      </c>
      <c r="P1650">
        <f t="shared" si="152"/>
        <v>4050</v>
      </c>
      <c r="Q1650">
        <f t="shared" si="156"/>
        <v>4050</v>
      </c>
      <c r="T1650" s="16">
        <f t="shared" si="157"/>
        <v>-0.86820119219235548</v>
      </c>
    </row>
    <row r="1651" spans="7:20" ht="14.4" x14ac:dyDescent="0.25">
      <c r="G1651" s="10">
        <v>4647</v>
      </c>
      <c r="H1651" s="9">
        <v>33091</v>
      </c>
      <c r="I1651" s="14">
        <f>DATE(2012,12,31)-706</f>
        <v>40568</v>
      </c>
      <c r="J1651" s="15" t="s">
        <v>17</v>
      </c>
      <c r="K1651" s="9">
        <v>24</v>
      </c>
      <c r="L1651" s="16" t="s">
        <v>26</v>
      </c>
      <c r="M1651" s="16">
        <f t="shared" si="153"/>
        <v>-0.1085436493809193</v>
      </c>
      <c r="N1651">
        <f t="shared" si="154"/>
        <v>0</v>
      </c>
      <c r="O1651">
        <f t="shared" si="155"/>
        <v>0</v>
      </c>
      <c r="P1651">
        <f t="shared" si="152"/>
        <v>4600</v>
      </c>
      <c r="Q1651">
        <f t="shared" si="156"/>
        <v>4600</v>
      </c>
      <c r="T1651" s="16">
        <f t="shared" si="157"/>
        <v>-0.10854364938091969</v>
      </c>
    </row>
    <row r="1652" spans="7:20" ht="14.4" x14ac:dyDescent="0.25">
      <c r="G1652" s="10">
        <v>4672</v>
      </c>
      <c r="H1652" s="9">
        <v>33250</v>
      </c>
      <c r="I1652" s="14">
        <f>DATE(2012,12,31)-1285</f>
        <v>39989</v>
      </c>
      <c r="J1652" s="15" t="s">
        <v>28</v>
      </c>
      <c r="K1652" s="9">
        <v>40</v>
      </c>
      <c r="L1652" s="16" t="s">
        <v>26</v>
      </c>
      <c r="M1652" s="16">
        <f t="shared" si="153"/>
        <v>0.99641277652662363</v>
      </c>
      <c r="N1652">
        <f t="shared" si="154"/>
        <v>0</v>
      </c>
      <c r="O1652">
        <f t="shared" si="155"/>
        <v>0</v>
      </c>
      <c r="P1652">
        <f t="shared" si="152"/>
        <v>5400</v>
      </c>
      <c r="Q1652">
        <f t="shared" si="156"/>
        <v>5400</v>
      </c>
      <c r="T1652" s="16">
        <f t="shared" si="157"/>
        <v>0.9964127765266233</v>
      </c>
    </row>
    <row r="1653" spans="7:20" ht="14.4" x14ac:dyDescent="0.25">
      <c r="G1653" s="10">
        <v>4689</v>
      </c>
      <c r="H1653" s="9">
        <v>33378</v>
      </c>
      <c r="I1653" s="14">
        <f>DATE(2012,12,31)-248</f>
        <v>41026</v>
      </c>
      <c r="J1653" s="15" t="s">
        <v>17</v>
      </c>
      <c r="K1653" s="9">
        <v>25</v>
      </c>
      <c r="L1653" s="16" t="s">
        <v>26</v>
      </c>
      <c r="M1653" s="16">
        <f t="shared" si="153"/>
        <v>-3.9483872761697868E-2</v>
      </c>
      <c r="N1653">
        <f t="shared" si="154"/>
        <v>0</v>
      </c>
      <c r="O1653">
        <f t="shared" si="155"/>
        <v>0</v>
      </c>
      <c r="P1653">
        <f t="shared" si="152"/>
        <v>4650</v>
      </c>
      <c r="Q1653">
        <f t="shared" si="156"/>
        <v>4650</v>
      </c>
      <c r="T1653" s="16">
        <f t="shared" si="157"/>
        <v>-3.9483872761698249E-2</v>
      </c>
    </row>
    <row r="1654" spans="7:20" ht="14.4" x14ac:dyDescent="0.25">
      <c r="G1654" s="10">
        <v>4766</v>
      </c>
      <c r="H1654" s="9">
        <v>33889</v>
      </c>
      <c r="I1654" s="14">
        <f>DATE(2012,12,31)-786</f>
        <v>40488</v>
      </c>
      <c r="J1654" s="15" t="s">
        <v>25</v>
      </c>
      <c r="K1654" s="9">
        <v>46</v>
      </c>
      <c r="L1654" s="16" t="s">
        <v>26</v>
      </c>
      <c r="M1654" s="16">
        <f t="shared" si="153"/>
        <v>1.4107714362419523</v>
      </c>
      <c r="N1654">
        <f t="shared" si="154"/>
        <v>0</v>
      </c>
      <c r="O1654">
        <f t="shared" si="155"/>
        <v>0</v>
      </c>
      <c r="P1654">
        <f t="shared" si="152"/>
        <v>5700</v>
      </c>
      <c r="Q1654">
        <f t="shared" si="156"/>
        <v>5700</v>
      </c>
      <c r="T1654" s="16">
        <f t="shared" si="157"/>
        <v>1.4107714362419519</v>
      </c>
    </row>
    <row r="1655" spans="7:20" ht="14.4" x14ac:dyDescent="0.25">
      <c r="G1655" s="10">
        <v>4767</v>
      </c>
      <c r="H1655" s="9">
        <v>33889</v>
      </c>
      <c r="I1655" s="14">
        <f>DATE(2012,12,31)-786</f>
        <v>40488</v>
      </c>
      <c r="J1655" s="15" t="s">
        <v>25</v>
      </c>
      <c r="K1655" s="9">
        <v>43</v>
      </c>
      <c r="L1655" s="16" t="s">
        <v>26</v>
      </c>
      <c r="M1655" s="16">
        <f t="shared" si="153"/>
        <v>1.203592106384288</v>
      </c>
      <c r="N1655">
        <f t="shared" si="154"/>
        <v>0</v>
      </c>
      <c r="O1655">
        <f t="shared" si="155"/>
        <v>0</v>
      </c>
      <c r="P1655">
        <f t="shared" si="152"/>
        <v>5550</v>
      </c>
      <c r="Q1655">
        <f t="shared" si="156"/>
        <v>5550</v>
      </c>
      <c r="T1655" s="16">
        <f t="shared" si="157"/>
        <v>1.2035921063842876</v>
      </c>
    </row>
    <row r="1656" spans="7:20" ht="14.4" x14ac:dyDescent="0.25">
      <c r="G1656" s="10">
        <v>4768</v>
      </c>
      <c r="H1656" s="9">
        <v>33889</v>
      </c>
      <c r="I1656" s="14">
        <f>DATE(2012,12,31)-786</f>
        <v>40488</v>
      </c>
      <c r="J1656" s="15" t="s">
        <v>25</v>
      </c>
      <c r="K1656" s="9">
        <v>27</v>
      </c>
      <c r="L1656" s="16" t="s">
        <v>26</v>
      </c>
      <c r="M1656" s="16">
        <f t="shared" si="153"/>
        <v>9.8635680476745008E-2</v>
      </c>
      <c r="N1656">
        <f t="shared" si="154"/>
        <v>0</v>
      </c>
      <c r="O1656">
        <f t="shared" si="155"/>
        <v>0</v>
      </c>
      <c r="P1656">
        <f t="shared" si="152"/>
        <v>4750</v>
      </c>
      <c r="Q1656">
        <f t="shared" si="156"/>
        <v>4750</v>
      </c>
      <c r="T1656" s="16">
        <f t="shared" si="157"/>
        <v>9.8635680476744619E-2</v>
      </c>
    </row>
    <row r="1657" spans="7:20" ht="14.4" x14ac:dyDescent="0.25">
      <c r="G1657" s="10">
        <v>4769</v>
      </c>
      <c r="H1657" s="9">
        <v>33889</v>
      </c>
      <c r="I1657" s="14">
        <f>DATE(2012,12,31)-786</f>
        <v>40488</v>
      </c>
      <c r="J1657" s="15" t="s">
        <v>25</v>
      </c>
      <c r="K1657" s="9">
        <v>39</v>
      </c>
      <c r="L1657" s="16" t="s">
        <v>26</v>
      </c>
      <c r="M1657" s="16">
        <f t="shared" si="153"/>
        <v>0.92735299990740228</v>
      </c>
      <c r="N1657">
        <f t="shared" si="154"/>
        <v>0</v>
      </c>
      <c r="O1657">
        <f t="shared" si="155"/>
        <v>0</v>
      </c>
      <c r="P1657">
        <f t="shared" si="152"/>
        <v>5350</v>
      </c>
      <c r="Q1657">
        <f t="shared" si="156"/>
        <v>5350</v>
      </c>
      <c r="T1657" s="16">
        <f t="shared" si="157"/>
        <v>0.92735299990740183</v>
      </c>
    </row>
    <row r="1658" spans="7:20" ht="14.4" x14ac:dyDescent="0.25">
      <c r="G1658" s="10">
        <v>4858</v>
      </c>
      <c r="H1658" s="9">
        <v>34567</v>
      </c>
      <c r="I1658" s="14">
        <f>DATE(2012,12,31)-1345</f>
        <v>39929</v>
      </c>
      <c r="J1658" s="15" t="s">
        <v>25</v>
      </c>
      <c r="K1658" s="9">
        <v>18</v>
      </c>
      <c r="L1658" s="16" t="s">
        <v>29</v>
      </c>
      <c r="M1658" s="16">
        <f t="shared" si="153"/>
        <v>-0.52290230909624791</v>
      </c>
      <c r="N1658">
        <f t="shared" si="154"/>
        <v>0</v>
      </c>
      <c r="O1658">
        <f t="shared" si="155"/>
        <v>0</v>
      </c>
      <c r="P1658">
        <f t="shared" si="152"/>
        <v>4300</v>
      </c>
      <c r="Q1658">
        <f t="shared" si="156"/>
        <v>4300</v>
      </c>
      <c r="T1658" s="16">
        <f t="shared" si="157"/>
        <v>-0.52290230909624835</v>
      </c>
    </row>
    <row r="1659" spans="7:20" ht="14.4" x14ac:dyDescent="0.25">
      <c r="G1659" s="10">
        <v>5078</v>
      </c>
      <c r="H1659" s="9">
        <v>36163</v>
      </c>
      <c r="I1659" s="14">
        <f>DATE(2012,12,31)-56</f>
        <v>41218</v>
      </c>
      <c r="J1659" s="15" t="s">
        <v>25</v>
      </c>
      <c r="K1659" s="9">
        <v>32</v>
      </c>
      <c r="L1659" s="16" t="s">
        <v>26</v>
      </c>
      <c r="M1659" s="16">
        <f t="shared" si="153"/>
        <v>0.44393456357285216</v>
      </c>
      <c r="N1659">
        <f t="shared" si="154"/>
        <v>0</v>
      </c>
      <c r="O1659">
        <f t="shared" si="155"/>
        <v>0</v>
      </c>
      <c r="P1659">
        <f t="shared" si="152"/>
        <v>5000</v>
      </c>
      <c r="Q1659">
        <f t="shared" si="156"/>
        <v>5000</v>
      </c>
      <c r="T1659" s="16">
        <f t="shared" si="157"/>
        <v>0.44393456357285183</v>
      </c>
    </row>
    <row r="1660" spans="7:20" ht="14.4" x14ac:dyDescent="0.25">
      <c r="G1660" s="10">
        <v>5114</v>
      </c>
      <c r="H1660" s="9">
        <v>36449</v>
      </c>
      <c r="I1660" s="14">
        <f>DATE(2012,12,31)-848</f>
        <v>40426</v>
      </c>
      <c r="J1660" s="15" t="s">
        <v>28</v>
      </c>
      <c r="K1660" s="9">
        <v>6</v>
      </c>
      <c r="L1660" s="16" t="s">
        <v>29</v>
      </c>
      <c r="M1660" s="16">
        <f t="shared" si="153"/>
        <v>-1.3516196285269051</v>
      </c>
      <c r="N1660">
        <f t="shared" si="154"/>
        <v>0</v>
      </c>
      <c r="O1660">
        <f t="shared" si="155"/>
        <v>0</v>
      </c>
      <c r="P1660">
        <f t="shared" si="152"/>
        <v>3700</v>
      </c>
      <c r="Q1660">
        <f t="shared" si="156"/>
        <v>3700</v>
      </c>
      <c r="T1660" s="16">
        <f t="shared" si="157"/>
        <v>-1.3516196285269055</v>
      </c>
    </row>
    <row r="1661" spans="7:20" ht="14.4" x14ac:dyDescent="0.25">
      <c r="G1661" s="10">
        <v>5144</v>
      </c>
      <c r="H1661" s="9">
        <v>36675</v>
      </c>
      <c r="I1661" s="14">
        <f>DATE(2012,12,31)-547</f>
        <v>40727</v>
      </c>
      <c r="J1661" s="15" t="s">
        <v>17</v>
      </c>
      <c r="K1661" s="9">
        <v>39</v>
      </c>
      <c r="L1661" s="16" t="s">
        <v>26</v>
      </c>
      <c r="M1661" s="16">
        <f t="shared" si="153"/>
        <v>0.92735299990740228</v>
      </c>
      <c r="N1661">
        <f t="shared" si="154"/>
        <v>0</v>
      </c>
      <c r="O1661">
        <f t="shared" si="155"/>
        <v>0</v>
      </c>
      <c r="P1661">
        <f t="shared" si="152"/>
        <v>5350</v>
      </c>
      <c r="Q1661">
        <f t="shared" si="156"/>
        <v>5350</v>
      </c>
      <c r="T1661" s="16">
        <f t="shared" si="157"/>
        <v>0.92735299990740183</v>
      </c>
    </row>
    <row r="1662" spans="7:20" ht="14.4" x14ac:dyDescent="0.25">
      <c r="G1662" s="10">
        <v>5327</v>
      </c>
      <c r="H1662" s="9">
        <v>37862</v>
      </c>
      <c r="I1662" s="14">
        <f>DATE(2012,12,31)-1449</f>
        <v>39825</v>
      </c>
      <c r="J1662" s="15" t="s">
        <v>28</v>
      </c>
      <c r="K1662" s="9">
        <v>27</v>
      </c>
      <c r="L1662" s="16" t="s">
        <v>26</v>
      </c>
      <c r="M1662" s="16">
        <f t="shared" si="153"/>
        <v>9.8635680476745008E-2</v>
      </c>
      <c r="N1662">
        <f t="shared" si="154"/>
        <v>0</v>
      </c>
      <c r="O1662">
        <f t="shared" si="155"/>
        <v>0</v>
      </c>
      <c r="P1662">
        <f t="shared" si="152"/>
        <v>4750</v>
      </c>
      <c r="Q1662">
        <f t="shared" si="156"/>
        <v>4750</v>
      </c>
      <c r="T1662" s="16">
        <f t="shared" si="157"/>
        <v>9.8635680476744619E-2</v>
      </c>
    </row>
    <row r="1663" spans="7:20" ht="14.4" x14ac:dyDescent="0.25">
      <c r="G1663" s="10">
        <v>5379</v>
      </c>
      <c r="H1663" s="9">
        <v>38240</v>
      </c>
      <c r="I1663" s="14">
        <f>DATE(2012,12,31)-1108</f>
        <v>40166</v>
      </c>
      <c r="J1663" s="15" t="s">
        <v>17</v>
      </c>
      <c r="K1663" s="9">
        <v>4</v>
      </c>
      <c r="L1663" s="16" t="s">
        <v>26</v>
      </c>
      <c r="M1663" s="16">
        <f t="shared" si="153"/>
        <v>-1.489739181765348</v>
      </c>
      <c r="N1663">
        <f t="shared" si="154"/>
        <v>0</v>
      </c>
      <c r="O1663">
        <f t="shared" si="155"/>
        <v>0</v>
      </c>
      <c r="P1663">
        <f t="shared" si="152"/>
        <v>3600</v>
      </c>
      <c r="Q1663">
        <f t="shared" si="156"/>
        <v>3600</v>
      </c>
      <c r="T1663" s="16">
        <f t="shared" si="157"/>
        <v>-1.4897391817653485</v>
      </c>
    </row>
    <row r="1664" spans="7:20" ht="14.4" x14ac:dyDescent="0.25">
      <c r="G1664" s="10">
        <v>5450</v>
      </c>
      <c r="H1664" s="9">
        <v>38693</v>
      </c>
      <c r="I1664" s="14">
        <f>DATE(2012,12,31)-566</f>
        <v>40708</v>
      </c>
      <c r="J1664" s="15" t="s">
        <v>25</v>
      </c>
      <c r="K1664" s="9">
        <v>3</v>
      </c>
      <c r="L1664" s="16" t="s">
        <v>27</v>
      </c>
      <c r="M1664" s="16">
        <f t="shared" si="153"/>
        <v>-1.5587989583845694</v>
      </c>
      <c r="N1664">
        <f t="shared" si="154"/>
        <v>0</v>
      </c>
      <c r="O1664">
        <f t="shared" si="155"/>
        <v>0</v>
      </c>
      <c r="P1664">
        <f t="shared" si="152"/>
        <v>3550</v>
      </c>
      <c r="Q1664">
        <f t="shared" si="156"/>
        <v>3550</v>
      </c>
      <c r="T1664" s="16">
        <f t="shared" si="157"/>
        <v>-1.5587989583845698</v>
      </c>
    </row>
    <row r="1665" spans="7:20" ht="14.4" x14ac:dyDescent="0.25">
      <c r="G1665" s="10">
        <v>5483</v>
      </c>
      <c r="H1665" s="9">
        <v>38917</v>
      </c>
      <c r="I1665" s="14">
        <f>DATE(2012,12,31)-771</f>
        <v>40503</v>
      </c>
      <c r="J1665" s="15" t="s">
        <v>25</v>
      </c>
      <c r="K1665" s="9">
        <v>11</v>
      </c>
      <c r="L1665" s="16" t="s">
        <v>27</v>
      </c>
      <c r="M1665" s="16">
        <f t="shared" si="153"/>
        <v>-1.0063207454307979</v>
      </c>
      <c r="N1665">
        <f t="shared" si="154"/>
        <v>0</v>
      </c>
      <c r="O1665">
        <f t="shared" si="155"/>
        <v>0</v>
      </c>
      <c r="P1665">
        <f t="shared" si="152"/>
        <v>3950</v>
      </c>
      <c r="Q1665">
        <f t="shared" si="156"/>
        <v>3950</v>
      </c>
      <c r="T1665" s="16">
        <f t="shared" si="157"/>
        <v>-1.0063207454307983</v>
      </c>
    </row>
    <row r="1666" spans="7:20" ht="14.4" x14ac:dyDescent="0.25">
      <c r="G1666" s="10">
        <v>5501</v>
      </c>
      <c r="H1666" s="9">
        <v>39015</v>
      </c>
      <c r="I1666" s="14">
        <f>DATE(2012,12,31)-1121</f>
        <v>40153</v>
      </c>
      <c r="J1666" s="15" t="s">
        <v>16</v>
      </c>
      <c r="K1666" s="9">
        <v>13</v>
      </c>
      <c r="L1666" s="16" t="s">
        <v>27</v>
      </c>
      <c r="M1666" s="16">
        <f t="shared" si="153"/>
        <v>-0.86820119219235514</v>
      </c>
      <c r="N1666">
        <f t="shared" si="154"/>
        <v>0</v>
      </c>
      <c r="O1666">
        <f t="shared" si="155"/>
        <v>0</v>
      </c>
      <c r="P1666">
        <f t="shared" si="152"/>
        <v>4050</v>
      </c>
      <c r="Q1666">
        <f t="shared" si="156"/>
        <v>4050</v>
      </c>
      <c r="T1666" s="16">
        <f t="shared" si="157"/>
        <v>-0.86820119219235548</v>
      </c>
    </row>
    <row r="1667" spans="7:20" ht="14.4" x14ac:dyDescent="0.25">
      <c r="G1667" s="10">
        <v>5502</v>
      </c>
      <c r="H1667" s="9">
        <v>39015</v>
      </c>
      <c r="I1667" s="14">
        <f>DATE(2012,12,31)-1121</f>
        <v>40153</v>
      </c>
      <c r="J1667" s="15" t="s">
        <v>16</v>
      </c>
      <c r="K1667" s="9">
        <v>11</v>
      </c>
      <c r="L1667" s="16" t="s">
        <v>26</v>
      </c>
      <c r="M1667" s="16">
        <f t="shared" si="153"/>
        <v>-1.0063207454307979</v>
      </c>
      <c r="N1667">
        <f t="shared" si="154"/>
        <v>0</v>
      </c>
      <c r="O1667">
        <f t="shared" si="155"/>
        <v>0</v>
      </c>
      <c r="P1667">
        <f t="shared" si="152"/>
        <v>3950</v>
      </c>
      <c r="Q1667">
        <f t="shared" si="156"/>
        <v>3950</v>
      </c>
      <c r="T1667" s="16">
        <f t="shared" si="157"/>
        <v>-1.0063207454307983</v>
      </c>
    </row>
    <row r="1668" spans="7:20" ht="14.4" x14ac:dyDescent="0.25">
      <c r="G1668" s="10">
        <v>5539</v>
      </c>
      <c r="H1668" s="9">
        <v>39265</v>
      </c>
      <c r="I1668" s="14">
        <f>DATE(2012,12,31)-969</f>
        <v>40305</v>
      </c>
      <c r="J1668" s="15" t="s">
        <v>30</v>
      </c>
      <c r="K1668" s="9">
        <v>47</v>
      </c>
      <c r="L1668" s="16" t="s">
        <v>26</v>
      </c>
      <c r="M1668" s="16">
        <f t="shared" si="153"/>
        <v>1.4798312128611737</v>
      </c>
      <c r="N1668">
        <f t="shared" si="154"/>
        <v>0</v>
      </c>
      <c r="O1668">
        <f t="shared" si="155"/>
        <v>0</v>
      </c>
      <c r="P1668">
        <f t="shared" si="152"/>
        <v>5750</v>
      </c>
      <c r="Q1668">
        <f t="shared" si="156"/>
        <v>5750</v>
      </c>
      <c r="T1668" s="16">
        <f t="shared" si="157"/>
        <v>1.4798312128611733</v>
      </c>
    </row>
    <row r="1669" spans="7:20" ht="14.4" x14ac:dyDescent="0.25">
      <c r="G1669" s="10">
        <v>5770</v>
      </c>
      <c r="H1669" s="9">
        <v>40962</v>
      </c>
      <c r="I1669" s="14">
        <f>DATE(2012,12,31)-680</f>
        <v>40594</v>
      </c>
      <c r="J1669" s="15" t="s">
        <v>30</v>
      </c>
      <c r="K1669" s="9">
        <v>28</v>
      </c>
      <c r="L1669" s="16" t="s">
        <v>26</v>
      </c>
      <c r="M1669" s="16">
        <f t="shared" si="153"/>
        <v>0.16769545709596645</v>
      </c>
      <c r="N1669">
        <f t="shared" si="154"/>
        <v>0</v>
      </c>
      <c r="O1669">
        <f t="shared" si="155"/>
        <v>0</v>
      </c>
      <c r="P1669">
        <f t="shared" si="152"/>
        <v>4800</v>
      </c>
      <c r="Q1669">
        <f t="shared" si="156"/>
        <v>4800</v>
      </c>
      <c r="T1669" s="16">
        <f t="shared" si="157"/>
        <v>0.16769545709596606</v>
      </c>
    </row>
    <row r="1670" spans="7:20" ht="14.4" x14ac:dyDescent="0.25">
      <c r="G1670" s="10">
        <v>5771</v>
      </c>
      <c r="H1670" s="9">
        <v>40962</v>
      </c>
      <c r="I1670" s="14">
        <f>DATE(2012,12,31)-680</f>
        <v>40594</v>
      </c>
      <c r="J1670" s="15" t="s">
        <v>30</v>
      </c>
      <c r="K1670" s="9">
        <v>30</v>
      </c>
      <c r="L1670" s="16" t="s">
        <v>27</v>
      </c>
      <c r="M1670" s="16">
        <f t="shared" si="153"/>
        <v>0.30581501033440933</v>
      </c>
      <c r="N1670">
        <f t="shared" si="154"/>
        <v>0</v>
      </c>
      <c r="O1670">
        <f t="shared" si="155"/>
        <v>0</v>
      </c>
      <c r="P1670">
        <f t="shared" si="152"/>
        <v>4900</v>
      </c>
      <c r="Q1670">
        <f t="shared" si="156"/>
        <v>4900</v>
      </c>
      <c r="T1670" s="16">
        <f t="shared" si="157"/>
        <v>0.30581501033440894</v>
      </c>
    </row>
    <row r="1671" spans="7:20" ht="14.4" x14ac:dyDescent="0.25">
      <c r="G1671" s="10">
        <v>5786</v>
      </c>
      <c r="H1671" s="9">
        <v>41059</v>
      </c>
      <c r="I1671" s="14">
        <f>DATE(2012,12,31)-839</f>
        <v>40435</v>
      </c>
      <c r="J1671" s="15" t="s">
        <v>16</v>
      </c>
      <c r="K1671" s="9">
        <v>26</v>
      </c>
      <c r="L1671" s="16" t="s">
        <v>26</v>
      </c>
      <c r="M1671" s="16">
        <f t="shared" si="153"/>
        <v>2.9575903857523567E-2</v>
      </c>
      <c r="N1671">
        <f t="shared" si="154"/>
        <v>0</v>
      </c>
      <c r="O1671">
        <f t="shared" si="155"/>
        <v>0</v>
      </c>
      <c r="P1671">
        <f t="shared" si="152"/>
        <v>4700</v>
      </c>
      <c r="Q1671">
        <f t="shared" si="156"/>
        <v>4700</v>
      </c>
      <c r="T1671" s="16">
        <f t="shared" si="157"/>
        <v>2.9575903857523185E-2</v>
      </c>
    </row>
    <row r="1672" spans="7:20" ht="14.4" x14ac:dyDescent="0.25">
      <c r="G1672" s="10">
        <v>5787</v>
      </c>
      <c r="H1672" s="9">
        <v>41059</v>
      </c>
      <c r="I1672" s="14">
        <f>DATE(2012,12,31)-839</f>
        <v>40435</v>
      </c>
      <c r="J1672" s="15" t="s">
        <v>16</v>
      </c>
      <c r="K1672" s="9">
        <v>45</v>
      </c>
      <c r="L1672" s="16" t="s">
        <v>27</v>
      </c>
      <c r="M1672" s="16">
        <f t="shared" si="153"/>
        <v>1.3417116596227308</v>
      </c>
      <c r="N1672">
        <f t="shared" si="154"/>
        <v>0</v>
      </c>
      <c r="O1672">
        <f t="shared" si="155"/>
        <v>0</v>
      </c>
      <c r="P1672">
        <f t="shared" si="152"/>
        <v>5650</v>
      </c>
      <c r="Q1672">
        <f t="shared" si="156"/>
        <v>5650</v>
      </c>
      <c r="T1672" s="16">
        <f t="shared" si="157"/>
        <v>1.3417116596227305</v>
      </c>
    </row>
    <row r="1673" spans="7:20" ht="14.4" x14ac:dyDescent="0.25">
      <c r="G1673" s="10">
        <v>5788</v>
      </c>
      <c r="H1673" s="9">
        <v>41059</v>
      </c>
      <c r="I1673" s="14">
        <f>DATE(2012,12,31)-839</f>
        <v>40435</v>
      </c>
      <c r="J1673" s="15" t="s">
        <v>16</v>
      </c>
      <c r="K1673" s="9">
        <v>21</v>
      </c>
      <c r="L1673" s="16" t="s">
        <v>26</v>
      </c>
      <c r="M1673" s="16">
        <f t="shared" si="153"/>
        <v>-0.31572297923858361</v>
      </c>
      <c r="N1673">
        <f t="shared" si="154"/>
        <v>0</v>
      </c>
      <c r="O1673">
        <f t="shared" si="155"/>
        <v>0</v>
      </c>
      <c r="P1673">
        <f t="shared" si="152"/>
        <v>4450</v>
      </c>
      <c r="Q1673">
        <f t="shared" si="156"/>
        <v>4450</v>
      </c>
      <c r="T1673" s="16">
        <f t="shared" si="157"/>
        <v>-0.315722979238584</v>
      </c>
    </row>
    <row r="1674" spans="7:20" ht="14.4" x14ac:dyDescent="0.25">
      <c r="G1674" s="10">
        <v>5789</v>
      </c>
      <c r="H1674" s="9">
        <v>41059</v>
      </c>
      <c r="I1674" s="14">
        <f>DATE(2012,12,31)-839</f>
        <v>40435</v>
      </c>
      <c r="J1674" s="15" t="s">
        <v>16</v>
      </c>
      <c r="K1674" s="9">
        <v>45</v>
      </c>
      <c r="L1674" s="16" t="s">
        <v>29</v>
      </c>
      <c r="M1674" s="16">
        <f t="shared" si="153"/>
        <v>1.3417116596227308</v>
      </c>
      <c r="N1674">
        <f t="shared" si="154"/>
        <v>0</v>
      </c>
      <c r="O1674">
        <f t="shared" si="155"/>
        <v>0</v>
      </c>
      <c r="P1674">
        <f t="shared" si="152"/>
        <v>5650</v>
      </c>
      <c r="Q1674">
        <f t="shared" si="156"/>
        <v>5650</v>
      </c>
      <c r="T1674" s="16">
        <f t="shared" si="157"/>
        <v>1.3417116596227305</v>
      </c>
    </row>
    <row r="1675" spans="7:20" ht="14.4" x14ac:dyDescent="0.25">
      <c r="G1675" s="10">
        <v>5872</v>
      </c>
      <c r="H1675" s="9">
        <v>41664</v>
      </c>
      <c r="I1675" s="14">
        <f>DATE(2012,12,31)-393</f>
        <v>40881</v>
      </c>
      <c r="J1675" s="15" t="s">
        <v>30</v>
      </c>
      <c r="K1675" s="9">
        <v>5</v>
      </c>
      <c r="L1675" s="16" t="s">
        <v>27</v>
      </c>
      <c r="M1675" s="16">
        <f t="shared" si="153"/>
        <v>-1.4206794051461267</v>
      </c>
      <c r="N1675">
        <f t="shared" si="154"/>
        <v>0</v>
      </c>
      <c r="O1675">
        <f t="shared" si="155"/>
        <v>0</v>
      </c>
      <c r="P1675">
        <f t="shared" si="152"/>
        <v>3650</v>
      </c>
      <c r="Q1675">
        <f t="shared" si="156"/>
        <v>3650</v>
      </c>
      <c r="T1675" s="16">
        <f t="shared" si="157"/>
        <v>-1.4206794051461269</v>
      </c>
    </row>
    <row r="1676" spans="7:20" ht="14.4" x14ac:dyDescent="0.25">
      <c r="G1676" s="10">
        <v>5873</v>
      </c>
      <c r="H1676" s="9">
        <v>41664</v>
      </c>
      <c r="I1676" s="14">
        <f>DATE(2012,12,31)-393</f>
        <v>40881</v>
      </c>
      <c r="J1676" s="15" t="s">
        <v>30</v>
      </c>
      <c r="K1676" s="9">
        <v>40</v>
      </c>
      <c r="L1676" s="16" t="s">
        <v>26</v>
      </c>
      <c r="M1676" s="16">
        <f t="shared" si="153"/>
        <v>0.99641277652662363</v>
      </c>
      <c r="N1676">
        <f t="shared" si="154"/>
        <v>0</v>
      </c>
      <c r="O1676">
        <f t="shared" si="155"/>
        <v>0</v>
      </c>
      <c r="P1676">
        <f t="shared" ref="P1676:P1739" si="158">50*K1676+$P$10</f>
        <v>5400</v>
      </c>
      <c r="Q1676">
        <f t="shared" si="156"/>
        <v>5400</v>
      </c>
      <c r="T1676" s="16">
        <f t="shared" si="157"/>
        <v>0.9964127765266233</v>
      </c>
    </row>
    <row r="1677" spans="7:20" ht="14.4" x14ac:dyDescent="0.25">
      <c r="G1677" s="10">
        <v>6012</v>
      </c>
      <c r="H1677" s="9">
        <v>42596</v>
      </c>
      <c r="I1677" s="14">
        <f>DATE(2012,12,31)-139</f>
        <v>41135</v>
      </c>
      <c r="J1677" s="15" t="s">
        <v>16</v>
      </c>
      <c r="K1677" s="9">
        <v>9</v>
      </c>
      <c r="L1677" s="16" t="s">
        <v>26</v>
      </c>
      <c r="M1677" s="16">
        <f t="shared" ref="M1677:M1740" si="159">(K1677-$K$4)/$K$7</f>
        <v>-1.1444402986692408</v>
      </c>
      <c r="N1677">
        <f t="shared" ref="N1677:N1740" si="160">IF(MOD($B$20+G1677,1000)=0,1,0)</f>
        <v>0</v>
      </c>
      <c r="O1677">
        <f t="shared" ref="O1677:O1740" si="161">+ROUND(N1677*(IF(K1677&lt;$K$4,-4.5,10.5)*$P$5),-2)</f>
        <v>0</v>
      </c>
      <c r="P1677">
        <f t="shared" si="158"/>
        <v>3850</v>
      </c>
      <c r="Q1677">
        <f t="shared" ref="Q1677:Q1740" si="162">P1677+O1677</f>
        <v>3850</v>
      </c>
      <c r="T1677" s="16">
        <f t="shared" ref="T1677:T1740" si="163">(Q1677-$P$4)/$P$5</f>
        <v>-1.1444402986692412</v>
      </c>
    </row>
    <row r="1678" spans="7:20" ht="14.4" x14ac:dyDescent="0.25">
      <c r="G1678" s="10">
        <v>6135</v>
      </c>
      <c r="H1678" s="9">
        <v>43424</v>
      </c>
      <c r="I1678" s="14">
        <f>DATE(2012,12,31)-501</f>
        <v>40773</v>
      </c>
      <c r="J1678" s="15" t="s">
        <v>28</v>
      </c>
      <c r="K1678" s="9">
        <v>34</v>
      </c>
      <c r="L1678" s="16" t="s">
        <v>26</v>
      </c>
      <c r="M1678" s="16">
        <f t="shared" si="159"/>
        <v>0.58205411681129504</v>
      </c>
      <c r="N1678">
        <f t="shared" si="160"/>
        <v>0</v>
      </c>
      <c r="O1678">
        <f t="shared" si="161"/>
        <v>0</v>
      </c>
      <c r="P1678">
        <f t="shared" si="158"/>
        <v>5100</v>
      </c>
      <c r="Q1678">
        <f t="shared" si="162"/>
        <v>5100</v>
      </c>
      <c r="T1678" s="16">
        <f t="shared" si="163"/>
        <v>0.58205411681129471</v>
      </c>
    </row>
    <row r="1679" spans="7:20" ht="14.4" x14ac:dyDescent="0.25">
      <c r="G1679" s="10">
        <v>6179</v>
      </c>
      <c r="H1679" s="9">
        <v>43808</v>
      </c>
      <c r="I1679" s="14">
        <f>DATE(2012,12,31)-725</f>
        <v>40549</v>
      </c>
      <c r="J1679" s="15" t="s">
        <v>25</v>
      </c>
      <c r="K1679" s="9">
        <v>16</v>
      </c>
      <c r="L1679" s="16" t="s">
        <v>29</v>
      </c>
      <c r="M1679" s="16">
        <f t="shared" si="159"/>
        <v>-0.66102186233469074</v>
      </c>
      <c r="N1679">
        <f t="shared" si="160"/>
        <v>0</v>
      </c>
      <c r="O1679">
        <f t="shared" si="161"/>
        <v>0</v>
      </c>
      <c r="P1679">
        <f t="shared" si="158"/>
        <v>4200</v>
      </c>
      <c r="Q1679">
        <f t="shared" si="162"/>
        <v>4200</v>
      </c>
      <c r="T1679" s="16">
        <f t="shared" si="163"/>
        <v>-0.66102186233469118</v>
      </c>
    </row>
    <row r="1680" spans="7:20" ht="14.4" x14ac:dyDescent="0.25">
      <c r="G1680" s="10">
        <v>6373</v>
      </c>
      <c r="H1680" s="9">
        <v>45218</v>
      </c>
      <c r="I1680" s="14">
        <f>DATE(2012,12,31)-1331</f>
        <v>39943</v>
      </c>
      <c r="J1680" s="15" t="s">
        <v>25</v>
      </c>
      <c r="K1680" s="9">
        <v>49</v>
      </c>
      <c r="L1680" s="16" t="s">
        <v>27</v>
      </c>
      <c r="M1680" s="16">
        <f t="shared" si="159"/>
        <v>1.6179507660996166</v>
      </c>
      <c r="N1680">
        <f t="shared" si="160"/>
        <v>0</v>
      </c>
      <c r="O1680">
        <f t="shared" si="161"/>
        <v>0</v>
      </c>
      <c r="P1680">
        <f t="shared" si="158"/>
        <v>5850</v>
      </c>
      <c r="Q1680">
        <f t="shared" si="162"/>
        <v>5850</v>
      </c>
      <c r="T1680" s="16">
        <f t="shared" si="163"/>
        <v>1.6179507660996162</v>
      </c>
    </row>
    <row r="1681" spans="7:20" ht="14.4" x14ac:dyDescent="0.25">
      <c r="G1681" s="10">
        <v>6470</v>
      </c>
      <c r="H1681" s="9">
        <v>46050</v>
      </c>
      <c r="I1681" s="14">
        <f>DATE(2012,12,31)-1092</f>
        <v>40182</v>
      </c>
      <c r="J1681" s="15" t="s">
        <v>17</v>
      </c>
      <c r="K1681" s="9">
        <v>3</v>
      </c>
      <c r="L1681" s="16" t="s">
        <v>26</v>
      </c>
      <c r="M1681" s="16">
        <f t="shared" si="159"/>
        <v>-1.5587989583845694</v>
      </c>
      <c r="N1681">
        <f t="shared" si="160"/>
        <v>0</v>
      </c>
      <c r="O1681">
        <f t="shared" si="161"/>
        <v>0</v>
      </c>
      <c r="P1681">
        <f t="shared" si="158"/>
        <v>3550</v>
      </c>
      <c r="Q1681">
        <f t="shared" si="162"/>
        <v>3550</v>
      </c>
      <c r="T1681" s="16">
        <f t="shared" si="163"/>
        <v>-1.5587989583845698</v>
      </c>
    </row>
    <row r="1682" spans="7:20" ht="14.4" x14ac:dyDescent="0.25">
      <c r="G1682" s="10">
        <v>6479</v>
      </c>
      <c r="H1682" s="9">
        <v>46117</v>
      </c>
      <c r="I1682" s="14">
        <f>DATE(2012,12,31)-589</f>
        <v>40685</v>
      </c>
      <c r="J1682" s="15" t="s">
        <v>25</v>
      </c>
      <c r="K1682" s="9">
        <v>22</v>
      </c>
      <c r="L1682" s="16" t="s">
        <v>29</v>
      </c>
      <c r="M1682" s="16">
        <f t="shared" si="159"/>
        <v>-0.24666320261936217</v>
      </c>
      <c r="N1682">
        <f t="shared" si="160"/>
        <v>0</v>
      </c>
      <c r="O1682">
        <f t="shared" si="161"/>
        <v>0</v>
      </c>
      <c r="P1682">
        <f t="shared" si="158"/>
        <v>4500</v>
      </c>
      <c r="Q1682">
        <f t="shared" si="162"/>
        <v>4500</v>
      </c>
      <c r="T1682" s="16">
        <f t="shared" si="163"/>
        <v>-0.24666320261936256</v>
      </c>
    </row>
    <row r="1683" spans="7:20" ht="14.4" x14ac:dyDescent="0.25">
      <c r="G1683" s="10">
        <v>6494</v>
      </c>
      <c r="H1683" s="9">
        <v>46243</v>
      </c>
      <c r="I1683" s="14">
        <f>DATE(2012,12,31)-342</f>
        <v>40932</v>
      </c>
      <c r="J1683" s="15" t="s">
        <v>25</v>
      </c>
      <c r="K1683" s="9">
        <v>31</v>
      </c>
      <c r="L1683" s="16" t="s">
        <v>26</v>
      </c>
      <c r="M1683" s="16">
        <f t="shared" si="159"/>
        <v>0.37487478695363075</v>
      </c>
      <c r="N1683">
        <f t="shared" si="160"/>
        <v>0</v>
      </c>
      <c r="O1683">
        <f t="shared" si="161"/>
        <v>0</v>
      </c>
      <c r="P1683">
        <f t="shared" si="158"/>
        <v>4950</v>
      </c>
      <c r="Q1683">
        <f t="shared" si="162"/>
        <v>4950</v>
      </c>
      <c r="T1683" s="16">
        <f t="shared" si="163"/>
        <v>0.37487478695363036</v>
      </c>
    </row>
    <row r="1684" spans="7:20" ht="14.4" x14ac:dyDescent="0.25">
      <c r="G1684" s="10">
        <v>6495</v>
      </c>
      <c r="H1684" s="9">
        <v>46243</v>
      </c>
      <c r="I1684" s="14">
        <f>DATE(2012,12,31)-342</f>
        <v>40932</v>
      </c>
      <c r="J1684" s="15" t="s">
        <v>25</v>
      </c>
      <c r="K1684" s="9">
        <v>1</v>
      </c>
      <c r="L1684" s="16" t="s">
        <v>26</v>
      </c>
      <c r="M1684" s="16">
        <f t="shared" si="159"/>
        <v>-1.6969185116230123</v>
      </c>
      <c r="N1684">
        <f t="shared" si="160"/>
        <v>0</v>
      </c>
      <c r="O1684">
        <f t="shared" si="161"/>
        <v>0</v>
      </c>
      <c r="P1684">
        <f t="shared" si="158"/>
        <v>3450</v>
      </c>
      <c r="Q1684">
        <f t="shared" si="162"/>
        <v>3450</v>
      </c>
      <c r="T1684" s="16">
        <f t="shared" si="163"/>
        <v>-1.6969185116230128</v>
      </c>
    </row>
    <row r="1685" spans="7:20" ht="14.4" x14ac:dyDescent="0.25">
      <c r="G1685" s="10">
        <v>6496</v>
      </c>
      <c r="H1685" s="9">
        <v>46243</v>
      </c>
      <c r="I1685" s="14">
        <f>DATE(2012,12,31)-342</f>
        <v>40932</v>
      </c>
      <c r="J1685" s="15" t="s">
        <v>25</v>
      </c>
      <c r="K1685" s="9">
        <v>31</v>
      </c>
      <c r="L1685" s="16" t="s">
        <v>26</v>
      </c>
      <c r="M1685" s="16">
        <f t="shared" si="159"/>
        <v>0.37487478695363075</v>
      </c>
      <c r="N1685">
        <f t="shared" si="160"/>
        <v>0</v>
      </c>
      <c r="O1685">
        <f t="shared" si="161"/>
        <v>0</v>
      </c>
      <c r="P1685">
        <f t="shared" si="158"/>
        <v>4950</v>
      </c>
      <c r="Q1685">
        <f t="shared" si="162"/>
        <v>4950</v>
      </c>
      <c r="T1685" s="16">
        <f t="shared" si="163"/>
        <v>0.37487478695363036</v>
      </c>
    </row>
    <row r="1686" spans="7:20" ht="14.4" x14ac:dyDescent="0.25">
      <c r="G1686" s="10">
        <v>6504</v>
      </c>
      <c r="H1686" s="9">
        <v>46310</v>
      </c>
      <c r="I1686" s="14">
        <f>DATE(2012,12,31)-894</f>
        <v>40380</v>
      </c>
      <c r="J1686" s="15" t="s">
        <v>17</v>
      </c>
      <c r="K1686" s="9">
        <v>29</v>
      </c>
      <c r="L1686" s="16" t="s">
        <v>26</v>
      </c>
      <c r="M1686" s="16">
        <f t="shared" si="159"/>
        <v>0.23675523371518786</v>
      </c>
      <c r="N1686">
        <f t="shared" si="160"/>
        <v>0</v>
      </c>
      <c r="O1686">
        <f t="shared" si="161"/>
        <v>0</v>
      </c>
      <c r="P1686">
        <f t="shared" si="158"/>
        <v>4850</v>
      </c>
      <c r="Q1686">
        <f t="shared" si="162"/>
        <v>4850</v>
      </c>
      <c r="T1686" s="16">
        <f t="shared" si="163"/>
        <v>0.2367552337151875</v>
      </c>
    </row>
    <row r="1687" spans="7:20" ht="14.4" x14ac:dyDescent="0.25">
      <c r="G1687" s="10">
        <v>6505</v>
      </c>
      <c r="H1687" s="9">
        <v>46310</v>
      </c>
      <c r="I1687" s="14">
        <f>DATE(2012,12,31)-894</f>
        <v>40380</v>
      </c>
      <c r="J1687" s="15" t="s">
        <v>17</v>
      </c>
      <c r="K1687" s="9">
        <v>13</v>
      </c>
      <c r="L1687" s="16" t="s">
        <v>26</v>
      </c>
      <c r="M1687" s="16">
        <f t="shared" si="159"/>
        <v>-0.86820119219235514</v>
      </c>
      <c r="N1687">
        <f t="shared" si="160"/>
        <v>0</v>
      </c>
      <c r="O1687">
        <f t="shared" si="161"/>
        <v>0</v>
      </c>
      <c r="P1687">
        <f t="shared" si="158"/>
        <v>4050</v>
      </c>
      <c r="Q1687">
        <f t="shared" si="162"/>
        <v>4050</v>
      </c>
      <c r="T1687" s="16">
        <f t="shared" si="163"/>
        <v>-0.86820119219235548</v>
      </c>
    </row>
    <row r="1688" spans="7:20" ht="14.4" x14ac:dyDescent="0.25">
      <c r="G1688" s="10">
        <v>6506</v>
      </c>
      <c r="H1688" s="9">
        <v>46310</v>
      </c>
      <c r="I1688" s="14">
        <f>DATE(2012,12,31)-894</f>
        <v>40380</v>
      </c>
      <c r="J1688" s="15" t="s">
        <v>17</v>
      </c>
      <c r="K1688" s="9">
        <v>42</v>
      </c>
      <c r="L1688" s="16" t="s">
        <v>26</v>
      </c>
      <c r="M1688" s="16">
        <f t="shared" si="159"/>
        <v>1.1345323297650665</v>
      </c>
      <c r="N1688">
        <f t="shared" si="160"/>
        <v>0</v>
      </c>
      <c r="O1688">
        <f t="shared" si="161"/>
        <v>0</v>
      </c>
      <c r="P1688">
        <f t="shared" si="158"/>
        <v>5500</v>
      </c>
      <c r="Q1688">
        <f t="shared" si="162"/>
        <v>5500</v>
      </c>
      <c r="T1688" s="16">
        <f t="shared" si="163"/>
        <v>1.1345323297650662</v>
      </c>
    </row>
    <row r="1689" spans="7:20" ht="14.4" x14ac:dyDescent="0.25">
      <c r="G1689" s="10">
        <v>6537</v>
      </c>
      <c r="H1689" s="9">
        <v>46503</v>
      </c>
      <c r="I1689" s="14">
        <f>DATE(2012,12,31)-421</f>
        <v>40853</v>
      </c>
      <c r="J1689" s="15" t="s">
        <v>28</v>
      </c>
      <c r="K1689" s="9">
        <v>26</v>
      </c>
      <c r="L1689" s="16" t="s">
        <v>27</v>
      </c>
      <c r="M1689" s="16">
        <f t="shared" si="159"/>
        <v>2.9575903857523567E-2</v>
      </c>
      <c r="N1689">
        <f t="shared" si="160"/>
        <v>0</v>
      </c>
      <c r="O1689">
        <f t="shared" si="161"/>
        <v>0</v>
      </c>
      <c r="P1689">
        <f t="shared" si="158"/>
        <v>4700</v>
      </c>
      <c r="Q1689">
        <f t="shared" si="162"/>
        <v>4700</v>
      </c>
      <c r="T1689" s="16">
        <f t="shared" si="163"/>
        <v>2.9575903857523185E-2</v>
      </c>
    </row>
    <row r="1690" spans="7:20" ht="14.4" x14ac:dyDescent="0.25">
      <c r="G1690" s="10">
        <v>6572</v>
      </c>
      <c r="H1690" s="9">
        <v>46726</v>
      </c>
      <c r="I1690" s="14">
        <f>DATE(2012,12,31)-179</f>
        <v>41095</v>
      </c>
      <c r="J1690" s="15" t="s">
        <v>28</v>
      </c>
      <c r="K1690" s="9">
        <v>46</v>
      </c>
      <c r="L1690" s="16" t="s">
        <v>26</v>
      </c>
      <c r="M1690" s="16">
        <f t="shared" si="159"/>
        <v>1.4107714362419523</v>
      </c>
      <c r="N1690">
        <f t="shared" si="160"/>
        <v>0</v>
      </c>
      <c r="O1690">
        <f t="shared" si="161"/>
        <v>0</v>
      </c>
      <c r="P1690">
        <f t="shared" si="158"/>
        <v>5700</v>
      </c>
      <c r="Q1690">
        <f t="shared" si="162"/>
        <v>5700</v>
      </c>
      <c r="T1690" s="16">
        <f t="shared" si="163"/>
        <v>1.4107714362419519</v>
      </c>
    </row>
    <row r="1691" spans="7:20" ht="14.4" x14ac:dyDescent="0.25">
      <c r="G1691" s="10">
        <v>6573</v>
      </c>
      <c r="H1691" s="9">
        <v>46726</v>
      </c>
      <c r="I1691" s="14">
        <f>DATE(2012,12,31)-179</f>
        <v>41095</v>
      </c>
      <c r="J1691" s="15" t="s">
        <v>28</v>
      </c>
      <c r="K1691" s="9">
        <v>10</v>
      </c>
      <c r="L1691" s="16" t="s">
        <v>26</v>
      </c>
      <c r="M1691" s="16">
        <f t="shared" si="159"/>
        <v>-1.0753805220500194</v>
      </c>
      <c r="N1691">
        <f t="shared" si="160"/>
        <v>0</v>
      </c>
      <c r="O1691">
        <f t="shared" si="161"/>
        <v>0</v>
      </c>
      <c r="P1691">
        <f t="shared" si="158"/>
        <v>3900</v>
      </c>
      <c r="Q1691">
        <f t="shared" si="162"/>
        <v>3900</v>
      </c>
      <c r="T1691" s="16">
        <f t="shared" si="163"/>
        <v>-1.0753805220500199</v>
      </c>
    </row>
    <row r="1692" spans="7:20" ht="14.4" x14ac:dyDescent="0.25">
      <c r="G1692" s="10">
        <v>6613</v>
      </c>
      <c r="H1692" s="9">
        <v>47042</v>
      </c>
      <c r="I1692" s="14">
        <f>DATE(2012,12,31)-304</f>
        <v>40970</v>
      </c>
      <c r="J1692" s="15" t="s">
        <v>30</v>
      </c>
      <c r="K1692" s="9">
        <v>45</v>
      </c>
      <c r="L1692" s="16" t="s">
        <v>27</v>
      </c>
      <c r="M1692" s="16">
        <f t="shared" si="159"/>
        <v>1.3417116596227308</v>
      </c>
      <c r="N1692">
        <f t="shared" si="160"/>
        <v>0</v>
      </c>
      <c r="O1692">
        <f t="shared" si="161"/>
        <v>0</v>
      </c>
      <c r="P1692">
        <f t="shared" si="158"/>
        <v>5650</v>
      </c>
      <c r="Q1692">
        <f t="shared" si="162"/>
        <v>5650</v>
      </c>
      <c r="T1692" s="16">
        <f t="shared" si="163"/>
        <v>1.3417116596227305</v>
      </c>
    </row>
    <row r="1693" spans="7:20" ht="14.4" x14ac:dyDescent="0.25">
      <c r="G1693" s="10">
        <v>6635</v>
      </c>
      <c r="H1693" s="9">
        <v>47174</v>
      </c>
      <c r="I1693" s="14">
        <f>DATE(2012,12,31)-472</f>
        <v>40802</v>
      </c>
      <c r="J1693" s="15" t="s">
        <v>30</v>
      </c>
      <c r="K1693" s="9">
        <v>42</v>
      </c>
      <c r="L1693" s="16" t="s">
        <v>27</v>
      </c>
      <c r="M1693" s="16">
        <f t="shared" si="159"/>
        <v>1.1345323297650665</v>
      </c>
      <c r="N1693">
        <f t="shared" si="160"/>
        <v>0</v>
      </c>
      <c r="O1693">
        <f t="shared" si="161"/>
        <v>0</v>
      </c>
      <c r="P1693">
        <f t="shared" si="158"/>
        <v>5500</v>
      </c>
      <c r="Q1693">
        <f t="shared" si="162"/>
        <v>5500</v>
      </c>
      <c r="T1693" s="16">
        <f t="shared" si="163"/>
        <v>1.1345323297650662</v>
      </c>
    </row>
    <row r="1694" spans="7:20" ht="14.4" x14ac:dyDescent="0.25">
      <c r="G1694" s="10">
        <v>6746</v>
      </c>
      <c r="H1694" s="9">
        <v>48034</v>
      </c>
      <c r="I1694" s="14">
        <f>DATE(2012,12,31)-1266</f>
        <v>40008</v>
      </c>
      <c r="J1694" s="15" t="s">
        <v>28</v>
      </c>
      <c r="K1694" s="9">
        <v>47</v>
      </c>
      <c r="L1694" s="16" t="s">
        <v>26</v>
      </c>
      <c r="M1694" s="16">
        <f t="shared" si="159"/>
        <v>1.4798312128611737</v>
      </c>
      <c r="N1694">
        <f t="shared" si="160"/>
        <v>0</v>
      </c>
      <c r="O1694">
        <f t="shared" si="161"/>
        <v>0</v>
      </c>
      <c r="P1694">
        <f t="shared" si="158"/>
        <v>5750</v>
      </c>
      <c r="Q1694">
        <f t="shared" si="162"/>
        <v>5750</v>
      </c>
      <c r="T1694" s="16">
        <f t="shared" si="163"/>
        <v>1.4798312128611733</v>
      </c>
    </row>
    <row r="1695" spans="7:20" ht="14.4" x14ac:dyDescent="0.25">
      <c r="G1695" s="10">
        <v>6747</v>
      </c>
      <c r="H1695" s="9">
        <v>48034</v>
      </c>
      <c r="I1695" s="14">
        <f>DATE(2012,12,31)-1266</f>
        <v>40008</v>
      </c>
      <c r="J1695" s="15" t="s">
        <v>28</v>
      </c>
      <c r="K1695" s="9">
        <v>12</v>
      </c>
      <c r="L1695" s="16" t="s">
        <v>29</v>
      </c>
      <c r="M1695" s="16">
        <f t="shared" si="159"/>
        <v>-0.9372609688115765</v>
      </c>
      <c r="N1695">
        <f t="shared" si="160"/>
        <v>0</v>
      </c>
      <c r="O1695">
        <f t="shared" si="161"/>
        <v>0</v>
      </c>
      <c r="P1695">
        <f t="shared" si="158"/>
        <v>4000</v>
      </c>
      <c r="Q1695">
        <f t="shared" si="162"/>
        <v>4000</v>
      </c>
      <c r="T1695" s="16">
        <f t="shared" si="163"/>
        <v>-0.93726096881157694</v>
      </c>
    </row>
    <row r="1696" spans="7:20" ht="14.4" x14ac:dyDescent="0.25">
      <c r="G1696" s="10">
        <v>6760</v>
      </c>
      <c r="H1696" s="9">
        <v>48164</v>
      </c>
      <c r="I1696" s="14">
        <f>DATE(2012,12,31)-429</f>
        <v>40845</v>
      </c>
      <c r="J1696" s="15" t="s">
        <v>17</v>
      </c>
      <c r="K1696" s="9">
        <v>33</v>
      </c>
      <c r="L1696" s="16" t="s">
        <v>26</v>
      </c>
      <c r="M1696" s="16">
        <f t="shared" si="159"/>
        <v>0.51299434019207357</v>
      </c>
      <c r="N1696">
        <f t="shared" si="160"/>
        <v>0</v>
      </c>
      <c r="O1696">
        <f t="shared" si="161"/>
        <v>0</v>
      </c>
      <c r="P1696">
        <f t="shared" si="158"/>
        <v>5050</v>
      </c>
      <c r="Q1696">
        <f t="shared" si="162"/>
        <v>5050</v>
      </c>
      <c r="T1696" s="16">
        <f t="shared" si="163"/>
        <v>0.51299434019207324</v>
      </c>
    </row>
    <row r="1697" spans="7:20" ht="14.4" x14ac:dyDescent="0.25">
      <c r="G1697" s="10">
        <v>6896</v>
      </c>
      <c r="H1697" s="9">
        <v>49189</v>
      </c>
      <c r="I1697" s="14">
        <f>DATE(2012,12,31)-716</f>
        <v>40558</v>
      </c>
      <c r="J1697" s="15" t="s">
        <v>30</v>
      </c>
      <c r="K1697" s="9">
        <v>32</v>
      </c>
      <c r="L1697" s="16" t="s">
        <v>26</v>
      </c>
      <c r="M1697" s="16">
        <f t="shared" si="159"/>
        <v>0.44393456357285216</v>
      </c>
      <c r="N1697">
        <f t="shared" si="160"/>
        <v>0</v>
      </c>
      <c r="O1697">
        <f t="shared" si="161"/>
        <v>0</v>
      </c>
      <c r="P1697">
        <f t="shared" si="158"/>
        <v>5000</v>
      </c>
      <c r="Q1697">
        <f t="shared" si="162"/>
        <v>5000</v>
      </c>
      <c r="T1697" s="16">
        <f t="shared" si="163"/>
        <v>0.44393456357285183</v>
      </c>
    </row>
    <row r="1698" spans="7:20" ht="14.4" x14ac:dyDescent="0.25">
      <c r="G1698" s="10">
        <v>6997</v>
      </c>
      <c r="H1698" s="9">
        <v>49986</v>
      </c>
      <c r="I1698" s="14">
        <f>DATE(2012,12,31)-809</f>
        <v>40465</v>
      </c>
      <c r="J1698" s="15" t="s">
        <v>30</v>
      </c>
      <c r="K1698" s="9">
        <v>39</v>
      </c>
      <c r="L1698" s="16" t="s">
        <v>26</v>
      </c>
      <c r="M1698" s="16">
        <f t="shared" si="159"/>
        <v>0.92735299990740228</v>
      </c>
      <c r="N1698">
        <f t="shared" si="160"/>
        <v>0</v>
      </c>
      <c r="O1698">
        <f t="shared" si="161"/>
        <v>0</v>
      </c>
      <c r="P1698">
        <f t="shared" si="158"/>
        <v>5350</v>
      </c>
      <c r="Q1698">
        <f t="shared" si="162"/>
        <v>5350</v>
      </c>
      <c r="T1698" s="16">
        <f t="shared" si="163"/>
        <v>0.92735299990740183</v>
      </c>
    </row>
    <row r="1699" spans="7:20" ht="14.4" x14ac:dyDescent="0.25">
      <c r="G1699" s="10">
        <v>7054</v>
      </c>
      <c r="H1699" s="9">
        <v>50336</v>
      </c>
      <c r="I1699" s="14">
        <f>DATE(2012,12,31)-1153</f>
        <v>40121</v>
      </c>
      <c r="J1699" s="15" t="s">
        <v>28</v>
      </c>
      <c r="K1699" s="9">
        <v>9</v>
      </c>
      <c r="L1699" s="16" t="s">
        <v>26</v>
      </c>
      <c r="M1699" s="16">
        <f t="shared" si="159"/>
        <v>-1.1444402986692408</v>
      </c>
      <c r="N1699">
        <f t="shared" si="160"/>
        <v>0</v>
      </c>
      <c r="O1699">
        <f t="shared" si="161"/>
        <v>0</v>
      </c>
      <c r="P1699">
        <f t="shared" si="158"/>
        <v>3850</v>
      </c>
      <c r="Q1699">
        <f t="shared" si="162"/>
        <v>3850</v>
      </c>
      <c r="T1699" s="16">
        <f t="shared" si="163"/>
        <v>-1.1444402986692412</v>
      </c>
    </row>
    <row r="1700" spans="7:20" ht="14.4" x14ac:dyDescent="0.25">
      <c r="G1700" s="10">
        <v>7059</v>
      </c>
      <c r="H1700" s="9">
        <v>50373</v>
      </c>
      <c r="I1700" s="14">
        <f>DATE(2012,12,31)-1278</f>
        <v>39996</v>
      </c>
      <c r="J1700" s="15" t="s">
        <v>30</v>
      </c>
      <c r="K1700" s="9">
        <v>9</v>
      </c>
      <c r="L1700" s="16" t="s">
        <v>26</v>
      </c>
      <c r="M1700" s="16">
        <f t="shared" si="159"/>
        <v>-1.1444402986692408</v>
      </c>
      <c r="N1700">
        <f t="shared" si="160"/>
        <v>0</v>
      </c>
      <c r="O1700">
        <f t="shared" si="161"/>
        <v>0</v>
      </c>
      <c r="P1700">
        <f t="shared" si="158"/>
        <v>3850</v>
      </c>
      <c r="Q1700">
        <f t="shared" si="162"/>
        <v>3850</v>
      </c>
      <c r="T1700" s="16">
        <f t="shared" si="163"/>
        <v>-1.1444402986692412</v>
      </c>
    </row>
    <row r="1701" spans="7:20" ht="14.4" x14ac:dyDescent="0.25">
      <c r="G1701" s="10">
        <v>7086</v>
      </c>
      <c r="H1701" s="9">
        <v>50564</v>
      </c>
      <c r="I1701" s="14">
        <f>DATE(2012,12,31)-304</f>
        <v>40970</v>
      </c>
      <c r="J1701" s="15" t="s">
        <v>17</v>
      </c>
      <c r="K1701" s="9">
        <v>30</v>
      </c>
      <c r="L1701" s="16" t="s">
        <v>26</v>
      </c>
      <c r="M1701" s="16">
        <f t="shared" si="159"/>
        <v>0.30581501033440933</v>
      </c>
      <c r="N1701">
        <f t="shared" si="160"/>
        <v>0</v>
      </c>
      <c r="O1701">
        <f t="shared" si="161"/>
        <v>0</v>
      </c>
      <c r="P1701">
        <f t="shared" si="158"/>
        <v>4900</v>
      </c>
      <c r="Q1701">
        <f t="shared" si="162"/>
        <v>4900</v>
      </c>
      <c r="T1701" s="16">
        <f t="shared" si="163"/>
        <v>0.30581501033440894</v>
      </c>
    </row>
    <row r="1702" spans="7:20" ht="14.4" x14ac:dyDescent="0.25">
      <c r="G1702" s="10">
        <v>7139</v>
      </c>
      <c r="H1702" s="9">
        <v>50949</v>
      </c>
      <c r="I1702" s="14">
        <f>DATE(2012,12,31)-696</f>
        <v>40578</v>
      </c>
      <c r="J1702" s="15" t="s">
        <v>16</v>
      </c>
      <c r="K1702" s="9">
        <v>32</v>
      </c>
      <c r="L1702" s="16" t="s">
        <v>26</v>
      </c>
      <c r="M1702" s="16">
        <f t="shared" si="159"/>
        <v>0.44393456357285216</v>
      </c>
      <c r="N1702">
        <f t="shared" si="160"/>
        <v>0</v>
      </c>
      <c r="O1702">
        <f t="shared" si="161"/>
        <v>0</v>
      </c>
      <c r="P1702">
        <f t="shared" si="158"/>
        <v>5000</v>
      </c>
      <c r="Q1702">
        <f t="shared" si="162"/>
        <v>5000</v>
      </c>
      <c r="T1702" s="16">
        <f t="shared" si="163"/>
        <v>0.44393456357285183</v>
      </c>
    </row>
    <row r="1703" spans="7:20" ht="14.4" x14ac:dyDescent="0.25">
      <c r="G1703" s="10">
        <v>7140</v>
      </c>
      <c r="H1703" s="9">
        <v>50949</v>
      </c>
      <c r="I1703" s="14">
        <f>DATE(2012,12,31)-696</f>
        <v>40578</v>
      </c>
      <c r="J1703" s="15" t="s">
        <v>16</v>
      </c>
      <c r="K1703" s="9">
        <v>46</v>
      </c>
      <c r="L1703" s="16" t="s">
        <v>27</v>
      </c>
      <c r="M1703" s="16">
        <f t="shared" si="159"/>
        <v>1.4107714362419523</v>
      </c>
      <c r="N1703">
        <f t="shared" si="160"/>
        <v>0</v>
      </c>
      <c r="O1703">
        <f t="shared" si="161"/>
        <v>0</v>
      </c>
      <c r="P1703">
        <f t="shared" si="158"/>
        <v>5700</v>
      </c>
      <c r="Q1703">
        <f t="shared" si="162"/>
        <v>5700</v>
      </c>
      <c r="T1703" s="16">
        <f t="shared" si="163"/>
        <v>1.4107714362419519</v>
      </c>
    </row>
    <row r="1704" spans="7:20" ht="14.4" x14ac:dyDescent="0.25">
      <c r="G1704" s="10">
        <v>7198</v>
      </c>
      <c r="H1704" s="9">
        <v>51361</v>
      </c>
      <c r="I1704" s="14">
        <f>DATE(2012,12,31)-654</f>
        <v>40620</v>
      </c>
      <c r="J1704" s="15" t="s">
        <v>25</v>
      </c>
      <c r="K1704" s="9">
        <v>14</v>
      </c>
      <c r="L1704" s="16" t="s">
        <v>26</v>
      </c>
      <c r="M1704" s="16">
        <f t="shared" si="159"/>
        <v>-0.79914141557313367</v>
      </c>
      <c r="N1704">
        <f t="shared" si="160"/>
        <v>0</v>
      </c>
      <c r="O1704">
        <f t="shared" si="161"/>
        <v>0</v>
      </c>
      <c r="P1704">
        <f t="shared" si="158"/>
        <v>4100</v>
      </c>
      <c r="Q1704">
        <f t="shared" si="162"/>
        <v>4100</v>
      </c>
      <c r="T1704" s="16">
        <f t="shared" si="163"/>
        <v>-0.79914141557313401</v>
      </c>
    </row>
    <row r="1705" spans="7:20" ht="14.4" x14ac:dyDescent="0.25">
      <c r="G1705" s="10">
        <v>7199</v>
      </c>
      <c r="H1705" s="9">
        <v>51361</v>
      </c>
      <c r="I1705" s="14">
        <f>DATE(2012,12,31)-654</f>
        <v>40620</v>
      </c>
      <c r="J1705" s="15" t="s">
        <v>30</v>
      </c>
      <c r="K1705" s="9">
        <v>50</v>
      </c>
      <c r="L1705" s="16" t="s">
        <v>29</v>
      </c>
      <c r="M1705" s="16">
        <f t="shared" si="159"/>
        <v>1.687010542718838</v>
      </c>
      <c r="N1705">
        <f t="shared" si="160"/>
        <v>0</v>
      </c>
      <c r="O1705">
        <f t="shared" si="161"/>
        <v>0</v>
      </c>
      <c r="P1705">
        <f t="shared" si="158"/>
        <v>5900</v>
      </c>
      <c r="Q1705">
        <f t="shared" si="162"/>
        <v>5900</v>
      </c>
      <c r="T1705" s="16">
        <f t="shared" si="163"/>
        <v>1.6870105427188375</v>
      </c>
    </row>
    <row r="1706" spans="7:20" ht="14.4" x14ac:dyDescent="0.25">
      <c r="G1706" s="10">
        <v>7258</v>
      </c>
      <c r="H1706" s="9">
        <v>51780</v>
      </c>
      <c r="I1706" s="14">
        <f>DATE(2012,12,31)-891</f>
        <v>40383</v>
      </c>
      <c r="J1706" s="15" t="s">
        <v>25</v>
      </c>
      <c r="K1706" s="9">
        <v>42</v>
      </c>
      <c r="L1706" s="16" t="s">
        <v>26</v>
      </c>
      <c r="M1706" s="16">
        <f t="shared" si="159"/>
        <v>1.1345323297650665</v>
      </c>
      <c r="N1706">
        <f t="shared" si="160"/>
        <v>0</v>
      </c>
      <c r="O1706">
        <f t="shared" si="161"/>
        <v>0</v>
      </c>
      <c r="P1706">
        <f t="shared" si="158"/>
        <v>5500</v>
      </c>
      <c r="Q1706">
        <f t="shared" si="162"/>
        <v>5500</v>
      </c>
      <c r="T1706" s="16">
        <f t="shared" si="163"/>
        <v>1.1345323297650662</v>
      </c>
    </row>
    <row r="1707" spans="7:20" ht="14.4" x14ac:dyDescent="0.25">
      <c r="G1707" s="10">
        <v>7278</v>
      </c>
      <c r="H1707" s="9">
        <v>51940</v>
      </c>
      <c r="I1707" s="14">
        <f>DATE(2012,12,31)-75</f>
        <v>41199</v>
      </c>
      <c r="J1707" s="15" t="s">
        <v>17</v>
      </c>
      <c r="K1707" s="9">
        <v>11</v>
      </c>
      <c r="L1707" s="16" t="s">
        <v>27</v>
      </c>
      <c r="M1707" s="16">
        <f t="shared" si="159"/>
        <v>-1.0063207454307979</v>
      </c>
      <c r="N1707">
        <f t="shared" si="160"/>
        <v>0</v>
      </c>
      <c r="O1707">
        <f t="shared" si="161"/>
        <v>0</v>
      </c>
      <c r="P1707">
        <f t="shared" si="158"/>
        <v>3950</v>
      </c>
      <c r="Q1707">
        <f t="shared" si="162"/>
        <v>3950</v>
      </c>
      <c r="T1707" s="16">
        <f t="shared" si="163"/>
        <v>-1.0063207454307983</v>
      </c>
    </row>
    <row r="1708" spans="7:20" ht="14.4" x14ac:dyDescent="0.25">
      <c r="G1708" s="10">
        <v>7305</v>
      </c>
      <c r="H1708" s="9">
        <v>52071</v>
      </c>
      <c r="I1708" s="14">
        <f>DATE(2012,12,31)-400</f>
        <v>40874</v>
      </c>
      <c r="J1708" s="15" t="s">
        <v>28</v>
      </c>
      <c r="K1708" s="9">
        <v>14</v>
      </c>
      <c r="L1708" s="16" t="s">
        <v>26</v>
      </c>
      <c r="M1708" s="16">
        <f t="shared" si="159"/>
        <v>-0.79914141557313367</v>
      </c>
      <c r="N1708">
        <f t="shared" si="160"/>
        <v>0</v>
      </c>
      <c r="O1708">
        <f t="shared" si="161"/>
        <v>0</v>
      </c>
      <c r="P1708">
        <f t="shared" si="158"/>
        <v>4100</v>
      </c>
      <c r="Q1708">
        <f t="shared" si="162"/>
        <v>4100</v>
      </c>
      <c r="T1708" s="16">
        <f t="shared" si="163"/>
        <v>-0.79914141557313401</v>
      </c>
    </row>
    <row r="1709" spans="7:20" ht="14.4" x14ac:dyDescent="0.25">
      <c r="G1709" s="10">
        <v>7306</v>
      </c>
      <c r="H1709" s="9">
        <v>52071</v>
      </c>
      <c r="I1709" s="14">
        <f>DATE(2012,12,31)-400</f>
        <v>40874</v>
      </c>
      <c r="J1709" s="15" t="s">
        <v>28</v>
      </c>
      <c r="K1709" s="9">
        <v>1</v>
      </c>
      <c r="L1709" s="16" t="s">
        <v>29</v>
      </c>
      <c r="M1709" s="16">
        <f t="shared" si="159"/>
        <v>-1.6969185116230123</v>
      </c>
      <c r="N1709">
        <f t="shared" si="160"/>
        <v>0</v>
      </c>
      <c r="O1709">
        <f t="shared" si="161"/>
        <v>0</v>
      </c>
      <c r="P1709">
        <f t="shared" si="158"/>
        <v>3450</v>
      </c>
      <c r="Q1709">
        <f t="shared" si="162"/>
        <v>3450</v>
      </c>
      <c r="T1709" s="16">
        <f t="shared" si="163"/>
        <v>-1.6969185116230128</v>
      </c>
    </row>
    <row r="1710" spans="7:20" ht="14.4" x14ac:dyDescent="0.25">
      <c r="G1710" s="10">
        <v>7449</v>
      </c>
      <c r="H1710" s="9">
        <v>53152</v>
      </c>
      <c r="I1710" s="14">
        <f>DATE(2012,12,31)-1397</f>
        <v>39877</v>
      </c>
      <c r="J1710" s="15" t="s">
        <v>16</v>
      </c>
      <c r="K1710" s="9">
        <v>5</v>
      </c>
      <c r="L1710" s="16" t="s">
        <v>27</v>
      </c>
      <c r="M1710" s="16">
        <f t="shared" si="159"/>
        <v>-1.4206794051461267</v>
      </c>
      <c r="N1710">
        <f t="shared" si="160"/>
        <v>0</v>
      </c>
      <c r="O1710">
        <f t="shared" si="161"/>
        <v>0</v>
      </c>
      <c r="P1710">
        <f t="shared" si="158"/>
        <v>3650</v>
      </c>
      <c r="Q1710">
        <f t="shared" si="162"/>
        <v>3650</v>
      </c>
      <c r="T1710" s="16">
        <f t="shared" si="163"/>
        <v>-1.4206794051461269</v>
      </c>
    </row>
    <row r="1711" spans="7:20" ht="14.4" x14ac:dyDescent="0.25">
      <c r="G1711" s="10">
        <v>7450</v>
      </c>
      <c r="H1711" s="9">
        <v>53152</v>
      </c>
      <c r="I1711" s="14">
        <f>DATE(2012,12,31)-1397</f>
        <v>39877</v>
      </c>
      <c r="J1711" s="15" t="s">
        <v>16</v>
      </c>
      <c r="K1711" s="9">
        <v>9</v>
      </c>
      <c r="L1711" s="16" t="s">
        <v>29</v>
      </c>
      <c r="M1711" s="16">
        <f t="shared" si="159"/>
        <v>-1.1444402986692408</v>
      </c>
      <c r="N1711">
        <f t="shared" si="160"/>
        <v>0</v>
      </c>
      <c r="O1711">
        <f t="shared" si="161"/>
        <v>0</v>
      </c>
      <c r="P1711">
        <f t="shared" si="158"/>
        <v>3850</v>
      </c>
      <c r="Q1711">
        <f t="shared" si="162"/>
        <v>3850</v>
      </c>
      <c r="T1711" s="16">
        <f t="shared" si="163"/>
        <v>-1.1444402986692412</v>
      </c>
    </row>
    <row r="1712" spans="7:20" ht="14.4" x14ac:dyDescent="0.25">
      <c r="G1712" s="10">
        <v>7451</v>
      </c>
      <c r="H1712" s="9">
        <v>53152</v>
      </c>
      <c r="I1712" s="14">
        <f>DATE(2012,12,31)-1397</f>
        <v>39877</v>
      </c>
      <c r="J1712" s="15" t="s">
        <v>16</v>
      </c>
      <c r="K1712" s="9">
        <v>9</v>
      </c>
      <c r="L1712" s="16" t="s">
        <v>26</v>
      </c>
      <c r="M1712" s="16">
        <f t="shared" si="159"/>
        <v>-1.1444402986692408</v>
      </c>
      <c r="N1712">
        <f t="shared" si="160"/>
        <v>0</v>
      </c>
      <c r="O1712">
        <f t="shared" si="161"/>
        <v>0</v>
      </c>
      <c r="P1712">
        <f t="shared" si="158"/>
        <v>3850</v>
      </c>
      <c r="Q1712">
        <f t="shared" si="162"/>
        <v>3850</v>
      </c>
      <c r="T1712" s="16">
        <f t="shared" si="163"/>
        <v>-1.1444402986692412</v>
      </c>
    </row>
    <row r="1713" spans="7:20" ht="14.4" x14ac:dyDescent="0.25">
      <c r="G1713" s="10">
        <v>7573</v>
      </c>
      <c r="H1713" s="9">
        <v>54177</v>
      </c>
      <c r="I1713" s="14">
        <f>DATE(2012,12,31)-341</f>
        <v>40933</v>
      </c>
      <c r="J1713" s="15" t="s">
        <v>30</v>
      </c>
      <c r="K1713" s="9">
        <v>12</v>
      </c>
      <c r="L1713" s="16" t="s">
        <v>26</v>
      </c>
      <c r="M1713" s="16">
        <f t="shared" si="159"/>
        <v>-0.9372609688115765</v>
      </c>
      <c r="N1713">
        <f t="shared" si="160"/>
        <v>0</v>
      </c>
      <c r="O1713">
        <f t="shared" si="161"/>
        <v>0</v>
      </c>
      <c r="P1713">
        <f t="shared" si="158"/>
        <v>4000</v>
      </c>
      <c r="Q1713">
        <f t="shared" si="162"/>
        <v>4000</v>
      </c>
      <c r="T1713" s="16">
        <f t="shared" si="163"/>
        <v>-0.93726096881157694</v>
      </c>
    </row>
    <row r="1714" spans="7:20" ht="14.4" x14ac:dyDescent="0.25">
      <c r="G1714" s="10">
        <v>7574</v>
      </c>
      <c r="H1714" s="9">
        <v>54177</v>
      </c>
      <c r="I1714" s="14">
        <f>DATE(2012,12,31)-341</f>
        <v>40933</v>
      </c>
      <c r="J1714" s="15" t="s">
        <v>30</v>
      </c>
      <c r="K1714" s="9">
        <v>25</v>
      </c>
      <c r="L1714" s="16" t="s">
        <v>26</v>
      </c>
      <c r="M1714" s="16">
        <f t="shared" si="159"/>
        <v>-3.9483872761697868E-2</v>
      </c>
      <c r="N1714">
        <f t="shared" si="160"/>
        <v>0</v>
      </c>
      <c r="O1714">
        <f t="shared" si="161"/>
        <v>0</v>
      </c>
      <c r="P1714">
        <f t="shared" si="158"/>
        <v>4650</v>
      </c>
      <c r="Q1714">
        <f t="shared" si="162"/>
        <v>4650</v>
      </c>
      <c r="T1714" s="16">
        <f t="shared" si="163"/>
        <v>-3.9483872761698249E-2</v>
      </c>
    </row>
    <row r="1715" spans="7:20" ht="14.4" x14ac:dyDescent="0.25">
      <c r="G1715" s="10">
        <v>7688</v>
      </c>
      <c r="H1715" s="9">
        <v>55107</v>
      </c>
      <c r="I1715" s="14">
        <f>DATE(2012,12,31)-968</f>
        <v>40306</v>
      </c>
      <c r="J1715" s="15" t="s">
        <v>25</v>
      </c>
      <c r="K1715" s="9">
        <v>32</v>
      </c>
      <c r="L1715" s="16" t="s">
        <v>26</v>
      </c>
      <c r="M1715" s="16">
        <f t="shared" si="159"/>
        <v>0.44393456357285216</v>
      </c>
      <c r="N1715">
        <f t="shared" si="160"/>
        <v>0</v>
      </c>
      <c r="O1715">
        <f t="shared" si="161"/>
        <v>0</v>
      </c>
      <c r="P1715">
        <f t="shared" si="158"/>
        <v>5000</v>
      </c>
      <c r="Q1715">
        <f t="shared" si="162"/>
        <v>5000</v>
      </c>
      <c r="T1715" s="16">
        <f t="shared" si="163"/>
        <v>0.44393456357285183</v>
      </c>
    </row>
    <row r="1716" spans="7:20" ht="14.4" x14ac:dyDescent="0.25">
      <c r="G1716" s="10">
        <v>7750</v>
      </c>
      <c r="H1716" s="9">
        <v>55461</v>
      </c>
      <c r="I1716" s="14">
        <f>DATE(2012,12,31)-1190</f>
        <v>40084</v>
      </c>
      <c r="J1716" s="15" t="s">
        <v>16</v>
      </c>
      <c r="K1716" s="9">
        <v>16</v>
      </c>
      <c r="L1716" s="16" t="s">
        <v>29</v>
      </c>
      <c r="M1716" s="16">
        <f t="shared" si="159"/>
        <v>-0.66102186233469074</v>
      </c>
      <c r="N1716">
        <f t="shared" si="160"/>
        <v>0</v>
      </c>
      <c r="O1716">
        <f t="shared" si="161"/>
        <v>0</v>
      </c>
      <c r="P1716">
        <f t="shared" si="158"/>
        <v>4200</v>
      </c>
      <c r="Q1716">
        <f t="shared" si="162"/>
        <v>4200</v>
      </c>
      <c r="T1716" s="16">
        <f t="shared" si="163"/>
        <v>-0.66102186233469118</v>
      </c>
    </row>
    <row r="1717" spans="7:20" ht="14.4" x14ac:dyDescent="0.25">
      <c r="G1717" s="10">
        <v>7760</v>
      </c>
      <c r="H1717" s="9">
        <v>55526</v>
      </c>
      <c r="I1717" s="14">
        <f>DATE(2012,12,31)-182</f>
        <v>41092</v>
      </c>
      <c r="J1717" s="15" t="s">
        <v>17</v>
      </c>
      <c r="K1717" s="9">
        <v>23</v>
      </c>
      <c r="L1717" s="16" t="s">
        <v>26</v>
      </c>
      <c r="M1717" s="16">
        <f t="shared" si="159"/>
        <v>-0.17760342600014073</v>
      </c>
      <c r="N1717">
        <f t="shared" si="160"/>
        <v>0</v>
      </c>
      <c r="O1717">
        <f t="shared" si="161"/>
        <v>0</v>
      </c>
      <c r="P1717">
        <f t="shared" si="158"/>
        <v>4550</v>
      </c>
      <c r="Q1717">
        <f t="shared" si="162"/>
        <v>4550</v>
      </c>
      <c r="T1717" s="16">
        <f t="shared" si="163"/>
        <v>-0.17760342600014112</v>
      </c>
    </row>
    <row r="1718" spans="7:20" ht="14.4" x14ac:dyDescent="0.25">
      <c r="G1718" s="10">
        <v>7829</v>
      </c>
      <c r="H1718" s="9">
        <v>55969</v>
      </c>
      <c r="I1718" s="14">
        <f>DATE(2012,12,31)-819</f>
        <v>40455</v>
      </c>
      <c r="J1718" s="15" t="s">
        <v>16</v>
      </c>
      <c r="K1718" s="9">
        <v>37</v>
      </c>
      <c r="L1718" s="16" t="s">
        <v>26</v>
      </c>
      <c r="M1718" s="16">
        <f t="shared" si="159"/>
        <v>0.78923344666895934</v>
      </c>
      <c r="N1718">
        <f t="shared" si="160"/>
        <v>0</v>
      </c>
      <c r="O1718">
        <f t="shared" si="161"/>
        <v>0</v>
      </c>
      <c r="P1718">
        <f t="shared" si="158"/>
        <v>5250</v>
      </c>
      <c r="Q1718">
        <f t="shared" si="162"/>
        <v>5250</v>
      </c>
      <c r="T1718" s="16">
        <f t="shared" si="163"/>
        <v>0.789233446668959</v>
      </c>
    </row>
    <row r="1719" spans="7:20" ht="14.4" x14ac:dyDescent="0.25">
      <c r="G1719" s="10">
        <v>7996</v>
      </c>
      <c r="H1719" s="9">
        <v>57153</v>
      </c>
      <c r="I1719" s="14">
        <f>DATE(2012,12,31)-1315</f>
        <v>39959</v>
      </c>
      <c r="J1719" s="15" t="s">
        <v>30</v>
      </c>
      <c r="K1719" s="9">
        <v>9</v>
      </c>
      <c r="L1719" s="16" t="s">
        <v>26</v>
      </c>
      <c r="M1719" s="16">
        <f t="shared" si="159"/>
        <v>-1.1444402986692408</v>
      </c>
      <c r="N1719">
        <f t="shared" si="160"/>
        <v>0</v>
      </c>
      <c r="O1719">
        <f t="shared" si="161"/>
        <v>0</v>
      </c>
      <c r="P1719">
        <f t="shared" si="158"/>
        <v>3850</v>
      </c>
      <c r="Q1719">
        <f t="shared" si="162"/>
        <v>3850</v>
      </c>
      <c r="T1719" s="16">
        <f t="shared" si="163"/>
        <v>-1.1444402986692412</v>
      </c>
    </row>
    <row r="1720" spans="7:20" ht="14.4" x14ac:dyDescent="0.25">
      <c r="G1720" s="10">
        <v>7997</v>
      </c>
      <c r="H1720" s="9">
        <v>57153</v>
      </c>
      <c r="I1720" s="14">
        <f>DATE(2012,12,31)-1315</f>
        <v>39959</v>
      </c>
      <c r="J1720" s="15" t="s">
        <v>30</v>
      </c>
      <c r="K1720" s="9">
        <v>45</v>
      </c>
      <c r="L1720" s="16" t="s">
        <v>26</v>
      </c>
      <c r="M1720" s="16">
        <f t="shared" si="159"/>
        <v>1.3417116596227308</v>
      </c>
      <c r="N1720">
        <f t="shared" si="160"/>
        <v>0</v>
      </c>
      <c r="O1720">
        <f t="shared" si="161"/>
        <v>0</v>
      </c>
      <c r="P1720">
        <f t="shared" si="158"/>
        <v>5650</v>
      </c>
      <c r="Q1720">
        <f t="shared" si="162"/>
        <v>5650</v>
      </c>
      <c r="T1720" s="16">
        <f t="shared" si="163"/>
        <v>1.3417116596227305</v>
      </c>
    </row>
    <row r="1721" spans="7:20" ht="14.4" x14ac:dyDescent="0.25">
      <c r="G1721" s="10">
        <v>8065</v>
      </c>
      <c r="H1721" s="9">
        <v>57538</v>
      </c>
      <c r="I1721" s="14">
        <f>DATE(2012,12,31)-1045</f>
        <v>40229</v>
      </c>
      <c r="J1721" s="15" t="s">
        <v>30</v>
      </c>
      <c r="K1721" s="9">
        <v>40</v>
      </c>
      <c r="L1721" s="16" t="s">
        <v>29</v>
      </c>
      <c r="M1721" s="16">
        <f t="shared" si="159"/>
        <v>0.99641277652662363</v>
      </c>
      <c r="N1721">
        <f t="shared" si="160"/>
        <v>0</v>
      </c>
      <c r="O1721">
        <f t="shared" si="161"/>
        <v>0</v>
      </c>
      <c r="P1721">
        <f t="shared" si="158"/>
        <v>5400</v>
      </c>
      <c r="Q1721">
        <f t="shared" si="162"/>
        <v>5400</v>
      </c>
      <c r="T1721" s="16">
        <f t="shared" si="163"/>
        <v>0.9964127765266233</v>
      </c>
    </row>
    <row r="1722" spans="7:20" ht="14.4" x14ac:dyDescent="0.25">
      <c r="G1722" s="10">
        <v>8201</v>
      </c>
      <c r="H1722" s="9">
        <v>58656</v>
      </c>
      <c r="I1722" s="14">
        <f>DATE(2012,12,31)-758</f>
        <v>40516</v>
      </c>
      <c r="J1722" s="15" t="s">
        <v>17</v>
      </c>
      <c r="K1722" s="9">
        <v>5</v>
      </c>
      <c r="L1722" s="16" t="s">
        <v>26</v>
      </c>
      <c r="M1722" s="16">
        <f t="shared" si="159"/>
        <v>-1.4206794051461267</v>
      </c>
      <c r="N1722">
        <f t="shared" si="160"/>
        <v>0</v>
      </c>
      <c r="O1722">
        <f t="shared" si="161"/>
        <v>0</v>
      </c>
      <c r="P1722">
        <f t="shared" si="158"/>
        <v>3650</v>
      </c>
      <c r="Q1722">
        <f t="shared" si="162"/>
        <v>3650</v>
      </c>
      <c r="T1722" s="16">
        <f t="shared" si="163"/>
        <v>-1.4206794051461269</v>
      </c>
    </row>
    <row r="1723" spans="7:20" ht="14.4" x14ac:dyDescent="0.25">
      <c r="G1723" s="10">
        <v>8202</v>
      </c>
      <c r="H1723" s="9">
        <v>58656</v>
      </c>
      <c r="I1723" s="14">
        <f>DATE(2012,12,31)-758</f>
        <v>40516</v>
      </c>
      <c r="J1723" s="15" t="s">
        <v>17</v>
      </c>
      <c r="K1723" s="9">
        <v>3</v>
      </c>
      <c r="L1723" s="16" t="s">
        <v>29</v>
      </c>
      <c r="M1723" s="16">
        <f t="shared" si="159"/>
        <v>-1.5587989583845694</v>
      </c>
      <c r="N1723">
        <f t="shared" si="160"/>
        <v>0</v>
      </c>
      <c r="O1723">
        <f t="shared" si="161"/>
        <v>0</v>
      </c>
      <c r="P1723">
        <f t="shared" si="158"/>
        <v>3550</v>
      </c>
      <c r="Q1723">
        <f t="shared" si="162"/>
        <v>3550</v>
      </c>
      <c r="T1723" s="16">
        <f t="shared" si="163"/>
        <v>-1.5587989583845698</v>
      </c>
    </row>
    <row r="1724" spans="7:20" ht="14.4" x14ac:dyDescent="0.25">
      <c r="G1724" s="10">
        <v>8226</v>
      </c>
      <c r="H1724" s="9">
        <v>58789</v>
      </c>
      <c r="I1724" s="14">
        <f>DATE(2012,12,31)-879</f>
        <v>40395</v>
      </c>
      <c r="J1724" s="15" t="s">
        <v>25</v>
      </c>
      <c r="K1724" s="9">
        <v>26</v>
      </c>
      <c r="L1724" s="16" t="s">
        <v>26</v>
      </c>
      <c r="M1724" s="16">
        <f t="shared" si="159"/>
        <v>2.9575903857523567E-2</v>
      </c>
      <c r="N1724">
        <f t="shared" si="160"/>
        <v>0</v>
      </c>
      <c r="O1724">
        <f t="shared" si="161"/>
        <v>0</v>
      </c>
      <c r="P1724">
        <f t="shared" si="158"/>
        <v>4700</v>
      </c>
      <c r="Q1724">
        <f t="shared" si="162"/>
        <v>4700</v>
      </c>
      <c r="T1724" s="16">
        <f t="shared" si="163"/>
        <v>2.9575903857523185E-2</v>
      </c>
    </row>
    <row r="1725" spans="7:20" ht="14.4" x14ac:dyDescent="0.25">
      <c r="G1725" s="10">
        <v>8227</v>
      </c>
      <c r="H1725" s="9">
        <v>58789</v>
      </c>
      <c r="I1725" s="14">
        <f>DATE(2012,12,31)-879</f>
        <v>40395</v>
      </c>
      <c r="J1725" s="15" t="s">
        <v>25</v>
      </c>
      <c r="K1725" s="9">
        <v>38</v>
      </c>
      <c r="L1725" s="16" t="s">
        <v>29</v>
      </c>
      <c r="M1725" s="16">
        <f t="shared" si="159"/>
        <v>0.85829322328818081</v>
      </c>
      <c r="N1725">
        <f t="shared" si="160"/>
        <v>0</v>
      </c>
      <c r="O1725">
        <f t="shared" si="161"/>
        <v>0</v>
      </c>
      <c r="P1725">
        <f t="shared" si="158"/>
        <v>5300</v>
      </c>
      <c r="Q1725">
        <f t="shared" si="162"/>
        <v>5300</v>
      </c>
      <c r="T1725" s="16">
        <f t="shared" si="163"/>
        <v>0.85829322328818036</v>
      </c>
    </row>
    <row r="1726" spans="7:20" ht="14.4" x14ac:dyDescent="0.25">
      <c r="G1726" s="10">
        <v>8280</v>
      </c>
      <c r="H1726" s="9">
        <v>59200</v>
      </c>
      <c r="I1726" s="14">
        <f>DATE(2012,12,31)-388</f>
        <v>40886</v>
      </c>
      <c r="J1726" s="15" t="s">
        <v>16</v>
      </c>
      <c r="K1726" s="9">
        <v>4</v>
      </c>
      <c r="L1726" s="16" t="s">
        <v>26</v>
      </c>
      <c r="M1726" s="16">
        <f t="shared" si="159"/>
        <v>-1.489739181765348</v>
      </c>
      <c r="N1726">
        <f t="shared" si="160"/>
        <v>0</v>
      </c>
      <c r="O1726">
        <f t="shared" si="161"/>
        <v>0</v>
      </c>
      <c r="P1726">
        <f t="shared" si="158"/>
        <v>3600</v>
      </c>
      <c r="Q1726">
        <f t="shared" si="162"/>
        <v>3600</v>
      </c>
      <c r="T1726" s="16">
        <f t="shared" si="163"/>
        <v>-1.4897391817653485</v>
      </c>
    </row>
    <row r="1727" spans="7:20" ht="14.4" x14ac:dyDescent="0.25">
      <c r="G1727" s="10">
        <v>8281</v>
      </c>
      <c r="H1727" s="9">
        <v>59200</v>
      </c>
      <c r="I1727" s="14">
        <f>DATE(2012,12,31)-388</f>
        <v>40886</v>
      </c>
      <c r="J1727" s="15" t="s">
        <v>16</v>
      </c>
      <c r="K1727" s="9">
        <v>28</v>
      </c>
      <c r="L1727" s="16" t="s">
        <v>26</v>
      </c>
      <c r="M1727" s="16">
        <f t="shared" si="159"/>
        <v>0.16769545709596645</v>
      </c>
      <c r="N1727">
        <f t="shared" si="160"/>
        <v>0</v>
      </c>
      <c r="O1727">
        <f t="shared" si="161"/>
        <v>0</v>
      </c>
      <c r="P1727">
        <f t="shared" si="158"/>
        <v>4800</v>
      </c>
      <c r="Q1727">
        <f t="shared" si="162"/>
        <v>4800</v>
      </c>
      <c r="T1727" s="16">
        <f t="shared" si="163"/>
        <v>0.16769545709596606</v>
      </c>
    </row>
    <row r="1728" spans="7:20" ht="14.4" x14ac:dyDescent="0.25">
      <c r="G1728" s="10">
        <v>8321</v>
      </c>
      <c r="H1728" s="9">
        <v>59459</v>
      </c>
      <c r="I1728" s="14">
        <f>DATE(2012,12,31)-1426</f>
        <v>39848</v>
      </c>
      <c r="J1728" s="15" t="s">
        <v>16</v>
      </c>
      <c r="K1728" s="9">
        <v>40</v>
      </c>
      <c r="L1728" s="16" t="s">
        <v>27</v>
      </c>
      <c r="M1728" s="16">
        <f t="shared" si="159"/>
        <v>0.99641277652662363</v>
      </c>
      <c r="N1728">
        <f t="shared" si="160"/>
        <v>0</v>
      </c>
      <c r="O1728">
        <f t="shared" si="161"/>
        <v>0</v>
      </c>
      <c r="P1728">
        <f t="shared" si="158"/>
        <v>5400</v>
      </c>
      <c r="Q1728">
        <f t="shared" si="162"/>
        <v>5400</v>
      </c>
      <c r="T1728" s="16">
        <f t="shared" si="163"/>
        <v>0.9964127765266233</v>
      </c>
    </row>
    <row r="1729" spans="7:20" ht="14.4" x14ac:dyDescent="0.25">
      <c r="G1729" s="10">
        <v>8379</v>
      </c>
      <c r="H1729" s="9">
        <v>59878</v>
      </c>
      <c r="I1729" s="14">
        <f>DATE(2012,12,31)-217</f>
        <v>41057</v>
      </c>
      <c r="J1729" s="15" t="s">
        <v>17</v>
      </c>
      <c r="K1729" s="9">
        <v>6</v>
      </c>
      <c r="L1729" s="16" t="s">
        <v>27</v>
      </c>
      <c r="M1729" s="16">
        <f t="shared" si="159"/>
        <v>-1.3516196285269051</v>
      </c>
      <c r="N1729">
        <f t="shared" si="160"/>
        <v>0</v>
      </c>
      <c r="O1729">
        <f t="shared" si="161"/>
        <v>0</v>
      </c>
      <c r="P1729">
        <f t="shared" si="158"/>
        <v>3700</v>
      </c>
      <c r="Q1729">
        <f t="shared" si="162"/>
        <v>3700</v>
      </c>
      <c r="T1729" s="16">
        <f t="shared" si="163"/>
        <v>-1.3516196285269055</v>
      </c>
    </row>
    <row r="1730" spans="7:20" ht="14.4" x14ac:dyDescent="0.25">
      <c r="G1730" s="10">
        <v>8380</v>
      </c>
      <c r="H1730" s="9">
        <v>59878</v>
      </c>
      <c r="I1730" s="14">
        <f>DATE(2012,12,31)-217</f>
        <v>41057</v>
      </c>
      <c r="J1730" s="15" t="s">
        <v>17</v>
      </c>
      <c r="K1730" s="9">
        <v>23</v>
      </c>
      <c r="L1730" s="16" t="s">
        <v>26</v>
      </c>
      <c r="M1730" s="16">
        <f t="shared" si="159"/>
        <v>-0.17760342600014073</v>
      </c>
      <c r="N1730">
        <f t="shared" si="160"/>
        <v>0</v>
      </c>
      <c r="O1730">
        <f t="shared" si="161"/>
        <v>0</v>
      </c>
      <c r="P1730">
        <f t="shared" si="158"/>
        <v>4550</v>
      </c>
      <c r="Q1730">
        <f t="shared" si="162"/>
        <v>4550</v>
      </c>
      <c r="T1730" s="16">
        <f t="shared" si="163"/>
        <v>-0.17760342600014112</v>
      </c>
    </row>
    <row r="1731" spans="7:20" ht="14.4" x14ac:dyDescent="0.25">
      <c r="G1731" s="10">
        <v>8386</v>
      </c>
      <c r="H1731" s="9">
        <v>59909</v>
      </c>
      <c r="I1731" s="14">
        <f>DATE(2012,12,31)-148</f>
        <v>41126</v>
      </c>
      <c r="J1731" s="15" t="s">
        <v>25</v>
      </c>
      <c r="K1731" s="9">
        <v>11</v>
      </c>
      <c r="L1731" s="16" t="s">
        <v>27</v>
      </c>
      <c r="M1731" s="16">
        <f t="shared" si="159"/>
        <v>-1.0063207454307979</v>
      </c>
      <c r="N1731">
        <f t="shared" si="160"/>
        <v>0</v>
      </c>
      <c r="O1731">
        <f t="shared" si="161"/>
        <v>0</v>
      </c>
      <c r="P1731">
        <f t="shared" si="158"/>
        <v>3950</v>
      </c>
      <c r="Q1731">
        <f t="shared" si="162"/>
        <v>3950</v>
      </c>
      <c r="T1731" s="16">
        <f t="shared" si="163"/>
        <v>-1.0063207454307983</v>
      </c>
    </row>
    <row r="1732" spans="7:20" ht="14.4" x14ac:dyDescent="0.25">
      <c r="G1732" s="10">
        <v>8387</v>
      </c>
      <c r="H1732" s="9">
        <v>59909</v>
      </c>
      <c r="I1732" s="14">
        <f>DATE(2012,12,31)-148</f>
        <v>41126</v>
      </c>
      <c r="J1732" s="15" t="s">
        <v>25</v>
      </c>
      <c r="K1732" s="9">
        <v>46</v>
      </c>
      <c r="L1732" s="16" t="s">
        <v>26</v>
      </c>
      <c r="M1732" s="16">
        <f t="shared" si="159"/>
        <v>1.4107714362419523</v>
      </c>
      <c r="N1732">
        <f t="shared" si="160"/>
        <v>0</v>
      </c>
      <c r="O1732">
        <f t="shared" si="161"/>
        <v>0</v>
      </c>
      <c r="P1732">
        <f t="shared" si="158"/>
        <v>5700</v>
      </c>
      <c r="Q1732">
        <f t="shared" si="162"/>
        <v>5700</v>
      </c>
      <c r="T1732" s="16">
        <f t="shared" si="163"/>
        <v>1.4107714362419519</v>
      </c>
    </row>
    <row r="1733" spans="7:20" ht="14.4" x14ac:dyDescent="0.25">
      <c r="G1733" s="10">
        <v>184</v>
      </c>
      <c r="H1733" s="9">
        <v>1218</v>
      </c>
      <c r="I1733" s="14">
        <f>DATE(2012,12,31)-1291</f>
        <v>39983</v>
      </c>
      <c r="J1733" s="15" t="s">
        <v>28</v>
      </c>
      <c r="K1733" s="9">
        <v>3</v>
      </c>
      <c r="L1733" s="16" t="s">
        <v>26</v>
      </c>
      <c r="M1733" s="16">
        <f t="shared" si="159"/>
        <v>-1.5587989583845694</v>
      </c>
      <c r="N1733">
        <f t="shared" si="160"/>
        <v>0</v>
      </c>
      <c r="O1733">
        <f t="shared" si="161"/>
        <v>0</v>
      </c>
      <c r="P1733">
        <f t="shared" si="158"/>
        <v>3550</v>
      </c>
      <c r="Q1733">
        <f t="shared" si="162"/>
        <v>3550</v>
      </c>
      <c r="T1733" s="16">
        <f t="shared" si="163"/>
        <v>-1.5587989583845698</v>
      </c>
    </row>
    <row r="1734" spans="7:20" ht="14.4" x14ac:dyDescent="0.25">
      <c r="G1734" s="10">
        <v>237</v>
      </c>
      <c r="H1734" s="9">
        <v>1600</v>
      </c>
      <c r="I1734" s="14">
        <f>DATE(2012,12,31)-1035</f>
        <v>40239</v>
      </c>
      <c r="J1734" s="15" t="s">
        <v>16</v>
      </c>
      <c r="K1734" s="9">
        <v>32</v>
      </c>
      <c r="L1734" s="16" t="s">
        <v>29</v>
      </c>
      <c r="M1734" s="16">
        <f t="shared" si="159"/>
        <v>0.44393456357285216</v>
      </c>
      <c r="N1734">
        <f t="shared" si="160"/>
        <v>0</v>
      </c>
      <c r="O1734">
        <f t="shared" si="161"/>
        <v>0</v>
      </c>
      <c r="P1734">
        <f t="shared" si="158"/>
        <v>5000</v>
      </c>
      <c r="Q1734">
        <f t="shared" si="162"/>
        <v>5000</v>
      </c>
      <c r="T1734" s="16">
        <f t="shared" si="163"/>
        <v>0.44393456357285183</v>
      </c>
    </row>
    <row r="1735" spans="7:20" ht="14.4" x14ac:dyDescent="0.25">
      <c r="G1735" s="10">
        <v>238</v>
      </c>
      <c r="H1735" s="9">
        <v>1600</v>
      </c>
      <c r="I1735" s="14">
        <f>DATE(2012,12,31)-1035</f>
        <v>40239</v>
      </c>
      <c r="J1735" s="15" t="s">
        <v>16</v>
      </c>
      <c r="K1735" s="9">
        <v>36</v>
      </c>
      <c r="L1735" s="16" t="s">
        <v>26</v>
      </c>
      <c r="M1735" s="16">
        <f t="shared" si="159"/>
        <v>0.72017367004973787</v>
      </c>
      <c r="N1735">
        <f t="shared" si="160"/>
        <v>0</v>
      </c>
      <c r="O1735">
        <f t="shared" si="161"/>
        <v>0</v>
      </c>
      <c r="P1735">
        <f t="shared" si="158"/>
        <v>5200</v>
      </c>
      <c r="Q1735">
        <f t="shared" si="162"/>
        <v>5200</v>
      </c>
      <c r="T1735" s="16">
        <f t="shared" si="163"/>
        <v>0.72017367004973754</v>
      </c>
    </row>
    <row r="1736" spans="7:20" ht="14.4" x14ac:dyDescent="0.25">
      <c r="G1736" s="10">
        <v>347</v>
      </c>
      <c r="H1736" s="9">
        <v>2373</v>
      </c>
      <c r="I1736" s="14">
        <f>DATE(2012,12,31)-1391</f>
        <v>39883</v>
      </c>
      <c r="J1736" s="15" t="s">
        <v>28</v>
      </c>
      <c r="K1736" s="9">
        <v>36</v>
      </c>
      <c r="L1736" s="16" t="s">
        <v>26</v>
      </c>
      <c r="M1736" s="16">
        <f t="shared" si="159"/>
        <v>0.72017367004973787</v>
      </c>
      <c r="N1736">
        <f t="shared" si="160"/>
        <v>0</v>
      </c>
      <c r="O1736">
        <f t="shared" si="161"/>
        <v>0</v>
      </c>
      <c r="P1736">
        <f t="shared" si="158"/>
        <v>5200</v>
      </c>
      <c r="Q1736">
        <f t="shared" si="162"/>
        <v>5200</v>
      </c>
      <c r="T1736" s="16">
        <f t="shared" si="163"/>
        <v>0.72017367004973754</v>
      </c>
    </row>
    <row r="1737" spans="7:20" ht="14.4" x14ac:dyDescent="0.25">
      <c r="G1737" s="10">
        <v>377</v>
      </c>
      <c r="H1737" s="9">
        <v>2626</v>
      </c>
      <c r="I1737" s="14">
        <f>DATE(2012,12,31)-481</f>
        <v>40793</v>
      </c>
      <c r="J1737" s="15" t="s">
        <v>28</v>
      </c>
      <c r="K1737" s="9">
        <v>16</v>
      </c>
      <c r="L1737" s="16" t="s">
        <v>26</v>
      </c>
      <c r="M1737" s="16">
        <f t="shared" si="159"/>
        <v>-0.66102186233469074</v>
      </c>
      <c r="N1737">
        <f t="shared" si="160"/>
        <v>0</v>
      </c>
      <c r="O1737">
        <f t="shared" si="161"/>
        <v>0</v>
      </c>
      <c r="P1737">
        <f t="shared" si="158"/>
        <v>4200</v>
      </c>
      <c r="Q1737">
        <f t="shared" si="162"/>
        <v>4200</v>
      </c>
      <c r="T1737" s="16">
        <f t="shared" si="163"/>
        <v>-0.66102186233469118</v>
      </c>
    </row>
    <row r="1738" spans="7:20" ht="14.4" x14ac:dyDescent="0.25">
      <c r="G1738" s="10">
        <v>458</v>
      </c>
      <c r="H1738" s="9">
        <v>3109</v>
      </c>
      <c r="I1738" s="14">
        <f>DATE(2012,12,31)-892</f>
        <v>40382</v>
      </c>
      <c r="J1738" s="15" t="s">
        <v>25</v>
      </c>
      <c r="K1738" s="9">
        <v>47</v>
      </c>
      <c r="L1738" s="16" t="s">
        <v>29</v>
      </c>
      <c r="M1738" s="16">
        <f t="shared" si="159"/>
        <v>1.4798312128611737</v>
      </c>
      <c r="N1738">
        <f t="shared" si="160"/>
        <v>0</v>
      </c>
      <c r="O1738">
        <f t="shared" si="161"/>
        <v>0</v>
      </c>
      <c r="P1738">
        <f t="shared" si="158"/>
        <v>5750</v>
      </c>
      <c r="Q1738">
        <f t="shared" si="162"/>
        <v>5750</v>
      </c>
      <c r="T1738" s="16">
        <f t="shared" si="163"/>
        <v>1.4798312128611733</v>
      </c>
    </row>
    <row r="1739" spans="7:20" ht="14.4" x14ac:dyDescent="0.25">
      <c r="G1739" s="10">
        <v>459</v>
      </c>
      <c r="H1739" s="9">
        <v>3109</v>
      </c>
      <c r="I1739" s="14">
        <f>DATE(2012,12,31)-892</f>
        <v>40382</v>
      </c>
      <c r="J1739" s="15" t="s">
        <v>25</v>
      </c>
      <c r="K1739" s="9">
        <v>37</v>
      </c>
      <c r="L1739" s="16" t="s">
        <v>27</v>
      </c>
      <c r="M1739" s="16">
        <f t="shared" si="159"/>
        <v>0.78923344666895934</v>
      </c>
      <c r="N1739">
        <f t="shared" si="160"/>
        <v>0</v>
      </c>
      <c r="O1739">
        <f t="shared" si="161"/>
        <v>0</v>
      </c>
      <c r="P1739">
        <f t="shared" si="158"/>
        <v>5250</v>
      </c>
      <c r="Q1739">
        <f t="shared" si="162"/>
        <v>5250</v>
      </c>
      <c r="T1739" s="16">
        <f t="shared" si="163"/>
        <v>0.789233446668959</v>
      </c>
    </row>
    <row r="1740" spans="7:20" ht="14.4" x14ac:dyDescent="0.25">
      <c r="G1740" s="10">
        <v>555</v>
      </c>
      <c r="H1740" s="9">
        <v>3777</v>
      </c>
      <c r="I1740" s="14">
        <f>DATE(2012,12,31)-1364</f>
        <v>39910</v>
      </c>
      <c r="J1740" s="15" t="s">
        <v>16</v>
      </c>
      <c r="K1740" s="9">
        <v>14</v>
      </c>
      <c r="L1740" s="16" t="s">
        <v>29</v>
      </c>
      <c r="M1740" s="16">
        <f t="shared" si="159"/>
        <v>-0.79914141557313367</v>
      </c>
      <c r="N1740">
        <f t="shared" si="160"/>
        <v>0</v>
      </c>
      <c r="O1740">
        <f t="shared" si="161"/>
        <v>0</v>
      </c>
      <c r="P1740">
        <f t="shared" ref="P1740:P1803" si="164">50*K1740+$P$10</f>
        <v>4100</v>
      </c>
      <c r="Q1740">
        <f t="shared" si="162"/>
        <v>4100</v>
      </c>
      <c r="T1740" s="16">
        <f t="shared" si="163"/>
        <v>-0.79914141557313401</v>
      </c>
    </row>
    <row r="1741" spans="7:20" ht="14.4" x14ac:dyDescent="0.25">
      <c r="G1741" s="10">
        <v>583</v>
      </c>
      <c r="H1741" s="9">
        <v>3973</v>
      </c>
      <c r="I1741" s="14">
        <f>DATE(2012,12,31)-283</f>
        <v>40991</v>
      </c>
      <c r="J1741" s="15" t="s">
        <v>28</v>
      </c>
      <c r="K1741" s="9">
        <v>21</v>
      </c>
      <c r="L1741" s="16" t="s">
        <v>29</v>
      </c>
      <c r="M1741" s="16">
        <f t="shared" ref="M1741:M1804" si="165">(K1741-$K$4)/$K$7</f>
        <v>-0.31572297923858361</v>
      </c>
      <c r="N1741">
        <f t="shared" ref="N1741:N1804" si="166">IF(MOD($B$20+G1741,1000)=0,1,0)</f>
        <v>0</v>
      </c>
      <c r="O1741">
        <f t="shared" ref="O1741:O1804" si="167">+ROUND(N1741*(IF(K1741&lt;$K$4,-4.5,10.5)*$P$5),-2)</f>
        <v>0</v>
      </c>
      <c r="P1741">
        <f t="shared" si="164"/>
        <v>4450</v>
      </c>
      <c r="Q1741">
        <f t="shared" ref="Q1741:Q1804" si="168">P1741+O1741</f>
        <v>4450</v>
      </c>
      <c r="T1741" s="16">
        <f t="shared" ref="T1741:T1804" si="169">(Q1741-$P$4)/$P$5</f>
        <v>-0.315722979238584</v>
      </c>
    </row>
    <row r="1742" spans="7:20" ht="14.4" x14ac:dyDescent="0.25">
      <c r="G1742" s="10">
        <v>704</v>
      </c>
      <c r="H1742" s="9">
        <v>4932</v>
      </c>
      <c r="I1742" s="14">
        <f>DATE(2012,12,31)-875</f>
        <v>40399</v>
      </c>
      <c r="J1742" s="15" t="s">
        <v>30</v>
      </c>
      <c r="K1742" s="9">
        <v>11</v>
      </c>
      <c r="L1742" s="16" t="s">
        <v>26</v>
      </c>
      <c r="M1742" s="16">
        <f t="shared" si="165"/>
        <v>-1.0063207454307979</v>
      </c>
      <c r="N1742">
        <f t="shared" si="166"/>
        <v>0</v>
      </c>
      <c r="O1742">
        <f t="shared" si="167"/>
        <v>0</v>
      </c>
      <c r="P1742">
        <f t="shared" si="164"/>
        <v>3950</v>
      </c>
      <c r="Q1742">
        <f t="shared" si="168"/>
        <v>3950</v>
      </c>
      <c r="T1742" s="16">
        <f t="shared" si="169"/>
        <v>-1.0063207454307983</v>
      </c>
    </row>
    <row r="1743" spans="7:20" ht="14.4" x14ac:dyDescent="0.25">
      <c r="G1743" s="10">
        <v>999</v>
      </c>
      <c r="H1743" s="9">
        <v>7239</v>
      </c>
      <c r="I1743" s="14">
        <f>DATE(2012,12,31)-551</f>
        <v>40723</v>
      </c>
      <c r="J1743" s="15" t="s">
        <v>16</v>
      </c>
      <c r="K1743" s="9">
        <v>50</v>
      </c>
      <c r="L1743" s="16" t="s">
        <v>26</v>
      </c>
      <c r="M1743" s="16">
        <f t="shared" si="165"/>
        <v>1.687010542718838</v>
      </c>
      <c r="N1743">
        <f t="shared" si="166"/>
        <v>0</v>
      </c>
      <c r="O1743">
        <f t="shared" si="167"/>
        <v>0</v>
      </c>
      <c r="P1743">
        <f t="shared" si="164"/>
        <v>5900</v>
      </c>
      <c r="Q1743">
        <f t="shared" si="168"/>
        <v>5900</v>
      </c>
      <c r="T1743" s="16">
        <f t="shared" si="169"/>
        <v>1.6870105427188375</v>
      </c>
    </row>
    <row r="1744" spans="7:20" ht="14.4" x14ac:dyDescent="0.25">
      <c r="G1744" s="10">
        <v>1246</v>
      </c>
      <c r="H1744" s="9">
        <v>9088</v>
      </c>
      <c r="I1744" s="14">
        <f>DATE(2012,12,31)-1288</f>
        <v>39986</v>
      </c>
      <c r="J1744" s="15" t="s">
        <v>30</v>
      </c>
      <c r="K1744" s="9">
        <v>50</v>
      </c>
      <c r="L1744" s="16" t="s">
        <v>26</v>
      </c>
      <c r="M1744" s="16">
        <f t="shared" si="165"/>
        <v>1.687010542718838</v>
      </c>
      <c r="N1744">
        <f t="shared" si="166"/>
        <v>0</v>
      </c>
      <c r="O1744">
        <f t="shared" si="167"/>
        <v>0</v>
      </c>
      <c r="P1744">
        <f t="shared" si="164"/>
        <v>5900</v>
      </c>
      <c r="Q1744">
        <f t="shared" si="168"/>
        <v>5900</v>
      </c>
      <c r="T1744" s="16">
        <f t="shared" si="169"/>
        <v>1.6870105427188375</v>
      </c>
    </row>
    <row r="1745" spans="7:20" ht="14.4" x14ac:dyDescent="0.25">
      <c r="G1745" s="10">
        <v>1247</v>
      </c>
      <c r="H1745" s="9">
        <v>9088</v>
      </c>
      <c r="I1745" s="14">
        <f>DATE(2012,12,31)-1288</f>
        <v>39986</v>
      </c>
      <c r="J1745" s="15" t="s">
        <v>30</v>
      </c>
      <c r="K1745" s="9">
        <v>31</v>
      </c>
      <c r="L1745" s="16" t="s">
        <v>27</v>
      </c>
      <c r="M1745" s="16">
        <f t="shared" si="165"/>
        <v>0.37487478695363075</v>
      </c>
      <c r="N1745">
        <f t="shared" si="166"/>
        <v>0</v>
      </c>
      <c r="O1745">
        <f t="shared" si="167"/>
        <v>0</v>
      </c>
      <c r="P1745">
        <f t="shared" si="164"/>
        <v>4950</v>
      </c>
      <c r="Q1745">
        <f t="shared" si="168"/>
        <v>4950</v>
      </c>
      <c r="T1745" s="16">
        <f t="shared" si="169"/>
        <v>0.37487478695363036</v>
      </c>
    </row>
    <row r="1746" spans="7:20" ht="14.4" x14ac:dyDescent="0.25">
      <c r="G1746" s="10">
        <v>1584</v>
      </c>
      <c r="H1746" s="9">
        <v>11428</v>
      </c>
      <c r="I1746" s="14">
        <f>DATE(2012,12,31)-345</f>
        <v>40929</v>
      </c>
      <c r="J1746" s="15" t="s">
        <v>16</v>
      </c>
      <c r="K1746" s="9">
        <v>16</v>
      </c>
      <c r="L1746" s="16" t="s">
        <v>26</v>
      </c>
      <c r="M1746" s="16">
        <f t="shared" si="165"/>
        <v>-0.66102186233469074</v>
      </c>
      <c r="N1746">
        <f t="shared" si="166"/>
        <v>0</v>
      </c>
      <c r="O1746">
        <f t="shared" si="167"/>
        <v>0</v>
      </c>
      <c r="P1746">
        <f t="shared" si="164"/>
        <v>4200</v>
      </c>
      <c r="Q1746">
        <f t="shared" si="168"/>
        <v>4200</v>
      </c>
      <c r="T1746" s="16">
        <f t="shared" si="169"/>
        <v>-0.66102186233469118</v>
      </c>
    </row>
    <row r="1747" spans="7:20" ht="14.4" x14ac:dyDescent="0.25">
      <c r="G1747" s="10">
        <v>1736</v>
      </c>
      <c r="H1747" s="9">
        <v>12452</v>
      </c>
      <c r="I1747" s="14">
        <f>DATE(2012,12,31)-755</f>
        <v>40519</v>
      </c>
      <c r="J1747" s="15" t="s">
        <v>16</v>
      </c>
      <c r="K1747" s="9">
        <v>1</v>
      </c>
      <c r="L1747" s="16" t="s">
        <v>26</v>
      </c>
      <c r="M1747" s="16">
        <f t="shared" si="165"/>
        <v>-1.6969185116230123</v>
      </c>
      <c r="N1747">
        <f t="shared" si="166"/>
        <v>0</v>
      </c>
      <c r="O1747">
        <f t="shared" si="167"/>
        <v>0</v>
      </c>
      <c r="P1747">
        <f t="shared" si="164"/>
        <v>3450</v>
      </c>
      <c r="Q1747">
        <f t="shared" si="168"/>
        <v>3450</v>
      </c>
      <c r="T1747" s="16">
        <f t="shared" si="169"/>
        <v>-1.6969185116230128</v>
      </c>
    </row>
    <row r="1748" spans="7:20" ht="14.4" x14ac:dyDescent="0.25">
      <c r="G1748" s="10">
        <v>1737</v>
      </c>
      <c r="H1748" s="9">
        <v>12452</v>
      </c>
      <c r="I1748" s="14">
        <f>DATE(2012,12,31)-755</f>
        <v>40519</v>
      </c>
      <c r="J1748" s="15" t="s">
        <v>16</v>
      </c>
      <c r="K1748" s="9">
        <v>17</v>
      </c>
      <c r="L1748" s="16" t="s">
        <v>27</v>
      </c>
      <c r="M1748" s="16">
        <f t="shared" si="165"/>
        <v>-0.59196208571546938</v>
      </c>
      <c r="N1748">
        <f t="shared" si="166"/>
        <v>0</v>
      </c>
      <c r="O1748">
        <f t="shared" si="167"/>
        <v>0</v>
      </c>
      <c r="P1748">
        <f t="shared" si="164"/>
        <v>4250</v>
      </c>
      <c r="Q1748">
        <f t="shared" si="168"/>
        <v>4250</v>
      </c>
      <c r="T1748" s="16">
        <f t="shared" si="169"/>
        <v>-0.59196208571546971</v>
      </c>
    </row>
    <row r="1749" spans="7:20" ht="14.4" x14ac:dyDescent="0.25">
      <c r="G1749" s="10">
        <v>1738</v>
      </c>
      <c r="H1749" s="9">
        <v>12452</v>
      </c>
      <c r="I1749" s="14">
        <f>DATE(2012,12,31)-755</f>
        <v>40519</v>
      </c>
      <c r="J1749" s="15" t="s">
        <v>16</v>
      </c>
      <c r="K1749" s="9">
        <v>38</v>
      </c>
      <c r="L1749" s="16" t="s">
        <v>26</v>
      </c>
      <c r="M1749" s="16">
        <f t="shared" si="165"/>
        <v>0.85829322328818081</v>
      </c>
      <c r="N1749">
        <f t="shared" si="166"/>
        <v>0</v>
      </c>
      <c r="O1749">
        <f t="shared" si="167"/>
        <v>0</v>
      </c>
      <c r="P1749">
        <f t="shared" si="164"/>
        <v>5300</v>
      </c>
      <c r="Q1749">
        <f t="shared" si="168"/>
        <v>5300</v>
      </c>
      <c r="T1749" s="16">
        <f t="shared" si="169"/>
        <v>0.85829322328818036</v>
      </c>
    </row>
    <row r="1750" spans="7:20" ht="14.4" x14ac:dyDescent="0.25">
      <c r="G1750" s="10">
        <v>1853</v>
      </c>
      <c r="H1750" s="9">
        <v>13345</v>
      </c>
      <c r="I1750" s="14">
        <f>DATE(2012,12,31)-120</f>
        <v>41154</v>
      </c>
      <c r="J1750" s="15" t="s">
        <v>28</v>
      </c>
      <c r="K1750" s="9">
        <v>24</v>
      </c>
      <c r="L1750" s="16" t="s">
        <v>27</v>
      </c>
      <c r="M1750" s="16">
        <f t="shared" si="165"/>
        <v>-0.1085436493809193</v>
      </c>
      <c r="N1750">
        <f t="shared" si="166"/>
        <v>0</v>
      </c>
      <c r="O1750">
        <f t="shared" si="167"/>
        <v>0</v>
      </c>
      <c r="P1750">
        <f t="shared" si="164"/>
        <v>4600</v>
      </c>
      <c r="Q1750">
        <f t="shared" si="168"/>
        <v>4600</v>
      </c>
      <c r="T1750" s="16">
        <f t="shared" si="169"/>
        <v>-0.10854364938091969</v>
      </c>
    </row>
    <row r="1751" spans="7:20" ht="14.4" x14ac:dyDescent="0.25">
      <c r="G1751" s="10">
        <v>1854</v>
      </c>
      <c r="H1751" s="9">
        <v>13345</v>
      </c>
      <c r="I1751" s="14">
        <f>DATE(2012,12,31)-120</f>
        <v>41154</v>
      </c>
      <c r="J1751" s="15" t="s">
        <v>28</v>
      </c>
      <c r="K1751" s="9">
        <v>45</v>
      </c>
      <c r="L1751" s="16" t="s">
        <v>26</v>
      </c>
      <c r="M1751" s="16">
        <f t="shared" si="165"/>
        <v>1.3417116596227308</v>
      </c>
      <c r="N1751">
        <f t="shared" si="166"/>
        <v>0</v>
      </c>
      <c r="O1751">
        <f t="shared" si="167"/>
        <v>0</v>
      </c>
      <c r="P1751">
        <f t="shared" si="164"/>
        <v>5650</v>
      </c>
      <c r="Q1751">
        <f t="shared" si="168"/>
        <v>5650</v>
      </c>
      <c r="T1751" s="16">
        <f t="shared" si="169"/>
        <v>1.3417116596227305</v>
      </c>
    </row>
    <row r="1752" spans="7:20" ht="14.4" x14ac:dyDescent="0.25">
      <c r="G1752" s="10">
        <v>1864</v>
      </c>
      <c r="H1752" s="9">
        <v>13410</v>
      </c>
      <c r="I1752" s="14">
        <f>DATE(2012,12,31)-939</f>
        <v>40335</v>
      </c>
      <c r="J1752" s="15" t="s">
        <v>28</v>
      </c>
      <c r="K1752" s="9">
        <v>4</v>
      </c>
      <c r="L1752" s="16" t="s">
        <v>27</v>
      </c>
      <c r="M1752" s="16">
        <f t="shared" si="165"/>
        <v>-1.489739181765348</v>
      </c>
      <c r="N1752">
        <f t="shared" si="166"/>
        <v>0</v>
      </c>
      <c r="O1752">
        <f t="shared" si="167"/>
        <v>0</v>
      </c>
      <c r="P1752">
        <f t="shared" si="164"/>
        <v>3600</v>
      </c>
      <c r="Q1752">
        <f t="shared" si="168"/>
        <v>3600</v>
      </c>
      <c r="T1752" s="16">
        <f t="shared" si="169"/>
        <v>-1.4897391817653485</v>
      </c>
    </row>
    <row r="1753" spans="7:20" ht="14.4" x14ac:dyDescent="0.25">
      <c r="G1753" s="10">
        <v>1865</v>
      </c>
      <c r="H1753" s="9">
        <v>13410</v>
      </c>
      <c r="I1753" s="14">
        <f>DATE(2012,12,31)-939</f>
        <v>40335</v>
      </c>
      <c r="J1753" s="15" t="s">
        <v>28</v>
      </c>
      <c r="K1753" s="9">
        <v>29</v>
      </c>
      <c r="L1753" s="16" t="s">
        <v>27</v>
      </c>
      <c r="M1753" s="16">
        <f t="shared" si="165"/>
        <v>0.23675523371518786</v>
      </c>
      <c r="N1753">
        <f t="shared" si="166"/>
        <v>0</v>
      </c>
      <c r="O1753">
        <f t="shared" si="167"/>
        <v>0</v>
      </c>
      <c r="P1753">
        <f t="shared" si="164"/>
        <v>4850</v>
      </c>
      <c r="Q1753">
        <f t="shared" si="168"/>
        <v>4850</v>
      </c>
      <c r="T1753" s="16">
        <f t="shared" si="169"/>
        <v>0.2367552337151875</v>
      </c>
    </row>
    <row r="1754" spans="7:20" ht="14.4" x14ac:dyDescent="0.25">
      <c r="G1754" s="10">
        <v>2193</v>
      </c>
      <c r="H1754" s="9">
        <v>15808</v>
      </c>
      <c r="I1754" s="14">
        <f>DATE(2012,12,31)-748</f>
        <v>40526</v>
      </c>
      <c r="J1754" s="15" t="s">
        <v>30</v>
      </c>
      <c r="K1754" s="9">
        <v>33</v>
      </c>
      <c r="L1754" s="16" t="s">
        <v>29</v>
      </c>
      <c r="M1754" s="16">
        <f t="shared" si="165"/>
        <v>0.51299434019207357</v>
      </c>
      <c r="N1754">
        <f t="shared" si="166"/>
        <v>0</v>
      </c>
      <c r="O1754">
        <f t="shared" si="167"/>
        <v>0</v>
      </c>
      <c r="P1754">
        <f t="shared" si="164"/>
        <v>5050</v>
      </c>
      <c r="Q1754">
        <f t="shared" si="168"/>
        <v>5050</v>
      </c>
      <c r="T1754" s="16">
        <f t="shared" si="169"/>
        <v>0.51299434019207324</v>
      </c>
    </row>
    <row r="1755" spans="7:20" ht="14.4" x14ac:dyDescent="0.25">
      <c r="G1755" s="10">
        <v>2194</v>
      </c>
      <c r="H1755" s="9">
        <v>15808</v>
      </c>
      <c r="I1755" s="14">
        <f>DATE(2012,12,31)-748</f>
        <v>40526</v>
      </c>
      <c r="J1755" s="15" t="s">
        <v>30</v>
      </c>
      <c r="K1755" s="9">
        <v>42</v>
      </c>
      <c r="L1755" s="16" t="s">
        <v>26</v>
      </c>
      <c r="M1755" s="16">
        <f t="shared" si="165"/>
        <v>1.1345323297650665</v>
      </c>
      <c r="N1755">
        <f t="shared" si="166"/>
        <v>0</v>
      </c>
      <c r="O1755">
        <f t="shared" si="167"/>
        <v>0</v>
      </c>
      <c r="P1755">
        <f t="shared" si="164"/>
        <v>5500</v>
      </c>
      <c r="Q1755">
        <f t="shared" si="168"/>
        <v>5500</v>
      </c>
      <c r="T1755" s="16">
        <f t="shared" si="169"/>
        <v>1.1345323297650662</v>
      </c>
    </row>
    <row r="1756" spans="7:20" ht="14.4" x14ac:dyDescent="0.25">
      <c r="G1756" s="10">
        <v>2195</v>
      </c>
      <c r="H1756" s="9">
        <v>15808</v>
      </c>
      <c r="I1756" s="14">
        <f>DATE(2012,12,31)-748</f>
        <v>40526</v>
      </c>
      <c r="J1756" s="15" t="s">
        <v>30</v>
      </c>
      <c r="K1756" s="9">
        <v>45</v>
      </c>
      <c r="L1756" s="16" t="s">
        <v>27</v>
      </c>
      <c r="M1756" s="16">
        <f t="shared" si="165"/>
        <v>1.3417116596227308</v>
      </c>
      <c r="N1756">
        <f t="shared" si="166"/>
        <v>0</v>
      </c>
      <c r="O1756">
        <f t="shared" si="167"/>
        <v>0</v>
      </c>
      <c r="P1756">
        <f t="shared" si="164"/>
        <v>5650</v>
      </c>
      <c r="Q1756">
        <f t="shared" si="168"/>
        <v>5650</v>
      </c>
      <c r="T1756" s="16">
        <f t="shared" si="169"/>
        <v>1.3417116596227305</v>
      </c>
    </row>
    <row r="1757" spans="7:20" ht="14.4" x14ac:dyDescent="0.25">
      <c r="G1757" s="10">
        <v>2196</v>
      </c>
      <c r="H1757" s="9">
        <v>15808</v>
      </c>
      <c r="I1757" s="14">
        <f>DATE(2012,12,31)-748</f>
        <v>40526</v>
      </c>
      <c r="J1757" s="15" t="s">
        <v>30</v>
      </c>
      <c r="K1757" s="9">
        <v>3</v>
      </c>
      <c r="L1757" s="16" t="s">
        <v>27</v>
      </c>
      <c r="M1757" s="16">
        <f t="shared" si="165"/>
        <v>-1.5587989583845694</v>
      </c>
      <c r="N1757">
        <f t="shared" si="166"/>
        <v>0</v>
      </c>
      <c r="O1757">
        <f t="shared" si="167"/>
        <v>0</v>
      </c>
      <c r="P1757">
        <f t="shared" si="164"/>
        <v>3550</v>
      </c>
      <c r="Q1757">
        <f t="shared" si="168"/>
        <v>3550</v>
      </c>
      <c r="T1757" s="16">
        <f t="shared" si="169"/>
        <v>-1.5587989583845698</v>
      </c>
    </row>
    <row r="1758" spans="7:20" ht="14.4" x14ac:dyDescent="0.25">
      <c r="G1758" s="10">
        <v>2271</v>
      </c>
      <c r="H1758" s="9">
        <v>16326</v>
      </c>
      <c r="I1758" s="14">
        <f>DATE(2012,12,31)-966</f>
        <v>40308</v>
      </c>
      <c r="J1758" s="15" t="s">
        <v>17</v>
      </c>
      <c r="K1758" s="9">
        <v>39</v>
      </c>
      <c r="L1758" s="16" t="s">
        <v>27</v>
      </c>
      <c r="M1758" s="16">
        <f t="shared" si="165"/>
        <v>0.92735299990740228</v>
      </c>
      <c r="N1758">
        <f t="shared" si="166"/>
        <v>0</v>
      </c>
      <c r="O1758">
        <f t="shared" si="167"/>
        <v>0</v>
      </c>
      <c r="P1758">
        <f t="shared" si="164"/>
        <v>5350</v>
      </c>
      <c r="Q1758">
        <f t="shared" si="168"/>
        <v>5350</v>
      </c>
      <c r="T1758" s="16">
        <f t="shared" si="169"/>
        <v>0.92735299990740183</v>
      </c>
    </row>
    <row r="1759" spans="7:20" ht="14.4" x14ac:dyDescent="0.25">
      <c r="G1759" s="10">
        <v>2272</v>
      </c>
      <c r="H1759" s="9">
        <v>16326</v>
      </c>
      <c r="I1759" s="14">
        <f>DATE(2012,12,31)-966</f>
        <v>40308</v>
      </c>
      <c r="J1759" s="15" t="s">
        <v>17</v>
      </c>
      <c r="K1759" s="9">
        <v>39</v>
      </c>
      <c r="L1759" s="16" t="s">
        <v>26</v>
      </c>
      <c r="M1759" s="16">
        <f t="shared" si="165"/>
        <v>0.92735299990740228</v>
      </c>
      <c r="N1759">
        <f t="shared" si="166"/>
        <v>0</v>
      </c>
      <c r="O1759">
        <f t="shared" si="167"/>
        <v>0</v>
      </c>
      <c r="P1759">
        <f t="shared" si="164"/>
        <v>5350</v>
      </c>
      <c r="Q1759">
        <f t="shared" si="168"/>
        <v>5350</v>
      </c>
      <c r="T1759" s="16">
        <f t="shared" si="169"/>
        <v>0.92735299990740183</v>
      </c>
    </row>
    <row r="1760" spans="7:20" ht="14.4" x14ac:dyDescent="0.25">
      <c r="G1760" s="10">
        <v>2474</v>
      </c>
      <c r="H1760" s="9">
        <v>17985</v>
      </c>
      <c r="I1760" s="14">
        <f>DATE(2012,12,31)-629</f>
        <v>40645</v>
      </c>
      <c r="J1760" s="15" t="s">
        <v>16</v>
      </c>
      <c r="K1760" s="9">
        <v>4</v>
      </c>
      <c r="L1760" s="16" t="s">
        <v>29</v>
      </c>
      <c r="M1760" s="16">
        <f t="shared" si="165"/>
        <v>-1.489739181765348</v>
      </c>
      <c r="N1760">
        <f t="shared" si="166"/>
        <v>0</v>
      </c>
      <c r="O1760">
        <f t="shared" si="167"/>
        <v>0</v>
      </c>
      <c r="P1760">
        <f t="shared" si="164"/>
        <v>3600</v>
      </c>
      <c r="Q1760">
        <f t="shared" si="168"/>
        <v>3600</v>
      </c>
      <c r="T1760" s="16">
        <f t="shared" si="169"/>
        <v>-1.4897391817653485</v>
      </c>
    </row>
    <row r="1761" spans="7:20" ht="14.4" x14ac:dyDescent="0.25">
      <c r="G1761" s="10">
        <v>2475</v>
      </c>
      <c r="H1761" s="9">
        <v>17985</v>
      </c>
      <c r="I1761" s="14">
        <f>DATE(2012,12,31)-629</f>
        <v>40645</v>
      </c>
      <c r="J1761" s="15" t="s">
        <v>16</v>
      </c>
      <c r="K1761" s="9">
        <v>50</v>
      </c>
      <c r="L1761" s="16" t="s">
        <v>27</v>
      </c>
      <c r="M1761" s="16">
        <f t="shared" si="165"/>
        <v>1.687010542718838</v>
      </c>
      <c r="N1761">
        <f t="shared" si="166"/>
        <v>0</v>
      </c>
      <c r="O1761">
        <f t="shared" si="167"/>
        <v>0</v>
      </c>
      <c r="P1761">
        <f t="shared" si="164"/>
        <v>5900</v>
      </c>
      <c r="Q1761">
        <f t="shared" si="168"/>
        <v>5900</v>
      </c>
      <c r="T1761" s="16">
        <f t="shared" si="169"/>
        <v>1.6870105427188375</v>
      </c>
    </row>
    <row r="1762" spans="7:20" ht="14.4" x14ac:dyDescent="0.25">
      <c r="G1762" s="10">
        <v>2841</v>
      </c>
      <c r="H1762" s="9">
        <v>20480</v>
      </c>
      <c r="I1762" s="14">
        <f>DATE(2012,12,31)-1432</f>
        <v>39842</v>
      </c>
      <c r="J1762" s="15" t="s">
        <v>16</v>
      </c>
      <c r="K1762" s="9">
        <v>4</v>
      </c>
      <c r="L1762" s="16" t="s">
        <v>29</v>
      </c>
      <c r="M1762" s="16">
        <f t="shared" si="165"/>
        <v>-1.489739181765348</v>
      </c>
      <c r="N1762">
        <f t="shared" si="166"/>
        <v>0</v>
      </c>
      <c r="O1762">
        <f t="shared" si="167"/>
        <v>0</v>
      </c>
      <c r="P1762">
        <f t="shared" si="164"/>
        <v>3600</v>
      </c>
      <c r="Q1762">
        <f t="shared" si="168"/>
        <v>3600</v>
      </c>
      <c r="T1762" s="16">
        <f t="shared" si="169"/>
        <v>-1.4897391817653485</v>
      </c>
    </row>
    <row r="1763" spans="7:20" ht="14.4" x14ac:dyDescent="0.25">
      <c r="G1763" s="10">
        <v>2919</v>
      </c>
      <c r="H1763" s="9">
        <v>21091</v>
      </c>
      <c r="I1763" s="14">
        <f>DATE(2012,12,31)-1115</f>
        <v>40159</v>
      </c>
      <c r="J1763" s="15" t="s">
        <v>17</v>
      </c>
      <c r="K1763" s="9">
        <v>32</v>
      </c>
      <c r="L1763" s="16" t="s">
        <v>26</v>
      </c>
      <c r="M1763" s="16">
        <f t="shared" si="165"/>
        <v>0.44393456357285216</v>
      </c>
      <c r="N1763">
        <f t="shared" si="166"/>
        <v>0</v>
      </c>
      <c r="O1763">
        <f t="shared" si="167"/>
        <v>0</v>
      </c>
      <c r="P1763">
        <f t="shared" si="164"/>
        <v>5000</v>
      </c>
      <c r="Q1763">
        <f t="shared" si="168"/>
        <v>5000</v>
      </c>
      <c r="T1763" s="16">
        <f t="shared" si="169"/>
        <v>0.44393456357285183</v>
      </c>
    </row>
    <row r="1764" spans="7:20" ht="14.4" x14ac:dyDescent="0.25">
      <c r="G1764" s="10">
        <v>3748</v>
      </c>
      <c r="H1764" s="9">
        <v>26759</v>
      </c>
      <c r="I1764" s="14">
        <f>DATE(2012,12,31)-341</f>
        <v>40933</v>
      </c>
      <c r="J1764" s="15" t="s">
        <v>28</v>
      </c>
      <c r="K1764" s="9">
        <v>30</v>
      </c>
      <c r="L1764" s="16" t="s">
        <v>26</v>
      </c>
      <c r="M1764" s="16">
        <f t="shared" si="165"/>
        <v>0.30581501033440933</v>
      </c>
      <c r="N1764">
        <f t="shared" si="166"/>
        <v>0</v>
      </c>
      <c r="O1764">
        <f t="shared" si="167"/>
        <v>0</v>
      </c>
      <c r="P1764">
        <f t="shared" si="164"/>
        <v>4900</v>
      </c>
      <c r="Q1764">
        <f t="shared" si="168"/>
        <v>4900</v>
      </c>
      <c r="T1764" s="16">
        <f t="shared" si="169"/>
        <v>0.30581501033440894</v>
      </c>
    </row>
    <row r="1765" spans="7:20" ht="14.4" x14ac:dyDescent="0.25">
      <c r="G1765" s="10">
        <v>3759</v>
      </c>
      <c r="H1765" s="9">
        <v>26853</v>
      </c>
      <c r="I1765" s="14">
        <f>DATE(2012,12,31)-202</f>
        <v>41072</v>
      </c>
      <c r="J1765" s="15" t="s">
        <v>25</v>
      </c>
      <c r="K1765" s="9">
        <v>21</v>
      </c>
      <c r="L1765" s="16" t="s">
        <v>26</v>
      </c>
      <c r="M1765" s="16">
        <f t="shared" si="165"/>
        <v>-0.31572297923858361</v>
      </c>
      <c r="N1765">
        <f t="shared" si="166"/>
        <v>0</v>
      </c>
      <c r="O1765">
        <f t="shared" si="167"/>
        <v>0</v>
      </c>
      <c r="P1765">
        <f t="shared" si="164"/>
        <v>4450</v>
      </c>
      <c r="Q1765">
        <f t="shared" si="168"/>
        <v>4450</v>
      </c>
      <c r="T1765" s="16">
        <f t="shared" si="169"/>
        <v>-0.315722979238584</v>
      </c>
    </row>
    <row r="1766" spans="7:20" ht="14.4" x14ac:dyDescent="0.25">
      <c r="G1766" s="10">
        <v>3768</v>
      </c>
      <c r="H1766" s="9">
        <v>26918</v>
      </c>
      <c r="I1766" s="14">
        <f>DATE(2012,12,31)-1365</f>
        <v>39909</v>
      </c>
      <c r="J1766" s="15" t="s">
        <v>25</v>
      </c>
      <c r="K1766" s="9">
        <v>16</v>
      </c>
      <c r="L1766" s="16" t="s">
        <v>26</v>
      </c>
      <c r="M1766" s="16">
        <f t="shared" si="165"/>
        <v>-0.66102186233469074</v>
      </c>
      <c r="N1766">
        <f t="shared" si="166"/>
        <v>0</v>
      </c>
      <c r="O1766">
        <f t="shared" si="167"/>
        <v>0</v>
      </c>
      <c r="P1766">
        <f t="shared" si="164"/>
        <v>4200</v>
      </c>
      <c r="Q1766">
        <f t="shared" si="168"/>
        <v>4200</v>
      </c>
      <c r="T1766" s="16">
        <f t="shared" si="169"/>
        <v>-0.66102186233469118</v>
      </c>
    </row>
    <row r="1767" spans="7:20" ht="14.4" x14ac:dyDescent="0.25">
      <c r="G1767" s="10">
        <v>3847</v>
      </c>
      <c r="H1767" s="9">
        <v>27456</v>
      </c>
      <c r="I1767" s="14">
        <f>DATE(2012,12,31)-1361</f>
        <v>39913</v>
      </c>
      <c r="J1767" s="15" t="s">
        <v>28</v>
      </c>
      <c r="K1767" s="9">
        <v>29</v>
      </c>
      <c r="L1767" s="16" t="s">
        <v>26</v>
      </c>
      <c r="M1767" s="16">
        <f t="shared" si="165"/>
        <v>0.23675523371518786</v>
      </c>
      <c r="N1767">
        <f t="shared" si="166"/>
        <v>0</v>
      </c>
      <c r="O1767">
        <f t="shared" si="167"/>
        <v>0</v>
      </c>
      <c r="P1767">
        <f t="shared" si="164"/>
        <v>4850</v>
      </c>
      <c r="Q1767">
        <f t="shared" si="168"/>
        <v>4850</v>
      </c>
      <c r="T1767" s="16">
        <f t="shared" si="169"/>
        <v>0.2367552337151875</v>
      </c>
    </row>
    <row r="1768" spans="7:20" ht="14.4" x14ac:dyDescent="0.25">
      <c r="G1768" s="10">
        <v>3980</v>
      </c>
      <c r="H1768" s="9">
        <v>28420</v>
      </c>
      <c r="I1768" s="14">
        <f>DATE(2012,12,31)-1194</f>
        <v>40080</v>
      </c>
      <c r="J1768" s="15" t="s">
        <v>25</v>
      </c>
      <c r="K1768" s="9">
        <v>2</v>
      </c>
      <c r="L1768" s="16" t="s">
        <v>26</v>
      </c>
      <c r="M1768" s="16">
        <f t="shared" si="165"/>
        <v>-1.627858735003791</v>
      </c>
      <c r="N1768">
        <f t="shared" si="166"/>
        <v>0</v>
      </c>
      <c r="O1768">
        <f t="shared" si="167"/>
        <v>0</v>
      </c>
      <c r="P1768">
        <f t="shared" si="164"/>
        <v>3500</v>
      </c>
      <c r="Q1768">
        <f t="shared" si="168"/>
        <v>3500</v>
      </c>
      <c r="T1768" s="16">
        <f t="shared" si="169"/>
        <v>-1.6278587350037912</v>
      </c>
    </row>
    <row r="1769" spans="7:20" ht="14.4" x14ac:dyDescent="0.25">
      <c r="G1769" s="10">
        <v>4123</v>
      </c>
      <c r="H1769" s="9">
        <v>29318</v>
      </c>
      <c r="I1769" s="14">
        <f>DATE(2012,12,31)-550</f>
        <v>40724</v>
      </c>
      <c r="J1769" s="15" t="s">
        <v>28</v>
      </c>
      <c r="K1769" s="9">
        <v>21</v>
      </c>
      <c r="L1769" s="16" t="s">
        <v>26</v>
      </c>
      <c r="M1769" s="16">
        <f t="shared" si="165"/>
        <v>-0.31572297923858361</v>
      </c>
      <c r="N1769">
        <f t="shared" si="166"/>
        <v>0</v>
      </c>
      <c r="O1769">
        <f t="shared" si="167"/>
        <v>0</v>
      </c>
      <c r="P1769">
        <f t="shared" si="164"/>
        <v>4450</v>
      </c>
      <c r="Q1769">
        <f t="shared" si="168"/>
        <v>4450</v>
      </c>
      <c r="T1769" s="16">
        <f t="shared" si="169"/>
        <v>-0.315722979238584</v>
      </c>
    </row>
    <row r="1770" spans="7:20" ht="14.4" x14ac:dyDescent="0.25">
      <c r="G1770" s="10">
        <v>4124</v>
      </c>
      <c r="H1770" s="9">
        <v>29318</v>
      </c>
      <c r="I1770" s="14">
        <f>DATE(2012,12,31)-550</f>
        <v>40724</v>
      </c>
      <c r="J1770" s="15" t="s">
        <v>28</v>
      </c>
      <c r="K1770" s="9">
        <v>34</v>
      </c>
      <c r="L1770" s="16" t="s">
        <v>27</v>
      </c>
      <c r="M1770" s="16">
        <f t="shared" si="165"/>
        <v>0.58205411681129504</v>
      </c>
      <c r="N1770">
        <f t="shared" si="166"/>
        <v>0</v>
      </c>
      <c r="O1770">
        <f t="shared" si="167"/>
        <v>0</v>
      </c>
      <c r="P1770">
        <f t="shared" si="164"/>
        <v>5100</v>
      </c>
      <c r="Q1770">
        <f t="shared" si="168"/>
        <v>5100</v>
      </c>
      <c r="T1770" s="16">
        <f t="shared" si="169"/>
        <v>0.58205411681129471</v>
      </c>
    </row>
    <row r="1771" spans="7:20" ht="14.4" x14ac:dyDescent="0.25">
      <c r="G1771" s="10">
        <v>4223</v>
      </c>
      <c r="H1771" s="9">
        <v>30016</v>
      </c>
      <c r="I1771" s="14">
        <f>DATE(2012,12,31)-1458</f>
        <v>39816</v>
      </c>
      <c r="J1771" s="15" t="s">
        <v>30</v>
      </c>
      <c r="K1771" s="9">
        <v>15</v>
      </c>
      <c r="L1771" s="16" t="s">
        <v>26</v>
      </c>
      <c r="M1771" s="16">
        <f t="shared" si="165"/>
        <v>-0.7300816389539122</v>
      </c>
      <c r="N1771">
        <f t="shared" si="166"/>
        <v>0</v>
      </c>
      <c r="O1771">
        <f t="shared" si="167"/>
        <v>0</v>
      </c>
      <c r="P1771">
        <f t="shared" si="164"/>
        <v>4150</v>
      </c>
      <c r="Q1771">
        <f t="shared" si="168"/>
        <v>4150</v>
      </c>
      <c r="T1771" s="16">
        <f t="shared" si="169"/>
        <v>-0.73008163895391265</v>
      </c>
    </row>
    <row r="1772" spans="7:20" ht="14.4" x14ac:dyDescent="0.25">
      <c r="G1772" s="10">
        <v>4224</v>
      </c>
      <c r="H1772" s="9">
        <v>30016</v>
      </c>
      <c r="I1772" s="14">
        <f>DATE(2012,12,31)-1458</f>
        <v>39816</v>
      </c>
      <c r="J1772" s="15" t="s">
        <v>30</v>
      </c>
      <c r="K1772" s="9">
        <v>8</v>
      </c>
      <c r="L1772" s="16" t="s">
        <v>27</v>
      </c>
      <c r="M1772" s="16">
        <f t="shared" si="165"/>
        <v>-1.2135000752884624</v>
      </c>
      <c r="N1772">
        <f t="shared" si="166"/>
        <v>0</v>
      </c>
      <c r="O1772">
        <f t="shared" si="167"/>
        <v>0</v>
      </c>
      <c r="P1772">
        <f t="shared" si="164"/>
        <v>3800</v>
      </c>
      <c r="Q1772">
        <f t="shared" si="168"/>
        <v>3800</v>
      </c>
      <c r="T1772" s="16">
        <f t="shared" si="169"/>
        <v>-1.2135000752884626</v>
      </c>
    </row>
    <row r="1773" spans="7:20" ht="14.4" x14ac:dyDescent="0.25">
      <c r="G1773" s="10">
        <v>4676</v>
      </c>
      <c r="H1773" s="9">
        <v>33255</v>
      </c>
      <c r="I1773" s="14">
        <f>DATE(2012,12,31)-921</f>
        <v>40353</v>
      </c>
      <c r="J1773" s="15" t="s">
        <v>30</v>
      </c>
      <c r="K1773" s="9">
        <v>19</v>
      </c>
      <c r="L1773" s="16" t="s">
        <v>26</v>
      </c>
      <c r="M1773" s="16">
        <f t="shared" si="165"/>
        <v>-0.45384253247702649</v>
      </c>
      <c r="N1773">
        <f t="shared" si="166"/>
        <v>0</v>
      </c>
      <c r="O1773">
        <f t="shared" si="167"/>
        <v>0</v>
      </c>
      <c r="P1773">
        <f t="shared" si="164"/>
        <v>4350</v>
      </c>
      <c r="Q1773">
        <f t="shared" si="168"/>
        <v>4350</v>
      </c>
      <c r="T1773" s="16">
        <f t="shared" si="169"/>
        <v>-0.45384253247702688</v>
      </c>
    </row>
    <row r="1774" spans="7:20" ht="14.4" x14ac:dyDescent="0.25">
      <c r="G1774" s="10">
        <v>4933</v>
      </c>
      <c r="H1774" s="9">
        <v>35104</v>
      </c>
      <c r="I1774" s="14">
        <f>DATE(2012,12,31)-253</f>
        <v>41021</v>
      </c>
      <c r="J1774" s="15" t="s">
        <v>17</v>
      </c>
      <c r="K1774" s="9">
        <v>1</v>
      </c>
      <c r="L1774" s="16" t="s">
        <v>27</v>
      </c>
      <c r="M1774" s="16">
        <f t="shared" si="165"/>
        <v>-1.6969185116230123</v>
      </c>
      <c r="N1774">
        <f t="shared" si="166"/>
        <v>0</v>
      </c>
      <c r="O1774">
        <f t="shared" si="167"/>
        <v>0</v>
      </c>
      <c r="P1774">
        <f t="shared" si="164"/>
        <v>3450</v>
      </c>
      <c r="Q1774">
        <f t="shared" si="168"/>
        <v>3450</v>
      </c>
      <c r="T1774" s="16">
        <f t="shared" si="169"/>
        <v>-1.6969185116230128</v>
      </c>
    </row>
    <row r="1775" spans="7:20" ht="14.4" x14ac:dyDescent="0.25">
      <c r="G1775" s="10">
        <v>4934</v>
      </c>
      <c r="H1775" s="9">
        <v>35104</v>
      </c>
      <c r="I1775" s="14">
        <f>DATE(2012,12,31)-253</f>
        <v>41021</v>
      </c>
      <c r="J1775" s="15" t="s">
        <v>17</v>
      </c>
      <c r="K1775" s="9">
        <v>18</v>
      </c>
      <c r="L1775" s="16" t="s">
        <v>29</v>
      </c>
      <c r="M1775" s="16">
        <f t="shared" si="165"/>
        <v>-0.52290230909624791</v>
      </c>
      <c r="N1775">
        <f t="shared" si="166"/>
        <v>0</v>
      </c>
      <c r="O1775">
        <f t="shared" si="167"/>
        <v>0</v>
      </c>
      <c r="P1775">
        <f t="shared" si="164"/>
        <v>4300</v>
      </c>
      <c r="Q1775">
        <f t="shared" si="168"/>
        <v>4300</v>
      </c>
      <c r="T1775" s="16">
        <f t="shared" si="169"/>
        <v>-0.52290230909624835</v>
      </c>
    </row>
    <row r="1776" spans="7:20" ht="14.4" x14ac:dyDescent="0.25">
      <c r="G1776" s="10">
        <v>4946</v>
      </c>
      <c r="H1776" s="9">
        <v>35142</v>
      </c>
      <c r="I1776" s="14">
        <f>DATE(2012,12,31)-984</f>
        <v>40290</v>
      </c>
      <c r="J1776" s="15" t="s">
        <v>25</v>
      </c>
      <c r="K1776" s="9">
        <v>11</v>
      </c>
      <c r="L1776" s="16" t="s">
        <v>29</v>
      </c>
      <c r="M1776" s="16">
        <f t="shared" si="165"/>
        <v>-1.0063207454307979</v>
      </c>
      <c r="N1776">
        <f t="shared" si="166"/>
        <v>0</v>
      </c>
      <c r="O1776">
        <f t="shared" si="167"/>
        <v>0</v>
      </c>
      <c r="P1776">
        <f t="shared" si="164"/>
        <v>3950</v>
      </c>
      <c r="Q1776">
        <f t="shared" si="168"/>
        <v>3950</v>
      </c>
      <c r="T1776" s="16">
        <f t="shared" si="169"/>
        <v>-1.0063207454307983</v>
      </c>
    </row>
    <row r="1777" spans="7:20" ht="14.4" x14ac:dyDescent="0.25">
      <c r="G1777" s="10">
        <v>4997</v>
      </c>
      <c r="H1777" s="9">
        <v>35584</v>
      </c>
      <c r="I1777" s="14">
        <f>DATE(2012,12,31)-608</f>
        <v>40666</v>
      </c>
      <c r="J1777" s="15" t="s">
        <v>16</v>
      </c>
      <c r="K1777" s="9">
        <v>15</v>
      </c>
      <c r="L1777" s="16" t="s">
        <v>26</v>
      </c>
      <c r="M1777" s="16">
        <f t="shared" si="165"/>
        <v>-0.7300816389539122</v>
      </c>
      <c r="N1777">
        <f t="shared" si="166"/>
        <v>0</v>
      </c>
      <c r="O1777">
        <f t="shared" si="167"/>
        <v>0</v>
      </c>
      <c r="P1777">
        <f t="shared" si="164"/>
        <v>4150</v>
      </c>
      <c r="Q1777">
        <f t="shared" si="168"/>
        <v>4150</v>
      </c>
      <c r="T1777" s="16">
        <f t="shared" si="169"/>
        <v>-0.73008163895391265</v>
      </c>
    </row>
    <row r="1778" spans="7:20" ht="14.4" x14ac:dyDescent="0.25">
      <c r="G1778" s="10">
        <v>5037</v>
      </c>
      <c r="H1778" s="9">
        <v>35908</v>
      </c>
      <c r="I1778" s="14">
        <f>DATE(2012,12,31)-750</f>
        <v>40524</v>
      </c>
      <c r="J1778" s="15" t="s">
        <v>28</v>
      </c>
      <c r="K1778" s="9">
        <v>40</v>
      </c>
      <c r="L1778" s="16" t="s">
        <v>26</v>
      </c>
      <c r="M1778" s="16">
        <f t="shared" si="165"/>
        <v>0.99641277652662363</v>
      </c>
      <c r="N1778">
        <f t="shared" si="166"/>
        <v>0</v>
      </c>
      <c r="O1778">
        <f t="shared" si="167"/>
        <v>0</v>
      </c>
      <c r="P1778">
        <f t="shared" si="164"/>
        <v>5400</v>
      </c>
      <c r="Q1778">
        <f t="shared" si="168"/>
        <v>5400</v>
      </c>
      <c r="T1778" s="16">
        <f t="shared" si="169"/>
        <v>0.9964127765266233</v>
      </c>
    </row>
    <row r="1779" spans="7:20" ht="14.4" x14ac:dyDescent="0.25">
      <c r="G1779" s="10">
        <v>5038</v>
      </c>
      <c r="H1779" s="9">
        <v>35908</v>
      </c>
      <c r="I1779" s="14">
        <f>DATE(2012,12,31)-750</f>
        <v>40524</v>
      </c>
      <c r="J1779" s="15" t="s">
        <v>28</v>
      </c>
      <c r="K1779" s="9">
        <v>45</v>
      </c>
      <c r="L1779" s="16" t="s">
        <v>26</v>
      </c>
      <c r="M1779" s="16">
        <f t="shared" si="165"/>
        <v>1.3417116596227308</v>
      </c>
      <c r="N1779">
        <f t="shared" si="166"/>
        <v>0</v>
      </c>
      <c r="O1779">
        <f t="shared" si="167"/>
        <v>0</v>
      </c>
      <c r="P1779">
        <f t="shared" si="164"/>
        <v>5650</v>
      </c>
      <c r="Q1779">
        <f t="shared" si="168"/>
        <v>5650</v>
      </c>
      <c r="T1779" s="16">
        <f t="shared" si="169"/>
        <v>1.3417116596227305</v>
      </c>
    </row>
    <row r="1780" spans="7:20" ht="14.4" x14ac:dyDescent="0.25">
      <c r="G1780" s="10">
        <v>5152</v>
      </c>
      <c r="H1780" s="9">
        <v>36706</v>
      </c>
      <c r="I1780" s="14">
        <f>DATE(2012,12,31)-1360</f>
        <v>39914</v>
      </c>
      <c r="J1780" s="15" t="s">
        <v>28</v>
      </c>
      <c r="K1780" s="9">
        <v>47</v>
      </c>
      <c r="L1780" s="16" t="s">
        <v>26</v>
      </c>
      <c r="M1780" s="16">
        <f t="shared" si="165"/>
        <v>1.4798312128611737</v>
      </c>
      <c r="N1780">
        <f t="shared" si="166"/>
        <v>0</v>
      </c>
      <c r="O1780">
        <f t="shared" si="167"/>
        <v>0</v>
      </c>
      <c r="P1780">
        <f t="shared" si="164"/>
        <v>5750</v>
      </c>
      <c r="Q1780">
        <f t="shared" si="168"/>
        <v>5750</v>
      </c>
      <c r="T1780" s="16">
        <f t="shared" si="169"/>
        <v>1.4798312128611733</v>
      </c>
    </row>
    <row r="1781" spans="7:20" ht="14.4" x14ac:dyDescent="0.25">
      <c r="G1781" s="10">
        <v>5153</v>
      </c>
      <c r="H1781" s="9">
        <v>36706</v>
      </c>
      <c r="I1781" s="14">
        <f>DATE(2012,12,31)-1360</f>
        <v>39914</v>
      </c>
      <c r="J1781" s="15" t="s">
        <v>28</v>
      </c>
      <c r="K1781" s="9">
        <v>7</v>
      </c>
      <c r="L1781" s="16" t="s">
        <v>26</v>
      </c>
      <c r="M1781" s="16">
        <f t="shared" si="165"/>
        <v>-1.2825598519076837</v>
      </c>
      <c r="N1781">
        <f t="shared" si="166"/>
        <v>0</v>
      </c>
      <c r="O1781">
        <f t="shared" si="167"/>
        <v>0</v>
      </c>
      <c r="P1781">
        <f t="shared" si="164"/>
        <v>3750</v>
      </c>
      <c r="Q1781">
        <f t="shared" si="168"/>
        <v>3750</v>
      </c>
      <c r="T1781" s="16">
        <f t="shared" si="169"/>
        <v>-1.2825598519076842</v>
      </c>
    </row>
    <row r="1782" spans="7:20" ht="14.4" x14ac:dyDescent="0.25">
      <c r="G1782" s="10">
        <v>5214</v>
      </c>
      <c r="H1782" s="9">
        <v>37121</v>
      </c>
      <c r="I1782" s="14">
        <f>DATE(2012,12,31)-657</f>
        <v>40617</v>
      </c>
      <c r="J1782" s="15" t="s">
        <v>28</v>
      </c>
      <c r="K1782" s="9">
        <v>44</v>
      </c>
      <c r="L1782" s="16" t="s">
        <v>29</v>
      </c>
      <c r="M1782" s="16">
        <f t="shared" si="165"/>
        <v>1.2726518830035094</v>
      </c>
      <c r="N1782">
        <f t="shared" si="166"/>
        <v>0</v>
      </c>
      <c r="O1782">
        <f t="shared" si="167"/>
        <v>0</v>
      </c>
      <c r="P1782">
        <f t="shared" si="164"/>
        <v>5600</v>
      </c>
      <c r="Q1782">
        <f t="shared" si="168"/>
        <v>5600</v>
      </c>
      <c r="T1782" s="16">
        <f t="shared" si="169"/>
        <v>1.272651883003509</v>
      </c>
    </row>
    <row r="1783" spans="7:20" ht="14.4" x14ac:dyDescent="0.25">
      <c r="G1783" s="10">
        <v>5420</v>
      </c>
      <c r="H1783" s="9">
        <v>38528</v>
      </c>
      <c r="I1783" s="14">
        <f>DATE(2012,12,31)-377</f>
        <v>40897</v>
      </c>
      <c r="J1783" s="15" t="s">
        <v>30</v>
      </c>
      <c r="K1783" s="9">
        <v>36</v>
      </c>
      <c r="L1783" s="16" t="s">
        <v>27</v>
      </c>
      <c r="M1783" s="16">
        <f t="shared" si="165"/>
        <v>0.72017367004973787</v>
      </c>
      <c r="N1783">
        <f t="shared" si="166"/>
        <v>0</v>
      </c>
      <c r="O1783">
        <f t="shared" si="167"/>
        <v>0</v>
      </c>
      <c r="P1783">
        <f t="shared" si="164"/>
        <v>5200</v>
      </c>
      <c r="Q1783">
        <f t="shared" si="168"/>
        <v>5200</v>
      </c>
      <c r="T1783" s="16">
        <f t="shared" si="169"/>
        <v>0.72017367004973754</v>
      </c>
    </row>
    <row r="1784" spans="7:20" ht="14.4" x14ac:dyDescent="0.25">
      <c r="G1784" s="10">
        <v>5469</v>
      </c>
      <c r="H1784" s="9">
        <v>38853</v>
      </c>
      <c r="I1784" s="14">
        <f>DATE(2012,12,31)-283</f>
        <v>40991</v>
      </c>
      <c r="J1784" s="15" t="s">
        <v>25</v>
      </c>
      <c r="K1784" s="9">
        <v>13</v>
      </c>
      <c r="L1784" s="16" t="s">
        <v>27</v>
      </c>
      <c r="M1784" s="16">
        <f t="shared" si="165"/>
        <v>-0.86820119219235514</v>
      </c>
      <c r="N1784">
        <f t="shared" si="166"/>
        <v>0</v>
      </c>
      <c r="O1784">
        <f t="shared" si="167"/>
        <v>0</v>
      </c>
      <c r="P1784">
        <f t="shared" si="164"/>
        <v>4050</v>
      </c>
      <c r="Q1784">
        <f t="shared" si="168"/>
        <v>4050</v>
      </c>
      <c r="T1784" s="16">
        <f t="shared" si="169"/>
        <v>-0.86820119219235548</v>
      </c>
    </row>
    <row r="1785" spans="7:20" ht="14.4" x14ac:dyDescent="0.25">
      <c r="G1785" s="10">
        <v>5585</v>
      </c>
      <c r="H1785" s="9">
        <v>39590</v>
      </c>
      <c r="I1785" s="14">
        <f>DATE(2012,12,31)-597</f>
        <v>40677</v>
      </c>
      <c r="J1785" s="15" t="s">
        <v>25</v>
      </c>
      <c r="K1785" s="9">
        <v>9</v>
      </c>
      <c r="L1785" s="16" t="s">
        <v>26</v>
      </c>
      <c r="M1785" s="16">
        <f t="shared" si="165"/>
        <v>-1.1444402986692408</v>
      </c>
      <c r="N1785">
        <f t="shared" si="166"/>
        <v>0</v>
      </c>
      <c r="O1785">
        <f t="shared" si="167"/>
        <v>0</v>
      </c>
      <c r="P1785">
        <f t="shared" si="164"/>
        <v>3850</v>
      </c>
      <c r="Q1785">
        <f t="shared" si="168"/>
        <v>3850</v>
      </c>
      <c r="T1785" s="16">
        <f t="shared" si="169"/>
        <v>-1.1444402986692412</v>
      </c>
    </row>
    <row r="1786" spans="7:20" ht="14.4" x14ac:dyDescent="0.25">
      <c r="G1786" s="10">
        <v>5735</v>
      </c>
      <c r="H1786" s="9">
        <v>40707</v>
      </c>
      <c r="I1786" s="14">
        <f>DATE(2012,12,31)-1299</f>
        <v>39975</v>
      </c>
      <c r="J1786" s="15" t="s">
        <v>17</v>
      </c>
      <c r="K1786" s="9">
        <v>26</v>
      </c>
      <c r="L1786" s="16" t="s">
        <v>27</v>
      </c>
      <c r="M1786" s="16">
        <f t="shared" si="165"/>
        <v>2.9575903857523567E-2</v>
      </c>
      <c r="N1786">
        <f t="shared" si="166"/>
        <v>0</v>
      </c>
      <c r="O1786">
        <f t="shared" si="167"/>
        <v>0</v>
      </c>
      <c r="P1786">
        <f t="shared" si="164"/>
        <v>4700</v>
      </c>
      <c r="Q1786">
        <f t="shared" si="168"/>
        <v>4700</v>
      </c>
      <c r="T1786" s="16">
        <f t="shared" si="169"/>
        <v>2.9575903857523185E-2</v>
      </c>
    </row>
    <row r="1787" spans="7:20" ht="14.4" x14ac:dyDescent="0.25">
      <c r="G1787" s="10">
        <v>5769</v>
      </c>
      <c r="H1787" s="9">
        <v>40961</v>
      </c>
      <c r="I1787" s="14">
        <f>DATE(2012,12,31)-642</f>
        <v>40632</v>
      </c>
      <c r="J1787" s="15" t="s">
        <v>16</v>
      </c>
      <c r="K1787" s="9">
        <v>7</v>
      </c>
      <c r="L1787" s="16" t="s">
        <v>26</v>
      </c>
      <c r="M1787" s="16">
        <f t="shared" si="165"/>
        <v>-1.2825598519076837</v>
      </c>
      <c r="N1787">
        <f t="shared" si="166"/>
        <v>0</v>
      </c>
      <c r="O1787">
        <f t="shared" si="167"/>
        <v>0</v>
      </c>
      <c r="P1787">
        <f t="shared" si="164"/>
        <v>3750</v>
      </c>
      <c r="Q1787">
        <f t="shared" si="168"/>
        <v>3750</v>
      </c>
      <c r="T1787" s="16">
        <f t="shared" si="169"/>
        <v>-1.2825598519076842</v>
      </c>
    </row>
    <row r="1788" spans="7:20" ht="14.4" x14ac:dyDescent="0.25">
      <c r="G1788" s="10">
        <v>5783</v>
      </c>
      <c r="H1788" s="9">
        <v>41026</v>
      </c>
      <c r="I1788" s="14">
        <f>DATE(2012,12,31)-622</f>
        <v>40652</v>
      </c>
      <c r="J1788" s="15" t="s">
        <v>16</v>
      </c>
      <c r="K1788" s="9">
        <v>8</v>
      </c>
      <c r="L1788" s="16" t="s">
        <v>29</v>
      </c>
      <c r="M1788" s="16">
        <f t="shared" si="165"/>
        <v>-1.2135000752884624</v>
      </c>
      <c r="N1788">
        <f t="shared" si="166"/>
        <v>0</v>
      </c>
      <c r="O1788">
        <f t="shared" si="167"/>
        <v>0</v>
      </c>
      <c r="P1788">
        <f t="shared" si="164"/>
        <v>3800</v>
      </c>
      <c r="Q1788">
        <f t="shared" si="168"/>
        <v>3800</v>
      </c>
      <c r="T1788" s="16">
        <f t="shared" si="169"/>
        <v>-1.2135000752884626</v>
      </c>
    </row>
    <row r="1789" spans="7:20" ht="14.4" x14ac:dyDescent="0.25">
      <c r="G1789" s="10">
        <v>5784</v>
      </c>
      <c r="H1789" s="9">
        <v>41026</v>
      </c>
      <c r="I1789" s="14">
        <f>DATE(2012,12,31)-622</f>
        <v>40652</v>
      </c>
      <c r="J1789" s="15" t="s">
        <v>16</v>
      </c>
      <c r="K1789" s="9">
        <v>19</v>
      </c>
      <c r="L1789" s="16" t="s">
        <v>26</v>
      </c>
      <c r="M1789" s="16">
        <f t="shared" si="165"/>
        <v>-0.45384253247702649</v>
      </c>
      <c r="N1789">
        <f t="shared" si="166"/>
        <v>0</v>
      </c>
      <c r="O1789">
        <f t="shared" si="167"/>
        <v>0</v>
      </c>
      <c r="P1789">
        <f t="shared" si="164"/>
        <v>4350</v>
      </c>
      <c r="Q1789">
        <f t="shared" si="168"/>
        <v>4350</v>
      </c>
      <c r="T1789" s="16">
        <f t="shared" si="169"/>
        <v>-0.45384253247702688</v>
      </c>
    </row>
    <row r="1790" spans="7:20" ht="14.4" x14ac:dyDescent="0.25">
      <c r="G1790" s="10">
        <v>5853</v>
      </c>
      <c r="H1790" s="9">
        <v>41543</v>
      </c>
      <c r="I1790" s="14">
        <f>DATE(2012,12,31)-1424</f>
        <v>39850</v>
      </c>
      <c r="J1790" s="15" t="s">
        <v>25</v>
      </c>
      <c r="K1790" s="9">
        <v>45</v>
      </c>
      <c r="L1790" s="16" t="s">
        <v>29</v>
      </c>
      <c r="M1790" s="16">
        <f t="shared" si="165"/>
        <v>1.3417116596227308</v>
      </c>
      <c r="N1790">
        <f t="shared" si="166"/>
        <v>0</v>
      </c>
      <c r="O1790">
        <f t="shared" si="167"/>
        <v>0</v>
      </c>
      <c r="P1790">
        <f t="shared" si="164"/>
        <v>5650</v>
      </c>
      <c r="Q1790">
        <f t="shared" si="168"/>
        <v>5650</v>
      </c>
      <c r="T1790" s="16">
        <f t="shared" si="169"/>
        <v>1.3417116596227305</v>
      </c>
    </row>
    <row r="1791" spans="7:20" ht="14.4" x14ac:dyDescent="0.25">
      <c r="G1791" s="10">
        <v>5854</v>
      </c>
      <c r="H1791" s="9">
        <v>41543</v>
      </c>
      <c r="I1791" s="14">
        <f>DATE(2012,12,31)-1424</f>
        <v>39850</v>
      </c>
      <c r="J1791" s="15" t="s">
        <v>25</v>
      </c>
      <c r="K1791" s="9">
        <v>24</v>
      </c>
      <c r="L1791" s="16" t="s">
        <v>27</v>
      </c>
      <c r="M1791" s="16">
        <f t="shared" si="165"/>
        <v>-0.1085436493809193</v>
      </c>
      <c r="N1791">
        <f t="shared" si="166"/>
        <v>0</v>
      </c>
      <c r="O1791">
        <f t="shared" si="167"/>
        <v>0</v>
      </c>
      <c r="P1791">
        <f t="shared" si="164"/>
        <v>4600</v>
      </c>
      <c r="Q1791">
        <f t="shared" si="168"/>
        <v>4600</v>
      </c>
      <c r="T1791" s="16">
        <f t="shared" si="169"/>
        <v>-0.10854364938091969</v>
      </c>
    </row>
    <row r="1792" spans="7:20" ht="14.4" x14ac:dyDescent="0.25">
      <c r="G1792" s="10">
        <v>5862</v>
      </c>
      <c r="H1792" s="9">
        <v>41606</v>
      </c>
      <c r="I1792" s="14">
        <f>DATE(2012,12,31)-1287</f>
        <v>39987</v>
      </c>
      <c r="J1792" s="15" t="s">
        <v>17</v>
      </c>
      <c r="K1792" s="9">
        <v>23</v>
      </c>
      <c r="L1792" s="16" t="s">
        <v>29</v>
      </c>
      <c r="M1792" s="16">
        <f t="shared" si="165"/>
        <v>-0.17760342600014073</v>
      </c>
      <c r="N1792">
        <f t="shared" si="166"/>
        <v>0</v>
      </c>
      <c r="O1792">
        <f t="shared" si="167"/>
        <v>0</v>
      </c>
      <c r="P1792">
        <f t="shared" si="164"/>
        <v>4550</v>
      </c>
      <c r="Q1792">
        <f t="shared" si="168"/>
        <v>4550</v>
      </c>
      <c r="T1792" s="16">
        <f t="shared" si="169"/>
        <v>-0.17760342600014112</v>
      </c>
    </row>
    <row r="1793" spans="7:20" ht="14.4" x14ac:dyDescent="0.25">
      <c r="G1793" s="10">
        <v>5863</v>
      </c>
      <c r="H1793" s="9">
        <v>41606</v>
      </c>
      <c r="I1793" s="14">
        <f>DATE(2012,12,31)-1287</f>
        <v>39987</v>
      </c>
      <c r="J1793" s="15" t="s">
        <v>17</v>
      </c>
      <c r="K1793" s="9">
        <v>30</v>
      </c>
      <c r="L1793" s="16" t="s">
        <v>26</v>
      </c>
      <c r="M1793" s="16">
        <f t="shared" si="165"/>
        <v>0.30581501033440933</v>
      </c>
      <c r="N1793">
        <f t="shared" si="166"/>
        <v>0</v>
      </c>
      <c r="O1793">
        <f t="shared" si="167"/>
        <v>0</v>
      </c>
      <c r="P1793">
        <f t="shared" si="164"/>
        <v>4900</v>
      </c>
      <c r="Q1793">
        <f t="shared" si="168"/>
        <v>4900</v>
      </c>
      <c r="T1793" s="16">
        <f t="shared" si="169"/>
        <v>0.30581501033440894</v>
      </c>
    </row>
    <row r="1794" spans="7:20" ht="14.4" x14ac:dyDescent="0.25">
      <c r="G1794" s="10">
        <v>5913</v>
      </c>
      <c r="H1794" s="9">
        <v>41926</v>
      </c>
      <c r="I1794" s="14">
        <f>DATE(2012,12,31)-695</f>
        <v>40579</v>
      </c>
      <c r="J1794" s="15" t="s">
        <v>17</v>
      </c>
      <c r="K1794" s="9">
        <v>17</v>
      </c>
      <c r="L1794" s="16" t="s">
        <v>26</v>
      </c>
      <c r="M1794" s="16">
        <f t="shared" si="165"/>
        <v>-0.59196208571546938</v>
      </c>
      <c r="N1794">
        <f t="shared" si="166"/>
        <v>0</v>
      </c>
      <c r="O1794">
        <f t="shared" si="167"/>
        <v>0</v>
      </c>
      <c r="P1794">
        <f t="shared" si="164"/>
        <v>4250</v>
      </c>
      <c r="Q1794">
        <f t="shared" si="168"/>
        <v>4250</v>
      </c>
      <c r="T1794" s="16">
        <f t="shared" si="169"/>
        <v>-0.59196208571546971</v>
      </c>
    </row>
    <row r="1795" spans="7:20" ht="14.4" x14ac:dyDescent="0.25">
      <c r="G1795" s="10">
        <v>5914</v>
      </c>
      <c r="H1795" s="9">
        <v>41926</v>
      </c>
      <c r="I1795" s="14">
        <f>DATE(2012,12,31)-695</f>
        <v>40579</v>
      </c>
      <c r="J1795" s="15" t="s">
        <v>17</v>
      </c>
      <c r="K1795" s="9">
        <v>43</v>
      </c>
      <c r="L1795" s="16" t="s">
        <v>26</v>
      </c>
      <c r="M1795" s="16">
        <f t="shared" si="165"/>
        <v>1.203592106384288</v>
      </c>
      <c r="N1795">
        <f t="shared" si="166"/>
        <v>0</v>
      </c>
      <c r="O1795">
        <f t="shared" si="167"/>
        <v>0</v>
      </c>
      <c r="P1795">
        <f t="shared" si="164"/>
        <v>5550</v>
      </c>
      <c r="Q1795">
        <f t="shared" si="168"/>
        <v>5550</v>
      </c>
      <c r="T1795" s="16">
        <f t="shared" si="169"/>
        <v>1.2035921063842876</v>
      </c>
    </row>
    <row r="1796" spans="7:20" ht="14.4" x14ac:dyDescent="0.25">
      <c r="G1796" s="10">
        <v>7082</v>
      </c>
      <c r="H1796" s="9">
        <v>50533</v>
      </c>
      <c r="I1796" s="14">
        <f>DATE(2012,12,31)-580</f>
        <v>40694</v>
      </c>
      <c r="J1796" s="15" t="s">
        <v>28</v>
      </c>
      <c r="K1796" s="9">
        <v>32</v>
      </c>
      <c r="L1796" s="16" t="s">
        <v>26</v>
      </c>
      <c r="M1796" s="16">
        <f t="shared" si="165"/>
        <v>0.44393456357285216</v>
      </c>
      <c r="N1796">
        <f t="shared" si="166"/>
        <v>0</v>
      </c>
      <c r="O1796">
        <f t="shared" si="167"/>
        <v>0</v>
      </c>
      <c r="P1796">
        <f t="shared" si="164"/>
        <v>5000</v>
      </c>
      <c r="Q1796">
        <f t="shared" si="168"/>
        <v>5000</v>
      </c>
      <c r="T1796" s="16">
        <f t="shared" si="169"/>
        <v>0.44393456357285183</v>
      </c>
    </row>
    <row r="1797" spans="7:20" ht="14.4" x14ac:dyDescent="0.25">
      <c r="G1797" s="10">
        <v>7083</v>
      </c>
      <c r="H1797" s="9">
        <v>50533</v>
      </c>
      <c r="I1797" s="14">
        <f>DATE(2012,12,31)-580</f>
        <v>40694</v>
      </c>
      <c r="J1797" s="15" t="s">
        <v>28</v>
      </c>
      <c r="K1797" s="9">
        <v>3</v>
      </c>
      <c r="L1797" s="16" t="s">
        <v>29</v>
      </c>
      <c r="M1797" s="16">
        <f t="shared" si="165"/>
        <v>-1.5587989583845694</v>
      </c>
      <c r="N1797">
        <f t="shared" si="166"/>
        <v>0</v>
      </c>
      <c r="O1797">
        <f t="shared" si="167"/>
        <v>0</v>
      </c>
      <c r="P1797">
        <f t="shared" si="164"/>
        <v>3550</v>
      </c>
      <c r="Q1797">
        <f t="shared" si="168"/>
        <v>3550</v>
      </c>
      <c r="T1797" s="16">
        <f t="shared" si="169"/>
        <v>-1.5587989583845698</v>
      </c>
    </row>
    <row r="1798" spans="7:20" ht="14.4" x14ac:dyDescent="0.25">
      <c r="G1798" s="10">
        <v>7252</v>
      </c>
      <c r="H1798" s="9">
        <v>51747</v>
      </c>
      <c r="I1798" s="14">
        <f>DATE(2012,12,31)-179</f>
        <v>41095</v>
      </c>
      <c r="J1798" s="15" t="s">
        <v>16</v>
      </c>
      <c r="K1798" s="9">
        <v>3</v>
      </c>
      <c r="L1798" s="16" t="s">
        <v>26</v>
      </c>
      <c r="M1798" s="16">
        <f t="shared" si="165"/>
        <v>-1.5587989583845694</v>
      </c>
      <c r="N1798">
        <f t="shared" si="166"/>
        <v>0</v>
      </c>
      <c r="O1798">
        <f t="shared" si="167"/>
        <v>0</v>
      </c>
      <c r="P1798">
        <f t="shared" si="164"/>
        <v>3550</v>
      </c>
      <c r="Q1798">
        <f t="shared" si="168"/>
        <v>3550</v>
      </c>
      <c r="T1798" s="16">
        <f t="shared" si="169"/>
        <v>-1.5587989583845698</v>
      </c>
    </row>
    <row r="1799" spans="7:20" ht="14.4" x14ac:dyDescent="0.25">
      <c r="G1799" s="10">
        <v>7469</v>
      </c>
      <c r="H1799" s="9">
        <v>53314</v>
      </c>
      <c r="I1799" s="14">
        <f>DATE(2012,12,31)-834</f>
        <v>40440</v>
      </c>
      <c r="J1799" s="15" t="s">
        <v>17</v>
      </c>
      <c r="K1799" s="9">
        <v>33</v>
      </c>
      <c r="L1799" s="16" t="s">
        <v>29</v>
      </c>
      <c r="M1799" s="16">
        <f t="shared" si="165"/>
        <v>0.51299434019207357</v>
      </c>
      <c r="N1799">
        <f t="shared" si="166"/>
        <v>0</v>
      </c>
      <c r="O1799">
        <f t="shared" si="167"/>
        <v>0</v>
      </c>
      <c r="P1799">
        <f t="shared" si="164"/>
        <v>5050</v>
      </c>
      <c r="Q1799">
        <f t="shared" si="168"/>
        <v>5050</v>
      </c>
      <c r="T1799" s="16">
        <f t="shared" si="169"/>
        <v>0.51299434019207324</v>
      </c>
    </row>
    <row r="1800" spans="7:20" ht="14.4" x14ac:dyDescent="0.25">
      <c r="G1800" s="10">
        <v>7470</v>
      </c>
      <c r="H1800" s="9">
        <v>53314</v>
      </c>
      <c r="I1800" s="14">
        <f>DATE(2012,12,31)-834</f>
        <v>40440</v>
      </c>
      <c r="J1800" s="15" t="s">
        <v>17</v>
      </c>
      <c r="K1800" s="9">
        <v>15</v>
      </c>
      <c r="L1800" s="16" t="s">
        <v>29</v>
      </c>
      <c r="M1800" s="16">
        <f t="shared" si="165"/>
        <v>-0.7300816389539122</v>
      </c>
      <c r="N1800">
        <f t="shared" si="166"/>
        <v>0</v>
      </c>
      <c r="O1800">
        <f t="shared" si="167"/>
        <v>0</v>
      </c>
      <c r="P1800">
        <f t="shared" si="164"/>
        <v>4150</v>
      </c>
      <c r="Q1800">
        <f t="shared" si="168"/>
        <v>4150</v>
      </c>
      <c r="T1800" s="16">
        <f t="shared" si="169"/>
        <v>-0.73008163895391265</v>
      </c>
    </row>
    <row r="1801" spans="7:20" ht="14.4" x14ac:dyDescent="0.25">
      <c r="G1801" s="10">
        <v>7648</v>
      </c>
      <c r="H1801" s="9">
        <v>54791</v>
      </c>
      <c r="I1801" s="14">
        <f>DATE(2012,12,31)-11</f>
        <v>41263</v>
      </c>
      <c r="J1801" s="15" t="s">
        <v>17</v>
      </c>
      <c r="K1801" s="9">
        <v>45</v>
      </c>
      <c r="L1801" s="16" t="s">
        <v>29</v>
      </c>
      <c r="M1801" s="16">
        <f t="shared" si="165"/>
        <v>1.3417116596227308</v>
      </c>
      <c r="N1801">
        <f t="shared" si="166"/>
        <v>0</v>
      </c>
      <c r="O1801">
        <f t="shared" si="167"/>
        <v>0</v>
      </c>
      <c r="P1801">
        <f t="shared" si="164"/>
        <v>5650</v>
      </c>
      <c r="Q1801">
        <f t="shared" si="168"/>
        <v>5650</v>
      </c>
      <c r="T1801" s="16">
        <f t="shared" si="169"/>
        <v>1.3417116596227305</v>
      </c>
    </row>
    <row r="1802" spans="7:20" ht="14.4" x14ac:dyDescent="0.25">
      <c r="G1802" s="10">
        <v>7657</v>
      </c>
      <c r="H1802" s="9">
        <v>54912</v>
      </c>
      <c r="I1802" s="14">
        <f>DATE(2012,12,31)-529</f>
        <v>40745</v>
      </c>
      <c r="J1802" s="15" t="s">
        <v>25</v>
      </c>
      <c r="K1802" s="9">
        <v>17</v>
      </c>
      <c r="L1802" s="16" t="s">
        <v>26</v>
      </c>
      <c r="M1802" s="16">
        <f t="shared" si="165"/>
        <v>-0.59196208571546938</v>
      </c>
      <c r="N1802">
        <f t="shared" si="166"/>
        <v>0</v>
      </c>
      <c r="O1802">
        <f t="shared" si="167"/>
        <v>0</v>
      </c>
      <c r="P1802">
        <f t="shared" si="164"/>
        <v>4250</v>
      </c>
      <c r="Q1802">
        <f t="shared" si="168"/>
        <v>4250</v>
      </c>
      <c r="T1802" s="16">
        <f t="shared" si="169"/>
        <v>-0.59196208571546971</v>
      </c>
    </row>
    <row r="1803" spans="7:20" ht="14.4" x14ac:dyDescent="0.25">
      <c r="G1803" s="10">
        <v>7711</v>
      </c>
      <c r="H1803" s="9">
        <v>55269</v>
      </c>
      <c r="I1803" s="14">
        <f>DATE(2012,12,31)-1030</f>
        <v>40244</v>
      </c>
      <c r="J1803" s="15" t="s">
        <v>16</v>
      </c>
      <c r="K1803" s="9">
        <v>1</v>
      </c>
      <c r="L1803" s="16" t="s">
        <v>26</v>
      </c>
      <c r="M1803" s="16">
        <f t="shared" si="165"/>
        <v>-1.6969185116230123</v>
      </c>
      <c r="N1803">
        <f t="shared" si="166"/>
        <v>0</v>
      </c>
      <c r="O1803">
        <f t="shared" si="167"/>
        <v>0</v>
      </c>
      <c r="P1803">
        <f t="shared" si="164"/>
        <v>3450</v>
      </c>
      <c r="Q1803">
        <f t="shared" si="168"/>
        <v>3450</v>
      </c>
      <c r="T1803" s="16">
        <f t="shared" si="169"/>
        <v>-1.6969185116230128</v>
      </c>
    </row>
    <row r="1804" spans="7:20" ht="14.4" x14ac:dyDescent="0.25">
      <c r="G1804" s="10">
        <v>7845</v>
      </c>
      <c r="H1804" s="9">
        <v>56101</v>
      </c>
      <c r="I1804" s="14">
        <f>DATE(2012,12,31)-896</f>
        <v>40378</v>
      </c>
      <c r="J1804" s="15" t="s">
        <v>28</v>
      </c>
      <c r="K1804" s="9">
        <v>1</v>
      </c>
      <c r="L1804" s="16" t="s">
        <v>26</v>
      </c>
      <c r="M1804" s="16">
        <f t="shared" si="165"/>
        <v>-1.6969185116230123</v>
      </c>
      <c r="N1804">
        <f t="shared" si="166"/>
        <v>0</v>
      </c>
      <c r="O1804">
        <f t="shared" si="167"/>
        <v>0</v>
      </c>
      <c r="P1804">
        <f t="shared" ref="P1804:P1867" si="170">50*K1804+$P$10</f>
        <v>3450</v>
      </c>
      <c r="Q1804">
        <f t="shared" si="168"/>
        <v>3450</v>
      </c>
      <c r="T1804" s="16">
        <f t="shared" si="169"/>
        <v>-1.6969185116230128</v>
      </c>
    </row>
    <row r="1805" spans="7:20" ht="14.4" x14ac:dyDescent="0.25">
      <c r="G1805" s="10">
        <v>7846</v>
      </c>
      <c r="H1805" s="9">
        <v>56101</v>
      </c>
      <c r="I1805" s="14">
        <f>DATE(2012,12,31)-896</f>
        <v>40378</v>
      </c>
      <c r="J1805" s="15" t="s">
        <v>28</v>
      </c>
      <c r="K1805" s="9">
        <v>44</v>
      </c>
      <c r="L1805" s="16" t="s">
        <v>26</v>
      </c>
      <c r="M1805" s="16">
        <f t="shared" ref="M1805:M1868" si="171">(K1805-$K$4)/$K$7</f>
        <v>1.2726518830035094</v>
      </c>
      <c r="N1805">
        <f t="shared" ref="N1805:N1868" si="172">IF(MOD($B$20+G1805,1000)=0,1,0)</f>
        <v>0</v>
      </c>
      <c r="O1805">
        <f t="shared" ref="O1805:O1868" si="173">+ROUND(N1805*(IF(K1805&lt;$K$4,-4.5,10.5)*$P$5),-2)</f>
        <v>0</v>
      </c>
      <c r="P1805">
        <f t="shared" si="170"/>
        <v>5600</v>
      </c>
      <c r="Q1805">
        <f t="shared" ref="Q1805:Q1868" si="174">P1805+O1805</f>
        <v>5600</v>
      </c>
      <c r="T1805" s="16">
        <f t="shared" ref="T1805:T1868" si="175">(Q1805-$P$4)/$P$5</f>
        <v>1.272651883003509</v>
      </c>
    </row>
    <row r="1806" spans="7:20" ht="14.4" x14ac:dyDescent="0.25">
      <c r="G1806" s="10">
        <v>7917</v>
      </c>
      <c r="H1806" s="9">
        <v>56582</v>
      </c>
      <c r="I1806" s="14">
        <f>DATE(2012,12,31)-1298</f>
        <v>39976</v>
      </c>
      <c r="J1806" s="15" t="s">
        <v>25</v>
      </c>
      <c r="K1806" s="9">
        <v>36</v>
      </c>
      <c r="L1806" s="16" t="s">
        <v>29</v>
      </c>
      <c r="M1806" s="16">
        <f t="shared" si="171"/>
        <v>0.72017367004973787</v>
      </c>
      <c r="N1806">
        <f t="shared" si="172"/>
        <v>0</v>
      </c>
      <c r="O1806">
        <f t="shared" si="173"/>
        <v>0</v>
      </c>
      <c r="P1806">
        <f t="shared" si="170"/>
        <v>5200</v>
      </c>
      <c r="Q1806">
        <f t="shared" si="174"/>
        <v>5200</v>
      </c>
      <c r="T1806" s="16">
        <f t="shared" si="175"/>
        <v>0.72017367004973754</v>
      </c>
    </row>
    <row r="1807" spans="7:20" ht="14.4" x14ac:dyDescent="0.25">
      <c r="G1807" s="10">
        <v>7932</v>
      </c>
      <c r="H1807" s="9">
        <v>56677</v>
      </c>
      <c r="I1807" s="14">
        <f>DATE(2012,12,31)-1360</f>
        <v>39914</v>
      </c>
      <c r="J1807" s="15" t="s">
        <v>17</v>
      </c>
      <c r="K1807" s="9">
        <v>35</v>
      </c>
      <c r="L1807" s="16" t="s">
        <v>29</v>
      </c>
      <c r="M1807" s="16">
        <f t="shared" si="171"/>
        <v>0.65111389343051651</v>
      </c>
      <c r="N1807">
        <f t="shared" si="172"/>
        <v>0</v>
      </c>
      <c r="O1807">
        <f t="shared" si="173"/>
        <v>0</v>
      </c>
      <c r="P1807">
        <f t="shared" si="170"/>
        <v>5150</v>
      </c>
      <c r="Q1807">
        <f t="shared" si="174"/>
        <v>5150</v>
      </c>
      <c r="T1807" s="16">
        <f t="shared" si="175"/>
        <v>0.65111389343051607</v>
      </c>
    </row>
    <row r="1808" spans="7:20" ht="14.4" x14ac:dyDescent="0.25">
      <c r="G1808" s="10">
        <v>8214</v>
      </c>
      <c r="H1808" s="9">
        <v>58725</v>
      </c>
      <c r="I1808" s="14">
        <f>DATE(2012,12,31)-956</f>
        <v>40318</v>
      </c>
      <c r="J1808" s="15" t="s">
        <v>28</v>
      </c>
      <c r="K1808" s="9">
        <v>20</v>
      </c>
      <c r="L1808" s="16" t="s">
        <v>26</v>
      </c>
      <c r="M1808" s="16">
        <f t="shared" si="171"/>
        <v>-0.38478275585780503</v>
      </c>
      <c r="N1808">
        <f t="shared" si="172"/>
        <v>0</v>
      </c>
      <c r="O1808">
        <f t="shared" si="173"/>
        <v>0</v>
      </c>
      <c r="P1808">
        <f t="shared" si="170"/>
        <v>4400</v>
      </c>
      <c r="Q1808">
        <f t="shared" si="174"/>
        <v>4400</v>
      </c>
      <c r="T1808" s="16">
        <f t="shared" si="175"/>
        <v>-0.38478275585780541</v>
      </c>
    </row>
    <row r="1809" spans="7:20" ht="14.4" x14ac:dyDescent="0.25">
      <c r="G1809" s="10">
        <v>8349</v>
      </c>
      <c r="H1809" s="9">
        <v>59683</v>
      </c>
      <c r="I1809" s="14">
        <f>DATE(2012,12,31)-79</f>
        <v>41195</v>
      </c>
      <c r="J1809" s="15" t="s">
        <v>28</v>
      </c>
      <c r="K1809" s="9">
        <v>37</v>
      </c>
      <c r="L1809" s="16" t="s">
        <v>26</v>
      </c>
      <c r="M1809" s="16">
        <f t="shared" si="171"/>
        <v>0.78923344666895934</v>
      </c>
      <c r="N1809">
        <f t="shared" si="172"/>
        <v>0</v>
      </c>
      <c r="O1809">
        <f t="shared" si="173"/>
        <v>0</v>
      </c>
      <c r="P1809">
        <f t="shared" si="170"/>
        <v>5250</v>
      </c>
      <c r="Q1809">
        <f t="shared" si="174"/>
        <v>5250</v>
      </c>
      <c r="T1809" s="16">
        <f t="shared" si="175"/>
        <v>0.789233446668959</v>
      </c>
    </row>
    <row r="1810" spans="7:20" ht="14.4" x14ac:dyDescent="0.25">
      <c r="G1810" s="10">
        <v>133</v>
      </c>
      <c r="H1810" s="9">
        <v>837</v>
      </c>
      <c r="I1810" s="14">
        <f>DATE(2012,12,31)-1296</f>
        <v>39978</v>
      </c>
      <c r="J1810" s="15" t="s">
        <v>28</v>
      </c>
      <c r="K1810" s="9">
        <v>11</v>
      </c>
      <c r="L1810" s="16" t="s">
        <v>26</v>
      </c>
      <c r="M1810" s="16">
        <f t="shared" si="171"/>
        <v>-1.0063207454307979</v>
      </c>
      <c r="N1810">
        <f t="shared" si="172"/>
        <v>0</v>
      </c>
      <c r="O1810">
        <f t="shared" si="173"/>
        <v>0</v>
      </c>
      <c r="P1810">
        <f t="shared" si="170"/>
        <v>3950</v>
      </c>
      <c r="Q1810">
        <f t="shared" si="174"/>
        <v>3950</v>
      </c>
      <c r="T1810" s="16">
        <f t="shared" si="175"/>
        <v>-1.0063207454307983</v>
      </c>
    </row>
    <row r="1811" spans="7:20" ht="14.4" x14ac:dyDescent="0.25">
      <c r="G1811" s="10">
        <v>169</v>
      </c>
      <c r="H1811" s="9">
        <v>1059</v>
      </c>
      <c r="I1811" s="14">
        <f>DATE(2012,12,31)-1404</f>
        <v>39870</v>
      </c>
      <c r="J1811" s="15" t="s">
        <v>30</v>
      </c>
      <c r="K1811" s="9">
        <v>22</v>
      </c>
      <c r="L1811" s="16" t="s">
        <v>26</v>
      </c>
      <c r="M1811" s="16">
        <f t="shared" si="171"/>
        <v>-0.24666320261936217</v>
      </c>
      <c r="N1811">
        <f t="shared" si="172"/>
        <v>0</v>
      </c>
      <c r="O1811">
        <f t="shared" si="173"/>
        <v>0</v>
      </c>
      <c r="P1811">
        <f t="shared" si="170"/>
        <v>4500</v>
      </c>
      <c r="Q1811">
        <f t="shared" si="174"/>
        <v>4500</v>
      </c>
      <c r="T1811" s="16">
        <f t="shared" si="175"/>
        <v>-0.24666320261936256</v>
      </c>
    </row>
    <row r="1812" spans="7:20" ht="14.4" x14ac:dyDescent="0.25">
      <c r="G1812" s="10">
        <v>170</v>
      </c>
      <c r="H1812" s="9">
        <v>1059</v>
      </c>
      <c r="I1812" s="14">
        <f>DATE(2012,12,31)-1404</f>
        <v>39870</v>
      </c>
      <c r="J1812" s="15" t="s">
        <v>30</v>
      </c>
      <c r="K1812" s="9">
        <v>24</v>
      </c>
      <c r="L1812" s="16" t="s">
        <v>26</v>
      </c>
      <c r="M1812" s="16">
        <f t="shared" si="171"/>
        <v>-0.1085436493809193</v>
      </c>
      <c r="N1812">
        <f t="shared" si="172"/>
        <v>0</v>
      </c>
      <c r="O1812">
        <f t="shared" si="173"/>
        <v>0</v>
      </c>
      <c r="P1812">
        <f t="shared" si="170"/>
        <v>4600</v>
      </c>
      <c r="Q1812">
        <f t="shared" si="174"/>
        <v>4600</v>
      </c>
      <c r="T1812" s="16">
        <f t="shared" si="175"/>
        <v>-0.10854364938091969</v>
      </c>
    </row>
    <row r="1813" spans="7:20" ht="14.4" x14ac:dyDescent="0.25">
      <c r="G1813" s="10">
        <v>264</v>
      </c>
      <c r="H1813" s="9">
        <v>1826</v>
      </c>
      <c r="I1813" s="14">
        <f>DATE(2012,12,31)-260</f>
        <v>41014</v>
      </c>
      <c r="J1813" s="15" t="s">
        <v>28</v>
      </c>
      <c r="K1813" s="9">
        <v>5</v>
      </c>
      <c r="L1813" s="16" t="s">
        <v>26</v>
      </c>
      <c r="M1813" s="16">
        <f t="shared" si="171"/>
        <v>-1.4206794051461267</v>
      </c>
      <c r="N1813">
        <f t="shared" si="172"/>
        <v>0</v>
      </c>
      <c r="O1813">
        <f t="shared" si="173"/>
        <v>0</v>
      </c>
      <c r="P1813">
        <f t="shared" si="170"/>
        <v>3650</v>
      </c>
      <c r="Q1813">
        <f t="shared" si="174"/>
        <v>3650</v>
      </c>
      <c r="T1813" s="16">
        <f t="shared" si="175"/>
        <v>-1.4206794051461269</v>
      </c>
    </row>
    <row r="1814" spans="7:20" ht="14.4" x14ac:dyDescent="0.25">
      <c r="G1814" s="10">
        <v>288</v>
      </c>
      <c r="H1814" s="9">
        <v>2020</v>
      </c>
      <c r="I1814" s="14">
        <f>DATE(2012,12,31)-925</f>
        <v>40349</v>
      </c>
      <c r="J1814" s="15" t="s">
        <v>16</v>
      </c>
      <c r="K1814" s="9">
        <v>42</v>
      </c>
      <c r="L1814" s="16" t="s">
        <v>27</v>
      </c>
      <c r="M1814" s="16">
        <f t="shared" si="171"/>
        <v>1.1345323297650665</v>
      </c>
      <c r="N1814">
        <f t="shared" si="172"/>
        <v>0</v>
      </c>
      <c r="O1814">
        <f t="shared" si="173"/>
        <v>0</v>
      </c>
      <c r="P1814">
        <f t="shared" si="170"/>
        <v>5500</v>
      </c>
      <c r="Q1814">
        <f t="shared" si="174"/>
        <v>5500</v>
      </c>
      <c r="T1814" s="16">
        <f t="shared" si="175"/>
        <v>1.1345323297650662</v>
      </c>
    </row>
    <row r="1815" spans="7:20" ht="14.4" x14ac:dyDescent="0.25">
      <c r="G1815" s="10">
        <v>1428</v>
      </c>
      <c r="H1815" s="9">
        <v>10340</v>
      </c>
      <c r="I1815" s="14">
        <f>DATE(2012,12,31)-558</f>
        <v>40716</v>
      </c>
      <c r="J1815" s="15" t="s">
        <v>17</v>
      </c>
      <c r="K1815" s="9">
        <v>24</v>
      </c>
      <c r="L1815" s="16" t="s">
        <v>29</v>
      </c>
      <c r="M1815" s="16">
        <f t="shared" si="171"/>
        <v>-0.1085436493809193</v>
      </c>
      <c r="N1815">
        <f t="shared" si="172"/>
        <v>0</v>
      </c>
      <c r="O1815">
        <f t="shared" si="173"/>
        <v>0</v>
      </c>
      <c r="P1815">
        <f t="shared" si="170"/>
        <v>4600</v>
      </c>
      <c r="Q1815">
        <f t="shared" si="174"/>
        <v>4600</v>
      </c>
      <c r="T1815" s="16">
        <f t="shared" si="175"/>
        <v>-0.10854364938091969</v>
      </c>
    </row>
    <row r="1816" spans="7:20" ht="14.4" x14ac:dyDescent="0.25">
      <c r="G1816" s="10">
        <v>1429</v>
      </c>
      <c r="H1816" s="9">
        <v>10340</v>
      </c>
      <c r="I1816" s="14">
        <f>DATE(2012,12,31)-558</f>
        <v>40716</v>
      </c>
      <c r="J1816" s="15" t="s">
        <v>17</v>
      </c>
      <c r="K1816" s="9">
        <v>2</v>
      </c>
      <c r="L1816" s="16" t="s">
        <v>29</v>
      </c>
      <c r="M1816" s="16">
        <f t="shared" si="171"/>
        <v>-1.627858735003791</v>
      </c>
      <c r="N1816">
        <f t="shared" si="172"/>
        <v>0</v>
      </c>
      <c r="O1816">
        <f t="shared" si="173"/>
        <v>0</v>
      </c>
      <c r="P1816">
        <f t="shared" si="170"/>
        <v>3500</v>
      </c>
      <c r="Q1816">
        <f t="shared" si="174"/>
        <v>3500</v>
      </c>
      <c r="T1816" s="16">
        <f t="shared" si="175"/>
        <v>-1.6278587350037912</v>
      </c>
    </row>
    <row r="1817" spans="7:20" ht="14.4" x14ac:dyDescent="0.25">
      <c r="G1817" s="10">
        <v>1430</v>
      </c>
      <c r="H1817" s="9">
        <v>10340</v>
      </c>
      <c r="I1817" s="14">
        <f>DATE(2012,12,31)-558</f>
        <v>40716</v>
      </c>
      <c r="J1817" s="15" t="s">
        <v>17</v>
      </c>
      <c r="K1817" s="9">
        <v>15</v>
      </c>
      <c r="L1817" s="16" t="s">
        <v>26</v>
      </c>
      <c r="M1817" s="16">
        <f t="shared" si="171"/>
        <v>-0.7300816389539122</v>
      </c>
      <c r="N1817">
        <f t="shared" si="172"/>
        <v>0</v>
      </c>
      <c r="O1817">
        <f t="shared" si="173"/>
        <v>0</v>
      </c>
      <c r="P1817">
        <f t="shared" si="170"/>
        <v>4150</v>
      </c>
      <c r="Q1817">
        <f t="shared" si="174"/>
        <v>4150</v>
      </c>
      <c r="T1817" s="16">
        <f t="shared" si="175"/>
        <v>-0.73008163895391265</v>
      </c>
    </row>
    <row r="1818" spans="7:20" ht="14.4" x14ac:dyDescent="0.25">
      <c r="G1818" s="10">
        <v>1533</v>
      </c>
      <c r="H1818" s="9">
        <v>11044</v>
      </c>
      <c r="I1818" s="14">
        <f>DATE(2012,12,31)-190</f>
        <v>41084</v>
      </c>
      <c r="J1818" s="15" t="s">
        <v>16</v>
      </c>
      <c r="K1818" s="9">
        <v>3</v>
      </c>
      <c r="L1818" s="16" t="s">
        <v>26</v>
      </c>
      <c r="M1818" s="16">
        <f t="shared" si="171"/>
        <v>-1.5587989583845694</v>
      </c>
      <c r="N1818">
        <f t="shared" si="172"/>
        <v>1</v>
      </c>
      <c r="O1818">
        <f t="shared" si="173"/>
        <v>-3300</v>
      </c>
      <c r="P1818">
        <f t="shared" si="170"/>
        <v>3550</v>
      </c>
      <c r="Q1818">
        <f t="shared" si="174"/>
        <v>250</v>
      </c>
      <c r="T1818" s="16">
        <f t="shared" si="175"/>
        <v>-6.1167442152531848</v>
      </c>
    </row>
    <row r="1819" spans="7:20" ht="14.4" x14ac:dyDescent="0.25">
      <c r="G1819" s="10">
        <v>1849</v>
      </c>
      <c r="H1819" s="9">
        <v>13313</v>
      </c>
      <c r="I1819" s="14">
        <f>DATE(2012,12,31)-1264</f>
        <v>40010</v>
      </c>
      <c r="J1819" s="15" t="s">
        <v>28</v>
      </c>
      <c r="K1819" s="9">
        <v>18</v>
      </c>
      <c r="L1819" s="16" t="s">
        <v>29</v>
      </c>
      <c r="M1819" s="16">
        <f t="shared" si="171"/>
        <v>-0.52290230909624791</v>
      </c>
      <c r="N1819">
        <f t="shared" si="172"/>
        <v>0</v>
      </c>
      <c r="O1819">
        <f t="shared" si="173"/>
        <v>0</v>
      </c>
      <c r="P1819">
        <f t="shared" si="170"/>
        <v>4300</v>
      </c>
      <c r="Q1819">
        <f t="shared" si="174"/>
        <v>4300</v>
      </c>
      <c r="T1819" s="16">
        <f t="shared" si="175"/>
        <v>-0.52290230909624835</v>
      </c>
    </row>
    <row r="1820" spans="7:20" ht="14.4" x14ac:dyDescent="0.25">
      <c r="G1820" s="10">
        <v>1850</v>
      </c>
      <c r="H1820" s="9">
        <v>13313</v>
      </c>
      <c r="I1820" s="14">
        <f>DATE(2012,12,31)-1264</f>
        <v>40010</v>
      </c>
      <c r="J1820" s="15" t="s">
        <v>28</v>
      </c>
      <c r="K1820" s="9">
        <v>22</v>
      </c>
      <c r="L1820" s="16" t="s">
        <v>26</v>
      </c>
      <c r="M1820" s="16">
        <f t="shared" si="171"/>
        <v>-0.24666320261936217</v>
      </c>
      <c r="N1820">
        <f t="shared" si="172"/>
        <v>0</v>
      </c>
      <c r="O1820">
        <f t="shared" si="173"/>
        <v>0</v>
      </c>
      <c r="P1820">
        <f t="shared" si="170"/>
        <v>4500</v>
      </c>
      <c r="Q1820">
        <f t="shared" si="174"/>
        <v>4500</v>
      </c>
      <c r="T1820" s="16">
        <f t="shared" si="175"/>
        <v>-0.24666320261936256</v>
      </c>
    </row>
    <row r="1821" spans="7:20" ht="14.4" x14ac:dyDescent="0.25">
      <c r="G1821" s="10">
        <v>1851</v>
      </c>
      <c r="H1821" s="9">
        <v>13313</v>
      </c>
      <c r="I1821" s="14">
        <f>DATE(2012,12,31)-1264</f>
        <v>40010</v>
      </c>
      <c r="J1821" s="15" t="s">
        <v>28</v>
      </c>
      <c r="K1821" s="9">
        <v>45</v>
      </c>
      <c r="L1821" s="16" t="s">
        <v>26</v>
      </c>
      <c r="M1821" s="16">
        <f t="shared" si="171"/>
        <v>1.3417116596227308</v>
      </c>
      <c r="N1821">
        <f t="shared" si="172"/>
        <v>0</v>
      </c>
      <c r="O1821">
        <f t="shared" si="173"/>
        <v>0</v>
      </c>
      <c r="P1821">
        <f t="shared" si="170"/>
        <v>5650</v>
      </c>
      <c r="Q1821">
        <f t="shared" si="174"/>
        <v>5650</v>
      </c>
      <c r="T1821" s="16">
        <f t="shared" si="175"/>
        <v>1.3417116596227305</v>
      </c>
    </row>
    <row r="1822" spans="7:20" ht="14.4" x14ac:dyDescent="0.25">
      <c r="G1822" s="10">
        <v>2182</v>
      </c>
      <c r="H1822" s="9">
        <v>15718</v>
      </c>
      <c r="I1822" s="14">
        <f>DATE(2012,12,31)-1434</f>
        <v>39840</v>
      </c>
      <c r="J1822" s="15" t="s">
        <v>30</v>
      </c>
      <c r="K1822" s="9">
        <v>36</v>
      </c>
      <c r="L1822" s="16" t="s">
        <v>26</v>
      </c>
      <c r="M1822" s="16">
        <f t="shared" si="171"/>
        <v>0.72017367004973787</v>
      </c>
      <c r="N1822">
        <f t="shared" si="172"/>
        <v>0</v>
      </c>
      <c r="O1822">
        <f t="shared" si="173"/>
        <v>0</v>
      </c>
      <c r="P1822">
        <f t="shared" si="170"/>
        <v>5200</v>
      </c>
      <c r="Q1822">
        <f t="shared" si="174"/>
        <v>5200</v>
      </c>
      <c r="T1822" s="16">
        <f t="shared" si="175"/>
        <v>0.72017367004973754</v>
      </c>
    </row>
    <row r="1823" spans="7:20" ht="14.4" x14ac:dyDescent="0.25">
      <c r="G1823" s="10">
        <v>2410</v>
      </c>
      <c r="H1823" s="9">
        <v>17506</v>
      </c>
      <c r="I1823" s="14">
        <f>DATE(2012,12,31)-1037</f>
        <v>40237</v>
      </c>
      <c r="J1823" s="15" t="s">
        <v>25</v>
      </c>
      <c r="K1823" s="9">
        <v>33</v>
      </c>
      <c r="L1823" s="16" t="s">
        <v>26</v>
      </c>
      <c r="M1823" s="16">
        <f t="shared" si="171"/>
        <v>0.51299434019207357</v>
      </c>
      <c r="N1823">
        <f t="shared" si="172"/>
        <v>0</v>
      </c>
      <c r="O1823">
        <f t="shared" si="173"/>
        <v>0</v>
      </c>
      <c r="P1823">
        <f t="shared" si="170"/>
        <v>5050</v>
      </c>
      <c r="Q1823">
        <f t="shared" si="174"/>
        <v>5050</v>
      </c>
      <c r="T1823" s="16">
        <f t="shared" si="175"/>
        <v>0.51299434019207324</v>
      </c>
    </row>
    <row r="1824" spans="7:20" ht="14.4" x14ac:dyDescent="0.25">
      <c r="G1824" s="10">
        <v>2766</v>
      </c>
      <c r="H1824" s="9">
        <v>20003</v>
      </c>
      <c r="I1824" s="14">
        <f>DATE(2012,12,31)-336</f>
        <v>40938</v>
      </c>
      <c r="J1824" s="15" t="s">
        <v>16</v>
      </c>
      <c r="K1824" s="9">
        <v>39</v>
      </c>
      <c r="L1824" s="16" t="s">
        <v>27</v>
      </c>
      <c r="M1824" s="16">
        <f t="shared" si="171"/>
        <v>0.92735299990740228</v>
      </c>
      <c r="N1824">
        <f t="shared" si="172"/>
        <v>0</v>
      </c>
      <c r="O1824">
        <f t="shared" si="173"/>
        <v>0</v>
      </c>
      <c r="P1824">
        <f t="shared" si="170"/>
        <v>5350</v>
      </c>
      <c r="Q1824">
        <f t="shared" si="174"/>
        <v>5350</v>
      </c>
      <c r="T1824" s="16">
        <f t="shared" si="175"/>
        <v>0.92735299990740183</v>
      </c>
    </row>
    <row r="1825" spans="7:20" ht="14.4" x14ac:dyDescent="0.25">
      <c r="G1825" s="10">
        <v>2882</v>
      </c>
      <c r="H1825" s="9">
        <v>20805</v>
      </c>
      <c r="I1825" s="14">
        <f>DATE(2012,12,31)-721</f>
        <v>40553</v>
      </c>
      <c r="J1825" s="15" t="s">
        <v>17</v>
      </c>
      <c r="K1825" s="9">
        <v>12</v>
      </c>
      <c r="L1825" s="16" t="s">
        <v>26</v>
      </c>
      <c r="M1825" s="16">
        <f t="shared" si="171"/>
        <v>-0.9372609688115765</v>
      </c>
      <c r="N1825">
        <f t="shared" si="172"/>
        <v>0</v>
      </c>
      <c r="O1825">
        <f t="shared" si="173"/>
        <v>0</v>
      </c>
      <c r="P1825">
        <f t="shared" si="170"/>
        <v>4000</v>
      </c>
      <c r="Q1825">
        <f t="shared" si="174"/>
        <v>4000</v>
      </c>
      <c r="T1825" s="16">
        <f t="shared" si="175"/>
        <v>-0.93726096881157694</v>
      </c>
    </row>
    <row r="1826" spans="7:20" ht="14.4" x14ac:dyDescent="0.25">
      <c r="G1826" s="10">
        <v>2883</v>
      </c>
      <c r="H1826" s="9">
        <v>20805</v>
      </c>
      <c r="I1826" s="14">
        <f>DATE(2012,12,31)-721</f>
        <v>40553</v>
      </c>
      <c r="J1826" s="15" t="s">
        <v>17</v>
      </c>
      <c r="K1826" s="9">
        <v>35</v>
      </c>
      <c r="L1826" s="16" t="s">
        <v>29</v>
      </c>
      <c r="M1826" s="16">
        <f t="shared" si="171"/>
        <v>0.65111389343051651</v>
      </c>
      <c r="N1826">
        <f t="shared" si="172"/>
        <v>0</v>
      </c>
      <c r="O1826">
        <f t="shared" si="173"/>
        <v>0</v>
      </c>
      <c r="P1826">
        <f t="shared" si="170"/>
        <v>5150</v>
      </c>
      <c r="Q1826">
        <f t="shared" si="174"/>
        <v>5150</v>
      </c>
      <c r="T1826" s="16">
        <f t="shared" si="175"/>
        <v>0.65111389343051607</v>
      </c>
    </row>
    <row r="1827" spans="7:20" ht="14.4" x14ac:dyDescent="0.25">
      <c r="G1827" s="10">
        <v>2884</v>
      </c>
      <c r="H1827" s="9">
        <v>20805</v>
      </c>
      <c r="I1827" s="14">
        <f>DATE(2012,12,31)-721</f>
        <v>40553</v>
      </c>
      <c r="J1827" s="15" t="s">
        <v>17</v>
      </c>
      <c r="K1827" s="9">
        <v>3</v>
      </c>
      <c r="L1827" s="16" t="s">
        <v>26</v>
      </c>
      <c r="M1827" s="16">
        <f t="shared" si="171"/>
        <v>-1.5587989583845694</v>
      </c>
      <c r="N1827">
        <f t="shared" si="172"/>
        <v>0</v>
      </c>
      <c r="O1827">
        <f t="shared" si="173"/>
        <v>0</v>
      </c>
      <c r="P1827">
        <f t="shared" si="170"/>
        <v>3550</v>
      </c>
      <c r="Q1827">
        <f t="shared" si="174"/>
        <v>3550</v>
      </c>
      <c r="T1827" s="16">
        <f t="shared" si="175"/>
        <v>-1.5587989583845698</v>
      </c>
    </row>
    <row r="1828" spans="7:20" ht="14.4" x14ac:dyDescent="0.25">
      <c r="G1828" s="10">
        <v>2885</v>
      </c>
      <c r="H1828" s="9">
        <v>20805</v>
      </c>
      <c r="I1828" s="14">
        <f>DATE(2012,12,31)-721</f>
        <v>40553</v>
      </c>
      <c r="J1828" s="15" t="s">
        <v>17</v>
      </c>
      <c r="K1828" s="9">
        <v>12</v>
      </c>
      <c r="L1828" s="16" t="s">
        <v>26</v>
      </c>
      <c r="M1828" s="16">
        <f t="shared" si="171"/>
        <v>-0.9372609688115765</v>
      </c>
      <c r="N1828">
        <f t="shared" si="172"/>
        <v>0</v>
      </c>
      <c r="O1828">
        <f t="shared" si="173"/>
        <v>0</v>
      </c>
      <c r="P1828">
        <f t="shared" si="170"/>
        <v>4000</v>
      </c>
      <c r="Q1828">
        <f t="shared" si="174"/>
        <v>4000</v>
      </c>
      <c r="T1828" s="16">
        <f t="shared" si="175"/>
        <v>-0.93726096881157694</v>
      </c>
    </row>
    <row r="1829" spans="7:20" ht="14.4" x14ac:dyDescent="0.25">
      <c r="G1829" s="10">
        <v>3290</v>
      </c>
      <c r="H1829" s="9">
        <v>23524</v>
      </c>
      <c r="I1829" s="14">
        <f>DATE(2012,12,31)-1343</f>
        <v>39931</v>
      </c>
      <c r="J1829" s="15" t="s">
        <v>17</v>
      </c>
      <c r="K1829" s="9">
        <v>28</v>
      </c>
      <c r="L1829" s="16" t="s">
        <v>26</v>
      </c>
      <c r="M1829" s="16">
        <f t="shared" si="171"/>
        <v>0.16769545709596645</v>
      </c>
      <c r="N1829">
        <f t="shared" si="172"/>
        <v>0</v>
      </c>
      <c r="O1829">
        <f t="shared" si="173"/>
        <v>0</v>
      </c>
      <c r="P1829">
        <f t="shared" si="170"/>
        <v>4800</v>
      </c>
      <c r="Q1829">
        <f t="shared" si="174"/>
        <v>4800</v>
      </c>
      <c r="T1829" s="16">
        <f t="shared" si="175"/>
        <v>0.16769545709596606</v>
      </c>
    </row>
    <row r="1830" spans="7:20" ht="14.4" x14ac:dyDescent="0.25">
      <c r="G1830" s="10">
        <v>3291</v>
      </c>
      <c r="H1830" s="9">
        <v>23524</v>
      </c>
      <c r="I1830" s="14">
        <f>DATE(2012,12,31)-1343</f>
        <v>39931</v>
      </c>
      <c r="J1830" s="15" t="s">
        <v>17</v>
      </c>
      <c r="K1830" s="9">
        <v>46</v>
      </c>
      <c r="L1830" s="16" t="s">
        <v>26</v>
      </c>
      <c r="M1830" s="16">
        <f t="shared" si="171"/>
        <v>1.4107714362419523</v>
      </c>
      <c r="N1830">
        <f t="shared" si="172"/>
        <v>0</v>
      </c>
      <c r="O1830">
        <f t="shared" si="173"/>
        <v>0</v>
      </c>
      <c r="P1830">
        <f t="shared" si="170"/>
        <v>5700</v>
      </c>
      <c r="Q1830">
        <f t="shared" si="174"/>
        <v>5700</v>
      </c>
      <c r="T1830" s="16">
        <f t="shared" si="175"/>
        <v>1.4107714362419519</v>
      </c>
    </row>
    <row r="1831" spans="7:20" ht="14.4" x14ac:dyDescent="0.25">
      <c r="G1831" s="10">
        <v>4201</v>
      </c>
      <c r="H1831" s="9">
        <v>29860</v>
      </c>
      <c r="I1831" s="14">
        <f>DATE(2012,12,31)-1205</f>
        <v>40069</v>
      </c>
      <c r="J1831" s="15" t="s">
        <v>30</v>
      </c>
      <c r="K1831" s="9">
        <v>48</v>
      </c>
      <c r="L1831" s="16" t="s">
        <v>26</v>
      </c>
      <c r="M1831" s="16">
        <f t="shared" si="171"/>
        <v>1.5488909894803951</v>
      </c>
      <c r="N1831">
        <f t="shared" si="172"/>
        <v>0</v>
      </c>
      <c r="O1831">
        <f t="shared" si="173"/>
        <v>0</v>
      </c>
      <c r="P1831">
        <f t="shared" si="170"/>
        <v>5800</v>
      </c>
      <c r="Q1831">
        <f t="shared" si="174"/>
        <v>5800</v>
      </c>
      <c r="T1831" s="16">
        <f t="shared" si="175"/>
        <v>1.5488909894803948</v>
      </c>
    </row>
    <row r="1832" spans="7:20" ht="14.4" x14ac:dyDescent="0.25">
      <c r="G1832" s="10">
        <v>4325</v>
      </c>
      <c r="H1832" s="9">
        <v>30787</v>
      </c>
      <c r="I1832" s="14">
        <f>DATE(2012,12,31)-461</f>
        <v>40813</v>
      </c>
      <c r="J1832" s="15" t="s">
        <v>17</v>
      </c>
      <c r="K1832" s="9">
        <v>43</v>
      </c>
      <c r="L1832" s="16" t="s">
        <v>27</v>
      </c>
      <c r="M1832" s="16">
        <f t="shared" si="171"/>
        <v>1.203592106384288</v>
      </c>
      <c r="N1832">
        <f t="shared" si="172"/>
        <v>0</v>
      </c>
      <c r="O1832">
        <f t="shared" si="173"/>
        <v>0</v>
      </c>
      <c r="P1832">
        <f t="shared" si="170"/>
        <v>5550</v>
      </c>
      <c r="Q1832">
        <f t="shared" si="174"/>
        <v>5550</v>
      </c>
      <c r="T1832" s="16">
        <f t="shared" si="175"/>
        <v>1.2035921063842876</v>
      </c>
    </row>
    <row r="1833" spans="7:20" ht="14.4" x14ac:dyDescent="0.25">
      <c r="G1833" s="10">
        <v>5258</v>
      </c>
      <c r="H1833" s="9">
        <v>37440</v>
      </c>
      <c r="I1833" s="14">
        <f>DATE(2012,12,31)-922</f>
        <v>40352</v>
      </c>
      <c r="J1833" s="15" t="s">
        <v>28</v>
      </c>
      <c r="K1833" s="9">
        <v>31</v>
      </c>
      <c r="L1833" s="16" t="s">
        <v>29</v>
      </c>
      <c r="M1833" s="16">
        <f t="shared" si="171"/>
        <v>0.37487478695363075</v>
      </c>
      <c r="N1833">
        <f t="shared" si="172"/>
        <v>0</v>
      </c>
      <c r="O1833">
        <f t="shared" si="173"/>
        <v>0</v>
      </c>
      <c r="P1833">
        <f t="shared" si="170"/>
        <v>4950</v>
      </c>
      <c r="Q1833">
        <f t="shared" si="174"/>
        <v>4950</v>
      </c>
      <c r="T1833" s="16">
        <f t="shared" si="175"/>
        <v>0.37487478695363036</v>
      </c>
    </row>
    <row r="1834" spans="7:20" ht="14.4" x14ac:dyDescent="0.25">
      <c r="G1834" s="10">
        <v>5633</v>
      </c>
      <c r="H1834" s="9">
        <v>39872</v>
      </c>
      <c r="I1834" s="14">
        <f>DATE(2012,12,31)-1043</f>
        <v>40231</v>
      </c>
      <c r="J1834" s="15" t="s">
        <v>30</v>
      </c>
      <c r="K1834" s="9">
        <v>5</v>
      </c>
      <c r="L1834" s="16" t="s">
        <v>26</v>
      </c>
      <c r="M1834" s="16">
        <f t="shared" si="171"/>
        <v>-1.4206794051461267</v>
      </c>
      <c r="N1834">
        <f t="shared" si="172"/>
        <v>0</v>
      </c>
      <c r="O1834">
        <f t="shared" si="173"/>
        <v>0</v>
      </c>
      <c r="P1834">
        <f t="shared" si="170"/>
        <v>3650</v>
      </c>
      <c r="Q1834">
        <f t="shared" si="174"/>
        <v>3650</v>
      </c>
      <c r="T1834" s="16">
        <f t="shared" si="175"/>
        <v>-1.4206794051461269</v>
      </c>
    </row>
    <row r="1835" spans="7:20" ht="14.4" x14ac:dyDescent="0.25">
      <c r="G1835" s="10">
        <v>5646</v>
      </c>
      <c r="H1835" s="9">
        <v>39943</v>
      </c>
      <c r="I1835" s="14">
        <f>DATE(2012,12,31)-207</f>
        <v>41067</v>
      </c>
      <c r="J1835" s="15" t="s">
        <v>17</v>
      </c>
      <c r="K1835" s="9">
        <v>16</v>
      </c>
      <c r="L1835" s="16" t="s">
        <v>27</v>
      </c>
      <c r="M1835" s="16">
        <f t="shared" si="171"/>
        <v>-0.66102186233469074</v>
      </c>
      <c r="N1835">
        <f t="shared" si="172"/>
        <v>0</v>
      </c>
      <c r="O1835">
        <f t="shared" si="173"/>
        <v>0</v>
      </c>
      <c r="P1835">
        <f t="shared" si="170"/>
        <v>4200</v>
      </c>
      <c r="Q1835">
        <f t="shared" si="174"/>
        <v>4200</v>
      </c>
      <c r="T1835" s="16">
        <f t="shared" si="175"/>
        <v>-0.66102186233469118</v>
      </c>
    </row>
    <row r="1836" spans="7:20" ht="14.4" x14ac:dyDescent="0.25">
      <c r="G1836" s="10">
        <v>5647</v>
      </c>
      <c r="H1836" s="9">
        <v>39943</v>
      </c>
      <c r="I1836" s="14">
        <f>DATE(2012,12,31)-207</f>
        <v>41067</v>
      </c>
      <c r="J1836" s="15" t="s">
        <v>17</v>
      </c>
      <c r="K1836" s="9">
        <v>12</v>
      </c>
      <c r="L1836" s="16" t="s">
        <v>27</v>
      </c>
      <c r="M1836" s="16">
        <f t="shared" si="171"/>
        <v>-0.9372609688115765</v>
      </c>
      <c r="N1836">
        <f t="shared" si="172"/>
        <v>0</v>
      </c>
      <c r="O1836">
        <f t="shared" si="173"/>
        <v>0</v>
      </c>
      <c r="P1836">
        <f t="shared" si="170"/>
        <v>4000</v>
      </c>
      <c r="Q1836">
        <f t="shared" si="174"/>
        <v>4000</v>
      </c>
      <c r="T1836" s="16">
        <f t="shared" si="175"/>
        <v>-0.93726096881157694</v>
      </c>
    </row>
    <row r="1837" spans="7:20" ht="14.4" x14ac:dyDescent="0.25">
      <c r="G1837" s="10">
        <v>5985</v>
      </c>
      <c r="H1837" s="9">
        <v>42405</v>
      </c>
      <c r="I1837" s="14">
        <f>DATE(2012,12,31)-1075</f>
        <v>40199</v>
      </c>
      <c r="J1837" s="15" t="s">
        <v>17</v>
      </c>
      <c r="K1837" s="9">
        <v>13</v>
      </c>
      <c r="L1837" s="16" t="s">
        <v>26</v>
      </c>
      <c r="M1837" s="16">
        <f t="shared" si="171"/>
        <v>-0.86820119219235514</v>
      </c>
      <c r="N1837">
        <f t="shared" si="172"/>
        <v>0</v>
      </c>
      <c r="O1837">
        <f t="shared" si="173"/>
        <v>0</v>
      </c>
      <c r="P1837">
        <f t="shared" si="170"/>
        <v>4050</v>
      </c>
      <c r="Q1837">
        <f t="shared" si="174"/>
        <v>4050</v>
      </c>
      <c r="T1837" s="16">
        <f t="shared" si="175"/>
        <v>-0.86820119219235548</v>
      </c>
    </row>
    <row r="1838" spans="7:20" ht="14.4" x14ac:dyDescent="0.25">
      <c r="G1838" s="10">
        <v>6631</v>
      </c>
      <c r="H1838" s="9">
        <v>47171</v>
      </c>
      <c r="I1838" s="14">
        <f>DATE(2012,12,31)-1089</f>
        <v>40185</v>
      </c>
      <c r="J1838" s="15" t="s">
        <v>16</v>
      </c>
      <c r="K1838" s="9">
        <v>21</v>
      </c>
      <c r="L1838" s="16" t="s">
        <v>26</v>
      </c>
      <c r="M1838" s="16">
        <f t="shared" si="171"/>
        <v>-0.31572297923858361</v>
      </c>
      <c r="N1838">
        <f t="shared" si="172"/>
        <v>0</v>
      </c>
      <c r="O1838">
        <f t="shared" si="173"/>
        <v>0</v>
      </c>
      <c r="P1838">
        <f t="shared" si="170"/>
        <v>4450</v>
      </c>
      <c r="Q1838">
        <f t="shared" si="174"/>
        <v>4450</v>
      </c>
      <c r="T1838" s="16">
        <f t="shared" si="175"/>
        <v>-0.315722979238584</v>
      </c>
    </row>
    <row r="1839" spans="7:20" ht="14.4" x14ac:dyDescent="0.25">
      <c r="G1839" s="10">
        <v>6632</v>
      </c>
      <c r="H1839" s="9">
        <v>47171</v>
      </c>
      <c r="I1839" s="14">
        <f>DATE(2012,12,31)-1089</f>
        <v>40185</v>
      </c>
      <c r="J1839" s="15" t="s">
        <v>16</v>
      </c>
      <c r="K1839" s="9">
        <v>19</v>
      </c>
      <c r="L1839" s="16" t="s">
        <v>26</v>
      </c>
      <c r="M1839" s="16">
        <f t="shared" si="171"/>
        <v>-0.45384253247702649</v>
      </c>
      <c r="N1839">
        <f t="shared" si="172"/>
        <v>0</v>
      </c>
      <c r="O1839">
        <f t="shared" si="173"/>
        <v>0</v>
      </c>
      <c r="P1839">
        <f t="shared" si="170"/>
        <v>4350</v>
      </c>
      <c r="Q1839">
        <f t="shared" si="174"/>
        <v>4350</v>
      </c>
      <c r="T1839" s="16">
        <f t="shared" si="175"/>
        <v>-0.45384253247702688</v>
      </c>
    </row>
    <row r="1840" spans="7:20" ht="14.4" x14ac:dyDescent="0.25">
      <c r="G1840" s="10">
        <v>6633</v>
      </c>
      <c r="H1840" s="9">
        <v>47171</v>
      </c>
      <c r="I1840" s="14">
        <f>DATE(2012,12,31)-1089</f>
        <v>40185</v>
      </c>
      <c r="J1840" s="15" t="s">
        <v>16</v>
      </c>
      <c r="K1840" s="9">
        <v>32</v>
      </c>
      <c r="L1840" s="16" t="s">
        <v>29</v>
      </c>
      <c r="M1840" s="16">
        <f t="shared" si="171"/>
        <v>0.44393456357285216</v>
      </c>
      <c r="N1840">
        <f t="shared" si="172"/>
        <v>0</v>
      </c>
      <c r="O1840">
        <f t="shared" si="173"/>
        <v>0</v>
      </c>
      <c r="P1840">
        <f t="shared" si="170"/>
        <v>5000</v>
      </c>
      <c r="Q1840">
        <f t="shared" si="174"/>
        <v>5000</v>
      </c>
      <c r="T1840" s="16">
        <f t="shared" si="175"/>
        <v>0.44393456357285183</v>
      </c>
    </row>
    <row r="1841" spans="7:20" ht="14.4" x14ac:dyDescent="0.25">
      <c r="G1841" s="10">
        <v>6820</v>
      </c>
      <c r="H1841" s="9">
        <v>48576</v>
      </c>
      <c r="I1841" s="14">
        <f>DATE(2012,12,31)-30</f>
        <v>41244</v>
      </c>
      <c r="J1841" s="15" t="s">
        <v>28</v>
      </c>
      <c r="K1841" s="9">
        <v>17</v>
      </c>
      <c r="L1841" s="16" t="s">
        <v>26</v>
      </c>
      <c r="M1841" s="16">
        <f t="shared" si="171"/>
        <v>-0.59196208571546938</v>
      </c>
      <c r="N1841">
        <f t="shared" si="172"/>
        <v>0</v>
      </c>
      <c r="O1841">
        <f t="shared" si="173"/>
        <v>0</v>
      </c>
      <c r="P1841">
        <f t="shared" si="170"/>
        <v>4250</v>
      </c>
      <c r="Q1841">
        <f t="shared" si="174"/>
        <v>4250</v>
      </c>
      <c r="T1841" s="16">
        <f t="shared" si="175"/>
        <v>-0.59196208571546971</v>
      </c>
    </row>
    <row r="1842" spans="7:20" ht="14.4" x14ac:dyDescent="0.25">
      <c r="G1842" s="10">
        <v>6821</v>
      </c>
      <c r="H1842" s="9">
        <v>48576</v>
      </c>
      <c r="I1842" s="14">
        <f>DATE(2012,12,31)-30</f>
        <v>41244</v>
      </c>
      <c r="J1842" s="15" t="s">
        <v>28</v>
      </c>
      <c r="K1842" s="9">
        <v>47</v>
      </c>
      <c r="L1842" s="16" t="s">
        <v>26</v>
      </c>
      <c r="M1842" s="16">
        <f t="shared" si="171"/>
        <v>1.4798312128611737</v>
      </c>
      <c r="N1842">
        <f t="shared" si="172"/>
        <v>0</v>
      </c>
      <c r="O1842">
        <f t="shared" si="173"/>
        <v>0</v>
      </c>
      <c r="P1842">
        <f t="shared" si="170"/>
        <v>5750</v>
      </c>
      <c r="Q1842">
        <f t="shared" si="174"/>
        <v>5750</v>
      </c>
      <c r="T1842" s="16">
        <f t="shared" si="175"/>
        <v>1.4798312128611733</v>
      </c>
    </row>
    <row r="1843" spans="7:20" ht="14.4" x14ac:dyDescent="0.25">
      <c r="G1843" s="10">
        <v>7547</v>
      </c>
      <c r="H1843" s="9">
        <v>53984</v>
      </c>
      <c r="I1843" s="14">
        <f>DATE(2012,12,31)-21</f>
        <v>41253</v>
      </c>
      <c r="J1843" s="15" t="s">
        <v>16</v>
      </c>
      <c r="K1843" s="9">
        <v>23</v>
      </c>
      <c r="L1843" s="16" t="s">
        <v>26</v>
      </c>
      <c r="M1843" s="16">
        <f t="shared" si="171"/>
        <v>-0.17760342600014073</v>
      </c>
      <c r="N1843">
        <f t="shared" si="172"/>
        <v>0</v>
      </c>
      <c r="O1843">
        <f t="shared" si="173"/>
        <v>0</v>
      </c>
      <c r="P1843">
        <f t="shared" si="170"/>
        <v>4550</v>
      </c>
      <c r="Q1843">
        <f t="shared" si="174"/>
        <v>4550</v>
      </c>
      <c r="T1843" s="16">
        <f t="shared" si="175"/>
        <v>-0.17760342600014112</v>
      </c>
    </row>
    <row r="1844" spans="7:20" ht="14.4" x14ac:dyDescent="0.25">
      <c r="G1844" s="10">
        <v>18</v>
      </c>
      <c r="H1844" s="9">
        <v>129</v>
      </c>
      <c r="I1844" s="14">
        <f>DATE(2012,12,31)-43</f>
        <v>41231</v>
      </c>
      <c r="J1844" s="15" t="s">
        <v>25</v>
      </c>
      <c r="K1844" s="9">
        <v>4</v>
      </c>
      <c r="L1844" s="16" t="s">
        <v>26</v>
      </c>
      <c r="M1844" s="16">
        <f t="shared" si="171"/>
        <v>-1.489739181765348</v>
      </c>
      <c r="N1844">
        <f t="shared" si="172"/>
        <v>0</v>
      </c>
      <c r="O1844">
        <f t="shared" si="173"/>
        <v>0</v>
      </c>
      <c r="P1844">
        <f t="shared" si="170"/>
        <v>3600</v>
      </c>
      <c r="Q1844">
        <f t="shared" si="174"/>
        <v>3600</v>
      </c>
      <c r="T1844" s="16">
        <f t="shared" si="175"/>
        <v>-1.4897391817653485</v>
      </c>
    </row>
    <row r="1845" spans="7:20" ht="14.4" x14ac:dyDescent="0.25">
      <c r="G1845" s="10">
        <v>68</v>
      </c>
      <c r="H1845" s="9">
        <v>388</v>
      </c>
      <c r="I1845" s="14">
        <f>DATE(2012,12,31)-16</f>
        <v>41258</v>
      </c>
      <c r="J1845" s="15" t="s">
        <v>28</v>
      </c>
      <c r="K1845" s="9">
        <v>46</v>
      </c>
      <c r="L1845" s="16" t="s">
        <v>26</v>
      </c>
      <c r="M1845" s="16">
        <f t="shared" si="171"/>
        <v>1.4107714362419523</v>
      </c>
      <c r="N1845">
        <f t="shared" si="172"/>
        <v>0</v>
      </c>
      <c r="O1845">
        <f t="shared" si="173"/>
        <v>0</v>
      </c>
      <c r="P1845">
        <f t="shared" si="170"/>
        <v>5700</v>
      </c>
      <c r="Q1845">
        <f t="shared" si="174"/>
        <v>5700</v>
      </c>
      <c r="T1845" s="16">
        <f t="shared" si="175"/>
        <v>1.4107714362419519</v>
      </c>
    </row>
    <row r="1846" spans="7:20" ht="14.4" x14ac:dyDescent="0.25">
      <c r="G1846" s="10">
        <v>205</v>
      </c>
      <c r="H1846" s="9">
        <v>1345</v>
      </c>
      <c r="I1846" s="14">
        <f>DATE(2012,12,31)-65</f>
        <v>41209</v>
      </c>
      <c r="J1846" s="15" t="s">
        <v>25</v>
      </c>
      <c r="K1846" s="9">
        <v>24</v>
      </c>
      <c r="L1846" s="16" t="s">
        <v>29</v>
      </c>
      <c r="M1846" s="16">
        <f t="shared" si="171"/>
        <v>-0.1085436493809193</v>
      </c>
      <c r="N1846">
        <f t="shared" si="172"/>
        <v>0</v>
      </c>
      <c r="O1846">
        <f t="shared" si="173"/>
        <v>0</v>
      </c>
      <c r="P1846">
        <f t="shared" si="170"/>
        <v>4600</v>
      </c>
      <c r="Q1846">
        <f t="shared" si="174"/>
        <v>4600</v>
      </c>
      <c r="T1846" s="16">
        <f t="shared" si="175"/>
        <v>-0.10854364938091969</v>
      </c>
    </row>
    <row r="1847" spans="7:20" ht="14.4" x14ac:dyDescent="0.25">
      <c r="G1847" s="10">
        <v>257</v>
      </c>
      <c r="H1847" s="9">
        <v>1793</v>
      </c>
      <c r="I1847" s="14">
        <f>DATE(2012,12,31)-173</f>
        <v>41101</v>
      </c>
      <c r="J1847" s="15" t="s">
        <v>28</v>
      </c>
      <c r="K1847" s="9">
        <v>36</v>
      </c>
      <c r="L1847" s="16" t="s">
        <v>26</v>
      </c>
      <c r="M1847" s="16">
        <f t="shared" si="171"/>
        <v>0.72017367004973787</v>
      </c>
      <c r="N1847">
        <f t="shared" si="172"/>
        <v>0</v>
      </c>
      <c r="O1847">
        <f t="shared" si="173"/>
        <v>0</v>
      </c>
      <c r="P1847">
        <f t="shared" si="170"/>
        <v>5200</v>
      </c>
      <c r="Q1847">
        <f t="shared" si="174"/>
        <v>5200</v>
      </c>
      <c r="T1847" s="16">
        <f t="shared" si="175"/>
        <v>0.72017367004973754</v>
      </c>
    </row>
    <row r="1848" spans="7:20" ht="14.4" x14ac:dyDescent="0.25">
      <c r="G1848" s="10">
        <v>316</v>
      </c>
      <c r="H1848" s="9">
        <v>2209</v>
      </c>
      <c r="I1848" s="14">
        <f>DATE(2012,12,31)-175</f>
        <v>41099</v>
      </c>
      <c r="J1848" s="15" t="s">
        <v>17</v>
      </c>
      <c r="K1848" s="9">
        <v>27</v>
      </c>
      <c r="L1848" s="16" t="s">
        <v>29</v>
      </c>
      <c r="M1848" s="16">
        <f t="shared" si="171"/>
        <v>9.8635680476745008E-2</v>
      </c>
      <c r="N1848">
        <f t="shared" si="172"/>
        <v>0</v>
      </c>
      <c r="O1848">
        <f t="shared" si="173"/>
        <v>0</v>
      </c>
      <c r="P1848">
        <f t="shared" si="170"/>
        <v>4750</v>
      </c>
      <c r="Q1848">
        <f t="shared" si="174"/>
        <v>4750</v>
      </c>
      <c r="T1848" s="16">
        <f t="shared" si="175"/>
        <v>9.8635680476744619E-2</v>
      </c>
    </row>
    <row r="1849" spans="7:20" ht="14.4" x14ac:dyDescent="0.25">
      <c r="G1849" s="10">
        <v>317</v>
      </c>
      <c r="H1849" s="9">
        <v>2209</v>
      </c>
      <c r="I1849" s="14">
        <f>DATE(2012,12,31)-175</f>
        <v>41099</v>
      </c>
      <c r="J1849" s="15" t="s">
        <v>17</v>
      </c>
      <c r="K1849" s="9">
        <v>1</v>
      </c>
      <c r="L1849" s="16" t="s">
        <v>26</v>
      </c>
      <c r="M1849" s="16">
        <f t="shared" si="171"/>
        <v>-1.6969185116230123</v>
      </c>
      <c r="N1849">
        <f t="shared" si="172"/>
        <v>0</v>
      </c>
      <c r="O1849">
        <f t="shared" si="173"/>
        <v>0</v>
      </c>
      <c r="P1849">
        <f t="shared" si="170"/>
        <v>3450</v>
      </c>
      <c r="Q1849">
        <f t="shared" si="174"/>
        <v>3450</v>
      </c>
      <c r="T1849" s="16">
        <f t="shared" si="175"/>
        <v>-1.6969185116230128</v>
      </c>
    </row>
    <row r="1850" spans="7:20" ht="14.4" x14ac:dyDescent="0.25">
      <c r="G1850" s="10">
        <v>318</v>
      </c>
      <c r="H1850" s="9">
        <v>2209</v>
      </c>
      <c r="I1850" s="14">
        <f>DATE(2012,12,31)-175</f>
        <v>41099</v>
      </c>
      <c r="J1850" s="15" t="s">
        <v>17</v>
      </c>
      <c r="K1850" s="9">
        <v>42</v>
      </c>
      <c r="L1850" s="16" t="s">
        <v>26</v>
      </c>
      <c r="M1850" s="16">
        <f t="shared" si="171"/>
        <v>1.1345323297650665</v>
      </c>
      <c r="N1850">
        <f t="shared" si="172"/>
        <v>0</v>
      </c>
      <c r="O1850">
        <f t="shared" si="173"/>
        <v>0</v>
      </c>
      <c r="P1850">
        <f t="shared" si="170"/>
        <v>5500</v>
      </c>
      <c r="Q1850">
        <f t="shared" si="174"/>
        <v>5500</v>
      </c>
      <c r="T1850" s="16">
        <f t="shared" si="175"/>
        <v>1.1345323297650662</v>
      </c>
    </row>
    <row r="1851" spans="7:20" ht="14.4" x14ac:dyDescent="0.25">
      <c r="G1851" s="10">
        <v>319</v>
      </c>
      <c r="H1851" s="9">
        <v>2209</v>
      </c>
      <c r="I1851" s="14">
        <f>DATE(2012,12,31)-175</f>
        <v>41099</v>
      </c>
      <c r="J1851" s="15" t="s">
        <v>17</v>
      </c>
      <c r="K1851" s="9">
        <v>13</v>
      </c>
      <c r="L1851" s="16" t="s">
        <v>27</v>
      </c>
      <c r="M1851" s="16">
        <f t="shared" si="171"/>
        <v>-0.86820119219235514</v>
      </c>
      <c r="N1851">
        <f t="shared" si="172"/>
        <v>0</v>
      </c>
      <c r="O1851">
        <f t="shared" si="173"/>
        <v>0</v>
      </c>
      <c r="P1851">
        <f t="shared" si="170"/>
        <v>4050</v>
      </c>
      <c r="Q1851">
        <f t="shared" si="174"/>
        <v>4050</v>
      </c>
      <c r="T1851" s="16">
        <f t="shared" si="175"/>
        <v>-0.86820119219235548</v>
      </c>
    </row>
    <row r="1852" spans="7:20" ht="14.4" x14ac:dyDescent="0.25">
      <c r="G1852" s="10">
        <v>439</v>
      </c>
      <c r="H1852" s="9">
        <v>2947</v>
      </c>
      <c r="I1852" s="14">
        <f>DATE(2012,12,31)-616</f>
        <v>40658</v>
      </c>
      <c r="J1852" s="15" t="s">
        <v>30</v>
      </c>
      <c r="K1852" s="9">
        <v>8</v>
      </c>
      <c r="L1852" s="16" t="s">
        <v>26</v>
      </c>
      <c r="M1852" s="16">
        <f t="shared" si="171"/>
        <v>-1.2135000752884624</v>
      </c>
      <c r="N1852">
        <f t="shared" si="172"/>
        <v>0</v>
      </c>
      <c r="O1852">
        <f t="shared" si="173"/>
        <v>0</v>
      </c>
      <c r="P1852">
        <f t="shared" si="170"/>
        <v>3800</v>
      </c>
      <c r="Q1852">
        <f t="shared" si="174"/>
        <v>3800</v>
      </c>
      <c r="T1852" s="16">
        <f t="shared" si="175"/>
        <v>-1.2135000752884626</v>
      </c>
    </row>
    <row r="1853" spans="7:20" ht="14.4" x14ac:dyDescent="0.25">
      <c r="G1853" s="10">
        <v>474</v>
      </c>
      <c r="H1853" s="9">
        <v>3271</v>
      </c>
      <c r="I1853" s="14">
        <f>DATE(2012,12,31)-366</f>
        <v>40908</v>
      </c>
      <c r="J1853" s="15" t="s">
        <v>30</v>
      </c>
      <c r="K1853" s="9">
        <v>45</v>
      </c>
      <c r="L1853" s="16" t="s">
        <v>27</v>
      </c>
      <c r="M1853" s="16">
        <f t="shared" si="171"/>
        <v>1.3417116596227308</v>
      </c>
      <c r="N1853">
        <f t="shared" si="172"/>
        <v>0</v>
      </c>
      <c r="O1853">
        <f t="shared" si="173"/>
        <v>0</v>
      </c>
      <c r="P1853">
        <f t="shared" si="170"/>
        <v>5650</v>
      </c>
      <c r="Q1853">
        <f t="shared" si="174"/>
        <v>5650</v>
      </c>
      <c r="T1853" s="16">
        <f t="shared" si="175"/>
        <v>1.3417116596227305</v>
      </c>
    </row>
    <row r="1854" spans="7:20" ht="14.4" x14ac:dyDescent="0.25">
      <c r="G1854" s="10">
        <v>475</v>
      </c>
      <c r="H1854" s="9">
        <v>3271</v>
      </c>
      <c r="I1854" s="14">
        <f>DATE(2012,12,31)-366</f>
        <v>40908</v>
      </c>
      <c r="J1854" s="15" t="s">
        <v>30</v>
      </c>
      <c r="K1854" s="9">
        <v>18</v>
      </c>
      <c r="L1854" s="16" t="s">
        <v>26</v>
      </c>
      <c r="M1854" s="16">
        <f t="shared" si="171"/>
        <v>-0.52290230909624791</v>
      </c>
      <c r="N1854">
        <f t="shared" si="172"/>
        <v>0</v>
      </c>
      <c r="O1854">
        <f t="shared" si="173"/>
        <v>0</v>
      </c>
      <c r="P1854">
        <f t="shared" si="170"/>
        <v>4300</v>
      </c>
      <c r="Q1854">
        <f t="shared" si="174"/>
        <v>4300</v>
      </c>
      <c r="T1854" s="16">
        <f t="shared" si="175"/>
        <v>-0.52290230909624835</v>
      </c>
    </row>
    <row r="1855" spans="7:20" ht="14.4" x14ac:dyDescent="0.25">
      <c r="G1855" s="10">
        <v>623</v>
      </c>
      <c r="H1855" s="9">
        <v>4321</v>
      </c>
      <c r="I1855" s="14">
        <f>DATE(2012,12,31)-1263</f>
        <v>40011</v>
      </c>
      <c r="J1855" s="15" t="s">
        <v>16</v>
      </c>
      <c r="K1855" s="9">
        <v>47</v>
      </c>
      <c r="L1855" s="16" t="s">
        <v>26</v>
      </c>
      <c r="M1855" s="16">
        <f t="shared" si="171"/>
        <v>1.4798312128611737</v>
      </c>
      <c r="N1855">
        <f t="shared" si="172"/>
        <v>0</v>
      </c>
      <c r="O1855">
        <f t="shared" si="173"/>
        <v>0</v>
      </c>
      <c r="P1855">
        <f t="shared" si="170"/>
        <v>5750</v>
      </c>
      <c r="Q1855">
        <f t="shared" si="174"/>
        <v>5750</v>
      </c>
      <c r="T1855" s="16">
        <f t="shared" si="175"/>
        <v>1.4798312128611733</v>
      </c>
    </row>
    <row r="1856" spans="7:20" ht="14.4" x14ac:dyDescent="0.25">
      <c r="G1856" s="10">
        <v>643</v>
      </c>
      <c r="H1856" s="9">
        <v>4545</v>
      </c>
      <c r="I1856" s="14">
        <f>DATE(2012,12,31)-1080</f>
        <v>40194</v>
      </c>
      <c r="J1856" s="15" t="s">
        <v>28</v>
      </c>
      <c r="K1856" s="9">
        <v>33</v>
      </c>
      <c r="L1856" s="16" t="s">
        <v>26</v>
      </c>
      <c r="M1856" s="16">
        <f t="shared" si="171"/>
        <v>0.51299434019207357</v>
      </c>
      <c r="N1856">
        <f t="shared" si="172"/>
        <v>0</v>
      </c>
      <c r="O1856">
        <f t="shared" si="173"/>
        <v>0</v>
      </c>
      <c r="P1856">
        <f t="shared" si="170"/>
        <v>5050</v>
      </c>
      <c r="Q1856">
        <f t="shared" si="174"/>
        <v>5050</v>
      </c>
      <c r="T1856" s="16">
        <f t="shared" si="175"/>
        <v>0.51299434019207324</v>
      </c>
    </row>
    <row r="1857" spans="7:20" ht="14.4" x14ac:dyDescent="0.25">
      <c r="G1857" s="10">
        <v>644</v>
      </c>
      <c r="H1857" s="9">
        <v>4545</v>
      </c>
      <c r="I1857" s="14">
        <f>DATE(2012,12,31)-1080</f>
        <v>40194</v>
      </c>
      <c r="J1857" s="15" t="s">
        <v>28</v>
      </c>
      <c r="K1857" s="9">
        <v>4</v>
      </c>
      <c r="L1857" s="16" t="s">
        <v>26</v>
      </c>
      <c r="M1857" s="16">
        <f t="shared" si="171"/>
        <v>-1.489739181765348</v>
      </c>
      <c r="N1857">
        <f t="shared" si="172"/>
        <v>0</v>
      </c>
      <c r="O1857">
        <f t="shared" si="173"/>
        <v>0</v>
      </c>
      <c r="P1857">
        <f t="shared" si="170"/>
        <v>3600</v>
      </c>
      <c r="Q1857">
        <f t="shared" si="174"/>
        <v>3600</v>
      </c>
      <c r="T1857" s="16">
        <f t="shared" si="175"/>
        <v>-1.4897391817653485</v>
      </c>
    </row>
    <row r="1858" spans="7:20" ht="14.4" x14ac:dyDescent="0.25">
      <c r="G1858" s="10">
        <v>783</v>
      </c>
      <c r="H1858" s="9">
        <v>5572</v>
      </c>
      <c r="I1858" s="14">
        <f>DATE(2012,12,31)-1264</f>
        <v>40010</v>
      </c>
      <c r="J1858" s="15" t="s">
        <v>17</v>
      </c>
      <c r="K1858" s="9">
        <v>37</v>
      </c>
      <c r="L1858" s="16" t="s">
        <v>27</v>
      </c>
      <c r="M1858" s="16">
        <f t="shared" si="171"/>
        <v>0.78923344666895934</v>
      </c>
      <c r="N1858">
        <f t="shared" si="172"/>
        <v>0</v>
      </c>
      <c r="O1858">
        <f t="shared" si="173"/>
        <v>0</v>
      </c>
      <c r="P1858">
        <f t="shared" si="170"/>
        <v>5250</v>
      </c>
      <c r="Q1858">
        <f t="shared" si="174"/>
        <v>5250</v>
      </c>
      <c r="T1858" s="16">
        <f t="shared" si="175"/>
        <v>0.789233446668959</v>
      </c>
    </row>
    <row r="1859" spans="7:20" ht="14.4" x14ac:dyDescent="0.25">
      <c r="G1859" s="10">
        <v>800</v>
      </c>
      <c r="H1859" s="9">
        <v>5703</v>
      </c>
      <c r="I1859" s="14">
        <f>DATE(2012,12,31)-961</f>
        <v>40313</v>
      </c>
      <c r="J1859" s="15" t="s">
        <v>16</v>
      </c>
      <c r="K1859" s="9">
        <v>29</v>
      </c>
      <c r="L1859" s="16" t="s">
        <v>26</v>
      </c>
      <c r="M1859" s="16">
        <f t="shared" si="171"/>
        <v>0.23675523371518786</v>
      </c>
      <c r="N1859">
        <f t="shared" si="172"/>
        <v>0</v>
      </c>
      <c r="O1859">
        <f t="shared" si="173"/>
        <v>0</v>
      </c>
      <c r="P1859">
        <f t="shared" si="170"/>
        <v>4850</v>
      </c>
      <c r="Q1859">
        <f t="shared" si="174"/>
        <v>4850</v>
      </c>
      <c r="T1859" s="16">
        <f t="shared" si="175"/>
        <v>0.2367552337151875</v>
      </c>
    </row>
    <row r="1860" spans="7:20" ht="14.4" x14ac:dyDescent="0.25">
      <c r="G1860" s="10">
        <v>819</v>
      </c>
      <c r="H1860" s="9">
        <v>5920</v>
      </c>
      <c r="I1860" s="14">
        <f>DATE(2012,12,31)-1138</f>
        <v>40136</v>
      </c>
      <c r="J1860" s="15" t="s">
        <v>17</v>
      </c>
      <c r="K1860" s="9">
        <v>4</v>
      </c>
      <c r="L1860" s="16" t="s">
        <v>26</v>
      </c>
      <c r="M1860" s="16">
        <f t="shared" si="171"/>
        <v>-1.489739181765348</v>
      </c>
      <c r="N1860">
        <f t="shared" si="172"/>
        <v>0</v>
      </c>
      <c r="O1860">
        <f t="shared" si="173"/>
        <v>0</v>
      </c>
      <c r="P1860">
        <f t="shared" si="170"/>
        <v>3600</v>
      </c>
      <c r="Q1860">
        <f t="shared" si="174"/>
        <v>3600</v>
      </c>
      <c r="T1860" s="16">
        <f t="shared" si="175"/>
        <v>-1.4897391817653485</v>
      </c>
    </row>
    <row r="1861" spans="7:20" ht="14.4" x14ac:dyDescent="0.25">
      <c r="G1861" s="10">
        <v>880</v>
      </c>
      <c r="H1861" s="9">
        <v>6311</v>
      </c>
      <c r="I1861" s="14">
        <f>DATE(2012,12,31)-1055</f>
        <v>40219</v>
      </c>
      <c r="J1861" s="15" t="s">
        <v>16</v>
      </c>
      <c r="K1861" s="9">
        <v>18</v>
      </c>
      <c r="L1861" s="16" t="s">
        <v>27</v>
      </c>
      <c r="M1861" s="16">
        <f t="shared" si="171"/>
        <v>-0.52290230909624791</v>
      </c>
      <c r="N1861">
        <f t="shared" si="172"/>
        <v>0</v>
      </c>
      <c r="O1861">
        <f t="shared" si="173"/>
        <v>0</v>
      </c>
      <c r="P1861">
        <f t="shared" si="170"/>
        <v>4300</v>
      </c>
      <c r="Q1861">
        <f t="shared" si="174"/>
        <v>4300</v>
      </c>
      <c r="T1861" s="16">
        <f t="shared" si="175"/>
        <v>-0.52290230909624835</v>
      </c>
    </row>
    <row r="1862" spans="7:20" ht="14.4" x14ac:dyDescent="0.25">
      <c r="G1862" s="10">
        <v>1125</v>
      </c>
      <c r="H1862" s="9">
        <v>8231</v>
      </c>
      <c r="I1862" s="14">
        <f>DATE(2012,12,31)-74</f>
        <v>41200</v>
      </c>
      <c r="J1862" s="15" t="s">
        <v>30</v>
      </c>
      <c r="K1862" s="9">
        <v>27</v>
      </c>
      <c r="L1862" s="16" t="s">
        <v>26</v>
      </c>
      <c r="M1862" s="16">
        <f t="shared" si="171"/>
        <v>9.8635680476745008E-2</v>
      </c>
      <c r="N1862">
        <f t="shared" si="172"/>
        <v>0</v>
      </c>
      <c r="O1862">
        <f t="shared" si="173"/>
        <v>0</v>
      </c>
      <c r="P1862">
        <f t="shared" si="170"/>
        <v>4750</v>
      </c>
      <c r="Q1862">
        <f t="shared" si="174"/>
        <v>4750</v>
      </c>
      <c r="T1862" s="16">
        <f t="shared" si="175"/>
        <v>9.8635680476744619E-2</v>
      </c>
    </row>
    <row r="1863" spans="7:20" ht="14.4" x14ac:dyDescent="0.25">
      <c r="G1863" s="10">
        <v>1126</v>
      </c>
      <c r="H1863" s="9">
        <v>8231</v>
      </c>
      <c r="I1863" s="14">
        <f>DATE(2012,12,31)-74</f>
        <v>41200</v>
      </c>
      <c r="J1863" s="15" t="s">
        <v>30</v>
      </c>
      <c r="K1863" s="9">
        <v>5</v>
      </c>
      <c r="L1863" s="16" t="s">
        <v>29</v>
      </c>
      <c r="M1863" s="16">
        <f t="shared" si="171"/>
        <v>-1.4206794051461267</v>
      </c>
      <c r="N1863">
        <f t="shared" si="172"/>
        <v>0</v>
      </c>
      <c r="O1863">
        <f t="shared" si="173"/>
        <v>0</v>
      </c>
      <c r="P1863">
        <f t="shared" si="170"/>
        <v>3650</v>
      </c>
      <c r="Q1863">
        <f t="shared" si="174"/>
        <v>3650</v>
      </c>
      <c r="T1863" s="16">
        <f t="shared" si="175"/>
        <v>-1.4206794051461269</v>
      </c>
    </row>
    <row r="1864" spans="7:20" ht="14.4" x14ac:dyDescent="0.25">
      <c r="G1864" s="10">
        <v>1191</v>
      </c>
      <c r="H1864" s="9">
        <v>8709</v>
      </c>
      <c r="I1864" s="14">
        <f>DATE(2012,12,31)-1394</f>
        <v>39880</v>
      </c>
      <c r="J1864" s="15" t="s">
        <v>17</v>
      </c>
      <c r="K1864" s="9">
        <v>50</v>
      </c>
      <c r="L1864" s="16" t="s">
        <v>27</v>
      </c>
      <c r="M1864" s="16">
        <f t="shared" si="171"/>
        <v>1.687010542718838</v>
      </c>
      <c r="N1864">
        <f t="shared" si="172"/>
        <v>0</v>
      </c>
      <c r="O1864">
        <f t="shared" si="173"/>
        <v>0</v>
      </c>
      <c r="P1864">
        <f t="shared" si="170"/>
        <v>5900</v>
      </c>
      <c r="Q1864">
        <f t="shared" si="174"/>
        <v>5900</v>
      </c>
      <c r="T1864" s="16">
        <f t="shared" si="175"/>
        <v>1.6870105427188375</v>
      </c>
    </row>
    <row r="1865" spans="7:20" ht="14.4" x14ac:dyDescent="0.25">
      <c r="G1865" s="10">
        <v>1192</v>
      </c>
      <c r="H1865" s="9">
        <v>8709</v>
      </c>
      <c r="I1865" s="14">
        <f>DATE(2012,12,31)-1394</f>
        <v>39880</v>
      </c>
      <c r="J1865" s="15" t="s">
        <v>17</v>
      </c>
      <c r="K1865" s="9">
        <v>11</v>
      </c>
      <c r="L1865" s="16" t="s">
        <v>27</v>
      </c>
      <c r="M1865" s="16">
        <f t="shared" si="171"/>
        <v>-1.0063207454307979</v>
      </c>
      <c r="N1865">
        <f t="shared" si="172"/>
        <v>0</v>
      </c>
      <c r="O1865">
        <f t="shared" si="173"/>
        <v>0</v>
      </c>
      <c r="P1865">
        <f t="shared" si="170"/>
        <v>3950</v>
      </c>
      <c r="Q1865">
        <f t="shared" si="174"/>
        <v>3950</v>
      </c>
      <c r="T1865" s="16">
        <f t="shared" si="175"/>
        <v>-1.0063207454307983</v>
      </c>
    </row>
    <row r="1866" spans="7:20" ht="14.4" x14ac:dyDescent="0.25">
      <c r="G1866" s="10">
        <v>1338</v>
      </c>
      <c r="H1866" s="9">
        <v>9765</v>
      </c>
      <c r="I1866" s="14">
        <f>DATE(2012,12,31)-80</f>
        <v>41194</v>
      </c>
      <c r="J1866" s="15" t="s">
        <v>25</v>
      </c>
      <c r="K1866" s="9">
        <v>26</v>
      </c>
      <c r="L1866" s="16" t="s">
        <v>29</v>
      </c>
      <c r="M1866" s="16">
        <f t="shared" si="171"/>
        <v>2.9575903857523567E-2</v>
      </c>
      <c r="N1866">
        <f t="shared" si="172"/>
        <v>0</v>
      </c>
      <c r="O1866">
        <f t="shared" si="173"/>
        <v>0</v>
      </c>
      <c r="P1866">
        <f t="shared" si="170"/>
        <v>4700</v>
      </c>
      <c r="Q1866">
        <f t="shared" si="174"/>
        <v>4700</v>
      </c>
      <c r="T1866" s="16">
        <f t="shared" si="175"/>
        <v>2.9575903857523185E-2</v>
      </c>
    </row>
    <row r="1867" spans="7:20" ht="14.4" x14ac:dyDescent="0.25">
      <c r="G1867" s="10">
        <v>1399</v>
      </c>
      <c r="H1867" s="9">
        <v>10147</v>
      </c>
      <c r="I1867" s="14">
        <f>DATE(2012,12,31)-814</f>
        <v>40460</v>
      </c>
      <c r="J1867" s="15" t="s">
        <v>17</v>
      </c>
      <c r="K1867" s="9">
        <v>22</v>
      </c>
      <c r="L1867" s="16" t="s">
        <v>26</v>
      </c>
      <c r="M1867" s="16">
        <f t="shared" si="171"/>
        <v>-0.24666320261936217</v>
      </c>
      <c r="N1867">
        <f t="shared" si="172"/>
        <v>0</v>
      </c>
      <c r="O1867">
        <f t="shared" si="173"/>
        <v>0</v>
      </c>
      <c r="P1867">
        <f t="shared" si="170"/>
        <v>4500</v>
      </c>
      <c r="Q1867">
        <f t="shared" si="174"/>
        <v>4500</v>
      </c>
      <c r="T1867" s="16">
        <f t="shared" si="175"/>
        <v>-0.24666320261936256</v>
      </c>
    </row>
    <row r="1868" spans="7:20" ht="14.4" x14ac:dyDescent="0.25">
      <c r="G1868" s="10">
        <v>1645</v>
      </c>
      <c r="H1868" s="9">
        <v>11876</v>
      </c>
      <c r="I1868" s="14">
        <f>DATE(2012,12,31)-547</f>
        <v>40727</v>
      </c>
      <c r="J1868" s="15" t="s">
        <v>17</v>
      </c>
      <c r="K1868" s="9">
        <v>47</v>
      </c>
      <c r="L1868" s="16" t="s">
        <v>29</v>
      </c>
      <c r="M1868" s="16">
        <f t="shared" si="171"/>
        <v>1.4798312128611737</v>
      </c>
      <c r="N1868">
        <f t="shared" si="172"/>
        <v>0</v>
      </c>
      <c r="O1868">
        <f t="shared" si="173"/>
        <v>0</v>
      </c>
      <c r="P1868">
        <f t="shared" ref="P1868:P1931" si="176">50*K1868+$P$10</f>
        <v>5750</v>
      </c>
      <c r="Q1868">
        <f t="shared" si="174"/>
        <v>5750</v>
      </c>
      <c r="T1868" s="16">
        <f t="shared" si="175"/>
        <v>1.4798312128611733</v>
      </c>
    </row>
    <row r="1869" spans="7:20" ht="14.4" x14ac:dyDescent="0.25">
      <c r="G1869" s="10">
        <v>1692</v>
      </c>
      <c r="H1869" s="9">
        <v>12224</v>
      </c>
      <c r="I1869" s="14">
        <f>DATE(2012,12,31)-1115</f>
        <v>40159</v>
      </c>
      <c r="J1869" s="15" t="s">
        <v>17</v>
      </c>
      <c r="K1869" s="9">
        <v>2</v>
      </c>
      <c r="L1869" s="16" t="s">
        <v>29</v>
      </c>
      <c r="M1869" s="16">
        <f t="shared" ref="M1869:M1932" si="177">(K1869-$K$4)/$K$7</f>
        <v>-1.627858735003791</v>
      </c>
      <c r="N1869">
        <f t="shared" ref="N1869:N1932" si="178">IF(MOD($B$20+G1869,1000)=0,1,0)</f>
        <v>0</v>
      </c>
      <c r="O1869">
        <f t="shared" ref="O1869:O1932" si="179">+ROUND(N1869*(IF(K1869&lt;$K$4,-4.5,10.5)*$P$5),-2)</f>
        <v>0</v>
      </c>
      <c r="P1869">
        <f t="shared" si="176"/>
        <v>3500</v>
      </c>
      <c r="Q1869">
        <f t="shared" ref="Q1869:Q1932" si="180">P1869+O1869</f>
        <v>3500</v>
      </c>
      <c r="T1869" s="16">
        <f t="shared" ref="T1869:T1932" si="181">(Q1869-$P$4)/$P$5</f>
        <v>-1.6278587350037912</v>
      </c>
    </row>
    <row r="1870" spans="7:20" ht="14.4" x14ac:dyDescent="0.25">
      <c r="G1870" s="10">
        <v>1693</v>
      </c>
      <c r="H1870" s="9">
        <v>12224</v>
      </c>
      <c r="I1870" s="14">
        <f>DATE(2012,12,31)-1115</f>
        <v>40159</v>
      </c>
      <c r="J1870" s="15" t="s">
        <v>17</v>
      </c>
      <c r="K1870" s="9">
        <v>29</v>
      </c>
      <c r="L1870" s="16" t="s">
        <v>27</v>
      </c>
      <c r="M1870" s="16">
        <f t="shared" si="177"/>
        <v>0.23675523371518786</v>
      </c>
      <c r="N1870">
        <f t="shared" si="178"/>
        <v>0</v>
      </c>
      <c r="O1870">
        <f t="shared" si="179"/>
        <v>0</v>
      </c>
      <c r="P1870">
        <f t="shared" si="176"/>
        <v>4850</v>
      </c>
      <c r="Q1870">
        <f t="shared" si="180"/>
        <v>4850</v>
      </c>
      <c r="T1870" s="16">
        <f t="shared" si="181"/>
        <v>0.2367552337151875</v>
      </c>
    </row>
    <row r="1871" spans="7:20" ht="14.4" x14ac:dyDescent="0.25">
      <c r="G1871" s="10">
        <v>1696</v>
      </c>
      <c r="H1871" s="9">
        <v>12256</v>
      </c>
      <c r="I1871" s="14">
        <f>DATE(2012,12,31)-13</f>
        <v>41261</v>
      </c>
      <c r="J1871" s="15" t="s">
        <v>16</v>
      </c>
      <c r="K1871" s="9">
        <v>44</v>
      </c>
      <c r="L1871" s="16" t="s">
        <v>26</v>
      </c>
      <c r="M1871" s="16">
        <f t="shared" si="177"/>
        <v>1.2726518830035094</v>
      </c>
      <c r="N1871">
        <f t="shared" si="178"/>
        <v>0</v>
      </c>
      <c r="O1871">
        <f t="shared" si="179"/>
        <v>0</v>
      </c>
      <c r="P1871">
        <f t="shared" si="176"/>
        <v>5600</v>
      </c>
      <c r="Q1871">
        <f t="shared" si="180"/>
        <v>5600</v>
      </c>
      <c r="T1871" s="16">
        <f t="shared" si="181"/>
        <v>1.272651883003509</v>
      </c>
    </row>
    <row r="1872" spans="7:20" ht="14.4" x14ac:dyDescent="0.25">
      <c r="G1872" s="10">
        <v>1703</v>
      </c>
      <c r="H1872" s="9">
        <v>12261</v>
      </c>
      <c r="I1872" s="14">
        <f>DATE(2012,12,31)-800</f>
        <v>40474</v>
      </c>
      <c r="J1872" s="15" t="s">
        <v>25</v>
      </c>
      <c r="K1872" s="9">
        <v>12</v>
      </c>
      <c r="L1872" s="16" t="s">
        <v>29</v>
      </c>
      <c r="M1872" s="16">
        <f t="shared" si="177"/>
        <v>-0.9372609688115765</v>
      </c>
      <c r="N1872">
        <f t="shared" si="178"/>
        <v>0</v>
      </c>
      <c r="O1872">
        <f t="shared" si="179"/>
        <v>0</v>
      </c>
      <c r="P1872">
        <f t="shared" si="176"/>
        <v>4000</v>
      </c>
      <c r="Q1872">
        <f t="shared" si="180"/>
        <v>4000</v>
      </c>
      <c r="T1872" s="16">
        <f t="shared" si="181"/>
        <v>-0.93726096881157694</v>
      </c>
    </row>
    <row r="1873" spans="7:20" ht="14.4" x14ac:dyDescent="0.25">
      <c r="G1873" s="10">
        <v>1704</v>
      </c>
      <c r="H1873" s="9">
        <v>12261</v>
      </c>
      <c r="I1873" s="14">
        <f>DATE(2012,12,31)-800</f>
        <v>40474</v>
      </c>
      <c r="J1873" s="15" t="s">
        <v>25</v>
      </c>
      <c r="K1873" s="9">
        <v>4</v>
      </c>
      <c r="L1873" s="16" t="s">
        <v>26</v>
      </c>
      <c r="M1873" s="16">
        <f t="shared" si="177"/>
        <v>-1.489739181765348</v>
      </c>
      <c r="N1873">
        <f t="shared" si="178"/>
        <v>0</v>
      </c>
      <c r="O1873">
        <f t="shared" si="179"/>
        <v>0</v>
      </c>
      <c r="P1873">
        <f t="shared" si="176"/>
        <v>3600</v>
      </c>
      <c r="Q1873">
        <f t="shared" si="180"/>
        <v>3600</v>
      </c>
      <c r="T1873" s="16">
        <f t="shared" si="181"/>
        <v>-1.4897391817653485</v>
      </c>
    </row>
    <row r="1874" spans="7:20" ht="14.4" x14ac:dyDescent="0.25">
      <c r="G1874" s="10">
        <v>1705</v>
      </c>
      <c r="H1874" s="9">
        <v>12261</v>
      </c>
      <c r="I1874" s="14">
        <f>DATE(2012,12,31)-800</f>
        <v>40474</v>
      </c>
      <c r="J1874" s="15" t="s">
        <v>25</v>
      </c>
      <c r="K1874" s="9">
        <v>19</v>
      </c>
      <c r="L1874" s="16" t="s">
        <v>26</v>
      </c>
      <c r="M1874" s="16">
        <f t="shared" si="177"/>
        <v>-0.45384253247702649</v>
      </c>
      <c r="N1874">
        <f t="shared" si="178"/>
        <v>0</v>
      </c>
      <c r="O1874">
        <f t="shared" si="179"/>
        <v>0</v>
      </c>
      <c r="P1874">
        <f t="shared" si="176"/>
        <v>4350</v>
      </c>
      <c r="Q1874">
        <f t="shared" si="180"/>
        <v>4350</v>
      </c>
      <c r="T1874" s="16">
        <f t="shared" si="181"/>
        <v>-0.45384253247702688</v>
      </c>
    </row>
    <row r="1875" spans="7:20" ht="14.4" x14ac:dyDescent="0.25">
      <c r="G1875" s="10">
        <v>1706</v>
      </c>
      <c r="H1875" s="9">
        <v>12261</v>
      </c>
      <c r="I1875" s="14">
        <f>DATE(2012,12,31)-800</f>
        <v>40474</v>
      </c>
      <c r="J1875" s="15" t="s">
        <v>25</v>
      </c>
      <c r="K1875" s="9">
        <v>23</v>
      </c>
      <c r="L1875" s="16" t="s">
        <v>26</v>
      </c>
      <c r="M1875" s="16">
        <f t="shared" si="177"/>
        <v>-0.17760342600014073</v>
      </c>
      <c r="N1875">
        <f t="shared" si="178"/>
        <v>0</v>
      </c>
      <c r="O1875">
        <f t="shared" si="179"/>
        <v>0</v>
      </c>
      <c r="P1875">
        <f t="shared" si="176"/>
        <v>4550</v>
      </c>
      <c r="Q1875">
        <f t="shared" si="180"/>
        <v>4550</v>
      </c>
      <c r="T1875" s="16">
        <f t="shared" si="181"/>
        <v>-0.17760342600014112</v>
      </c>
    </row>
    <row r="1876" spans="7:20" ht="14.4" x14ac:dyDescent="0.25">
      <c r="G1876" s="10">
        <v>1707</v>
      </c>
      <c r="H1876" s="9">
        <v>12261</v>
      </c>
      <c r="I1876" s="14">
        <f>DATE(2012,12,31)-800</f>
        <v>40474</v>
      </c>
      <c r="J1876" s="15" t="s">
        <v>25</v>
      </c>
      <c r="K1876" s="9">
        <v>15</v>
      </c>
      <c r="L1876" s="16" t="s">
        <v>26</v>
      </c>
      <c r="M1876" s="16">
        <f t="shared" si="177"/>
        <v>-0.7300816389539122</v>
      </c>
      <c r="N1876">
        <f t="shared" si="178"/>
        <v>0</v>
      </c>
      <c r="O1876">
        <f t="shared" si="179"/>
        <v>0</v>
      </c>
      <c r="P1876">
        <f t="shared" si="176"/>
        <v>4150</v>
      </c>
      <c r="Q1876">
        <f t="shared" si="180"/>
        <v>4150</v>
      </c>
      <c r="T1876" s="16">
        <f t="shared" si="181"/>
        <v>-0.73008163895391265</v>
      </c>
    </row>
    <row r="1877" spans="7:20" ht="14.4" x14ac:dyDescent="0.25">
      <c r="G1877" s="10">
        <v>1863</v>
      </c>
      <c r="H1877" s="9">
        <v>13408</v>
      </c>
      <c r="I1877" s="14">
        <f>DATE(2012,12,31)-1416</f>
        <v>39858</v>
      </c>
      <c r="J1877" s="15" t="s">
        <v>25</v>
      </c>
      <c r="K1877" s="9">
        <v>4</v>
      </c>
      <c r="L1877" s="16" t="s">
        <v>29</v>
      </c>
      <c r="M1877" s="16">
        <f t="shared" si="177"/>
        <v>-1.489739181765348</v>
      </c>
      <c r="N1877">
        <f t="shared" si="178"/>
        <v>0</v>
      </c>
      <c r="O1877">
        <f t="shared" si="179"/>
        <v>0</v>
      </c>
      <c r="P1877">
        <f t="shared" si="176"/>
        <v>3600</v>
      </c>
      <c r="Q1877">
        <f t="shared" si="180"/>
        <v>3600</v>
      </c>
      <c r="T1877" s="16">
        <f t="shared" si="181"/>
        <v>-1.4897391817653485</v>
      </c>
    </row>
    <row r="1878" spans="7:20" ht="14.4" x14ac:dyDescent="0.25">
      <c r="G1878" s="10">
        <v>1868</v>
      </c>
      <c r="H1878" s="9">
        <v>13444</v>
      </c>
      <c r="I1878" s="14">
        <f>DATE(2012,12,31)-361</f>
        <v>40913</v>
      </c>
      <c r="J1878" s="15" t="s">
        <v>17</v>
      </c>
      <c r="K1878" s="9">
        <v>33</v>
      </c>
      <c r="L1878" s="16" t="s">
        <v>26</v>
      </c>
      <c r="M1878" s="16">
        <f t="shared" si="177"/>
        <v>0.51299434019207357</v>
      </c>
      <c r="N1878">
        <f t="shared" si="178"/>
        <v>0</v>
      </c>
      <c r="O1878">
        <f t="shared" si="179"/>
        <v>0</v>
      </c>
      <c r="P1878">
        <f t="shared" si="176"/>
        <v>5050</v>
      </c>
      <c r="Q1878">
        <f t="shared" si="180"/>
        <v>5050</v>
      </c>
      <c r="T1878" s="16">
        <f t="shared" si="181"/>
        <v>0.51299434019207324</v>
      </c>
    </row>
    <row r="1879" spans="7:20" ht="14.4" x14ac:dyDescent="0.25">
      <c r="G1879" s="10">
        <v>1893</v>
      </c>
      <c r="H1879" s="9">
        <v>13601</v>
      </c>
      <c r="I1879" s="14">
        <f>DATE(2012,12,31)-137</f>
        <v>41137</v>
      </c>
      <c r="J1879" s="15" t="s">
        <v>25</v>
      </c>
      <c r="K1879" s="9">
        <v>17</v>
      </c>
      <c r="L1879" s="16" t="s">
        <v>26</v>
      </c>
      <c r="M1879" s="16">
        <f t="shared" si="177"/>
        <v>-0.59196208571546938</v>
      </c>
      <c r="N1879">
        <f t="shared" si="178"/>
        <v>0</v>
      </c>
      <c r="O1879">
        <f t="shared" si="179"/>
        <v>0</v>
      </c>
      <c r="P1879">
        <f t="shared" si="176"/>
        <v>4250</v>
      </c>
      <c r="Q1879">
        <f t="shared" si="180"/>
        <v>4250</v>
      </c>
      <c r="T1879" s="16">
        <f t="shared" si="181"/>
        <v>-0.59196208571546971</v>
      </c>
    </row>
    <row r="1880" spans="7:20" ht="14.4" x14ac:dyDescent="0.25">
      <c r="G1880" s="10">
        <v>1938</v>
      </c>
      <c r="H1880" s="9">
        <v>13894</v>
      </c>
      <c r="I1880" s="14">
        <f>DATE(2012,12,31)-265</f>
        <v>41009</v>
      </c>
      <c r="J1880" s="15" t="s">
        <v>16</v>
      </c>
      <c r="K1880" s="9">
        <v>31</v>
      </c>
      <c r="L1880" s="16" t="s">
        <v>26</v>
      </c>
      <c r="M1880" s="16">
        <f t="shared" si="177"/>
        <v>0.37487478695363075</v>
      </c>
      <c r="N1880">
        <f t="shared" si="178"/>
        <v>0</v>
      </c>
      <c r="O1880">
        <f t="shared" si="179"/>
        <v>0</v>
      </c>
      <c r="P1880">
        <f t="shared" si="176"/>
        <v>4950</v>
      </c>
      <c r="Q1880">
        <f t="shared" si="180"/>
        <v>4950</v>
      </c>
      <c r="T1880" s="16">
        <f t="shared" si="181"/>
        <v>0.37487478695363036</v>
      </c>
    </row>
    <row r="1881" spans="7:20" ht="14.4" x14ac:dyDescent="0.25">
      <c r="G1881" s="10">
        <v>1939</v>
      </c>
      <c r="H1881" s="9">
        <v>13894</v>
      </c>
      <c r="I1881" s="14">
        <f>DATE(2012,12,31)-265</f>
        <v>41009</v>
      </c>
      <c r="J1881" s="15" t="s">
        <v>16</v>
      </c>
      <c r="K1881" s="9">
        <v>50</v>
      </c>
      <c r="L1881" s="16" t="s">
        <v>27</v>
      </c>
      <c r="M1881" s="16">
        <f t="shared" si="177"/>
        <v>1.687010542718838</v>
      </c>
      <c r="N1881">
        <f t="shared" si="178"/>
        <v>0</v>
      </c>
      <c r="O1881">
        <f t="shared" si="179"/>
        <v>0</v>
      </c>
      <c r="P1881">
        <f t="shared" si="176"/>
        <v>5900</v>
      </c>
      <c r="Q1881">
        <f t="shared" si="180"/>
        <v>5900</v>
      </c>
      <c r="T1881" s="16">
        <f t="shared" si="181"/>
        <v>1.6870105427188375</v>
      </c>
    </row>
    <row r="1882" spans="7:20" ht="14.4" x14ac:dyDescent="0.25">
      <c r="G1882" s="10">
        <v>2286</v>
      </c>
      <c r="H1882" s="9">
        <v>16480</v>
      </c>
      <c r="I1882" s="14">
        <f>DATE(2012,12,31)-1121</f>
        <v>40153</v>
      </c>
      <c r="J1882" s="15" t="s">
        <v>28</v>
      </c>
      <c r="K1882" s="9">
        <v>14</v>
      </c>
      <c r="L1882" s="16" t="s">
        <v>26</v>
      </c>
      <c r="M1882" s="16">
        <f t="shared" si="177"/>
        <v>-0.79914141557313367</v>
      </c>
      <c r="N1882">
        <f t="shared" si="178"/>
        <v>0</v>
      </c>
      <c r="O1882">
        <f t="shared" si="179"/>
        <v>0</v>
      </c>
      <c r="P1882">
        <f t="shared" si="176"/>
        <v>4100</v>
      </c>
      <c r="Q1882">
        <f t="shared" si="180"/>
        <v>4100</v>
      </c>
      <c r="T1882" s="16">
        <f t="shared" si="181"/>
        <v>-0.79914141557313401</v>
      </c>
    </row>
    <row r="1883" spans="7:20" ht="14.4" x14ac:dyDescent="0.25">
      <c r="G1883" s="10">
        <v>2455</v>
      </c>
      <c r="H1883" s="9">
        <v>17858</v>
      </c>
      <c r="I1883" s="14">
        <f>DATE(2012,12,31)-828</f>
        <v>40446</v>
      </c>
      <c r="J1883" s="15" t="s">
        <v>16</v>
      </c>
      <c r="K1883" s="9">
        <v>21</v>
      </c>
      <c r="L1883" s="16" t="s">
        <v>27</v>
      </c>
      <c r="M1883" s="16">
        <f t="shared" si="177"/>
        <v>-0.31572297923858361</v>
      </c>
      <c r="N1883">
        <f t="shared" si="178"/>
        <v>0</v>
      </c>
      <c r="O1883">
        <f t="shared" si="179"/>
        <v>0</v>
      </c>
      <c r="P1883">
        <f t="shared" si="176"/>
        <v>4450</v>
      </c>
      <c r="Q1883">
        <f t="shared" si="180"/>
        <v>4450</v>
      </c>
      <c r="T1883" s="16">
        <f t="shared" si="181"/>
        <v>-0.315722979238584</v>
      </c>
    </row>
    <row r="1884" spans="7:20" ht="14.4" x14ac:dyDescent="0.25">
      <c r="G1884" s="10">
        <v>2456</v>
      </c>
      <c r="H1884" s="9">
        <v>17858</v>
      </c>
      <c r="I1884" s="14">
        <f>DATE(2012,12,31)-828</f>
        <v>40446</v>
      </c>
      <c r="J1884" s="15" t="s">
        <v>16</v>
      </c>
      <c r="K1884" s="9">
        <v>12</v>
      </c>
      <c r="L1884" s="16" t="s">
        <v>27</v>
      </c>
      <c r="M1884" s="16">
        <f t="shared" si="177"/>
        <v>-0.9372609688115765</v>
      </c>
      <c r="N1884">
        <f t="shared" si="178"/>
        <v>0</v>
      </c>
      <c r="O1884">
        <f t="shared" si="179"/>
        <v>0</v>
      </c>
      <c r="P1884">
        <f t="shared" si="176"/>
        <v>4000</v>
      </c>
      <c r="Q1884">
        <f t="shared" si="180"/>
        <v>4000</v>
      </c>
      <c r="T1884" s="16">
        <f t="shared" si="181"/>
        <v>-0.93726096881157694</v>
      </c>
    </row>
    <row r="1885" spans="7:20" ht="14.4" x14ac:dyDescent="0.25">
      <c r="G1885" s="10">
        <v>2457</v>
      </c>
      <c r="H1885" s="9">
        <v>17858</v>
      </c>
      <c r="I1885" s="14">
        <f>DATE(2012,12,31)-828</f>
        <v>40446</v>
      </c>
      <c r="J1885" s="15" t="s">
        <v>16</v>
      </c>
      <c r="K1885" s="9">
        <v>46</v>
      </c>
      <c r="L1885" s="16" t="s">
        <v>29</v>
      </c>
      <c r="M1885" s="16">
        <f t="shared" si="177"/>
        <v>1.4107714362419523</v>
      </c>
      <c r="N1885">
        <f t="shared" si="178"/>
        <v>0</v>
      </c>
      <c r="O1885">
        <f t="shared" si="179"/>
        <v>0</v>
      </c>
      <c r="P1885">
        <f t="shared" si="176"/>
        <v>5700</v>
      </c>
      <c r="Q1885">
        <f t="shared" si="180"/>
        <v>5700</v>
      </c>
      <c r="T1885" s="16">
        <f t="shared" si="181"/>
        <v>1.4107714362419519</v>
      </c>
    </row>
    <row r="1886" spans="7:20" ht="14.4" x14ac:dyDescent="0.25">
      <c r="G1886" s="10">
        <v>2571</v>
      </c>
      <c r="H1886" s="9">
        <v>18561</v>
      </c>
      <c r="I1886" s="14">
        <f>DATE(2012,12,31)-1452</f>
        <v>39822</v>
      </c>
      <c r="J1886" s="15" t="s">
        <v>28</v>
      </c>
      <c r="K1886" s="9">
        <v>9</v>
      </c>
      <c r="L1886" s="16" t="s">
        <v>26</v>
      </c>
      <c r="M1886" s="16">
        <f t="shared" si="177"/>
        <v>-1.1444402986692408</v>
      </c>
      <c r="N1886">
        <f t="shared" si="178"/>
        <v>0</v>
      </c>
      <c r="O1886">
        <f t="shared" si="179"/>
        <v>0</v>
      </c>
      <c r="P1886">
        <f t="shared" si="176"/>
        <v>3850</v>
      </c>
      <c r="Q1886">
        <f t="shared" si="180"/>
        <v>3850</v>
      </c>
      <c r="T1886" s="16">
        <f t="shared" si="181"/>
        <v>-1.1444402986692412</v>
      </c>
    </row>
    <row r="1887" spans="7:20" ht="14.4" x14ac:dyDescent="0.25">
      <c r="G1887" s="10">
        <v>2739</v>
      </c>
      <c r="H1887" s="9">
        <v>19777</v>
      </c>
      <c r="I1887" s="14">
        <f>DATE(2012,12,31)-73</f>
        <v>41201</v>
      </c>
      <c r="J1887" s="15" t="s">
        <v>28</v>
      </c>
      <c r="K1887" s="9">
        <v>22</v>
      </c>
      <c r="L1887" s="16" t="s">
        <v>26</v>
      </c>
      <c r="M1887" s="16">
        <f t="shared" si="177"/>
        <v>-0.24666320261936217</v>
      </c>
      <c r="N1887">
        <f t="shared" si="178"/>
        <v>0</v>
      </c>
      <c r="O1887">
        <f t="shared" si="179"/>
        <v>0</v>
      </c>
      <c r="P1887">
        <f t="shared" si="176"/>
        <v>4500</v>
      </c>
      <c r="Q1887">
        <f t="shared" si="180"/>
        <v>4500</v>
      </c>
      <c r="T1887" s="16">
        <f t="shared" si="181"/>
        <v>-0.24666320261936256</v>
      </c>
    </row>
    <row r="1888" spans="7:20" ht="14.4" x14ac:dyDescent="0.25">
      <c r="G1888" s="10">
        <v>2740</v>
      </c>
      <c r="H1888" s="9">
        <v>19777</v>
      </c>
      <c r="I1888" s="14">
        <f>DATE(2012,12,31)-73</f>
        <v>41201</v>
      </c>
      <c r="J1888" s="15" t="s">
        <v>28</v>
      </c>
      <c r="K1888" s="9">
        <v>2</v>
      </c>
      <c r="L1888" s="16" t="s">
        <v>26</v>
      </c>
      <c r="M1888" s="16">
        <f t="shared" si="177"/>
        <v>-1.627858735003791</v>
      </c>
      <c r="N1888">
        <f t="shared" si="178"/>
        <v>0</v>
      </c>
      <c r="O1888">
        <f t="shared" si="179"/>
        <v>0</v>
      </c>
      <c r="P1888">
        <f t="shared" si="176"/>
        <v>3500</v>
      </c>
      <c r="Q1888">
        <f t="shared" si="180"/>
        <v>3500</v>
      </c>
      <c r="T1888" s="16">
        <f t="shared" si="181"/>
        <v>-1.6278587350037912</v>
      </c>
    </row>
    <row r="1889" spans="7:20" ht="14.4" x14ac:dyDescent="0.25">
      <c r="G1889" s="10">
        <v>2741</v>
      </c>
      <c r="H1889" s="9">
        <v>19777</v>
      </c>
      <c r="I1889" s="14">
        <f>DATE(2012,12,31)-73</f>
        <v>41201</v>
      </c>
      <c r="J1889" s="15" t="s">
        <v>28</v>
      </c>
      <c r="K1889" s="9">
        <v>24</v>
      </c>
      <c r="L1889" s="16" t="s">
        <v>27</v>
      </c>
      <c r="M1889" s="16">
        <f t="shared" si="177"/>
        <v>-0.1085436493809193</v>
      </c>
      <c r="N1889">
        <f t="shared" si="178"/>
        <v>0</v>
      </c>
      <c r="O1889">
        <f t="shared" si="179"/>
        <v>0</v>
      </c>
      <c r="P1889">
        <f t="shared" si="176"/>
        <v>4600</v>
      </c>
      <c r="Q1889">
        <f t="shared" si="180"/>
        <v>4600</v>
      </c>
      <c r="T1889" s="16">
        <f t="shared" si="181"/>
        <v>-0.10854364938091969</v>
      </c>
    </row>
    <row r="1890" spans="7:20" ht="14.4" x14ac:dyDescent="0.25">
      <c r="G1890" s="10">
        <v>2992</v>
      </c>
      <c r="H1890" s="9">
        <v>21601</v>
      </c>
      <c r="I1890" s="14">
        <f>DATE(2012,12,31)-635</f>
        <v>40639</v>
      </c>
      <c r="J1890" s="15" t="s">
        <v>25</v>
      </c>
      <c r="K1890" s="9">
        <v>20</v>
      </c>
      <c r="L1890" s="16" t="s">
        <v>26</v>
      </c>
      <c r="M1890" s="16">
        <f t="shared" si="177"/>
        <v>-0.38478275585780503</v>
      </c>
      <c r="N1890">
        <f t="shared" si="178"/>
        <v>0</v>
      </c>
      <c r="O1890">
        <f t="shared" si="179"/>
        <v>0</v>
      </c>
      <c r="P1890">
        <f t="shared" si="176"/>
        <v>4400</v>
      </c>
      <c r="Q1890">
        <f t="shared" si="180"/>
        <v>4400</v>
      </c>
      <c r="T1890" s="16">
        <f t="shared" si="181"/>
        <v>-0.38478275585780541</v>
      </c>
    </row>
    <row r="1891" spans="7:20" ht="14.4" x14ac:dyDescent="0.25">
      <c r="G1891" s="10">
        <v>3013</v>
      </c>
      <c r="H1891" s="9">
        <v>21670</v>
      </c>
      <c r="I1891" s="14">
        <f>DATE(2012,12,31)-720</f>
        <v>40554</v>
      </c>
      <c r="J1891" s="15" t="s">
        <v>17</v>
      </c>
      <c r="K1891" s="9">
        <v>24</v>
      </c>
      <c r="L1891" s="16" t="s">
        <v>29</v>
      </c>
      <c r="M1891" s="16">
        <f t="shared" si="177"/>
        <v>-0.1085436493809193</v>
      </c>
      <c r="N1891">
        <f t="shared" si="178"/>
        <v>0</v>
      </c>
      <c r="O1891">
        <f t="shared" si="179"/>
        <v>0</v>
      </c>
      <c r="P1891">
        <f t="shared" si="176"/>
        <v>4600</v>
      </c>
      <c r="Q1891">
        <f t="shared" si="180"/>
        <v>4600</v>
      </c>
      <c r="T1891" s="16">
        <f t="shared" si="181"/>
        <v>-0.10854364938091969</v>
      </c>
    </row>
    <row r="1892" spans="7:20" ht="14.4" x14ac:dyDescent="0.25">
      <c r="G1892" s="10">
        <v>3285</v>
      </c>
      <c r="H1892" s="9">
        <v>23489</v>
      </c>
      <c r="I1892" s="14">
        <f>DATE(2012,12,31)-125</f>
        <v>41149</v>
      </c>
      <c r="J1892" s="15" t="s">
        <v>17</v>
      </c>
      <c r="K1892" s="9">
        <v>42</v>
      </c>
      <c r="L1892" s="16" t="s">
        <v>27</v>
      </c>
      <c r="M1892" s="16">
        <f t="shared" si="177"/>
        <v>1.1345323297650665</v>
      </c>
      <c r="N1892">
        <f t="shared" si="178"/>
        <v>0</v>
      </c>
      <c r="O1892">
        <f t="shared" si="179"/>
        <v>0</v>
      </c>
      <c r="P1892">
        <f t="shared" si="176"/>
        <v>5500</v>
      </c>
      <c r="Q1892">
        <f t="shared" si="180"/>
        <v>5500</v>
      </c>
      <c r="T1892" s="16">
        <f t="shared" si="181"/>
        <v>1.1345323297650662</v>
      </c>
    </row>
    <row r="1893" spans="7:20" ht="14.4" x14ac:dyDescent="0.25">
      <c r="G1893" s="10">
        <v>3432</v>
      </c>
      <c r="H1893" s="9">
        <v>24486</v>
      </c>
      <c r="I1893" s="14">
        <f>DATE(2012,12,31)-619</f>
        <v>40655</v>
      </c>
      <c r="J1893" s="15" t="s">
        <v>16</v>
      </c>
      <c r="K1893" s="9">
        <v>3</v>
      </c>
      <c r="L1893" s="16" t="s">
        <v>27</v>
      </c>
      <c r="M1893" s="16">
        <f t="shared" si="177"/>
        <v>-1.5587989583845694</v>
      </c>
      <c r="N1893">
        <f t="shared" si="178"/>
        <v>0</v>
      </c>
      <c r="O1893">
        <f t="shared" si="179"/>
        <v>0</v>
      </c>
      <c r="P1893">
        <f t="shared" si="176"/>
        <v>3550</v>
      </c>
      <c r="Q1893">
        <f t="shared" si="180"/>
        <v>3550</v>
      </c>
      <c r="T1893" s="16">
        <f t="shared" si="181"/>
        <v>-1.5587989583845698</v>
      </c>
    </row>
    <row r="1894" spans="7:20" ht="14.4" x14ac:dyDescent="0.25">
      <c r="G1894" s="10">
        <v>3433</v>
      </c>
      <c r="H1894" s="9">
        <v>24486</v>
      </c>
      <c r="I1894" s="14">
        <f>DATE(2012,12,31)-619</f>
        <v>40655</v>
      </c>
      <c r="J1894" s="15" t="s">
        <v>16</v>
      </c>
      <c r="K1894" s="9">
        <v>14</v>
      </c>
      <c r="L1894" s="16" t="s">
        <v>26</v>
      </c>
      <c r="M1894" s="16">
        <f t="shared" si="177"/>
        <v>-0.79914141557313367</v>
      </c>
      <c r="N1894">
        <f t="shared" si="178"/>
        <v>0</v>
      </c>
      <c r="O1894">
        <f t="shared" si="179"/>
        <v>0</v>
      </c>
      <c r="P1894">
        <f t="shared" si="176"/>
        <v>4100</v>
      </c>
      <c r="Q1894">
        <f t="shared" si="180"/>
        <v>4100</v>
      </c>
      <c r="T1894" s="16">
        <f t="shared" si="181"/>
        <v>-0.79914141557313401</v>
      </c>
    </row>
    <row r="1895" spans="7:20" ht="14.4" x14ac:dyDescent="0.25">
      <c r="G1895" s="10">
        <v>3490</v>
      </c>
      <c r="H1895" s="9">
        <v>24869</v>
      </c>
      <c r="I1895" s="14">
        <f>DATE(2012,12,31)-1300</f>
        <v>39974</v>
      </c>
      <c r="J1895" s="15" t="s">
        <v>28</v>
      </c>
      <c r="K1895" s="9">
        <v>14</v>
      </c>
      <c r="L1895" s="16" t="s">
        <v>26</v>
      </c>
      <c r="M1895" s="16">
        <f t="shared" si="177"/>
        <v>-0.79914141557313367</v>
      </c>
      <c r="N1895">
        <f t="shared" si="178"/>
        <v>0</v>
      </c>
      <c r="O1895">
        <f t="shared" si="179"/>
        <v>0</v>
      </c>
      <c r="P1895">
        <f t="shared" si="176"/>
        <v>4100</v>
      </c>
      <c r="Q1895">
        <f t="shared" si="180"/>
        <v>4100</v>
      </c>
      <c r="T1895" s="16">
        <f t="shared" si="181"/>
        <v>-0.79914141557313401</v>
      </c>
    </row>
    <row r="1896" spans="7:20" ht="14.4" x14ac:dyDescent="0.25">
      <c r="G1896" s="10">
        <v>3601</v>
      </c>
      <c r="H1896" s="9">
        <v>25697</v>
      </c>
      <c r="I1896" s="14">
        <f>DATE(2012,12,31)-615</f>
        <v>40659</v>
      </c>
      <c r="J1896" s="15" t="s">
        <v>25</v>
      </c>
      <c r="K1896" s="9">
        <v>46</v>
      </c>
      <c r="L1896" s="16" t="s">
        <v>27</v>
      </c>
      <c r="M1896" s="16">
        <f t="shared" si="177"/>
        <v>1.4107714362419523</v>
      </c>
      <c r="N1896">
        <f t="shared" si="178"/>
        <v>0</v>
      </c>
      <c r="O1896">
        <f t="shared" si="179"/>
        <v>0</v>
      </c>
      <c r="P1896">
        <f t="shared" si="176"/>
        <v>5700</v>
      </c>
      <c r="Q1896">
        <f t="shared" si="180"/>
        <v>5700</v>
      </c>
      <c r="T1896" s="16">
        <f t="shared" si="181"/>
        <v>1.4107714362419519</v>
      </c>
    </row>
    <row r="1897" spans="7:20" ht="14.4" x14ac:dyDescent="0.25">
      <c r="G1897" s="10">
        <v>3854</v>
      </c>
      <c r="H1897" s="9">
        <v>27490</v>
      </c>
      <c r="I1897" s="14">
        <f>DATE(2012,12,31)-292</f>
        <v>40982</v>
      </c>
      <c r="J1897" s="15" t="s">
        <v>28</v>
      </c>
      <c r="K1897" s="9">
        <v>18</v>
      </c>
      <c r="L1897" s="16" t="s">
        <v>26</v>
      </c>
      <c r="M1897" s="16">
        <f t="shared" si="177"/>
        <v>-0.52290230909624791</v>
      </c>
      <c r="N1897">
        <f t="shared" si="178"/>
        <v>0</v>
      </c>
      <c r="O1897">
        <f t="shared" si="179"/>
        <v>0</v>
      </c>
      <c r="P1897">
        <f t="shared" si="176"/>
        <v>4300</v>
      </c>
      <c r="Q1897">
        <f t="shared" si="180"/>
        <v>4300</v>
      </c>
      <c r="T1897" s="16">
        <f t="shared" si="181"/>
        <v>-0.52290230909624835</v>
      </c>
    </row>
    <row r="1898" spans="7:20" ht="14.4" x14ac:dyDescent="0.25">
      <c r="G1898" s="10">
        <v>3906</v>
      </c>
      <c r="H1898" s="9">
        <v>27844</v>
      </c>
      <c r="I1898" s="14">
        <f>DATE(2012,12,31)-551</f>
        <v>40723</v>
      </c>
      <c r="J1898" s="15" t="s">
        <v>25</v>
      </c>
      <c r="K1898" s="9">
        <v>27</v>
      </c>
      <c r="L1898" s="16" t="s">
        <v>26</v>
      </c>
      <c r="M1898" s="16">
        <f t="shared" si="177"/>
        <v>9.8635680476745008E-2</v>
      </c>
      <c r="N1898">
        <f t="shared" si="178"/>
        <v>0</v>
      </c>
      <c r="O1898">
        <f t="shared" si="179"/>
        <v>0</v>
      </c>
      <c r="P1898">
        <f t="shared" si="176"/>
        <v>4750</v>
      </c>
      <c r="Q1898">
        <f t="shared" si="180"/>
        <v>4750</v>
      </c>
      <c r="T1898" s="16">
        <f t="shared" si="181"/>
        <v>9.8635680476744619E-2</v>
      </c>
    </row>
    <row r="1899" spans="7:20" ht="14.4" x14ac:dyDescent="0.25">
      <c r="G1899" s="10">
        <v>3981</v>
      </c>
      <c r="H1899" s="9">
        <v>28451</v>
      </c>
      <c r="I1899" s="14">
        <f>DATE(2012,12,31)-1456</f>
        <v>39818</v>
      </c>
      <c r="J1899" s="15" t="s">
        <v>30</v>
      </c>
      <c r="K1899" s="9">
        <v>21</v>
      </c>
      <c r="L1899" s="16" t="s">
        <v>29</v>
      </c>
      <c r="M1899" s="16">
        <f t="shared" si="177"/>
        <v>-0.31572297923858361</v>
      </c>
      <c r="N1899">
        <f t="shared" si="178"/>
        <v>0</v>
      </c>
      <c r="O1899">
        <f t="shared" si="179"/>
        <v>0</v>
      </c>
      <c r="P1899">
        <f t="shared" si="176"/>
        <v>4450</v>
      </c>
      <c r="Q1899">
        <f t="shared" si="180"/>
        <v>4450</v>
      </c>
      <c r="T1899" s="16">
        <f t="shared" si="181"/>
        <v>-0.315722979238584</v>
      </c>
    </row>
    <row r="1900" spans="7:20" ht="14.4" x14ac:dyDescent="0.25">
      <c r="G1900" s="10">
        <v>3982</v>
      </c>
      <c r="H1900" s="9">
        <v>28451</v>
      </c>
      <c r="I1900" s="14">
        <f>DATE(2012,12,31)-1456</f>
        <v>39818</v>
      </c>
      <c r="J1900" s="15" t="s">
        <v>30</v>
      </c>
      <c r="K1900" s="9">
        <v>41</v>
      </c>
      <c r="L1900" s="16" t="s">
        <v>29</v>
      </c>
      <c r="M1900" s="16">
        <f t="shared" si="177"/>
        <v>1.0654725531458451</v>
      </c>
      <c r="N1900">
        <f t="shared" si="178"/>
        <v>0</v>
      </c>
      <c r="O1900">
        <f t="shared" si="179"/>
        <v>0</v>
      </c>
      <c r="P1900">
        <f t="shared" si="176"/>
        <v>5450</v>
      </c>
      <c r="Q1900">
        <f t="shared" si="180"/>
        <v>5450</v>
      </c>
      <c r="T1900" s="16">
        <f t="shared" si="181"/>
        <v>1.0654725531458447</v>
      </c>
    </row>
    <row r="1901" spans="7:20" ht="14.4" x14ac:dyDescent="0.25">
      <c r="G1901" s="10">
        <v>3983</v>
      </c>
      <c r="H1901" s="9">
        <v>28451</v>
      </c>
      <c r="I1901" s="14">
        <f>DATE(2012,12,31)-1456</f>
        <v>39818</v>
      </c>
      <c r="J1901" s="15" t="s">
        <v>30</v>
      </c>
      <c r="K1901" s="9">
        <v>33</v>
      </c>
      <c r="L1901" s="16" t="s">
        <v>27</v>
      </c>
      <c r="M1901" s="16">
        <f t="shared" si="177"/>
        <v>0.51299434019207357</v>
      </c>
      <c r="N1901">
        <f t="shared" si="178"/>
        <v>0</v>
      </c>
      <c r="O1901">
        <f t="shared" si="179"/>
        <v>0</v>
      </c>
      <c r="P1901">
        <f t="shared" si="176"/>
        <v>5050</v>
      </c>
      <c r="Q1901">
        <f t="shared" si="180"/>
        <v>5050</v>
      </c>
      <c r="T1901" s="16">
        <f t="shared" si="181"/>
        <v>0.51299434019207324</v>
      </c>
    </row>
    <row r="1902" spans="7:20" ht="14.4" x14ac:dyDescent="0.25">
      <c r="G1902" s="10">
        <v>3989</v>
      </c>
      <c r="H1902" s="9">
        <v>28482</v>
      </c>
      <c r="I1902" s="14">
        <f>DATE(2012,12,31)-1029</f>
        <v>40245</v>
      </c>
      <c r="J1902" s="15" t="s">
        <v>30</v>
      </c>
      <c r="K1902" s="9">
        <v>22</v>
      </c>
      <c r="L1902" s="16" t="s">
        <v>29</v>
      </c>
      <c r="M1902" s="16">
        <f t="shared" si="177"/>
        <v>-0.24666320261936217</v>
      </c>
      <c r="N1902">
        <f t="shared" si="178"/>
        <v>0</v>
      </c>
      <c r="O1902">
        <f t="shared" si="179"/>
        <v>0</v>
      </c>
      <c r="P1902">
        <f t="shared" si="176"/>
        <v>4500</v>
      </c>
      <c r="Q1902">
        <f t="shared" si="180"/>
        <v>4500</v>
      </c>
      <c r="T1902" s="16">
        <f t="shared" si="181"/>
        <v>-0.24666320261936256</v>
      </c>
    </row>
    <row r="1903" spans="7:20" ht="14.4" x14ac:dyDescent="0.25">
      <c r="G1903" s="10">
        <v>3990</v>
      </c>
      <c r="H1903" s="9">
        <v>28482</v>
      </c>
      <c r="I1903" s="14">
        <f>DATE(2012,12,31)-1029</f>
        <v>40245</v>
      </c>
      <c r="J1903" s="15" t="s">
        <v>30</v>
      </c>
      <c r="K1903" s="9">
        <v>40</v>
      </c>
      <c r="L1903" s="16" t="s">
        <v>26</v>
      </c>
      <c r="M1903" s="16">
        <f t="shared" si="177"/>
        <v>0.99641277652662363</v>
      </c>
      <c r="N1903">
        <f t="shared" si="178"/>
        <v>0</v>
      </c>
      <c r="O1903">
        <f t="shared" si="179"/>
        <v>0</v>
      </c>
      <c r="P1903">
        <f t="shared" si="176"/>
        <v>5400</v>
      </c>
      <c r="Q1903">
        <f t="shared" si="180"/>
        <v>5400</v>
      </c>
      <c r="T1903" s="16">
        <f t="shared" si="181"/>
        <v>0.9964127765266233</v>
      </c>
    </row>
    <row r="1904" spans="7:20" ht="14.4" x14ac:dyDescent="0.25">
      <c r="G1904" s="10">
        <v>4012</v>
      </c>
      <c r="H1904" s="9">
        <v>28642</v>
      </c>
      <c r="I1904" s="14">
        <f>DATE(2012,12,31)-713</f>
        <v>40561</v>
      </c>
      <c r="J1904" s="15" t="s">
        <v>17</v>
      </c>
      <c r="K1904" s="9">
        <v>41</v>
      </c>
      <c r="L1904" s="16" t="s">
        <v>26</v>
      </c>
      <c r="M1904" s="16">
        <f t="shared" si="177"/>
        <v>1.0654725531458451</v>
      </c>
      <c r="N1904">
        <f t="shared" si="178"/>
        <v>0</v>
      </c>
      <c r="O1904">
        <f t="shared" si="179"/>
        <v>0</v>
      </c>
      <c r="P1904">
        <f t="shared" si="176"/>
        <v>5450</v>
      </c>
      <c r="Q1904">
        <f t="shared" si="180"/>
        <v>5450</v>
      </c>
      <c r="T1904" s="16">
        <f t="shared" si="181"/>
        <v>1.0654725531458447</v>
      </c>
    </row>
    <row r="1905" spans="7:20" ht="14.4" x14ac:dyDescent="0.25">
      <c r="G1905" s="10">
        <v>4013</v>
      </c>
      <c r="H1905" s="9">
        <v>28642</v>
      </c>
      <c r="I1905" s="14">
        <f>DATE(2012,12,31)-713</f>
        <v>40561</v>
      </c>
      <c r="J1905" s="15" t="s">
        <v>17</v>
      </c>
      <c r="K1905" s="9">
        <v>27</v>
      </c>
      <c r="L1905" s="16" t="s">
        <v>27</v>
      </c>
      <c r="M1905" s="16">
        <f t="shared" si="177"/>
        <v>9.8635680476745008E-2</v>
      </c>
      <c r="N1905">
        <f t="shared" si="178"/>
        <v>0</v>
      </c>
      <c r="O1905">
        <f t="shared" si="179"/>
        <v>0</v>
      </c>
      <c r="P1905">
        <f t="shared" si="176"/>
        <v>4750</v>
      </c>
      <c r="Q1905">
        <f t="shared" si="180"/>
        <v>4750</v>
      </c>
      <c r="T1905" s="16">
        <f t="shared" si="181"/>
        <v>9.8635680476744619E-2</v>
      </c>
    </row>
    <row r="1906" spans="7:20" ht="14.4" x14ac:dyDescent="0.25">
      <c r="G1906" s="10">
        <v>4136</v>
      </c>
      <c r="H1906" s="9">
        <v>29380</v>
      </c>
      <c r="I1906" s="14">
        <f>DATE(2012,12,31)-1344</f>
        <v>39930</v>
      </c>
      <c r="J1906" s="15" t="s">
        <v>28</v>
      </c>
      <c r="K1906" s="9">
        <v>13</v>
      </c>
      <c r="L1906" s="16" t="s">
        <v>26</v>
      </c>
      <c r="M1906" s="16">
        <f t="shared" si="177"/>
        <v>-0.86820119219235514</v>
      </c>
      <c r="N1906">
        <f t="shared" si="178"/>
        <v>0</v>
      </c>
      <c r="O1906">
        <f t="shared" si="179"/>
        <v>0</v>
      </c>
      <c r="P1906">
        <f t="shared" si="176"/>
        <v>4050</v>
      </c>
      <c r="Q1906">
        <f t="shared" si="180"/>
        <v>4050</v>
      </c>
      <c r="T1906" s="16">
        <f t="shared" si="181"/>
        <v>-0.86820119219235548</v>
      </c>
    </row>
    <row r="1907" spans="7:20" ht="14.4" x14ac:dyDescent="0.25">
      <c r="G1907" s="10">
        <v>4499</v>
      </c>
      <c r="H1907" s="9">
        <v>32036</v>
      </c>
      <c r="I1907" s="14">
        <f>DATE(2012,12,31)-453</f>
        <v>40821</v>
      </c>
      <c r="J1907" s="15" t="s">
        <v>16</v>
      </c>
      <c r="K1907" s="9">
        <v>6</v>
      </c>
      <c r="L1907" s="16" t="s">
        <v>26</v>
      </c>
      <c r="M1907" s="16">
        <f t="shared" si="177"/>
        <v>-1.3516196285269051</v>
      </c>
      <c r="N1907">
        <f t="shared" si="178"/>
        <v>0</v>
      </c>
      <c r="O1907">
        <f t="shared" si="179"/>
        <v>0</v>
      </c>
      <c r="P1907">
        <f t="shared" si="176"/>
        <v>3700</v>
      </c>
      <c r="Q1907">
        <f t="shared" si="180"/>
        <v>3700</v>
      </c>
      <c r="T1907" s="16">
        <f t="shared" si="181"/>
        <v>-1.3516196285269055</v>
      </c>
    </row>
    <row r="1908" spans="7:20" ht="14.4" x14ac:dyDescent="0.25">
      <c r="G1908" s="10">
        <v>4500</v>
      </c>
      <c r="H1908" s="9">
        <v>32036</v>
      </c>
      <c r="I1908" s="14">
        <f>DATE(2012,12,31)-453</f>
        <v>40821</v>
      </c>
      <c r="J1908" s="15" t="s">
        <v>16</v>
      </c>
      <c r="K1908" s="9">
        <v>25</v>
      </c>
      <c r="L1908" s="16" t="s">
        <v>26</v>
      </c>
      <c r="M1908" s="16">
        <f t="shared" si="177"/>
        <v>-3.9483872761697868E-2</v>
      </c>
      <c r="N1908">
        <f t="shared" si="178"/>
        <v>0</v>
      </c>
      <c r="O1908">
        <f t="shared" si="179"/>
        <v>0</v>
      </c>
      <c r="P1908">
        <f t="shared" si="176"/>
        <v>4650</v>
      </c>
      <c r="Q1908">
        <f t="shared" si="180"/>
        <v>4650</v>
      </c>
      <c r="T1908" s="16">
        <f t="shared" si="181"/>
        <v>-3.9483872761698249E-2</v>
      </c>
    </row>
    <row r="1909" spans="7:20" ht="14.4" x14ac:dyDescent="0.25">
      <c r="G1909" s="10">
        <v>4540</v>
      </c>
      <c r="H1909" s="9">
        <v>32295</v>
      </c>
      <c r="I1909" s="14">
        <f>DATE(2012,12,31)-1454</f>
        <v>39820</v>
      </c>
      <c r="J1909" s="15" t="s">
        <v>17</v>
      </c>
      <c r="K1909" s="9">
        <v>11</v>
      </c>
      <c r="L1909" s="16" t="s">
        <v>27</v>
      </c>
      <c r="M1909" s="16">
        <f t="shared" si="177"/>
        <v>-1.0063207454307979</v>
      </c>
      <c r="N1909">
        <f t="shared" si="178"/>
        <v>0</v>
      </c>
      <c r="O1909">
        <f t="shared" si="179"/>
        <v>0</v>
      </c>
      <c r="P1909">
        <f t="shared" si="176"/>
        <v>3950</v>
      </c>
      <c r="Q1909">
        <f t="shared" si="180"/>
        <v>3950</v>
      </c>
      <c r="T1909" s="16">
        <f t="shared" si="181"/>
        <v>-1.0063207454307983</v>
      </c>
    </row>
    <row r="1910" spans="7:20" ht="14.4" x14ac:dyDescent="0.25">
      <c r="G1910" s="10">
        <v>4702</v>
      </c>
      <c r="H1910" s="9">
        <v>33505</v>
      </c>
      <c r="I1910" s="14">
        <f>DATE(2012,12,31)-828</f>
        <v>40446</v>
      </c>
      <c r="J1910" s="15" t="s">
        <v>25</v>
      </c>
      <c r="K1910" s="9">
        <v>32</v>
      </c>
      <c r="L1910" s="16" t="s">
        <v>26</v>
      </c>
      <c r="M1910" s="16">
        <f t="shared" si="177"/>
        <v>0.44393456357285216</v>
      </c>
      <c r="N1910">
        <f t="shared" si="178"/>
        <v>0</v>
      </c>
      <c r="O1910">
        <f t="shared" si="179"/>
        <v>0</v>
      </c>
      <c r="P1910">
        <f t="shared" si="176"/>
        <v>5000</v>
      </c>
      <c r="Q1910">
        <f t="shared" si="180"/>
        <v>5000</v>
      </c>
      <c r="T1910" s="16">
        <f t="shared" si="181"/>
        <v>0.44393456357285183</v>
      </c>
    </row>
    <row r="1911" spans="7:20" ht="14.4" x14ac:dyDescent="0.25">
      <c r="G1911" s="10">
        <v>4703</v>
      </c>
      <c r="H1911" s="9">
        <v>33505</v>
      </c>
      <c r="I1911" s="14">
        <f>DATE(2012,12,31)-828</f>
        <v>40446</v>
      </c>
      <c r="J1911" s="15" t="s">
        <v>25</v>
      </c>
      <c r="K1911" s="9">
        <v>35</v>
      </c>
      <c r="L1911" s="16" t="s">
        <v>27</v>
      </c>
      <c r="M1911" s="16">
        <f t="shared" si="177"/>
        <v>0.65111389343051651</v>
      </c>
      <c r="N1911">
        <f t="shared" si="178"/>
        <v>0</v>
      </c>
      <c r="O1911">
        <f t="shared" si="179"/>
        <v>0</v>
      </c>
      <c r="P1911">
        <f t="shared" si="176"/>
        <v>5150</v>
      </c>
      <c r="Q1911">
        <f t="shared" si="180"/>
        <v>5150</v>
      </c>
      <c r="T1911" s="16">
        <f t="shared" si="181"/>
        <v>0.65111389343051607</v>
      </c>
    </row>
    <row r="1912" spans="7:20" ht="14.4" x14ac:dyDescent="0.25">
      <c r="G1912" s="10">
        <v>4797</v>
      </c>
      <c r="H1912" s="9">
        <v>34086</v>
      </c>
      <c r="I1912" s="14">
        <f>DATE(2012,12,31)-246</f>
        <v>41028</v>
      </c>
      <c r="J1912" s="15" t="s">
        <v>17</v>
      </c>
      <c r="K1912" s="9">
        <v>41</v>
      </c>
      <c r="L1912" s="16" t="s">
        <v>27</v>
      </c>
      <c r="M1912" s="16">
        <f t="shared" si="177"/>
        <v>1.0654725531458451</v>
      </c>
      <c r="N1912">
        <f t="shared" si="178"/>
        <v>0</v>
      </c>
      <c r="O1912">
        <f t="shared" si="179"/>
        <v>0</v>
      </c>
      <c r="P1912">
        <f t="shared" si="176"/>
        <v>5450</v>
      </c>
      <c r="Q1912">
        <f t="shared" si="180"/>
        <v>5450</v>
      </c>
      <c r="T1912" s="16">
        <f t="shared" si="181"/>
        <v>1.0654725531458447</v>
      </c>
    </row>
    <row r="1913" spans="7:20" ht="14.4" x14ac:dyDescent="0.25">
      <c r="G1913" s="10">
        <v>4809</v>
      </c>
      <c r="H1913" s="9">
        <v>34209</v>
      </c>
      <c r="I1913" s="14">
        <f>DATE(2012,12,31)-860</f>
        <v>40414</v>
      </c>
      <c r="J1913" s="15" t="s">
        <v>17</v>
      </c>
      <c r="K1913" s="9">
        <v>48</v>
      </c>
      <c r="L1913" s="16" t="s">
        <v>29</v>
      </c>
      <c r="M1913" s="16">
        <f t="shared" si="177"/>
        <v>1.5488909894803951</v>
      </c>
      <c r="N1913">
        <f t="shared" si="178"/>
        <v>0</v>
      </c>
      <c r="O1913">
        <f t="shared" si="179"/>
        <v>0</v>
      </c>
      <c r="P1913">
        <f t="shared" si="176"/>
        <v>5800</v>
      </c>
      <c r="Q1913">
        <f t="shared" si="180"/>
        <v>5800</v>
      </c>
      <c r="T1913" s="16">
        <f t="shared" si="181"/>
        <v>1.5488909894803948</v>
      </c>
    </row>
    <row r="1914" spans="7:20" ht="14.4" x14ac:dyDescent="0.25">
      <c r="G1914" s="10">
        <v>4810</v>
      </c>
      <c r="H1914" s="9">
        <v>34209</v>
      </c>
      <c r="I1914" s="14">
        <f>DATE(2012,12,31)-860</f>
        <v>40414</v>
      </c>
      <c r="J1914" s="15" t="s">
        <v>17</v>
      </c>
      <c r="K1914" s="9">
        <v>29</v>
      </c>
      <c r="L1914" s="16" t="s">
        <v>26</v>
      </c>
      <c r="M1914" s="16">
        <f t="shared" si="177"/>
        <v>0.23675523371518786</v>
      </c>
      <c r="N1914">
        <f t="shared" si="178"/>
        <v>0</v>
      </c>
      <c r="O1914">
        <f t="shared" si="179"/>
        <v>0</v>
      </c>
      <c r="P1914">
        <f t="shared" si="176"/>
        <v>4850</v>
      </c>
      <c r="Q1914">
        <f t="shared" si="180"/>
        <v>4850</v>
      </c>
      <c r="T1914" s="16">
        <f t="shared" si="181"/>
        <v>0.2367552337151875</v>
      </c>
    </row>
    <row r="1915" spans="7:20" ht="14.4" x14ac:dyDescent="0.25">
      <c r="G1915" s="10">
        <v>5176</v>
      </c>
      <c r="H1915" s="9">
        <v>36807</v>
      </c>
      <c r="I1915" s="14">
        <f>DATE(2012,12,31)-1386</f>
        <v>39888</v>
      </c>
      <c r="J1915" s="15" t="s">
        <v>16</v>
      </c>
      <c r="K1915" s="9">
        <v>14</v>
      </c>
      <c r="L1915" s="16" t="s">
        <v>26</v>
      </c>
      <c r="M1915" s="16">
        <f t="shared" si="177"/>
        <v>-0.79914141557313367</v>
      </c>
      <c r="N1915">
        <f t="shared" si="178"/>
        <v>0</v>
      </c>
      <c r="O1915">
        <f t="shared" si="179"/>
        <v>0</v>
      </c>
      <c r="P1915">
        <f t="shared" si="176"/>
        <v>4100</v>
      </c>
      <c r="Q1915">
        <f t="shared" si="180"/>
        <v>4100</v>
      </c>
      <c r="T1915" s="16">
        <f t="shared" si="181"/>
        <v>-0.79914141557313401</v>
      </c>
    </row>
    <row r="1916" spans="7:20" ht="14.4" x14ac:dyDescent="0.25">
      <c r="G1916" s="10">
        <v>5247</v>
      </c>
      <c r="H1916" s="9">
        <v>37318</v>
      </c>
      <c r="I1916" s="14">
        <f>DATE(2012,12,31)-991</f>
        <v>40283</v>
      </c>
      <c r="J1916" s="15" t="s">
        <v>16</v>
      </c>
      <c r="K1916" s="9">
        <v>32</v>
      </c>
      <c r="L1916" s="16" t="s">
        <v>29</v>
      </c>
      <c r="M1916" s="16">
        <f t="shared" si="177"/>
        <v>0.44393456357285216</v>
      </c>
      <c r="N1916">
        <f t="shared" si="178"/>
        <v>0</v>
      </c>
      <c r="O1916">
        <f t="shared" si="179"/>
        <v>0</v>
      </c>
      <c r="P1916">
        <f t="shared" si="176"/>
        <v>5000</v>
      </c>
      <c r="Q1916">
        <f t="shared" si="180"/>
        <v>5000</v>
      </c>
      <c r="T1916" s="16">
        <f t="shared" si="181"/>
        <v>0.44393456357285183</v>
      </c>
    </row>
    <row r="1917" spans="7:20" ht="14.4" x14ac:dyDescent="0.25">
      <c r="G1917" s="10">
        <v>5412</v>
      </c>
      <c r="H1917" s="9">
        <v>38496</v>
      </c>
      <c r="I1917" s="14">
        <f>DATE(2012,12,31)-1045</f>
        <v>40229</v>
      </c>
      <c r="J1917" s="15" t="s">
        <v>30</v>
      </c>
      <c r="K1917" s="9">
        <v>23</v>
      </c>
      <c r="L1917" s="16" t="s">
        <v>26</v>
      </c>
      <c r="M1917" s="16">
        <f t="shared" si="177"/>
        <v>-0.17760342600014073</v>
      </c>
      <c r="N1917">
        <f t="shared" si="178"/>
        <v>0</v>
      </c>
      <c r="O1917">
        <f t="shared" si="179"/>
        <v>0</v>
      </c>
      <c r="P1917">
        <f t="shared" si="176"/>
        <v>4550</v>
      </c>
      <c r="Q1917">
        <f t="shared" si="180"/>
        <v>4550</v>
      </c>
      <c r="T1917" s="16">
        <f t="shared" si="181"/>
        <v>-0.17760342600014112</v>
      </c>
    </row>
    <row r="1918" spans="7:20" ht="14.4" x14ac:dyDescent="0.25">
      <c r="G1918" s="10">
        <v>5878</v>
      </c>
      <c r="H1918" s="9">
        <v>41702</v>
      </c>
      <c r="I1918" s="14">
        <f>DATE(2012,12,31)-740</f>
        <v>40534</v>
      </c>
      <c r="J1918" s="15" t="s">
        <v>28</v>
      </c>
      <c r="K1918" s="9">
        <v>21</v>
      </c>
      <c r="L1918" s="16" t="s">
        <v>27</v>
      </c>
      <c r="M1918" s="16">
        <f t="shared" si="177"/>
        <v>-0.31572297923858361</v>
      </c>
      <c r="N1918">
        <f t="shared" si="178"/>
        <v>0</v>
      </c>
      <c r="O1918">
        <f t="shared" si="179"/>
        <v>0</v>
      </c>
      <c r="P1918">
        <f t="shared" si="176"/>
        <v>4450</v>
      </c>
      <c r="Q1918">
        <f t="shared" si="180"/>
        <v>4450</v>
      </c>
      <c r="T1918" s="16">
        <f t="shared" si="181"/>
        <v>-0.315722979238584</v>
      </c>
    </row>
    <row r="1919" spans="7:20" ht="14.4" x14ac:dyDescent="0.25">
      <c r="G1919" s="10">
        <v>5879</v>
      </c>
      <c r="H1919" s="9">
        <v>41702</v>
      </c>
      <c r="I1919" s="14">
        <f>DATE(2012,12,31)-740</f>
        <v>40534</v>
      </c>
      <c r="J1919" s="15" t="s">
        <v>28</v>
      </c>
      <c r="K1919" s="9">
        <v>5</v>
      </c>
      <c r="L1919" s="16" t="s">
        <v>26</v>
      </c>
      <c r="M1919" s="16">
        <f t="shared" si="177"/>
        <v>-1.4206794051461267</v>
      </c>
      <c r="N1919">
        <f t="shared" si="178"/>
        <v>0</v>
      </c>
      <c r="O1919">
        <f t="shared" si="179"/>
        <v>0</v>
      </c>
      <c r="P1919">
        <f t="shared" si="176"/>
        <v>3650</v>
      </c>
      <c r="Q1919">
        <f t="shared" si="180"/>
        <v>3650</v>
      </c>
      <c r="T1919" s="16">
        <f t="shared" si="181"/>
        <v>-1.4206794051461269</v>
      </c>
    </row>
    <row r="1920" spans="7:20" ht="14.4" x14ac:dyDescent="0.25">
      <c r="G1920" s="10">
        <v>6317</v>
      </c>
      <c r="H1920" s="9">
        <v>44706</v>
      </c>
      <c r="I1920" s="14">
        <f>DATE(2012,12,31)-1007</f>
        <v>40267</v>
      </c>
      <c r="J1920" s="15" t="s">
        <v>25</v>
      </c>
      <c r="K1920" s="9">
        <v>18</v>
      </c>
      <c r="L1920" s="16" t="s">
        <v>29</v>
      </c>
      <c r="M1920" s="16">
        <f t="shared" si="177"/>
        <v>-0.52290230909624791</v>
      </c>
      <c r="N1920">
        <f t="shared" si="178"/>
        <v>0</v>
      </c>
      <c r="O1920">
        <f t="shared" si="179"/>
        <v>0</v>
      </c>
      <c r="P1920">
        <f t="shared" si="176"/>
        <v>4300</v>
      </c>
      <c r="Q1920">
        <f t="shared" si="180"/>
        <v>4300</v>
      </c>
      <c r="T1920" s="16">
        <f t="shared" si="181"/>
        <v>-0.52290230909624835</v>
      </c>
    </row>
    <row r="1921" spans="7:20" ht="14.4" x14ac:dyDescent="0.25">
      <c r="G1921" s="10">
        <v>6318</v>
      </c>
      <c r="H1921" s="9">
        <v>44706</v>
      </c>
      <c r="I1921" s="14">
        <f>DATE(2012,12,31)-1007</f>
        <v>40267</v>
      </c>
      <c r="J1921" s="15" t="s">
        <v>25</v>
      </c>
      <c r="K1921" s="9">
        <v>33</v>
      </c>
      <c r="L1921" s="16" t="s">
        <v>26</v>
      </c>
      <c r="M1921" s="16">
        <f t="shared" si="177"/>
        <v>0.51299434019207357</v>
      </c>
      <c r="N1921">
        <f t="shared" si="178"/>
        <v>0</v>
      </c>
      <c r="O1921">
        <f t="shared" si="179"/>
        <v>0</v>
      </c>
      <c r="P1921">
        <f t="shared" si="176"/>
        <v>5050</v>
      </c>
      <c r="Q1921">
        <f t="shared" si="180"/>
        <v>5050</v>
      </c>
      <c r="T1921" s="16">
        <f t="shared" si="181"/>
        <v>0.51299434019207324</v>
      </c>
    </row>
    <row r="1922" spans="7:20" ht="14.4" x14ac:dyDescent="0.25">
      <c r="G1922" s="10">
        <v>6383</v>
      </c>
      <c r="H1922" s="9">
        <v>45347</v>
      </c>
      <c r="I1922" s="14">
        <f>DATE(2012,12,31)-824</f>
        <v>40450</v>
      </c>
      <c r="J1922" s="15" t="s">
        <v>16</v>
      </c>
      <c r="K1922" s="9">
        <v>10</v>
      </c>
      <c r="L1922" s="16" t="s">
        <v>29</v>
      </c>
      <c r="M1922" s="16">
        <f t="shared" si="177"/>
        <v>-1.0753805220500194</v>
      </c>
      <c r="N1922">
        <f t="shared" si="178"/>
        <v>0</v>
      </c>
      <c r="O1922">
        <f t="shared" si="179"/>
        <v>0</v>
      </c>
      <c r="P1922">
        <f t="shared" si="176"/>
        <v>3900</v>
      </c>
      <c r="Q1922">
        <f t="shared" si="180"/>
        <v>3900</v>
      </c>
      <c r="T1922" s="16">
        <f t="shared" si="181"/>
        <v>-1.0753805220500199</v>
      </c>
    </row>
    <row r="1923" spans="7:20" ht="14.4" x14ac:dyDescent="0.25">
      <c r="G1923" s="10">
        <v>6384</v>
      </c>
      <c r="H1923" s="9">
        <v>45347</v>
      </c>
      <c r="I1923" s="14">
        <f>DATE(2012,12,31)-824</f>
        <v>40450</v>
      </c>
      <c r="J1923" s="15" t="s">
        <v>16</v>
      </c>
      <c r="K1923" s="9">
        <v>41</v>
      </c>
      <c r="L1923" s="16" t="s">
        <v>27</v>
      </c>
      <c r="M1923" s="16">
        <f t="shared" si="177"/>
        <v>1.0654725531458451</v>
      </c>
      <c r="N1923">
        <f t="shared" si="178"/>
        <v>0</v>
      </c>
      <c r="O1923">
        <f t="shared" si="179"/>
        <v>0</v>
      </c>
      <c r="P1923">
        <f t="shared" si="176"/>
        <v>5450</v>
      </c>
      <c r="Q1923">
        <f t="shared" si="180"/>
        <v>5450</v>
      </c>
      <c r="T1923" s="16">
        <f t="shared" si="181"/>
        <v>1.0654725531458447</v>
      </c>
    </row>
    <row r="1924" spans="7:20" ht="14.4" x14ac:dyDescent="0.25">
      <c r="G1924" s="10">
        <v>6559</v>
      </c>
      <c r="H1924" s="9">
        <v>46627</v>
      </c>
      <c r="I1924" s="14">
        <f>DATE(2012,12,31)-1299</f>
        <v>39975</v>
      </c>
      <c r="J1924" s="15" t="s">
        <v>30</v>
      </c>
      <c r="K1924" s="9">
        <v>3</v>
      </c>
      <c r="L1924" s="16" t="s">
        <v>26</v>
      </c>
      <c r="M1924" s="16">
        <f t="shared" si="177"/>
        <v>-1.5587989583845694</v>
      </c>
      <c r="N1924">
        <f t="shared" si="178"/>
        <v>0</v>
      </c>
      <c r="O1924">
        <f t="shared" si="179"/>
        <v>0</v>
      </c>
      <c r="P1924">
        <f t="shared" si="176"/>
        <v>3550</v>
      </c>
      <c r="Q1924">
        <f t="shared" si="180"/>
        <v>3550</v>
      </c>
      <c r="T1924" s="16">
        <f t="shared" si="181"/>
        <v>-1.5587989583845698</v>
      </c>
    </row>
    <row r="1925" spans="7:20" ht="14.4" x14ac:dyDescent="0.25">
      <c r="G1925" s="10">
        <v>6560</v>
      </c>
      <c r="H1925" s="9">
        <v>46627</v>
      </c>
      <c r="I1925" s="14">
        <f>DATE(2012,12,31)-1299</f>
        <v>39975</v>
      </c>
      <c r="J1925" s="15" t="s">
        <v>30</v>
      </c>
      <c r="K1925" s="9">
        <v>24</v>
      </c>
      <c r="L1925" s="16" t="s">
        <v>27</v>
      </c>
      <c r="M1925" s="16">
        <f t="shared" si="177"/>
        <v>-0.1085436493809193</v>
      </c>
      <c r="N1925">
        <f t="shared" si="178"/>
        <v>0</v>
      </c>
      <c r="O1925">
        <f t="shared" si="179"/>
        <v>0</v>
      </c>
      <c r="P1925">
        <f t="shared" si="176"/>
        <v>4600</v>
      </c>
      <c r="Q1925">
        <f t="shared" si="180"/>
        <v>4600</v>
      </c>
      <c r="T1925" s="16">
        <f t="shared" si="181"/>
        <v>-0.10854364938091969</v>
      </c>
    </row>
    <row r="1926" spans="7:20" ht="14.4" x14ac:dyDescent="0.25">
      <c r="G1926" s="10">
        <v>6628</v>
      </c>
      <c r="H1926" s="9">
        <v>47168</v>
      </c>
      <c r="I1926" s="14">
        <f>DATE(2012,12,31)-1289</f>
        <v>39985</v>
      </c>
      <c r="J1926" s="15" t="s">
        <v>28</v>
      </c>
      <c r="K1926" s="9">
        <v>24</v>
      </c>
      <c r="L1926" s="16" t="s">
        <v>27</v>
      </c>
      <c r="M1926" s="16">
        <f t="shared" si="177"/>
        <v>-0.1085436493809193</v>
      </c>
      <c r="N1926">
        <f t="shared" si="178"/>
        <v>0</v>
      </c>
      <c r="O1926">
        <f t="shared" si="179"/>
        <v>0</v>
      </c>
      <c r="P1926">
        <f t="shared" si="176"/>
        <v>4600</v>
      </c>
      <c r="Q1926">
        <f t="shared" si="180"/>
        <v>4600</v>
      </c>
      <c r="T1926" s="16">
        <f t="shared" si="181"/>
        <v>-0.10854364938091969</v>
      </c>
    </row>
    <row r="1927" spans="7:20" ht="14.4" x14ac:dyDescent="0.25">
      <c r="G1927" s="10">
        <v>6629</v>
      </c>
      <c r="H1927" s="9">
        <v>47168</v>
      </c>
      <c r="I1927" s="14">
        <f>DATE(2012,12,31)-1289</f>
        <v>39985</v>
      </c>
      <c r="J1927" s="15" t="s">
        <v>28</v>
      </c>
      <c r="K1927" s="9">
        <v>42</v>
      </c>
      <c r="L1927" s="16" t="s">
        <v>26</v>
      </c>
      <c r="M1927" s="16">
        <f t="shared" si="177"/>
        <v>1.1345323297650665</v>
      </c>
      <c r="N1927">
        <f t="shared" si="178"/>
        <v>0</v>
      </c>
      <c r="O1927">
        <f t="shared" si="179"/>
        <v>0</v>
      </c>
      <c r="P1927">
        <f t="shared" si="176"/>
        <v>5500</v>
      </c>
      <c r="Q1927">
        <f t="shared" si="180"/>
        <v>5500</v>
      </c>
      <c r="T1927" s="16">
        <f t="shared" si="181"/>
        <v>1.1345323297650662</v>
      </c>
    </row>
    <row r="1928" spans="7:20" ht="14.4" x14ac:dyDescent="0.25">
      <c r="G1928" s="10">
        <v>7011</v>
      </c>
      <c r="H1928" s="9">
        <v>50051</v>
      </c>
      <c r="I1928" s="14">
        <f>DATE(2012,12,31)-1184</f>
        <v>40090</v>
      </c>
      <c r="J1928" s="15" t="s">
        <v>16</v>
      </c>
      <c r="K1928" s="9">
        <v>17</v>
      </c>
      <c r="L1928" s="16" t="s">
        <v>26</v>
      </c>
      <c r="M1928" s="16">
        <f t="shared" si="177"/>
        <v>-0.59196208571546938</v>
      </c>
      <c r="N1928">
        <f t="shared" si="178"/>
        <v>0</v>
      </c>
      <c r="O1928">
        <f t="shared" si="179"/>
        <v>0</v>
      </c>
      <c r="P1928">
        <f t="shared" si="176"/>
        <v>4250</v>
      </c>
      <c r="Q1928">
        <f t="shared" si="180"/>
        <v>4250</v>
      </c>
      <c r="T1928" s="16">
        <f t="shared" si="181"/>
        <v>-0.59196208571546971</v>
      </c>
    </row>
    <row r="1929" spans="7:20" ht="14.4" x14ac:dyDescent="0.25">
      <c r="G1929" s="10">
        <v>7012</v>
      </c>
      <c r="H1929" s="9">
        <v>50051</v>
      </c>
      <c r="I1929" s="14">
        <f>DATE(2012,12,31)-1184</f>
        <v>40090</v>
      </c>
      <c r="J1929" s="15" t="s">
        <v>16</v>
      </c>
      <c r="K1929" s="9">
        <v>4</v>
      </c>
      <c r="L1929" s="16" t="s">
        <v>29</v>
      </c>
      <c r="M1929" s="16">
        <f t="shared" si="177"/>
        <v>-1.489739181765348</v>
      </c>
      <c r="N1929">
        <f t="shared" si="178"/>
        <v>0</v>
      </c>
      <c r="O1929">
        <f t="shared" si="179"/>
        <v>0</v>
      </c>
      <c r="P1929">
        <f t="shared" si="176"/>
        <v>3600</v>
      </c>
      <c r="Q1929">
        <f t="shared" si="180"/>
        <v>3600</v>
      </c>
      <c r="T1929" s="16">
        <f t="shared" si="181"/>
        <v>-1.4897391817653485</v>
      </c>
    </row>
    <row r="1930" spans="7:20" ht="14.4" x14ac:dyDescent="0.25">
      <c r="G1930" s="10">
        <v>7068</v>
      </c>
      <c r="H1930" s="9">
        <v>50433</v>
      </c>
      <c r="I1930" s="14">
        <f>DATE(2012,12,31)-347</f>
        <v>40927</v>
      </c>
      <c r="J1930" s="15" t="s">
        <v>30</v>
      </c>
      <c r="K1930" s="9">
        <v>50</v>
      </c>
      <c r="L1930" s="16" t="s">
        <v>27</v>
      </c>
      <c r="M1930" s="16">
        <f t="shared" si="177"/>
        <v>1.687010542718838</v>
      </c>
      <c r="N1930">
        <f t="shared" si="178"/>
        <v>0</v>
      </c>
      <c r="O1930">
        <f t="shared" si="179"/>
        <v>0</v>
      </c>
      <c r="P1930">
        <f t="shared" si="176"/>
        <v>5900</v>
      </c>
      <c r="Q1930">
        <f t="shared" si="180"/>
        <v>5900</v>
      </c>
      <c r="T1930" s="16">
        <f t="shared" si="181"/>
        <v>1.6870105427188375</v>
      </c>
    </row>
    <row r="1931" spans="7:20" ht="14.4" x14ac:dyDescent="0.25">
      <c r="G1931" s="10">
        <v>7106</v>
      </c>
      <c r="H1931" s="9">
        <v>50721</v>
      </c>
      <c r="I1931" s="14">
        <f>DATE(2012,12,31)-308</f>
        <v>40966</v>
      </c>
      <c r="J1931" s="15" t="s">
        <v>17</v>
      </c>
      <c r="K1931" s="9">
        <v>33</v>
      </c>
      <c r="L1931" s="16" t="s">
        <v>26</v>
      </c>
      <c r="M1931" s="16">
        <f t="shared" si="177"/>
        <v>0.51299434019207357</v>
      </c>
      <c r="N1931">
        <f t="shared" si="178"/>
        <v>0</v>
      </c>
      <c r="O1931">
        <f t="shared" si="179"/>
        <v>0</v>
      </c>
      <c r="P1931">
        <f t="shared" si="176"/>
        <v>5050</v>
      </c>
      <c r="Q1931">
        <f t="shared" si="180"/>
        <v>5050</v>
      </c>
      <c r="T1931" s="16">
        <f t="shared" si="181"/>
        <v>0.51299434019207324</v>
      </c>
    </row>
    <row r="1932" spans="7:20" ht="14.4" x14ac:dyDescent="0.25">
      <c r="G1932" s="10">
        <v>7114</v>
      </c>
      <c r="H1932" s="9">
        <v>50758</v>
      </c>
      <c r="I1932" s="14">
        <f>DATE(2012,12,31)-172</f>
        <v>41102</v>
      </c>
      <c r="J1932" s="15" t="s">
        <v>16</v>
      </c>
      <c r="K1932" s="9">
        <v>17</v>
      </c>
      <c r="L1932" s="16" t="s">
        <v>26</v>
      </c>
      <c r="M1932" s="16">
        <f t="shared" si="177"/>
        <v>-0.59196208571546938</v>
      </c>
      <c r="N1932">
        <f t="shared" si="178"/>
        <v>0</v>
      </c>
      <c r="O1932">
        <f t="shared" si="179"/>
        <v>0</v>
      </c>
      <c r="P1932">
        <f t="shared" ref="P1932:P1995" si="182">50*K1932+$P$10</f>
        <v>4250</v>
      </c>
      <c r="Q1932">
        <f t="shared" si="180"/>
        <v>4250</v>
      </c>
      <c r="T1932" s="16">
        <f t="shared" si="181"/>
        <v>-0.59196208571546971</v>
      </c>
    </row>
    <row r="1933" spans="7:20" ht="14.4" x14ac:dyDescent="0.25">
      <c r="G1933" s="10">
        <v>7135</v>
      </c>
      <c r="H1933" s="9">
        <v>50883</v>
      </c>
      <c r="I1933" s="14">
        <f>DATE(2012,12,31)-213</f>
        <v>41061</v>
      </c>
      <c r="J1933" s="15" t="s">
        <v>25</v>
      </c>
      <c r="K1933" s="9">
        <v>35</v>
      </c>
      <c r="L1933" s="16" t="s">
        <v>29</v>
      </c>
      <c r="M1933" s="16">
        <f t="shared" ref="M1933:M1996" si="183">(K1933-$K$4)/$K$7</f>
        <v>0.65111389343051651</v>
      </c>
      <c r="N1933">
        <f t="shared" ref="N1933:N1996" si="184">IF(MOD($B$20+G1933,1000)=0,1,0)</f>
        <v>0</v>
      </c>
      <c r="O1933">
        <f t="shared" ref="O1933:O1996" si="185">+ROUND(N1933*(IF(K1933&lt;$K$4,-4.5,10.5)*$P$5),-2)</f>
        <v>0</v>
      </c>
      <c r="P1933">
        <f t="shared" si="182"/>
        <v>5150</v>
      </c>
      <c r="Q1933">
        <f t="shared" ref="Q1933:Q1996" si="186">P1933+O1933</f>
        <v>5150</v>
      </c>
      <c r="T1933" s="16">
        <f t="shared" ref="T1933:T1996" si="187">(Q1933-$P$4)/$P$5</f>
        <v>0.65111389343051607</v>
      </c>
    </row>
    <row r="1934" spans="7:20" ht="14.4" x14ac:dyDescent="0.25">
      <c r="G1934" s="10">
        <v>7219</v>
      </c>
      <c r="H1934" s="9">
        <v>51524</v>
      </c>
      <c r="I1934" s="14">
        <f>DATE(2012,12,31)-1023</f>
        <v>40251</v>
      </c>
      <c r="J1934" s="15" t="s">
        <v>16</v>
      </c>
      <c r="K1934" s="9">
        <v>16</v>
      </c>
      <c r="L1934" s="16" t="s">
        <v>26</v>
      </c>
      <c r="M1934" s="16">
        <f t="shared" si="183"/>
        <v>-0.66102186233469074</v>
      </c>
      <c r="N1934">
        <f t="shared" si="184"/>
        <v>0</v>
      </c>
      <c r="O1934">
        <f t="shared" si="185"/>
        <v>0</v>
      </c>
      <c r="P1934">
        <f t="shared" si="182"/>
        <v>4200</v>
      </c>
      <c r="Q1934">
        <f t="shared" si="186"/>
        <v>4200</v>
      </c>
      <c r="T1934" s="16">
        <f t="shared" si="187"/>
        <v>-0.66102186233469118</v>
      </c>
    </row>
    <row r="1935" spans="7:20" ht="14.4" x14ac:dyDescent="0.25">
      <c r="G1935" s="10">
        <v>7220</v>
      </c>
      <c r="H1935" s="9">
        <v>51524</v>
      </c>
      <c r="I1935" s="14">
        <f>DATE(2012,12,31)-1023</f>
        <v>40251</v>
      </c>
      <c r="J1935" s="15" t="s">
        <v>16</v>
      </c>
      <c r="K1935" s="9">
        <v>20</v>
      </c>
      <c r="L1935" s="16" t="s">
        <v>27</v>
      </c>
      <c r="M1935" s="16">
        <f t="shared" si="183"/>
        <v>-0.38478275585780503</v>
      </c>
      <c r="N1935">
        <f t="shared" si="184"/>
        <v>0</v>
      </c>
      <c r="O1935">
        <f t="shared" si="185"/>
        <v>0</v>
      </c>
      <c r="P1935">
        <f t="shared" si="182"/>
        <v>4400</v>
      </c>
      <c r="Q1935">
        <f t="shared" si="186"/>
        <v>4400</v>
      </c>
      <c r="T1935" s="16">
        <f t="shared" si="187"/>
        <v>-0.38478275585780541</v>
      </c>
    </row>
    <row r="1936" spans="7:20" ht="14.4" x14ac:dyDescent="0.25">
      <c r="G1936" s="10">
        <v>7345</v>
      </c>
      <c r="H1936" s="9">
        <v>52322</v>
      </c>
      <c r="I1936" s="14">
        <f>DATE(2012,12,31)-1063</f>
        <v>40211</v>
      </c>
      <c r="J1936" s="15" t="s">
        <v>25</v>
      </c>
      <c r="K1936" s="9">
        <v>1</v>
      </c>
      <c r="L1936" s="16" t="s">
        <v>26</v>
      </c>
      <c r="M1936" s="16">
        <f t="shared" si="183"/>
        <v>-1.6969185116230123</v>
      </c>
      <c r="N1936">
        <f t="shared" si="184"/>
        <v>0</v>
      </c>
      <c r="O1936">
        <f t="shared" si="185"/>
        <v>0</v>
      </c>
      <c r="P1936">
        <f t="shared" si="182"/>
        <v>3450</v>
      </c>
      <c r="Q1936">
        <f t="shared" si="186"/>
        <v>3450</v>
      </c>
      <c r="T1936" s="16">
        <f t="shared" si="187"/>
        <v>-1.6969185116230128</v>
      </c>
    </row>
    <row r="1937" spans="7:20" ht="14.4" x14ac:dyDescent="0.25">
      <c r="G1937" s="10">
        <v>7427</v>
      </c>
      <c r="H1937" s="9">
        <v>52932</v>
      </c>
      <c r="I1937" s="14">
        <f>DATE(2012,12,31)-233</f>
        <v>41041</v>
      </c>
      <c r="J1937" s="15" t="s">
        <v>25</v>
      </c>
      <c r="K1937" s="9">
        <v>3</v>
      </c>
      <c r="L1937" s="16" t="s">
        <v>26</v>
      </c>
      <c r="M1937" s="16">
        <f t="shared" si="183"/>
        <v>-1.5587989583845694</v>
      </c>
      <c r="N1937">
        <f t="shared" si="184"/>
        <v>0</v>
      </c>
      <c r="O1937">
        <f t="shared" si="185"/>
        <v>0</v>
      </c>
      <c r="P1937">
        <f t="shared" si="182"/>
        <v>3550</v>
      </c>
      <c r="Q1937">
        <f t="shared" si="186"/>
        <v>3550</v>
      </c>
      <c r="T1937" s="16">
        <f t="shared" si="187"/>
        <v>-1.5587989583845698</v>
      </c>
    </row>
    <row r="1938" spans="7:20" ht="14.4" x14ac:dyDescent="0.25">
      <c r="G1938" s="10">
        <v>7431</v>
      </c>
      <c r="H1938" s="9">
        <v>52995</v>
      </c>
      <c r="I1938" s="14">
        <f>DATE(2012,12,31)-291</f>
        <v>40983</v>
      </c>
      <c r="J1938" s="15" t="s">
        <v>28</v>
      </c>
      <c r="K1938" s="9">
        <v>8</v>
      </c>
      <c r="L1938" s="16" t="s">
        <v>26</v>
      </c>
      <c r="M1938" s="16">
        <f t="shared" si="183"/>
        <v>-1.2135000752884624</v>
      </c>
      <c r="N1938">
        <f t="shared" si="184"/>
        <v>0</v>
      </c>
      <c r="O1938">
        <f t="shared" si="185"/>
        <v>0</v>
      </c>
      <c r="P1938">
        <f t="shared" si="182"/>
        <v>3800</v>
      </c>
      <c r="Q1938">
        <f t="shared" si="186"/>
        <v>3800</v>
      </c>
      <c r="T1938" s="16">
        <f t="shared" si="187"/>
        <v>-1.2135000752884626</v>
      </c>
    </row>
    <row r="1939" spans="7:20" ht="14.4" x14ac:dyDescent="0.25">
      <c r="G1939" s="10">
        <v>7435</v>
      </c>
      <c r="H1939" s="9">
        <v>53024</v>
      </c>
      <c r="I1939" s="14">
        <f>DATE(2012,12,31)-233</f>
        <v>41041</v>
      </c>
      <c r="J1939" s="15" t="s">
        <v>28</v>
      </c>
      <c r="K1939" s="9">
        <v>9</v>
      </c>
      <c r="L1939" s="16" t="s">
        <v>29</v>
      </c>
      <c r="M1939" s="16">
        <f t="shared" si="183"/>
        <v>-1.1444402986692408</v>
      </c>
      <c r="N1939">
        <f t="shared" si="184"/>
        <v>0</v>
      </c>
      <c r="O1939">
        <f t="shared" si="185"/>
        <v>0</v>
      </c>
      <c r="P1939">
        <f t="shared" si="182"/>
        <v>3850</v>
      </c>
      <c r="Q1939">
        <f t="shared" si="186"/>
        <v>3850</v>
      </c>
      <c r="T1939" s="16">
        <f t="shared" si="187"/>
        <v>-1.1444402986692412</v>
      </c>
    </row>
    <row r="1940" spans="7:20" ht="14.4" x14ac:dyDescent="0.25">
      <c r="G1940" s="10">
        <v>7436</v>
      </c>
      <c r="H1940" s="9">
        <v>53024</v>
      </c>
      <c r="I1940" s="14">
        <f>DATE(2012,12,31)-233</f>
        <v>41041</v>
      </c>
      <c r="J1940" s="15" t="s">
        <v>28</v>
      </c>
      <c r="K1940" s="9">
        <v>46</v>
      </c>
      <c r="L1940" s="16" t="s">
        <v>27</v>
      </c>
      <c r="M1940" s="16">
        <f t="shared" si="183"/>
        <v>1.4107714362419523</v>
      </c>
      <c r="N1940">
        <f t="shared" si="184"/>
        <v>0</v>
      </c>
      <c r="O1940">
        <f t="shared" si="185"/>
        <v>0</v>
      </c>
      <c r="P1940">
        <f t="shared" si="182"/>
        <v>5700</v>
      </c>
      <c r="Q1940">
        <f t="shared" si="186"/>
        <v>5700</v>
      </c>
      <c r="T1940" s="16">
        <f t="shared" si="187"/>
        <v>1.4107714362419519</v>
      </c>
    </row>
    <row r="1941" spans="7:20" ht="14.4" x14ac:dyDescent="0.25">
      <c r="G1941" s="10">
        <v>7567</v>
      </c>
      <c r="H1941" s="9">
        <v>54145</v>
      </c>
      <c r="I1941" s="14">
        <f>DATE(2012,12,31)-1094</f>
        <v>40180</v>
      </c>
      <c r="J1941" s="15" t="s">
        <v>25</v>
      </c>
      <c r="K1941" s="9">
        <v>34</v>
      </c>
      <c r="L1941" s="16" t="s">
        <v>29</v>
      </c>
      <c r="M1941" s="16">
        <f t="shared" si="183"/>
        <v>0.58205411681129504</v>
      </c>
      <c r="N1941">
        <f t="shared" si="184"/>
        <v>0</v>
      </c>
      <c r="O1941">
        <f t="shared" si="185"/>
        <v>0</v>
      </c>
      <c r="P1941">
        <f t="shared" si="182"/>
        <v>5100</v>
      </c>
      <c r="Q1941">
        <f t="shared" si="186"/>
        <v>5100</v>
      </c>
      <c r="T1941" s="16">
        <f t="shared" si="187"/>
        <v>0.58205411681129471</v>
      </c>
    </row>
    <row r="1942" spans="7:20" ht="14.4" x14ac:dyDescent="0.25">
      <c r="G1942" s="10">
        <v>7804</v>
      </c>
      <c r="H1942" s="9">
        <v>55840</v>
      </c>
      <c r="I1942" s="14">
        <f>DATE(2012,12,31)-1232</f>
        <v>40042</v>
      </c>
      <c r="J1942" s="15" t="s">
        <v>16</v>
      </c>
      <c r="K1942" s="9">
        <v>11</v>
      </c>
      <c r="L1942" s="16" t="s">
        <v>26</v>
      </c>
      <c r="M1942" s="16">
        <f t="shared" si="183"/>
        <v>-1.0063207454307979</v>
      </c>
      <c r="N1942">
        <f t="shared" si="184"/>
        <v>0</v>
      </c>
      <c r="O1942">
        <f t="shared" si="185"/>
        <v>0</v>
      </c>
      <c r="P1942">
        <f t="shared" si="182"/>
        <v>3950</v>
      </c>
      <c r="Q1942">
        <f t="shared" si="186"/>
        <v>3950</v>
      </c>
      <c r="T1942" s="16">
        <f t="shared" si="187"/>
        <v>-1.0063207454307983</v>
      </c>
    </row>
    <row r="1943" spans="7:20" ht="14.4" x14ac:dyDescent="0.25">
      <c r="G1943" s="10">
        <v>7964</v>
      </c>
      <c r="H1943" s="9">
        <v>56930</v>
      </c>
      <c r="I1943" s="14">
        <f>DATE(2012,12,31)-136</f>
        <v>41138</v>
      </c>
      <c r="J1943" s="15" t="s">
        <v>25</v>
      </c>
      <c r="K1943" s="9">
        <v>10</v>
      </c>
      <c r="L1943" s="16" t="s">
        <v>26</v>
      </c>
      <c r="M1943" s="16">
        <f t="shared" si="183"/>
        <v>-1.0753805220500194</v>
      </c>
      <c r="N1943">
        <f t="shared" si="184"/>
        <v>0</v>
      </c>
      <c r="O1943">
        <f t="shared" si="185"/>
        <v>0</v>
      </c>
      <c r="P1943">
        <f t="shared" si="182"/>
        <v>3900</v>
      </c>
      <c r="Q1943">
        <f t="shared" si="186"/>
        <v>3900</v>
      </c>
      <c r="T1943" s="16">
        <f t="shared" si="187"/>
        <v>-1.0753805220500199</v>
      </c>
    </row>
    <row r="1944" spans="7:20" ht="14.4" x14ac:dyDescent="0.25">
      <c r="G1944" s="10">
        <v>8068</v>
      </c>
      <c r="H1944" s="9">
        <v>57570</v>
      </c>
      <c r="I1944" s="14">
        <f>DATE(2012,12,31)-94</f>
        <v>41180</v>
      </c>
      <c r="J1944" s="15" t="s">
        <v>17</v>
      </c>
      <c r="K1944" s="9">
        <v>27</v>
      </c>
      <c r="L1944" s="16" t="s">
        <v>29</v>
      </c>
      <c r="M1944" s="16">
        <f t="shared" si="183"/>
        <v>9.8635680476745008E-2</v>
      </c>
      <c r="N1944">
        <f t="shared" si="184"/>
        <v>0</v>
      </c>
      <c r="O1944">
        <f t="shared" si="185"/>
        <v>0</v>
      </c>
      <c r="P1944">
        <f t="shared" si="182"/>
        <v>4750</v>
      </c>
      <c r="Q1944">
        <f t="shared" si="186"/>
        <v>4750</v>
      </c>
      <c r="T1944" s="16">
        <f t="shared" si="187"/>
        <v>9.8635680476744619E-2</v>
      </c>
    </row>
    <row r="1945" spans="7:20" ht="14.4" x14ac:dyDescent="0.25">
      <c r="G1945" s="10">
        <v>8121</v>
      </c>
      <c r="H1945" s="9">
        <v>58051</v>
      </c>
      <c r="I1945" s="14">
        <f>DATE(2012,12,31)-286</f>
        <v>40988</v>
      </c>
      <c r="J1945" s="15" t="s">
        <v>17</v>
      </c>
      <c r="K1945" s="9">
        <v>6</v>
      </c>
      <c r="L1945" s="16" t="s">
        <v>27</v>
      </c>
      <c r="M1945" s="16">
        <f t="shared" si="183"/>
        <v>-1.3516196285269051</v>
      </c>
      <c r="N1945">
        <f t="shared" si="184"/>
        <v>0</v>
      </c>
      <c r="O1945">
        <f t="shared" si="185"/>
        <v>0</v>
      </c>
      <c r="P1945">
        <f t="shared" si="182"/>
        <v>3700</v>
      </c>
      <c r="Q1945">
        <f t="shared" si="186"/>
        <v>3700</v>
      </c>
      <c r="T1945" s="16">
        <f t="shared" si="187"/>
        <v>-1.3516196285269055</v>
      </c>
    </row>
    <row r="1946" spans="7:20" ht="14.4" x14ac:dyDescent="0.25">
      <c r="G1946" s="10">
        <v>8311</v>
      </c>
      <c r="H1946" s="9">
        <v>59392</v>
      </c>
      <c r="I1946" s="14">
        <f>DATE(2012,12,31)-919</f>
        <v>40355</v>
      </c>
      <c r="J1946" s="15" t="s">
        <v>16</v>
      </c>
      <c r="K1946" s="9">
        <v>19</v>
      </c>
      <c r="L1946" s="16" t="s">
        <v>27</v>
      </c>
      <c r="M1946" s="16">
        <f t="shared" si="183"/>
        <v>-0.45384253247702649</v>
      </c>
      <c r="N1946">
        <f t="shared" si="184"/>
        <v>0</v>
      </c>
      <c r="O1946">
        <f t="shared" si="185"/>
        <v>0</v>
      </c>
      <c r="P1946">
        <f t="shared" si="182"/>
        <v>4350</v>
      </c>
      <c r="Q1946">
        <f t="shared" si="186"/>
        <v>4350</v>
      </c>
      <c r="T1946" s="16">
        <f t="shared" si="187"/>
        <v>-0.45384253247702688</v>
      </c>
    </row>
    <row r="1947" spans="7:20" ht="14.4" x14ac:dyDescent="0.25">
      <c r="G1947" s="10">
        <v>8312</v>
      </c>
      <c r="H1947" s="9">
        <v>59392</v>
      </c>
      <c r="I1947" s="14">
        <f>DATE(2012,12,31)-919</f>
        <v>40355</v>
      </c>
      <c r="J1947" s="15" t="s">
        <v>16</v>
      </c>
      <c r="K1947" s="9">
        <v>45</v>
      </c>
      <c r="L1947" s="16" t="s">
        <v>27</v>
      </c>
      <c r="M1947" s="16">
        <f t="shared" si="183"/>
        <v>1.3417116596227308</v>
      </c>
      <c r="N1947">
        <f t="shared" si="184"/>
        <v>0</v>
      </c>
      <c r="O1947">
        <f t="shared" si="185"/>
        <v>0</v>
      </c>
      <c r="P1947">
        <f t="shared" si="182"/>
        <v>5650</v>
      </c>
      <c r="Q1947">
        <f t="shared" si="186"/>
        <v>5650</v>
      </c>
      <c r="T1947" s="16">
        <f t="shared" si="187"/>
        <v>1.3417116596227305</v>
      </c>
    </row>
    <row r="1948" spans="7:20" ht="14.4" x14ac:dyDescent="0.25">
      <c r="G1948" s="10">
        <v>461</v>
      </c>
      <c r="H1948" s="9">
        <v>3136</v>
      </c>
      <c r="I1948" s="14">
        <f>DATE(2012,12,31)-1240</f>
        <v>40034</v>
      </c>
      <c r="J1948" s="15" t="s">
        <v>28</v>
      </c>
      <c r="K1948" s="9">
        <v>8</v>
      </c>
      <c r="L1948" s="16" t="s">
        <v>26</v>
      </c>
      <c r="M1948" s="16">
        <f t="shared" si="183"/>
        <v>-1.2135000752884624</v>
      </c>
      <c r="N1948">
        <f t="shared" si="184"/>
        <v>0</v>
      </c>
      <c r="O1948">
        <f t="shared" si="185"/>
        <v>0</v>
      </c>
      <c r="P1948">
        <f t="shared" si="182"/>
        <v>3800</v>
      </c>
      <c r="Q1948">
        <f t="shared" si="186"/>
        <v>3800</v>
      </c>
      <c r="T1948" s="16">
        <f t="shared" si="187"/>
        <v>-1.2135000752884626</v>
      </c>
    </row>
    <row r="1949" spans="7:20" ht="14.4" x14ac:dyDescent="0.25">
      <c r="G1949" s="10">
        <v>534</v>
      </c>
      <c r="H1949" s="9">
        <v>3648</v>
      </c>
      <c r="I1949" s="14">
        <f>DATE(2012,12,31)-929</f>
        <v>40345</v>
      </c>
      <c r="J1949" s="15" t="s">
        <v>25</v>
      </c>
      <c r="K1949" s="9">
        <v>46</v>
      </c>
      <c r="L1949" s="16" t="s">
        <v>26</v>
      </c>
      <c r="M1949" s="16">
        <f t="shared" si="183"/>
        <v>1.4107714362419523</v>
      </c>
      <c r="N1949">
        <f t="shared" si="184"/>
        <v>0</v>
      </c>
      <c r="O1949">
        <f t="shared" si="185"/>
        <v>0</v>
      </c>
      <c r="P1949">
        <f t="shared" si="182"/>
        <v>5700</v>
      </c>
      <c r="Q1949">
        <f t="shared" si="186"/>
        <v>5700</v>
      </c>
      <c r="T1949" s="16">
        <f t="shared" si="187"/>
        <v>1.4107714362419519</v>
      </c>
    </row>
    <row r="1950" spans="7:20" ht="14.4" x14ac:dyDescent="0.25">
      <c r="G1950" s="10">
        <v>535</v>
      </c>
      <c r="H1950" s="9">
        <v>3648</v>
      </c>
      <c r="I1950" s="14">
        <f>DATE(2012,12,31)-929</f>
        <v>40345</v>
      </c>
      <c r="J1950" s="15" t="s">
        <v>25</v>
      </c>
      <c r="K1950" s="9">
        <v>34</v>
      </c>
      <c r="L1950" s="16" t="s">
        <v>27</v>
      </c>
      <c r="M1950" s="16">
        <f t="shared" si="183"/>
        <v>0.58205411681129504</v>
      </c>
      <c r="N1950">
        <f t="shared" si="184"/>
        <v>0</v>
      </c>
      <c r="O1950">
        <f t="shared" si="185"/>
        <v>0</v>
      </c>
      <c r="P1950">
        <f t="shared" si="182"/>
        <v>5100</v>
      </c>
      <c r="Q1950">
        <f t="shared" si="186"/>
        <v>5100</v>
      </c>
      <c r="T1950" s="16">
        <f t="shared" si="187"/>
        <v>0.58205411681129471</v>
      </c>
    </row>
    <row r="1951" spans="7:20" ht="14.4" x14ac:dyDescent="0.25">
      <c r="G1951" s="10">
        <v>870</v>
      </c>
      <c r="H1951" s="9">
        <v>6246</v>
      </c>
      <c r="I1951" s="14">
        <f>DATE(2012,12,31)-1167</f>
        <v>40107</v>
      </c>
      <c r="J1951" s="15" t="s">
        <v>28</v>
      </c>
      <c r="K1951" s="9">
        <v>13</v>
      </c>
      <c r="L1951" s="16" t="s">
        <v>26</v>
      </c>
      <c r="M1951" s="16">
        <f t="shared" si="183"/>
        <v>-0.86820119219235514</v>
      </c>
      <c r="N1951">
        <f t="shared" si="184"/>
        <v>0</v>
      </c>
      <c r="O1951">
        <f t="shared" si="185"/>
        <v>0</v>
      </c>
      <c r="P1951">
        <f t="shared" si="182"/>
        <v>4050</v>
      </c>
      <c r="Q1951">
        <f t="shared" si="186"/>
        <v>4050</v>
      </c>
      <c r="T1951" s="16">
        <f t="shared" si="187"/>
        <v>-0.86820119219235548</v>
      </c>
    </row>
    <row r="1952" spans="7:20" ht="14.4" x14ac:dyDescent="0.25">
      <c r="G1952" s="10">
        <v>1242</v>
      </c>
      <c r="H1952" s="9">
        <v>9028</v>
      </c>
      <c r="I1952" s="14">
        <f>DATE(2012,12,31)-741</f>
        <v>40533</v>
      </c>
      <c r="J1952" s="15" t="s">
        <v>25</v>
      </c>
      <c r="K1952" s="9">
        <v>48</v>
      </c>
      <c r="L1952" s="16" t="s">
        <v>27</v>
      </c>
      <c r="M1952" s="16">
        <f t="shared" si="183"/>
        <v>1.5488909894803951</v>
      </c>
      <c r="N1952">
        <f t="shared" si="184"/>
        <v>0</v>
      </c>
      <c r="O1952">
        <f t="shared" si="185"/>
        <v>0</v>
      </c>
      <c r="P1952">
        <f t="shared" si="182"/>
        <v>5800</v>
      </c>
      <c r="Q1952">
        <f t="shared" si="186"/>
        <v>5800</v>
      </c>
      <c r="T1952" s="16">
        <f t="shared" si="187"/>
        <v>1.5488909894803948</v>
      </c>
    </row>
    <row r="1953" spans="7:20" ht="14.4" x14ac:dyDescent="0.25">
      <c r="G1953" s="10">
        <v>1294</v>
      </c>
      <c r="H1953" s="9">
        <v>9478</v>
      </c>
      <c r="I1953" s="14">
        <f>DATE(2012,12,31)-1374</f>
        <v>39900</v>
      </c>
      <c r="J1953" s="15" t="s">
        <v>17</v>
      </c>
      <c r="K1953" s="9">
        <v>48</v>
      </c>
      <c r="L1953" s="16" t="s">
        <v>29</v>
      </c>
      <c r="M1953" s="16">
        <f t="shared" si="183"/>
        <v>1.5488909894803951</v>
      </c>
      <c r="N1953">
        <f t="shared" si="184"/>
        <v>0</v>
      </c>
      <c r="O1953">
        <f t="shared" si="185"/>
        <v>0</v>
      </c>
      <c r="P1953">
        <f t="shared" si="182"/>
        <v>5800</v>
      </c>
      <c r="Q1953">
        <f t="shared" si="186"/>
        <v>5800</v>
      </c>
      <c r="T1953" s="16">
        <f t="shared" si="187"/>
        <v>1.5488909894803948</v>
      </c>
    </row>
    <row r="1954" spans="7:20" ht="14.4" x14ac:dyDescent="0.25">
      <c r="G1954" s="10">
        <v>1295</v>
      </c>
      <c r="H1954" s="9">
        <v>9478</v>
      </c>
      <c r="I1954" s="14">
        <f>DATE(2012,12,31)-1374</f>
        <v>39900</v>
      </c>
      <c r="J1954" s="15" t="s">
        <v>17</v>
      </c>
      <c r="K1954" s="9">
        <v>48</v>
      </c>
      <c r="L1954" s="16" t="s">
        <v>26</v>
      </c>
      <c r="M1954" s="16">
        <f t="shared" si="183"/>
        <v>1.5488909894803951</v>
      </c>
      <c r="N1954">
        <f t="shared" si="184"/>
        <v>0</v>
      </c>
      <c r="O1954">
        <f t="shared" si="185"/>
        <v>0</v>
      </c>
      <c r="P1954">
        <f t="shared" si="182"/>
        <v>5800</v>
      </c>
      <c r="Q1954">
        <f t="shared" si="186"/>
        <v>5800</v>
      </c>
      <c r="T1954" s="16">
        <f t="shared" si="187"/>
        <v>1.5488909894803948</v>
      </c>
    </row>
    <row r="1955" spans="7:20" ht="14.4" x14ac:dyDescent="0.25">
      <c r="G1955" s="10">
        <v>1715</v>
      </c>
      <c r="H1955" s="9">
        <v>12323</v>
      </c>
      <c r="I1955" s="14">
        <f>DATE(2012,12,31)-639</f>
        <v>40635</v>
      </c>
      <c r="J1955" s="15" t="s">
        <v>28</v>
      </c>
      <c r="K1955" s="9">
        <v>32</v>
      </c>
      <c r="L1955" s="16" t="s">
        <v>26</v>
      </c>
      <c r="M1955" s="16">
        <f t="shared" si="183"/>
        <v>0.44393456357285216</v>
      </c>
      <c r="N1955">
        <f t="shared" si="184"/>
        <v>0</v>
      </c>
      <c r="O1955">
        <f t="shared" si="185"/>
        <v>0</v>
      </c>
      <c r="P1955">
        <f t="shared" si="182"/>
        <v>5000</v>
      </c>
      <c r="Q1955">
        <f t="shared" si="186"/>
        <v>5000</v>
      </c>
      <c r="T1955" s="16">
        <f t="shared" si="187"/>
        <v>0.44393456357285183</v>
      </c>
    </row>
    <row r="1956" spans="7:20" ht="14.4" x14ac:dyDescent="0.25">
      <c r="G1956" s="10">
        <v>1716</v>
      </c>
      <c r="H1956" s="9">
        <v>12323</v>
      </c>
      <c r="I1956" s="14">
        <f>DATE(2012,12,31)-639</f>
        <v>40635</v>
      </c>
      <c r="J1956" s="15" t="s">
        <v>28</v>
      </c>
      <c r="K1956" s="9">
        <v>4</v>
      </c>
      <c r="L1956" s="16" t="s">
        <v>29</v>
      </c>
      <c r="M1956" s="16">
        <f t="shared" si="183"/>
        <v>-1.489739181765348</v>
      </c>
      <c r="N1956">
        <f t="shared" si="184"/>
        <v>0</v>
      </c>
      <c r="O1956">
        <f t="shared" si="185"/>
        <v>0</v>
      </c>
      <c r="P1956">
        <f t="shared" si="182"/>
        <v>3600</v>
      </c>
      <c r="Q1956">
        <f t="shared" si="186"/>
        <v>3600</v>
      </c>
      <c r="T1956" s="16">
        <f t="shared" si="187"/>
        <v>-1.4897391817653485</v>
      </c>
    </row>
    <row r="1957" spans="7:20" ht="14.4" x14ac:dyDescent="0.25">
      <c r="G1957" s="10">
        <v>1934</v>
      </c>
      <c r="H1957" s="9">
        <v>13830</v>
      </c>
      <c r="I1957" s="14">
        <f>DATE(2012,12,31)-1106</f>
        <v>40168</v>
      </c>
      <c r="J1957" s="15" t="s">
        <v>17</v>
      </c>
      <c r="K1957" s="9">
        <v>27</v>
      </c>
      <c r="L1957" s="16" t="s">
        <v>26</v>
      </c>
      <c r="M1957" s="16">
        <f t="shared" si="183"/>
        <v>9.8635680476745008E-2</v>
      </c>
      <c r="N1957">
        <f t="shared" si="184"/>
        <v>0</v>
      </c>
      <c r="O1957">
        <f t="shared" si="185"/>
        <v>0</v>
      </c>
      <c r="P1957">
        <f t="shared" si="182"/>
        <v>4750</v>
      </c>
      <c r="Q1957">
        <f t="shared" si="186"/>
        <v>4750</v>
      </c>
      <c r="T1957" s="16">
        <f t="shared" si="187"/>
        <v>9.8635680476744619E-2</v>
      </c>
    </row>
    <row r="1958" spans="7:20" ht="14.4" x14ac:dyDescent="0.25">
      <c r="G1958" s="10">
        <v>2069</v>
      </c>
      <c r="H1958" s="9">
        <v>14791</v>
      </c>
      <c r="I1958" s="14">
        <f>DATE(2012,12,31)-1051</f>
        <v>40223</v>
      </c>
      <c r="J1958" s="15" t="s">
        <v>16</v>
      </c>
      <c r="K1958" s="9">
        <v>29</v>
      </c>
      <c r="L1958" s="16" t="s">
        <v>27</v>
      </c>
      <c r="M1958" s="16">
        <f t="shared" si="183"/>
        <v>0.23675523371518786</v>
      </c>
      <c r="N1958">
        <f t="shared" si="184"/>
        <v>0</v>
      </c>
      <c r="O1958">
        <f t="shared" si="185"/>
        <v>0</v>
      </c>
      <c r="P1958">
        <f t="shared" si="182"/>
        <v>4850</v>
      </c>
      <c r="Q1958">
        <f t="shared" si="186"/>
        <v>4850</v>
      </c>
      <c r="T1958" s="16">
        <f t="shared" si="187"/>
        <v>0.2367552337151875</v>
      </c>
    </row>
    <row r="1959" spans="7:20" ht="14.4" x14ac:dyDescent="0.25">
      <c r="G1959" s="10">
        <v>2484</v>
      </c>
      <c r="H1959" s="9">
        <v>18085</v>
      </c>
      <c r="I1959" s="14">
        <f>DATE(2012,12,31)-463</f>
        <v>40811</v>
      </c>
      <c r="J1959" s="15" t="s">
        <v>17</v>
      </c>
      <c r="K1959" s="9">
        <v>23</v>
      </c>
      <c r="L1959" s="16" t="s">
        <v>29</v>
      </c>
      <c r="M1959" s="16">
        <f t="shared" si="183"/>
        <v>-0.17760342600014073</v>
      </c>
      <c r="N1959">
        <f t="shared" si="184"/>
        <v>0</v>
      </c>
      <c r="O1959">
        <f t="shared" si="185"/>
        <v>0</v>
      </c>
      <c r="P1959">
        <f t="shared" si="182"/>
        <v>4550</v>
      </c>
      <c r="Q1959">
        <f t="shared" si="186"/>
        <v>4550</v>
      </c>
      <c r="T1959" s="16">
        <f t="shared" si="187"/>
        <v>-0.17760342600014112</v>
      </c>
    </row>
    <row r="1960" spans="7:20" ht="14.4" x14ac:dyDescent="0.25">
      <c r="G1960" s="10">
        <v>2485</v>
      </c>
      <c r="H1960" s="9">
        <v>18085</v>
      </c>
      <c r="I1960" s="14">
        <f>DATE(2012,12,31)-463</f>
        <v>40811</v>
      </c>
      <c r="J1960" s="15" t="s">
        <v>17</v>
      </c>
      <c r="K1960" s="9">
        <v>33</v>
      </c>
      <c r="L1960" s="16" t="s">
        <v>27</v>
      </c>
      <c r="M1960" s="16">
        <f t="shared" si="183"/>
        <v>0.51299434019207357</v>
      </c>
      <c r="N1960">
        <f t="shared" si="184"/>
        <v>0</v>
      </c>
      <c r="O1960">
        <f t="shared" si="185"/>
        <v>0</v>
      </c>
      <c r="P1960">
        <f t="shared" si="182"/>
        <v>5050</v>
      </c>
      <c r="Q1960">
        <f t="shared" si="186"/>
        <v>5050</v>
      </c>
      <c r="T1960" s="16">
        <f t="shared" si="187"/>
        <v>0.51299434019207324</v>
      </c>
    </row>
    <row r="1961" spans="7:20" ht="14.4" x14ac:dyDescent="0.25">
      <c r="G1961" s="10">
        <v>2863</v>
      </c>
      <c r="H1961" s="9">
        <v>20674</v>
      </c>
      <c r="I1961" s="14">
        <f>DATE(2012,12,31)-754</f>
        <v>40520</v>
      </c>
      <c r="J1961" s="15" t="s">
        <v>17</v>
      </c>
      <c r="K1961" s="9">
        <v>37</v>
      </c>
      <c r="L1961" s="16" t="s">
        <v>27</v>
      </c>
      <c r="M1961" s="16">
        <f t="shared" si="183"/>
        <v>0.78923344666895934</v>
      </c>
      <c r="N1961">
        <f t="shared" si="184"/>
        <v>0</v>
      </c>
      <c r="O1961">
        <f t="shared" si="185"/>
        <v>0</v>
      </c>
      <c r="P1961">
        <f t="shared" si="182"/>
        <v>5250</v>
      </c>
      <c r="Q1961">
        <f t="shared" si="186"/>
        <v>5250</v>
      </c>
      <c r="T1961" s="16">
        <f t="shared" si="187"/>
        <v>0.789233446668959</v>
      </c>
    </row>
    <row r="1962" spans="7:20" ht="14.4" x14ac:dyDescent="0.25">
      <c r="G1962" s="10">
        <v>3496</v>
      </c>
      <c r="H1962" s="9">
        <v>24903</v>
      </c>
      <c r="I1962" s="14">
        <f>DATE(2012,12,31)-804</f>
        <v>40470</v>
      </c>
      <c r="J1962" s="15" t="s">
        <v>25</v>
      </c>
      <c r="K1962" s="9">
        <v>33</v>
      </c>
      <c r="L1962" s="16" t="s">
        <v>26</v>
      </c>
      <c r="M1962" s="16">
        <f t="shared" si="183"/>
        <v>0.51299434019207357</v>
      </c>
      <c r="N1962">
        <f t="shared" si="184"/>
        <v>0</v>
      </c>
      <c r="O1962">
        <f t="shared" si="185"/>
        <v>0</v>
      </c>
      <c r="P1962">
        <f t="shared" si="182"/>
        <v>5050</v>
      </c>
      <c r="Q1962">
        <f t="shared" si="186"/>
        <v>5050</v>
      </c>
      <c r="T1962" s="16">
        <f t="shared" si="187"/>
        <v>0.51299434019207324</v>
      </c>
    </row>
    <row r="1963" spans="7:20" ht="14.4" x14ac:dyDescent="0.25">
      <c r="G1963" s="10">
        <v>3603</v>
      </c>
      <c r="H1963" s="9">
        <v>25735</v>
      </c>
      <c r="I1963" s="14">
        <f>DATE(2012,12,31)-732</f>
        <v>40542</v>
      </c>
      <c r="J1963" s="15" t="s">
        <v>28</v>
      </c>
      <c r="K1963" s="9">
        <v>45</v>
      </c>
      <c r="L1963" s="16" t="s">
        <v>26</v>
      </c>
      <c r="M1963" s="16">
        <f t="shared" si="183"/>
        <v>1.3417116596227308</v>
      </c>
      <c r="N1963">
        <f t="shared" si="184"/>
        <v>0</v>
      </c>
      <c r="O1963">
        <f t="shared" si="185"/>
        <v>0</v>
      </c>
      <c r="P1963">
        <f t="shared" si="182"/>
        <v>5650</v>
      </c>
      <c r="Q1963">
        <f t="shared" si="186"/>
        <v>5650</v>
      </c>
      <c r="T1963" s="16">
        <f t="shared" si="187"/>
        <v>1.3417116596227305</v>
      </c>
    </row>
    <row r="1964" spans="7:20" ht="14.4" x14ac:dyDescent="0.25">
      <c r="G1964" s="10">
        <v>4188</v>
      </c>
      <c r="H1964" s="9">
        <v>29762</v>
      </c>
      <c r="I1964" s="14">
        <f>DATE(2012,12,31)-881</f>
        <v>40393</v>
      </c>
      <c r="J1964" s="15" t="s">
        <v>30</v>
      </c>
      <c r="K1964" s="9">
        <v>33</v>
      </c>
      <c r="L1964" s="16" t="s">
        <v>29</v>
      </c>
      <c r="M1964" s="16">
        <f t="shared" si="183"/>
        <v>0.51299434019207357</v>
      </c>
      <c r="N1964">
        <f t="shared" si="184"/>
        <v>0</v>
      </c>
      <c r="O1964">
        <f t="shared" si="185"/>
        <v>0</v>
      </c>
      <c r="P1964">
        <f t="shared" si="182"/>
        <v>5050</v>
      </c>
      <c r="Q1964">
        <f t="shared" si="186"/>
        <v>5050</v>
      </c>
      <c r="T1964" s="16">
        <f t="shared" si="187"/>
        <v>0.51299434019207324</v>
      </c>
    </row>
    <row r="1965" spans="7:20" ht="14.4" x14ac:dyDescent="0.25">
      <c r="G1965" s="10">
        <v>4199</v>
      </c>
      <c r="H1965" s="9">
        <v>29856</v>
      </c>
      <c r="I1965" s="14">
        <f>DATE(2012,12,31)-206</f>
        <v>41068</v>
      </c>
      <c r="J1965" s="15" t="s">
        <v>16</v>
      </c>
      <c r="K1965" s="9">
        <v>24</v>
      </c>
      <c r="L1965" s="16" t="s">
        <v>26</v>
      </c>
      <c r="M1965" s="16">
        <f t="shared" si="183"/>
        <v>-0.1085436493809193</v>
      </c>
      <c r="N1965">
        <f t="shared" si="184"/>
        <v>0</v>
      </c>
      <c r="O1965">
        <f t="shared" si="185"/>
        <v>0</v>
      </c>
      <c r="P1965">
        <f t="shared" si="182"/>
        <v>4600</v>
      </c>
      <c r="Q1965">
        <f t="shared" si="186"/>
        <v>4600</v>
      </c>
      <c r="T1965" s="16">
        <f t="shared" si="187"/>
        <v>-0.10854364938091969</v>
      </c>
    </row>
    <row r="1966" spans="7:20" ht="14.4" x14ac:dyDescent="0.25">
      <c r="G1966" s="10">
        <v>4574</v>
      </c>
      <c r="H1966" s="9">
        <v>32580</v>
      </c>
      <c r="I1966" s="14">
        <f>DATE(2012,12,31)-473</f>
        <v>40801</v>
      </c>
      <c r="J1966" s="15" t="s">
        <v>17</v>
      </c>
      <c r="K1966" s="9">
        <v>23</v>
      </c>
      <c r="L1966" s="16" t="s">
        <v>26</v>
      </c>
      <c r="M1966" s="16">
        <f t="shared" si="183"/>
        <v>-0.17760342600014073</v>
      </c>
      <c r="N1966">
        <f t="shared" si="184"/>
        <v>0</v>
      </c>
      <c r="O1966">
        <f t="shared" si="185"/>
        <v>0</v>
      </c>
      <c r="P1966">
        <f t="shared" si="182"/>
        <v>4550</v>
      </c>
      <c r="Q1966">
        <f t="shared" si="186"/>
        <v>4550</v>
      </c>
      <c r="T1966" s="16">
        <f t="shared" si="187"/>
        <v>-0.17760342600014112</v>
      </c>
    </row>
    <row r="1967" spans="7:20" ht="14.4" x14ac:dyDescent="0.25">
      <c r="G1967" s="10">
        <v>4575</v>
      </c>
      <c r="H1967" s="9">
        <v>32580</v>
      </c>
      <c r="I1967" s="14">
        <f>DATE(2012,12,31)-473</f>
        <v>40801</v>
      </c>
      <c r="J1967" s="15" t="s">
        <v>17</v>
      </c>
      <c r="K1967" s="9">
        <v>38</v>
      </c>
      <c r="L1967" s="16" t="s">
        <v>26</v>
      </c>
      <c r="M1967" s="16">
        <f t="shared" si="183"/>
        <v>0.85829322328818081</v>
      </c>
      <c r="N1967">
        <f t="shared" si="184"/>
        <v>0</v>
      </c>
      <c r="O1967">
        <f t="shared" si="185"/>
        <v>0</v>
      </c>
      <c r="P1967">
        <f t="shared" si="182"/>
        <v>5300</v>
      </c>
      <c r="Q1967">
        <f t="shared" si="186"/>
        <v>5300</v>
      </c>
      <c r="T1967" s="16">
        <f t="shared" si="187"/>
        <v>0.85829322328818036</v>
      </c>
    </row>
    <row r="1968" spans="7:20" ht="14.4" x14ac:dyDescent="0.25">
      <c r="G1968" s="10">
        <v>4788</v>
      </c>
      <c r="H1968" s="9">
        <v>34017</v>
      </c>
      <c r="I1968" s="14">
        <f>DATE(2012,12,31)-1379</f>
        <v>39895</v>
      </c>
      <c r="J1968" s="15" t="s">
        <v>17</v>
      </c>
      <c r="K1968" s="9">
        <v>20</v>
      </c>
      <c r="L1968" s="16" t="s">
        <v>26</v>
      </c>
      <c r="M1968" s="16">
        <f t="shared" si="183"/>
        <v>-0.38478275585780503</v>
      </c>
      <c r="N1968">
        <f t="shared" si="184"/>
        <v>0</v>
      </c>
      <c r="O1968">
        <f t="shared" si="185"/>
        <v>0</v>
      </c>
      <c r="P1968">
        <f t="shared" si="182"/>
        <v>4400</v>
      </c>
      <c r="Q1968">
        <f t="shared" si="186"/>
        <v>4400</v>
      </c>
      <c r="T1968" s="16">
        <f t="shared" si="187"/>
        <v>-0.38478275585780541</v>
      </c>
    </row>
    <row r="1969" spans="7:20" ht="14.4" x14ac:dyDescent="0.25">
      <c r="G1969" s="10">
        <v>4789</v>
      </c>
      <c r="H1969" s="9">
        <v>34017</v>
      </c>
      <c r="I1969" s="14">
        <f>DATE(2012,12,31)-1379</f>
        <v>39895</v>
      </c>
      <c r="J1969" s="15" t="s">
        <v>17</v>
      </c>
      <c r="K1969" s="9">
        <v>28</v>
      </c>
      <c r="L1969" s="16" t="s">
        <v>26</v>
      </c>
      <c r="M1969" s="16">
        <f t="shared" si="183"/>
        <v>0.16769545709596645</v>
      </c>
      <c r="N1969">
        <f t="shared" si="184"/>
        <v>0</v>
      </c>
      <c r="O1969">
        <f t="shared" si="185"/>
        <v>0</v>
      </c>
      <c r="P1969">
        <f t="shared" si="182"/>
        <v>4800</v>
      </c>
      <c r="Q1969">
        <f t="shared" si="186"/>
        <v>4800</v>
      </c>
      <c r="T1969" s="16">
        <f t="shared" si="187"/>
        <v>0.16769545709596606</v>
      </c>
    </row>
    <row r="1970" spans="7:20" ht="14.4" x14ac:dyDescent="0.25">
      <c r="G1970" s="10">
        <v>6013</v>
      </c>
      <c r="H1970" s="9">
        <v>42597</v>
      </c>
      <c r="I1970" s="14">
        <f>DATE(2012,12,31)-1012</f>
        <v>40262</v>
      </c>
      <c r="J1970" s="15" t="s">
        <v>16</v>
      </c>
      <c r="K1970" s="9">
        <v>5</v>
      </c>
      <c r="L1970" s="16" t="s">
        <v>27</v>
      </c>
      <c r="M1970" s="16">
        <f t="shared" si="183"/>
        <v>-1.4206794051461267</v>
      </c>
      <c r="N1970">
        <f t="shared" si="184"/>
        <v>0</v>
      </c>
      <c r="O1970">
        <f t="shared" si="185"/>
        <v>0</v>
      </c>
      <c r="P1970">
        <f t="shared" si="182"/>
        <v>3650</v>
      </c>
      <c r="Q1970">
        <f t="shared" si="186"/>
        <v>3650</v>
      </c>
      <c r="T1970" s="16">
        <f t="shared" si="187"/>
        <v>-1.4206794051461269</v>
      </c>
    </row>
    <row r="1971" spans="7:20" ht="14.4" x14ac:dyDescent="0.25">
      <c r="G1971" s="10">
        <v>6587</v>
      </c>
      <c r="H1971" s="9">
        <v>46884</v>
      </c>
      <c r="I1971" s="14">
        <f>DATE(2012,12,31)-1444</f>
        <v>39830</v>
      </c>
      <c r="J1971" s="15" t="s">
        <v>16</v>
      </c>
      <c r="K1971" s="9">
        <v>25</v>
      </c>
      <c r="L1971" s="16" t="s">
        <v>26</v>
      </c>
      <c r="M1971" s="16">
        <f t="shared" si="183"/>
        <v>-3.9483872761697868E-2</v>
      </c>
      <c r="N1971">
        <f t="shared" si="184"/>
        <v>0</v>
      </c>
      <c r="O1971">
        <f t="shared" si="185"/>
        <v>0</v>
      </c>
      <c r="P1971">
        <f t="shared" si="182"/>
        <v>4650</v>
      </c>
      <c r="Q1971">
        <f t="shared" si="186"/>
        <v>4650</v>
      </c>
      <c r="T1971" s="16">
        <f t="shared" si="187"/>
        <v>-3.9483872761698249E-2</v>
      </c>
    </row>
    <row r="1972" spans="7:20" ht="14.4" x14ac:dyDescent="0.25">
      <c r="G1972" s="10">
        <v>7347</v>
      </c>
      <c r="H1972" s="9">
        <v>52325</v>
      </c>
      <c r="I1972" s="14">
        <f>DATE(2012,12,31)-170</f>
        <v>41104</v>
      </c>
      <c r="J1972" s="15" t="s">
        <v>28</v>
      </c>
      <c r="K1972" s="9">
        <v>23</v>
      </c>
      <c r="L1972" s="16" t="s">
        <v>26</v>
      </c>
      <c r="M1972" s="16">
        <f t="shared" si="183"/>
        <v>-0.17760342600014073</v>
      </c>
      <c r="N1972">
        <f t="shared" si="184"/>
        <v>0</v>
      </c>
      <c r="O1972">
        <f t="shared" si="185"/>
        <v>0</v>
      </c>
      <c r="P1972">
        <f t="shared" si="182"/>
        <v>4550</v>
      </c>
      <c r="Q1972">
        <f t="shared" si="186"/>
        <v>4550</v>
      </c>
      <c r="T1972" s="16">
        <f t="shared" si="187"/>
        <v>-0.17760342600014112</v>
      </c>
    </row>
    <row r="1973" spans="7:20" ht="14.4" x14ac:dyDescent="0.25">
      <c r="G1973" s="10">
        <v>7478</v>
      </c>
      <c r="H1973" s="9">
        <v>53382</v>
      </c>
      <c r="I1973" s="14">
        <f>DATE(2012,12,31)-1100</f>
        <v>40174</v>
      </c>
      <c r="J1973" s="15" t="s">
        <v>28</v>
      </c>
      <c r="K1973" s="9">
        <v>13</v>
      </c>
      <c r="L1973" s="16" t="s">
        <v>26</v>
      </c>
      <c r="M1973" s="16">
        <f t="shared" si="183"/>
        <v>-0.86820119219235514</v>
      </c>
      <c r="N1973">
        <f t="shared" si="184"/>
        <v>0</v>
      </c>
      <c r="O1973">
        <f t="shared" si="185"/>
        <v>0</v>
      </c>
      <c r="P1973">
        <f t="shared" si="182"/>
        <v>4050</v>
      </c>
      <c r="Q1973">
        <f t="shared" si="186"/>
        <v>4050</v>
      </c>
      <c r="T1973" s="16">
        <f t="shared" si="187"/>
        <v>-0.86820119219235548</v>
      </c>
    </row>
    <row r="1974" spans="7:20" ht="14.4" x14ac:dyDescent="0.25">
      <c r="G1974" s="10">
        <v>7479</v>
      </c>
      <c r="H1974" s="9">
        <v>53382</v>
      </c>
      <c r="I1974" s="14">
        <f>DATE(2012,12,31)-1100</f>
        <v>40174</v>
      </c>
      <c r="J1974" s="15" t="s">
        <v>28</v>
      </c>
      <c r="K1974" s="9">
        <v>15</v>
      </c>
      <c r="L1974" s="16" t="s">
        <v>29</v>
      </c>
      <c r="M1974" s="16">
        <f t="shared" si="183"/>
        <v>-0.7300816389539122</v>
      </c>
      <c r="N1974">
        <f t="shared" si="184"/>
        <v>0</v>
      </c>
      <c r="O1974">
        <f t="shared" si="185"/>
        <v>0</v>
      </c>
      <c r="P1974">
        <f t="shared" si="182"/>
        <v>4150</v>
      </c>
      <c r="Q1974">
        <f t="shared" si="186"/>
        <v>4150</v>
      </c>
      <c r="T1974" s="16">
        <f t="shared" si="187"/>
        <v>-0.73008163895391265</v>
      </c>
    </row>
    <row r="1975" spans="7:20" ht="14.4" x14ac:dyDescent="0.25">
      <c r="G1975" s="10">
        <v>7523</v>
      </c>
      <c r="H1975" s="9">
        <v>53728</v>
      </c>
      <c r="I1975" s="14">
        <f>DATE(2012,12,31)-436</f>
        <v>40838</v>
      </c>
      <c r="J1975" s="15" t="s">
        <v>17</v>
      </c>
      <c r="K1975" s="9">
        <v>27</v>
      </c>
      <c r="L1975" s="16" t="s">
        <v>26</v>
      </c>
      <c r="M1975" s="16">
        <f t="shared" si="183"/>
        <v>9.8635680476745008E-2</v>
      </c>
      <c r="N1975">
        <f t="shared" si="184"/>
        <v>0</v>
      </c>
      <c r="O1975">
        <f t="shared" si="185"/>
        <v>0</v>
      </c>
      <c r="P1975">
        <f t="shared" si="182"/>
        <v>4750</v>
      </c>
      <c r="Q1975">
        <f t="shared" si="186"/>
        <v>4750</v>
      </c>
      <c r="T1975" s="16">
        <f t="shared" si="187"/>
        <v>9.8635680476744619E-2</v>
      </c>
    </row>
    <row r="1976" spans="7:20" ht="14.4" x14ac:dyDescent="0.25">
      <c r="G1976" s="10">
        <v>10</v>
      </c>
      <c r="H1976" s="9">
        <v>65</v>
      </c>
      <c r="I1976" s="14">
        <f>DATE(2012,12,31)-655</f>
        <v>40619</v>
      </c>
      <c r="J1976" s="15" t="s">
        <v>30</v>
      </c>
      <c r="K1976" s="9">
        <v>32</v>
      </c>
      <c r="L1976" s="16" t="s">
        <v>27</v>
      </c>
      <c r="M1976" s="16">
        <f t="shared" si="183"/>
        <v>0.44393456357285216</v>
      </c>
      <c r="N1976">
        <f t="shared" si="184"/>
        <v>0</v>
      </c>
      <c r="O1976">
        <f t="shared" si="185"/>
        <v>0</v>
      </c>
      <c r="P1976">
        <f t="shared" si="182"/>
        <v>5000</v>
      </c>
      <c r="Q1976">
        <f t="shared" si="186"/>
        <v>5000</v>
      </c>
      <c r="T1976" s="16">
        <f t="shared" si="187"/>
        <v>0.44393456357285183</v>
      </c>
    </row>
    <row r="1977" spans="7:20" ht="14.4" x14ac:dyDescent="0.25">
      <c r="G1977" s="10">
        <v>39</v>
      </c>
      <c r="H1977" s="9">
        <v>230</v>
      </c>
      <c r="I1977" s="14">
        <f>DATE(2012,12,31)-797</f>
        <v>40477</v>
      </c>
      <c r="J1977" s="15" t="s">
        <v>30</v>
      </c>
      <c r="K1977" s="9">
        <v>47</v>
      </c>
      <c r="L1977" s="16" t="s">
        <v>26</v>
      </c>
      <c r="M1977" s="16">
        <f t="shared" si="183"/>
        <v>1.4798312128611737</v>
      </c>
      <c r="N1977">
        <f t="shared" si="184"/>
        <v>0</v>
      </c>
      <c r="O1977">
        <f t="shared" si="185"/>
        <v>0</v>
      </c>
      <c r="P1977">
        <f t="shared" si="182"/>
        <v>5750</v>
      </c>
      <c r="Q1977">
        <f t="shared" si="186"/>
        <v>5750</v>
      </c>
      <c r="T1977" s="16">
        <f t="shared" si="187"/>
        <v>1.4798312128611733</v>
      </c>
    </row>
    <row r="1978" spans="7:20" ht="14.4" x14ac:dyDescent="0.25">
      <c r="G1978" s="10">
        <v>40</v>
      </c>
      <c r="H1978" s="9">
        <v>230</v>
      </c>
      <c r="I1978" s="14">
        <f>DATE(2012,12,31)-797</f>
        <v>40477</v>
      </c>
      <c r="J1978" s="15" t="s">
        <v>30</v>
      </c>
      <c r="K1978" s="9">
        <v>11</v>
      </c>
      <c r="L1978" s="16" t="s">
        <v>27</v>
      </c>
      <c r="M1978" s="16">
        <f t="shared" si="183"/>
        <v>-1.0063207454307979</v>
      </c>
      <c r="N1978">
        <f t="shared" si="184"/>
        <v>0</v>
      </c>
      <c r="O1978">
        <f t="shared" si="185"/>
        <v>0</v>
      </c>
      <c r="P1978">
        <f t="shared" si="182"/>
        <v>3950</v>
      </c>
      <c r="Q1978">
        <f t="shared" si="186"/>
        <v>3950</v>
      </c>
      <c r="T1978" s="16">
        <f t="shared" si="187"/>
        <v>-1.0063207454307983</v>
      </c>
    </row>
    <row r="1979" spans="7:20" ht="14.4" x14ac:dyDescent="0.25">
      <c r="G1979" s="10">
        <v>61</v>
      </c>
      <c r="H1979" s="9">
        <v>355</v>
      </c>
      <c r="I1979" s="14">
        <f>DATE(2012,12,31)-1297</f>
        <v>39977</v>
      </c>
      <c r="J1979" s="15" t="s">
        <v>25</v>
      </c>
      <c r="K1979" s="9">
        <v>16</v>
      </c>
      <c r="L1979" s="16" t="s">
        <v>27</v>
      </c>
      <c r="M1979" s="16">
        <f t="shared" si="183"/>
        <v>-0.66102186233469074</v>
      </c>
      <c r="N1979">
        <f t="shared" si="184"/>
        <v>0</v>
      </c>
      <c r="O1979">
        <f t="shared" si="185"/>
        <v>0</v>
      </c>
      <c r="P1979">
        <f t="shared" si="182"/>
        <v>4200</v>
      </c>
      <c r="Q1979">
        <f t="shared" si="186"/>
        <v>4200</v>
      </c>
      <c r="T1979" s="16">
        <f t="shared" si="187"/>
        <v>-0.66102186233469118</v>
      </c>
    </row>
    <row r="1980" spans="7:20" ht="14.4" x14ac:dyDescent="0.25">
      <c r="G1980" s="10">
        <v>75</v>
      </c>
      <c r="H1980" s="9">
        <v>449</v>
      </c>
      <c r="I1980" s="14">
        <f>DATE(2012,12,31)-531</f>
        <v>40743</v>
      </c>
      <c r="J1980" s="15" t="s">
        <v>17</v>
      </c>
      <c r="K1980" s="9">
        <v>45</v>
      </c>
      <c r="L1980" s="16" t="s">
        <v>29</v>
      </c>
      <c r="M1980" s="16">
        <f t="shared" si="183"/>
        <v>1.3417116596227308</v>
      </c>
      <c r="N1980">
        <f t="shared" si="184"/>
        <v>0</v>
      </c>
      <c r="O1980">
        <f t="shared" si="185"/>
        <v>0</v>
      </c>
      <c r="P1980">
        <f t="shared" si="182"/>
        <v>5650</v>
      </c>
      <c r="Q1980">
        <f t="shared" si="186"/>
        <v>5650</v>
      </c>
      <c r="T1980" s="16">
        <f t="shared" si="187"/>
        <v>1.3417116596227305</v>
      </c>
    </row>
    <row r="1981" spans="7:20" ht="14.4" x14ac:dyDescent="0.25">
      <c r="G1981" s="10">
        <v>101</v>
      </c>
      <c r="H1981" s="9">
        <v>640</v>
      </c>
      <c r="I1981" s="14">
        <f>DATE(2012,12,31)-1074</f>
        <v>40200</v>
      </c>
      <c r="J1981" s="15" t="s">
        <v>17</v>
      </c>
      <c r="K1981" s="9">
        <v>39</v>
      </c>
      <c r="L1981" s="16" t="s">
        <v>29</v>
      </c>
      <c r="M1981" s="16">
        <f t="shared" si="183"/>
        <v>0.92735299990740228</v>
      </c>
      <c r="N1981">
        <f t="shared" si="184"/>
        <v>0</v>
      </c>
      <c r="O1981">
        <f t="shared" si="185"/>
        <v>0</v>
      </c>
      <c r="P1981">
        <f t="shared" si="182"/>
        <v>5350</v>
      </c>
      <c r="Q1981">
        <f t="shared" si="186"/>
        <v>5350</v>
      </c>
      <c r="T1981" s="16">
        <f t="shared" si="187"/>
        <v>0.92735299990740183</v>
      </c>
    </row>
    <row r="1982" spans="7:20" ht="14.4" x14ac:dyDescent="0.25">
      <c r="G1982" s="10">
        <v>102</v>
      </c>
      <c r="H1982" s="9">
        <v>640</v>
      </c>
      <c r="I1982" s="14">
        <f>DATE(2012,12,31)-1074</f>
        <v>40200</v>
      </c>
      <c r="J1982" s="15" t="s">
        <v>17</v>
      </c>
      <c r="K1982" s="9">
        <v>24</v>
      </c>
      <c r="L1982" s="16" t="s">
        <v>26</v>
      </c>
      <c r="M1982" s="16">
        <f t="shared" si="183"/>
        <v>-0.1085436493809193</v>
      </c>
      <c r="N1982">
        <f t="shared" si="184"/>
        <v>0</v>
      </c>
      <c r="O1982">
        <f t="shared" si="185"/>
        <v>0</v>
      </c>
      <c r="P1982">
        <f t="shared" si="182"/>
        <v>4600</v>
      </c>
      <c r="Q1982">
        <f t="shared" si="186"/>
        <v>4600</v>
      </c>
      <c r="T1982" s="16">
        <f t="shared" si="187"/>
        <v>-0.10854364938091969</v>
      </c>
    </row>
    <row r="1983" spans="7:20" ht="14.4" x14ac:dyDescent="0.25">
      <c r="G1983" s="10">
        <v>106</v>
      </c>
      <c r="H1983" s="9">
        <v>646</v>
      </c>
      <c r="I1983" s="14">
        <f>DATE(2012,12,31)-1136</f>
        <v>40138</v>
      </c>
      <c r="J1983" s="15" t="s">
        <v>17</v>
      </c>
      <c r="K1983" s="9">
        <v>18</v>
      </c>
      <c r="L1983" s="16" t="s">
        <v>26</v>
      </c>
      <c r="M1983" s="16">
        <f t="shared" si="183"/>
        <v>-0.52290230909624791</v>
      </c>
      <c r="N1983">
        <f t="shared" si="184"/>
        <v>0</v>
      </c>
      <c r="O1983">
        <f t="shared" si="185"/>
        <v>0</v>
      </c>
      <c r="P1983">
        <f t="shared" si="182"/>
        <v>4300</v>
      </c>
      <c r="Q1983">
        <f t="shared" si="186"/>
        <v>4300</v>
      </c>
      <c r="T1983" s="16">
        <f t="shared" si="187"/>
        <v>-0.52290230909624835</v>
      </c>
    </row>
    <row r="1984" spans="7:20" ht="14.4" x14ac:dyDescent="0.25">
      <c r="G1984" s="10">
        <v>132</v>
      </c>
      <c r="H1984" s="9">
        <v>835</v>
      </c>
      <c r="I1984" s="14">
        <f>DATE(2012,12,31)-451</f>
        <v>40823</v>
      </c>
      <c r="J1984" s="15" t="s">
        <v>28</v>
      </c>
      <c r="K1984" s="9">
        <v>18</v>
      </c>
      <c r="L1984" s="16" t="s">
        <v>26</v>
      </c>
      <c r="M1984" s="16">
        <f t="shared" si="183"/>
        <v>-0.52290230909624791</v>
      </c>
      <c r="N1984">
        <f t="shared" si="184"/>
        <v>0</v>
      </c>
      <c r="O1984">
        <f t="shared" si="185"/>
        <v>0</v>
      </c>
      <c r="P1984">
        <f t="shared" si="182"/>
        <v>4300</v>
      </c>
      <c r="Q1984">
        <f t="shared" si="186"/>
        <v>4300</v>
      </c>
      <c r="T1984" s="16">
        <f t="shared" si="187"/>
        <v>-0.52290230909624835</v>
      </c>
    </row>
    <row r="1985" spans="7:20" ht="14.4" x14ac:dyDescent="0.25">
      <c r="G1985" s="10">
        <v>138</v>
      </c>
      <c r="H1985" s="9">
        <v>896</v>
      </c>
      <c r="I1985" s="14">
        <f>DATE(2012,12,31)-1029</f>
        <v>40245</v>
      </c>
      <c r="J1985" s="15" t="s">
        <v>30</v>
      </c>
      <c r="K1985" s="9">
        <v>50</v>
      </c>
      <c r="L1985" s="16" t="s">
        <v>26</v>
      </c>
      <c r="M1985" s="16">
        <f t="shared" si="183"/>
        <v>1.687010542718838</v>
      </c>
      <c r="N1985">
        <f t="shared" si="184"/>
        <v>0</v>
      </c>
      <c r="O1985">
        <f t="shared" si="185"/>
        <v>0</v>
      </c>
      <c r="P1985">
        <f t="shared" si="182"/>
        <v>5900</v>
      </c>
      <c r="Q1985">
        <f t="shared" si="186"/>
        <v>5900</v>
      </c>
      <c r="T1985" s="16">
        <f t="shared" si="187"/>
        <v>1.6870105427188375</v>
      </c>
    </row>
    <row r="1986" spans="7:20" ht="14.4" x14ac:dyDescent="0.25">
      <c r="G1986" s="10">
        <v>159</v>
      </c>
      <c r="H1986" s="9">
        <v>994</v>
      </c>
      <c r="I1986" s="14">
        <f>DATE(2012,12,31)-1352</f>
        <v>39922</v>
      </c>
      <c r="J1986" s="15" t="s">
        <v>25</v>
      </c>
      <c r="K1986" s="9">
        <v>38</v>
      </c>
      <c r="L1986" s="16" t="s">
        <v>26</v>
      </c>
      <c r="M1986" s="16">
        <f t="shared" si="183"/>
        <v>0.85829322328818081</v>
      </c>
      <c r="N1986">
        <f t="shared" si="184"/>
        <v>0</v>
      </c>
      <c r="O1986">
        <f t="shared" si="185"/>
        <v>0</v>
      </c>
      <c r="P1986">
        <f t="shared" si="182"/>
        <v>5300</v>
      </c>
      <c r="Q1986">
        <f t="shared" si="186"/>
        <v>5300</v>
      </c>
      <c r="T1986" s="16">
        <f t="shared" si="187"/>
        <v>0.85829322328818036</v>
      </c>
    </row>
    <row r="1987" spans="7:20" ht="14.4" x14ac:dyDescent="0.25">
      <c r="G1987" s="10">
        <v>167</v>
      </c>
      <c r="H1987" s="9">
        <v>1057</v>
      </c>
      <c r="I1987" s="14">
        <f>DATE(2012,12,31)-316</f>
        <v>40958</v>
      </c>
      <c r="J1987" s="15" t="s">
        <v>30</v>
      </c>
      <c r="K1987" s="9">
        <v>41</v>
      </c>
      <c r="L1987" s="16" t="s">
        <v>27</v>
      </c>
      <c r="M1987" s="16">
        <f t="shared" si="183"/>
        <v>1.0654725531458451</v>
      </c>
      <c r="N1987">
        <f t="shared" si="184"/>
        <v>0</v>
      </c>
      <c r="O1987">
        <f t="shared" si="185"/>
        <v>0</v>
      </c>
      <c r="P1987">
        <f t="shared" si="182"/>
        <v>5450</v>
      </c>
      <c r="Q1987">
        <f t="shared" si="186"/>
        <v>5450</v>
      </c>
      <c r="T1987" s="16">
        <f t="shared" si="187"/>
        <v>1.0654725531458447</v>
      </c>
    </row>
    <row r="1988" spans="7:20" ht="14.4" x14ac:dyDescent="0.25">
      <c r="G1988" s="10">
        <v>228</v>
      </c>
      <c r="H1988" s="9">
        <v>1538</v>
      </c>
      <c r="I1988" s="14">
        <f>DATE(2012,12,31)-563</f>
        <v>40711</v>
      </c>
      <c r="J1988" s="15" t="s">
        <v>28</v>
      </c>
      <c r="K1988" s="9">
        <v>15</v>
      </c>
      <c r="L1988" s="16" t="s">
        <v>27</v>
      </c>
      <c r="M1988" s="16">
        <f t="shared" si="183"/>
        <v>-0.7300816389539122</v>
      </c>
      <c r="N1988">
        <f t="shared" si="184"/>
        <v>0</v>
      </c>
      <c r="O1988">
        <f t="shared" si="185"/>
        <v>0</v>
      </c>
      <c r="P1988">
        <f t="shared" si="182"/>
        <v>4150</v>
      </c>
      <c r="Q1988">
        <f t="shared" si="186"/>
        <v>4150</v>
      </c>
      <c r="T1988" s="16">
        <f t="shared" si="187"/>
        <v>-0.73008163895391265</v>
      </c>
    </row>
    <row r="1989" spans="7:20" ht="14.4" x14ac:dyDescent="0.25">
      <c r="G1989" s="10">
        <v>247</v>
      </c>
      <c r="H1989" s="9">
        <v>1701</v>
      </c>
      <c r="I1989" s="14">
        <f>DATE(2012,12,31)-227</f>
        <v>41047</v>
      </c>
      <c r="J1989" s="15" t="s">
        <v>17</v>
      </c>
      <c r="K1989" s="9">
        <v>49</v>
      </c>
      <c r="L1989" s="16" t="s">
        <v>27</v>
      </c>
      <c r="M1989" s="16">
        <f t="shared" si="183"/>
        <v>1.6179507660996166</v>
      </c>
      <c r="N1989">
        <f t="shared" si="184"/>
        <v>0</v>
      </c>
      <c r="O1989">
        <f t="shared" si="185"/>
        <v>0</v>
      </c>
      <c r="P1989">
        <f t="shared" si="182"/>
        <v>5850</v>
      </c>
      <c r="Q1989">
        <f t="shared" si="186"/>
        <v>5850</v>
      </c>
      <c r="T1989" s="16">
        <f t="shared" si="187"/>
        <v>1.6179507660996162</v>
      </c>
    </row>
    <row r="1990" spans="7:20" ht="14.4" x14ac:dyDescent="0.25">
      <c r="G1990" s="10">
        <v>248</v>
      </c>
      <c r="H1990" s="9">
        <v>1701</v>
      </c>
      <c r="I1990" s="14">
        <f>DATE(2012,12,31)-227</f>
        <v>41047</v>
      </c>
      <c r="J1990" s="15" t="s">
        <v>17</v>
      </c>
      <c r="K1990" s="9">
        <v>1</v>
      </c>
      <c r="L1990" s="16" t="s">
        <v>29</v>
      </c>
      <c r="M1990" s="16">
        <f t="shared" si="183"/>
        <v>-1.6969185116230123</v>
      </c>
      <c r="N1990">
        <f t="shared" si="184"/>
        <v>0</v>
      </c>
      <c r="O1990">
        <f t="shared" si="185"/>
        <v>0</v>
      </c>
      <c r="P1990">
        <f t="shared" si="182"/>
        <v>3450</v>
      </c>
      <c r="Q1990">
        <f t="shared" si="186"/>
        <v>3450</v>
      </c>
      <c r="T1990" s="16">
        <f t="shared" si="187"/>
        <v>-1.6969185116230128</v>
      </c>
    </row>
    <row r="1991" spans="7:20" ht="14.4" x14ac:dyDescent="0.25">
      <c r="G1991" s="10">
        <v>274</v>
      </c>
      <c r="H1991" s="9">
        <v>1891</v>
      </c>
      <c r="I1991" s="14">
        <f>DATE(2012,12,31)-1113</f>
        <v>40161</v>
      </c>
      <c r="J1991" s="15" t="s">
        <v>25</v>
      </c>
      <c r="K1991" s="9">
        <v>3</v>
      </c>
      <c r="L1991" s="16" t="s">
        <v>29</v>
      </c>
      <c r="M1991" s="16">
        <f t="shared" si="183"/>
        <v>-1.5587989583845694</v>
      </c>
      <c r="N1991">
        <f t="shared" si="184"/>
        <v>0</v>
      </c>
      <c r="O1991">
        <f t="shared" si="185"/>
        <v>0</v>
      </c>
      <c r="P1991">
        <f t="shared" si="182"/>
        <v>3550</v>
      </c>
      <c r="Q1991">
        <f t="shared" si="186"/>
        <v>3550</v>
      </c>
      <c r="T1991" s="16">
        <f t="shared" si="187"/>
        <v>-1.5587989583845698</v>
      </c>
    </row>
    <row r="1992" spans="7:20" ht="14.4" x14ac:dyDescent="0.25">
      <c r="G1992" s="10">
        <v>289</v>
      </c>
      <c r="H1992" s="9">
        <v>2022</v>
      </c>
      <c r="I1992" s="14">
        <f>DATE(2012,12,31)-292</f>
        <v>40982</v>
      </c>
      <c r="J1992" s="15" t="s">
        <v>30</v>
      </c>
      <c r="K1992" s="9">
        <v>45</v>
      </c>
      <c r="L1992" s="16" t="s">
        <v>26</v>
      </c>
      <c r="M1992" s="16">
        <f t="shared" si="183"/>
        <v>1.3417116596227308</v>
      </c>
      <c r="N1992">
        <f t="shared" si="184"/>
        <v>0</v>
      </c>
      <c r="O1992">
        <f t="shared" si="185"/>
        <v>0</v>
      </c>
      <c r="P1992">
        <f t="shared" si="182"/>
        <v>5650</v>
      </c>
      <c r="Q1992">
        <f t="shared" si="186"/>
        <v>5650</v>
      </c>
      <c r="T1992" s="16">
        <f t="shared" si="187"/>
        <v>1.3417116596227305</v>
      </c>
    </row>
    <row r="1993" spans="7:20" ht="14.4" x14ac:dyDescent="0.25">
      <c r="G1993" s="10">
        <v>312</v>
      </c>
      <c r="H1993" s="9">
        <v>2181</v>
      </c>
      <c r="I1993" s="14">
        <f>DATE(2012,12,31)-476</f>
        <v>40798</v>
      </c>
      <c r="J1993" s="15" t="s">
        <v>16</v>
      </c>
      <c r="K1993" s="9">
        <v>40</v>
      </c>
      <c r="L1993" s="16" t="s">
        <v>26</v>
      </c>
      <c r="M1993" s="16">
        <f t="shared" si="183"/>
        <v>0.99641277652662363</v>
      </c>
      <c r="N1993">
        <f t="shared" si="184"/>
        <v>0</v>
      </c>
      <c r="O1993">
        <f t="shared" si="185"/>
        <v>0</v>
      </c>
      <c r="P1993">
        <f t="shared" si="182"/>
        <v>5400</v>
      </c>
      <c r="Q1993">
        <f t="shared" si="186"/>
        <v>5400</v>
      </c>
      <c r="T1993" s="16">
        <f t="shared" si="187"/>
        <v>0.9964127765266233</v>
      </c>
    </row>
    <row r="1994" spans="7:20" ht="14.4" x14ac:dyDescent="0.25">
      <c r="G1994" s="10">
        <v>313</v>
      </c>
      <c r="H1994" s="9">
        <v>2181</v>
      </c>
      <c r="I1994" s="14">
        <f>DATE(2012,12,31)-476</f>
        <v>40798</v>
      </c>
      <c r="J1994" s="15" t="s">
        <v>16</v>
      </c>
      <c r="K1994" s="9">
        <v>3</v>
      </c>
      <c r="L1994" s="16" t="s">
        <v>26</v>
      </c>
      <c r="M1994" s="16">
        <f t="shared" si="183"/>
        <v>-1.5587989583845694</v>
      </c>
      <c r="N1994">
        <f t="shared" si="184"/>
        <v>0</v>
      </c>
      <c r="O1994">
        <f t="shared" si="185"/>
        <v>0</v>
      </c>
      <c r="P1994">
        <f t="shared" si="182"/>
        <v>3550</v>
      </c>
      <c r="Q1994">
        <f t="shared" si="186"/>
        <v>3550</v>
      </c>
      <c r="T1994" s="16">
        <f t="shared" si="187"/>
        <v>-1.5587989583845698</v>
      </c>
    </row>
    <row r="1995" spans="7:20" ht="14.4" x14ac:dyDescent="0.25">
      <c r="G1995" s="10">
        <v>378</v>
      </c>
      <c r="H1995" s="9">
        <v>2628</v>
      </c>
      <c r="I1995" s="14">
        <f>DATE(2012,12,31)-802</f>
        <v>40472</v>
      </c>
      <c r="J1995" s="15" t="s">
        <v>25</v>
      </c>
      <c r="K1995" s="9">
        <v>14</v>
      </c>
      <c r="L1995" s="16" t="s">
        <v>26</v>
      </c>
      <c r="M1995" s="16">
        <f t="shared" si="183"/>
        <v>-0.79914141557313367</v>
      </c>
      <c r="N1995">
        <f t="shared" si="184"/>
        <v>0</v>
      </c>
      <c r="O1995">
        <f t="shared" si="185"/>
        <v>0</v>
      </c>
      <c r="P1995">
        <f t="shared" si="182"/>
        <v>4100</v>
      </c>
      <c r="Q1995">
        <f t="shared" si="186"/>
        <v>4100</v>
      </c>
      <c r="T1995" s="16">
        <f t="shared" si="187"/>
        <v>-0.79914141557313401</v>
      </c>
    </row>
    <row r="1996" spans="7:20" ht="14.4" x14ac:dyDescent="0.25">
      <c r="G1996" s="10">
        <v>379</v>
      </c>
      <c r="H1996" s="9">
        <v>2628</v>
      </c>
      <c r="I1996" s="14">
        <f>DATE(2012,12,31)-802</f>
        <v>40472</v>
      </c>
      <c r="J1996" s="15" t="s">
        <v>25</v>
      </c>
      <c r="K1996" s="9">
        <v>29</v>
      </c>
      <c r="L1996" s="16" t="s">
        <v>29</v>
      </c>
      <c r="M1996" s="16">
        <f t="shared" si="183"/>
        <v>0.23675523371518786</v>
      </c>
      <c r="N1996">
        <f t="shared" si="184"/>
        <v>0</v>
      </c>
      <c r="O1996">
        <f t="shared" si="185"/>
        <v>0</v>
      </c>
      <c r="P1996">
        <f t="shared" ref="P1996:P2059" si="188">50*K1996+$P$10</f>
        <v>4850</v>
      </c>
      <c r="Q1996">
        <f t="shared" si="186"/>
        <v>4850</v>
      </c>
      <c r="T1996" s="16">
        <f t="shared" si="187"/>
        <v>0.2367552337151875</v>
      </c>
    </row>
    <row r="1997" spans="7:20" ht="14.4" x14ac:dyDescent="0.25">
      <c r="G1997" s="10">
        <v>392</v>
      </c>
      <c r="H1997" s="9">
        <v>2691</v>
      </c>
      <c r="I1997" s="14">
        <f>DATE(2012,12,31)-246</f>
        <v>41028</v>
      </c>
      <c r="J1997" s="15" t="s">
        <v>25</v>
      </c>
      <c r="K1997" s="9">
        <v>14</v>
      </c>
      <c r="L1997" s="16" t="s">
        <v>29</v>
      </c>
      <c r="M1997" s="16">
        <f t="shared" ref="M1997:M2060" si="189">(K1997-$K$4)/$K$7</f>
        <v>-0.79914141557313367</v>
      </c>
      <c r="N1997">
        <f t="shared" ref="N1997:N2060" si="190">IF(MOD($B$20+G1997,1000)=0,1,0)</f>
        <v>0</v>
      </c>
      <c r="O1997">
        <f t="shared" ref="O1997:O2060" si="191">+ROUND(N1997*(IF(K1997&lt;$K$4,-4.5,10.5)*$P$5),-2)</f>
        <v>0</v>
      </c>
      <c r="P1997">
        <f t="shared" si="188"/>
        <v>4100</v>
      </c>
      <c r="Q1997">
        <f t="shared" ref="Q1997:Q2060" si="192">P1997+O1997</f>
        <v>4100</v>
      </c>
      <c r="T1997" s="16">
        <f t="shared" ref="T1997:T2060" si="193">(Q1997-$P$4)/$P$5</f>
        <v>-0.79914141557313401</v>
      </c>
    </row>
    <row r="1998" spans="7:20" ht="14.4" x14ac:dyDescent="0.25">
      <c r="G1998" s="10">
        <v>434</v>
      </c>
      <c r="H1998" s="9">
        <v>2912</v>
      </c>
      <c r="I1998" s="14">
        <f>DATE(2012,12,31)-295</f>
        <v>40979</v>
      </c>
      <c r="J1998" s="15" t="s">
        <v>25</v>
      </c>
      <c r="K1998" s="9">
        <v>7</v>
      </c>
      <c r="L1998" s="16" t="s">
        <v>27</v>
      </c>
      <c r="M1998" s="16">
        <f t="shared" si="189"/>
        <v>-1.2825598519076837</v>
      </c>
      <c r="N1998">
        <f t="shared" si="190"/>
        <v>0</v>
      </c>
      <c r="O1998">
        <f t="shared" si="191"/>
        <v>0</v>
      </c>
      <c r="P1998">
        <f t="shared" si="188"/>
        <v>3750</v>
      </c>
      <c r="Q1998">
        <f t="shared" si="192"/>
        <v>3750</v>
      </c>
      <c r="T1998" s="16">
        <f t="shared" si="193"/>
        <v>-1.2825598519076842</v>
      </c>
    </row>
    <row r="1999" spans="7:20" ht="14.4" x14ac:dyDescent="0.25">
      <c r="G1999" s="10">
        <v>435</v>
      </c>
      <c r="H1999" s="9">
        <v>2912</v>
      </c>
      <c r="I1999" s="14">
        <f>DATE(2012,12,31)-295</f>
        <v>40979</v>
      </c>
      <c r="J1999" s="15" t="s">
        <v>25</v>
      </c>
      <c r="K1999" s="9">
        <v>9</v>
      </c>
      <c r="L1999" s="16" t="s">
        <v>26</v>
      </c>
      <c r="M1999" s="16">
        <f t="shared" si="189"/>
        <v>-1.1444402986692408</v>
      </c>
      <c r="N1999">
        <f t="shared" si="190"/>
        <v>0</v>
      </c>
      <c r="O1999">
        <f t="shared" si="191"/>
        <v>0</v>
      </c>
      <c r="P1999">
        <f t="shared" si="188"/>
        <v>3850</v>
      </c>
      <c r="Q1999">
        <f t="shared" si="192"/>
        <v>3850</v>
      </c>
      <c r="T1999" s="16">
        <f t="shared" si="193"/>
        <v>-1.1444402986692412</v>
      </c>
    </row>
    <row r="2000" spans="7:20" ht="14.4" x14ac:dyDescent="0.25">
      <c r="G2000" s="10">
        <v>472</v>
      </c>
      <c r="H2000" s="9">
        <v>3235</v>
      </c>
      <c r="I2000" s="14">
        <f>DATE(2012,12,31)-413</f>
        <v>40861</v>
      </c>
      <c r="J2000" s="15" t="s">
        <v>25</v>
      </c>
      <c r="K2000" s="9">
        <v>31</v>
      </c>
      <c r="L2000" s="16" t="s">
        <v>26</v>
      </c>
      <c r="M2000" s="16">
        <f t="shared" si="189"/>
        <v>0.37487478695363075</v>
      </c>
      <c r="N2000">
        <f t="shared" si="190"/>
        <v>0</v>
      </c>
      <c r="O2000">
        <f t="shared" si="191"/>
        <v>0</v>
      </c>
      <c r="P2000">
        <f t="shared" si="188"/>
        <v>4950</v>
      </c>
      <c r="Q2000">
        <f t="shared" si="192"/>
        <v>4950</v>
      </c>
      <c r="T2000" s="16">
        <f t="shared" si="193"/>
        <v>0.37487478695363036</v>
      </c>
    </row>
    <row r="2001" spans="7:20" ht="14.4" x14ac:dyDescent="0.25">
      <c r="G2001" s="10">
        <v>473</v>
      </c>
      <c r="H2001" s="9">
        <v>3266</v>
      </c>
      <c r="I2001" s="14">
        <f>DATE(2012,12,31)-656</f>
        <v>40618</v>
      </c>
      <c r="J2001" s="15" t="s">
        <v>25</v>
      </c>
      <c r="K2001" s="9">
        <v>4</v>
      </c>
      <c r="L2001" s="16" t="s">
        <v>26</v>
      </c>
      <c r="M2001" s="16">
        <f t="shared" si="189"/>
        <v>-1.489739181765348</v>
      </c>
      <c r="N2001">
        <f t="shared" si="190"/>
        <v>0</v>
      </c>
      <c r="O2001">
        <f t="shared" si="191"/>
        <v>0</v>
      </c>
      <c r="P2001">
        <f t="shared" si="188"/>
        <v>3600</v>
      </c>
      <c r="Q2001">
        <f t="shared" si="192"/>
        <v>3600</v>
      </c>
      <c r="T2001" s="16">
        <f t="shared" si="193"/>
        <v>-1.4897391817653485</v>
      </c>
    </row>
    <row r="2002" spans="7:20" ht="14.4" x14ac:dyDescent="0.25">
      <c r="G2002" s="10">
        <v>487</v>
      </c>
      <c r="H2002" s="9">
        <v>3363</v>
      </c>
      <c r="I2002" s="14">
        <f>DATE(2012,12,31)-466</f>
        <v>40808</v>
      </c>
      <c r="J2002" s="15" t="s">
        <v>17</v>
      </c>
      <c r="K2002" s="9">
        <v>21</v>
      </c>
      <c r="L2002" s="16" t="s">
        <v>26</v>
      </c>
      <c r="M2002" s="16">
        <f t="shared" si="189"/>
        <v>-0.31572297923858361</v>
      </c>
      <c r="N2002">
        <f t="shared" si="190"/>
        <v>0</v>
      </c>
      <c r="O2002">
        <f t="shared" si="191"/>
        <v>0</v>
      </c>
      <c r="P2002">
        <f t="shared" si="188"/>
        <v>4450</v>
      </c>
      <c r="Q2002">
        <f t="shared" si="192"/>
        <v>4450</v>
      </c>
      <c r="T2002" s="16">
        <f t="shared" si="193"/>
        <v>-0.315722979238584</v>
      </c>
    </row>
    <row r="2003" spans="7:20" ht="14.4" x14ac:dyDescent="0.25">
      <c r="G2003" s="10">
        <v>521</v>
      </c>
      <c r="H2003" s="9">
        <v>3585</v>
      </c>
      <c r="I2003" s="14">
        <f>DATE(2012,12,31)-1135</f>
        <v>40139</v>
      </c>
      <c r="J2003" s="15" t="s">
        <v>17</v>
      </c>
      <c r="K2003" s="9">
        <v>27</v>
      </c>
      <c r="L2003" s="16" t="s">
        <v>26</v>
      </c>
      <c r="M2003" s="16">
        <f t="shared" si="189"/>
        <v>9.8635680476745008E-2</v>
      </c>
      <c r="N2003">
        <f t="shared" si="190"/>
        <v>0</v>
      </c>
      <c r="O2003">
        <f t="shared" si="191"/>
        <v>0</v>
      </c>
      <c r="P2003">
        <f t="shared" si="188"/>
        <v>4750</v>
      </c>
      <c r="Q2003">
        <f t="shared" si="192"/>
        <v>4750</v>
      </c>
      <c r="T2003" s="16">
        <f t="shared" si="193"/>
        <v>9.8635680476744619E-2</v>
      </c>
    </row>
    <row r="2004" spans="7:20" ht="14.4" x14ac:dyDescent="0.25">
      <c r="G2004" s="10">
        <v>522</v>
      </c>
      <c r="H2004" s="9">
        <v>3585</v>
      </c>
      <c r="I2004" s="14">
        <f>DATE(2012,12,31)-1135</f>
        <v>40139</v>
      </c>
      <c r="J2004" s="15" t="s">
        <v>17</v>
      </c>
      <c r="K2004" s="9">
        <v>34</v>
      </c>
      <c r="L2004" s="16" t="s">
        <v>26</v>
      </c>
      <c r="M2004" s="16">
        <f t="shared" si="189"/>
        <v>0.58205411681129504</v>
      </c>
      <c r="N2004">
        <f t="shared" si="190"/>
        <v>0</v>
      </c>
      <c r="O2004">
        <f t="shared" si="191"/>
        <v>0</v>
      </c>
      <c r="P2004">
        <f t="shared" si="188"/>
        <v>5100</v>
      </c>
      <c r="Q2004">
        <f t="shared" si="192"/>
        <v>5100</v>
      </c>
      <c r="T2004" s="16">
        <f t="shared" si="193"/>
        <v>0.58205411681129471</v>
      </c>
    </row>
    <row r="2005" spans="7:20" ht="14.4" x14ac:dyDescent="0.25">
      <c r="G2005" s="10">
        <v>550</v>
      </c>
      <c r="H2005" s="9">
        <v>3745</v>
      </c>
      <c r="I2005" s="14">
        <f>DATE(2012,12,31)-825</f>
        <v>40449</v>
      </c>
      <c r="J2005" s="15" t="s">
        <v>25</v>
      </c>
      <c r="K2005" s="9">
        <v>38</v>
      </c>
      <c r="L2005" s="16" t="s">
        <v>29</v>
      </c>
      <c r="M2005" s="16">
        <f t="shared" si="189"/>
        <v>0.85829322328818081</v>
      </c>
      <c r="N2005">
        <f t="shared" si="190"/>
        <v>0</v>
      </c>
      <c r="O2005">
        <f t="shared" si="191"/>
        <v>0</v>
      </c>
      <c r="P2005">
        <f t="shared" si="188"/>
        <v>5300</v>
      </c>
      <c r="Q2005">
        <f t="shared" si="192"/>
        <v>5300</v>
      </c>
      <c r="T2005" s="16">
        <f t="shared" si="193"/>
        <v>0.85829322328818036</v>
      </c>
    </row>
    <row r="2006" spans="7:20" ht="14.4" x14ac:dyDescent="0.25">
      <c r="G2006" s="10">
        <v>605</v>
      </c>
      <c r="H2006" s="9">
        <v>4128</v>
      </c>
      <c r="I2006" s="14">
        <f>DATE(2012,12,31)-452</f>
        <v>40822</v>
      </c>
      <c r="J2006" s="15" t="s">
        <v>28</v>
      </c>
      <c r="K2006" s="9">
        <v>38</v>
      </c>
      <c r="L2006" s="16" t="s">
        <v>26</v>
      </c>
      <c r="M2006" s="16">
        <f t="shared" si="189"/>
        <v>0.85829322328818081</v>
      </c>
      <c r="N2006">
        <f t="shared" si="190"/>
        <v>0</v>
      </c>
      <c r="O2006">
        <f t="shared" si="191"/>
        <v>0</v>
      </c>
      <c r="P2006">
        <f t="shared" si="188"/>
        <v>5300</v>
      </c>
      <c r="Q2006">
        <f t="shared" si="192"/>
        <v>5300</v>
      </c>
      <c r="T2006" s="16">
        <f t="shared" si="193"/>
        <v>0.85829322328818036</v>
      </c>
    </row>
    <row r="2007" spans="7:20" ht="14.4" x14ac:dyDescent="0.25">
      <c r="G2007" s="10">
        <v>625</v>
      </c>
      <c r="H2007" s="9">
        <v>4354</v>
      </c>
      <c r="I2007" s="14">
        <f>DATE(2012,12,31)-1189</f>
        <v>40085</v>
      </c>
      <c r="J2007" s="15" t="s">
        <v>28</v>
      </c>
      <c r="K2007" s="9">
        <v>6</v>
      </c>
      <c r="L2007" s="16" t="s">
        <v>29</v>
      </c>
      <c r="M2007" s="16">
        <f t="shared" si="189"/>
        <v>-1.3516196285269051</v>
      </c>
      <c r="N2007">
        <f t="shared" si="190"/>
        <v>0</v>
      </c>
      <c r="O2007">
        <f t="shared" si="191"/>
        <v>0</v>
      </c>
      <c r="P2007">
        <f t="shared" si="188"/>
        <v>3700</v>
      </c>
      <c r="Q2007">
        <f t="shared" si="192"/>
        <v>3700</v>
      </c>
      <c r="T2007" s="16">
        <f t="shared" si="193"/>
        <v>-1.3516196285269055</v>
      </c>
    </row>
    <row r="2008" spans="7:20" ht="14.4" x14ac:dyDescent="0.25">
      <c r="G2008" s="10">
        <v>645</v>
      </c>
      <c r="H2008" s="9">
        <v>4550</v>
      </c>
      <c r="I2008" s="14">
        <f>DATE(2012,12,31)-1099</f>
        <v>40175</v>
      </c>
      <c r="J2008" s="15" t="s">
        <v>17</v>
      </c>
      <c r="K2008" s="9">
        <v>32</v>
      </c>
      <c r="L2008" s="16" t="s">
        <v>27</v>
      </c>
      <c r="M2008" s="16">
        <f t="shared" si="189"/>
        <v>0.44393456357285216</v>
      </c>
      <c r="N2008">
        <f t="shared" si="190"/>
        <v>0</v>
      </c>
      <c r="O2008">
        <f t="shared" si="191"/>
        <v>0</v>
      </c>
      <c r="P2008">
        <f t="shared" si="188"/>
        <v>5000</v>
      </c>
      <c r="Q2008">
        <f t="shared" si="192"/>
        <v>5000</v>
      </c>
      <c r="T2008" s="16">
        <f t="shared" si="193"/>
        <v>0.44393456357285183</v>
      </c>
    </row>
    <row r="2009" spans="7:20" ht="14.4" x14ac:dyDescent="0.25">
      <c r="G2009" s="10">
        <v>680</v>
      </c>
      <c r="H2009" s="9">
        <v>4743</v>
      </c>
      <c r="I2009" s="14">
        <f>DATE(2012,12,31)-1007</f>
        <v>40267</v>
      </c>
      <c r="J2009" s="15" t="s">
        <v>25</v>
      </c>
      <c r="K2009" s="9">
        <v>29</v>
      </c>
      <c r="L2009" s="16" t="s">
        <v>26</v>
      </c>
      <c r="M2009" s="16">
        <f t="shared" si="189"/>
        <v>0.23675523371518786</v>
      </c>
      <c r="N2009">
        <f t="shared" si="190"/>
        <v>0</v>
      </c>
      <c r="O2009">
        <f t="shared" si="191"/>
        <v>0</v>
      </c>
      <c r="P2009">
        <f t="shared" si="188"/>
        <v>4850</v>
      </c>
      <c r="Q2009">
        <f t="shared" si="192"/>
        <v>4850</v>
      </c>
      <c r="T2009" s="16">
        <f t="shared" si="193"/>
        <v>0.2367552337151875</v>
      </c>
    </row>
    <row r="2010" spans="7:20" ht="14.4" x14ac:dyDescent="0.25">
      <c r="G2010" s="10">
        <v>681</v>
      </c>
      <c r="H2010" s="9">
        <v>4743</v>
      </c>
      <c r="I2010" s="14">
        <f>DATE(2012,12,31)-1007</f>
        <v>40267</v>
      </c>
      <c r="J2010" s="15" t="s">
        <v>25</v>
      </c>
      <c r="K2010" s="9">
        <v>32</v>
      </c>
      <c r="L2010" s="16" t="s">
        <v>26</v>
      </c>
      <c r="M2010" s="16">
        <f t="shared" si="189"/>
        <v>0.44393456357285216</v>
      </c>
      <c r="N2010">
        <f t="shared" si="190"/>
        <v>0</v>
      </c>
      <c r="O2010">
        <f t="shared" si="191"/>
        <v>0</v>
      </c>
      <c r="P2010">
        <f t="shared" si="188"/>
        <v>5000</v>
      </c>
      <c r="Q2010">
        <f t="shared" si="192"/>
        <v>5000</v>
      </c>
      <c r="T2010" s="16">
        <f t="shared" si="193"/>
        <v>0.44393456357285183</v>
      </c>
    </row>
    <row r="2011" spans="7:20" ht="14.4" x14ac:dyDescent="0.25">
      <c r="G2011" s="10">
        <v>729</v>
      </c>
      <c r="H2011" s="9">
        <v>5251</v>
      </c>
      <c r="I2011" s="14">
        <f>DATE(2012,12,31)-630</f>
        <v>40644</v>
      </c>
      <c r="J2011" s="15" t="s">
        <v>16</v>
      </c>
      <c r="K2011" s="9">
        <v>38</v>
      </c>
      <c r="L2011" s="16" t="s">
        <v>27</v>
      </c>
      <c r="M2011" s="16">
        <f t="shared" si="189"/>
        <v>0.85829322328818081</v>
      </c>
      <c r="N2011">
        <f t="shared" si="190"/>
        <v>0</v>
      </c>
      <c r="O2011">
        <f t="shared" si="191"/>
        <v>0</v>
      </c>
      <c r="P2011">
        <f t="shared" si="188"/>
        <v>5300</v>
      </c>
      <c r="Q2011">
        <f t="shared" si="192"/>
        <v>5300</v>
      </c>
      <c r="T2011" s="16">
        <f t="shared" si="193"/>
        <v>0.85829322328818036</v>
      </c>
    </row>
    <row r="2012" spans="7:20" ht="14.4" x14ac:dyDescent="0.25">
      <c r="G2012" s="10">
        <v>733</v>
      </c>
      <c r="H2012" s="9">
        <v>5283</v>
      </c>
      <c r="I2012" s="14">
        <f>DATE(2012,12,31)-1307</f>
        <v>39967</v>
      </c>
      <c r="J2012" s="15" t="s">
        <v>16</v>
      </c>
      <c r="K2012" s="9">
        <v>23</v>
      </c>
      <c r="L2012" s="16" t="s">
        <v>27</v>
      </c>
      <c r="M2012" s="16">
        <f t="shared" si="189"/>
        <v>-0.17760342600014073</v>
      </c>
      <c r="N2012">
        <f t="shared" si="190"/>
        <v>0</v>
      </c>
      <c r="O2012">
        <f t="shared" si="191"/>
        <v>0</v>
      </c>
      <c r="P2012">
        <f t="shared" si="188"/>
        <v>4550</v>
      </c>
      <c r="Q2012">
        <f t="shared" si="192"/>
        <v>4550</v>
      </c>
      <c r="T2012" s="16">
        <f t="shared" si="193"/>
        <v>-0.17760342600014112</v>
      </c>
    </row>
    <row r="2013" spans="7:20" ht="14.4" x14ac:dyDescent="0.25">
      <c r="G2013" s="10">
        <v>750</v>
      </c>
      <c r="H2013" s="9">
        <v>5381</v>
      </c>
      <c r="I2013" s="14">
        <f>DATE(2012,12,31)-1068</f>
        <v>40206</v>
      </c>
      <c r="J2013" s="15" t="s">
        <v>25</v>
      </c>
      <c r="K2013" s="9">
        <v>47</v>
      </c>
      <c r="L2013" s="16" t="s">
        <v>29</v>
      </c>
      <c r="M2013" s="16">
        <f t="shared" si="189"/>
        <v>1.4798312128611737</v>
      </c>
      <c r="N2013">
        <f t="shared" si="190"/>
        <v>0</v>
      </c>
      <c r="O2013">
        <f t="shared" si="191"/>
        <v>0</v>
      </c>
      <c r="P2013">
        <f t="shared" si="188"/>
        <v>5750</v>
      </c>
      <c r="Q2013">
        <f t="shared" si="192"/>
        <v>5750</v>
      </c>
      <c r="T2013" s="16">
        <f t="shared" si="193"/>
        <v>1.4798312128611733</v>
      </c>
    </row>
    <row r="2014" spans="7:20" ht="14.4" x14ac:dyDescent="0.25">
      <c r="G2014" s="10">
        <v>751</v>
      </c>
      <c r="H2014" s="9">
        <v>5381</v>
      </c>
      <c r="I2014" s="14">
        <f>DATE(2012,12,31)-1068</f>
        <v>40206</v>
      </c>
      <c r="J2014" s="15" t="s">
        <v>25</v>
      </c>
      <c r="K2014" s="9">
        <v>27</v>
      </c>
      <c r="L2014" s="16" t="s">
        <v>26</v>
      </c>
      <c r="M2014" s="16">
        <f t="shared" si="189"/>
        <v>9.8635680476745008E-2</v>
      </c>
      <c r="N2014">
        <f t="shared" si="190"/>
        <v>0</v>
      </c>
      <c r="O2014">
        <f t="shared" si="191"/>
        <v>0</v>
      </c>
      <c r="P2014">
        <f t="shared" si="188"/>
        <v>4750</v>
      </c>
      <c r="Q2014">
        <f t="shared" si="192"/>
        <v>4750</v>
      </c>
      <c r="T2014" s="16">
        <f t="shared" si="193"/>
        <v>9.8635680476744619E-2</v>
      </c>
    </row>
    <row r="2015" spans="7:20" ht="14.4" x14ac:dyDescent="0.25">
      <c r="G2015" s="10">
        <v>759</v>
      </c>
      <c r="H2015" s="9">
        <v>5444</v>
      </c>
      <c r="I2015" s="14">
        <f>DATE(2012,12,31)-655</f>
        <v>40619</v>
      </c>
      <c r="J2015" s="15" t="s">
        <v>30</v>
      </c>
      <c r="K2015" s="9">
        <v>2</v>
      </c>
      <c r="L2015" s="16" t="s">
        <v>27</v>
      </c>
      <c r="M2015" s="16">
        <f t="shared" si="189"/>
        <v>-1.627858735003791</v>
      </c>
      <c r="N2015">
        <f t="shared" si="190"/>
        <v>0</v>
      </c>
      <c r="O2015">
        <f t="shared" si="191"/>
        <v>0</v>
      </c>
      <c r="P2015">
        <f t="shared" si="188"/>
        <v>3500</v>
      </c>
      <c r="Q2015">
        <f t="shared" si="192"/>
        <v>3500</v>
      </c>
      <c r="T2015" s="16">
        <f t="shared" si="193"/>
        <v>-1.6278587350037912</v>
      </c>
    </row>
    <row r="2016" spans="7:20" ht="14.4" x14ac:dyDescent="0.25">
      <c r="G2016" s="10">
        <v>785</v>
      </c>
      <c r="H2016" s="9">
        <v>5601</v>
      </c>
      <c r="I2016" s="14">
        <f>DATE(2012,12,31)-361</f>
        <v>40913</v>
      </c>
      <c r="J2016" s="15" t="s">
        <v>17</v>
      </c>
      <c r="K2016" s="9">
        <v>10</v>
      </c>
      <c r="L2016" s="16" t="s">
        <v>29</v>
      </c>
      <c r="M2016" s="16">
        <f t="shared" si="189"/>
        <v>-1.0753805220500194</v>
      </c>
      <c r="N2016">
        <f t="shared" si="190"/>
        <v>0</v>
      </c>
      <c r="O2016">
        <f t="shared" si="191"/>
        <v>0</v>
      </c>
      <c r="P2016">
        <f t="shared" si="188"/>
        <v>3900</v>
      </c>
      <c r="Q2016">
        <f t="shared" si="192"/>
        <v>3900</v>
      </c>
      <c r="T2016" s="16">
        <f t="shared" si="193"/>
        <v>-1.0753805220500199</v>
      </c>
    </row>
    <row r="2017" spans="7:20" ht="14.4" x14ac:dyDescent="0.25">
      <c r="G2017" s="10">
        <v>802</v>
      </c>
      <c r="H2017" s="9">
        <v>5760</v>
      </c>
      <c r="I2017" s="14">
        <f>DATE(2012,12,31)-1317</f>
        <v>39957</v>
      </c>
      <c r="J2017" s="15" t="s">
        <v>28</v>
      </c>
      <c r="K2017" s="9">
        <v>34</v>
      </c>
      <c r="L2017" s="16" t="s">
        <v>29</v>
      </c>
      <c r="M2017" s="16">
        <f t="shared" si="189"/>
        <v>0.58205411681129504</v>
      </c>
      <c r="N2017">
        <f t="shared" si="190"/>
        <v>0</v>
      </c>
      <c r="O2017">
        <f t="shared" si="191"/>
        <v>0</v>
      </c>
      <c r="P2017">
        <f t="shared" si="188"/>
        <v>5100</v>
      </c>
      <c r="Q2017">
        <f t="shared" si="192"/>
        <v>5100</v>
      </c>
      <c r="T2017" s="16">
        <f t="shared" si="193"/>
        <v>0.58205411681129471</v>
      </c>
    </row>
    <row r="2018" spans="7:20" ht="14.4" x14ac:dyDescent="0.25">
      <c r="G2018" s="10">
        <v>896</v>
      </c>
      <c r="H2018" s="9">
        <v>6438</v>
      </c>
      <c r="I2018" s="14">
        <f>DATE(2012,12,31)-960</f>
        <v>40314</v>
      </c>
      <c r="J2018" s="15" t="s">
        <v>28</v>
      </c>
      <c r="K2018" s="9">
        <v>7</v>
      </c>
      <c r="L2018" s="16" t="s">
        <v>29</v>
      </c>
      <c r="M2018" s="16">
        <f t="shared" si="189"/>
        <v>-1.2825598519076837</v>
      </c>
      <c r="N2018">
        <f t="shared" si="190"/>
        <v>0</v>
      </c>
      <c r="O2018">
        <f t="shared" si="191"/>
        <v>0</v>
      </c>
      <c r="P2018">
        <f t="shared" si="188"/>
        <v>3750</v>
      </c>
      <c r="Q2018">
        <f t="shared" si="192"/>
        <v>3750</v>
      </c>
      <c r="T2018" s="16">
        <f t="shared" si="193"/>
        <v>-1.2825598519076842</v>
      </c>
    </row>
    <row r="2019" spans="7:20" ht="14.4" x14ac:dyDescent="0.25">
      <c r="G2019" s="10">
        <v>897</v>
      </c>
      <c r="H2019" s="9">
        <v>6438</v>
      </c>
      <c r="I2019" s="14">
        <f>DATE(2012,12,31)-960</f>
        <v>40314</v>
      </c>
      <c r="J2019" s="15" t="s">
        <v>28</v>
      </c>
      <c r="K2019" s="9">
        <v>38</v>
      </c>
      <c r="L2019" s="16" t="s">
        <v>26</v>
      </c>
      <c r="M2019" s="16">
        <f t="shared" si="189"/>
        <v>0.85829322328818081</v>
      </c>
      <c r="N2019">
        <f t="shared" si="190"/>
        <v>0</v>
      </c>
      <c r="O2019">
        <f t="shared" si="191"/>
        <v>0</v>
      </c>
      <c r="P2019">
        <f t="shared" si="188"/>
        <v>5300</v>
      </c>
      <c r="Q2019">
        <f t="shared" si="192"/>
        <v>5300</v>
      </c>
      <c r="T2019" s="16">
        <f t="shared" si="193"/>
        <v>0.85829322328818036</v>
      </c>
    </row>
    <row r="2020" spans="7:20" ht="14.4" x14ac:dyDescent="0.25">
      <c r="G2020" s="10">
        <v>917</v>
      </c>
      <c r="H2020" s="9">
        <v>6592</v>
      </c>
      <c r="I2020" s="14">
        <f>DATE(2012,12,31)-1126</f>
        <v>40148</v>
      </c>
      <c r="J2020" s="15" t="s">
        <v>25</v>
      </c>
      <c r="K2020" s="9">
        <v>29</v>
      </c>
      <c r="L2020" s="16" t="s">
        <v>26</v>
      </c>
      <c r="M2020" s="16">
        <f t="shared" si="189"/>
        <v>0.23675523371518786</v>
      </c>
      <c r="N2020">
        <f t="shared" si="190"/>
        <v>0</v>
      </c>
      <c r="O2020">
        <f t="shared" si="191"/>
        <v>0</v>
      </c>
      <c r="P2020">
        <f t="shared" si="188"/>
        <v>4850</v>
      </c>
      <c r="Q2020">
        <f t="shared" si="192"/>
        <v>4850</v>
      </c>
      <c r="T2020" s="16">
        <f t="shared" si="193"/>
        <v>0.2367552337151875</v>
      </c>
    </row>
    <row r="2021" spans="7:20" ht="14.4" x14ac:dyDescent="0.25">
      <c r="G2021" s="10">
        <v>918</v>
      </c>
      <c r="H2021" s="9">
        <v>6592</v>
      </c>
      <c r="I2021" s="14">
        <f>DATE(2012,12,31)-1126</f>
        <v>40148</v>
      </c>
      <c r="J2021" s="15" t="s">
        <v>25</v>
      </c>
      <c r="K2021" s="9">
        <v>33</v>
      </c>
      <c r="L2021" s="16" t="s">
        <v>26</v>
      </c>
      <c r="M2021" s="16">
        <f t="shared" si="189"/>
        <v>0.51299434019207357</v>
      </c>
      <c r="N2021">
        <f t="shared" si="190"/>
        <v>0</v>
      </c>
      <c r="O2021">
        <f t="shared" si="191"/>
        <v>0</v>
      </c>
      <c r="P2021">
        <f t="shared" si="188"/>
        <v>5050</v>
      </c>
      <c r="Q2021">
        <f t="shared" si="192"/>
        <v>5050</v>
      </c>
      <c r="T2021" s="16">
        <f t="shared" si="193"/>
        <v>0.51299434019207324</v>
      </c>
    </row>
    <row r="2022" spans="7:20" ht="14.4" x14ac:dyDescent="0.25">
      <c r="G2022" s="10">
        <v>933</v>
      </c>
      <c r="H2022" s="9">
        <v>6755</v>
      </c>
      <c r="I2022" s="14">
        <f>DATE(2012,12,31)-610</f>
        <v>40664</v>
      </c>
      <c r="J2022" s="15" t="s">
        <v>17</v>
      </c>
      <c r="K2022" s="9">
        <v>20</v>
      </c>
      <c r="L2022" s="16" t="s">
        <v>26</v>
      </c>
      <c r="M2022" s="16">
        <f t="shared" si="189"/>
        <v>-0.38478275585780503</v>
      </c>
      <c r="N2022">
        <f t="shared" si="190"/>
        <v>0</v>
      </c>
      <c r="O2022">
        <f t="shared" si="191"/>
        <v>0</v>
      </c>
      <c r="P2022">
        <f t="shared" si="188"/>
        <v>4400</v>
      </c>
      <c r="Q2022">
        <f t="shared" si="192"/>
        <v>4400</v>
      </c>
      <c r="T2022" s="16">
        <f t="shared" si="193"/>
        <v>-0.38478275585780541</v>
      </c>
    </row>
    <row r="2023" spans="7:20" ht="14.4" x14ac:dyDescent="0.25">
      <c r="G2023" s="10">
        <v>957</v>
      </c>
      <c r="H2023" s="9">
        <v>6918</v>
      </c>
      <c r="I2023" s="14">
        <f>DATE(2012,12,31)-549</f>
        <v>40725</v>
      </c>
      <c r="J2023" s="15" t="s">
        <v>30</v>
      </c>
      <c r="K2023" s="9">
        <v>38</v>
      </c>
      <c r="L2023" s="16" t="s">
        <v>27</v>
      </c>
      <c r="M2023" s="16">
        <f t="shared" si="189"/>
        <v>0.85829322328818081</v>
      </c>
      <c r="N2023">
        <f t="shared" si="190"/>
        <v>0</v>
      </c>
      <c r="O2023">
        <f t="shared" si="191"/>
        <v>0</v>
      </c>
      <c r="P2023">
        <f t="shared" si="188"/>
        <v>5300</v>
      </c>
      <c r="Q2023">
        <f t="shared" si="192"/>
        <v>5300</v>
      </c>
      <c r="T2023" s="16">
        <f t="shared" si="193"/>
        <v>0.85829322328818036</v>
      </c>
    </row>
    <row r="2024" spans="7:20" ht="14.4" x14ac:dyDescent="0.25">
      <c r="G2024" s="10">
        <v>1060</v>
      </c>
      <c r="H2024" s="9">
        <v>7841</v>
      </c>
      <c r="I2024" s="14">
        <f>DATE(2012,12,31)-225</f>
        <v>41049</v>
      </c>
      <c r="J2024" s="15" t="s">
        <v>28</v>
      </c>
      <c r="K2024" s="9">
        <v>21</v>
      </c>
      <c r="L2024" s="16" t="s">
        <v>29</v>
      </c>
      <c r="M2024" s="16">
        <f t="shared" si="189"/>
        <v>-0.31572297923858361</v>
      </c>
      <c r="N2024">
        <f t="shared" si="190"/>
        <v>0</v>
      </c>
      <c r="O2024">
        <f t="shared" si="191"/>
        <v>0</v>
      </c>
      <c r="P2024">
        <f t="shared" si="188"/>
        <v>4450</v>
      </c>
      <c r="Q2024">
        <f t="shared" si="192"/>
        <v>4450</v>
      </c>
      <c r="T2024" s="16">
        <f t="shared" si="193"/>
        <v>-0.315722979238584</v>
      </c>
    </row>
    <row r="2025" spans="7:20" ht="14.4" x14ac:dyDescent="0.25">
      <c r="G2025" s="10">
        <v>1061</v>
      </c>
      <c r="H2025" s="9">
        <v>7841</v>
      </c>
      <c r="I2025" s="14">
        <f>DATE(2012,12,31)-225</f>
        <v>41049</v>
      </c>
      <c r="J2025" s="15" t="s">
        <v>28</v>
      </c>
      <c r="K2025" s="9">
        <v>17</v>
      </c>
      <c r="L2025" s="16" t="s">
        <v>29</v>
      </c>
      <c r="M2025" s="16">
        <f t="shared" si="189"/>
        <v>-0.59196208571546938</v>
      </c>
      <c r="N2025">
        <f t="shared" si="190"/>
        <v>0</v>
      </c>
      <c r="O2025">
        <f t="shared" si="191"/>
        <v>0</v>
      </c>
      <c r="P2025">
        <f t="shared" si="188"/>
        <v>4250</v>
      </c>
      <c r="Q2025">
        <f t="shared" si="192"/>
        <v>4250</v>
      </c>
      <c r="T2025" s="16">
        <f t="shared" si="193"/>
        <v>-0.59196208571546971</v>
      </c>
    </row>
    <row r="2026" spans="7:20" ht="14.4" x14ac:dyDescent="0.25">
      <c r="G2026" s="10">
        <v>1104</v>
      </c>
      <c r="H2026" s="9">
        <v>8103</v>
      </c>
      <c r="I2026" s="14">
        <f>DATE(2012,12,31)-1155</f>
        <v>40119</v>
      </c>
      <c r="J2026" s="15" t="s">
        <v>25</v>
      </c>
      <c r="K2026" s="9">
        <v>16</v>
      </c>
      <c r="L2026" s="16" t="s">
        <v>26</v>
      </c>
      <c r="M2026" s="16">
        <f t="shared" si="189"/>
        <v>-0.66102186233469074</v>
      </c>
      <c r="N2026">
        <f t="shared" si="190"/>
        <v>0</v>
      </c>
      <c r="O2026">
        <f t="shared" si="191"/>
        <v>0</v>
      </c>
      <c r="P2026">
        <f t="shared" si="188"/>
        <v>4200</v>
      </c>
      <c r="Q2026">
        <f t="shared" si="192"/>
        <v>4200</v>
      </c>
      <c r="T2026" s="16">
        <f t="shared" si="193"/>
        <v>-0.66102186233469118</v>
      </c>
    </row>
    <row r="2027" spans="7:20" ht="14.4" x14ac:dyDescent="0.25">
      <c r="G2027" s="10">
        <v>1130</v>
      </c>
      <c r="H2027" s="9">
        <v>8258</v>
      </c>
      <c r="I2027" s="14">
        <f>DATE(2012,12,31)-1401</f>
        <v>39873</v>
      </c>
      <c r="J2027" s="15" t="s">
        <v>17</v>
      </c>
      <c r="K2027" s="9">
        <v>37</v>
      </c>
      <c r="L2027" s="16" t="s">
        <v>26</v>
      </c>
      <c r="M2027" s="16">
        <f t="shared" si="189"/>
        <v>0.78923344666895934</v>
      </c>
      <c r="N2027">
        <f t="shared" si="190"/>
        <v>0</v>
      </c>
      <c r="O2027">
        <f t="shared" si="191"/>
        <v>0</v>
      </c>
      <c r="P2027">
        <f t="shared" si="188"/>
        <v>5250</v>
      </c>
      <c r="Q2027">
        <f t="shared" si="192"/>
        <v>5250</v>
      </c>
      <c r="T2027" s="16">
        <f t="shared" si="193"/>
        <v>0.789233446668959</v>
      </c>
    </row>
    <row r="2028" spans="7:20" ht="14.4" x14ac:dyDescent="0.25">
      <c r="G2028" s="10">
        <v>1162</v>
      </c>
      <c r="H2028" s="9">
        <v>8454</v>
      </c>
      <c r="I2028" s="14">
        <f>DATE(2012,12,31)-138</f>
        <v>41136</v>
      </c>
      <c r="J2028" s="15" t="s">
        <v>16</v>
      </c>
      <c r="K2028" s="9">
        <v>38</v>
      </c>
      <c r="L2028" s="16" t="s">
        <v>26</v>
      </c>
      <c r="M2028" s="16">
        <f t="shared" si="189"/>
        <v>0.85829322328818081</v>
      </c>
      <c r="N2028">
        <f t="shared" si="190"/>
        <v>0</v>
      </c>
      <c r="O2028">
        <f t="shared" si="191"/>
        <v>0</v>
      </c>
      <c r="P2028">
        <f t="shared" si="188"/>
        <v>5300</v>
      </c>
      <c r="Q2028">
        <f t="shared" si="192"/>
        <v>5300</v>
      </c>
      <c r="T2028" s="16">
        <f t="shared" si="193"/>
        <v>0.85829322328818036</v>
      </c>
    </row>
    <row r="2029" spans="7:20" ht="14.4" x14ac:dyDescent="0.25">
      <c r="G2029" s="10">
        <v>1193</v>
      </c>
      <c r="H2029" s="9">
        <v>8710</v>
      </c>
      <c r="I2029" s="14">
        <f>DATE(2012,12,31)-1457</f>
        <v>39817</v>
      </c>
      <c r="J2029" s="15" t="s">
        <v>30</v>
      </c>
      <c r="K2029" s="9">
        <v>17</v>
      </c>
      <c r="L2029" s="16" t="s">
        <v>26</v>
      </c>
      <c r="M2029" s="16">
        <f t="shared" si="189"/>
        <v>-0.59196208571546938</v>
      </c>
      <c r="N2029">
        <f t="shared" si="190"/>
        <v>0</v>
      </c>
      <c r="O2029">
        <f t="shared" si="191"/>
        <v>0</v>
      </c>
      <c r="P2029">
        <f t="shared" si="188"/>
        <v>4250</v>
      </c>
      <c r="Q2029">
        <f t="shared" si="192"/>
        <v>4250</v>
      </c>
      <c r="T2029" s="16">
        <f t="shared" si="193"/>
        <v>-0.59196208571546971</v>
      </c>
    </row>
    <row r="2030" spans="7:20" ht="14.4" x14ac:dyDescent="0.25">
      <c r="G2030" s="10">
        <v>1194</v>
      </c>
      <c r="H2030" s="9">
        <v>8710</v>
      </c>
      <c r="I2030" s="14">
        <f>DATE(2012,12,31)-1457</f>
        <v>39817</v>
      </c>
      <c r="J2030" s="15" t="s">
        <v>30</v>
      </c>
      <c r="K2030" s="9">
        <v>42</v>
      </c>
      <c r="L2030" s="16" t="s">
        <v>26</v>
      </c>
      <c r="M2030" s="16">
        <f t="shared" si="189"/>
        <v>1.1345323297650665</v>
      </c>
      <c r="N2030">
        <f t="shared" si="190"/>
        <v>0</v>
      </c>
      <c r="O2030">
        <f t="shared" si="191"/>
        <v>0</v>
      </c>
      <c r="P2030">
        <f t="shared" si="188"/>
        <v>5500</v>
      </c>
      <c r="Q2030">
        <f t="shared" si="192"/>
        <v>5500</v>
      </c>
      <c r="T2030" s="16">
        <f t="shared" si="193"/>
        <v>1.1345323297650662</v>
      </c>
    </row>
    <row r="2031" spans="7:20" ht="14.4" x14ac:dyDescent="0.25">
      <c r="G2031" s="10">
        <v>1208</v>
      </c>
      <c r="H2031" s="9">
        <v>8835</v>
      </c>
      <c r="I2031" s="14">
        <f>DATE(2012,12,31)-1175</f>
        <v>40099</v>
      </c>
      <c r="J2031" s="15" t="s">
        <v>30</v>
      </c>
      <c r="K2031" s="9">
        <v>12</v>
      </c>
      <c r="L2031" s="16" t="s">
        <v>29</v>
      </c>
      <c r="M2031" s="16">
        <f t="shared" si="189"/>
        <v>-0.9372609688115765</v>
      </c>
      <c r="N2031">
        <f t="shared" si="190"/>
        <v>0</v>
      </c>
      <c r="O2031">
        <f t="shared" si="191"/>
        <v>0</v>
      </c>
      <c r="P2031">
        <f t="shared" si="188"/>
        <v>4000</v>
      </c>
      <c r="Q2031">
        <f t="shared" si="192"/>
        <v>4000</v>
      </c>
      <c r="T2031" s="16">
        <f t="shared" si="193"/>
        <v>-0.93726096881157694</v>
      </c>
    </row>
    <row r="2032" spans="7:20" ht="14.4" x14ac:dyDescent="0.25">
      <c r="G2032" s="10">
        <v>1217</v>
      </c>
      <c r="H2032" s="9">
        <v>8960</v>
      </c>
      <c r="I2032" s="14">
        <f>DATE(2012,12,31)-940</f>
        <v>40334</v>
      </c>
      <c r="J2032" s="15" t="s">
        <v>16</v>
      </c>
      <c r="K2032" s="9">
        <v>46</v>
      </c>
      <c r="L2032" s="16" t="s">
        <v>27</v>
      </c>
      <c r="M2032" s="16">
        <f t="shared" si="189"/>
        <v>1.4107714362419523</v>
      </c>
      <c r="N2032">
        <f t="shared" si="190"/>
        <v>0</v>
      </c>
      <c r="O2032">
        <f t="shared" si="191"/>
        <v>0</v>
      </c>
      <c r="P2032">
        <f t="shared" si="188"/>
        <v>5700</v>
      </c>
      <c r="Q2032">
        <f t="shared" si="192"/>
        <v>5700</v>
      </c>
      <c r="T2032" s="16">
        <f t="shared" si="193"/>
        <v>1.4107714362419519</v>
      </c>
    </row>
    <row r="2033" spans="7:20" ht="14.4" x14ac:dyDescent="0.25">
      <c r="G2033" s="10">
        <v>1218</v>
      </c>
      <c r="H2033" s="9">
        <v>8960</v>
      </c>
      <c r="I2033" s="14">
        <f>DATE(2012,12,31)-940</f>
        <v>40334</v>
      </c>
      <c r="J2033" s="15" t="s">
        <v>16</v>
      </c>
      <c r="K2033" s="9">
        <v>15</v>
      </c>
      <c r="L2033" s="16" t="s">
        <v>27</v>
      </c>
      <c r="M2033" s="16">
        <f t="shared" si="189"/>
        <v>-0.7300816389539122</v>
      </c>
      <c r="N2033">
        <f t="shared" si="190"/>
        <v>0</v>
      </c>
      <c r="O2033">
        <f t="shared" si="191"/>
        <v>0</v>
      </c>
      <c r="P2033">
        <f t="shared" si="188"/>
        <v>4150</v>
      </c>
      <c r="Q2033">
        <f t="shared" si="192"/>
        <v>4150</v>
      </c>
      <c r="T2033" s="16">
        <f t="shared" si="193"/>
        <v>-0.73008163895391265</v>
      </c>
    </row>
    <row r="2034" spans="7:20" ht="14.4" x14ac:dyDescent="0.25">
      <c r="G2034" s="10">
        <v>1277</v>
      </c>
      <c r="H2034" s="9">
        <v>9281</v>
      </c>
      <c r="I2034" s="14">
        <f>DATE(2012,12,31)-312</f>
        <v>40962</v>
      </c>
      <c r="J2034" s="15" t="s">
        <v>30</v>
      </c>
      <c r="K2034" s="9">
        <v>31</v>
      </c>
      <c r="L2034" s="16" t="s">
        <v>26</v>
      </c>
      <c r="M2034" s="16">
        <f t="shared" si="189"/>
        <v>0.37487478695363075</v>
      </c>
      <c r="N2034">
        <f t="shared" si="190"/>
        <v>0</v>
      </c>
      <c r="O2034">
        <f t="shared" si="191"/>
        <v>0</v>
      </c>
      <c r="P2034">
        <f t="shared" si="188"/>
        <v>4950</v>
      </c>
      <c r="Q2034">
        <f t="shared" si="192"/>
        <v>4950</v>
      </c>
      <c r="T2034" s="16">
        <f t="shared" si="193"/>
        <v>0.37487478695363036</v>
      </c>
    </row>
    <row r="2035" spans="7:20" ht="14.4" x14ac:dyDescent="0.25">
      <c r="G2035" s="10">
        <v>1278</v>
      </c>
      <c r="H2035" s="9">
        <v>9281</v>
      </c>
      <c r="I2035" s="14">
        <f>DATE(2012,12,31)-312</f>
        <v>40962</v>
      </c>
      <c r="J2035" s="15" t="s">
        <v>30</v>
      </c>
      <c r="K2035" s="9">
        <v>24</v>
      </c>
      <c r="L2035" s="16" t="s">
        <v>26</v>
      </c>
      <c r="M2035" s="16">
        <f t="shared" si="189"/>
        <v>-0.1085436493809193</v>
      </c>
      <c r="N2035">
        <f t="shared" si="190"/>
        <v>0</v>
      </c>
      <c r="O2035">
        <f t="shared" si="191"/>
        <v>0</v>
      </c>
      <c r="P2035">
        <f t="shared" si="188"/>
        <v>4600</v>
      </c>
      <c r="Q2035">
        <f t="shared" si="192"/>
        <v>4600</v>
      </c>
      <c r="T2035" s="16">
        <f t="shared" si="193"/>
        <v>-0.10854364938091969</v>
      </c>
    </row>
    <row r="2036" spans="7:20" ht="14.4" x14ac:dyDescent="0.25">
      <c r="G2036" s="10">
        <v>1285</v>
      </c>
      <c r="H2036" s="9">
        <v>9350</v>
      </c>
      <c r="I2036" s="14">
        <f>DATE(2012,12,31)-61</f>
        <v>41213</v>
      </c>
      <c r="J2036" s="15" t="s">
        <v>30</v>
      </c>
      <c r="K2036" s="9">
        <v>13</v>
      </c>
      <c r="L2036" s="16" t="s">
        <v>29</v>
      </c>
      <c r="M2036" s="16">
        <f t="shared" si="189"/>
        <v>-0.86820119219235514</v>
      </c>
      <c r="N2036">
        <f t="shared" si="190"/>
        <v>0</v>
      </c>
      <c r="O2036">
        <f t="shared" si="191"/>
        <v>0</v>
      </c>
      <c r="P2036">
        <f t="shared" si="188"/>
        <v>4050</v>
      </c>
      <c r="Q2036">
        <f t="shared" si="192"/>
        <v>4050</v>
      </c>
      <c r="T2036" s="16">
        <f t="shared" si="193"/>
        <v>-0.86820119219235548</v>
      </c>
    </row>
    <row r="2037" spans="7:20" ht="14.4" x14ac:dyDescent="0.25">
      <c r="G2037" s="10">
        <v>1286</v>
      </c>
      <c r="H2037" s="9">
        <v>9350</v>
      </c>
      <c r="I2037" s="14">
        <f>DATE(2012,12,31)-61</f>
        <v>41213</v>
      </c>
      <c r="J2037" s="15" t="s">
        <v>30</v>
      </c>
      <c r="K2037" s="9">
        <v>2</v>
      </c>
      <c r="L2037" s="16" t="s">
        <v>29</v>
      </c>
      <c r="M2037" s="16">
        <f t="shared" si="189"/>
        <v>-1.627858735003791</v>
      </c>
      <c r="N2037">
        <f t="shared" si="190"/>
        <v>0</v>
      </c>
      <c r="O2037">
        <f t="shared" si="191"/>
        <v>0</v>
      </c>
      <c r="P2037">
        <f t="shared" si="188"/>
        <v>3500</v>
      </c>
      <c r="Q2037">
        <f t="shared" si="192"/>
        <v>3500</v>
      </c>
      <c r="T2037" s="16">
        <f t="shared" si="193"/>
        <v>-1.6278587350037912</v>
      </c>
    </row>
    <row r="2038" spans="7:20" ht="14.4" x14ac:dyDescent="0.25">
      <c r="G2038" s="10">
        <v>1322</v>
      </c>
      <c r="H2038" s="9">
        <v>9665</v>
      </c>
      <c r="I2038" s="14">
        <f>DATE(2012,12,31)-1348</f>
        <v>39926</v>
      </c>
      <c r="J2038" s="15" t="s">
        <v>25</v>
      </c>
      <c r="K2038" s="9">
        <v>50</v>
      </c>
      <c r="L2038" s="16" t="s">
        <v>26</v>
      </c>
      <c r="M2038" s="16">
        <f t="shared" si="189"/>
        <v>1.687010542718838</v>
      </c>
      <c r="N2038">
        <f t="shared" si="190"/>
        <v>0</v>
      </c>
      <c r="O2038">
        <f t="shared" si="191"/>
        <v>0</v>
      </c>
      <c r="P2038">
        <f t="shared" si="188"/>
        <v>5900</v>
      </c>
      <c r="Q2038">
        <f t="shared" si="192"/>
        <v>5900</v>
      </c>
      <c r="T2038" s="16">
        <f t="shared" si="193"/>
        <v>1.6870105427188375</v>
      </c>
    </row>
    <row r="2039" spans="7:20" ht="14.4" x14ac:dyDescent="0.25">
      <c r="G2039" s="10">
        <v>1323</v>
      </c>
      <c r="H2039" s="9">
        <v>9665</v>
      </c>
      <c r="I2039" s="14">
        <f>DATE(2012,12,31)-1348</f>
        <v>39926</v>
      </c>
      <c r="J2039" s="15" t="s">
        <v>25</v>
      </c>
      <c r="K2039" s="9">
        <v>19</v>
      </c>
      <c r="L2039" s="16" t="s">
        <v>29</v>
      </c>
      <c r="M2039" s="16">
        <f t="shared" si="189"/>
        <v>-0.45384253247702649</v>
      </c>
      <c r="N2039">
        <f t="shared" si="190"/>
        <v>0</v>
      </c>
      <c r="O2039">
        <f t="shared" si="191"/>
        <v>0</v>
      </c>
      <c r="P2039">
        <f t="shared" si="188"/>
        <v>4350</v>
      </c>
      <c r="Q2039">
        <f t="shared" si="192"/>
        <v>4350</v>
      </c>
      <c r="T2039" s="16">
        <f t="shared" si="193"/>
        <v>-0.45384253247702688</v>
      </c>
    </row>
    <row r="2040" spans="7:20" ht="14.4" x14ac:dyDescent="0.25">
      <c r="G2040" s="10">
        <v>1324</v>
      </c>
      <c r="H2040" s="9">
        <v>9665</v>
      </c>
      <c r="I2040" s="14">
        <f>DATE(2012,12,31)-1348</f>
        <v>39926</v>
      </c>
      <c r="J2040" s="15" t="s">
        <v>25</v>
      </c>
      <c r="K2040" s="9">
        <v>49</v>
      </c>
      <c r="L2040" s="16" t="s">
        <v>29</v>
      </c>
      <c r="M2040" s="16">
        <f t="shared" si="189"/>
        <v>1.6179507660996166</v>
      </c>
      <c r="N2040">
        <f t="shared" si="190"/>
        <v>0</v>
      </c>
      <c r="O2040">
        <f t="shared" si="191"/>
        <v>0</v>
      </c>
      <c r="P2040">
        <f t="shared" si="188"/>
        <v>5850</v>
      </c>
      <c r="Q2040">
        <f t="shared" si="192"/>
        <v>5850</v>
      </c>
      <c r="T2040" s="16">
        <f t="shared" si="193"/>
        <v>1.6179507660996162</v>
      </c>
    </row>
    <row r="2041" spans="7:20" ht="14.4" x14ac:dyDescent="0.25">
      <c r="G2041" s="10">
        <v>1357</v>
      </c>
      <c r="H2041" s="9">
        <v>9893</v>
      </c>
      <c r="I2041" s="14">
        <f>DATE(2012,12,31)-1233</f>
        <v>40041</v>
      </c>
      <c r="J2041" s="15" t="s">
        <v>16</v>
      </c>
      <c r="K2041" s="9">
        <v>1</v>
      </c>
      <c r="L2041" s="16" t="s">
        <v>29</v>
      </c>
      <c r="M2041" s="16">
        <f t="shared" si="189"/>
        <v>-1.6969185116230123</v>
      </c>
      <c r="N2041">
        <f t="shared" si="190"/>
        <v>0</v>
      </c>
      <c r="O2041">
        <f t="shared" si="191"/>
        <v>0</v>
      </c>
      <c r="P2041">
        <f t="shared" si="188"/>
        <v>3450</v>
      </c>
      <c r="Q2041">
        <f t="shared" si="192"/>
        <v>3450</v>
      </c>
      <c r="T2041" s="16">
        <f t="shared" si="193"/>
        <v>-1.6969185116230128</v>
      </c>
    </row>
    <row r="2042" spans="7:20" ht="14.4" x14ac:dyDescent="0.25">
      <c r="G2042" s="10">
        <v>1401</v>
      </c>
      <c r="H2042" s="9">
        <v>10183</v>
      </c>
      <c r="I2042" s="14">
        <f>DATE(2012,12,31)-1133</f>
        <v>40141</v>
      </c>
      <c r="J2042" s="15" t="s">
        <v>30</v>
      </c>
      <c r="K2042" s="9">
        <v>48</v>
      </c>
      <c r="L2042" s="16" t="s">
        <v>29</v>
      </c>
      <c r="M2042" s="16">
        <f t="shared" si="189"/>
        <v>1.5488909894803951</v>
      </c>
      <c r="N2042">
        <f t="shared" si="190"/>
        <v>0</v>
      </c>
      <c r="O2042">
        <f t="shared" si="191"/>
        <v>0</v>
      </c>
      <c r="P2042">
        <f t="shared" si="188"/>
        <v>5800</v>
      </c>
      <c r="Q2042">
        <f t="shared" si="192"/>
        <v>5800</v>
      </c>
      <c r="T2042" s="16">
        <f t="shared" si="193"/>
        <v>1.5488909894803948</v>
      </c>
    </row>
    <row r="2043" spans="7:20" ht="14.4" x14ac:dyDescent="0.25">
      <c r="G2043" s="10">
        <v>1413</v>
      </c>
      <c r="H2043" s="9">
        <v>10247</v>
      </c>
      <c r="I2043" s="14">
        <f>DATE(2012,12,31)-1086</f>
        <v>40188</v>
      </c>
      <c r="J2043" s="15" t="s">
        <v>16</v>
      </c>
      <c r="K2043" s="9">
        <v>21</v>
      </c>
      <c r="L2043" s="16" t="s">
        <v>26</v>
      </c>
      <c r="M2043" s="16">
        <f t="shared" si="189"/>
        <v>-0.31572297923858361</v>
      </c>
      <c r="N2043">
        <f t="shared" si="190"/>
        <v>0</v>
      </c>
      <c r="O2043">
        <f t="shared" si="191"/>
        <v>0</v>
      </c>
      <c r="P2043">
        <f t="shared" si="188"/>
        <v>4450</v>
      </c>
      <c r="Q2043">
        <f t="shared" si="192"/>
        <v>4450</v>
      </c>
      <c r="T2043" s="16">
        <f t="shared" si="193"/>
        <v>-0.315722979238584</v>
      </c>
    </row>
    <row r="2044" spans="7:20" ht="14.4" x14ac:dyDescent="0.25">
      <c r="G2044" s="10">
        <v>1414</v>
      </c>
      <c r="H2044" s="9">
        <v>10247</v>
      </c>
      <c r="I2044" s="14">
        <f>DATE(2012,12,31)-1086</f>
        <v>40188</v>
      </c>
      <c r="J2044" s="15" t="s">
        <v>16</v>
      </c>
      <c r="K2044" s="9">
        <v>24</v>
      </c>
      <c r="L2044" s="16" t="s">
        <v>27</v>
      </c>
      <c r="M2044" s="16">
        <f t="shared" si="189"/>
        <v>-0.1085436493809193</v>
      </c>
      <c r="N2044">
        <f t="shared" si="190"/>
        <v>0</v>
      </c>
      <c r="O2044">
        <f t="shared" si="191"/>
        <v>0</v>
      </c>
      <c r="P2044">
        <f t="shared" si="188"/>
        <v>4600</v>
      </c>
      <c r="Q2044">
        <f t="shared" si="192"/>
        <v>4600</v>
      </c>
      <c r="T2044" s="16">
        <f t="shared" si="193"/>
        <v>-0.10854364938091969</v>
      </c>
    </row>
    <row r="2045" spans="7:20" ht="14.4" x14ac:dyDescent="0.25">
      <c r="G2045" s="10">
        <v>1438</v>
      </c>
      <c r="H2045" s="9">
        <v>10371</v>
      </c>
      <c r="I2045" s="14">
        <f>DATE(2012,12,31)-1202</f>
        <v>40072</v>
      </c>
      <c r="J2045" s="15" t="s">
        <v>17</v>
      </c>
      <c r="K2045" s="9">
        <v>10</v>
      </c>
      <c r="L2045" s="16" t="s">
        <v>26</v>
      </c>
      <c r="M2045" s="16">
        <f t="shared" si="189"/>
        <v>-1.0753805220500194</v>
      </c>
      <c r="N2045">
        <f t="shared" si="190"/>
        <v>0</v>
      </c>
      <c r="O2045">
        <f t="shared" si="191"/>
        <v>0</v>
      </c>
      <c r="P2045">
        <f t="shared" si="188"/>
        <v>3900</v>
      </c>
      <c r="Q2045">
        <f t="shared" si="192"/>
        <v>3900</v>
      </c>
      <c r="T2045" s="16">
        <f t="shared" si="193"/>
        <v>-1.0753805220500199</v>
      </c>
    </row>
    <row r="2046" spans="7:20" ht="14.4" x14ac:dyDescent="0.25">
      <c r="G2046" s="10">
        <v>1456</v>
      </c>
      <c r="H2046" s="9">
        <v>10498</v>
      </c>
      <c r="I2046" s="14">
        <f>DATE(2012,12,31)-800</f>
        <v>40474</v>
      </c>
      <c r="J2046" s="15" t="s">
        <v>25</v>
      </c>
      <c r="K2046" s="9">
        <v>47</v>
      </c>
      <c r="L2046" s="16" t="s">
        <v>26</v>
      </c>
      <c r="M2046" s="16">
        <f t="shared" si="189"/>
        <v>1.4798312128611737</v>
      </c>
      <c r="N2046">
        <f t="shared" si="190"/>
        <v>0</v>
      </c>
      <c r="O2046">
        <f t="shared" si="191"/>
        <v>0</v>
      </c>
      <c r="P2046">
        <f t="shared" si="188"/>
        <v>5750</v>
      </c>
      <c r="Q2046">
        <f t="shared" si="192"/>
        <v>5750</v>
      </c>
      <c r="T2046" s="16">
        <f t="shared" si="193"/>
        <v>1.4798312128611733</v>
      </c>
    </row>
    <row r="2047" spans="7:20" ht="14.4" x14ac:dyDescent="0.25">
      <c r="G2047" s="10">
        <v>1470</v>
      </c>
      <c r="H2047" s="9">
        <v>10624</v>
      </c>
      <c r="I2047" s="14">
        <f>DATE(2012,12,31)-1107</f>
        <v>40167</v>
      </c>
      <c r="J2047" s="15" t="s">
        <v>30</v>
      </c>
      <c r="K2047" s="9">
        <v>23</v>
      </c>
      <c r="L2047" s="16" t="s">
        <v>27</v>
      </c>
      <c r="M2047" s="16">
        <f t="shared" si="189"/>
        <v>-0.17760342600014073</v>
      </c>
      <c r="N2047">
        <f t="shared" si="190"/>
        <v>0</v>
      </c>
      <c r="O2047">
        <f t="shared" si="191"/>
        <v>0</v>
      </c>
      <c r="P2047">
        <f t="shared" si="188"/>
        <v>4550</v>
      </c>
      <c r="Q2047">
        <f t="shared" si="192"/>
        <v>4550</v>
      </c>
      <c r="T2047" s="16">
        <f t="shared" si="193"/>
        <v>-0.17760342600014112</v>
      </c>
    </row>
    <row r="2048" spans="7:20" ht="14.4" x14ac:dyDescent="0.25">
      <c r="G2048" s="10">
        <v>1579</v>
      </c>
      <c r="H2048" s="9">
        <v>11425</v>
      </c>
      <c r="I2048" s="14">
        <f>DATE(2012,12,31)-558</f>
        <v>40716</v>
      </c>
      <c r="J2048" s="15" t="s">
        <v>30</v>
      </c>
      <c r="K2048" s="9">
        <v>29</v>
      </c>
      <c r="L2048" s="16" t="s">
        <v>26</v>
      </c>
      <c r="M2048" s="16">
        <f t="shared" si="189"/>
        <v>0.23675523371518786</v>
      </c>
      <c r="N2048">
        <f t="shared" si="190"/>
        <v>0</v>
      </c>
      <c r="O2048">
        <f t="shared" si="191"/>
        <v>0</v>
      </c>
      <c r="P2048">
        <f t="shared" si="188"/>
        <v>4850</v>
      </c>
      <c r="Q2048">
        <f t="shared" si="192"/>
        <v>4850</v>
      </c>
      <c r="T2048" s="16">
        <f t="shared" si="193"/>
        <v>0.2367552337151875</v>
      </c>
    </row>
    <row r="2049" spans="7:20" ht="14.4" x14ac:dyDescent="0.25">
      <c r="G2049" s="10">
        <v>1580</v>
      </c>
      <c r="H2049" s="9">
        <v>11425</v>
      </c>
      <c r="I2049" s="14">
        <f>DATE(2012,12,31)-558</f>
        <v>40716</v>
      </c>
      <c r="J2049" s="15" t="s">
        <v>30</v>
      </c>
      <c r="K2049" s="9">
        <v>23</v>
      </c>
      <c r="L2049" s="16" t="s">
        <v>27</v>
      </c>
      <c r="M2049" s="16">
        <f t="shared" si="189"/>
        <v>-0.17760342600014073</v>
      </c>
      <c r="N2049">
        <f t="shared" si="190"/>
        <v>0</v>
      </c>
      <c r="O2049">
        <f t="shared" si="191"/>
        <v>0</v>
      </c>
      <c r="P2049">
        <f t="shared" si="188"/>
        <v>4550</v>
      </c>
      <c r="Q2049">
        <f t="shared" si="192"/>
        <v>4550</v>
      </c>
      <c r="T2049" s="16">
        <f t="shared" si="193"/>
        <v>-0.17760342600014112</v>
      </c>
    </row>
    <row r="2050" spans="7:20" ht="14.4" x14ac:dyDescent="0.25">
      <c r="G2050" s="10">
        <v>1591</v>
      </c>
      <c r="H2050" s="9">
        <v>11491</v>
      </c>
      <c r="I2050" s="14">
        <f>DATE(2012,12,31)-867</f>
        <v>40407</v>
      </c>
      <c r="J2050" s="15" t="s">
        <v>25</v>
      </c>
      <c r="K2050" s="9">
        <v>26</v>
      </c>
      <c r="L2050" s="16" t="s">
        <v>27</v>
      </c>
      <c r="M2050" s="16">
        <f t="shared" si="189"/>
        <v>2.9575903857523567E-2</v>
      </c>
      <c r="N2050">
        <f t="shared" si="190"/>
        <v>0</v>
      </c>
      <c r="O2050">
        <f t="shared" si="191"/>
        <v>0</v>
      </c>
      <c r="P2050">
        <f t="shared" si="188"/>
        <v>4700</v>
      </c>
      <c r="Q2050">
        <f t="shared" si="192"/>
        <v>4700</v>
      </c>
      <c r="T2050" s="16">
        <f t="shared" si="193"/>
        <v>2.9575903857523185E-2</v>
      </c>
    </row>
    <row r="2051" spans="7:20" ht="14.4" x14ac:dyDescent="0.25">
      <c r="G2051" s="10">
        <v>1592</v>
      </c>
      <c r="H2051" s="9">
        <v>11491</v>
      </c>
      <c r="I2051" s="14">
        <f>DATE(2012,12,31)-867</f>
        <v>40407</v>
      </c>
      <c r="J2051" s="15" t="s">
        <v>25</v>
      </c>
      <c r="K2051" s="9">
        <v>38</v>
      </c>
      <c r="L2051" s="16" t="s">
        <v>29</v>
      </c>
      <c r="M2051" s="16">
        <f t="shared" si="189"/>
        <v>0.85829322328818081</v>
      </c>
      <c r="N2051">
        <f t="shared" si="190"/>
        <v>0</v>
      </c>
      <c r="O2051">
        <f t="shared" si="191"/>
        <v>0</v>
      </c>
      <c r="P2051">
        <f t="shared" si="188"/>
        <v>5300</v>
      </c>
      <c r="Q2051">
        <f t="shared" si="192"/>
        <v>5300</v>
      </c>
      <c r="T2051" s="16">
        <f t="shared" si="193"/>
        <v>0.85829322328818036</v>
      </c>
    </row>
    <row r="2052" spans="7:20" ht="14.4" x14ac:dyDescent="0.25">
      <c r="G2052" s="10">
        <v>1636</v>
      </c>
      <c r="H2052" s="9">
        <v>11841</v>
      </c>
      <c r="I2052" s="14">
        <f>DATE(2012,12,31)-986</f>
        <v>40288</v>
      </c>
      <c r="J2052" s="15" t="s">
        <v>16</v>
      </c>
      <c r="K2052" s="9">
        <v>44</v>
      </c>
      <c r="L2052" s="16" t="s">
        <v>26</v>
      </c>
      <c r="M2052" s="16">
        <f t="shared" si="189"/>
        <v>1.2726518830035094</v>
      </c>
      <c r="N2052">
        <f t="shared" si="190"/>
        <v>0</v>
      </c>
      <c r="O2052">
        <f t="shared" si="191"/>
        <v>0</v>
      </c>
      <c r="P2052">
        <f t="shared" si="188"/>
        <v>5600</v>
      </c>
      <c r="Q2052">
        <f t="shared" si="192"/>
        <v>5600</v>
      </c>
      <c r="T2052" s="16">
        <f t="shared" si="193"/>
        <v>1.272651883003509</v>
      </c>
    </row>
    <row r="2053" spans="7:20" ht="14.4" x14ac:dyDescent="0.25">
      <c r="G2053" s="10">
        <v>1637</v>
      </c>
      <c r="H2053" s="9">
        <v>11841</v>
      </c>
      <c r="I2053" s="14">
        <f>DATE(2012,12,31)-986</f>
        <v>40288</v>
      </c>
      <c r="J2053" s="15" t="s">
        <v>16</v>
      </c>
      <c r="K2053" s="9">
        <v>46</v>
      </c>
      <c r="L2053" s="16" t="s">
        <v>26</v>
      </c>
      <c r="M2053" s="16">
        <f t="shared" si="189"/>
        <v>1.4107714362419523</v>
      </c>
      <c r="N2053">
        <f t="shared" si="190"/>
        <v>0</v>
      </c>
      <c r="O2053">
        <f t="shared" si="191"/>
        <v>0</v>
      </c>
      <c r="P2053">
        <f t="shared" si="188"/>
        <v>5700</v>
      </c>
      <c r="Q2053">
        <f t="shared" si="192"/>
        <v>5700</v>
      </c>
      <c r="T2053" s="16">
        <f t="shared" si="193"/>
        <v>1.4107714362419519</v>
      </c>
    </row>
    <row r="2054" spans="7:20" ht="14.4" x14ac:dyDescent="0.25">
      <c r="G2054" s="10">
        <v>1648</v>
      </c>
      <c r="H2054" s="9">
        <v>11878</v>
      </c>
      <c r="I2054" s="14">
        <f>DATE(2012,12,31)-1041</f>
        <v>40233</v>
      </c>
      <c r="J2054" s="15" t="s">
        <v>28</v>
      </c>
      <c r="K2054" s="9">
        <v>18</v>
      </c>
      <c r="L2054" s="16" t="s">
        <v>26</v>
      </c>
      <c r="M2054" s="16">
        <f t="shared" si="189"/>
        <v>-0.52290230909624791</v>
      </c>
      <c r="N2054">
        <f t="shared" si="190"/>
        <v>0</v>
      </c>
      <c r="O2054">
        <f t="shared" si="191"/>
        <v>0</v>
      </c>
      <c r="P2054">
        <f t="shared" si="188"/>
        <v>4300</v>
      </c>
      <c r="Q2054">
        <f t="shared" si="192"/>
        <v>4300</v>
      </c>
      <c r="T2054" s="16">
        <f t="shared" si="193"/>
        <v>-0.52290230909624835</v>
      </c>
    </row>
    <row r="2055" spans="7:20" ht="14.4" x14ac:dyDescent="0.25">
      <c r="G2055" s="10">
        <v>1649</v>
      </c>
      <c r="H2055" s="9">
        <v>11878</v>
      </c>
      <c r="I2055" s="14">
        <f>DATE(2012,12,31)-1041</f>
        <v>40233</v>
      </c>
      <c r="J2055" s="15" t="s">
        <v>28</v>
      </c>
      <c r="K2055" s="9">
        <v>15</v>
      </c>
      <c r="L2055" s="16" t="s">
        <v>26</v>
      </c>
      <c r="M2055" s="16">
        <f t="shared" si="189"/>
        <v>-0.7300816389539122</v>
      </c>
      <c r="N2055">
        <f t="shared" si="190"/>
        <v>0</v>
      </c>
      <c r="O2055">
        <f t="shared" si="191"/>
        <v>0</v>
      </c>
      <c r="P2055">
        <f t="shared" si="188"/>
        <v>4150</v>
      </c>
      <c r="Q2055">
        <f t="shared" si="192"/>
        <v>4150</v>
      </c>
      <c r="T2055" s="16">
        <f t="shared" si="193"/>
        <v>-0.73008163895391265</v>
      </c>
    </row>
    <row r="2056" spans="7:20" ht="14.4" x14ac:dyDescent="0.25">
      <c r="G2056" s="10">
        <v>1682</v>
      </c>
      <c r="H2056" s="9">
        <v>12130</v>
      </c>
      <c r="I2056" s="14">
        <f>DATE(2012,12,31)-388</f>
        <v>40886</v>
      </c>
      <c r="J2056" s="15" t="s">
        <v>28</v>
      </c>
      <c r="K2056" s="9">
        <v>37</v>
      </c>
      <c r="L2056" s="16" t="s">
        <v>29</v>
      </c>
      <c r="M2056" s="16">
        <f t="shared" si="189"/>
        <v>0.78923344666895934</v>
      </c>
      <c r="N2056">
        <f t="shared" si="190"/>
        <v>0</v>
      </c>
      <c r="O2056">
        <f t="shared" si="191"/>
        <v>0</v>
      </c>
      <c r="P2056">
        <f t="shared" si="188"/>
        <v>5250</v>
      </c>
      <c r="Q2056">
        <f t="shared" si="192"/>
        <v>5250</v>
      </c>
      <c r="T2056" s="16">
        <f t="shared" si="193"/>
        <v>0.789233446668959</v>
      </c>
    </row>
    <row r="2057" spans="7:20" ht="14.4" x14ac:dyDescent="0.25">
      <c r="G2057" s="10">
        <v>1683</v>
      </c>
      <c r="H2057" s="9">
        <v>12130</v>
      </c>
      <c r="I2057" s="14">
        <f>DATE(2012,12,31)-388</f>
        <v>40886</v>
      </c>
      <c r="J2057" s="15" t="s">
        <v>28</v>
      </c>
      <c r="K2057" s="9">
        <v>42</v>
      </c>
      <c r="L2057" s="16" t="s">
        <v>27</v>
      </c>
      <c r="M2057" s="16">
        <f t="shared" si="189"/>
        <v>1.1345323297650665</v>
      </c>
      <c r="N2057">
        <f t="shared" si="190"/>
        <v>0</v>
      </c>
      <c r="O2057">
        <f t="shared" si="191"/>
        <v>0</v>
      </c>
      <c r="P2057">
        <f t="shared" si="188"/>
        <v>5500</v>
      </c>
      <c r="Q2057">
        <f t="shared" si="192"/>
        <v>5500</v>
      </c>
      <c r="T2057" s="16">
        <f t="shared" si="193"/>
        <v>1.1345323297650662</v>
      </c>
    </row>
    <row r="2058" spans="7:20" ht="14.4" x14ac:dyDescent="0.25">
      <c r="G2058" s="10">
        <v>1684</v>
      </c>
      <c r="H2058" s="9">
        <v>12160</v>
      </c>
      <c r="I2058" s="14">
        <f>DATE(2012,12,31)-750</f>
        <v>40524</v>
      </c>
      <c r="J2058" s="15" t="s">
        <v>25</v>
      </c>
      <c r="K2058" s="9">
        <v>48</v>
      </c>
      <c r="L2058" s="16" t="s">
        <v>29</v>
      </c>
      <c r="M2058" s="16">
        <f t="shared" si="189"/>
        <v>1.5488909894803951</v>
      </c>
      <c r="N2058">
        <f t="shared" si="190"/>
        <v>0</v>
      </c>
      <c r="O2058">
        <f t="shared" si="191"/>
        <v>0</v>
      </c>
      <c r="P2058">
        <f t="shared" si="188"/>
        <v>5800</v>
      </c>
      <c r="Q2058">
        <f t="shared" si="192"/>
        <v>5800</v>
      </c>
      <c r="T2058" s="16">
        <f t="shared" si="193"/>
        <v>1.5488909894803948</v>
      </c>
    </row>
    <row r="2059" spans="7:20" ht="14.4" x14ac:dyDescent="0.25">
      <c r="G2059" s="10">
        <v>1685</v>
      </c>
      <c r="H2059" s="9">
        <v>12160</v>
      </c>
      <c r="I2059" s="14">
        <f>DATE(2012,12,31)-750</f>
        <v>40524</v>
      </c>
      <c r="J2059" s="15" t="s">
        <v>25</v>
      </c>
      <c r="K2059" s="9">
        <v>2</v>
      </c>
      <c r="L2059" s="16" t="s">
        <v>29</v>
      </c>
      <c r="M2059" s="16">
        <f t="shared" si="189"/>
        <v>-1.627858735003791</v>
      </c>
      <c r="N2059">
        <f t="shared" si="190"/>
        <v>0</v>
      </c>
      <c r="O2059">
        <f t="shared" si="191"/>
        <v>0</v>
      </c>
      <c r="P2059">
        <f t="shared" si="188"/>
        <v>3500</v>
      </c>
      <c r="Q2059">
        <f t="shared" si="192"/>
        <v>3500</v>
      </c>
      <c r="T2059" s="16">
        <f t="shared" si="193"/>
        <v>-1.6278587350037912</v>
      </c>
    </row>
    <row r="2060" spans="7:20" ht="14.4" x14ac:dyDescent="0.25">
      <c r="G2060" s="10">
        <v>1686</v>
      </c>
      <c r="H2060" s="9">
        <v>12160</v>
      </c>
      <c r="I2060" s="14">
        <f>DATE(2012,12,31)-750</f>
        <v>40524</v>
      </c>
      <c r="J2060" s="15" t="s">
        <v>25</v>
      </c>
      <c r="K2060" s="9">
        <v>9</v>
      </c>
      <c r="L2060" s="16" t="s">
        <v>29</v>
      </c>
      <c r="M2060" s="16">
        <f t="shared" si="189"/>
        <v>-1.1444402986692408</v>
      </c>
      <c r="N2060">
        <f t="shared" si="190"/>
        <v>0</v>
      </c>
      <c r="O2060">
        <f t="shared" si="191"/>
        <v>0</v>
      </c>
      <c r="P2060">
        <f t="shared" ref="P2060:P2123" si="194">50*K2060+$P$10</f>
        <v>3850</v>
      </c>
      <c r="Q2060">
        <f t="shared" si="192"/>
        <v>3850</v>
      </c>
      <c r="T2060" s="16">
        <f t="shared" si="193"/>
        <v>-1.1444402986692412</v>
      </c>
    </row>
    <row r="2061" spans="7:20" ht="14.4" x14ac:dyDescent="0.25">
      <c r="G2061" s="10">
        <v>1697</v>
      </c>
      <c r="H2061" s="9">
        <v>12258</v>
      </c>
      <c r="I2061" s="14">
        <f>DATE(2012,12,31)-1127</f>
        <v>40147</v>
      </c>
      <c r="J2061" s="15" t="s">
        <v>25</v>
      </c>
      <c r="K2061" s="9">
        <v>3</v>
      </c>
      <c r="L2061" s="16" t="s">
        <v>29</v>
      </c>
      <c r="M2061" s="16">
        <f t="shared" ref="M2061:M2124" si="195">(K2061-$K$4)/$K$7</f>
        <v>-1.5587989583845694</v>
      </c>
      <c r="N2061">
        <f t="shared" ref="N2061:N2124" si="196">IF(MOD($B$20+G2061,1000)=0,1,0)</f>
        <v>0</v>
      </c>
      <c r="O2061">
        <f t="shared" ref="O2061:O2124" si="197">+ROUND(N2061*(IF(K2061&lt;$K$4,-4.5,10.5)*$P$5),-2)</f>
        <v>0</v>
      </c>
      <c r="P2061">
        <f t="shared" si="194"/>
        <v>3550</v>
      </c>
      <c r="Q2061">
        <f t="shared" ref="Q2061:Q2124" si="198">P2061+O2061</f>
        <v>3550</v>
      </c>
      <c r="T2061" s="16">
        <f t="shared" ref="T2061:T2124" si="199">(Q2061-$P$4)/$P$5</f>
        <v>-1.5587989583845698</v>
      </c>
    </row>
    <row r="2062" spans="7:20" ht="14.4" x14ac:dyDescent="0.25">
      <c r="G2062" s="10">
        <v>1698</v>
      </c>
      <c r="H2062" s="9">
        <v>12258</v>
      </c>
      <c r="I2062" s="14">
        <f>DATE(2012,12,31)-1127</f>
        <v>40147</v>
      </c>
      <c r="J2062" s="15" t="s">
        <v>25</v>
      </c>
      <c r="K2062" s="9">
        <v>2</v>
      </c>
      <c r="L2062" s="16" t="s">
        <v>26</v>
      </c>
      <c r="M2062" s="16">
        <f t="shared" si="195"/>
        <v>-1.627858735003791</v>
      </c>
      <c r="N2062">
        <f t="shared" si="196"/>
        <v>0</v>
      </c>
      <c r="O2062">
        <f t="shared" si="197"/>
        <v>0</v>
      </c>
      <c r="P2062">
        <f t="shared" si="194"/>
        <v>3500</v>
      </c>
      <c r="Q2062">
        <f t="shared" si="198"/>
        <v>3500</v>
      </c>
      <c r="T2062" s="16">
        <f t="shared" si="199"/>
        <v>-1.6278587350037912</v>
      </c>
    </row>
    <row r="2063" spans="7:20" ht="14.4" x14ac:dyDescent="0.25">
      <c r="G2063" s="10">
        <v>1699</v>
      </c>
      <c r="H2063" s="9">
        <v>12258</v>
      </c>
      <c r="I2063" s="14">
        <f>DATE(2012,12,31)-1127</f>
        <v>40147</v>
      </c>
      <c r="J2063" s="15" t="s">
        <v>25</v>
      </c>
      <c r="K2063" s="9">
        <v>22</v>
      </c>
      <c r="L2063" s="16" t="s">
        <v>29</v>
      </c>
      <c r="M2063" s="16">
        <f t="shared" si="195"/>
        <v>-0.24666320261936217</v>
      </c>
      <c r="N2063">
        <f t="shared" si="196"/>
        <v>0</v>
      </c>
      <c r="O2063">
        <f t="shared" si="197"/>
        <v>0</v>
      </c>
      <c r="P2063">
        <f t="shared" si="194"/>
        <v>4500</v>
      </c>
      <c r="Q2063">
        <f t="shared" si="198"/>
        <v>4500</v>
      </c>
      <c r="T2063" s="16">
        <f t="shared" si="199"/>
        <v>-0.24666320261936256</v>
      </c>
    </row>
    <row r="2064" spans="7:20" ht="14.4" x14ac:dyDescent="0.25">
      <c r="G2064" s="10">
        <v>1700</v>
      </c>
      <c r="H2064" s="9">
        <v>12258</v>
      </c>
      <c r="I2064" s="14">
        <f>DATE(2012,12,31)-1127</f>
        <v>40147</v>
      </c>
      <c r="J2064" s="15" t="s">
        <v>25</v>
      </c>
      <c r="K2064" s="9">
        <v>27</v>
      </c>
      <c r="L2064" s="16" t="s">
        <v>26</v>
      </c>
      <c r="M2064" s="16">
        <f t="shared" si="195"/>
        <v>9.8635680476745008E-2</v>
      </c>
      <c r="N2064">
        <f t="shared" si="196"/>
        <v>0</v>
      </c>
      <c r="O2064">
        <f t="shared" si="197"/>
        <v>0</v>
      </c>
      <c r="P2064">
        <f t="shared" si="194"/>
        <v>4750</v>
      </c>
      <c r="Q2064">
        <f t="shared" si="198"/>
        <v>4750</v>
      </c>
      <c r="T2064" s="16">
        <f t="shared" si="199"/>
        <v>9.8635680476744619E-2</v>
      </c>
    </row>
    <row r="2065" spans="7:20" ht="14.4" x14ac:dyDescent="0.25">
      <c r="G2065" s="10">
        <v>1709</v>
      </c>
      <c r="H2065" s="9">
        <v>12263</v>
      </c>
      <c r="I2065" s="14">
        <f>DATE(2012,12,31)-544</f>
        <v>40730</v>
      </c>
      <c r="J2065" s="15" t="s">
        <v>17</v>
      </c>
      <c r="K2065" s="9">
        <v>12</v>
      </c>
      <c r="L2065" s="16" t="s">
        <v>26</v>
      </c>
      <c r="M2065" s="16">
        <f t="shared" si="195"/>
        <v>-0.9372609688115765</v>
      </c>
      <c r="N2065">
        <f t="shared" si="196"/>
        <v>0</v>
      </c>
      <c r="O2065">
        <f t="shared" si="197"/>
        <v>0</v>
      </c>
      <c r="P2065">
        <f t="shared" si="194"/>
        <v>4000</v>
      </c>
      <c r="Q2065">
        <f t="shared" si="198"/>
        <v>4000</v>
      </c>
      <c r="T2065" s="16">
        <f t="shared" si="199"/>
        <v>-0.93726096881157694</v>
      </c>
    </row>
    <row r="2066" spans="7:20" ht="14.4" x14ac:dyDescent="0.25">
      <c r="G2066" s="10">
        <v>1752</v>
      </c>
      <c r="H2066" s="9">
        <v>12551</v>
      </c>
      <c r="I2066" s="14">
        <f>DATE(2012,12,31)-203</f>
        <v>41071</v>
      </c>
      <c r="J2066" s="15" t="s">
        <v>25</v>
      </c>
      <c r="K2066" s="9">
        <v>46</v>
      </c>
      <c r="L2066" s="16" t="s">
        <v>27</v>
      </c>
      <c r="M2066" s="16">
        <f t="shared" si="195"/>
        <v>1.4107714362419523</v>
      </c>
      <c r="N2066">
        <f t="shared" si="196"/>
        <v>0</v>
      </c>
      <c r="O2066">
        <f t="shared" si="197"/>
        <v>0</v>
      </c>
      <c r="P2066">
        <f t="shared" si="194"/>
        <v>5700</v>
      </c>
      <c r="Q2066">
        <f t="shared" si="198"/>
        <v>5700</v>
      </c>
      <c r="T2066" s="16">
        <f t="shared" si="199"/>
        <v>1.4107714362419519</v>
      </c>
    </row>
    <row r="2067" spans="7:20" ht="14.4" x14ac:dyDescent="0.25">
      <c r="G2067" s="10">
        <v>1778</v>
      </c>
      <c r="H2067" s="9">
        <v>12736</v>
      </c>
      <c r="I2067" s="14">
        <f>DATE(2012,12,31)-1029</f>
        <v>40245</v>
      </c>
      <c r="J2067" s="15" t="s">
        <v>25</v>
      </c>
      <c r="K2067" s="9">
        <v>2</v>
      </c>
      <c r="L2067" s="16" t="s">
        <v>29</v>
      </c>
      <c r="M2067" s="16">
        <f t="shared" si="195"/>
        <v>-1.627858735003791</v>
      </c>
      <c r="N2067">
        <f t="shared" si="196"/>
        <v>0</v>
      </c>
      <c r="O2067">
        <f t="shared" si="197"/>
        <v>0</v>
      </c>
      <c r="P2067">
        <f t="shared" si="194"/>
        <v>3500</v>
      </c>
      <c r="Q2067">
        <f t="shared" si="198"/>
        <v>3500</v>
      </c>
      <c r="T2067" s="16">
        <f t="shared" si="199"/>
        <v>-1.6278587350037912</v>
      </c>
    </row>
    <row r="2068" spans="7:20" ht="14.4" x14ac:dyDescent="0.25">
      <c r="G2068" s="10">
        <v>1780</v>
      </c>
      <c r="H2068" s="9">
        <v>12768</v>
      </c>
      <c r="I2068" s="14">
        <f>DATE(2012,12,31)-1363</f>
        <v>39911</v>
      </c>
      <c r="J2068" s="15" t="s">
        <v>30</v>
      </c>
      <c r="K2068" s="9">
        <v>34</v>
      </c>
      <c r="L2068" s="16" t="s">
        <v>26</v>
      </c>
      <c r="M2068" s="16">
        <f t="shared" si="195"/>
        <v>0.58205411681129504</v>
      </c>
      <c r="N2068">
        <f t="shared" si="196"/>
        <v>0</v>
      </c>
      <c r="O2068">
        <f t="shared" si="197"/>
        <v>0</v>
      </c>
      <c r="P2068">
        <f t="shared" si="194"/>
        <v>5100</v>
      </c>
      <c r="Q2068">
        <f t="shared" si="198"/>
        <v>5100</v>
      </c>
      <c r="T2068" s="16">
        <f t="shared" si="199"/>
        <v>0.58205411681129471</v>
      </c>
    </row>
    <row r="2069" spans="7:20" ht="14.4" x14ac:dyDescent="0.25">
      <c r="G2069" s="10">
        <v>1792</v>
      </c>
      <c r="H2069" s="9">
        <v>12837</v>
      </c>
      <c r="I2069" s="14">
        <f>DATE(2012,12,31)-29</f>
        <v>41245</v>
      </c>
      <c r="J2069" s="15" t="s">
        <v>16</v>
      </c>
      <c r="K2069" s="9">
        <v>22</v>
      </c>
      <c r="L2069" s="16" t="s">
        <v>26</v>
      </c>
      <c r="M2069" s="16">
        <f t="shared" si="195"/>
        <v>-0.24666320261936217</v>
      </c>
      <c r="N2069">
        <f t="shared" si="196"/>
        <v>0</v>
      </c>
      <c r="O2069">
        <f t="shared" si="197"/>
        <v>0</v>
      </c>
      <c r="P2069">
        <f t="shared" si="194"/>
        <v>4500</v>
      </c>
      <c r="Q2069">
        <f t="shared" si="198"/>
        <v>4500</v>
      </c>
      <c r="T2069" s="16">
        <f t="shared" si="199"/>
        <v>-0.24666320261936256</v>
      </c>
    </row>
    <row r="2070" spans="7:20" ht="14.4" x14ac:dyDescent="0.25">
      <c r="G2070" s="10">
        <v>1799</v>
      </c>
      <c r="H2070" s="9">
        <v>12897</v>
      </c>
      <c r="I2070" s="14">
        <f>DATE(2012,12,31)-532</f>
        <v>40742</v>
      </c>
      <c r="J2070" s="15" t="s">
        <v>28</v>
      </c>
      <c r="K2070" s="9">
        <v>39</v>
      </c>
      <c r="L2070" s="16" t="s">
        <v>26</v>
      </c>
      <c r="M2070" s="16">
        <f t="shared" si="195"/>
        <v>0.92735299990740228</v>
      </c>
      <c r="N2070">
        <f t="shared" si="196"/>
        <v>0</v>
      </c>
      <c r="O2070">
        <f t="shared" si="197"/>
        <v>0</v>
      </c>
      <c r="P2070">
        <f t="shared" si="194"/>
        <v>5350</v>
      </c>
      <c r="Q2070">
        <f t="shared" si="198"/>
        <v>5350</v>
      </c>
      <c r="T2070" s="16">
        <f t="shared" si="199"/>
        <v>0.92735299990740183</v>
      </c>
    </row>
    <row r="2071" spans="7:20" ht="14.4" x14ac:dyDescent="0.25">
      <c r="G2071" s="10">
        <v>1800</v>
      </c>
      <c r="H2071" s="9">
        <v>12897</v>
      </c>
      <c r="I2071" s="14">
        <f>DATE(2012,12,31)-532</f>
        <v>40742</v>
      </c>
      <c r="J2071" s="15" t="s">
        <v>28</v>
      </c>
      <c r="K2071" s="9">
        <v>31</v>
      </c>
      <c r="L2071" s="16" t="s">
        <v>26</v>
      </c>
      <c r="M2071" s="16">
        <f t="shared" si="195"/>
        <v>0.37487478695363075</v>
      </c>
      <c r="N2071">
        <f t="shared" si="196"/>
        <v>0</v>
      </c>
      <c r="O2071">
        <f t="shared" si="197"/>
        <v>0</v>
      </c>
      <c r="P2071">
        <f t="shared" si="194"/>
        <v>4950</v>
      </c>
      <c r="Q2071">
        <f t="shared" si="198"/>
        <v>4950</v>
      </c>
      <c r="T2071" s="16">
        <f t="shared" si="199"/>
        <v>0.37487478695363036</v>
      </c>
    </row>
    <row r="2072" spans="7:20" ht="14.4" x14ac:dyDescent="0.25">
      <c r="G2072" s="10">
        <v>1817</v>
      </c>
      <c r="H2072" s="9">
        <v>13030</v>
      </c>
      <c r="I2072" s="14">
        <f>DATE(2012,12,31)-1258</f>
        <v>40016</v>
      </c>
      <c r="J2072" s="15" t="s">
        <v>16</v>
      </c>
      <c r="K2072" s="9">
        <v>32</v>
      </c>
      <c r="L2072" s="16" t="s">
        <v>26</v>
      </c>
      <c r="M2072" s="16">
        <f t="shared" si="195"/>
        <v>0.44393456357285216</v>
      </c>
      <c r="N2072">
        <f t="shared" si="196"/>
        <v>0</v>
      </c>
      <c r="O2072">
        <f t="shared" si="197"/>
        <v>0</v>
      </c>
      <c r="P2072">
        <f t="shared" si="194"/>
        <v>5000</v>
      </c>
      <c r="Q2072">
        <f t="shared" si="198"/>
        <v>5000</v>
      </c>
      <c r="T2072" s="16">
        <f t="shared" si="199"/>
        <v>0.44393456357285183</v>
      </c>
    </row>
    <row r="2073" spans="7:20" ht="14.4" x14ac:dyDescent="0.25">
      <c r="G2073" s="10">
        <v>1823</v>
      </c>
      <c r="H2073" s="9">
        <v>13091</v>
      </c>
      <c r="I2073" s="14">
        <f>DATE(2012,12,31)-1142</f>
        <v>40132</v>
      </c>
      <c r="J2073" s="15" t="s">
        <v>16</v>
      </c>
      <c r="K2073" s="9">
        <v>12</v>
      </c>
      <c r="L2073" s="16" t="s">
        <v>26</v>
      </c>
      <c r="M2073" s="16">
        <f t="shared" si="195"/>
        <v>-0.9372609688115765</v>
      </c>
      <c r="N2073">
        <f t="shared" si="196"/>
        <v>0</v>
      </c>
      <c r="O2073">
        <f t="shared" si="197"/>
        <v>0</v>
      </c>
      <c r="P2073">
        <f t="shared" si="194"/>
        <v>4000</v>
      </c>
      <c r="Q2073">
        <f t="shared" si="198"/>
        <v>4000</v>
      </c>
      <c r="T2073" s="16">
        <f t="shared" si="199"/>
        <v>-0.93726096881157694</v>
      </c>
    </row>
    <row r="2074" spans="7:20" ht="14.4" x14ac:dyDescent="0.25">
      <c r="G2074" s="10">
        <v>1824</v>
      </c>
      <c r="H2074" s="9">
        <v>13091</v>
      </c>
      <c r="I2074" s="14">
        <f>DATE(2012,12,31)-1142</f>
        <v>40132</v>
      </c>
      <c r="J2074" s="15" t="s">
        <v>16</v>
      </c>
      <c r="K2074" s="9">
        <v>39</v>
      </c>
      <c r="L2074" s="16" t="s">
        <v>26</v>
      </c>
      <c r="M2074" s="16">
        <f t="shared" si="195"/>
        <v>0.92735299990740228</v>
      </c>
      <c r="N2074">
        <f t="shared" si="196"/>
        <v>0</v>
      </c>
      <c r="O2074">
        <f t="shared" si="197"/>
        <v>0</v>
      </c>
      <c r="P2074">
        <f t="shared" si="194"/>
        <v>5350</v>
      </c>
      <c r="Q2074">
        <f t="shared" si="198"/>
        <v>5350</v>
      </c>
      <c r="T2074" s="16">
        <f t="shared" si="199"/>
        <v>0.92735299990740183</v>
      </c>
    </row>
    <row r="2075" spans="7:20" ht="14.4" x14ac:dyDescent="0.25">
      <c r="G2075" s="10">
        <v>1862</v>
      </c>
      <c r="H2075" s="9">
        <v>13383</v>
      </c>
      <c r="I2075" s="14">
        <f>DATE(2012,12,31)-199</f>
        <v>41075</v>
      </c>
      <c r="J2075" s="15" t="s">
        <v>28</v>
      </c>
      <c r="K2075" s="9">
        <v>35</v>
      </c>
      <c r="L2075" s="16" t="s">
        <v>26</v>
      </c>
      <c r="M2075" s="16">
        <f t="shared" si="195"/>
        <v>0.65111389343051651</v>
      </c>
      <c r="N2075">
        <f t="shared" si="196"/>
        <v>0</v>
      </c>
      <c r="O2075">
        <f t="shared" si="197"/>
        <v>0</v>
      </c>
      <c r="P2075">
        <f t="shared" si="194"/>
        <v>5150</v>
      </c>
      <c r="Q2075">
        <f t="shared" si="198"/>
        <v>5150</v>
      </c>
      <c r="T2075" s="16">
        <f t="shared" si="199"/>
        <v>0.65111389343051607</v>
      </c>
    </row>
    <row r="2076" spans="7:20" ht="14.4" x14ac:dyDescent="0.25">
      <c r="G2076" s="10">
        <v>1867</v>
      </c>
      <c r="H2076" s="9">
        <v>13440</v>
      </c>
      <c r="I2076" s="14">
        <f>DATE(2012,12,31)-810</f>
        <v>40464</v>
      </c>
      <c r="J2076" s="15" t="s">
        <v>28</v>
      </c>
      <c r="K2076" s="9">
        <v>22</v>
      </c>
      <c r="L2076" s="16" t="s">
        <v>27</v>
      </c>
      <c r="M2076" s="16">
        <f t="shared" si="195"/>
        <v>-0.24666320261936217</v>
      </c>
      <c r="N2076">
        <f t="shared" si="196"/>
        <v>0</v>
      </c>
      <c r="O2076">
        <f t="shared" si="197"/>
        <v>0</v>
      </c>
      <c r="P2076">
        <f t="shared" si="194"/>
        <v>4500</v>
      </c>
      <c r="Q2076">
        <f t="shared" si="198"/>
        <v>4500</v>
      </c>
      <c r="T2076" s="16">
        <f t="shared" si="199"/>
        <v>-0.24666320261936256</v>
      </c>
    </row>
    <row r="2077" spans="7:20" ht="14.4" x14ac:dyDescent="0.25">
      <c r="G2077" s="10">
        <v>1874</v>
      </c>
      <c r="H2077" s="9">
        <v>13479</v>
      </c>
      <c r="I2077" s="14">
        <f>DATE(2012,12,31)-1123</f>
        <v>40151</v>
      </c>
      <c r="J2077" s="15" t="s">
        <v>17</v>
      </c>
      <c r="K2077" s="9">
        <v>3</v>
      </c>
      <c r="L2077" s="16" t="s">
        <v>27</v>
      </c>
      <c r="M2077" s="16">
        <f t="shared" si="195"/>
        <v>-1.5587989583845694</v>
      </c>
      <c r="N2077">
        <f t="shared" si="196"/>
        <v>0</v>
      </c>
      <c r="O2077">
        <f t="shared" si="197"/>
        <v>0</v>
      </c>
      <c r="P2077">
        <f t="shared" si="194"/>
        <v>3550</v>
      </c>
      <c r="Q2077">
        <f t="shared" si="198"/>
        <v>3550</v>
      </c>
      <c r="T2077" s="16">
        <f t="shared" si="199"/>
        <v>-1.5587989583845698</v>
      </c>
    </row>
    <row r="2078" spans="7:20" ht="14.4" x14ac:dyDescent="0.25">
      <c r="G2078" s="10">
        <v>1875</v>
      </c>
      <c r="H2078" s="9">
        <v>13479</v>
      </c>
      <c r="I2078" s="14">
        <f>DATE(2012,12,31)-1123</f>
        <v>40151</v>
      </c>
      <c r="J2078" s="15" t="s">
        <v>17</v>
      </c>
      <c r="K2078" s="9">
        <v>13</v>
      </c>
      <c r="L2078" s="16" t="s">
        <v>27</v>
      </c>
      <c r="M2078" s="16">
        <f t="shared" si="195"/>
        <v>-0.86820119219235514</v>
      </c>
      <c r="N2078">
        <f t="shared" si="196"/>
        <v>0</v>
      </c>
      <c r="O2078">
        <f t="shared" si="197"/>
        <v>0</v>
      </c>
      <c r="P2078">
        <f t="shared" si="194"/>
        <v>4050</v>
      </c>
      <c r="Q2078">
        <f t="shared" si="198"/>
        <v>4050</v>
      </c>
      <c r="T2078" s="16">
        <f t="shared" si="199"/>
        <v>-0.86820119219235548</v>
      </c>
    </row>
    <row r="2079" spans="7:20" ht="14.4" x14ac:dyDescent="0.25">
      <c r="G2079" s="10">
        <v>1903</v>
      </c>
      <c r="H2079" s="9">
        <v>13633</v>
      </c>
      <c r="I2079" s="14">
        <f>DATE(2012,12,31)-272</f>
        <v>41002</v>
      </c>
      <c r="J2079" s="15" t="s">
        <v>28</v>
      </c>
      <c r="K2079" s="9">
        <v>18</v>
      </c>
      <c r="L2079" s="16" t="s">
        <v>29</v>
      </c>
      <c r="M2079" s="16">
        <f t="shared" si="195"/>
        <v>-0.52290230909624791</v>
      </c>
      <c r="N2079">
        <f t="shared" si="196"/>
        <v>0</v>
      </c>
      <c r="O2079">
        <f t="shared" si="197"/>
        <v>0</v>
      </c>
      <c r="P2079">
        <f t="shared" si="194"/>
        <v>4300</v>
      </c>
      <c r="Q2079">
        <f t="shared" si="198"/>
        <v>4300</v>
      </c>
      <c r="T2079" s="16">
        <f t="shared" si="199"/>
        <v>-0.52290230909624835</v>
      </c>
    </row>
    <row r="2080" spans="7:20" ht="14.4" x14ac:dyDescent="0.25">
      <c r="G2080" s="10">
        <v>1904</v>
      </c>
      <c r="H2080" s="9">
        <v>13633</v>
      </c>
      <c r="I2080" s="14">
        <f>DATE(2012,12,31)-272</f>
        <v>41002</v>
      </c>
      <c r="J2080" s="15" t="s">
        <v>28</v>
      </c>
      <c r="K2080" s="9">
        <v>39</v>
      </c>
      <c r="L2080" s="16" t="s">
        <v>26</v>
      </c>
      <c r="M2080" s="16">
        <f t="shared" si="195"/>
        <v>0.92735299990740228</v>
      </c>
      <c r="N2080">
        <f t="shared" si="196"/>
        <v>0</v>
      </c>
      <c r="O2080">
        <f t="shared" si="197"/>
        <v>0</v>
      </c>
      <c r="P2080">
        <f t="shared" si="194"/>
        <v>5350</v>
      </c>
      <c r="Q2080">
        <f t="shared" si="198"/>
        <v>5350</v>
      </c>
      <c r="T2080" s="16">
        <f t="shared" si="199"/>
        <v>0.92735299990740183</v>
      </c>
    </row>
    <row r="2081" spans="7:20" ht="14.4" x14ac:dyDescent="0.25">
      <c r="G2081" s="10">
        <v>1917</v>
      </c>
      <c r="H2081" s="9">
        <v>13735</v>
      </c>
      <c r="I2081" s="14">
        <f>DATE(2012,12,31)-1320</f>
        <v>39954</v>
      </c>
      <c r="J2081" s="15" t="s">
        <v>16</v>
      </c>
      <c r="K2081" s="9">
        <v>36</v>
      </c>
      <c r="L2081" s="16" t="s">
        <v>26</v>
      </c>
      <c r="M2081" s="16">
        <f t="shared" si="195"/>
        <v>0.72017367004973787</v>
      </c>
      <c r="N2081">
        <f t="shared" si="196"/>
        <v>0</v>
      </c>
      <c r="O2081">
        <f t="shared" si="197"/>
        <v>0</v>
      </c>
      <c r="P2081">
        <f t="shared" si="194"/>
        <v>5200</v>
      </c>
      <c r="Q2081">
        <f t="shared" si="198"/>
        <v>5200</v>
      </c>
      <c r="T2081" s="16">
        <f t="shared" si="199"/>
        <v>0.72017367004973754</v>
      </c>
    </row>
    <row r="2082" spans="7:20" ht="14.4" x14ac:dyDescent="0.25">
      <c r="G2082" s="10">
        <v>1935</v>
      </c>
      <c r="H2082" s="9">
        <v>13861</v>
      </c>
      <c r="I2082" s="14">
        <f>DATE(2012,12,31)-873</f>
        <v>40401</v>
      </c>
      <c r="J2082" s="15" t="s">
        <v>17</v>
      </c>
      <c r="K2082" s="9">
        <v>7</v>
      </c>
      <c r="L2082" s="16" t="s">
        <v>26</v>
      </c>
      <c r="M2082" s="16">
        <f t="shared" si="195"/>
        <v>-1.2825598519076837</v>
      </c>
      <c r="N2082">
        <f t="shared" si="196"/>
        <v>0</v>
      </c>
      <c r="O2082">
        <f t="shared" si="197"/>
        <v>0</v>
      </c>
      <c r="P2082">
        <f t="shared" si="194"/>
        <v>3750</v>
      </c>
      <c r="Q2082">
        <f t="shared" si="198"/>
        <v>3750</v>
      </c>
      <c r="T2082" s="16">
        <f t="shared" si="199"/>
        <v>-1.2825598519076842</v>
      </c>
    </row>
    <row r="2083" spans="7:20" ht="14.4" x14ac:dyDescent="0.25">
      <c r="G2083" s="10">
        <v>1937</v>
      </c>
      <c r="H2083" s="9">
        <v>13892</v>
      </c>
      <c r="I2083" s="14">
        <f>DATE(2012,12,31)-248</f>
        <v>41026</v>
      </c>
      <c r="J2083" s="15" t="s">
        <v>17</v>
      </c>
      <c r="K2083" s="9">
        <v>47</v>
      </c>
      <c r="L2083" s="16" t="s">
        <v>27</v>
      </c>
      <c r="M2083" s="16">
        <f t="shared" si="195"/>
        <v>1.4798312128611737</v>
      </c>
      <c r="N2083">
        <f t="shared" si="196"/>
        <v>0</v>
      </c>
      <c r="O2083">
        <f t="shared" si="197"/>
        <v>0</v>
      </c>
      <c r="P2083">
        <f t="shared" si="194"/>
        <v>5750</v>
      </c>
      <c r="Q2083">
        <f t="shared" si="198"/>
        <v>5750</v>
      </c>
      <c r="T2083" s="16">
        <f t="shared" si="199"/>
        <v>1.4798312128611733</v>
      </c>
    </row>
    <row r="2084" spans="7:20" ht="14.4" x14ac:dyDescent="0.25">
      <c r="G2084" s="10">
        <v>1962</v>
      </c>
      <c r="H2084" s="9">
        <v>14023</v>
      </c>
      <c r="I2084" s="14">
        <f>DATE(2012,12,31)-1045</f>
        <v>40229</v>
      </c>
      <c r="J2084" s="15" t="s">
        <v>28</v>
      </c>
      <c r="K2084" s="9">
        <v>36</v>
      </c>
      <c r="L2084" s="16" t="s">
        <v>26</v>
      </c>
      <c r="M2084" s="16">
        <f t="shared" si="195"/>
        <v>0.72017367004973787</v>
      </c>
      <c r="N2084">
        <f t="shared" si="196"/>
        <v>0</v>
      </c>
      <c r="O2084">
        <f t="shared" si="197"/>
        <v>0</v>
      </c>
      <c r="P2084">
        <f t="shared" si="194"/>
        <v>5200</v>
      </c>
      <c r="Q2084">
        <f t="shared" si="198"/>
        <v>5200</v>
      </c>
      <c r="T2084" s="16">
        <f t="shared" si="199"/>
        <v>0.72017367004973754</v>
      </c>
    </row>
    <row r="2085" spans="7:20" ht="14.4" x14ac:dyDescent="0.25">
      <c r="G2085" s="10">
        <v>1963</v>
      </c>
      <c r="H2085" s="9">
        <v>14023</v>
      </c>
      <c r="I2085" s="14">
        <f>DATE(2012,12,31)-1045</f>
        <v>40229</v>
      </c>
      <c r="J2085" s="15" t="s">
        <v>28</v>
      </c>
      <c r="K2085" s="9">
        <v>48</v>
      </c>
      <c r="L2085" s="16" t="s">
        <v>26</v>
      </c>
      <c r="M2085" s="16">
        <f t="shared" si="195"/>
        <v>1.5488909894803951</v>
      </c>
      <c r="N2085">
        <f t="shared" si="196"/>
        <v>0</v>
      </c>
      <c r="O2085">
        <f t="shared" si="197"/>
        <v>0</v>
      </c>
      <c r="P2085">
        <f t="shared" si="194"/>
        <v>5800</v>
      </c>
      <c r="Q2085">
        <f t="shared" si="198"/>
        <v>5800</v>
      </c>
      <c r="T2085" s="16">
        <f t="shared" si="199"/>
        <v>1.5488909894803948</v>
      </c>
    </row>
    <row r="2086" spans="7:20" ht="14.4" x14ac:dyDescent="0.25">
      <c r="G2086" s="10">
        <v>1976</v>
      </c>
      <c r="H2086" s="9">
        <v>14115</v>
      </c>
      <c r="I2086" s="14">
        <f>DATE(2012,12,31)-1235</f>
        <v>40039</v>
      </c>
      <c r="J2086" s="15" t="s">
        <v>28</v>
      </c>
      <c r="K2086" s="9">
        <v>24</v>
      </c>
      <c r="L2086" s="16" t="s">
        <v>29</v>
      </c>
      <c r="M2086" s="16">
        <f t="shared" si="195"/>
        <v>-0.1085436493809193</v>
      </c>
      <c r="N2086">
        <f t="shared" si="196"/>
        <v>0</v>
      </c>
      <c r="O2086">
        <f t="shared" si="197"/>
        <v>0</v>
      </c>
      <c r="P2086">
        <f t="shared" si="194"/>
        <v>4600</v>
      </c>
      <c r="Q2086">
        <f t="shared" si="198"/>
        <v>4600</v>
      </c>
      <c r="T2086" s="16">
        <f t="shared" si="199"/>
        <v>-0.10854364938091969</v>
      </c>
    </row>
    <row r="2087" spans="7:20" ht="14.4" x14ac:dyDescent="0.25">
      <c r="G2087" s="10">
        <v>1977</v>
      </c>
      <c r="H2087" s="9">
        <v>14115</v>
      </c>
      <c r="I2087" s="14">
        <f>DATE(2012,12,31)-1235</f>
        <v>40039</v>
      </c>
      <c r="J2087" s="15" t="s">
        <v>28</v>
      </c>
      <c r="K2087" s="9">
        <v>46</v>
      </c>
      <c r="L2087" s="16" t="s">
        <v>27</v>
      </c>
      <c r="M2087" s="16">
        <f t="shared" si="195"/>
        <v>1.4107714362419523</v>
      </c>
      <c r="N2087">
        <f t="shared" si="196"/>
        <v>0</v>
      </c>
      <c r="O2087">
        <f t="shared" si="197"/>
        <v>0</v>
      </c>
      <c r="P2087">
        <f t="shared" si="194"/>
        <v>5700</v>
      </c>
      <c r="Q2087">
        <f t="shared" si="198"/>
        <v>5700</v>
      </c>
      <c r="T2087" s="16">
        <f t="shared" si="199"/>
        <v>1.4107714362419519</v>
      </c>
    </row>
    <row r="2088" spans="7:20" ht="14.4" x14ac:dyDescent="0.25">
      <c r="G2088" s="10">
        <v>1984</v>
      </c>
      <c r="H2088" s="9">
        <v>14147</v>
      </c>
      <c r="I2088" s="14">
        <f>DATE(2012,12,31)-1030</f>
        <v>40244</v>
      </c>
      <c r="J2088" s="15" t="s">
        <v>28</v>
      </c>
      <c r="K2088" s="9">
        <v>8</v>
      </c>
      <c r="L2088" s="16" t="s">
        <v>26</v>
      </c>
      <c r="M2088" s="16">
        <f t="shared" si="195"/>
        <v>-1.2135000752884624</v>
      </c>
      <c r="N2088">
        <f t="shared" si="196"/>
        <v>0</v>
      </c>
      <c r="O2088">
        <f t="shared" si="197"/>
        <v>0</v>
      </c>
      <c r="P2088">
        <f t="shared" si="194"/>
        <v>3800</v>
      </c>
      <c r="Q2088">
        <f t="shared" si="198"/>
        <v>3800</v>
      </c>
      <c r="T2088" s="16">
        <f t="shared" si="199"/>
        <v>-1.2135000752884626</v>
      </c>
    </row>
    <row r="2089" spans="7:20" ht="14.4" x14ac:dyDescent="0.25">
      <c r="G2089" s="10">
        <v>1985</v>
      </c>
      <c r="H2089" s="9">
        <v>14147</v>
      </c>
      <c r="I2089" s="14">
        <f>DATE(2012,12,31)-1030</f>
        <v>40244</v>
      </c>
      <c r="J2089" s="15" t="s">
        <v>28</v>
      </c>
      <c r="K2089" s="9">
        <v>16</v>
      </c>
      <c r="L2089" s="16" t="s">
        <v>26</v>
      </c>
      <c r="M2089" s="16">
        <f t="shared" si="195"/>
        <v>-0.66102186233469074</v>
      </c>
      <c r="N2089">
        <f t="shared" si="196"/>
        <v>0</v>
      </c>
      <c r="O2089">
        <f t="shared" si="197"/>
        <v>0</v>
      </c>
      <c r="P2089">
        <f t="shared" si="194"/>
        <v>4200</v>
      </c>
      <c r="Q2089">
        <f t="shared" si="198"/>
        <v>4200</v>
      </c>
      <c r="T2089" s="16">
        <f t="shared" si="199"/>
        <v>-0.66102186233469118</v>
      </c>
    </row>
    <row r="2090" spans="7:20" ht="14.4" x14ac:dyDescent="0.25">
      <c r="G2090" s="10">
        <v>1986</v>
      </c>
      <c r="H2090" s="9">
        <v>14147</v>
      </c>
      <c r="I2090" s="14">
        <f>DATE(2012,12,31)-1030</f>
        <v>40244</v>
      </c>
      <c r="J2090" s="15" t="s">
        <v>28</v>
      </c>
      <c r="K2090" s="9">
        <v>45</v>
      </c>
      <c r="L2090" s="16" t="s">
        <v>26</v>
      </c>
      <c r="M2090" s="16">
        <f t="shared" si="195"/>
        <v>1.3417116596227308</v>
      </c>
      <c r="N2090">
        <f t="shared" si="196"/>
        <v>0</v>
      </c>
      <c r="O2090">
        <f t="shared" si="197"/>
        <v>0</v>
      </c>
      <c r="P2090">
        <f t="shared" si="194"/>
        <v>5650</v>
      </c>
      <c r="Q2090">
        <f t="shared" si="198"/>
        <v>5650</v>
      </c>
      <c r="T2090" s="16">
        <f t="shared" si="199"/>
        <v>1.3417116596227305</v>
      </c>
    </row>
    <row r="2091" spans="7:20" ht="14.4" x14ac:dyDescent="0.25">
      <c r="G2091" s="10">
        <v>1990</v>
      </c>
      <c r="H2091" s="9">
        <v>14211</v>
      </c>
      <c r="I2091" s="14">
        <f>DATE(2012,12,31)-1418</f>
        <v>39856</v>
      </c>
      <c r="J2091" s="15" t="s">
        <v>28</v>
      </c>
      <c r="K2091" s="9">
        <v>22</v>
      </c>
      <c r="L2091" s="16" t="s">
        <v>27</v>
      </c>
      <c r="M2091" s="16">
        <f t="shared" si="195"/>
        <v>-0.24666320261936217</v>
      </c>
      <c r="N2091">
        <f t="shared" si="196"/>
        <v>0</v>
      </c>
      <c r="O2091">
        <f t="shared" si="197"/>
        <v>0</v>
      </c>
      <c r="P2091">
        <f t="shared" si="194"/>
        <v>4500</v>
      </c>
      <c r="Q2091">
        <f t="shared" si="198"/>
        <v>4500</v>
      </c>
      <c r="T2091" s="16">
        <f t="shared" si="199"/>
        <v>-0.24666320261936256</v>
      </c>
    </row>
    <row r="2092" spans="7:20" ht="14.4" x14ac:dyDescent="0.25">
      <c r="G2092" s="10">
        <v>1991</v>
      </c>
      <c r="H2092" s="9">
        <v>14211</v>
      </c>
      <c r="I2092" s="14">
        <f>DATE(2012,12,31)-1418</f>
        <v>39856</v>
      </c>
      <c r="J2092" s="15" t="s">
        <v>28</v>
      </c>
      <c r="K2092" s="9">
        <v>14</v>
      </c>
      <c r="L2092" s="16" t="s">
        <v>26</v>
      </c>
      <c r="M2092" s="16">
        <f t="shared" si="195"/>
        <v>-0.79914141557313367</v>
      </c>
      <c r="N2092">
        <f t="shared" si="196"/>
        <v>0</v>
      </c>
      <c r="O2092">
        <f t="shared" si="197"/>
        <v>0</v>
      </c>
      <c r="P2092">
        <f t="shared" si="194"/>
        <v>4100</v>
      </c>
      <c r="Q2092">
        <f t="shared" si="198"/>
        <v>4100</v>
      </c>
      <c r="T2092" s="16">
        <f t="shared" si="199"/>
        <v>-0.79914141557313401</v>
      </c>
    </row>
    <row r="2093" spans="7:20" ht="14.4" x14ac:dyDescent="0.25">
      <c r="G2093" s="10">
        <v>2011</v>
      </c>
      <c r="H2093" s="9">
        <v>14368</v>
      </c>
      <c r="I2093" s="14">
        <f>DATE(2012,12,31)-478</f>
        <v>40796</v>
      </c>
      <c r="J2093" s="15" t="s">
        <v>17</v>
      </c>
      <c r="K2093" s="9">
        <v>5</v>
      </c>
      <c r="L2093" s="16" t="s">
        <v>29</v>
      </c>
      <c r="M2093" s="16">
        <f t="shared" si="195"/>
        <v>-1.4206794051461267</v>
      </c>
      <c r="N2093">
        <f t="shared" si="196"/>
        <v>0</v>
      </c>
      <c r="O2093">
        <f t="shared" si="197"/>
        <v>0</v>
      </c>
      <c r="P2093">
        <f t="shared" si="194"/>
        <v>3650</v>
      </c>
      <c r="Q2093">
        <f t="shared" si="198"/>
        <v>3650</v>
      </c>
      <c r="T2093" s="16">
        <f t="shared" si="199"/>
        <v>-1.4206794051461269</v>
      </c>
    </row>
    <row r="2094" spans="7:20" ht="14.4" x14ac:dyDescent="0.25">
      <c r="G2094" s="10">
        <v>2012</v>
      </c>
      <c r="H2094" s="9">
        <v>14368</v>
      </c>
      <c r="I2094" s="14">
        <f>DATE(2012,12,31)-478</f>
        <v>40796</v>
      </c>
      <c r="J2094" s="15" t="s">
        <v>17</v>
      </c>
      <c r="K2094" s="9">
        <v>37</v>
      </c>
      <c r="L2094" s="16" t="s">
        <v>26</v>
      </c>
      <c r="M2094" s="16">
        <f t="shared" si="195"/>
        <v>0.78923344666895934</v>
      </c>
      <c r="N2094">
        <f t="shared" si="196"/>
        <v>0</v>
      </c>
      <c r="O2094">
        <f t="shared" si="197"/>
        <v>0</v>
      </c>
      <c r="P2094">
        <f t="shared" si="194"/>
        <v>5250</v>
      </c>
      <c r="Q2094">
        <f t="shared" si="198"/>
        <v>5250</v>
      </c>
      <c r="T2094" s="16">
        <f t="shared" si="199"/>
        <v>0.789233446668959</v>
      </c>
    </row>
    <row r="2095" spans="7:20" ht="14.4" x14ac:dyDescent="0.25">
      <c r="G2095" s="10">
        <v>2045</v>
      </c>
      <c r="H2095" s="9">
        <v>14596</v>
      </c>
      <c r="I2095" s="14">
        <f>DATE(2012,12,31)-1451</f>
        <v>39823</v>
      </c>
      <c r="J2095" s="15" t="s">
        <v>30</v>
      </c>
      <c r="K2095" s="9">
        <v>24</v>
      </c>
      <c r="L2095" s="16" t="s">
        <v>29</v>
      </c>
      <c r="M2095" s="16">
        <f t="shared" si="195"/>
        <v>-0.1085436493809193</v>
      </c>
      <c r="N2095">
        <f t="shared" si="196"/>
        <v>0</v>
      </c>
      <c r="O2095">
        <f t="shared" si="197"/>
        <v>0</v>
      </c>
      <c r="P2095">
        <f t="shared" si="194"/>
        <v>4600</v>
      </c>
      <c r="Q2095">
        <f t="shared" si="198"/>
        <v>4600</v>
      </c>
      <c r="T2095" s="16">
        <f t="shared" si="199"/>
        <v>-0.10854364938091969</v>
      </c>
    </row>
    <row r="2096" spans="7:20" ht="14.4" x14ac:dyDescent="0.25">
      <c r="G2096" s="10">
        <v>2046</v>
      </c>
      <c r="H2096" s="9">
        <v>14596</v>
      </c>
      <c r="I2096" s="14">
        <f>DATE(2012,12,31)-1451</f>
        <v>39823</v>
      </c>
      <c r="J2096" s="15" t="s">
        <v>30</v>
      </c>
      <c r="K2096" s="9">
        <v>19</v>
      </c>
      <c r="L2096" s="16" t="s">
        <v>26</v>
      </c>
      <c r="M2096" s="16">
        <f t="shared" si="195"/>
        <v>-0.45384253247702649</v>
      </c>
      <c r="N2096">
        <f t="shared" si="196"/>
        <v>0</v>
      </c>
      <c r="O2096">
        <f t="shared" si="197"/>
        <v>0</v>
      </c>
      <c r="P2096">
        <f t="shared" si="194"/>
        <v>4350</v>
      </c>
      <c r="Q2096">
        <f t="shared" si="198"/>
        <v>4350</v>
      </c>
      <c r="T2096" s="16">
        <f t="shared" si="199"/>
        <v>-0.45384253247702688</v>
      </c>
    </row>
    <row r="2097" spans="7:20" ht="14.4" x14ac:dyDescent="0.25">
      <c r="G2097" s="10">
        <v>2055</v>
      </c>
      <c r="H2097" s="9">
        <v>14693</v>
      </c>
      <c r="I2097" s="14">
        <f>DATE(2012,12,31)-722</f>
        <v>40552</v>
      </c>
      <c r="J2097" s="15" t="s">
        <v>30</v>
      </c>
      <c r="K2097" s="9">
        <v>39</v>
      </c>
      <c r="L2097" s="16" t="s">
        <v>26</v>
      </c>
      <c r="M2097" s="16">
        <f t="shared" si="195"/>
        <v>0.92735299990740228</v>
      </c>
      <c r="N2097">
        <f t="shared" si="196"/>
        <v>0</v>
      </c>
      <c r="O2097">
        <f t="shared" si="197"/>
        <v>0</v>
      </c>
      <c r="P2097">
        <f t="shared" si="194"/>
        <v>5350</v>
      </c>
      <c r="Q2097">
        <f t="shared" si="198"/>
        <v>5350</v>
      </c>
      <c r="T2097" s="16">
        <f t="shared" si="199"/>
        <v>0.92735299990740183</v>
      </c>
    </row>
    <row r="2098" spans="7:20" ht="14.4" x14ac:dyDescent="0.25">
      <c r="G2098" s="10">
        <v>2056</v>
      </c>
      <c r="H2098" s="9">
        <v>14693</v>
      </c>
      <c r="I2098" s="14">
        <f>DATE(2012,12,31)-722</f>
        <v>40552</v>
      </c>
      <c r="J2098" s="15" t="s">
        <v>30</v>
      </c>
      <c r="K2098" s="9">
        <v>38</v>
      </c>
      <c r="L2098" s="16" t="s">
        <v>26</v>
      </c>
      <c r="M2098" s="16">
        <f t="shared" si="195"/>
        <v>0.85829322328818081</v>
      </c>
      <c r="N2098">
        <f t="shared" si="196"/>
        <v>0</v>
      </c>
      <c r="O2098">
        <f t="shared" si="197"/>
        <v>0</v>
      </c>
      <c r="P2098">
        <f t="shared" si="194"/>
        <v>5300</v>
      </c>
      <c r="Q2098">
        <f t="shared" si="198"/>
        <v>5300</v>
      </c>
      <c r="T2098" s="16">
        <f t="shared" si="199"/>
        <v>0.85829322328818036</v>
      </c>
    </row>
    <row r="2099" spans="7:20" ht="14.4" x14ac:dyDescent="0.25">
      <c r="G2099" s="10">
        <v>2057</v>
      </c>
      <c r="H2099" s="9">
        <v>14695</v>
      </c>
      <c r="I2099" s="14">
        <f>DATE(2012,12,31)-117</f>
        <v>41157</v>
      </c>
      <c r="J2099" s="15" t="s">
        <v>17</v>
      </c>
      <c r="K2099" s="9">
        <v>40</v>
      </c>
      <c r="L2099" s="16" t="s">
        <v>29</v>
      </c>
      <c r="M2099" s="16">
        <f t="shared" si="195"/>
        <v>0.99641277652662363</v>
      </c>
      <c r="N2099">
        <f t="shared" si="196"/>
        <v>0</v>
      </c>
      <c r="O2099">
        <f t="shared" si="197"/>
        <v>0</v>
      </c>
      <c r="P2099">
        <f t="shared" si="194"/>
        <v>5400</v>
      </c>
      <c r="Q2099">
        <f t="shared" si="198"/>
        <v>5400</v>
      </c>
      <c r="T2099" s="16">
        <f t="shared" si="199"/>
        <v>0.9964127765266233</v>
      </c>
    </row>
    <row r="2100" spans="7:20" ht="14.4" x14ac:dyDescent="0.25">
      <c r="G2100" s="10">
        <v>2073</v>
      </c>
      <c r="H2100" s="9">
        <v>14823</v>
      </c>
      <c r="I2100" s="14">
        <f>DATE(2012,12,31)-1418</f>
        <v>39856</v>
      </c>
      <c r="J2100" s="15" t="s">
        <v>25</v>
      </c>
      <c r="K2100" s="9">
        <v>15</v>
      </c>
      <c r="L2100" s="16" t="s">
        <v>26</v>
      </c>
      <c r="M2100" s="16">
        <f t="shared" si="195"/>
        <v>-0.7300816389539122</v>
      </c>
      <c r="N2100">
        <f t="shared" si="196"/>
        <v>0</v>
      </c>
      <c r="O2100">
        <f t="shared" si="197"/>
        <v>0</v>
      </c>
      <c r="P2100">
        <f t="shared" si="194"/>
        <v>4150</v>
      </c>
      <c r="Q2100">
        <f t="shared" si="198"/>
        <v>4150</v>
      </c>
      <c r="T2100" s="16">
        <f t="shared" si="199"/>
        <v>-0.73008163895391265</v>
      </c>
    </row>
    <row r="2101" spans="7:20" ht="14.4" x14ac:dyDescent="0.25">
      <c r="G2101" s="10">
        <v>2074</v>
      </c>
      <c r="H2101" s="9">
        <v>14823</v>
      </c>
      <c r="I2101" s="14">
        <f>DATE(2012,12,31)-1418</f>
        <v>39856</v>
      </c>
      <c r="J2101" s="15" t="s">
        <v>25</v>
      </c>
      <c r="K2101" s="9">
        <v>20</v>
      </c>
      <c r="L2101" s="16" t="s">
        <v>26</v>
      </c>
      <c r="M2101" s="16">
        <f t="shared" si="195"/>
        <v>-0.38478275585780503</v>
      </c>
      <c r="N2101">
        <f t="shared" si="196"/>
        <v>0</v>
      </c>
      <c r="O2101">
        <f t="shared" si="197"/>
        <v>0</v>
      </c>
      <c r="P2101">
        <f t="shared" si="194"/>
        <v>4400</v>
      </c>
      <c r="Q2101">
        <f t="shared" si="198"/>
        <v>4400</v>
      </c>
      <c r="T2101" s="16">
        <f t="shared" si="199"/>
        <v>-0.38478275585780541</v>
      </c>
    </row>
    <row r="2102" spans="7:20" ht="14.4" x14ac:dyDescent="0.25">
      <c r="G2102" s="10">
        <v>2101</v>
      </c>
      <c r="H2102" s="9">
        <v>15014</v>
      </c>
      <c r="I2102" s="14">
        <f>DATE(2012,12,31)-1055</f>
        <v>40219</v>
      </c>
      <c r="J2102" s="15" t="s">
        <v>16</v>
      </c>
      <c r="K2102" s="9">
        <v>10</v>
      </c>
      <c r="L2102" s="16" t="s">
        <v>29</v>
      </c>
      <c r="M2102" s="16">
        <f t="shared" si="195"/>
        <v>-1.0753805220500194</v>
      </c>
      <c r="N2102">
        <f t="shared" si="196"/>
        <v>0</v>
      </c>
      <c r="O2102">
        <f t="shared" si="197"/>
        <v>0</v>
      </c>
      <c r="P2102">
        <f t="shared" si="194"/>
        <v>3900</v>
      </c>
      <c r="Q2102">
        <f t="shared" si="198"/>
        <v>3900</v>
      </c>
      <c r="T2102" s="16">
        <f t="shared" si="199"/>
        <v>-1.0753805220500199</v>
      </c>
    </row>
    <row r="2103" spans="7:20" ht="14.4" x14ac:dyDescent="0.25">
      <c r="G2103" s="10">
        <v>2213</v>
      </c>
      <c r="H2103" s="9">
        <v>15972</v>
      </c>
      <c r="I2103" s="14">
        <f>DATE(2012,12,31)-510</f>
        <v>40764</v>
      </c>
      <c r="J2103" s="15" t="s">
        <v>28</v>
      </c>
      <c r="K2103" s="9">
        <v>3</v>
      </c>
      <c r="L2103" s="16" t="s">
        <v>26</v>
      </c>
      <c r="M2103" s="16">
        <f t="shared" si="195"/>
        <v>-1.5587989583845694</v>
      </c>
      <c r="N2103">
        <f t="shared" si="196"/>
        <v>0</v>
      </c>
      <c r="O2103">
        <f t="shared" si="197"/>
        <v>0</v>
      </c>
      <c r="P2103">
        <f t="shared" si="194"/>
        <v>3550</v>
      </c>
      <c r="Q2103">
        <f t="shared" si="198"/>
        <v>3550</v>
      </c>
      <c r="T2103" s="16">
        <f t="shared" si="199"/>
        <v>-1.5587989583845698</v>
      </c>
    </row>
    <row r="2104" spans="7:20" ht="14.4" x14ac:dyDescent="0.25">
      <c r="G2104" s="10">
        <v>2214</v>
      </c>
      <c r="H2104" s="9">
        <v>15972</v>
      </c>
      <c r="I2104" s="14">
        <f>DATE(2012,12,31)-510</f>
        <v>40764</v>
      </c>
      <c r="J2104" s="15" t="s">
        <v>28</v>
      </c>
      <c r="K2104" s="9">
        <v>2</v>
      </c>
      <c r="L2104" s="16" t="s">
        <v>26</v>
      </c>
      <c r="M2104" s="16">
        <f t="shared" si="195"/>
        <v>-1.627858735003791</v>
      </c>
      <c r="N2104">
        <f t="shared" si="196"/>
        <v>0</v>
      </c>
      <c r="O2104">
        <f t="shared" si="197"/>
        <v>0</v>
      </c>
      <c r="P2104">
        <f t="shared" si="194"/>
        <v>3500</v>
      </c>
      <c r="Q2104">
        <f t="shared" si="198"/>
        <v>3500</v>
      </c>
      <c r="T2104" s="16">
        <f t="shared" si="199"/>
        <v>-1.6278587350037912</v>
      </c>
    </row>
    <row r="2105" spans="7:20" ht="14.4" x14ac:dyDescent="0.25">
      <c r="G2105" s="10">
        <v>2222</v>
      </c>
      <c r="H2105" s="9">
        <v>16065</v>
      </c>
      <c r="I2105" s="14">
        <f>DATE(2012,12,31)-895</f>
        <v>40379</v>
      </c>
      <c r="J2105" s="15" t="s">
        <v>17</v>
      </c>
      <c r="K2105" s="9">
        <v>15</v>
      </c>
      <c r="L2105" s="16" t="s">
        <v>27</v>
      </c>
      <c r="M2105" s="16">
        <f t="shared" si="195"/>
        <v>-0.7300816389539122</v>
      </c>
      <c r="N2105">
        <f t="shared" si="196"/>
        <v>0</v>
      </c>
      <c r="O2105">
        <f t="shared" si="197"/>
        <v>0</v>
      </c>
      <c r="P2105">
        <f t="shared" si="194"/>
        <v>4150</v>
      </c>
      <c r="Q2105">
        <f t="shared" si="198"/>
        <v>4150</v>
      </c>
      <c r="T2105" s="16">
        <f t="shared" si="199"/>
        <v>-0.73008163895391265</v>
      </c>
    </row>
    <row r="2106" spans="7:20" ht="14.4" x14ac:dyDescent="0.25">
      <c r="G2106" s="10">
        <v>2223</v>
      </c>
      <c r="H2106" s="9">
        <v>16065</v>
      </c>
      <c r="I2106" s="14">
        <f>DATE(2012,12,31)-895</f>
        <v>40379</v>
      </c>
      <c r="J2106" s="15" t="s">
        <v>17</v>
      </c>
      <c r="K2106" s="9">
        <v>14</v>
      </c>
      <c r="L2106" s="16" t="s">
        <v>26</v>
      </c>
      <c r="M2106" s="16">
        <f t="shared" si="195"/>
        <v>-0.79914141557313367</v>
      </c>
      <c r="N2106">
        <f t="shared" si="196"/>
        <v>0</v>
      </c>
      <c r="O2106">
        <f t="shared" si="197"/>
        <v>0</v>
      </c>
      <c r="P2106">
        <f t="shared" si="194"/>
        <v>4100</v>
      </c>
      <c r="Q2106">
        <f t="shared" si="198"/>
        <v>4100</v>
      </c>
      <c r="T2106" s="16">
        <f t="shared" si="199"/>
        <v>-0.79914141557313401</v>
      </c>
    </row>
    <row r="2107" spans="7:20" ht="14.4" x14ac:dyDescent="0.25">
      <c r="G2107" s="10">
        <v>2224</v>
      </c>
      <c r="H2107" s="9">
        <v>16096</v>
      </c>
      <c r="I2107" s="14">
        <f>DATE(2012,12,31)-712</f>
        <v>40562</v>
      </c>
      <c r="J2107" s="15" t="s">
        <v>17</v>
      </c>
      <c r="K2107" s="9">
        <v>9</v>
      </c>
      <c r="L2107" s="16" t="s">
        <v>26</v>
      </c>
      <c r="M2107" s="16">
        <f t="shared" si="195"/>
        <v>-1.1444402986692408</v>
      </c>
      <c r="N2107">
        <f t="shared" si="196"/>
        <v>0</v>
      </c>
      <c r="O2107">
        <f t="shared" si="197"/>
        <v>0</v>
      </c>
      <c r="P2107">
        <f t="shared" si="194"/>
        <v>3850</v>
      </c>
      <c r="Q2107">
        <f t="shared" si="198"/>
        <v>3850</v>
      </c>
      <c r="T2107" s="16">
        <f t="shared" si="199"/>
        <v>-1.1444402986692412</v>
      </c>
    </row>
    <row r="2108" spans="7:20" ht="14.4" x14ac:dyDescent="0.25">
      <c r="G2108" s="10">
        <v>2236</v>
      </c>
      <c r="H2108" s="9">
        <v>16160</v>
      </c>
      <c r="I2108" s="14">
        <f>DATE(2012,12,31)-527</f>
        <v>40747</v>
      </c>
      <c r="J2108" s="15" t="s">
        <v>30</v>
      </c>
      <c r="K2108" s="9">
        <v>50</v>
      </c>
      <c r="L2108" s="16" t="s">
        <v>26</v>
      </c>
      <c r="M2108" s="16">
        <f t="shared" si="195"/>
        <v>1.687010542718838</v>
      </c>
      <c r="N2108">
        <f t="shared" si="196"/>
        <v>0</v>
      </c>
      <c r="O2108">
        <f t="shared" si="197"/>
        <v>0</v>
      </c>
      <c r="P2108">
        <f t="shared" si="194"/>
        <v>5900</v>
      </c>
      <c r="Q2108">
        <f t="shared" si="198"/>
        <v>5900</v>
      </c>
      <c r="T2108" s="16">
        <f t="shared" si="199"/>
        <v>1.6870105427188375</v>
      </c>
    </row>
    <row r="2109" spans="7:20" ht="14.4" x14ac:dyDescent="0.25">
      <c r="G2109" s="10">
        <v>2249</v>
      </c>
      <c r="H2109" s="9">
        <v>16196</v>
      </c>
      <c r="I2109" s="14">
        <f>DATE(2012,12,31)-1168</f>
        <v>40106</v>
      </c>
      <c r="J2109" s="15" t="s">
        <v>17</v>
      </c>
      <c r="K2109" s="9">
        <v>44</v>
      </c>
      <c r="L2109" s="16" t="s">
        <v>29</v>
      </c>
      <c r="M2109" s="16">
        <f t="shared" si="195"/>
        <v>1.2726518830035094</v>
      </c>
      <c r="N2109">
        <f t="shared" si="196"/>
        <v>0</v>
      </c>
      <c r="O2109">
        <f t="shared" si="197"/>
        <v>0</v>
      </c>
      <c r="P2109">
        <f t="shared" si="194"/>
        <v>5600</v>
      </c>
      <c r="Q2109">
        <f t="shared" si="198"/>
        <v>5600</v>
      </c>
      <c r="T2109" s="16">
        <f t="shared" si="199"/>
        <v>1.272651883003509</v>
      </c>
    </row>
    <row r="2110" spans="7:20" ht="14.4" x14ac:dyDescent="0.25">
      <c r="G2110" s="10">
        <v>2250</v>
      </c>
      <c r="H2110" s="9">
        <v>16196</v>
      </c>
      <c r="I2110" s="14">
        <f>DATE(2012,12,31)-1168</f>
        <v>40106</v>
      </c>
      <c r="J2110" s="15" t="s">
        <v>17</v>
      </c>
      <c r="K2110" s="9">
        <v>39</v>
      </c>
      <c r="L2110" s="16" t="s">
        <v>27</v>
      </c>
      <c r="M2110" s="16">
        <f t="shared" si="195"/>
        <v>0.92735299990740228</v>
      </c>
      <c r="N2110">
        <f t="shared" si="196"/>
        <v>0</v>
      </c>
      <c r="O2110">
        <f t="shared" si="197"/>
        <v>0</v>
      </c>
      <c r="P2110">
        <f t="shared" si="194"/>
        <v>5350</v>
      </c>
      <c r="Q2110">
        <f t="shared" si="198"/>
        <v>5350</v>
      </c>
      <c r="T2110" s="16">
        <f t="shared" si="199"/>
        <v>0.92735299990740183</v>
      </c>
    </row>
    <row r="2111" spans="7:20" ht="14.4" x14ac:dyDescent="0.25">
      <c r="G2111" s="10">
        <v>2268</v>
      </c>
      <c r="H2111" s="9">
        <v>16291</v>
      </c>
      <c r="I2111" s="14">
        <f>DATE(2012,12,31)-633</f>
        <v>40641</v>
      </c>
      <c r="J2111" s="15" t="s">
        <v>28</v>
      </c>
      <c r="K2111" s="9">
        <v>31</v>
      </c>
      <c r="L2111" s="16" t="s">
        <v>29</v>
      </c>
      <c r="M2111" s="16">
        <f t="shared" si="195"/>
        <v>0.37487478695363075</v>
      </c>
      <c r="N2111">
        <f t="shared" si="196"/>
        <v>0</v>
      </c>
      <c r="O2111">
        <f t="shared" si="197"/>
        <v>0</v>
      </c>
      <c r="P2111">
        <f t="shared" si="194"/>
        <v>4950</v>
      </c>
      <c r="Q2111">
        <f t="shared" si="198"/>
        <v>4950</v>
      </c>
      <c r="T2111" s="16">
        <f t="shared" si="199"/>
        <v>0.37487478695363036</v>
      </c>
    </row>
    <row r="2112" spans="7:20" ht="14.4" x14ac:dyDescent="0.25">
      <c r="G2112" s="10">
        <v>2292</v>
      </c>
      <c r="H2112" s="9">
        <v>16519</v>
      </c>
      <c r="I2112" s="14">
        <f>DATE(2012,12,31)-570</f>
        <v>40704</v>
      </c>
      <c r="J2112" s="15" t="s">
        <v>16</v>
      </c>
      <c r="K2112" s="9">
        <v>39</v>
      </c>
      <c r="L2112" s="16" t="s">
        <v>26</v>
      </c>
      <c r="M2112" s="16">
        <f t="shared" si="195"/>
        <v>0.92735299990740228</v>
      </c>
      <c r="N2112">
        <f t="shared" si="196"/>
        <v>0</v>
      </c>
      <c r="O2112">
        <f t="shared" si="197"/>
        <v>0</v>
      </c>
      <c r="P2112">
        <f t="shared" si="194"/>
        <v>5350</v>
      </c>
      <c r="Q2112">
        <f t="shared" si="198"/>
        <v>5350</v>
      </c>
      <c r="T2112" s="16">
        <f t="shared" si="199"/>
        <v>0.92735299990740183</v>
      </c>
    </row>
    <row r="2113" spans="7:20" ht="14.4" x14ac:dyDescent="0.25">
      <c r="G2113" s="10">
        <v>2293</v>
      </c>
      <c r="H2113" s="9">
        <v>16519</v>
      </c>
      <c r="I2113" s="14">
        <f>DATE(2012,12,31)-570</f>
        <v>40704</v>
      </c>
      <c r="J2113" s="15" t="s">
        <v>16</v>
      </c>
      <c r="K2113" s="9">
        <v>49</v>
      </c>
      <c r="L2113" s="16" t="s">
        <v>26</v>
      </c>
      <c r="M2113" s="16">
        <f t="shared" si="195"/>
        <v>1.6179507660996166</v>
      </c>
      <c r="N2113">
        <f t="shared" si="196"/>
        <v>0</v>
      </c>
      <c r="O2113">
        <f t="shared" si="197"/>
        <v>0</v>
      </c>
      <c r="P2113">
        <f t="shared" si="194"/>
        <v>5850</v>
      </c>
      <c r="Q2113">
        <f t="shared" si="198"/>
        <v>5850</v>
      </c>
      <c r="T2113" s="16">
        <f t="shared" si="199"/>
        <v>1.6179507660996162</v>
      </c>
    </row>
    <row r="2114" spans="7:20" ht="14.4" x14ac:dyDescent="0.25">
      <c r="G2114" s="10">
        <v>2298</v>
      </c>
      <c r="H2114" s="9">
        <v>16548</v>
      </c>
      <c r="I2114" s="14">
        <f>DATE(2012,12,31)-330</f>
        <v>40944</v>
      </c>
      <c r="J2114" s="15" t="s">
        <v>28</v>
      </c>
      <c r="K2114" s="9">
        <v>22</v>
      </c>
      <c r="L2114" s="16" t="s">
        <v>29</v>
      </c>
      <c r="M2114" s="16">
        <f t="shared" si="195"/>
        <v>-0.24666320261936217</v>
      </c>
      <c r="N2114">
        <f t="shared" si="196"/>
        <v>0</v>
      </c>
      <c r="O2114">
        <f t="shared" si="197"/>
        <v>0</v>
      </c>
      <c r="P2114">
        <f t="shared" si="194"/>
        <v>4500</v>
      </c>
      <c r="Q2114">
        <f t="shared" si="198"/>
        <v>4500</v>
      </c>
      <c r="T2114" s="16">
        <f t="shared" si="199"/>
        <v>-0.24666320261936256</v>
      </c>
    </row>
    <row r="2115" spans="7:20" ht="14.4" x14ac:dyDescent="0.25">
      <c r="G2115" s="10">
        <v>2306</v>
      </c>
      <c r="H2115" s="9">
        <v>16613</v>
      </c>
      <c r="I2115" s="14">
        <f>DATE(2012,12,31)-738</f>
        <v>40536</v>
      </c>
      <c r="J2115" s="15" t="s">
        <v>17</v>
      </c>
      <c r="K2115" s="9">
        <v>28</v>
      </c>
      <c r="L2115" s="16" t="s">
        <v>29</v>
      </c>
      <c r="M2115" s="16">
        <f t="shared" si="195"/>
        <v>0.16769545709596645</v>
      </c>
      <c r="N2115">
        <f t="shared" si="196"/>
        <v>0</v>
      </c>
      <c r="O2115">
        <f t="shared" si="197"/>
        <v>0</v>
      </c>
      <c r="P2115">
        <f t="shared" si="194"/>
        <v>4800</v>
      </c>
      <c r="Q2115">
        <f t="shared" si="198"/>
        <v>4800</v>
      </c>
      <c r="T2115" s="16">
        <f t="shared" si="199"/>
        <v>0.16769545709596606</v>
      </c>
    </row>
    <row r="2116" spans="7:20" ht="14.4" x14ac:dyDescent="0.25">
      <c r="G2116" s="10">
        <v>2326</v>
      </c>
      <c r="H2116" s="9">
        <v>16771</v>
      </c>
      <c r="I2116" s="14">
        <f>DATE(2012,12,31)-1190</f>
        <v>40084</v>
      </c>
      <c r="J2116" s="15" t="s">
        <v>17</v>
      </c>
      <c r="K2116" s="9">
        <v>42</v>
      </c>
      <c r="L2116" s="16" t="s">
        <v>29</v>
      </c>
      <c r="M2116" s="16">
        <f t="shared" si="195"/>
        <v>1.1345323297650665</v>
      </c>
      <c r="N2116">
        <f t="shared" si="196"/>
        <v>0</v>
      </c>
      <c r="O2116">
        <f t="shared" si="197"/>
        <v>0</v>
      </c>
      <c r="P2116">
        <f t="shared" si="194"/>
        <v>5500</v>
      </c>
      <c r="Q2116">
        <f t="shared" si="198"/>
        <v>5500</v>
      </c>
      <c r="T2116" s="16">
        <f t="shared" si="199"/>
        <v>1.1345323297650662</v>
      </c>
    </row>
    <row r="2117" spans="7:20" ht="14.4" x14ac:dyDescent="0.25">
      <c r="G2117" s="10">
        <v>2331</v>
      </c>
      <c r="H2117" s="9">
        <v>16804</v>
      </c>
      <c r="I2117" s="14">
        <f>DATE(2012,12,31)-296</f>
        <v>40978</v>
      </c>
      <c r="J2117" s="15" t="s">
        <v>17</v>
      </c>
      <c r="K2117" s="9">
        <v>46</v>
      </c>
      <c r="L2117" s="16" t="s">
        <v>26</v>
      </c>
      <c r="M2117" s="16">
        <f t="shared" si="195"/>
        <v>1.4107714362419523</v>
      </c>
      <c r="N2117">
        <f t="shared" si="196"/>
        <v>0</v>
      </c>
      <c r="O2117">
        <f t="shared" si="197"/>
        <v>0</v>
      </c>
      <c r="P2117">
        <f t="shared" si="194"/>
        <v>5700</v>
      </c>
      <c r="Q2117">
        <f t="shared" si="198"/>
        <v>5700</v>
      </c>
      <c r="T2117" s="16">
        <f t="shared" si="199"/>
        <v>1.4107714362419519</v>
      </c>
    </row>
    <row r="2118" spans="7:20" ht="14.4" x14ac:dyDescent="0.25">
      <c r="G2118" s="10">
        <v>2332</v>
      </c>
      <c r="H2118" s="9">
        <v>16804</v>
      </c>
      <c r="I2118" s="14">
        <f>DATE(2012,12,31)-296</f>
        <v>40978</v>
      </c>
      <c r="J2118" s="15" t="s">
        <v>17</v>
      </c>
      <c r="K2118" s="9">
        <v>36</v>
      </c>
      <c r="L2118" s="16" t="s">
        <v>26</v>
      </c>
      <c r="M2118" s="16">
        <f t="shared" si="195"/>
        <v>0.72017367004973787</v>
      </c>
      <c r="N2118">
        <f t="shared" si="196"/>
        <v>0</v>
      </c>
      <c r="O2118">
        <f t="shared" si="197"/>
        <v>0</v>
      </c>
      <c r="P2118">
        <f t="shared" si="194"/>
        <v>5200</v>
      </c>
      <c r="Q2118">
        <f t="shared" si="198"/>
        <v>5200</v>
      </c>
      <c r="T2118" s="16">
        <f t="shared" si="199"/>
        <v>0.72017367004973754</v>
      </c>
    </row>
    <row r="2119" spans="7:20" ht="14.4" x14ac:dyDescent="0.25">
      <c r="G2119" s="10">
        <v>2358</v>
      </c>
      <c r="H2119" s="9">
        <v>17024</v>
      </c>
      <c r="I2119" s="14">
        <f>DATE(2012,12,31)-1175</f>
        <v>40099</v>
      </c>
      <c r="J2119" s="15" t="s">
        <v>16</v>
      </c>
      <c r="K2119" s="9">
        <v>31</v>
      </c>
      <c r="L2119" s="16" t="s">
        <v>26</v>
      </c>
      <c r="M2119" s="16">
        <f t="shared" si="195"/>
        <v>0.37487478695363075</v>
      </c>
      <c r="N2119">
        <f t="shared" si="196"/>
        <v>0</v>
      </c>
      <c r="O2119">
        <f t="shared" si="197"/>
        <v>0</v>
      </c>
      <c r="P2119">
        <f t="shared" si="194"/>
        <v>4950</v>
      </c>
      <c r="Q2119">
        <f t="shared" si="198"/>
        <v>4950</v>
      </c>
      <c r="T2119" s="16">
        <f t="shared" si="199"/>
        <v>0.37487478695363036</v>
      </c>
    </row>
    <row r="2120" spans="7:20" ht="14.4" x14ac:dyDescent="0.25">
      <c r="G2120" s="10">
        <v>2361</v>
      </c>
      <c r="H2120" s="9">
        <v>17061</v>
      </c>
      <c r="I2120" s="14">
        <f>DATE(2012,12,31)-62</f>
        <v>41212</v>
      </c>
      <c r="J2120" s="15" t="s">
        <v>30</v>
      </c>
      <c r="K2120" s="9">
        <v>28</v>
      </c>
      <c r="L2120" s="16" t="s">
        <v>26</v>
      </c>
      <c r="M2120" s="16">
        <f t="shared" si="195"/>
        <v>0.16769545709596645</v>
      </c>
      <c r="N2120">
        <f t="shared" si="196"/>
        <v>0</v>
      </c>
      <c r="O2120">
        <f t="shared" si="197"/>
        <v>0</v>
      </c>
      <c r="P2120">
        <f t="shared" si="194"/>
        <v>4800</v>
      </c>
      <c r="Q2120">
        <f t="shared" si="198"/>
        <v>4800</v>
      </c>
      <c r="T2120" s="16">
        <f t="shared" si="199"/>
        <v>0.16769545709596606</v>
      </c>
    </row>
    <row r="2121" spans="7:20" ht="14.4" x14ac:dyDescent="0.25">
      <c r="G2121" s="10">
        <v>2367</v>
      </c>
      <c r="H2121" s="9">
        <v>17152</v>
      </c>
      <c r="I2121" s="14">
        <f>DATE(2012,12,31)-294</f>
        <v>40980</v>
      </c>
      <c r="J2121" s="15" t="s">
        <v>17</v>
      </c>
      <c r="K2121" s="9">
        <v>32</v>
      </c>
      <c r="L2121" s="16" t="s">
        <v>26</v>
      </c>
      <c r="M2121" s="16">
        <f t="shared" si="195"/>
        <v>0.44393456357285216</v>
      </c>
      <c r="N2121">
        <f t="shared" si="196"/>
        <v>0</v>
      </c>
      <c r="O2121">
        <f t="shared" si="197"/>
        <v>0</v>
      </c>
      <c r="P2121">
        <f t="shared" si="194"/>
        <v>5000</v>
      </c>
      <c r="Q2121">
        <f t="shared" si="198"/>
        <v>5000</v>
      </c>
      <c r="T2121" s="16">
        <f t="shared" si="199"/>
        <v>0.44393456357285183</v>
      </c>
    </row>
    <row r="2122" spans="7:20" ht="14.4" x14ac:dyDescent="0.25">
      <c r="G2122" s="10">
        <v>2373</v>
      </c>
      <c r="H2122" s="9">
        <v>17187</v>
      </c>
      <c r="I2122" s="14">
        <f>DATE(2012,12,31)-99</f>
        <v>41175</v>
      </c>
      <c r="J2122" s="15" t="s">
        <v>17</v>
      </c>
      <c r="K2122" s="9">
        <v>4</v>
      </c>
      <c r="L2122" s="16" t="s">
        <v>27</v>
      </c>
      <c r="M2122" s="16">
        <f t="shared" si="195"/>
        <v>-1.489739181765348</v>
      </c>
      <c r="N2122">
        <f t="shared" si="196"/>
        <v>0</v>
      </c>
      <c r="O2122">
        <f t="shared" si="197"/>
        <v>0</v>
      </c>
      <c r="P2122">
        <f t="shared" si="194"/>
        <v>3600</v>
      </c>
      <c r="Q2122">
        <f t="shared" si="198"/>
        <v>3600</v>
      </c>
      <c r="T2122" s="16">
        <f t="shared" si="199"/>
        <v>-1.4897391817653485</v>
      </c>
    </row>
    <row r="2123" spans="7:20" ht="14.4" x14ac:dyDescent="0.25">
      <c r="G2123" s="10">
        <v>2378</v>
      </c>
      <c r="H2123" s="9">
        <v>17252</v>
      </c>
      <c r="I2123" s="14">
        <f>DATE(2012,12,31)-612</f>
        <v>40662</v>
      </c>
      <c r="J2123" s="15" t="s">
        <v>28</v>
      </c>
      <c r="K2123" s="9">
        <v>48</v>
      </c>
      <c r="L2123" s="16" t="s">
        <v>26</v>
      </c>
      <c r="M2123" s="16">
        <f t="shared" si="195"/>
        <v>1.5488909894803951</v>
      </c>
      <c r="N2123">
        <f t="shared" si="196"/>
        <v>0</v>
      </c>
      <c r="O2123">
        <f t="shared" si="197"/>
        <v>0</v>
      </c>
      <c r="P2123">
        <f t="shared" si="194"/>
        <v>5800</v>
      </c>
      <c r="Q2123">
        <f t="shared" si="198"/>
        <v>5800</v>
      </c>
      <c r="T2123" s="16">
        <f t="shared" si="199"/>
        <v>1.5488909894803948</v>
      </c>
    </row>
    <row r="2124" spans="7:20" ht="14.4" x14ac:dyDescent="0.25">
      <c r="G2124" s="10">
        <v>2379</v>
      </c>
      <c r="H2124" s="9">
        <v>17252</v>
      </c>
      <c r="I2124" s="14">
        <f>DATE(2012,12,31)-612</f>
        <v>40662</v>
      </c>
      <c r="J2124" s="15" t="s">
        <v>28</v>
      </c>
      <c r="K2124" s="9">
        <v>49</v>
      </c>
      <c r="L2124" s="16" t="s">
        <v>29</v>
      </c>
      <c r="M2124" s="16">
        <f t="shared" si="195"/>
        <v>1.6179507660996166</v>
      </c>
      <c r="N2124">
        <f t="shared" si="196"/>
        <v>0</v>
      </c>
      <c r="O2124">
        <f t="shared" si="197"/>
        <v>0</v>
      </c>
      <c r="P2124">
        <f t="shared" ref="P2124:P2187" si="200">50*K2124+$P$10</f>
        <v>5850</v>
      </c>
      <c r="Q2124">
        <f t="shared" si="198"/>
        <v>5850</v>
      </c>
      <c r="T2124" s="16">
        <f t="shared" si="199"/>
        <v>1.6179507660996162</v>
      </c>
    </row>
    <row r="2125" spans="7:20" ht="14.4" x14ac:dyDescent="0.25">
      <c r="G2125" s="10">
        <v>2388</v>
      </c>
      <c r="H2125" s="9">
        <v>17312</v>
      </c>
      <c r="I2125" s="14">
        <f>DATE(2012,12,31)-591</f>
        <v>40683</v>
      </c>
      <c r="J2125" s="15" t="s">
        <v>28</v>
      </c>
      <c r="K2125" s="9">
        <v>37</v>
      </c>
      <c r="L2125" s="16" t="s">
        <v>26</v>
      </c>
      <c r="M2125" s="16">
        <f t="shared" ref="M2125:M2188" si="201">(K2125-$K$4)/$K$7</f>
        <v>0.78923344666895934</v>
      </c>
      <c r="N2125">
        <f t="shared" ref="N2125:N2188" si="202">IF(MOD($B$20+G2125,1000)=0,1,0)</f>
        <v>0</v>
      </c>
      <c r="O2125">
        <f t="shared" ref="O2125:O2188" si="203">+ROUND(N2125*(IF(K2125&lt;$K$4,-4.5,10.5)*$P$5),-2)</f>
        <v>0</v>
      </c>
      <c r="P2125">
        <f t="shared" si="200"/>
        <v>5250</v>
      </c>
      <c r="Q2125">
        <f t="shared" ref="Q2125:Q2188" si="204">P2125+O2125</f>
        <v>5250</v>
      </c>
      <c r="T2125" s="16">
        <f t="shared" ref="T2125:T2188" si="205">(Q2125-$P$4)/$P$5</f>
        <v>0.789233446668959</v>
      </c>
    </row>
    <row r="2126" spans="7:20" ht="14.4" x14ac:dyDescent="0.25">
      <c r="G2126" s="10">
        <v>2389</v>
      </c>
      <c r="H2126" s="9">
        <v>17312</v>
      </c>
      <c r="I2126" s="14">
        <f>DATE(2012,12,31)-591</f>
        <v>40683</v>
      </c>
      <c r="J2126" s="15" t="s">
        <v>28</v>
      </c>
      <c r="K2126" s="9">
        <v>41</v>
      </c>
      <c r="L2126" s="16" t="s">
        <v>27</v>
      </c>
      <c r="M2126" s="16">
        <f t="shared" si="201"/>
        <v>1.0654725531458451</v>
      </c>
      <c r="N2126">
        <f t="shared" si="202"/>
        <v>0</v>
      </c>
      <c r="O2126">
        <f t="shared" si="203"/>
        <v>0</v>
      </c>
      <c r="P2126">
        <f t="shared" si="200"/>
        <v>5450</v>
      </c>
      <c r="Q2126">
        <f t="shared" si="204"/>
        <v>5450</v>
      </c>
      <c r="T2126" s="16">
        <f t="shared" si="205"/>
        <v>1.0654725531458447</v>
      </c>
    </row>
    <row r="2127" spans="7:20" ht="14.4" x14ac:dyDescent="0.25">
      <c r="G2127" s="10">
        <v>2396</v>
      </c>
      <c r="H2127" s="9">
        <v>17377</v>
      </c>
      <c r="I2127" s="14">
        <f>DATE(2012,12,31)-430</f>
        <v>40844</v>
      </c>
      <c r="J2127" s="15" t="s">
        <v>25</v>
      </c>
      <c r="K2127" s="9">
        <v>39</v>
      </c>
      <c r="L2127" s="16" t="s">
        <v>26</v>
      </c>
      <c r="M2127" s="16">
        <f t="shared" si="201"/>
        <v>0.92735299990740228</v>
      </c>
      <c r="N2127">
        <f t="shared" si="202"/>
        <v>0</v>
      </c>
      <c r="O2127">
        <f t="shared" si="203"/>
        <v>0</v>
      </c>
      <c r="P2127">
        <f t="shared" si="200"/>
        <v>5350</v>
      </c>
      <c r="Q2127">
        <f t="shared" si="204"/>
        <v>5350</v>
      </c>
      <c r="T2127" s="16">
        <f t="shared" si="205"/>
        <v>0.92735299990740183</v>
      </c>
    </row>
    <row r="2128" spans="7:20" ht="14.4" x14ac:dyDescent="0.25">
      <c r="G2128" s="10">
        <v>2427</v>
      </c>
      <c r="H2128" s="9">
        <v>17634</v>
      </c>
      <c r="I2128" s="14">
        <f>DATE(2012,12,31)-163</f>
        <v>41111</v>
      </c>
      <c r="J2128" s="15" t="s">
        <v>17</v>
      </c>
      <c r="K2128" s="9">
        <v>5</v>
      </c>
      <c r="L2128" s="16" t="s">
        <v>29</v>
      </c>
      <c r="M2128" s="16">
        <f t="shared" si="201"/>
        <v>-1.4206794051461267</v>
      </c>
      <c r="N2128">
        <f t="shared" si="202"/>
        <v>0</v>
      </c>
      <c r="O2128">
        <f t="shared" si="203"/>
        <v>0</v>
      </c>
      <c r="P2128">
        <f t="shared" si="200"/>
        <v>3650</v>
      </c>
      <c r="Q2128">
        <f t="shared" si="204"/>
        <v>3650</v>
      </c>
      <c r="T2128" s="16">
        <f t="shared" si="205"/>
        <v>-1.4206794051461269</v>
      </c>
    </row>
    <row r="2129" spans="7:20" ht="14.4" x14ac:dyDescent="0.25">
      <c r="G2129" s="10">
        <v>2431</v>
      </c>
      <c r="H2129" s="9">
        <v>17668</v>
      </c>
      <c r="I2129" s="14">
        <f>DATE(2012,12,31)-1132</f>
        <v>40142</v>
      </c>
      <c r="J2129" s="15" t="s">
        <v>16</v>
      </c>
      <c r="K2129" s="9">
        <v>49</v>
      </c>
      <c r="L2129" s="16" t="s">
        <v>27</v>
      </c>
      <c r="M2129" s="16">
        <f t="shared" si="201"/>
        <v>1.6179507660996166</v>
      </c>
      <c r="N2129">
        <f t="shared" si="202"/>
        <v>0</v>
      </c>
      <c r="O2129">
        <f t="shared" si="203"/>
        <v>0</v>
      </c>
      <c r="P2129">
        <f t="shared" si="200"/>
        <v>5850</v>
      </c>
      <c r="Q2129">
        <f t="shared" si="204"/>
        <v>5850</v>
      </c>
      <c r="T2129" s="16">
        <f t="shared" si="205"/>
        <v>1.6179507660996162</v>
      </c>
    </row>
    <row r="2130" spans="7:20" ht="14.4" x14ac:dyDescent="0.25">
      <c r="G2130" s="10">
        <v>2432</v>
      </c>
      <c r="H2130" s="9">
        <v>17668</v>
      </c>
      <c r="I2130" s="14">
        <f>DATE(2012,12,31)-1132</f>
        <v>40142</v>
      </c>
      <c r="J2130" s="15" t="s">
        <v>16</v>
      </c>
      <c r="K2130" s="9">
        <v>24</v>
      </c>
      <c r="L2130" s="16" t="s">
        <v>27</v>
      </c>
      <c r="M2130" s="16">
        <f t="shared" si="201"/>
        <v>-0.1085436493809193</v>
      </c>
      <c r="N2130">
        <f t="shared" si="202"/>
        <v>0</v>
      </c>
      <c r="O2130">
        <f t="shared" si="203"/>
        <v>0</v>
      </c>
      <c r="P2130">
        <f t="shared" si="200"/>
        <v>4600</v>
      </c>
      <c r="Q2130">
        <f t="shared" si="204"/>
        <v>4600</v>
      </c>
      <c r="T2130" s="16">
        <f t="shared" si="205"/>
        <v>-0.10854364938091969</v>
      </c>
    </row>
    <row r="2131" spans="7:20" ht="14.4" x14ac:dyDescent="0.25">
      <c r="G2131" s="10">
        <v>2433</v>
      </c>
      <c r="H2131" s="9">
        <v>17668</v>
      </c>
      <c r="I2131" s="14">
        <f>DATE(2012,12,31)-1132</f>
        <v>40142</v>
      </c>
      <c r="J2131" s="15" t="s">
        <v>16</v>
      </c>
      <c r="K2131" s="9">
        <v>13</v>
      </c>
      <c r="L2131" s="16" t="s">
        <v>27</v>
      </c>
      <c r="M2131" s="16">
        <f t="shared" si="201"/>
        <v>-0.86820119219235514</v>
      </c>
      <c r="N2131">
        <f t="shared" si="202"/>
        <v>0</v>
      </c>
      <c r="O2131">
        <f t="shared" si="203"/>
        <v>0</v>
      </c>
      <c r="P2131">
        <f t="shared" si="200"/>
        <v>4050</v>
      </c>
      <c r="Q2131">
        <f t="shared" si="204"/>
        <v>4050</v>
      </c>
      <c r="T2131" s="16">
        <f t="shared" si="205"/>
        <v>-0.86820119219235548</v>
      </c>
    </row>
    <row r="2132" spans="7:20" ht="14.4" x14ac:dyDescent="0.25">
      <c r="G2132" s="10">
        <v>2443</v>
      </c>
      <c r="H2132" s="9">
        <v>17735</v>
      </c>
      <c r="I2132" s="14">
        <f>DATE(2012,12,31)-172</f>
        <v>41102</v>
      </c>
      <c r="J2132" s="15" t="s">
        <v>25</v>
      </c>
      <c r="K2132" s="9">
        <v>45</v>
      </c>
      <c r="L2132" s="16" t="s">
        <v>26</v>
      </c>
      <c r="M2132" s="16">
        <f t="shared" si="201"/>
        <v>1.3417116596227308</v>
      </c>
      <c r="N2132">
        <f t="shared" si="202"/>
        <v>0</v>
      </c>
      <c r="O2132">
        <f t="shared" si="203"/>
        <v>0</v>
      </c>
      <c r="P2132">
        <f t="shared" si="200"/>
        <v>5650</v>
      </c>
      <c r="Q2132">
        <f t="shared" si="204"/>
        <v>5650</v>
      </c>
      <c r="T2132" s="16">
        <f t="shared" si="205"/>
        <v>1.3417116596227305</v>
      </c>
    </row>
    <row r="2133" spans="7:20" ht="14.4" x14ac:dyDescent="0.25">
      <c r="G2133" s="10">
        <v>2444</v>
      </c>
      <c r="H2133" s="9">
        <v>17735</v>
      </c>
      <c r="I2133" s="14">
        <f>DATE(2012,12,31)-172</f>
        <v>41102</v>
      </c>
      <c r="J2133" s="15" t="s">
        <v>25</v>
      </c>
      <c r="K2133" s="9">
        <v>28</v>
      </c>
      <c r="L2133" s="16" t="s">
        <v>26</v>
      </c>
      <c r="M2133" s="16">
        <f t="shared" si="201"/>
        <v>0.16769545709596645</v>
      </c>
      <c r="N2133">
        <f t="shared" si="202"/>
        <v>0</v>
      </c>
      <c r="O2133">
        <f t="shared" si="203"/>
        <v>0</v>
      </c>
      <c r="P2133">
        <f t="shared" si="200"/>
        <v>4800</v>
      </c>
      <c r="Q2133">
        <f t="shared" si="204"/>
        <v>4800</v>
      </c>
      <c r="T2133" s="16">
        <f t="shared" si="205"/>
        <v>0.16769545709596606</v>
      </c>
    </row>
    <row r="2134" spans="7:20" ht="14.4" x14ac:dyDescent="0.25">
      <c r="G2134" s="10">
        <v>2451</v>
      </c>
      <c r="H2134" s="9">
        <v>17825</v>
      </c>
      <c r="I2134" s="14">
        <f>DATE(2012,12,31)-1083</f>
        <v>40191</v>
      </c>
      <c r="J2134" s="15" t="s">
        <v>28</v>
      </c>
      <c r="K2134" s="9">
        <v>26</v>
      </c>
      <c r="L2134" s="16" t="s">
        <v>26</v>
      </c>
      <c r="M2134" s="16">
        <f t="shared" si="201"/>
        <v>2.9575903857523567E-2</v>
      </c>
      <c r="N2134">
        <f t="shared" si="202"/>
        <v>0</v>
      </c>
      <c r="O2134">
        <f t="shared" si="203"/>
        <v>0</v>
      </c>
      <c r="P2134">
        <f t="shared" si="200"/>
        <v>4700</v>
      </c>
      <c r="Q2134">
        <f t="shared" si="204"/>
        <v>4700</v>
      </c>
      <c r="T2134" s="16">
        <f t="shared" si="205"/>
        <v>2.9575903857523185E-2</v>
      </c>
    </row>
    <row r="2135" spans="7:20" ht="14.4" x14ac:dyDescent="0.25">
      <c r="G2135" s="10">
        <v>2469</v>
      </c>
      <c r="H2135" s="9">
        <v>17956</v>
      </c>
      <c r="I2135" s="14">
        <f>DATE(2012,12,31)-879</f>
        <v>40395</v>
      </c>
      <c r="J2135" s="15" t="s">
        <v>30</v>
      </c>
      <c r="K2135" s="9">
        <v>40</v>
      </c>
      <c r="L2135" s="16" t="s">
        <v>26</v>
      </c>
      <c r="M2135" s="16">
        <f t="shared" si="201"/>
        <v>0.99641277652662363</v>
      </c>
      <c r="N2135">
        <f t="shared" si="202"/>
        <v>0</v>
      </c>
      <c r="O2135">
        <f t="shared" si="203"/>
        <v>0</v>
      </c>
      <c r="P2135">
        <f t="shared" si="200"/>
        <v>5400</v>
      </c>
      <c r="Q2135">
        <f t="shared" si="204"/>
        <v>5400</v>
      </c>
      <c r="T2135" s="16">
        <f t="shared" si="205"/>
        <v>0.9964127765266233</v>
      </c>
    </row>
    <row r="2136" spans="7:20" ht="14.4" x14ac:dyDescent="0.25">
      <c r="G2136" s="10">
        <v>2470</v>
      </c>
      <c r="H2136" s="9">
        <v>17956</v>
      </c>
      <c r="I2136" s="14">
        <f>DATE(2012,12,31)-879</f>
        <v>40395</v>
      </c>
      <c r="J2136" s="15" t="s">
        <v>30</v>
      </c>
      <c r="K2136" s="9">
        <v>17</v>
      </c>
      <c r="L2136" s="16" t="s">
        <v>26</v>
      </c>
      <c r="M2136" s="16">
        <f t="shared" si="201"/>
        <v>-0.59196208571546938</v>
      </c>
      <c r="N2136">
        <f t="shared" si="202"/>
        <v>0</v>
      </c>
      <c r="O2136">
        <f t="shared" si="203"/>
        <v>0</v>
      </c>
      <c r="P2136">
        <f t="shared" si="200"/>
        <v>4250</v>
      </c>
      <c r="Q2136">
        <f t="shared" si="204"/>
        <v>4250</v>
      </c>
      <c r="T2136" s="16">
        <f t="shared" si="205"/>
        <v>-0.59196208571546971</v>
      </c>
    </row>
    <row r="2137" spans="7:20" ht="14.4" x14ac:dyDescent="0.25">
      <c r="G2137" s="10">
        <v>2476</v>
      </c>
      <c r="H2137" s="9">
        <v>17986</v>
      </c>
      <c r="I2137" s="14">
        <f>DATE(2012,12,31)-270</f>
        <v>41004</v>
      </c>
      <c r="J2137" s="15" t="s">
        <v>28</v>
      </c>
      <c r="K2137" s="9">
        <v>43</v>
      </c>
      <c r="L2137" s="16" t="s">
        <v>26</v>
      </c>
      <c r="M2137" s="16">
        <f t="shared" si="201"/>
        <v>1.203592106384288</v>
      </c>
      <c r="N2137">
        <f t="shared" si="202"/>
        <v>0</v>
      </c>
      <c r="O2137">
        <f t="shared" si="203"/>
        <v>0</v>
      </c>
      <c r="P2137">
        <f t="shared" si="200"/>
        <v>5550</v>
      </c>
      <c r="Q2137">
        <f t="shared" si="204"/>
        <v>5550</v>
      </c>
      <c r="T2137" s="16">
        <f t="shared" si="205"/>
        <v>1.2035921063842876</v>
      </c>
    </row>
    <row r="2138" spans="7:20" ht="14.4" x14ac:dyDescent="0.25">
      <c r="G2138" s="10">
        <v>2486</v>
      </c>
      <c r="H2138" s="9">
        <v>18112</v>
      </c>
      <c r="I2138" s="14">
        <f>DATE(2012,12,31)-290</f>
        <v>40984</v>
      </c>
      <c r="J2138" s="15" t="s">
        <v>28</v>
      </c>
      <c r="K2138" s="9">
        <v>13</v>
      </c>
      <c r="L2138" s="16" t="s">
        <v>26</v>
      </c>
      <c r="M2138" s="16">
        <f t="shared" si="201"/>
        <v>-0.86820119219235514</v>
      </c>
      <c r="N2138">
        <f t="shared" si="202"/>
        <v>0</v>
      </c>
      <c r="O2138">
        <f t="shared" si="203"/>
        <v>0</v>
      </c>
      <c r="P2138">
        <f t="shared" si="200"/>
        <v>4050</v>
      </c>
      <c r="Q2138">
        <f t="shared" si="204"/>
        <v>4050</v>
      </c>
      <c r="T2138" s="16">
        <f t="shared" si="205"/>
        <v>-0.86820119219235548</v>
      </c>
    </row>
    <row r="2139" spans="7:20" ht="14.4" x14ac:dyDescent="0.25">
      <c r="G2139" s="10">
        <v>2496</v>
      </c>
      <c r="H2139" s="9">
        <v>18178</v>
      </c>
      <c r="I2139" s="14">
        <f>DATE(2012,12,31)-1155</f>
        <v>40119</v>
      </c>
      <c r="J2139" s="15" t="s">
        <v>25</v>
      </c>
      <c r="K2139" s="9">
        <v>43</v>
      </c>
      <c r="L2139" s="16" t="s">
        <v>26</v>
      </c>
      <c r="M2139" s="16">
        <f t="shared" si="201"/>
        <v>1.203592106384288</v>
      </c>
      <c r="N2139">
        <f t="shared" si="202"/>
        <v>0</v>
      </c>
      <c r="O2139">
        <f t="shared" si="203"/>
        <v>0</v>
      </c>
      <c r="P2139">
        <f t="shared" si="200"/>
        <v>5550</v>
      </c>
      <c r="Q2139">
        <f t="shared" si="204"/>
        <v>5550</v>
      </c>
      <c r="T2139" s="16">
        <f t="shared" si="205"/>
        <v>1.2035921063842876</v>
      </c>
    </row>
    <row r="2140" spans="7:20" ht="14.4" x14ac:dyDescent="0.25">
      <c r="G2140" s="10">
        <v>2497</v>
      </c>
      <c r="H2140" s="9">
        <v>18178</v>
      </c>
      <c r="I2140" s="14">
        <f>DATE(2012,12,31)-1155</f>
        <v>40119</v>
      </c>
      <c r="J2140" s="15" t="s">
        <v>25</v>
      </c>
      <c r="K2140" s="9">
        <v>10</v>
      </c>
      <c r="L2140" s="16" t="s">
        <v>29</v>
      </c>
      <c r="M2140" s="16">
        <f t="shared" si="201"/>
        <v>-1.0753805220500194</v>
      </c>
      <c r="N2140">
        <f t="shared" si="202"/>
        <v>0</v>
      </c>
      <c r="O2140">
        <f t="shared" si="203"/>
        <v>0</v>
      </c>
      <c r="P2140">
        <f t="shared" si="200"/>
        <v>3900</v>
      </c>
      <c r="Q2140">
        <f t="shared" si="204"/>
        <v>3900</v>
      </c>
      <c r="T2140" s="16">
        <f t="shared" si="205"/>
        <v>-1.0753805220500199</v>
      </c>
    </row>
    <row r="2141" spans="7:20" ht="14.4" x14ac:dyDescent="0.25">
      <c r="G2141" s="10">
        <v>2501</v>
      </c>
      <c r="H2141" s="9">
        <v>18182</v>
      </c>
      <c r="I2141" s="14">
        <f>DATE(2012,12,31)-631</f>
        <v>40643</v>
      </c>
      <c r="J2141" s="15" t="s">
        <v>16</v>
      </c>
      <c r="K2141" s="9">
        <v>45</v>
      </c>
      <c r="L2141" s="16" t="s">
        <v>27</v>
      </c>
      <c r="M2141" s="16">
        <f t="shared" si="201"/>
        <v>1.3417116596227308</v>
      </c>
      <c r="N2141">
        <f t="shared" si="202"/>
        <v>0</v>
      </c>
      <c r="O2141">
        <f t="shared" si="203"/>
        <v>0</v>
      </c>
      <c r="P2141">
        <f t="shared" si="200"/>
        <v>5650</v>
      </c>
      <c r="Q2141">
        <f t="shared" si="204"/>
        <v>5650</v>
      </c>
      <c r="T2141" s="16">
        <f t="shared" si="205"/>
        <v>1.3417116596227305</v>
      </c>
    </row>
    <row r="2142" spans="7:20" ht="14.4" x14ac:dyDescent="0.25">
      <c r="G2142" s="10">
        <v>2502</v>
      </c>
      <c r="H2142" s="9">
        <v>18182</v>
      </c>
      <c r="I2142" s="14">
        <f>DATE(2012,12,31)-631</f>
        <v>40643</v>
      </c>
      <c r="J2142" s="15" t="s">
        <v>16</v>
      </c>
      <c r="K2142" s="9">
        <v>45</v>
      </c>
      <c r="L2142" s="16" t="s">
        <v>29</v>
      </c>
      <c r="M2142" s="16">
        <f t="shared" si="201"/>
        <v>1.3417116596227308</v>
      </c>
      <c r="N2142">
        <f t="shared" si="202"/>
        <v>0</v>
      </c>
      <c r="O2142">
        <f t="shared" si="203"/>
        <v>0</v>
      </c>
      <c r="P2142">
        <f t="shared" si="200"/>
        <v>5650</v>
      </c>
      <c r="Q2142">
        <f t="shared" si="204"/>
        <v>5650</v>
      </c>
      <c r="T2142" s="16">
        <f t="shared" si="205"/>
        <v>1.3417116596227305</v>
      </c>
    </row>
    <row r="2143" spans="7:20" ht="14.4" x14ac:dyDescent="0.25">
      <c r="G2143" s="10">
        <v>2503</v>
      </c>
      <c r="H2143" s="9">
        <v>18182</v>
      </c>
      <c r="I2143" s="14">
        <f>DATE(2012,12,31)-631</f>
        <v>40643</v>
      </c>
      <c r="J2143" s="15" t="s">
        <v>16</v>
      </c>
      <c r="K2143" s="9">
        <v>12</v>
      </c>
      <c r="L2143" s="16" t="s">
        <v>26</v>
      </c>
      <c r="M2143" s="16">
        <f t="shared" si="201"/>
        <v>-0.9372609688115765</v>
      </c>
      <c r="N2143">
        <f t="shared" si="202"/>
        <v>0</v>
      </c>
      <c r="O2143">
        <f t="shared" si="203"/>
        <v>0</v>
      </c>
      <c r="P2143">
        <f t="shared" si="200"/>
        <v>4000</v>
      </c>
      <c r="Q2143">
        <f t="shared" si="204"/>
        <v>4000</v>
      </c>
      <c r="T2143" s="16">
        <f t="shared" si="205"/>
        <v>-0.93726096881157694</v>
      </c>
    </row>
    <row r="2144" spans="7:20" ht="14.4" x14ac:dyDescent="0.25">
      <c r="G2144" s="10">
        <v>2538</v>
      </c>
      <c r="H2144" s="9">
        <v>18405</v>
      </c>
      <c r="I2144" s="14">
        <f>DATE(2012,12,31)-1454</f>
        <v>39820</v>
      </c>
      <c r="J2144" s="15" t="s">
        <v>16</v>
      </c>
      <c r="K2144" s="9">
        <v>30</v>
      </c>
      <c r="L2144" s="16" t="s">
        <v>26</v>
      </c>
      <c r="M2144" s="16">
        <f t="shared" si="201"/>
        <v>0.30581501033440933</v>
      </c>
      <c r="N2144">
        <f t="shared" si="202"/>
        <v>0</v>
      </c>
      <c r="O2144">
        <f t="shared" si="203"/>
        <v>0</v>
      </c>
      <c r="P2144">
        <f t="shared" si="200"/>
        <v>4900</v>
      </c>
      <c r="Q2144">
        <f t="shared" si="204"/>
        <v>4900</v>
      </c>
      <c r="T2144" s="16">
        <f t="shared" si="205"/>
        <v>0.30581501033440894</v>
      </c>
    </row>
    <row r="2145" spans="7:20" ht="14.4" x14ac:dyDescent="0.25">
      <c r="G2145" s="10">
        <v>2539</v>
      </c>
      <c r="H2145" s="9">
        <v>18405</v>
      </c>
      <c r="I2145" s="14">
        <f>DATE(2012,12,31)-1454</f>
        <v>39820</v>
      </c>
      <c r="J2145" s="15" t="s">
        <v>16</v>
      </c>
      <c r="K2145" s="9">
        <v>2</v>
      </c>
      <c r="L2145" s="16" t="s">
        <v>27</v>
      </c>
      <c r="M2145" s="16">
        <f t="shared" si="201"/>
        <v>-1.627858735003791</v>
      </c>
      <c r="N2145">
        <f t="shared" si="202"/>
        <v>0</v>
      </c>
      <c r="O2145">
        <f t="shared" si="203"/>
        <v>0</v>
      </c>
      <c r="P2145">
        <f t="shared" si="200"/>
        <v>3500</v>
      </c>
      <c r="Q2145">
        <f t="shared" si="204"/>
        <v>3500</v>
      </c>
      <c r="T2145" s="16">
        <f t="shared" si="205"/>
        <v>-1.6278587350037912</v>
      </c>
    </row>
    <row r="2146" spans="7:20" ht="14.4" x14ac:dyDescent="0.25">
      <c r="G2146" s="10">
        <v>2565</v>
      </c>
      <c r="H2146" s="9">
        <v>18531</v>
      </c>
      <c r="I2146" s="14">
        <f>DATE(2012,12,31)-63</f>
        <v>41211</v>
      </c>
      <c r="J2146" s="15" t="s">
        <v>30</v>
      </c>
      <c r="K2146" s="9">
        <v>50</v>
      </c>
      <c r="L2146" s="16" t="s">
        <v>29</v>
      </c>
      <c r="M2146" s="16">
        <f t="shared" si="201"/>
        <v>1.687010542718838</v>
      </c>
      <c r="N2146">
        <f t="shared" si="202"/>
        <v>0</v>
      </c>
      <c r="O2146">
        <f t="shared" si="203"/>
        <v>0</v>
      </c>
      <c r="P2146">
        <f t="shared" si="200"/>
        <v>5900</v>
      </c>
      <c r="Q2146">
        <f t="shared" si="204"/>
        <v>5900</v>
      </c>
      <c r="T2146" s="16">
        <f t="shared" si="205"/>
        <v>1.6870105427188375</v>
      </c>
    </row>
    <row r="2147" spans="7:20" ht="14.4" x14ac:dyDescent="0.25">
      <c r="G2147" s="10">
        <v>2568</v>
      </c>
      <c r="H2147" s="9">
        <v>18533</v>
      </c>
      <c r="I2147" s="14">
        <f>DATE(2012,12,31)-1151</f>
        <v>40123</v>
      </c>
      <c r="J2147" s="15" t="s">
        <v>28</v>
      </c>
      <c r="K2147" s="9">
        <v>27</v>
      </c>
      <c r="L2147" s="16" t="s">
        <v>26</v>
      </c>
      <c r="M2147" s="16">
        <f t="shared" si="201"/>
        <v>9.8635680476745008E-2</v>
      </c>
      <c r="N2147">
        <f t="shared" si="202"/>
        <v>0</v>
      </c>
      <c r="O2147">
        <f t="shared" si="203"/>
        <v>0</v>
      </c>
      <c r="P2147">
        <f t="shared" si="200"/>
        <v>4750</v>
      </c>
      <c r="Q2147">
        <f t="shared" si="204"/>
        <v>4750</v>
      </c>
      <c r="T2147" s="16">
        <f t="shared" si="205"/>
        <v>9.8635680476744619E-2</v>
      </c>
    </row>
    <row r="2148" spans="7:20" ht="14.4" x14ac:dyDescent="0.25">
      <c r="G2148" s="10">
        <v>2569</v>
      </c>
      <c r="H2148" s="9">
        <v>18533</v>
      </c>
      <c r="I2148" s="14">
        <f>DATE(2012,12,31)-1151</f>
        <v>40123</v>
      </c>
      <c r="J2148" s="15" t="s">
        <v>28</v>
      </c>
      <c r="K2148" s="9">
        <v>5</v>
      </c>
      <c r="L2148" s="16" t="s">
        <v>27</v>
      </c>
      <c r="M2148" s="16">
        <f t="shared" si="201"/>
        <v>-1.4206794051461267</v>
      </c>
      <c r="N2148">
        <f t="shared" si="202"/>
        <v>0</v>
      </c>
      <c r="O2148">
        <f t="shared" si="203"/>
        <v>0</v>
      </c>
      <c r="P2148">
        <f t="shared" si="200"/>
        <v>3650</v>
      </c>
      <c r="Q2148">
        <f t="shared" si="204"/>
        <v>3650</v>
      </c>
      <c r="T2148" s="16">
        <f t="shared" si="205"/>
        <v>-1.4206794051461269</v>
      </c>
    </row>
    <row r="2149" spans="7:20" ht="14.4" x14ac:dyDescent="0.25">
      <c r="G2149" s="10">
        <v>2584</v>
      </c>
      <c r="H2149" s="9">
        <v>18661</v>
      </c>
      <c r="I2149" s="14">
        <f>DATE(2012,12,31)-114</f>
        <v>41160</v>
      </c>
      <c r="J2149" s="15" t="s">
        <v>25</v>
      </c>
      <c r="K2149" s="9">
        <v>12</v>
      </c>
      <c r="L2149" s="16" t="s">
        <v>29</v>
      </c>
      <c r="M2149" s="16">
        <f t="shared" si="201"/>
        <v>-0.9372609688115765</v>
      </c>
      <c r="N2149">
        <f t="shared" si="202"/>
        <v>0</v>
      </c>
      <c r="O2149">
        <f t="shared" si="203"/>
        <v>0</v>
      </c>
      <c r="P2149">
        <f t="shared" si="200"/>
        <v>4000</v>
      </c>
      <c r="Q2149">
        <f t="shared" si="204"/>
        <v>4000</v>
      </c>
      <c r="T2149" s="16">
        <f t="shared" si="205"/>
        <v>-0.93726096881157694</v>
      </c>
    </row>
    <row r="2150" spans="7:20" ht="14.4" x14ac:dyDescent="0.25">
      <c r="G2150" s="10">
        <v>2585</v>
      </c>
      <c r="H2150" s="9">
        <v>18661</v>
      </c>
      <c r="I2150" s="14">
        <f>DATE(2012,12,31)-114</f>
        <v>41160</v>
      </c>
      <c r="J2150" s="15" t="s">
        <v>25</v>
      </c>
      <c r="K2150" s="9">
        <v>11</v>
      </c>
      <c r="L2150" s="16" t="s">
        <v>29</v>
      </c>
      <c r="M2150" s="16">
        <f t="shared" si="201"/>
        <v>-1.0063207454307979</v>
      </c>
      <c r="N2150">
        <f t="shared" si="202"/>
        <v>0</v>
      </c>
      <c r="O2150">
        <f t="shared" si="203"/>
        <v>0</v>
      </c>
      <c r="P2150">
        <f t="shared" si="200"/>
        <v>3950</v>
      </c>
      <c r="Q2150">
        <f t="shared" si="204"/>
        <v>3950</v>
      </c>
      <c r="T2150" s="16">
        <f t="shared" si="205"/>
        <v>-1.0063207454307983</v>
      </c>
    </row>
    <row r="2151" spans="7:20" ht="14.4" x14ac:dyDescent="0.25">
      <c r="G2151" s="10">
        <v>2591</v>
      </c>
      <c r="H2151" s="9">
        <v>18723</v>
      </c>
      <c r="I2151" s="14">
        <f>DATE(2012,12,31)-1237</f>
        <v>40037</v>
      </c>
      <c r="J2151" s="15" t="s">
        <v>16</v>
      </c>
      <c r="K2151" s="9">
        <v>1</v>
      </c>
      <c r="L2151" s="16" t="s">
        <v>27</v>
      </c>
      <c r="M2151" s="16">
        <f t="shared" si="201"/>
        <v>-1.6969185116230123</v>
      </c>
      <c r="N2151">
        <f t="shared" si="202"/>
        <v>0</v>
      </c>
      <c r="O2151">
        <f t="shared" si="203"/>
        <v>0</v>
      </c>
      <c r="P2151">
        <f t="shared" si="200"/>
        <v>3450</v>
      </c>
      <c r="Q2151">
        <f t="shared" si="204"/>
        <v>3450</v>
      </c>
      <c r="T2151" s="16">
        <f t="shared" si="205"/>
        <v>-1.6969185116230128</v>
      </c>
    </row>
    <row r="2152" spans="7:20" ht="14.4" x14ac:dyDescent="0.25">
      <c r="G2152" s="10">
        <v>2592</v>
      </c>
      <c r="H2152" s="9">
        <v>18753</v>
      </c>
      <c r="I2152" s="14">
        <f>DATE(2012,12,31)-1249</f>
        <v>40025</v>
      </c>
      <c r="J2152" s="15" t="s">
        <v>16</v>
      </c>
      <c r="K2152" s="9">
        <v>31</v>
      </c>
      <c r="L2152" s="16" t="s">
        <v>29</v>
      </c>
      <c r="M2152" s="16">
        <f t="shared" si="201"/>
        <v>0.37487478695363075</v>
      </c>
      <c r="N2152">
        <f t="shared" si="202"/>
        <v>0</v>
      </c>
      <c r="O2152">
        <f t="shared" si="203"/>
        <v>0</v>
      </c>
      <c r="P2152">
        <f t="shared" si="200"/>
        <v>4950</v>
      </c>
      <c r="Q2152">
        <f t="shared" si="204"/>
        <v>4950</v>
      </c>
      <c r="T2152" s="16">
        <f t="shared" si="205"/>
        <v>0.37487478695363036</v>
      </c>
    </row>
    <row r="2153" spans="7:20" ht="14.4" x14ac:dyDescent="0.25">
      <c r="G2153" s="10">
        <v>2593</v>
      </c>
      <c r="H2153" s="9">
        <v>18753</v>
      </c>
      <c r="I2153" s="14">
        <f>DATE(2012,12,31)-1249</f>
        <v>40025</v>
      </c>
      <c r="J2153" s="15" t="s">
        <v>16</v>
      </c>
      <c r="K2153" s="9">
        <v>33</v>
      </c>
      <c r="L2153" s="16" t="s">
        <v>29</v>
      </c>
      <c r="M2153" s="16">
        <f t="shared" si="201"/>
        <v>0.51299434019207357</v>
      </c>
      <c r="N2153">
        <f t="shared" si="202"/>
        <v>0</v>
      </c>
      <c r="O2153">
        <f t="shared" si="203"/>
        <v>0</v>
      </c>
      <c r="P2153">
        <f t="shared" si="200"/>
        <v>5050</v>
      </c>
      <c r="Q2153">
        <f t="shared" si="204"/>
        <v>5050</v>
      </c>
      <c r="T2153" s="16">
        <f t="shared" si="205"/>
        <v>0.51299434019207324</v>
      </c>
    </row>
    <row r="2154" spans="7:20" ht="14.4" x14ac:dyDescent="0.25">
      <c r="G2154" s="10">
        <v>2653</v>
      </c>
      <c r="H2154" s="9">
        <v>19204</v>
      </c>
      <c r="I2154" s="14">
        <f>DATE(2012,12,31)-1200</f>
        <v>40074</v>
      </c>
      <c r="J2154" s="15" t="s">
        <v>16</v>
      </c>
      <c r="K2154" s="9">
        <v>27</v>
      </c>
      <c r="L2154" s="16" t="s">
        <v>29</v>
      </c>
      <c r="M2154" s="16">
        <f t="shared" si="201"/>
        <v>9.8635680476745008E-2</v>
      </c>
      <c r="N2154">
        <f t="shared" si="202"/>
        <v>0</v>
      </c>
      <c r="O2154">
        <f t="shared" si="203"/>
        <v>0</v>
      </c>
      <c r="P2154">
        <f t="shared" si="200"/>
        <v>4750</v>
      </c>
      <c r="Q2154">
        <f t="shared" si="204"/>
        <v>4750</v>
      </c>
      <c r="T2154" s="16">
        <f t="shared" si="205"/>
        <v>9.8635680476744619E-2</v>
      </c>
    </row>
    <row r="2155" spans="7:20" ht="14.4" x14ac:dyDescent="0.25">
      <c r="G2155" s="10">
        <v>2654</v>
      </c>
      <c r="H2155" s="9">
        <v>19204</v>
      </c>
      <c r="I2155" s="14">
        <f>DATE(2012,12,31)-1200</f>
        <v>40074</v>
      </c>
      <c r="J2155" s="15" t="s">
        <v>16</v>
      </c>
      <c r="K2155" s="9">
        <v>28</v>
      </c>
      <c r="L2155" s="16" t="s">
        <v>26</v>
      </c>
      <c r="M2155" s="16">
        <f t="shared" si="201"/>
        <v>0.16769545709596645</v>
      </c>
      <c r="N2155">
        <f t="shared" si="202"/>
        <v>0</v>
      </c>
      <c r="O2155">
        <f t="shared" si="203"/>
        <v>0</v>
      </c>
      <c r="P2155">
        <f t="shared" si="200"/>
        <v>4800</v>
      </c>
      <c r="Q2155">
        <f t="shared" si="204"/>
        <v>4800</v>
      </c>
      <c r="T2155" s="16">
        <f t="shared" si="205"/>
        <v>0.16769545709596606</v>
      </c>
    </row>
    <row r="2156" spans="7:20" ht="14.4" x14ac:dyDescent="0.25">
      <c r="G2156" s="10">
        <v>2680</v>
      </c>
      <c r="H2156" s="9">
        <v>19394</v>
      </c>
      <c r="I2156" s="14">
        <f>DATE(2012,12,31)-6</f>
        <v>41268</v>
      </c>
      <c r="J2156" s="15" t="s">
        <v>16</v>
      </c>
      <c r="K2156" s="9">
        <v>16</v>
      </c>
      <c r="L2156" s="16" t="s">
        <v>27</v>
      </c>
      <c r="M2156" s="16">
        <f t="shared" si="201"/>
        <v>-0.66102186233469074</v>
      </c>
      <c r="N2156">
        <f t="shared" si="202"/>
        <v>0</v>
      </c>
      <c r="O2156">
        <f t="shared" si="203"/>
        <v>0</v>
      </c>
      <c r="P2156">
        <f t="shared" si="200"/>
        <v>4200</v>
      </c>
      <c r="Q2156">
        <f t="shared" si="204"/>
        <v>4200</v>
      </c>
      <c r="T2156" s="16">
        <f t="shared" si="205"/>
        <v>-0.66102186233469118</v>
      </c>
    </row>
    <row r="2157" spans="7:20" ht="14.4" x14ac:dyDescent="0.25">
      <c r="G2157" s="10">
        <v>2681</v>
      </c>
      <c r="H2157" s="9">
        <v>19394</v>
      </c>
      <c r="I2157" s="14">
        <f>DATE(2012,12,31)-6</f>
        <v>41268</v>
      </c>
      <c r="J2157" s="15" t="s">
        <v>16</v>
      </c>
      <c r="K2157" s="9">
        <v>5</v>
      </c>
      <c r="L2157" s="16" t="s">
        <v>27</v>
      </c>
      <c r="M2157" s="16">
        <f t="shared" si="201"/>
        <v>-1.4206794051461267</v>
      </c>
      <c r="N2157">
        <f t="shared" si="202"/>
        <v>0</v>
      </c>
      <c r="O2157">
        <f t="shared" si="203"/>
        <v>0</v>
      </c>
      <c r="P2157">
        <f t="shared" si="200"/>
        <v>3650</v>
      </c>
      <c r="Q2157">
        <f t="shared" si="204"/>
        <v>3650</v>
      </c>
      <c r="T2157" s="16">
        <f t="shared" si="205"/>
        <v>-1.4206794051461269</v>
      </c>
    </row>
    <row r="2158" spans="7:20" ht="14.4" x14ac:dyDescent="0.25">
      <c r="G2158" s="10">
        <v>2724</v>
      </c>
      <c r="H2158" s="9">
        <v>19653</v>
      </c>
      <c r="I2158" s="14">
        <f>DATE(2012,12,31)-111</f>
        <v>41163</v>
      </c>
      <c r="J2158" s="15" t="s">
        <v>28</v>
      </c>
      <c r="K2158" s="9">
        <v>34</v>
      </c>
      <c r="L2158" s="16" t="s">
        <v>26</v>
      </c>
      <c r="M2158" s="16">
        <f t="shared" si="201"/>
        <v>0.58205411681129504</v>
      </c>
      <c r="N2158">
        <f t="shared" si="202"/>
        <v>0</v>
      </c>
      <c r="O2158">
        <f t="shared" si="203"/>
        <v>0</v>
      </c>
      <c r="P2158">
        <f t="shared" si="200"/>
        <v>5100</v>
      </c>
      <c r="Q2158">
        <f t="shared" si="204"/>
        <v>5100</v>
      </c>
      <c r="T2158" s="16">
        <f t="shared" si="205"/>
        <v>0.58205411681129471</v>
      </c>
    </row>
    <row r="2159" spans="7:20" ht="14.4" x14ac:dyDescent="0.25">
      <c r="G2159" s="10">
        <v>2729</v>
      </c>
      <c r="H2159" s="9">
        <v>19687</v>
      </c>
      <c r="I2159" s="14">
        <f>DATE(2012,12,31)-871</f>
        <v>40403</v>
      </c>
      <c r="J2159" s="15" t="s">
        <v>16</v>
      </c>
      <c r="K2159" s="9">
        <v>33</v>
      </c>
      <c r="L2159" s="16" t="s">
        <v>26</v>
      </c>
      <c r="M2159" s="16">
        <f t="shared" si="201"/>
        <v>0.51299434019207357</v>
      </c>
      <c r="N2159">
        <f t="shared" si="202"/>
        <v>0</v>
      </c>
      <c r="O2159">
        <f t="shared" si="203"/>
        <v>0</v>
      </c>
      <c r="P2159">
        <f t="shared" si="200"/>
        <v>5050</v>
      </c>
      <c r="Q2159">
        <f t="shared" si="204"/>
        <v>5050</v>
      </c>
      <c r="T2159" s="16">
        <f t="shared" si="205"/>
        <v>0.51299434019207324</v>
      </c>
    </row>
    <row r="2160" spans="7:20" ht="14.4" x14ac:dyDescent="0.25">
      <c r="G2160" s="10">
        <v>2730</v>
      </c>
      <c r="H2160" s="9">
        <v>19687</v>
      </c>
      <c r="I2160" s="14">
        <f>DATE(2012,12,31)-871</f>
        <v>40403</v>
      </c>
      <c r="J2160" s="15" t="s">
        <v>16</v>
      </c>
      <c r="K2160" s="9">
        <v>23</v>
      </c>
      <c r="L2160" s="16" t="s">
        <v>27</v>
      </c>
      <c r="M2160" s="16">
        <f t="shared" si="201"/>
        <v>-0.17760342600014073</v>
      </c>
      <c r="N2160">
        <f t="shared" si="202"/>
        <v>0</v>
      </c>
      <c r="O2160">
        <f t="shared" si="203"/>
        <v>0</v>
      </c>
      <c r="P2160">
        <f t="shared" si="200"/>
        <v>4550</v>
      </c>
      <c r="Q2160">
        <f t="shared" si="204"/>
        <v>4550</v>
      </c>
      <c r="T2160" s="16">
        <f t="shared" si="205"/>
        <v>-0.17760342600014112</v>
      </c>
    </row>
    <row r="2161" spans="7:20" ht="14.4" x14ac:dyDescent="0.25">
      <c r="G2161" s="10">
        <v>2731</v>
      </c>
      <c r="H2161" s="9">
        <v>19716</v>
      </c>
      <c r="I2161" s="14">
        <f>DATE(2012,12,31)-1189</f>
        <v>40085</v>
      </c>
      <c r="J2161" s="15" t="s">
        <v>25</v>
      </c>
      <c r="K2161" s="9">
        <v>5</v>
      </c>
      <c r="L2161" s="16" t="s">
        <v>27</v>
      </c>
      <c r="M2161" s="16">
        <f t="shared" si="201"/>
        <v>-1.4206794051461267</v>
      </c>
      <c r="N2161">
        <f t="shared" si="202"/>
        <v>0</v>
      </c>
      <c r="O2161">
        <f t="shared" si="203"/>
        <v>0</v>
      </c>
      <c r="P2161">
        <f t="shared" si="200"/>
        <v>3650</v>
      </c>
      <c r="Q2161">
        <f t="shared" si="204"/>
        <v>3650</v>
      </c>
      <c r="T2161" s="16">
        <f t="shared" si="205"/>
        <v>-1.4206794051461269</v>
      </c>
    </row>
    <row r="2162" spans="7:20" ht="14.4" x14ac:dyDescent="0.25">
      <c r="G2162" s="10">
        <v>2742</v>
      </c>
      <c r="H2162" s="9">
        <v>19782</v>
      </c>
      <c r="I2162" s="14">
        <f>DATE(2012,12,31)-74</f>
        <v>41200</v>
      </c>
      <c r="J2162" s="15" t="s">
        <v>25</v>
      </c>
      <c r="K2162" s="9">
        <v>18</v>
      </c>
      <c r="L2162" s="16" t="s">
        <v>26</v>
      </c>
      <c r="M2162" s="16">
        <f t="shared" si="201"/>
        <v>-0.52290230909624791</v>
      </c>
      <c r="N2162">
        <f t="shared" si="202"/>
        <v>0</v>
      </c>
      <c r="O2162">
        <f t="shared" si="203"/>
        <v>0</v>
      </c>
      <c r="P2162">
        <f t="shared" si="200"/>
        <v>4300</v>
      </c>
      <c r="Q2162">
        <f t="shared" si="204"/>
        <v>4300</v>
      </c>
      <c r="T2162" s="16">
        <f t="shared" si="205"/>
        <v>-0.52290230909624835</v>
      </c>
    </row>
    <row r="2163" spans="7:20" ht="14.4" x14ac:dyDescent="0.25">
      <c r="G2163" s="10">
        <v>2792</v>
      </c>
      <c r="H2163" s="9">
        <v>20134</v>
      </c>
      <c r="I2163" s="14">
        <f>DATE(2012,12,31)-660</f>
        <v>40614</v>
      </c>
      <c r="J2163" s="15" t="s">
        <v>25</v>
      </c>
      <c r="K2163" s="9">
        <v>26</v>
      </c>
      <c r="L2163" s="16" t="s">
        <v>27</v>
      </c>
      <c r="M2163" s="16">
        <f t="shared" si="201"/>
        <v>2.9575903857523567E-2</v>
      </c>
      <c r="N2163">
        <f t="shared" si="202"/>
        <v>0</v>
      </c>
      <c r="O2163">
        <f t="shared" si="203"/>
        <v>0</v>
      </c>
      <c r="P2163">
        <f t="shared" si="200"/>
        <v>4700</v>
      </c>
      <c r="Q2163">
        <f t="shared" si="204"/>
        <v>4700</v>
      </c>
      <c r="T2163" s="16">
        <f t="shared" si="205"/>
        <v>2.9575903857523185E-2</v>
      </c>
    </row>
    <row r="2164" spans="7:20" ht="14.4" x14ac:dyDescent="0.25">
      <c r="G2164" s="10">
        <v>2793</v>
      </c>
      <c r="H2164" s="9">
        <v>20134</v>
      </c>
      <c r="I2164" s="14">
        <f>DATE(2012,12,31)-660</f>
        <v>40614</v>
      </c>
      <c r="J2164" s="15" t="s">
        <v>25</v>
      </c>
      <c r="K2164" s="9">
        <v>47</v>
      </c>
      <c r="L2164" s="16" t="s">
        <v>26</v>
      </c>
      <c r="M2164" s="16">
        <f t="shared" si="201"/>
        <v>1.4798312128611737</v>
      </c>
      <c r="N2164">
        <f t="shared" si="202"/>
        <v>0</v>
      </c>
      <c r="O2164">
        <f t="shared" si="203"/>
        <v>0</v>
      </c>
      <c r="P2164">
        <f t="shared" si="200"/>
        <v>5750</v>
      </c>
      <c r="Q2164">
        <f t="shared" si="204"/>
        <v>5750</v>
      </c>
      <c r="T2164" s="16">
        <f t="shared" si="205"/>
        <v>1.4798312128611733</v>
      </c>
    </row>
    <row r="2165" spans="7:20" ht="14.4" x14ac:dyDescent="0.25">
      <c r="G2165" s="10">
        <v>2806</v>
      </c>
      <c r="H2165" s="9">
        <v>20259</v>
      </c>
      <c r="I2165" s="14">
        <f>DATE(2012,12,31)-587</f>
        <v>40687</v>
      </c>
      <c r="J2165" s="15" t="s">
        <v>30</v>
      </c>
      <c r="K2165" s="9">
        <v>42</v>
      </c>
      <c r="L2165" s="16" t="s">
        <v>26</v>
      </c>
      <c r="M2165" s="16">
        <f t="shared" si="201"/>
        <v>1.1345323297650665</v>
      </c>
      <c r="N2165">
        <f t="shared" si="202"/>
        <v>0</v>
      </c>
      <c r="O2165">
        <f t="shared" si="203"/>
        <v>0</v>
      </c>
      <c r="P2165">
        <f t="shared" si="200"/>
        <v>5500</v>
      </c>
      <c r="Q2165">
        <f t="shared" si="204"/>
        <v>5500</v>
      </c>
      <c r="T2165" s="16">
        <f t="shared" si="205"/>
        <v>1.1345323297650662</v>
      </c>
    </row>
    <row r="2166" spans="7:20" ht="14.4" x14ac:dyDescent="0.25">
      <c r="G2166" s="10">
        <v>2807</v>
      </c>
      <c r="H2166" s="9">
        <v>20261</v>
      </c>
      <c r="I2166" s="14">
        <f>DATE(2012,12,31)-1321</f>
        <v>39953</v>
      </c>
      <c r="J2166" s="15" t="s">
        <v>16</v>
      </c>
      <c r="K2166" s="9">
        <v>25</v>
      </c>
      <c r="L2166" s="16" t="s">
        <v>26</v>
      </c>
      <c r="M2166" s="16">
        <f t="shared" si="201"/>
        <v>-3.9483872761697868E-2</v>
      </c>
      <c r="N2166">
        <f t="shared" si="202"/>
        <v>0</v>
      </c>
      <c r="O2166">
        <f t="shared" si="203"/>
        <v>0</v>
      </c>
      <c r="P2166">
        <f t="shared" si="200"/>
        <v>4650</v>
      </c>
      <c r="Q2166">
        <f t="shared" si="204"/>
        <v>4650</v>
      </c>
      <c r="T2166" s="16">
        <f t="shared" si="205"/>
        <v>-3.9483872761698249E-2</v>
      </c>
    </row>
    <row r="2167" spans="7:20" ht="14.4" x14ac:dyDescent="0.25">
      <c r="G2167" s="10">
        <v>2808</v>
      </c>
      <c r="H2167" s="9">
        <v>20261</v>
      </c>
      <c r="I2167" s="14">
        <f>DATE(2012,12,31)-1321</f>
        <v>39953</v>
      </c>
      <c r="J2167" s="15" t="s">
        <v>16</v>
      </c>
      <c r="K2167" s="9">
        <v>36</v>
      </c>
      <c r="L2167" s="16" t="s">
        <v>26</v>
      </c>
      <c r="M2167" s="16">
        <f t="shared" si="201"/>
        <v>0.72017367004973787</v>
      </c>
      <c r="N2167">
        <f t="shared" si="202"/>
        <v>0</v>
      </c>
      <c r="O2167">
        <f t="shared" si="203"/>
        <v>0</v>
      </c>
      <c r="P2167">
        <f t="shared" si="200"/>
        <v>5200</v>
      </c>
      <c r="Q2167">
        <f t="shared" si="204"/>
        <v>5200</v>
      </c>
      <c r="T2167" s="16">
        <f t="shared" si="205"/>
        <v>0.72017367004973754</v>
      </c>
    </row>
    <row r="2168" spans="7:20" ht="14.4" x14ac:dyDescent="0.25">
      <c r="G2168" s="10">
        <v>2809</v>
      </c>
      <c r="H2168" s="9">
        <v>20261</v>
      </c>
      <c r="I2168" s="14">
        <f>DATE(2012,12,31)-1321</f>
        <v>39953</v>
      </c>
      <c r="J2168" s="15" t="s">
        <v>16</v>
      </c>
      <c r="K2168" s="9">
        <v>21</v>
      </c>
      <c r="L2168" s="16" t="s">
        <v>27</v>
      </c>
      <c r="M2168" s="16">
        <f t="shared" si="201"/>
        <v>-0.31572297923858361</v>
      </c>
      <c r="N2168">
        <f t="shared" si="202"/>
        <v>0</v>
      </c>
      <c r="O2168">
        <f t="shared" si="203"/>
        <v>0</v>
      </c>
      <c r="P2168">
        <f t="shared" si="200"/>
        <v>4450</v>
      </c>
      <c r="Q2168">
        <f t="shared" si="204"/>
        <v>4450</v>
      </c>
      <c r="T2168" s="16">
        <f t="shared" si="205"/>
        <v>-0.315722979238584</v>
      </c>
    </row>
    <row r="2169" spans="7:20" ht="14.4" x14ac:dyDescent="0.25">
      <c r="G2169" s="10">
        <v>2837</v>
      </c>
      <c r="H2169" s="9">
        <v>20453</v>
      </c>
      <c r="I2169" s="14">
        <f>DATE(2012,12,31)-662</f>
        <v>40612</v>
      </c>
      <c r="J2169" s="15" t="s">
        <v>16</v>
      </c>
      <c r="K2169" s="9">
        <v>23</v>
      </c>
      <c r="L2169" s="16" t="s">
        <v>29</v>
      </c>
      <c r="M2169" s="16">
        <f t="shared" si="201"/>
        <v>-0.17760342600014073</v>
      </c>
      <c r="N2169">
        <f t="shared" si="202"/>
        <v>0</v>
      </c>
      <c r="O2169">
        <f t="shared" si="203"/>
        <v>0</v>
      </c>
      <c r="P2169">
        <f t="shared" si="200"/>
        <v>4550</v>
      </c>
      <c r="Q2169">
        <f t="shared" si="204"/>
        <v>4550</v>
      </c>
      <c r="T2169" s="16">
        <f t="shared" si="205"/>
        <v>-0.17760342600014112</v>
      </c>
    </row>
    <row r="2170" spans="7:20" ht="14.4" x14ac:dyDescent="0.25">
      <c r="G2170" s="10">
        <v>2838</v>
      </c>
      <c r="H2170" s="9">
        <v>20453</v>
      </c>
      <c r="I2170" s="14">
        <f>DATE(2012,12,31)-662</f>
        <v>40612</v>
      </c>
      <c r="J2170" s="15" t="s">
        <v>16</v>
      </c>
      <c r="K2170" s="9">
        <v>17</v>
      </c>
      <c r="L2170" s="16" t="s">
        <v>27</v>
      </c>
      <c r="M2170" s="16">
        <f t="shared" si="201"/>
        <v>-0.59196208571546938</v>
      </c>
      <c r="N2170">
        <f t="shared" si="202"/>
        <v>0</v>
      </c>
      <c r="O2170">
        <f t="shared" si="203"/>
        <v>0</v>
      </c>
      <c r="P2170">
        <f t="shared" si="200"/>
        <v>4250</v>
      </c>
      <c r="Q2170">
        <f t="shared" si="204"/>
        <v>4250</v>
      </c>
      <c r="T2170" s="16">
        <f t="shared" si="205"/>
        <v>-0.59196208571546971</v>
      </c>
    </row>
    <row r="2171" spans="7:20" ht="14.4" x14ac:dyDescent="0.25">
      <c r="G2171" s="10">
        <v>2858</v>
      </c>
      <c r="H2171" s="9">
        <v>20614</v>
      </c>
      <c r="I2171" s="14">
        <f>DATE(2012,12,31)-1323</f>
        <v>39951</v>
      </c>
      <c r="J2171" s="15" t="s">
        <v>28</v>
      </c>
      <c r="K2171" s="9">
        <v>47</v>
      </c>
      <c r="L2171" s="16" t="s">
        <v>27</v>
      </c>
      <c r="M2171" s="16">
        <f t="shared" si="201"/>
        <v>1.4798312128611737</v>
      </c>
      <c r="N2171">
        <f t="shared" si="202"/>
        <v>0</v>
      </c>
      <c r="O2171">
        <f t="shared" si="203"/>
        <v>0</v>
      </c>
      <c r="P2171">
        <f t="shared" si="200"/>
        <v>5750</v>
      </c>
      <c r="Q2171">
        <f t="shared" si="204"/>
        <v>5750</v>
      </c>
      <c r="T2171" s="16">
        <f t="shared" si="205"/>
        <v>1.4798312128611733</v>
      </c>
    </row>
    <row r="2172" spans="7:20" ht="14.4" x14ac:dyDescent="0.25">
      <c r="G2172" s="10">
        <v>2870</v>
      </c>
      <c r="H2172" s="9">
        <v>20709</v>
      </c>
      <c r="I2172" s="14">
        <f>DATE(2012,12,31)-1238</f>
        <v>40036</v>
      </c>
      <c r="J2172" s="15" t="s">
        <v>17</v>
      </c>
      <c r="K2172" s="9">
        <v>4</v>
      </c>
      <c r="L2172" s="16" t="s">
        <v>26</v>
      </c>
      <c r="M2172" s="16">
        <f t="shared" si="201"/>
        <v>-1.489739181765348</v>
      </c>
      <c r="N2172">
        <f t="shared" si="202"/>
        <v>0</v>
      </c>
      <c r="O2172">
        <f t="shared" si="203"/>
        <v>0</v>
      </c>
      <c r="P2172">
        <f t="shared" si="200"/>
        <v>3600</v>
      </c>
      <c r="Q2172">
        <f t="shared" si="204"/>
        <v>3600</v>
      </c>
      <c r="T2172" s="16">
        <f t="shared" si="205"/>
        <v>-1.4897391817653485</v>
      </c>
    </row>
    <row r="2173" spans="7:20" ht="14.4" x14ac:dyDescent="0.25">
      <c r="G2173" s="10">
        <v>2871</v>
      </c>
      <c r="H2173" s="9">
        <v>20709</v>
      </c>
      <c r="I2173" s="14">
        <f>DATE(2012,12,31)-1238</f>
        <v>40036</v>
      </c>
      <c r="J2173" s="15" t="s">
        <v>17</v>
      </c>
      <c r="K2173" s="9">
        <v>5</v>
      </c>
      <c r="L2173" s="16" t="s">
        <v>26</v>
      </c>
      <c r="M2173" s="16">
        <f t="shared" si="201"/>
        <v>-1.4206794051461267</v>
      </c>
      <c r="N2173">
        <f t="shared" si="202"/>
        <v>0</v>
      </c>
      <c r="O2173">
        <f t="shared" si="203"/>
        <v>0</v>
      </c>
      <c r="P2173">
        <f t="shared" si="200"/>
        <v>3650</v>
      </c>
      <c r="Q2173">
        <f t="shared" si="204"/>
        <v>3650</v>
      </c>
      <c r="T2173" s="16">
        <f t="shared" si="205"/>
        <v>-1.4206794051461269</v>
      </c>
    </row>
    <row r="2174" spans="7:20" ht="14.4" x14ac:dyDescent="0.25">
      <c r="G2174" s="10">
        <v>2913</v>
      </c>
      <c r="H2174" s="9">
        <v>21025</v>
      </c>
      <c r="I2174" s="14">
        <f>DATE(2012,12,31)-842</f>
        <v>40432</v>
      </c>
      <c r="J2174" s="15" t="s">
        <v>28</v>
      </c>
      <c r="K2174" s="9">
        <v>38</v>
      </c>
      <c r="L2174" s="16" t="s">
        <v>27</v>
      </c>
      <c r="M2174" s="16">
        <f t="shared" si="201"/>
        <v>0.85829322328818081</v>
      </c>
      <c r="N2174">
        <f t="shared" si="202"/>
        <v>0</v>
      </c>
      <c r="O2174">
        <f t="shared" si="203"/>
        <v>0</v>
      </c>
      <c r="P2174">
        <f t="shared" si="200"/>
        <v>5300</v>
      </c>
      <c r="Q2174">
        <f t="shared" si="204"/>
        <v>5300</v>
      </c>
      <c r="T2174" s="16">
        <f t="shared" si="205"/>
        <v>0.85829322328818036</v>
      </c>
    </row>
    <row r="2175" spans="7:20" ht="14.4" x14ac:dyDescent="0.25">
      <c r="G2175" s="10">
        <v>2914</v>
      </c>
      <c r="H2175" s="9">
        <v>21028</v>
      </c>
      <c r="I2175" s="14">
        <f>DATE(2012,12,31)-207</f>
        <v>41067</v>
      </c>
      <c r="J2175" s="15" t="s">
        <v>30</v>
      </c>
      <c r="K2175" s="9">
        <v>38</v>
      </c>
      <c r="L2175" s="16" t="s">
        <v>26</v>
      </c>
      <c r="M2175" s="16">
        <f t="shared" si="201"/>
        <v>0.85829322328818081</v>
      </c>
      <c r="N2175">
        <f t="shared" si="202"/>
        <v>0</v>
      </c>
      <c r="O2175">
        <f t="shared" si="203"/>
        <v>0</v>
      </c>
      <c r="P2175">
        <f t="shared" si="200"/>
        <v>5300</v>
      </c>
      <c r="Q2175">
        <f t="shared" si="204"/>
        <v>5300</v>
      </c>
      <c r="T2175" s="16">
        <f t="shared" si="205"/>
        <v>0.85829322328818036</v>
      </c>
    </row>
    <row r="2176" spans="7:20" ht="14.4" x14ac:dyDescent="0.25">
      <c r="G2176" s="10">
        <v>2921</v>
      </c>
      <c r="H2176" s="9">
        <v>21125</v>
      </c>
      <c r="I2176" s="14">
        <f>DATE(2012,12,31)-674</f>
        <v>40600</v>
      </c>
      <c r="J2176" s="15" t="s">
        <v>28</v>
      </c>
      <c r="K2176" s="9">
        <v>17</v>
      </c>
      <c r="L2176" s="16" t="s">
        <v>26</v>
      </c>
      <c r="M2176" s="16">
        <f t="shared" si="201"/>
        <v>-0.59196208571546938</v>
      </c>
      <c r="N2176">
        <f t="shared" si="202"/>
        <v>0</v>
      </c>
      <c r="O2176">
        <f t="shared" si="203"/>
        <v>0</v>
      </c>
      <c r="P2176">
        <f t="shared" si="200"/>
        <v>4250</v>
      </c>
      <c r="Q2176">
        <f t="shared" si="204"/>
        <v>4250</v>
      </c>
      <c r="T2176" s="16">
        <f t="shared" si="205"/>
        <v>-0.59196208571546971</v>
      </c>
    </row>
    <row r="2177" spans="7:20" ht="14.4" x14ac:dyDescent="0.25">
      <c r="G2177" s="10">
        <v>2955</v>
      </c>
      <c r="H2177" s="9">
        <v>21382</v>
      </c>
      <c r="I2177" s="14">
        <f>DATE(2012,12,31)-354</f>
        <v>40920</v>
      </c>
      <c r="J2177" s="15" t="s">
        <v>30</v>
      </c>
      <c r="K2177" s="9">
        <v>27</v>
      </c>
      <c r="L2177" s="16" t="s">
        <v>26</v>
      </c>
      <c r="M2177" s="16">
        <f t="shared" si="201"/>
        <v>9.8635680476745008E-2</v>
      </c>
      <c r="N2177">
        <f t="shared" si="202"/>
        <v>0</v>
      </c>
      <c r="O2177">
        <f t="shared" si="203"/>
        <v>0</v>
      </c>
      <c r="P2177">
        <f t="shared" si="200"/>
        <v>4750</v>
      </c>
      <c r="Q2177">
        <f t="shared" si="204"/>
        <v>4750</v>
      </c>
      <c r="T2177" s="16">
        <f t="shared" si="205"/>
        <v>9.8635680476744619E-2</v>
      </c>
    </row>
    <row r="2178" spans="7:20" ht="14.4" x14ac:dyDescent="0.25">
      <c r="G2178" s="10">
        <v>2994</v>
      </c>
      <c r="H2178" s="9">
        <v>21604</v>
      </c>
      <c r="I2178" s="14">
        <f>DATE(2012,12,31)-274</f>
        <v>41000</v>
      </c>
      <c r="J2178" s="15" t="s">
        <v>16</v>
      </c>
      <c r="K2178" s="9">
        <v>6</v>
      </c>
      <c r="L2178" s="16" t="s">
        <v>26</v>
      </c>
      <c r="M2178" s="16">
        <f t="shared" si="201"/>
        <v>-1.3516196285269051</v>
      </c>
      <c r="N2178">
        <f t="shared" si="202"/>
        <v>0</v>
      </c>
      <c r="O2178">
        <f t="shared" si="203"/>
        <v>0</v>
      </c>
      <c r="P2178">
        <f t="shared" si="200"/>
        <v>3700</v>
      </c>
      <c r="Q2178">
        <f t="shared" si="204"/>
        <v>3700</v>
      </c>
      <c r="T2178" s="16">
        <f t="shared" si="205"/>
        <v>-1.3516196285269055</v>
      </c>
    </row>
    <row r="2179" spans="7:20" ht="14.4" x14ac:dyDescent="0.25">
      <c r="G2179" s="10">
        <v>3037</v>
      </c>
      <c r="H2179" s="9">
        <v>21824</v>
      </c>
      <c r="I2179" s="14">
        <f>DATE(2012,12,31)-693</f>
        <v>40581</v>
      </c>
      <c r="J2179" s="15" t="s">
        <v>25</v>
      </c>
      <c r="K2179" s="9">
        <v>37</v>
      </c>
      <c r="L2179" s="16" t="s">
        <v>29</v>
      </c>
      <c r="M2179" s="16">
        <f t="shared" si="201"/>
        <v>0.78923344666895934</v>
      </c>
      <c r="N2179">
        <f t="shared" si="202"/>
        <v>0</v>
      </c>
      <c r="O2179">
        <f t="shared" si="203"/>
        <v>0</v>
      </c>
      <c r="P2179">
        <f t="shared" si="200"/>
        <v>5250</v>
      </c>
      <c r="Q2179">
        <f t="shared" si="204"/>
        <v>5250</v>
      </c>
      <c r="T2179" s="16">
        <f t="shared" si="205"/>
        <v>0.789233446668959</v>
      </c>
    </row>
    <row r="2180" spans="7:20" ht="14.4" x14ac:dyDescent="0.25">
      <c r="G2180" s="10">
        <v>3057</v>
      </c>
      <c r="H2180" s="9">
        <v>21893</v>
      </c>
      <c r="I2180" s="14">
        <f>DATE(2012,12,31)-434</f>
        <v>40840</v>
      </c>
      <c r="J2180" s="15" t="s">
        <v>30</v>
      </c>
      <c r="K2180" s="9">
        <v>30</v>
      </c>
      <c r="L2180" s="16" t="s">
        <v>26</v>
      </c>
      <c r="M2180" s="16">
        <f t="shared" si="201"/>
        <v>0.30581501033440933</v>
      </c>
      <c r="N2180">
        <f t="shared" si="202"/>
        <v>0</v>
      </c>
      <c r="O2180">
        <f t="shared" si="203"/>
        <v>0</v>
      </c>
      <c r="P2180">
        <f t="shared" si="200"/>
        <v>4900</v>
      </c>
      <c r="Q2180">
        <f t="shared" si="204"/>
        <v>4900</v>
      </c>
      <c r="T2180" s="16">
        <f t="shared" si="205"/>
        <v>0.30581501033440894</v>
      </c>
    </row>
    <row r="2181" spans="7:20" ht="14.4" x14ac:dyDescent="0.25">
      <c r="G2181" s="10">
        <v>3075</v>
      </c>
      <c r="H2181" s="9">
        <v>22054</v>
      </c>
      <c r="I2181" s="14">
        <f>DATE(2012,12,31)-886</f>
        <v>40388</v>
      </c>
      <c r="J2181" s="15" t="s">
        <v>16</v>
      </c>
      <c r="K2181" s="9">
        <v>32</v>
      </c>
      <c r="L2181" s="16" t="s">
        <v>29</v>
      </c>
      <c r="M2181" s="16">
        <f t="shared" si="201"/>
        <v>0.44393456357285216</v>
      </c>
      <c r="N2181">
        <f t="shared" si="202"/>
        <v>0</v>
      </c>
      <c r="O2181">
        <f t="shared" si="203"/>
        <v>0</v>
      </c>
      <c r="P2181">
        <f t="shared" si="200"/>
        <v>5000</v>
      </c>
      <c r="Q2181">
        <f t="shared" si="204"/>
        <v>5000</v>
      </c>
      <c r="T2181" s="16">
        <f t="shared" si="205"/>
        <v>0.44393456357285183</v>
      </c>
    </row>
    <row r="2182" spans="7:20" ht="14.4" x14ac:dyDescent="0.25">
      <c r="G2182" s="10">
        <v>3091</v>
      </c>
      <c r="H2182" s="9">
        <v>22181</v>
      </c>
      <c r="I2182" s="14">
        <f>DATE(2012,12,31)-451</f>
        <v>40823</v>
      </c>
      <c r="J2182" s="15" t="s">
        <v>25</v>
      </c>
      <c r="K2182" s="9">
        <v>41</v>
      </c>
      <c r="L2182" s="16" t="s">
        <v>26</v>
      </c>
      <c r="M2182" s="16">
        <f t="shared" si="201"/>
        <v>1.0654725531458451</v>
      </c>
      <c r="N2182">
        <f t="shared" si="202"/>
        <v>0</v>
      </c>
      <c r="O2182">
        <f t="shared" si="203"/>
        <v>0</v>
      </c>
      <c r="P2182">
        <f t="shared" si="200"/>
        <v>5450</v>
      </c>
      <c r="Q2182">
        <f t="shared" si="204"/>
        <v>5450</v>
      </c>
      <c r="T2182" s="16">
        <f t="shared" si="205"/>
        <v>1.0654725531458447</v>
      </c>
    </row>
    <row r="2183" spans="7:20" ht="14.4" x14ac:dyDescent="0.25">
      <c r="G2183" s="10">
        <v>3104</v>
      </c>
      <c r="H2183" s="9">
        <v>22272</v>
      </c>
      <c r="I2183" s="14">
        <f>DATE(2012,12,31)-239</f>
        <v>41035</v>
      </c>
      <c r="J2183" s="15" t="s">
        <v>17</v>
      </c>
      <c r="K2183" s="9">
        <v>37</v>
      </c>
      <c r="L2183" s="16" t="s">
        <v>27</v>
      </c>
      <c r="M2183" s="16">
        <f t="shared" si="201"/>
        <v>0.78923344666895934</v>
      </c>
      <c r="N2183">
        <f t="shared" si="202"/>
        <v>0</v>
      </c>
      <c r="O2183">
        <f t="shared" si="203"/>
        <v>0</v>
      </c>
      <c r="P2183">
        <f t="shared" si="200"/>
        <v>5250</v>
      </c>
      <c r="Q2183">
        <f t="shared" si="204"/>
        <v>5250</v>
      </c>
      <c r="T2183" s="16">
        <f t="shared" si="205"/>
        <v>0.789233446668959</v>
      </c>
    </row>
    <row r="2184" spans="7:20" ht="14.4" x14ac:dyDescent="0.25">
      <c r="G2184" s="10">
        <v>3105</v>
      </c>
      <c r="H2184" s="9">
        <v>22272</v>
      </c>
      <c r="I2184" s="14">
        <f>DATE(2012,12,31)-239</f>
        <v>41035</v>
      </c>
      <c r="J2184" s="15" t="s">
        <v>17</v>
      </c>
      <c r="K2184" s="9">
        <v>30</v>
      </c>
      <c r="L2184" s="16" t="s">
        <v>27</v>
      </c>
      <c r="M2184" s="16">
        <f t="shared" si="201"/>
        <v>0.30581501033440933</v>
      </c>
      <c r="N2184">
        <f t="shared" si="202"/>
        <v>0</v>
      </c>
      <c r="O2184">
        <f t="shared" si="203"/>
        <v>0</v>
      </c>
      <c r="P2184">
        <f t="shared" si="200"/>
        <v>4900</v>
      </c>
      <c r="Q2184">
        <f t="shared" si="204"/>
        <v>4900</v>
      </c>
      <c r="T2184" s="16">
        <f t="shared" si="205"/>
        <v>0.30581501033440894</v>
      </c>
    </row>
    <row r="2185" spans="7:20" ht="14.4" x14ac:dyDescent="0.25">
      <c r="G2185" s="10">
        <v>3115</v>
      </c>
      <c r="H2185" s="9">
        <v>22373</v>
      </c>
      <c r="I2185" s="14">
        <f>DATE(2012,12,31)-278</f>
        <v>40996</v>
      </c>
      <c r="J2185" s="15" t="s">
        <v>17</v>
      </c>
      <c r="K2185" s="9">
        <v>26</v>
      </c>
      <c r="L2185" s="16" t="s">
        <v>26</v>
      </c>
      <c r="M2185" s="16">
        <f t="shared" si="201"/>
        <v>2.9575903857523567E-2</v>
      </c>
      <c r="N2185">
        <f t="shared" si="202"/>
        <v>0</v>
      </c>
      <c r="O2185">
        <f t="shared" si="203"/>
        <v>0</v>
      </c>
      <c r="P2185">
        <f t="shared" si="200"/>
        <v>4700</v>
      </c>
      <c r="Q2185">
        <f t="shared" si="204"/>
        <v>4700</v>
      </c>
      <c r="T2185" s="16">
        <f t="shared" si="205"/>
        <v>2.9575903857523185E-2</v>
      </c>
    </row>
    <row r="2186" spans="7:20" ht="14.4" x14ac:dyDescent="0.25">
      <c r="G2186" s="10">
        <v>3125</v>
      </c>
      <c r="H2186" s="9">
        <v>22434</v>
      </c>
      <c r="I2186" s="14">
        <f>DATE(2012,12,31)-124</f>
        <v>41150</v>
      </c>
      <c r="J2186" s="15" t="s">
        <v>30</v>
      </c>
      <c r="K2186" s="9">
        <v>3</v>
      </c>
      <c r="L2186" s="16" t="s">
        <v>26</v>
      </c>
      <c r="M2186" s="16">
        <f t="shared" si="201"/>
        <v>-1.5587989583845694</v>
      </c>
      <c r="N2186">
        <f t="shared" si="202"/>
        <v>0</v>
      </c>
      <c r="O2186">
        <f t="shared" si="203"/>
        <v>0</v>
      </c>
      <c r="P2186">
        <f t="shared" si="200"/>
        <v>3550</v>
      </c>
      <c r="Q2186">
        <f t="shared" si="204"/>
        <v>3550</v>
      </c>
      <c r="T2186" s="16">
        <f t="shared" si="205"/>
        <v>-1.5587989583845698</v>
      </c>
    </row>
    <row r="2187" spans="7:20" ht="14.4" x14ac:dyDescent="0.25">
      <c r="G2187" s="10">
        <v>3126</v>
      </c>
      <c r="H2187" s="9">
        <v>22434</v>
      </c>
      <c r="I2187" s="14">
        <f>DATE(2012,12,31)-124</f>
        <v>41150</v>
      </c>
      <c r="J2187" s="15" t="s">
        <v>30</v>
      </c>
      <c r="K2187" s="9">
        <v>39</v>
      </c>
      <c r="L2187" s="16" t="s">
        <v>26</v>
      </c>
      <c r="M2187" s="16">
        <f t="shared" si="201"/>
        <v>0.92735299990740228</v>
      </c>
      <c r="N2187">
        <f t="shared" si="202"/>
        <v>0</v>
      </c>
      <c r="O2187">
        <f t="shared" si="203"/>
        <v>0</v>
      </c>
      <c r="P2187">
        <f t="shared" si="200"/>
        <v>5350</v>
      </c>
      <c r="Q2187">
        <f t="shared" si="204"/>
        <v>5350</v>
      </c>
      <c r="T2187" s="16">
        <f t="shared" si="205"/>
        <v>0.92735299990740183</v>
      </c>
    </row>
    <row r="2188" spans="7:20" ht="14.4" x14ac:dyDescent="0.25">
      <c r="G2188" s="10">
        <v>3179</v>
      </c>
      <c r="H2188" s="9">
        <v>22849</v>
      </c>
      <c r="I2188" s="14">
        <f>DATE(2012,12,31)-686</f>
        <v>40588</v>
      </c>
      <c r="J2188" s="15" t="s">
        <v>28</v>
      </c>
      <c r="K2188" s="9">
        <v>27</v>
      </c>
      <c r="L2188" s="16" t="s">
        <v>26</v>
      </c>
      <c r="M2188" s="16">
        <f t="shared" si="201"/>
        <v>9.8635680476745008E-2</v>
      </c>
      <c r="N2188">
        <f t="shared" si="202"/>
        <v>0</v>
      </c>
      <c r="O2188">
        <f t="shared" si="203"/>
        <v>0</v>
      </c>
      <c r="P2188">
        <f t="shared" ref="P2188:P2251" si="206">50*K2188+$P$10</f>
        <v>4750</v>
      </c>
      <c r="Q2188">
        <f t="shared" si="204"/>
        <v>4750</v>
      </c>
      <c r="T2188" s="16">
        <f t="shared" si="205"/>
        <v>9.8635680476744619E-2</v>
      </c>
    </row>
    <row r="2189" spans="7:20" ht="14.4" x14ac:dyDescent="0.25">
      <c r="G2189" s="10">
        <v>3180</v>
      </c>
      <c r="H2189" s="9">
        <v>22849</v>
      </c>
      <c r="I2189" s="14">
        <f>DATE(2012,12,31)-686</f>
        <v>40588</v>
      </c>
      <c r="J2189" s="15" t="s">
        <v>28</v>
      </c>
      <c r="K2189" s="9">
        <v>34</v>
      </c>
      <c r="L2189" s="16" t="s">
        <v>26</v>
      </c>
      <c r="M2189" s="16">
        <f t="shared" ref="M2189:M2252" si="207">(K2189-$K$4)/$K$7</f>
        <v>0.58205411681129504</v>
      </c>
      <c r="N2189">
        <f t="shared" ref="N2189:N2252" si="208">IF(MOD($B$20+G2189,1000)=0,1,0)</f>
        <v>0</v>
      </c>
      <c r="O2189">
        <f t="shared" ref="O2189:O2252" si="209">+ROUND(N2189*(IF(K2189&lt;$K$4,-4.5,10.5)*$P$5),-2)</f>
        <v>0</v>
      </c>
      <c r="P2189">
        <f t="shared" si="206"/>
        <v>5100</v>
      </c>
      <c r="Q2189">
        <f t="shared" ref="Q2189:Q2252" si="210">P2189+O2189</f>
        <v>5100</v>
      </c>
      <c r="T2189" s="16">
        <f t="shared" ref="T2189:T2252" si="211">(Q2189-$P$4)/$P$5</f>
        <v>0.58205411681129471</v>
      </c>
    </row>
    <row r="2190" spans="7:20" ht="14.4" x14ac:dyDescent="0.25">
      <c r="G2190" s="10">
        <v>3181</v>
      </c>
      <c r="H2190" s="9">
        <v>22849</v>
      </c>
      <c r="I2190" s="14">
        <f>DATE(2012,12,31)-686</f>
        <v>40588</v>
      </c>
      <c r="J2190" s="15" t="s">
        <v>28</v>
      </c>
      <c r="K2190" s="9">
        <v>27</v>
      </c>
      <c r="L2190" s="16" t="s">
        <v>26</v>
      </c>
      <c r="M2190" s="16">
        <f t="shared" si="207"/>
        <v>9.8635680476745008E-2</v>
      </c>
      <c r="N2190">
        <f t="shared" si="208"/>
        <v>0</v>
      </c>
      <c r="O2190">
        <f t="shared" si="209"/>
        <v>0</v>
      </c>
      <c r="P2190">
        <f t="shared" si="206"/>
        <v>4750</v>
      </c>
      <c r="Q2190">
        <f t="shared" si="210"/>
        <v>4750</v>
      </c>
      <c r="T2190" s="16">
        <f t="shared" si="211"/>
        <v>9.8635680476744619E-2</v>
      </c>
    </row>
    <row r="2191" spans="7:20" ht="14.4" x14ac:dyDescent="0.25">
      <c r="G2191" s="10">
        <v>3182</v>
      </c>
      <c r="H2191" s="9">
        <v>22849</v>
      </c>
      <c r="I2191" s="14">
        <f>DATE(2012,12,31)-686</f>
        <v>40588</v>
      </c>
      <c r="J2191" s="15" t="s">
        <v>28</v>
      </c>
      <c r="K2191" s="9">
        <v>25</v>
      </c>
      <c r="L2191" s="16" t="s">
        <v>27</v>
      </c>
      <c r="M2191" s="16">
        <f t="shared" si="207"/>
        <v>-3.9483872761697868E-2</v>
      </c>
      <c r="N2191">
        <f t="shared" si="208"/>
        <v>0</v>
      </c>
      <c r="O2191">
        <f t="shared" si="209"/>
        <v>0</v>
      </c>
      <c r="P2191">
        <f t="shared" si="206"/>
        <v>4650</v>
      </c>
      <c r="Q2191">
        <f t="shared" si="210"/>
        <v>4650</v>
      </c>
      <c r="T2191" s="16">
        <f t="shared" si="211"/>
        <v>-3.9483872761698249E-2</v>
      </c>
    </row>
    <row r="2192" spans="7:20" ht="14.4" x14ac:dyDescent="0.25">
      <c r="G2192" s="10">
        <v>3188</v>
      </c>
      <c r="H2192" s="9">
        <v>22881</v>
      </c>
      <c r="I2192" s="14">
        <f>DATE(2012,12,31)-1000</f>
        <v>40274</v>
      </c>
      <c r="J2192" s="15" t="s">
        <v>16</v>
      </c>
      <c r="K2192" s="9">
        <v>33</v>
      </c>
      <c r="L2192" s="16" t="s">
        <v>26</v>
      </c>
      <c r="M2192" s="16">
        <f t="shared" si="207"/>
        <v>0.51299434019207357</v>
      </c>
      <c r="N2192">
        <f t="shared" si="208"/>
        <v>0</v>
      </c>
      <c r="O2192">
        <f t="shared" si="209"/>
        <v>0</v>
      </c>
      <c r="P2192">
        <f t="shared" si="206"/>
        <v>5050</v>
      </c>
      <c r="Q2192">
        <f t="shared" si="210"/>
        <v>5050</v>
      </c>
      <c r="T2192" s="16">
        <f t="shared" si="211"/>
        <v>0.51299434019207324</v>
      </c>
    </row>
    <row r="2193" spans="7:20" ht="14.4" x14ac:dyDescent="0.25">
      <c r="G2193" s="10">
        <v>3201</v>
      </c>
      <c r="H2193" s="9">
        <v>22950</v>
      </c>
      <c r="I2193" s="14">
        <f>DATE(2012,12,31)-376</f>
        <v>40898</v>
      </c>
      <c r="J2193" s="15" t="s">
        <v>25</v>
      </c>
      <c r="K2193" s="9">
        <v>29</v>
      </c>
      <c r="L2193" s="16" t="s">
        <v>26</v>
      </c>
      <c r="M2193" s="16">
        <f t="shared" si="207"/>
        <v>0.23675523371518786</v>
      </c>
      <c r="N2193">
        <f t="shared" si="208"/>
        <v>0</v>
      </c>
      <c r="O2193">
        <f t="shared" si="209"/>
        <v>0</v>
      </c>
      <c r="P2193">
        <f t="shared" si="206"/>
        <v>4850</v>
      </c>
      <c r="Q2193">
        <f t="shared" si="210"/>
        <v>4850</v>
      </c>
      <c r="T2193" s="16">
        <f t="shared" si="211"/>
        <v>0.2367552337151875</v>
      </c>
    </row>
    <row r="2194" spans="7:20" ht="14.4" x14ac:dyDescent="0.25">
      <c r="G2194" s="10">
        <v>3206</v>
      </c>
      <c r="H2194" s="9">
        <v>23008</v>
      </c>
      <c r="I2194" s="14">
        <f>DATE(2012,12,31)-1179</f>
        <v>40095</v>
      </c>
      <c r="J2194" s="15" t="s">
        <v>30</v>
      </c>
      <c r="K2194" s="9">
        <v>10</v>
      </c>
      <c r="L2194" s="16" t="s">
        <v>26</v>
      </c>
      <c r="M2194" s="16">
        <f t="shared" si="207"/>
        <v>-1.0753805220500194</v>
      </c>
      <c r="N2194">
        <f t="shared" si="208"/>
        <v>0</v>
      </c>
      <c r="O2194">
        <f t="shared" si="209"/>
        <v>0</v>
      </c>
      <c r="P2194">
        <f t="shared" si="206"/>
        <v>3900</v>
      </c>
      <c r="Q2194">
        <f t="shared" si="210"/>
        <v>3900</v>
      </c>
      <c r="T2194" s="16">
        <f t="shared" si="211"/>
        <v>-1.0753805220500199</v>
      </c>
    </row>
    <row r="2195" spans="7:20" ht="14.4" x14ac:dyDescent="0.25">
      <c r="G2195" s="10">
        <v>3207</v>
      </c>
      <c r="H2195" s="9">
        <v>23008</v>
      </c>
      <c r="I2195" s="14">
        <f>DATE(2012,12,31)-1179</f>
        <v>40095</v>
      </c>
      <c r="J2195" s="15" t="s">
        <v>30</v>
      </c>
      <c r="K2195" s="9">
        <v>2</v>
      </c>
      <c r="L2195" s="16" t="s">
        <v>27</v>
      </c>
      <c r="M2195" s="16">
        <f t="shared" si="207"/>
        <v>-1.627858735003791</v>
      </c>
      <c r="N2195">
        <f t="shared" si="208"/>
        <v>0</v>
      </c>
      <c r="O2195">
        <f t="shared" si="209"/>
        <v>0</v>
      </c>
      <c r="P2195">
        <f t="shared" si="206"/>
        <v>3500</v>
      </c>
      <c r="Q2195">
        <f t="shared" si="210"/>
        <v>3500</v>
      </c>
      <c r="T2195" s="16">
        <f t="shared" si="211"/>
        <v>-1.6278587350037912</v>
      </c>
    </row>
    <row r="2196" spans="7:20" ht="14.4" x14ac:dyDescent="0.25">
      <c r="G2196" s="10">
        <v>3233</v>
      </c>
      <c r="H2196" s="9">
        <v>23202</v>
      </c>
      <c r="I2196" s="14">
        <f>DATE(2012,12,31)-520</f>
        <v>40754</v>
      </c>
      <c r="J2196" s="15" t="s">
        <v>17</v>
      </c>
      <c r="K2196" s="9">
        <v>39</v>
      </c>
      <c r="L2196" s="16" t="s">
        <v>26</v>
      </c>
      <c r="M2196" s="16">
        <f t="shared" si="207"/>
        <v>0.92735299990740228</v>
      </c>
      <c r="N2196">
        <f t="shared" si="208"/>
        <v>0</v>
      </c>
      <c r="O2196">
        <f t="shared" si="209"/>
        <v>0</v>
      </c>
      <c r="P2196">
        <f t="shared" si="206"/>
        <v>5350</v>
      </c>
      <c r="Q2196">
        <f t="shared" si="210"/>
        <v>5350</v>
      </c>
      <c r="T2196" s="16">
        <f t="shared" si="211"/>
        <v>0.92735299990740183</v>
      </c>
    </row>
    <row r="2197" spans="7:20" ht="14.4" x14ac:dyDescent="0.25">
      <c r="G2197" s="10">
        <v>3234</v>
      </c>
      <c r="H2197" s="9">
        <v>23202</v>
      </c>
      <c r="I2197" s="14">
        <f>DATE(2012,12,31)-520</f>
        <v>40754</v>
      </c>
      <c r="J2197" s="15" t="s">
        <v>17</v>
      </c>
      <c r="K2197" s="9">
        <v>48</v>
      </c>
      <c r="L2197" s="16" t="s">
        <v>26</v>
      </c>
      <c r="M2197" s="16">
        <f t="shared" si="207"/>
        <v>1.5488909894803951</v>
      </c>
      <c r="N2197">
        <f t="shared" si="208"/>
        <v>0</v>
      </c>
      <c r="O2197">
        <f t="shared" si="209"/>
        <v>0</v>
      </c>
      <c r="P2197">
        <f t="shared" si="206"/>
        <v>5800</v>
      </c>
      <c r="Q2197">
        <f t="shared" si="210"/>
        <v>5800</v>
      </c>
      <c r="T2197" s="16">
        <f t="shared" si="211"/>
        <v>1.5488909894803948</v>
      </c>
    </row>
    <row r="2198" spans="7:20" ht="14.4" x14ac:dyDescent="0.25">
      <c r="G2198" s="10">
        <v>3276</v>
      </c>
      <c r="H2198" s="9">
        <v>23426</v>
      </c>
      <c r="I2198" s="14">
        <f>DATE(2012,12,31)-684</f>
        <v>40590</v>
      </c>
      <c r="J2198" s="15" t="s">
        <v>30</v>
      </c>
      <c r="K2198" s="9">
        <v>45</v>
      </c>
      <c r="L2198" s="16" t="s">
        <v>27</v>
      </c>
      <c r="M2198" s="16">
        <f t="shared" si="207"/>
        <v>1.3417116596227308</v>
      </c>
      <c r="N2198">
        <f t="shared" si="208"/>
        <v>0</v>
      </c>
      <c r="O2198">
        <f t="shared" si="209"/>
        <v>0</v>
      </c>
      <c r="P2198">
        <f t="shared" si="206"/>
        <v>5650</v>
      </c>
      <c r="Q2198">
        <f t="shared" si="210"/>
        <v>5650</v>
      </c>
      <c r="T2198" s="16">
        <f t="shared" si="211"/>
        <v>1.3417116596227305</v>
      </c>
    </row>
    <row r="2199" spans="7:20" ht="14.4" x14ac:dyDescent="0.25">
      <c r="G2199" s="10">
        <v>3277</v>
      </c>
      <c r="H2199" s="9">
        <v>23426</v>
      </c>
      <c r="I2199" s="14">
        <f>DATE(2012,12,31)-684</f>
        <v>40590</v>
      </c>
      <c r="J2199" s="15" t="s">
        <v>30</v>
      </c>
      <c r="K2199" s="9">
        <v>12</v>
      </c>
      <c r="L2199" s="16" t="s">
        <v>26</v>
      </c>
      <c r="M2199" s="16">
        <f t="shared" si="207"/>
        <v>-0.9372609688115765</v>
      </c>
      <c r="N2199">
        <f t="shared" si="208"/>
        <v>0</v>
      </c>
      <c r="O2199">
        <f t="shared" si="209"/>
        <v>0</v>
      </c>
      <c r="P2199">
        <f t="shared" si="206"/>
        <v>4000</v>
      </c>
      <c r="Q2199">
        <f t="shared" si="210"/>
        <v>4000</v>
      </c>
      <c r="T2199" s="16">
        <f t="shared" si="211"/>
        <v>-0.93726096881157694</v>
      </c>
    </row>
    <row r="2200" spans="7:20" ht="14.4" x14ac:dyDescent="0.25">
      <c r="G2200" s="10">
        <v>3311</v>
      </c>
      <c r="H2200" s="9">
        <v>23649</v>
      </c>
      <c r="I2200" s="14">
        <f>DATE(2012,12,31)-117</f>
        <v>41157</v>
      </c>
      <c r="J2200" s="15" t="s">
        <v>28</v>
      </c>
      <c r="K2200" s="9">
        <v>30</v>
      </c>
      <c r="L2200" s="16" t="s">
        <v>27</v>
      </c>
      <c r="M2200" s="16">
        <f t="shared" si="207"/>
        <v>0.30581501033440933</v>
      </c>
      <c r="N2200">
        <f t="shared" si="208"/>
        <v>0</v>
      </c>
      <c r="O2200">
        <f t="shared" si="209"/>
        <v>0</v>
      </c>
      <c r="P2200">
        <f t="shared" si="206"/>
        <v>4900</v>
      </c>
      <c r="Q2200">
        <f t="shared" si="210"/>
        <v>4900</v>
      </c>
      <c r="T2200" s="16">
        <f t="shared" si="211"/>
        <v>0.30581501033440894</v>
      </c>
    </row>
    <row r="2201" spans="7:20" ht="14.4" x14ac:dyDescent="0.25">
      <c r="G2201" s="10">
        <v>3312</v>
      </c>
      <c r="H2201" s="9">
        <v>23649</v>
      </c>
      <c r="I2201" s="14">
        <f>DATE(2012,12,31)-117</f>
        <v>41157</v>
      </c>
      <c r="J2201" s="15" t="s">
        <v>28</v>
      </c>
      <c r="K2201" s="9">
        <v>42</v>
      </c>
      <c r="L2201" s="16" t="s">
        <v>27</v>
      </c>
      <c r="M2201" s="16">
        <f t="shared" si="207"/>
        <v>1.1345323297650665</v>
      </c>
      <c r="N2201">
        <f t="shared" si="208"/>
        <v>0</v>
      </c>
      <c r="O2201">
        <f t="shared" si="209"/>
        <v>0</v>
      </c>
      <c r="P2201">
        <f t="shared" si="206"/>
        <v>5500</v>
      </c>
      <c r="Q2201">
        <f t="shared" si="210"/>
        <v>5500</v>
      </c>
      <c r="T2201" s="16">
        <f t="shared" si="211"/>
        <v>1.1345323297650662</v>
      </c>
    </row>
    <row r="2202" spans="7:20" ht="14.4" x14ac:dyDescent="0.25">
      <c r="G2202" s="10">
        <v>3322</v>
      </c>
      <c r="H2202" s="9">
        <v>23748</v>
      </c>
      <c r="I2202" s="14">
        <f>DATE(2012,12,31)-143</f>
        <v>41131</v>
      </c>
      <c r="J2202" s="15" t="s">
        <v>17</v>
      </c>
      <c r="K2202" s="9">
        <v>26</v>
      </c>
      <c r="L2202" s="16" t="s">
        <v>26</v>
      </c>
      <c r="M2202" s="16">
        <f t="shared" si="207"/>
        <v>2.9575903857523567E-2</v>
      </c>
      <c r="N2202">
        <f t="shared" si="208"/>
        <v>0</v>
      </c>
      <c r="O2202">
        <f t="shared" si="209"/>
        <v>0</v>
      </c>
      <c r="P2202">
        <f t="shared" si="206"/>
        <v>4700</v>
      </c>
      <c r="Q2202">
        <f t="shared" si="210"/>
        <v>4700</v>
      </c>
      <c r="T2202" s="16">
        <f t="shared" si="211"/>
        <v>2.9575903857523185E-2</v>
      </c>
    </row>
    <row r="2203" spans="7:20" ht="14.4" x14ac:dyDescent="0.25">
      <c r="G2203" s="10">
        <v>3337</v>
      </c>
      <c r="H2203" s="9">
        <v>23847</v>
      </c>
      <c r="I2203" s="14">
        <f>DATE(2012,12,31)-52</f>
        <v>41222</v>
      </c>
      <c r="J2203" s="15" t="s">
        <v>28</v>
      </c>
      <c r="K2203" s="9">
        <v>7</v>
      </c>
      <c r="L2203" s="16" t="s">
        <v>27</v>
      </c>
      <c r="M2203" s="16">
        <f t="shared" si="207"/>
        <v>-1.2825598519076837</v>
      </c>
      <c r="N2203">
        <f t="shared" si="208"/>
        <v>0</v>
      </c>
      <c r="O2203">
        <f t="shared" si="209"/>
        <v>0</v>
      </c>
      <c r="P2203">
        <f t="shared" si="206"/>
        <v>3750</v>
      </c>
      <c r="Q2203">
        <f t="shared" si="210"/>
        <v>3750</v>
      </c>
      <c r="T2203" s="16">
        <f t="shared" si="211"/>
        <v>-1.2825598519076842</v>
      </c>
    </row>
    <row r="2204" spans="7:20" ht="14.4" x14ac:dyDescent="0.25">
      <c r="G2204" s="10">
        <v>3350</v>
      </c>
      <c r="H2204" s="9">
        <v>23971</v>
      </c>
      <c r="I2204" s="14">
        <f>DATE(2012,12,31)-1136</f>
        <v>40138</v>
      </c>
      <c r="J2204" s="15" t="s">
        <v>30</v>
      </c>
      <c r="K2204" s="9">
        <v>5</v>
      </c>
      <c r="L2204" s="16" t="s">
        <v>26</v>
      </c>
      <c r="M2204" s="16">
        <f t="shared" si="207"/>
        <v>-1.4206794051461267</v>
      </c>
      <c r="N2204">
        <f t="shared" si="208"/>
        <v>0</v>
      </c>
      <c r="O2204">
        <f t="shared" si="209"/>
        <v>0</v>
      </c>
      <c r="P2204">
        <f t="shared" si="206"/>
        <v>3650</v>
      </c>
      <c r="Q2204">
        <f t="shared" si="210"/>
        <v>3650</v>
      </c>
      <c r="T2204" s="16">
        <f t="shared" si="211"/>
        <v>-1.4206794051461269</v>
      </c>
    </row>
    <row r="2205" spans="7:20" ht="14.4" x14ac:dyDescent="0.25">
      <c r="G2205" s="10">
        <v>3388</v>
      </c>
      <c r="H2205" s="9">
        <v>24135</v>
      </c>
      <c r="I2205" s="14">
        <f>DATE(2012,12,31)-1074</f>
        <v>40200</v>
      </c>
      <c r="J2205" s="15" t="s">
        <v>25</v>
      </c>
      <c r="K2205" s="9">
        <v>12</v>
      </c>
      <c r="L2205" s="16" t="s">
        <v>26</v>
      </c>
      <c r="M2205" s="16">
        <f t="shared" si="207"/>
        <v>-0.9372609688115765</v>
      </c>
      <c r="N2205">
        <f t="shared" si="208"/>
        <v>0</v>
      </c>
      <c r="O2205">
        <f t="shared" si="209"/>
        <v>0</v>
      </c>
      <c r="P2205">
        <f t="shared" si="206"/>
        <v>4000</v>
      </c>
      <c r="Q2205">
        <f t="shared" si="210"/>
        <v>4000</v>
      </c>
      <c r="T2205" s="16">
        <f t="shared" si="211"/>
        <v>-0.93726096881157694</v>
      </c>
    </row>
    <row r="2206" spans="7:20" ht="14.4" x14ac:dyDescent="0.25">
      <c r="G2206" s="10">
        <v>3395</v>
      </c>
      <c r="H2206" s="9">
        <v>24196</v>
      </c>
      <c r="I2206" s="14">
        <f>DATE(2012,12,31)-885</f>
        <v>40389</v>
      </c>
      <c r="J2206" s="15" t="s">
        <v>17</v>
      </c>
      <c r="K2206" s="9">
        <v>2</v>
      </c>
      <c r="L2206" s="16" t="s">
        <v>26</v>
      </c>
      <c r="M2206" s="16">
        <f t="shared" si="207"/>
        <v>-1.627858735003791</v>
      </c>
      <c r="N2206">
        <f t="shared" si="208"/>
        <v>0</v>
      </c>
      <c r="O2206">
        <f t="shared" si="209"/>
        <v>0</v>
      </c>
      <c r="P2206">
        <f t="shared" si="206"/>
        <v>3500</v>
      </c>
      <c r="Q2206">
        <f t="shared" si="210"/>
        <v>3500</v>
      </c>
      <c r="T2206" s="16">
        <f t="shared" si="211"/>
        <v>-1.6278587350037912</v>
      </c>
    </row>
    <row r="2207" spans="7:20" ht="14.4" x14ac:dyDescent="0.25">
      <c r="G2207" s="10">
        <v>3396</v>
      </c>
      <c r="H2207" s="9">
        <v>24196</v>
      </c>
      <c r="I2207" s="14">
        <f>DATE(2012,12,31)-885</f>
        <v>40389</v>
      </c>
      <c r="J2207" s="15" t="s">
        <v>17</v>
      </c>
      <c r="K2207" s="9">
        <v>24</v>
      </c>
      <c r="L2207" s="16" t="s">
        <v>26</v>
      </c>
      <c r="M2207" s="16">
        <f t="shared" si="207"/>
        <v>-0.1085436493809193</v>
      </c>
      <c r="N2207">
        <f t="shared" si="208"/>
        <v>0</v>
      </c>
      <c r="O2207">
        <f t="shared" si="209"/>
        <v>0</v>
      </c>
      <c r="P2207">
        <f t="shared" si="206"/>
        <v>4600</v>
      </c>
      <c r="Q2207">
        <f t="shared" si="210"/>
        <v>4600</v>
      </c>
      <c r="T2207" s="16">
        <f t="shared" si="211"/>
        <v>-0.10854364938091969</v>
      </c>
    </row>
    <row r="2208" spans="7:20" ht="14.4" x14ac:dyDescent="0.25">
      <c r="G2208" s="10">
        <v>3397</v>
      </c>
      <c r="H2208" s="9">
        <v>24197</v>
      </c>
      <c r="I2208" s="14">
        <f>DATE(2012,12,31)-1062</f>
        <v>40212</v>
      </c>
      <c r="J2208" s="15" t="s">
        <v>25</v>
      </c>
      <c r="K2208" s="9">
        <v>41</v>
      </c>
      <c r="L2208" s="16" t="s">
        <v>27</v>
      </c>
      <c r="M2208" s="16">
        <f t="shared" si="207"/>
        <v>1.0654725531458451</v>
      </c>
      <c r="N2208">
        <f t="shared" si="208"/>
        <v>0</v>
      </c>
      <c r="O2208">
        <f t="shared" si="209"/>
        <v>0</v>
      </c>
      <c r="P2208">
        <f t="shared" si="206"/>
        <v>5450</v>
      </c>
      <c r="Q2208">
        <f t="shared" si="210"/>
        <v>5450</v>
      </c>
      <c r="T2208" s="16">
        <f t="shared" si="211"/>
        <v>1.0654725531458447</v>
      </c>
    </row>
    <row r="2209" spans="7:20" ht="14.4" x14ac:dyDescent="0.25">
      <c r="G2209" s="10">
        <v>3398</v>
      </c>
      <c r="H2209" s="9">
        <v>24197</v>
      </c>
      <c r="I2209" s="14">
        <f>DATE(2012,12,31)-1062</f>
        <v>40212</v>
      </c>
      <c r="J2209" s="15" t="s">
        <v>25</v>
      </c>
      <c r="K2209" s="9">
        <v>2</v>
      </c>
      <c r="L2209" s="16" t="s">
        <v>27</v>
      </c>
      <c r="M2209" s="16">
        <f t="shared" si="207"/>
        <v>-1.627858735003791</v>
      </c>
      <c r="N2209">
        <f t="shared" si="208"/>
        <v>0</v>
      </c>
      <c r="O2209">
        <f t="shared" si="209"/>
        <v>0</v>
      </c>
      <c r="P2209">
        <f t="shared" si="206"/>
        <v>3500</v>
      </c>
      <c r="Q2209">
        <f t="shared" si="210"/>
        <v>3500</v>
      </c>
      <c r="T2209" s="16">
        <f t="shared" si="211"/>
        <v>-1.6278587350037912</v>
      </c>
    </row>
    <row r="2210" spans="7:20" ht="14.4" x14ac:dyDescent="0.25">
      <c r="G2210" s="10">
        <v>3435</v>
      </c>
      <c r="H2210" s="9">
        <v>24519</v>
      </c>
      <c r="I2210" s="14">
        <f>DATE(2012,12,31)-569</f>
        <v>40705</v>
      </c>
      <c r="J2210" s="15" t="s">
        <v>30</v>
      </c>
      <c r="K2210" s="9">
        <v>22</v>
      </c>
      <c r="L2210" s="16" t="s">
        <v>26</v>
      </c>
      <c r="M2210" s="16">
        <f t="shared" si="207"/>
        <v>-0.24666320261936217</v>
      </c>
      <c r="N2210">
        <f t="shared" si="208"/>
        <v>0</v>
      </c>
      <c r="O2210">
        <f t="shared" si="209"/>
        <v>0</v>
      </c>
      <c r="P2210">
        <f t="shared" si="206"/>
        <v>4500</v>
      </c>
      <c r="Q2210">
        <f t="shared" si="210"/>
        <v>4500</v>
      </c>
      <c r="T2210" s="16">
        <f t="shared" si="211"/>
        <v>-0.24666320261936256</v>
      </c>
    </row>
    <row r="2211" spans="7:20" ht="14.4" x14ac:dyDescent="0.25">
      <c r="G2211" s="10">
        <v>3439</v>
      </c>
      <c r="H2211" s="9">
        <v>24546</v>
      </c>
      <c r="I2211" s="14">
        <f>DATE(2012,12,31)-280</f>
        <v>40994</v>
      </c>
      <c r="J2211" s="15" t="s">
        <v>30</v>
      </c>
      <c r="K2211" s="9">
        <v>7</v>
      </c>
      <c r="L2211" s="16" t="s">
        <v>26</v>
      </c>
      <c r="M2211" s="16">
        <f t="shared" si="207"/>
        <v>-1.2825598519076837</v>
      </c>
      <c r="N2211">
        <f t="shared" si="208"/>
        <v>0</v>
      </c>
      <c r="O2211">
        <f t="shared" si="209"/>
        <v>0</v>
      </c>
      <c r="P2211">
        <f t="shared" si="206"/>
        <v>3750</v>
      </c>
      <c r="Q2211">
        <f t="shared" si="210"/>
        <v>3750</v>
      </c>
      <c r="T2211" s="16">
        <f t="shared" si="211"/>
        <v>-1.2825598519076842</v>
      </c>
    </row>
    <row r="2212" spans="7:20" ht="14.4" x14ac:dyDescent="0.25">
      <c r="G2212" s="10">
        <v>3444</v>
      </c>
      <c r="H2212" s="9">
        <v>24579</v>
      </c>
      <c r="I2212" s="14">
        <f>DATE(2012,12,31)-43</f>
        <v>41231</v>
      </c>
      <c r="J2212" s="15" t="s">
        <v>17</v>
      </c>
      <c r="K2212" s="9">
        <v>45</v>
      </c>
      <c r="L2212" s="16" t="s">
        <v>26</v>
      </c>
      <c r="M2212" s="16">
        <f t="shared" si="207"/>
        <v>1.3417116596227308</v>
      </c>
      <c r="N2212">
        <f t="shared" si="208"/>
        <v>0</v>
      </c>
      <c r="O2212">
        <f t="shared" si="209"/>
        <v>0</v>
      </c>
      <c r="P2212">
        <f t="shared" si="206"/>
        <v>5650</v>
      </c>
      <c r="Q2212">
        <f t="shared" si="210"/>
        <v>5650</v>
      </c>
      <c r="T2212" s="16">
        <f t="shared" si="211"/>
        <v>1.3417116596227305</v>
      </c>
    </row>
    <row r="2213" spans="7:20" ht="14.4" x14ac:dyDescent="0.25">
      <c r="G2213" s="10">
        <v>3445</v>
      </c>
      <c r="H2213" s="9">
        <v>24579</v>
      </c>
      <c r="I2213" s="14">
        <f>DATE(2012,12,31)-43</f>
        <v>41231</v>
      </c>
      <c r="J2213" s="15" t="s">
        <v>17</v>
      </c>
      <c r="K2213" s="9">
        <v>40</v>
      </c>
      <c r="L2213" s="16" t="s">
        <v>26</v>
      </c>
      <c r="M2213" s="16">
        <f t="shared" si="207"/>
        <v>0.99641277652662363</v>
      </c>
      <c r="N2213">
        <f t="shared" si="208"/>
        <v>0</v>
      </c>
      <c r="O2213">
        <f t="shared" si="209"/>
        <v>0</v>
      </c>
      <c r="P2213">
        <f t="shared" si="206"/>
        <v>5400</v>
      </c>
      <c r="Q2213">
        <f t="shared" si="210"/>
        <v>5400</v>
      </c>
      <c r="T2213" s="16">
        <f t="shared" si="211"/>
        <v>0.9964127765266233</v>
      </c>
    </row>
    <row r="2214" spans="7:20" ht="14.4" x14ac:dyDescent="0.25">
      <c r="G2214" s="10">
        <v>3448</v>
      </c>
      <c r="H2214" s="9">
        <v>24581</v>
      </c>
      <c r="I2214" s="14">
        <f>DATE(2012,12,31)-997</f>
        <v>40277</v>
      </c>
      <c r="J2214" s="15" t="s">
        <v>17</v>
      </c>
      <c r="K2214" s="9">
        <v>8</v>
      </c>
      <c r="L2214" s="16" t="s">
        <v>26</v>
      </c>
      <c r="M2214" s="16">
        <f t="shared" si="207"/>
        <v>-1.2135000752884624</v>
      </c>
      <c r="N2214">
        <f t="shared" si="208"/>
        <v>0</v>
      </c>
      <c r="O2214">
        <f t="shared" si="209"/>
        <v>0</v>
      </c>
      <c r="P2214">
        <f t="shared" si="206"/>
        <v>3800</v>
      </c>
      <c r="Q2214">
        <f t="shared" si="210"/>
        <v>3800</v>
      </c>
      <c r="T2214" s="16">
        <f t="shared" si="211"/>
        <v>-1.2135000752884626</v>
      </c>
    </row>
    <row r="2215" spans="7:20" ht="14.4" x14ac:dyDescent="0.25">
      <c r="G2215" s="10">
        <v>3473</v>
      </c>
      <c r="H2215" s="9">
        <v>24710</v>
      </c>
      <c r="I2215" s="14">
        <f>DATE(2012,12,31)-823</f>
        <v>40451</v>
      </c>
      <c r="J2215" s="15" t="s">
        <v>25</v>
      </c>
      <c r="K2215" s="9">
        <v>3</v>
      </c>
      <c r="L2215" s="16" t="s">
        <v>26</v>
      </c>
      <c r="M2215" s="16">
        <f t="shared" si="207"/>
        <v>-1.5587989583845694</v>
      </c>
      <c r="N2215">
        <f t="shared" si="208"/>
        <v>0</v>
      </c>
      <c r="O2215">
        <f t="shared" si="209"/>
        <v>0</v>
      </c>
      <c r="P2215">
        <f t="shared" si="206"/>
        <v>3550</v>
      </c>
      <c r="Q2215">
        <f t="shared" si="210"/>
        <v>3550</v>
      </c>
      <c r="T2215" s="16">
        <f t="shared" si="211"/>
        <v>-1.5587989583845698</v>
      </c>
    </row>
    <row r="2216" spans="7:20" ht="14.4" x14ac:dyDescent="0.25">
      <c r="G2216" s="10">
        <v>3500</v>
      </c>
      <c r="H2216" s="9">
        <v>24960</v>
      </c>
      <c r="I2216" s="14">
        <f>DATE(2012,12,31)-704</f>
        <v>40570</v>
      </c>
      <c r="J2216" s="15" t="s">
        <v>17</v>
      </c>
      <c r="K2216" s="9">
        <v>48</v>
      </c>
      <c r="L2216" s="16" t="s">
        <v>27</v>
      </c>
      <c r="M2216" s="16">
        <f t="shared" si="207"/>
        <v>1.5488909894803951</v>
      </c>
      <c r="N2216">
        <f t="shared" si="208"/>
        <v>0</v>
      </c>
      <c r="O2216">
        <f t="shared" si="209"/>
        <v>0</v>
      </c>
      <c r="P2216">
        <f t="shared" si="206"/>
        <v>5800</v>
      </c>
      <c r="Q2216">
        <f t="shared" si="210"/>
        <v>5800</v>
      </c>
      <c r="T2216" s="16">
        <f t="shared" si="211"/>
        <v>1.5488909894803948</v>
      </c>
    </row>
    <row r="2217" spans="7:20" ht="14.4" x14ac:dyDescent="0.25">
      <c r="G2217" s="10">
        <v>3501</v>
      </c>
      <c r="H2217" s="9">
        <v>24960</v>
      </c>
      <c r="I2217" s="14">
        <f>DATE(2012,12,31)-704</f>
        <v>40570</v>
      </c>
      <c r="J2217" s="15" t="s">
        <v>17</v>
      </c>
      <c r="K2217" s="9">
        <v>37</v>
      </c>
      <c r="L2217" s="16" t="s">
        <v>26</v>
      </c>
      <c r="M2217" s="16">
        <f t="shared" si="207"/>
        <v>0.78923344666895934</v>
      </c>
      <c r="N2217">
        <f t="shared" si="208"/>
        <v>0</v>
      </c>
      <c r="O2217">
        <f t="shared" si="209"/>
        <v>0</v>
      </c>
      <c r="P2217">
        <f t="shared" si="206"/>
        <v>5250</v>
      </c>
      <c r="Q2217">
        <f t="shared" si="210"/>
        <v>5250</v>
      </c>
      <c r="T2217" s="16">
        <f t="shared" si="211"/>
        <v>0.789233446668959</v>
      </c>
    </row>
    <row r="2218" spans="7:20" ht="14.4" x14ac:dyDescent="0.25">
      <c r="G2218" s="10">
        <v>3502</v>
      </c>
      <c r="H2218" s="9">
        <v>24960</v>
      </c>
      <c r="I2218" s="14">
        <f>DATE(2012,12,31)-704</f>
        <v>40570</v>
      </c>
      <c r="J2218" s="15" t="s">
        <v>17</v>
      </c>
      <c r="K2218" s="9">
        <v>18</v>
      </c>
      <c r="L2218" s="16" t="s">
        <v>26</v>
      </c>
      <c r="M2218" s="16">
        <f t="shared" si="207"/>
        <v>-0.52290230909624791</v>
      </c>
      <c r="N2218">
        <f t="shared" si="208"/>
        <v>0</v>
      </c>
      <c r="O2218">
        <f t="shared" si="209"/>
        <v>0</v>
      </c>
      <c r="P2218">
        <f t="shared" si="206"/>
        <v>4300</v>
      </c>
      <c r="Q2218">
        <f t="shared" si="210"/>
        <v>4300</v>
      </c>
      <c r="T2218" s="16">
        <f t="shared" si="211"/>
        <v>-0.52290230909624835</v>
      </c>
    </row>
    <row r="2219" spans="7:20" ht="14.4" x14ac:dyDescent="0.25">
      <c r="G2219" s="10">
        <v>3503</v>
      </c>
      <c r="H2219" s="9">
        <v>24960</v>
      </c>
      <c r="I2219" s="14">
        <f>DATE(2012,12,31)-704</f>
        <v>40570</v>
      </c>
      <c r="J2219" s="15" t="s">
        <v>17</v>
      </c>
      <c r="K2219" s="9">
        <v>35</v>
      </c>
      <c r="L2219" s="16" t="s">
        <v>27</v>
      </c>
      <c r="M2219" s="16">
        <f t="shared" si="207"/>
        <v>0.65111389343051651</v>
      </c>
      <c r="N2219">
        <f t="shared" si="208"/>
        <v>0</v>
      </c>
      <c r="O2219">
        <f t="shared" si="209"/>
        <v>0</v>
      </c>
      <c r="P2219">
        <f t="shared" si="206"/>
        <v>5150</v>
      </c>
      <c r="Q2219">
        <f t="shared" si="210"/>
        <v>5150</v>
      </c>
      <c r="T2219" s="16">
        <f t="shared" si="211"/>
        <v>0.65111389343051607</v>
      </c>
    </row>
    <row r="2220" spans="7:20" ht="14.4" x14ac:dyDescent="0.25">
      <c r="G2220" s="10">
        <v>3519</v>
      </c>
      <c r="H2220" s="9">
        <v>25061</v>
      </c>
      <c r="I2220" s="14">
        <f>DATE(2012,12,31)-379</f>
        <v>40895</v>
      </c>
      <c r="J2220" s="15" t="s">
        <v>16</v>
      </c>
      <c r="K2220" s="9">
        <v>20</v>
      </c>
      <c r="L2220" s="16" t="s">
        <v>26</v>
      </c>
      <c r="M2220" s="16">
        <f t="shared" si="207"/>
        <v>-0.38478275585780503</v>
      </c>
      <c r="N2220">
        <f t="shared" si="208"/>
        <v>0</v>
      </c>
      <c r="O2220">
        <f t="shared" si="209"/>
        <v>0</v>
      </c>
      <c r="P2220">
        <f t="shared" si="206"/>
        <v>4400</v>
      </c>
      <c r="Q2220">
        <f t="shared" si="210"/>
        <v>4400</v>
      </c>
      <c r="T2220" s="16">
        <f t="shared" si="211"/>
        <v>-0.38478275585780541</v>
      </c>
    </row>
    <row r="2221" spans="7:20" ht="14.4" x14ac:dyDescent="0.25">
      <c r="G2221" s="10">
        <v>3527</v>
      </c>
      <c r="H2221" s="9">
        <v>25095</v>
      </c>
      <c r="I2221" s="14">
        <f>DATE(2012,12,31)-706</f>
        <v>40568</v>
      </c>
      <c r="J2221" s="15" t="s">
        <v>25</v>
      </c>
      <c r="K2221" s="9">
        <v>18</v>
      </c>
      <c r="L2221" s="16" t="s">
        <v>26</v>
      </c>
      <c r="M2221" s="16">
        <f t="shared" si="207"/>
        <v>-0.52290230909624791</v>
      </c>
      <c r="N2221">
        <f t="shared" si="208"/>
        <v>0</v>
      </c>
      <c r="O2221">
        <f t="shared" si="209"/>
        <v>0</v>
      </c>
      <c r="P2221">
        <f t="shared" si="206"/>
        <v>4300</v>
      </c>
      <c r="Q2221">
        <f t="shared" si="210"/>
        <v>4300</v>
      </c>
      <c r="T2221" s="16">
        <f t="shared" si="211"/>
        <v>-0.52290230909624835</v>
      </c>
    </row>
    <row r="2222" spans="7:20" ht="14.4" x14ac:dyDescent="0.25">
      <c r="G2222" s="10">
        <v>3528</v>
      </c>
      <c r="H2222" s="9">
        <v>25095</v>
      </c>
      <c r="I2222" s="14">
        <f>DATE(2012,12,31)-706</f>
        <v>40568</v>
      </c>
      <c r="J2222" s="15" t="s">
        <v>25</v>
      </c>
      <c r="K2222" s="9">
        <v>41</v>
      </c>
      <c r="L2222" s="16" t="s">
        <v>27</v>
      </c>
      <c r="M2222" s="16">
        <f t="shared" si="207"/>
        <v>1.0654725531458451</v>
      </c>
      <c r="N2222">
        <f t="shared" si="208"/>
        <v>0</v>
      </c>
      <c r="O2222">
        <f t="shared" si="209"/>
        <v>0</v>
      </c>
      <c r="P2222">
        <f t="shared" si="206"/>
        <v>5450</v>
      </c>
      <c r="Q2222">
        <f t="shared" si="210"/>
        <v>5450</v>
      </c>
      <c r="T2222" s="16">
        <f t="shared" si="211"/>
        <v>1.0654725531458447</v>
      </c>
    </row>
    <row r="2223" spans="7:20" ht="14.4" x14ac:dyDescent="0.25">
      <c r="G2223" s="10">
        <v>3544</v>
      </c>
      <c r="H2223" s="9">
        <v>25254</v>
      </c>
      <c r="I2223" s="14">
        <f>DATE(2012,12,31)-836</f>
        <v>40438</v>
      </c>
      <c r="J2223" s="15" t="s">
        <v>30</v>
      </c>
      <c r="K2223" s="9">
        <v>35</v>
      </c>
      <c r="L2223" s="16" t="s">
        <v>26</v>
      </c>
      <c r="M2223" s="16">
        <f t="shared" si="207"/>
        <v>0.65111389343051651</v>
      </c>
      <c r="N2223">
        <f t="shared" si="208"/>
        <v>0</v>
      </c>
      <c r="O2223">
        <f t="shared" si="209"/>
        <v>0</v>
      </c>
      <c r="P2223">
        <f t="shared" si="206"/>
        <v>5150</v>
      </c>
      <c r="Q2223">
        <f t="shared" si="210"/>
        <v>5150</v>
      </c>
      <c r="T2223" s="16">
        <f t="shared" si="211"/>
        <v>0.65111389343051607</v>
      </c>
    </row>
    <row r="2224" spans="7:20" ht="14.4" x14ac:dyDescent="0.25">
      <c r="G2224" s="10">
        <v>3583</v>
      </c>
      <c r="H2224" s="9">
        <v>25542</v>
      </c>
      <c r="I2224" s="14">
        <f>DATE(2012,12,31)-1</f>
        <v>41273</v>
      </c>
      <c r="J2224" s="15" t="s">
        <v>25</v>
      </c>
      <c r="K2224" s="9">
        <v>37</v>
      </c>
      <c r="L2224" s="16" t="s">
        <v>26</v>
      </c>
      <c r="M2224" s="16">
        <f t="shared" si="207"/>
        <v>0.78923344666895934</v>
      </c>
      <c r="N2224">
        <f t="shared" si="208"/>
        <v>0</v>
      </c>
      <c r="O2224">
        <f t="shared" si="209"/>
        <v>0</v>
      </c>
      <c r="P2224">
        <f t="shared" si="206"/>
        <v>5250</v>
      </c>
      <c r="Q2224">
        <f t="shared" si="210"/>
        <v>5250</v>
      </c>
      <c r="T2224" s="16">
        <f t="shared" si="211"/>
        <v>0.789233446668959</v>
      </c>
    </row>
    <row r="2225" spans="7:20" ht="14.4" x14ac:dyDescent="0.25">
      <c r="G2225" s="10">
        <v>3584</v>
      </c>
      <c r="H2225" s="9">
        <v>25569</v>
      </c>
      <c r="I2225" s="14">
        <f>DATE(2012,12,31)-175</f>
        <v>41099</v>
      </c>
      <c r="J2225" s="15" t="s">
        <v>17</v>
      </c>
      <c r="K2225" s="9">
        <v>27</v>
      </c>
      <c r="L2225" s="16" t="s">
        <v>26</v>
      </c>
      <c r="M2225" s="16">
        <f t="shared" si="207"/>
        <v>9.8635680476745008E-2</v>
      </c>
      <c r="N2225">
        <f t="shared" si="208"/>
        <v>0</v>
      </c>
      <c r="O2225">
        <f t="shared" si="209"/>
        <v>0</v>
      </c>
      <c r="P2225">
        <f t="shared" si="206"/>
        <v>4750</v>
      </c>
      <c r="Q2225">
        <f t="shared" si="210"/>
        <v>4750</v>
      </c>
      <c r="T2225" s="16">
        <f t="shared" si="211"/>
        <v>9.8635680476744619E-2</v>
      </c>
    </row>
    <row r="2226" spans="7:20" ht="14.4" x14ac:dyDescent="0.25">
      <c r="G2226" s="10">
        <v>3624</v>
      </c>
      <c r="H2226" s="9">
        <v>25863</v>
      </c>
      <c r="I2226" s="14">
        <f>DATE(2012,12,31)-619</f>
        <v>40655</v>
      </c>
      <c r="J2226" s="15" t="s">
        <v>28</v>
      </c>
      <c r="K2226" s="9">
        <v>18</v>
      </c>
      <c r="L2226" s="16" t="s">
        <v>27</v>
      </c>
      <c r="M2226" s="16">
        <f t="shared" si="207"/>
        <v>-0.52290230909624791</v>
      </c>
      <c r="N2226">
        <f t="shared" si="208"/>
        <v>0</v>
      </c>
      <c r="O2226">
        <f t="shared" si="209"/>
        <v>0</v>
      </c>
      <c r="P2226">
        <f t="shared" si="206"/>
        <v>4300</v>
      </c>
      <c r="Q2226">
        <f t="shared" si="210"/>
        <v>4300</v>
      </c>
      <c r="T2226" s="16">
        <f t="shared" si="211"/>
        <v>-0.52290230909624835</v>
      </c>
    </row>
    <row r="2227" spans="7:20" ht="14.4" x14ac:dyDescent="0.25">
      <c r="G2227" s="10">
        <v>3626</v>
      </c>
      <c r="H2227" s="9">
        <v>25895</v>
      </c>
      <c r="I2227" s="14">
        <f>DATE(2012,12,31)-258</f>
        <v>41016</v>
      </c>
      <c r="J2227" s="15" t="s">
        <v>16</v>
      </c>
      <c r="K2227" s="9">
        <v>37</v>
      </c>
      <c r="L2227" s="16" t="s">
        <v>26</v>
      </c>
      <c r="M2227" s="16">
        <f t="shared" si="207"/>
        <v>0.78923344666895934</v>
      </c>
      <c r="N2227">
        <f t="shared" si="208"/>
        <v>0</v>
      </c>
      <c r="O2227">
        <f t="shared" si="209"/>
        <v>0</v>
      </c>
      <c r="P2227">
        <f t="shared" si="206"/>
        <v>5250</v>
      </c>
      <c r="Q2227">
        <f t="shared" si="210"/>
        <v>5250</v>
      </c>
      <c r="T2227" s="16">
        <f t="shared" si="211"/>
        <v>0.789233446668959</v>
      </c>
    </row>
    <row r="2228" spans="7:20" ht="14.4" x14ac:dyDescent="0.25">
      <c r="G2228" s="10">
        <v>3642</v>
      </c>
      <c r="H2228" s="9">
        <v>26050</v>
      </c>
      <c r="I2228" s="14">
        <f>DATE(2012,12,31)-564</f>
        <v>40710</v>
      </c>
      <c r="J2228" s="15" t="s">
        <v>17</v>
      </c>
      <c r="K2228" s="9">
        <v>44</v>
      </c>
      <c r="L2228" s="16" t="s">
        <v>26</v>
      </c>
      <c r="M2228" s="16">
        <f t="shared" si="207"/>
        <v>1.2726518830035094</v>
      </c>
      <c r="N2228">
        <f t="shared" si="208"/>
        <v>0</v>
      </c>
      <c r="O2228">
        <f t="shared" si="209"/>
        <v>0</v>
      </c>
      <c r="P2228">
        <f t="shared" si="206"/>
        <v>5600</v>
      </c>
      <c r="Q2228">
        <f t="shared" si="210"/>
        <v>5600</v>
      </c>
      <c r="T2228" s="16">
        <f t="shared" si="211"/>
        <v>1.272651883003509</v>
      </c>
    </row>
    <row r="2229" spans="7:20" ht="14.4" x14ac:dyDescent="0.25">
      <c r="G2229" s="10">
        <v>3651</v>
      </c>
      <c r="H2229" s="9">
        <v>26145</v>
      </c>
      <c r="I2229" s="14">
        <f>DATE(2012,12,31)-546</f>
        <v>40728</v>
      </c>
      <c r="J2229" s="15" t="s">
        <v>25</v>
      </c>
      <c r="K2229" s="9">
        <v>18</v>
      </c>
      <c r="L2229" s="16" t="s">
        <v>26</v>
      </c>
      <c r="M2229" s="16">
        <f t="shared" si="207"/>
        <v>-0.52290230909624791</v>
      </c>
      <c r="N2229">
        <f t="shared" si="208"/>
        <v>0</v>
      </c>
      <c r="O2229">
        <f t="shared" si="209"/>
        <v>0</v>
      </c>
      <c r="P2229">
        <f t="shared" si="206"/>
        <v>4300</v>
      </c>
      <c r="Q2229">
        <f t="shared" si="210"/>
        <v>4300</v>
      </c>
      <c r="T2229" s="16">
        <f t="shared" si="211"/>
        <v>-0.52290230909624835</v>
      </c>
    </row>
    <row r="2230" spans="7:20" ht="14.4" x14ac:dyDescent="0.25">
      <c r="G2230" s="10">
        <v>3652</v>
      </c>
      <c r="H2230" s="9">
        <v>26145</v>
      </c>
      <c r="I2230" s="14">
        <f>DATE(2012,12,31)-546</f>
        <v>40728</v>
      </c>
      <c r="J2230" s="15" t="s">
        <v>25</v>
      </c>
      <c r="K2230" s="9">
        <v>49</v>
      </c>
      <c r="L2230" s="16" t="s">
        <v>29</v>
      </c>
      <c r="M2230" s="16">
        <f t="shared" si="207"/>
        <v>1.6179507660996166</v>
      </c>
      <c r="N2230">
        <f t="shared" si="208"/>
        <v>0</v>
      </c>
      <c r="O2230">
        <f t="shared" si="209"/>
        <v>0</v>
      </c>
      <c r="P2230">
        <f t="shared" si="206"/>
        <v>5850</v>
      </c>
      <c r="Q2230">
        <f t="shared" si="210"/>
        <v>5850</v>
      </c>
      <c r="T2230" s="16">
        <f t="shared" si="211"/>
        <v>1.6179507660996162</v>
      </c>
    </row>
    <row r="2231" spans="7:20" ht="14.4" x14ac:dyDescent="0.25">
      <c r="G2231" s="10">
        <v>3653</v>
      </c>
      <c r="H2231" s="9">
        <v>26145</v>
      </c>
      <c r="I2231" s="14">
        <f>DATE(2012,12,31)-546</f>
        <v>40728</v>
      </c>
      <c r="J2231" s="15" t="s">
        <v>25</v>
      </c>
      <c r="K2231" s="9">
        <v>27</v>
      </c>
      <c r="L2231" s="16" t="s">
        <v>29</v>
      </c>
      <c r="M2231" s="16">
        <f t="shared" si="207"/>
        <v>9.8635680476745008E-2</v>
      </c>
      <c r="N2231">
        <f t="shared" si="208"/>
        <v>0</v>
      </c>
      <c r="O2231">
        <f t="shared" si="209"/>
        <v>0</v>
      </c>
      <c r="P2231">
        <f t="shared" si="206"/>
        <v>4750</v>
      </c>
      <c r="Q2231">
        <f t="shared" si="210"/>
        <v>4750</v>
      </c>
      <c r="T2231" s="16">
        <f t="shared" si="211"/>
        <v>9.8635680476744619E-2</v>
      </c>
    </row>
    <row r="2232" spans="7:20" ht="14.4" x14ac:dyDescent="0.25">
      <c r="G2232" s="10">
        <v>3671</v>
      </c>
      <c r="H2232" s="9">
        <v>26279</v>
      </c>
      <c r="I2232" s="14">
        <f>DATE(2012,12,31)-1250</f>
        <v>40024</v>
      </c>
      <c r="J2232" s="15" t="s">
        <v>28</v>
      </c>
      <c r="K2232" s="9">
        <v>7</v>
      </c>
      <c r="L2232" s="16" t="s">
        <v>27</v>
      </c>
      <c r="M2232" s="16">
        <f t="shared" si="207"/>
        <v>-1.2825598519076837</v>
      </c>
      <c r="N2232">
        <f t="shared" si="208"/>
        <v>0</v>
      </c>
      <c r="O2232">
        <f t="shared" si="209"/>
        <v>0</v>
      </c>
      <c r="P2232">
        <f t="shared" si="206"/>
        <v>3750</v>
      </c>
      <c r="Q2232">
        <f t="shared" si="210"/>
        <v>3750</v>
      </c>
      <c r="T2232" s="16">
        <f t="shared" si="211"/>
        <v>-1.2825598519076842</v>
      </c>
    </row>
    <row r="2233" spans="7:20" ht="14.4" x14ac:dyDescent="0.25">
      <c r="G2233" s="10">
        <v>3694</v>
      </c>
      <c r="H2233" s="9">
        <v>26406</v>
      </c>
      <c r="I2233" s="14">
        <f>DATE(2012,12,31)-629</f>
        <v>40645</v>
      </c>
      <c r="J2233" s="15" t="s">
        <v>28</v>
      </c>
      <c r="K2233" s="9">
        <v>40</v>
      </c>
      <c r="L2233" s="16" t="s">
        <v>26</v>
      </c>
      <c r="M2233" s="16">
        <f t="shared" si="207"/>
        <v>0.99641277652662363</v>
      </c>
      <c r="N2233">
        <f t="shared" si="208"/>
        <v>0</v>
      </c>
      <c r="O2233">
        <f t="shared" si="209"/>
        <v>0</v>
      </c>
      <c r="P2233">
        <f t="shared" si="206"/>
        <v>5400</v>
      </c>
      <c r="Q2233">
        <f t="shared" si="210"/>
        <v>5400</v>
      </c>
      <c r="T2233" s="16">
        <f t="shared" si="211"/>
        <v>0.9964127765266233</v>
      </c>
    </row>
    <row r="2234" spans="7:20" ht="14.4" x14ac:dyDescent="0.25">
      <c r="G2234" s="10">
        <v>3717</v>
      </c>
      <c r="H2234" s="9">
        <v>26535</v>
      </c>
      <c r="I2234" s="14">
        <f>DATE(2012,12,31)-286</f>
        <v>40988</v>
      </c>
      <c r="J2234" s="15" t="s">
        <v>28</v>
      </c>
      <c r="K2234" s="9">
        <v>33</v>
      </c>
      <c r="L2234" s="16" t="s">
        <v>26</v>
      </c>
      <c r="M2234" s="16">
        <f t="shared" si="207"/>
        <v>0.51299434019207357</v>
      </c>
      <c r="N2234">
        <f t="shared" si="208"/>
        <v>0</v>
      </c>
      <c r="O2234">
        <f t="shared" si="209"/>
        <v>0</v>
      </c>
      <c r="P2234">
        <f t="shared" si="206"/>
        <v>5050</v>
      </c>
      <c r="Q2234">
        <f t="shared" si="210"/>
        <v>5050</v>
      </c>
      <c r="T2234" s="16">
        <f t="shared" si="211"/>
        <v>0.51299434019207324</v>
      </c>
    </row>
    <row r="2235" spans="7:20" ht="14.4" x14ac:dyDescent="0.25">
      <c r="G2235" s="10">
        <v>3731</v>
      </c>
      <c r="H2235" s="9">
        <v>26661</v>
      </c>
      <c r="I2235" s="14">
        <f>DATE(2012,12,31)-12</f>
        <v>41262</v>
      </c>
      <c r="J2235" s="15" t="s">
        <v>16</v>
      </c>
      <c r="K2235" s="9">
        <v>31</v>
      </c>
      <c r="L2235" s="16" t="s">
        <v>27</v>
      </c>
      <c r="M2235" s="16">
        <f t="shared" si="207"/>
        <v>0.37487478695363075</v>
      </c>
      <c r="N2235">
        <f t="shared" si="208"/>
        <v>0</v>
      </c>
      <c r="O2235">
        <f t="shared" si="209"/>
        <v>0</v>
      </c>
      <c r="P2235">
        <f t="shared" si="206"/>
        <v>4950</v>
      </c>
      <c r="Q2235">
        <f t="shared" si="210"/>
        <v>4950</v>
      </c>
      <c r="T2235" s="16">
        <f t="shared" si="211"/>
        <v>0.37487478695363036</v>
      </c>
    </row>
    <row r="2236" spans="7:20" ht="14.4" x14ac:dyDescent="0.25">
      <c r="G2236" s="10">
        <v>3761</v>
      </c>
      <c r="H2236" s="9">
        <v>26855</v>
      </c>
      <c r="I2236" s="14">
        <f>DATE(2012,12,31)-1387</f>
        <v>39887</v>
      </c>
      <c r="J2236" s="15" t="s">
        <v>17</v>
      </c>
      <c r="K2236" s="9">
        <v>13</v>
      </c>
      <c r="L2236" s="16" t="s">
        <v>29</v>
      </c>
      <c r="M2236" s="16">
        <f t="shared" si="207"/>
        <v>-0.86820119219235514</v>
      </c>
      <c r="N2236">
        <f t="shared" si="208"/>
        <v>0</v>
      </c>
      <c r="O2236">
        <f t="shared" si="209"/>
        <v>0</v>
      </c>
      <c r="P2236">
        <f t="shared" si="206"/>
        <v>4050</v>
      </c>
      <c r="Q2236">
        <f t="shared" si="210"/>
        <v>4050</v>
      </c>
      <c r="T2236" s="16">
        <f t="shared" si="211"/>
        <v>-0.86820119219235548</v>
      </c>
    </row>
    <row r="2237" spans="7:20" ht="14.4" x14ac:dyDescent="0.25">
      <c r="G2237" s="10">
        <v>3794</v>
      </c>
      <c r="H2237" s="9">
        <v>27047</v>
      </c>
      <c r="I2237" s="14">
        <f>DATE(2012,12,31)-770</f>
        <v>40504</v>
      </c>
      <c r="J2237" s="15" t="s">
        <v>17</v>
      </c>
      <c r="K2237" s="9">
        <v>25</v>
      </c>
      <c r="L2237" s="16" t="s">
        <v>27</v>
      </c>
      <c r="M2237" s="16">
        <f t="shared" si="207"/>
        <v>-3.9483872761697868E-2</v>
      </c>
      <c r="N2237">
        <f t="shared" si="208"/>
        <v>0</v>
      </c>
      <c r="O2237">
        <f t="shared" si="209"/>
        <v>0</v>
      </c>
      <c r="P2237">
        <f t="shared" si="206"/>
        <v>4650</v>
      </c>
      <c r="Q2237">
        <f t="shared" si="210"/>
        <v>4650</v>
      </c>
      <c r="T2237" s="16">
        <f t="shared" si="211"/>
        <v>-3.9483872761698249E-2</v>
      </c>
    </row>
    <row r="2238" spans="7:20" ht="14.4" x14ac:dyDescent="0.25">
      <c r="G2238" s="10">
        <v>3795</v>
      </c>
      <c r="H2238" s="9">
        <v>27047</v>
      </c>
      <c r="I2238" s="14">
        <f>DATE(2012,12,31)-770</f>
        <v>40504</v>
      </c>
      <c r="J2238" s="15" t="s">
        <v>17</v>
      </c>
      <c r="K2238" s="9">
        <v>38</v>
      </c>
      <c r="L2238" s="16" t="s">
        <v>26</v>
      </c>
      <c r="M2238" s="16">
        <f t="shared" si="207"/>
        <v>0.85829322328818081</v>
      </c>
      <c r="N2238">
        <f t="shared" si="208"/>
        <v>0</v>
      </c>
      <c r="O2238">
        <f t="shared" si="209"/>
        <v>0</v>
      </c>
      <c r="P2238">
        <f t="shared" si="206"/>
        <v>5300</v>
      </c>
      <c r="Q2238">
        <f t="shared" si="210"/>
        <v>5300</v>
      </c>
      <c r="T2238" s="16">
        <f t="shared" si="211"/>
        <v>0.85829322328818036</v>
      </c>
    </row>
    <row r="2239" spans="7:20" ht="14.4" x14ac:dyDescent="0.25">
      <c r="G2239" s="10">
        <v>3796</v>
      </c>
      <c r="H2239" s="9">
        <v>27077</v>
      </c>
      <c r="I2239" s="14">
        <f>DATE(2012,12,31)-1022</f>
        <v>40252</v>
      </c>
      <c r="J2239" s="15" t="s">
        <v>30</v>
      </c>
      <c r="K2239" s="9">
        <v>11</v>
      </c>
      <c r="L2239" s="16" t="s">
        <v>27</v>
      </c>
      <c r="M2239" s="16">
        <f t="shared" si="207"/>
        <v>-1.0063207454307979</v>
      </c>
      <c r="N2239">
        <f t="shared" si="208"/>
        <v>0</v>
      </c>
      <c r="O2239">
        <f t="shared" si="209"/>
        <v>0</v>
      </c>
      <c r="P2239">
        <f t="shared" si="206"/>
        <v>3950</v>
      </c>
      <c r="Q2239">
        <f t="shared" si="210"/>
        <v>3950</v>
      </c>
      <c r="T2239" s="16">
        <f t="shared" si="211"/>
        <v>-1.0063207454307983</v>
      </c>
    </row>
    <row r="2240" spans="7:20" ht="14.4" x14ac:dyDescent="0.25">
      <c r="G2240" s="10">
        <v>3820</v>
      </c>
      <c r="H2240" s="9">
        <v>27236</v>
      </c>
      <c r="I2240" s="14">
        <f>DATE(2012,12,31)-1035</f>
        <v>40239</v>
      </c>
      <c r="J2240" s="15" t="s">
        <v>17</v>
      </c>
      <c r="K2240" s="9">
        <v>20</v>
      </c>
      <c r="L2240" s="16" t="s">
        <v>26</v>
      </c>
      <c r="M2240" s="16">
        <f t="shared" si="207"/>
        <v>-0.38478275585780503</v>
      </c>
      <c r="N2240">
        <f t="shared" si="208"/>
        <v>0</v>
      </c>
      <c r="O2240">
        <f t="shared" si="209"/>
        <v>0</v>
      </c>
      <c r="P2240">
        <f t="shared" si="206"/>
        <v>4400</v>
      </c>
      <c r="Q2240">
        <f t="shared" si="210"/>
        <v>4400</v>
      </c>
      <c r="T2240" s="16">
        <f t="shared" si="211"/>
        <v>-0.38478275585780541</v>
      </c>
    </row>
    <row r="2241" spans="7:20" ht="14.4" x14ac:dyDescent="0.25">
      <c r="G2241" s="10">
        <v>3867</v>
      </c>
      <c r="H2241" s="9">
        <v>27589</v>
      </c>
      <c r="I2241" s="14">
        <f>DATE(2012,12,31)-473</f>
        <v>40801</v>
      </c>
      <c r="J2241" s="15" t="s">
        <v>16</v>
      </c>
      <c r="K2241" s="9">
        <v>20</v>
      </c>
      <c r="L2241" s="16" t="s">
        <v>27</v>
      </c>
      <c r="M2241" s="16">
        <f t="shared" si="207"/>
        <v>-0.38478275585780503</v>
      </c>
      <c r="N2241">
        <f t="shared" si="208"/>
        <v>0</v>
      </c>
      <c r="O2241">
        <f t="shared" si="209"/>
        <v>0</v>
      </c>
      <c r="P2241">
        <f t="shared" si="206"/>
        <v>4400</v>
      </c>
      <c r="Q2241">
        <f t="shared" si="210"/>
        <v>4400</v>
      </c>
      <c r="T2241" s="16">
        <f t="shared" si="211"/>
        <v>-0.38478275585780541</v>
      </c>
    </row>
    <row r="2242" spans="7:20" ht="14.4" x14ac:dyDescent="0.25">
      <c r="G2242" s="10">
        <v>3868</v>
      </c>
      <c r="H2242" s="9">
        <v>27589</v>
      </c>
      <c r="I2242" s="14">
        <f>DATE(2012,12,31)-473</f>
        <v>40801</v>
      </c>
      <c r="J2242" s="15" t="s">
        <v>16</v>
      </c>
      <c r="K2242" s="9">
        <v>25</v>
      </c>
      <c r="L2242" s="16" t="s">
        <v>29</v>
      </c>
      <c r="M2242" s="16">
        <f t="shared" si="207"/>
        <v>-3.9483872761697868E-2</v>
      </c>
      <c r="N2242">
        <f t="shared" si="208"/>
        <v>0</v>
      </c>
      <c r="O2242">
        <f t="shared" si="209"/>
        <v>0</v>
      </c>
      <c r="P2242">
        <f t="shared" si="206"/>
        <v>4650</v>
      </c>
      <c r="Q2242">
        <f t="shared" si="210"/>
        <v>4650</v>
      </c>
      <c r="T2242" s="16">
        <f t="shared" si="211"/>
        <v>-3.9483872761698249E-2</v>
      </c>
    </row>
    <row r="2243" spans="7:20" ht="14.4" x14ac:dyDescent="0.25">
      <c r="G2243" s="10">
        <v>3869</v>
      </c>
      <c r="H2243" s="9">
        <v>27589</v>
      </c>
      <c r="I2243" s="14">
        <f>DATE(2012,12,31)-473</f>
        <v>40801</v>
      </c>
      <c r="J2243" s="15" t="s">
        <v>16</v>
      </c>
      <c r="K2243" s="9">
        <v>36</v>
      </c>
      <c r="L2243" s="16" t="s">
        <v>29</v>
      </c>
      <c r="M2243" s="16">
        <f t="shared" si="207"/>
        <v>0.72017367004973787</v>
      </c>
      <c r="N2243">
        <f t="shared" si="208"/>
        <v>0</v>
      </c>
      <c r="O2243">
        <f t="shared" si="209"/>
        <v>0</v>
      </c>
      <c r="P2243">
        <f t="shared" si="206"/>
        <v>5200</v>
      </c>
      <c r="Q2243">
        <f t="shared" si="210"/>
        <v>5200</v>
      </c>
      <c r="T2243" s="16">
        <f t="shared" si="211"/>
        <v>0.72017367004973754</v>
      </c>
    </row>
    <row r="2244" spans="7:20" ht="14.4" x14ac:dyDescent="0.25">
      <c r="G2244" s="10">
        <v>3875</v>
      </c>
      <c r="H2244" s="9">
        <v>27681</v>
      </c>
      <c r="I2244" s="14">
        <f>DATE(2012,12,31)-768</f>
        <v>40506</v>
      </c>
      <c r="J2244" s="15" t="s">
        <v>16</v>
      </c>
      <c r="K2244" s="9">
        <v>7</v>
      </c>
      <c r="L2244" s="16" t="s">
        <v>26</v>
      </c>
      <c r="M2244" s="16">
        <f t="shared" si="207"/>
        <v>-1.2825598519076837</v>
      </c>
      <c r="N2244">
        <f t="shared" si="208"/>
        <v>0</v>
      </c>
      <c r="O2244">
        <f t="shared" si="209"/>
        <v>0</v>
      </c>
      <c r="P2244">
        <f t="shared" si="206"/>
        <v>3750</v>
      </c>
      <c r="Q2244">
        <f t="shared" si="210"/>
        <v>3750</v>
      </c>
      <c r="T2244" s="16">
        <f t="shared" si="211"/>
        <v>-1.2825598519076842</v>
      </c>
    </row>
    <row r="2245" spans="7:20" ht="14.4" x14ac:dyDescent="0.25">
      <c r="G2245" s="10">
        <v>3876</v>
      </c>
      <c r="H2245" s="9">
        <v>27681</v>
      </c>
      <c r="I2245" s="14">
        <f>DATE(2012,12,31)-768</f>
        <v>40506</v>
      </c>
      <c r="J2245" s="15" t="s">
        <v>16</v>
      </c>
      <c r="K2245" s="9">
        <v>30</v>
      </c>
      <c r="L2245" s="16" t="s">
        <v>26</v>
      </c>
      <c r="M2245" s="16">
        <f t="shared" si="207"/>
        <v>0.30581501033440933</v>
      </c>
      <c r="N2245">
        <f t="shared" si="208"/>
        <v>0</v>
      </c>
      <c r="O2245">
        <f t="shared" si="209"/>
        <v>0</v>
      </c>
      <c r="P2245">
        <f t="shared" si="206"/>
        <v>4900</v>
      </c>
      <c r="Q2245">
        <f t="shared" si="210"/>
        <v>4900</v>
      </c>
      <c r="T2245" s="16">
        <f t="shared" si="211"/>
        <v>0.30581501033440894</v>
      </c>
    </row>
    <row r="2246" spans="7:20" ht="14.4" x14ac:dyDescent="0.25">
      <c r="G2246" s="10">
        <v>3933</v>
      </c>
      <c r="H2246" s="9">
        <v>28033</v>
      </c>
      <c r="I2246" s="14">
        <f>DATE(2012,12,31)-839</f>
        <v>40435</v>
      </c>
      <c r="J2246" s="15" t="s">
        <v>17</v>
      </c>
      <c r="K2246" s="9">
        <v>16</v>
      </c>
      <c r="L2246" s="16" t="s">
        <v>29</v>
      </c>
      <c r="M2246" s="16">
        <f t="shared" si="207"/>
        <v>-0.66102186233469074</v>
      </c>
      <c r="N2246">
        <f t="shared" si="208"/>
        <v>0</v>
      </c>
      <c r="O2246">
        <f t="shared" si="209"/>
        <v>0</v>
      </c>
      <c r="P2246">
        <f t="shared" si="206"/>
        <v>4200</v>
      </c>
      <c r="Q2246">
        <f t="shared" si="210"/>
        <v>4200</v>
      </c>
      <c r="T2246" s="16">
        <f t="shared" si="211"/>
        <v>-0.66102186233469118</v>
      </c>
    </row>
    <row r="2247" spans="7:20" ht="14.4" x14ac:dyDescent="0.25">
      <c r="G2247" s="10">
        <v>3934</v>
      </c>
      <c r="H2247" s="9">
        <v>28033</v>
      </c>
      <c r="I2247" s="14">
        <f>DATE(2012,12,31)-839</f>
        <v>40435</v>
      </c>
      <c r="J2247" s="15" t="s">
        <v>17</v>
      </c>
      <c r="K2247" s="9">
        <v>37</v>
      </c>
      <c r="L2247" s="16" t="s">
        <v>29</v>
      </c>
      <c r="M2247" s="16">
        <f t="shared" si="207"/>
        <v>0.78923344666895934</v>
      </c>
      <c r="N2247">
        <f t="shared" si="208"/>
        <v>0</v>
      </c>
      <c r="O2247">
        <f t="shared" si="209"/>
        <v>0</v>
      </c>
      <c r="P2247">
        <f t="shared" si="206"/>
        <v>5250</v>
      </c>
      <c r="Q2247">
        <f t="shared" si="210"/>
        <v>5250</v>
      </c>
      <c r="T2247" s="16">
        <f t="shared" si="211"/>
        <v>0.789233446668959</v>
      </c>
    </row>
    <row r="2248" spans="7:20" ht="14.4" x14ac:dyDescent="0.25">
      <c r="G2248" s="10">
        <v>3935</v>
      </c>
      <c r="H2248" s="9">
        <v>28033</v>
      </c>
      <c r="I2248" s="14">
        <f>DATE(2012,12,31)-839</f>
        <v>40435</v>
      </c>
      <c r="J2248" s="15" t="s">
        <v>17</v>
      </c>
      <c r="K2248" s="9">
        <v>18</v>
      </c>
      <c r="L2248" s="16" t="s">
        <v>27</v>
      </c>
      <c r="M2248" s="16">
        <f t="shared" si="207"/>
        <v>-0.52290230909624791</v>
      </c>
      <c r="N2248">
        <f t="shared" si="208"/>
        <v>0</v>
      </c>
      <c r="O2248">
        <f t="shared" si="209"/>
        <v>0</v>
      </c>
      <c r="P2248">
        <f t="shared" si="206"/>
        <v>4300</v>
      </c>
      <c r="Q2248">
        <f t="shared" si="210"/>
        <v>4300</v>
      </c>
      <c r="T2248" s="16">
        <f t="shared" si="211"/>
        <v>-0.52290230909624835</v>
      </c>
    </row>
    <row r="2249" spans="7:20" ht="14.4" x14ac:dyDescent="0.25">
      <c r="G2249" s="10">
        <v>3969</v>
      </c>
      <c r="H2249" s="9">
        <v>28324</v>
      </c>
      <c r="I2249" s="14">
        <f>DATE(2012,12,31)-512</f>
        <v>40762</v>
      </c>
      <c r="J2249" s="15" t="s">
        <v>17</v>
      </c>
      <c r="K2249" s="9">
        <v>48</v>
      </c>
      <c r="L2249" s="16" t="s">
        <v>26</v>
      </c>
      <c r="M2249" s="16">
        <f t="shared" si="207"/>
        <v>1.5488909894803951</v>
      </c>
      <c r="N2249">
        <f t="shared" si="208"/>
        <v>0</v>
      </c>
      <c r="O2249">
        <f t="shared" si="209"/>
        <v>0</v>
      </c>
      <c r="P2249">
        <f t="shared" si="206"/>
        <v>5800</v>
      </c>
      <c r="Q2249">
        <f t="shared" si="210"/>
        <v>5800</v>
      </c>
      <c r="T2249" s="16">
        <f t="shared" si="211"/>
        <v>1.5488909894803948</v>
      </c>
    </row>
    <row r="2250" spans="7:20" ht="14.4" x14ac:dyDescent="0.25">
      <c r="G2250" s="10">
        <v>4035</v>
      </c>
      <c r="H2250" s="9">
        <v>28805</v>
      </c>
      <c r="I2250" s="14">
        <f>DATE(2012,12,31)-639</f>
        <v>40635</v>
      </c>
      <c r="J2250" s="15" t="s">
        <v>16</v>
      </c>
      <c r="K2250" s="9">
        <v>14</v>
      </c>
      <c r="L2250" s="16" t="s">
        <v>26</v>
      </c>
      <c r="M2250" s="16">
        <f t="shared" si="207"/>
        <v>-0.79914141557313367</v>
      </c>
      <c r="N2250">
        <f t="shared" si="208"/>
        <v>0</v>
      </c>
      <c r="O2250">
        <f t="shared" si="209"/>
        <v>0</v>
      </c>
      <c r="P2250">
        <f t="shared" si="206"/>
        <v>4100</v>
      </c>
      <c r="Q2250">
        <f t="shared" si="210"/>
        <v>4100</v>
      </c>
      <c r="T2250" s="16">
        <f t="shared" si="211"/>
        <v>-0.79914141557313401</v>
      </c>
    </row>
    <row r="2251" spans="7:20" ht="14.4" x14ac:dyDescent="0.25">
      <c r="G2251" s="10">
        <v>4036</v>
      </c>
      <c r="H2251" s="9">
        <v>28805</v>
      </c>
      <c r="I2251" s="14">
        <f>DATE(2012,12,31)-639</f>
        <v>40635</v>
      </c>
      <c r="J2251" s="15" t="s">
        <v>16</v>
      </c>
      <c r="K2251" s="9">
        <v>4</v>
      </c>
      <c r="L2251" s="16" t="s">
        <v>26</v>
      </c>
      <c r="M2251" s="16">
        <f t="shared" si="207"/>
        <v>-1.489739181765348</v>
      </c>
      <c r="N2251">
        <f t="shared" si="208"/>
        <v>0</v>
      </c>
      <c r="O2251">
        <f t="shared" si="209"/>
        <v>0</v>
      </c>
      <c r="P2251">
        <f t="shared" si="206"/>
        <v>3600</v>
      </c>
      <c r="Q2251">
        <f t="shared" si="210"/>
        <v>3600</v>
      </c>
      <c r="T2251" s="16">
        <f t="shared" si="211"/>
        <v>-1.4897391817653485</v>
      </c>
    </row>
    <row r="2252" spans="7:20" ht="14.4" x14ac:dyDescent="0.25">
      <c r="G2252" s="10">
        <v>4037</v>
      </c>
      <c r="H2252" s="9">
        <v>28805</v>
      </c>
      <c r="I2252" s="14">
        <f>DATE(2012,12,31)-639</f>
        <v>40635</v>
      </c>
      <c r="J2252" s="15" t="s">
        <v>16</v>
      </c>
      <c r="K2252" s="9">
        <v>46</v>
      </c>
      <c r="L2252" s="16" t="s">
        <v>26</v>
      </c>
      <c r="M2252" s="16">
        <f t="shared" si="207"/>
        <v>1.4107714362419523</v>
      </c>
      <c r="N2252">
        <f t="shared" si="208"/>
        <v>0</v>
      </c>
      <c r="O2252">
        <f t="shared" si="209"/>
        <v>0</v>
      </c>
      <c r="P2252">
        <f t="shared" ref="P2252:P2315" si="212">50*K2252+$P$10</f>
        <v>5700</v>
      </c>
      <c r="Q2252">
        <f t="shared" si="210"/>
        <v>5700</v>
      </c>
      <c r="T2252" s="16">
        <f t="shared" si="211"/>
        <v>1.4107714362419519</v>
      </c>
    </row>
    <row r="2253" spans="7:20" ht="14.4" x14ac:dyDescent="0.25">
      <c r="G2253" s="10">
        <v>4052</v>
      </c>
      <c r="H2253" s="9">
        <v>28897</v>
      </c>
      <c r="I2253" s="14">
        <f>DATE(2012,12,31)-1225</f>
        <v>40049</v>
      </c>
      <c r="J2253" s="15" t="s">
        <v>16</v>
      </c>
      <c r="K2253" s="9">
        <v>35</v>
      </c>
      <c r="L2253" s="16" t="s">
        <v>26</v>
      </c>
      <c r="M2253" s="16">
        <f t="shared" ref="M2253:M2316" si="213">(K2253-$K$4)/$K$7</f>
        <v>0.65111389343051651</v>
      </c>
      <c r="N2253">
        <f t="shared" ref="N2253:N2316" si="214">IF(MOD($B$20+G2253,1000)=0,1,0)</f>
        <v>0</v>
      </c>
      <c r="O2253">
        <f t="shared" ref="O2253:O2316" si="215">+ROUND(N2253*(IF(K2253&lt;$K$4,-4.5,10.5)*$P$5),-2)</f>
        <v>0</v>
      </c>
      <c r="P2253">
        <f t="shared" si="212"/>
        <v>5150</v>
      </c>
      <c r="Q2253">
        <f t="shared" ref="Q2253:Q2316" si="216">P2253+O2253</f>
        <v>5150</v>
      </c>
      <c r="T2253" s="16">
        <f t="shared" ref="T2253:T2316" si="217">(Q2253-$P$4)/$P$5</f>
        <v>0.65111389343051607</v>
      </c>
    </row>
    <row r="2254" spans="7:20" ht="14.4" x14ac:dyDescent="0.25">
      <c r="G2254" s="10">
        <v>4053</v>
      </c>
      <c r="H2254" s="9">
        <v>28897</v>
      </c>
      <c r="I2254" s="14">
        <f>DATE(2012,12,31)-1225</f>
        <v>40049</v>
      </c>
      <c r="J2254" s="15" t="s">
        <v>16</v>
      </c>
      <c r="K2254" s="9">
        <v>14</v>
      </c>
      <c r="L2254" s="16" t="s">
        <v>26</v>
      </c>
      <c r="M2254" s="16">
        <f t="shared" si="213"/>
        <v>-0.79914141557313367</v>
      </c>
      <c r="N2254">
        <f t="shared" si="214"/>
        <v>0</v>
      </c>
      <c r="O2254">
        <f t="shared" si="215"/>
        <v>0</v>
      </c>
      <c r="P2254">
        <f t="shared" si="212"/>
        <v>4100</v>
      </c>
      <c r="Q2254">
        <f t="shared" si="216"/>
        <v>4100</v>
      </c>
      <c r="T2254" s="16">
        <f t="shared" si="217"/>
        <v>-0.79914141557313401</v>
      </c>
    </row>
    <row r="2255" spans="7:20" ht="14.4" x14ac:dyDescent="0.25">
      <c r="G2255" s="10">
        <v>4062</v>
      </c>
      <c r="H2255" s="9">
        <v>28932</v>
      </c>
      <c r="I2255" s="14">
        <f>DATE(2012,12,31)-894</f>
        <v>40380</v>
      </c>
      <c r="J2255" s="15" t="s">
        <v>25</v>
      </c>
      <c r="K2255" s="9">
        <v>24</v>
      </c>
      <c r="L2255" s="16" t="s">
        <v>29</v>
      </c>
      <c r="M2255" s="16">
        <f t="shared" si="213"/>
        <v>-0.1085436493809193</v>
      </c>
      <c r="N2255">
        <f t="shared" si="214"/>
        <v>0</v>
      </c>
      <c r="O2255">
        <f t="shared" si="215"/>
        <v>0</v>
      </c>
      <c r="P2255">
        <f t="shared" si="212"/>
        <v>4600</v>
      </c>
      <c r="Q2255">
        <f t="shared" si="216"/>
        <v>4600</v>
      </c>
      <c r="T2255" s="16">
        <f t="shared" si="217"/>
        <v>-0.10854364938091969</v>
      </c>
    </row>
    <row r="2256" spans="7:20" ht="14.4" x14ac:dyDescent="0.25">
      <c r="G2256" s="10">
        <v>4063</v>
      </c>
      <c r="H2256" s="9">
        <v>28932</v>
      </c>
      <c r="I2256" s="14">
        <f>DATE(2012,12,31)-894</f>
        <v>40380</v>
      </c>
      <c r="J2256" s="15" t="s">
        <v>25</v>
      </c>
      <c r="K2256" s="9">
        <v>18</v>
      </c>
      <c r="L2256" s="16" t="s">
        <v>26</v>
      </c>
      <c r="M2256" s="16">
        <f t="shared" si="213"/>
        <v>-0.52290230909624791</v>
      </c>
      <c r="N2256">
        <f t="shared" si="214"/>
        <v>0</v>
      </c>
      <c r="O2256">
        <f t="shared" si="215"/>
        <v>0</v>
      </c>
      <c r="P2256">
        <f t="shared" si="212"/>
        <v>4300</v>
      </c>
      <c r="Q2256">
        <f t="shared" si="216"/>
        <v>4300</v>
      </c>
      <c r="T2256" s="16">
        <f t="shared" si="217"/>
        <v>-0.52290230909624835</v>
      </c>
    </row>
    <row r="2257" spans="7:20" ht="14.4" x14ac:dyDescent="0.25">
      <c r="G2257" s="10">
        <v>4105</v>
      </c>
      <c r="H2257" s="9">
        <v>29219</v>
      </c>
      <c r="I2257" s="14">
        <f>DATE(2012,12,31)-1361</f>
        <v>39913</v>
      </c>
      <c r="J2257" s="15" t="s">
        <v>28</v>
      </c>
      <c r="K2257" s="9">
        <v>29</v>
      </c>
      <c r="L2257" s="16" t="s">
        <v>26</v>
      </c>
      <c r="M2257" s="16">
        <f t="shared" si="213"/>
        <v>0.23675523371518786</v>
      </c>
      <c r="N2257">
        <f t="shared" si="214"/>
        <v>0</v>
      </c>
      <c r="O2257">
        <f t="shared" si="215"/>
        <v>0</v>
      </c>
      <c r="P2257">
        <f t="shared" si="212"/>
        <v>4850</v>
      </c>
      <c r="Q2257">
        <f t="shared" si="216"/>
        <v>4850</v>
      </c>
      <c r="T2257" s="16">
        <f t="shared" si="217"/>
        <v>0.2367552337151875</v>
      </c>
    </row>
    <row r="2258" spans="7:20" ht="14.4" x14ac:dyDescent="0.25">
      <c r="G2258" s="10">
        <v>4145</v>
      </c>
      <c r="H2258" s="9">
        <v>29410</v>
      </c>
      <c r="I2258" s="14">
        <f>DATE(2012,12,31)-1201</f>
        <v>40073</v>
      </c>
      <c r="J2258" s="15" t="s">
        <v>30</v>
      </c>
      <c r="K2258" s="9">
        <v>35</v>
      </c>
      <c r="L2258" s="16" t="s">
        <v>27</v>
      </c>
      <c r="M2258" s="16">
        <f t="shared" si="213"/>
        <v>0.65111389343051651</v>
      </c>
      <c r="N2258">
        <f t="shared" si="214"/>
        <v>0</v>
      </c>
      <c r="O2258">
        <f t="shared" si="215"/>
        <v>0</v>
      </c>
      <c r="P2258">
        <f t="shared" si="212"/>
        <v>5150</v>
      </c>
      <c r="Q2258">
        <f t="shared" si="216"/>
        <v>5150</v>
      </c>
      <c r="T2258" s="16">
        <f t="shared" si="217"/>
        <v>0.65111389343051607</v>
      </c>
    </row>
    <row r="2259" spans="7:20" ht="14.4" x14ac:dyDescent="0.25">
      <c r="G2259" s="10">
        <v>4146</v>
      </c>
      <c r="H2259" s="9">
        <v>29410</v>
      </c>
      <c r="I2259" s="14">
        <f>DATE(2012,12,31)-1201</f>
        <v>40073</v>
      </c>
      <c r="J2259" s="15" t="s">
        <v>30</v>
      </c>
      <c r="K2259" s="9">
        <v>36</v>
      </c>
      <c r="L2259" s="16" t="s">
        <v>27</v>
      </c>
      <c r="M2259" s="16">
        <f t="shared" si="213"/>
        <v>0.72017367004973787</v>
      </c>
      <c r="N2259">
        <f t="shared" si="214"/>
        <v>0</v>
      </c>
      <c r="O2259">
        <f t="shared" si="215"/>
        <v>0</v>
      </c>
      <c r="P2259">
        <f t="shared" si="212"/>
        <v>5200</v>
      </c>
      <c r="Q2259">
        <f t="shared" si="216"/>
        <v>5200</v>
      </c>
      <c r="T2259" s="16">
        <f t="shared" si="217"/>
        <v>0.72017367004973754</v>
      </c>
    </row>
    <row r="2260" spans="7:20" ht="14.4" x14ac:dyDescent="0.25">
      <c r="G2260" s="10">
        <v>4147</v>
      </c>
      <c r="H2260" s="9">
        <v>29411</v>
      </c>
      <c r="I2260" s="14">
        <f>DATE(2012,12,31)-269</f>
        <v>41005</v>
      </c>
      <c r="J2260" s="15" t="s">
        <v>17</v>
      </c>
      <c r="K2260" s="9">
        <v>29</v>
      </c>
      <c r="L2260" s="16" t="s">
        <v>26</v>
      </c>
      <c r="M2260" s="16">
        <f t="shared" si="213"/>
        <v>0.23675523371518786</v>
      </c>
      <c r="N2260">
        <f t="shared" si="214"/>
        <v>0</v>
      </c>
      <c r="O2260">
        <f t="shared" si="215"/>
        <v>0</v>
      </c>
      <c r="P2260">
        <f t="shared" si="212"/>
        <v>4850</v>
      </c>
      <c r="Q2260">
        <f t="shared" si="216"/>
        <v>4850</v>
      </c>
      <c r="T2260" s="16">
        <f t="shared" si="217"/>
        <v>0.2367552337151875</v>
      </c>
    </row>
    <row r="2261" spans="7:20" ht="14.4" x14ac:dyDescent="0.25">
      <c r="G2261" s="10">
        <v>4148</v>
      </c>
      <c r="H2261" s="9">
        <v>29411</v>
      </c>
      <c r="I2261" s="14">
        <f>DATE(2012,12,31)-269</f>
        <v>41005</v>
      </c>
      <c r="J2261" s="15" t="s">
        <v>17</v>
      </c>
      <c r="K2261" s="9">
        <v>33</v>
      </c>
      <c r="L2261" s="16" t="s">
        <v>26</v>
      </c>
      <c r="M2261" s="16">
        <f t="shared" si="213"/>
        <v>0.51299434019207357</v>
      </c>
      <c r="N2261">
        <f t="shared" si="214"/>
        <v>0</v>
      </c>
      <c r="O2261">
        <f t="shared" si="215"/>
        <v>0</v>
      </c>
      <c r="P2261">
        <f t="shared" si="212"/>
        <v>5050</v>
      </c>
      <c r="Q2261">
        <f t="shared" si="216"/>
        <v>5050</v>
      </c>
      <c r="T2261" s="16">
        <f t="shared" si="217"/>
        <v>0.51299434019207324</v>
      </c>
    </row>
    <row r="2262" spans="7:20" ht="14.4" x14ac:dyDescent="0.25">
      <c r="G2262" s="10">
        <v>4149</v>
      </c>
      <c r="H2262" s="9">
        <v>29411</v>
      </c>
      <c r="I2262" s="14">
        <f>DATE(2012,12,31)-269</f>
        <v>41005</v>
      </c>
      <c r="J2262" s="15" t="s">
        <v>17</v>
      </c>
      <c r="K2262" s="9">
        <v>38</v>
      </c>
      <c r="L2262" s="16" t="s">
        <v>27</v>
      </c>
      <c r="M2262" s="16">
        <f t="shared" si="213"/>
        <v>0.85829322328818081</v>
      </c>
      <c r="N2262">
        <f t="shared" si="214"/>
        <v>0</v>
      </c>
      <c r="O2262">
        <f t="shared" si="215"/>
        <v>0</v>
      </c>
      <c r="P2262">
        <f t="shared" si="212"/>
        <v>5300</v>
      </c>
      <c r="Q2262">
        <f t="shared" si="216"/>
        <v>5300</v>
      </c>
      <c r="T2262" s="16">
        <f t="shared" si="217"/>
        <v>0.85829322328818036</v>
      </c>
    </row>
    <row r="2263" spans="7:20" ht="14.4" x14ac:dyDescent="0.25">
      <c r="G2263" s="10">
        <v>4150</v>
      </c>
      <c r="H2263" s="9">
        <v>29411</v>
      </c>
      <c r="I2263" s="14">
        <f>DATE(2012,12,31)-269</f>
        <v>41005</v>
      </c>
      <c r="J2263" s="15" t="s">
        <v>17</v>
      </c>
      <c r="K2263" s="9">
        <v>45</v>
      </c>
      <c r="L2263" s="16" t="s">
        <v>27</v>
      </c>
      <c r="M2263" s="16">
        <f t="shared" si="213"/>
        <v>1.3417116596227308</v>
      </c>
      <c r="N2263">
        <f t="shared" si="214"/>
        <v>0</v>
      </c>
      <c r="O2263">
        <f t="shared" si="215"/>
        <v>0</v>
      </c>
      <c r="P2263">
        <f t="shared" si="212"/>
        <v>5650</v>
      </c>
      <c r="Q2263">
        <f t="shared" si="216"/>
        <v>5650</v>
      </c>
      <c r="T2263" s="16">
        <f t="shared" si="217"/>
        <v>1.3417116596227305</v>
      </c>
    </row>
    <row r="2264" spans="7:20" ht="14.4" x14ac:dyDescent="0.25">
      <c r="G2264" s="10">
        <v>4154</v>
      </c>
      <c r="H2264" s="9">
        <v>29475</v>
      </c>
      <c r="I2264" s="14">
        <f>DATE(2012,12,31)-1043</f>
        <v>40231</v>
      </c>
      <c r="J2264" s="15" t="s">
        <v>17</v>
      </c>
      <c r="K2264" s="9">
        <v>49</v>
      </c>
      <c r="L2264" s="16" t="s">
        <v>29</v>
      </c>
      <c r="M2264" s="16">
        <f t="shared" si="213"/>
        <v>1.6179507660996166</v>
      </c>
      <c r="N2264">
        <f t="shared" si="214"/>
        <v>0</v>
      </c>
      <c r="O2264">
        <f t="shared" si="215"/>
        <v>0</v>
      </c>
      <c r="P2264">
        <f t="shared" si="212"/>
        <v>5850</v>
      </c>
      <c r="Q2264">
        <f t="shared" si="216"/>
        <v>5850</v>
      </c>
      <c r="T2264" s="16">
        <f t="shared" si="217"/>
        <v>1.6179507660996162</v>
      </c>
    </row>
    <row r="2265" spans="7:20" ht="14.4" x14ac:dyDescent="0.25">
      <c r="G2265" s="10">
        <v>4155</v>
      </c>
      <c r="H2265" s="9">
        <v>29475</v>
      </c>
      <c r="I2265" s="14">
        <f>DATE(2012,12,31)-1043</f>
        <v>40231</v>
      </c>
      <c r="J2265" s="15" t="s">
        <v>17</v>
      </c>
      <c r="K2265" s="9">
        <v>2</v>
      </c>
      <c r="L2265" s="16" t="s">
        <v>29</v>
      </c>
      <c r="M2265" s="16">
        <f t="shared" si="213"/>
        <v>-1.627858735003791</v>
      </c>
      <c r="N2265">
        <f t="shared" si="214"/>
        <v>0</v>
      </c>
      <c r="O2265">
        <f t="shared" si="215"/>
        <v>0</v>
      </c>
      <c r="P2265">
        <f t="shared" si="212"/>
        <v>3500</v>
      </c>
      <c r="Q2265">
        <f t="shared" si="216"/>
        <v>3500</v>
      </c>
      <c r="T2265" s="16">
        <f t="shared" si="217"/>
        <v>-1.6278587350037912</v>
      </c>
    </row>
    <row r="2266" spans="7:20" ht="14.4" x14ac:dyDescent="0.25">
      <c r="G2266" s="10">
        <v>4168</v>
      </c>
      <c r="H2266" s="9">
        <v>29537</v>
      </c>
      <c r="I2266" s="14">
        <f>DATE(2012,12,31)-103</f>
        <v>41171</v>
      </c>
      <c r="J2266" s="15" t="s">
        <v>25</v>
      </c>
      <c r="K2266" s="9">
        <v>30</v>
      </c>
      <c r="L2266" s="16" t="s">
        <v>26</v>
      </c>
      <c r="M2266" s="16">
        <f t="shared" si="213"/>
        <v>0.30581501033440933</v>
      </c>
      <c r="N2266">
        <f t="shared" si="214"/>
        <v>0</v>
      </c>
      <c r="O2266">
        <f t="shared" si="215"/>
        <v>0</v>
      </c>
      <c r="P2266">
        <f t="shared" si="212"/>
        <v>4900</v>
      </c>
      <c r="Q2266">
        <f t="shared" si="216"/>
        <v>4900</v>
      </c>
      <c r="T2266" s="16">
        <f t="shared" si="217"/>
        <v>0.30581501033440894</v>
      </c>
    </row>
    <row r="2267" spans="7:20" ht="14.4" x14ac:dyDescent="0.25">
      <c r="G2267" s="10">
        <v>4181</v>
      </c>
      <c r="H2267" s="9">
        <v>29671</v>
      </c>
      <c r="I2267" s="14">
        <f>DATE(2012,12,31)-1015</f>
        <v>40259</v>
      </c>
      <c r="J2267" s="15" t="s">
        <v>30</v>
      </c>
      <c r="K2267" s="9">
        <v>43</v>
      </c>
      <c r="L2267" s="16" t="s">
        <v>26</v>
      </c>
      <c r="M2267" s="16">
        <f t="shared" si="213"/>
        <v>1.203592106384288</v>
      </c>
      <c r="N2267">
        <f t="shared" si="214"/>
        <v>0</v>
      </c>
      <c r="O2267">
        <f t="shared" si="215"/>
        <v>0</v>
      </c>
      <c r="P2267">
        <f t="shared" si="212"/>
        <v>5550</v>
      </c>
      <c r="Q2267">
        <f t="shared" si="216"/>
        <v>5550</v>
      </c>
      <c r="T2267" s="16">
        <f t="shared" si="217"/>
        <v>1.2035921063842876</v>
      </c>
    </row>
    <row r="2268" spans="7:20" ht="14.4" x14ac:dyDescent="0.25">
      <c r="G2268" s="10">
        <v>4208</v>
      </c>
      <c r="H2268" s="9">
        <v>29895</v>
      </c>
      <c r="I2268" s="14">
        <f>DATE(2012,12,31)-803</f>
        <v>40471</v>
      </c>
      <c r="J2268" s="15" t="s">
        <v>16</v>
      </c>
      <c r="K2268" s="9">
        <v>43</v>
      </c>
      <c r="L2268" s="16" t="s">
        <v>29</v>
      </c>
      <c r="M2268" s="16">
        <f t="shared" si="213"/>
        <v>1.203592106384288</v>
      </c>
      <c r="N2268">
        <f t="shared" si="214"/>
        <v>0</v>
      </c>
      <c r="O2268">
        <f t="shared" si="215"/>
        <v>0</v>
      </c>
      <c r="P2268">
        <f t="shared" si="212"/>
        <v>5550</v>
      </c>
      <c r="Q2268">
        <f t="shared" si="216"/>
        <v>5550</v>
      </c>
      <c r="T2268" s="16">
        <f t="shared" si="217"/>
        <v>1.2035921063842876</v>
      </c>
    </row>
    <row r="2269" spans="7:20" ht="14.4" x14ac:dyDescent="0.25">
      <c r="G2269" s="10">
        <v>4256</v>
      </c>
      <c r="H2269" s="9">
        <v>30308</v>
      </c>
      <c r="I2269" s="14">
        <f>DATE(2012,12,31)-1016</f>
        <v>40258</v>
      </c>
      <c r="J2269" s="15" t="s">
        <v>16</v>
      </c>
      <c r="K2269" s="9">
        <v>15</v>
      </c>
      <c r="L2269" s="16" t="s">
        <v>26</v>
      </c>
      <c r="M2269" s="16">
        <f t="shared" si="213"/>
        <v>-0.7300816389539122</v>
      </c>
      <c r="N2269">
        <f t="shared" si="214"/>
        <v>0</v>
      </c>
      <c r="O2269">
        <f t="shared" si="215"/>
        <v>0</v>
      </c>
      <c r="P2269">
        <f t="shared" si="212"/>
        <v>4150</v>
      </c>
      <c r="Q2269">
        <f t="shared" si="216"/>
        <v>4150</v>
      </c>
      <c r="T2269" s="16">
        <f t="shared" si="217"/>
        <v>-0.73008163895391265</v>
      </c>
    </row>
    <row r="2270" spans="7:20" ht="14.4" x14ac:dyDescent="0.25">
      <c r="G2270" s="10">
        <v>4277</v>
      </c>
      <c r="H2270" s="9">
        <v>30436</v>
      </c>
      <c r="I2270" s="14">
        <f>DATE(2012,12,31)-177</f>
        <v>41097</v>
      </c>
      <c r="J2270" s="15" t="s">
        <v>25</v>
      </c>
      <c r="K2270" s="9">
        <v>30</v>
      </c>
      <c r="L2270" s="16" t="s">
        <v>26</v>
      </c>
      <c r="M2270" s="16">
        <f t="shared" si="213"/>
        <v>0.30581501033440933</v>
      </c>
      <c r="N2270">
        <f t="shared" si="214"/>
        <v>0</v>
      </c>
      <c r="O2270">
        <f t="shared" si="215"/>
        <v>0</v>
      </c>
      <c r="P2270">
        <f t="shared" si="212"/>
        <v>4900</v>
      </c>
      <c r="Q2270">
        <f t="shared" si="216"/>
        <v>4900</v>
      </c>
      <c r="T2270" s="16">
        <f t="shared" si="217"/>
        <v>0.30581501033440894</v>
      </c>
    </row>
    <row r="2271" spans="7:20" ht="14.4" x14ac:dyDescent="0.25">
      <c r="G2271" s="10">
        <v>4326</v>
      </c>
      <c r="H2271" s="9">
        <v>30820</v>
      </c>
      <c r="I2271" s="14">
        <f>DATE(2012,12,31)-632</f>
        <v>40642</v>
      </c>
      <c r="J2271" s="15" t="s">
        <v>30</v>
      </c>
      <c r="K2271" s="9">
        <v>21</v>
      </c>
      <c r="L2271" s="16" t="s">
        <v>26</v>
      </c>
      <c r="M2271" s="16">
        <f t="shared" si="213"/>
        <v>-0.31572297923858361</v>
      </c>
      <c r="N2271">
        <f t="shared" si="214"/>
        <v>0</v>
      </c>
      <c r="O2271">
        <f t="shared" si="215"/>
        <v>0</v>
      </c>
      <c r="P2271">
        <f t="shared" si="212"/>
        <v>4450</v>
      </c>
      <c r="Q2271">
        <f t="shared" si="216"/>
        <v>4450</v>
      </c>
      <c r="T2271" s="16">
        <f t="shared" si="217"/>
        <v>-0.315722979238584</v>
      </c>
    </row>
    <row r="2272" spans="7:20" ht="14.4" x14ac:dyDescent="0.25">
      <c r="G2272" s="10">
        <v>4357</v>
      </c>
      <c r="H2272" s="9">
        <v>31046</v>
      </c>
      <c r="I2272" s="14">
        <f>DATE(2012,12,31)-693</f>
        <v>40581</v>
      </c>
      <c r="J2272" s="15" t="s">
        <v>30</v>
      </c>
      <c r="K2272" s="9">
        <v>42</v>
      </c>
      <c r="L2272" s="16" t="s">
        <v>27</v>
      </c>
      <c r="M2272" s="16">
        <f t="shared" si="213"/>
        <v>1.1345323297650665</v>
      </c>
      <c r="N2272">
        <f t="shared" si="214"/>
        <v>0</v>
      </c>
      <c r="O2272">
        <f t="shared" si="215"/>
        <v>0</v>
      </c>
      <c r="P2272">
        <f t="shared" si="212"/>
        <v>5500</v>
      </c>
      <c r="Q2272">
        <f t="shared" si="216"/>
        <v>5500</v>
      </c>
      <c r="T2272" s="16">
        <f t="shared" si="217"/>
        <v>1.1345323297650662</v>
      </c>
    </row>
    <row r="2273" spans="7:20" ht="14.4" x14ac:dyDescent="0.25">
      <c r="G2273" s="10">
        <v>4358</v>
      </c>
      <c r="H2273" s="9">
        <v>31046</v>
      </c>
      <c r="I2273" s="14">
        <f>DATE(2012,12,31)-693</f>
        <v>40581</v>
      </c>
      <c r="J2273" s="15" t="s">
        <v>30</v>
      </c>
      <c r="K2273" s="9">
        <v>35</v>
      </c>
      <c r="L2273" s="16" t="s">
        <v>26</v>
      </c>
      <c r="M2273" s="16">
        <f t="shared" si="213"/>
        <v>0.65111389343051651</v>
      </c>
      <c r="N2273">
        <f t="shared" si="214"/>
        <v>0</v>
      </c>
      <c r="O2273">
        <f t="shared" si="215"/>
        <v>0</v>
      </c>
      <c r="P2273">
        <f t="shared" si="212"/>
        <v>5150</v>
      </c>
      <c r="Q2273">
        <f t="shared" si="216"/>
        <v>5150</v>
      </c>
      <c r="T2273" s="16">
        <f t="shared" si="217"/>
        <v>0.65111389343051607</v>
      </c>
    </row>
    <row r="2274" spans="7:20" ht="14.4" x14ac:dyDescent="0.25">
      <c r="G2274" s="10">
        <v>4396</v>
      </c>
      <c r="H2274" s="9">
        <v>31301</v>
      </c>
      <c r="I2274" s="14">
        <f>DATE(2012,12,31)-805</f>
        <v>40469</v>
      </c>
      <c r="J2274" s="15" t="s">
        <v>25</v>
      </c>
      <c r="K2274" s="9">
        <v>31</v>
      </c>
      <c r="L2274" s="16" t="s">
        <v>26</v>
      </c>
      <c r="M2274" s="16">
        <f t="shared" si="213"/>
        <v>0.37487478695363075</v>
      </c>
      <c r="N2274">
        <f t="shared" si="214"/>
        <v>0</v>
      </c>
      <c r="O2274">
        <f t="shared" si="215"/>
        <v>0</v>
      </c>
      <c r="P2274">
        <f t="shared" si="212"/>
        <v>4950</v>
      </c>
      <c r="Q2274">
        <f t="shared" si="216"/>
        <v>4950</v>
      </c>
      <c r="T2274" s="16">
        <f t="shared" si="217"/>
        <v>0.37487478695363036</v>
      </c>
    </row>
    <row r="2275" spans="7:20" ht="14.4" x14ac:dyDescent="0.25">
      <c r="G2275" s="10">
        <v>4415</v>
      </c>
      <c r="H2275" s="9">
        <v>31495</v>
      </c>
      <c r="I2275" s="14">
        <f>DATE(2012,12,31)-880</f>
        <v>40394</v>
      </c>
      <c r="J2275" s="15" t="s">
        <v>25</v>
      </c>
      <c r="K2275" s="9">
        <v>20</v>
      </c>
      <c r="L2275" s="16" t="s">
        <v>26</v>
      </c>
      <c r="M2275" s="16">
        <f t="shared" si="213"/>
        <v>-0.38478275585780503</v>
      </c>
      <c r="N2275">
        <f t="shared" si="214"/>
        <v>0</v>
      </c>
      <c r="O2275">
        <f t="shared" si="215"/>
        <v>0</v>
      </c>
      <c r="P2275">
        <f t="shared" si="212"/>
        <v>4400</v>
      </c>
      <c r="Q2275">
        <f t="shared" si="216"/>
        <v>4400</v>
      </c>
      <c r="T2275" s="16">
        <f t="shared" si="217"/>
        <v>-0.38478275585780541</v>
      </c>
    </row>
    <row r="2276" spans="7:20" ht="14.4" x14ac:dyDescent="0.25">
      <c r="G2276" s="10">
        <v>4416</v>
      </c>
      <c r="H2276" s="9">
        <v>31495</v>
      </c>
      <c r="I2276" s="14">
        <f>DATE(2012,12,31)-880</f>
        <v>40394</v>
      </c>
      <c r="J2276" s="15" t="s">
        <v>25</v>
      </c>
      <c r="K2276" s="9">
        <v>34</v>
      </c>
      <c r="L2276" s="16" t="s">
        <v>26</v>
      </c>
      <c r="M2276" s="16">
        <f t="shared" si="213"/>
        <v>0.58205411681129504</v>
      </c>
      <c r="N2276">
        <f t="shared" si="214"/>
        <v>0</v>
      </c>
      <c r="O2276">
        <f t="shared" si="215"/>
        <v>0</v>
      </c>
      <c r="P2276">
        <f t="shared" si="212"/>
        <v>5100</v>
      </c>
      <c r="Q2276">
        <f t="shared" si="216"/>
        <v>5100</v>
      </c>
      <c r="T2276" s="16">
        <f t="shared" si="217"/>
        <v>0.58205411681129471</v>
      </c>
    </row>
    <row r="2277" spans="7:20" ht="14.4" x14ac:dyDescent="0.25">
      <c r="G2277" s="10">
        <v>4420</v>
      </c>
      <c r="H2277" s="9">
        <v>31523</v>
      </c>
      <c r="I2277" s="14">
        <f>DATE(2012,12,31)-298</f>
        <v>40976</v>
      </c>
      <c r="J2277" s="15" t="s">
        <v>25</v>
      </c>
      <c r="K2277" s="9">
        <v>17</v>
      </c>
      <c r="L2277" s="16" t="s">
        <v>27</v>
      </c>
      <c r="M2277" s="16">
        <f t="shared" si="213"/>
        <v>-0.59196208571546938</v>
      </c>
      <c r="N2277">
        <f t="shared" si="214"/>
        <v>0</v>
      </c>
      <c r="O2277">
        <f t="shared" si="215"/>
        <v>0</v>
      </c>
      <c r="P2277">
        <f t="shared" si="212"/>
        <v>4250</v>
      </c>
      <c r="Q2277">
        <f t="shared" si="216"/>
        <v>4250</v>
      </c>
      <c r="T2277" s="16">
        <f t="shared" si="217"/>
        <v>-0.59196208571546971</v>
      </c>
    </row>
    <row r="2278" spans="7:20" ht="14.4" x14ac:dyDescent="0.25">
      <c r="G2278" s="10">
        <v>4421</v>
      </c>
      <c r="H2278" s="9">
        <v>31523</v>
      </c>
      <c r="I2278" s="14">
        <f>DATE(2012,12,31)-298</f>
        <v>40976</v>
      </c>
      <c r="J2278" s="15" t="s">
        <v>25</v>
      </c>
      <c r="K2278" s="9">
        <v>19</v>
      </c>
      <c r="L2278" s="16" t="s">
        <v>26</v>
      </c>
      <c r="M2278" s="16">
        <f t="shared" si="213"/>
        <v>-0.45384253247702649</v>
      </c>
      <c r="N2278">
        <f t="shared" si="214"/>
        <v>0</v>
      </c>
      <c r="O2278">
        <f t="shared" si="215"/>
        <v>0</v>
      </c>
      <c r="P2278">
        <f t="shared" si="212"/>
        <v>4350</v>
      </c>
      <c r="Q2278">
        <f t="shared" si="216"/>
        <v>4350</v>
      </c>
      <c r="T2278" s="16">
        <f t="shared" si="217"/>
        <v>-0.45384253247702688</v>
      </c>
    </row>
    <row r="2279" spans="7:20" ht="14.4" x14ac:dyDescent="0.25">
      <c r="G2279" s="10">
        <v>4423</v>
      </c>
      <c r="H2279" s="9">
        <v>31552</v>
      </c>
      <c r="I2279" s="14">
        <f>DATE(2012,12,31)-50</f>
        <v>41224</v>
      </c>
      <c r="J2279" s="15" t="s">
        <v>17</v>
      </c>
      <c r="K2279" s="9">
        <v>17</v>
      </c>
      <c r="L2279" s="16" t="s">
        <v>27</v>
      </c>
      <c r="M2279" s="16">
        <f t="shared" si="213"/>
        <v>-0.59196208571546938</v>
      </c>
      <c r="N2279">
        <f t="shared" si="214"/>
        <v>0</v>
      </c>
      <c r="O2279">
        <f t="shared" si="215"/>
        <v>0</v>
      </c>
      <c r="P2279">
        <f t="shared" si="212"/>
        <v>4250</v>
      </c>
      <c r="Q2279">
        <f t="shared" si="216"/>
        <v>4250</v>
      </c>
      <c r="T2279" s="16">
        <f t="shared" si="217"/>
        <v>-0.59196208571546971</v>
      </c>
    </row>
    <row r="2280" spans="7:20" ht="14.4" x14ac:dyDescent="0.25">
      <c r="G2280" s="10">
        <v>4424</v>
      </c>
      <c r="H2280" s="9">
        <v>31552</v>
      </c>
      <c r="I2280" s="14">
        <f>DATE(2012,12,31)-50</f>
        <v>41224</v>
      </c>
      <c r="J2280" s="15" t="s">
        <v>17</v>
      </c>
      <c r="K2280" s="9">
        <v>24</v>
      </c>
      <c r="L2280" s="16" t="s">
        <v>27</v>
      </c>
      <c r="M2280" s="16">
        <f t="shared" si="213"/>
        <v>-0.1085436493809193</v>
      </c>
      <c r="N2280">
        <f t="shared" si="214"/>
        <v>0</v>
      </c>
      <c r="O2280">
        <f t="shared" si="215"/>
        <v>0</v>
      </c>
      <c r="P2280">
        <f t="shared" si="212"/>
        <v>4600</v>
      </c>
      <c r="Q2280">
        <f t="shared" si="216"/>
        <v>4600</v>
      </c>
      <c r="T2280" s="16">
        <f t="shared" si="217"/>
        <v>-0.10854364938091969</v>
      </c>
    </row>
    <row r="2281" spans="7:20" ht="14.4" x14ac:dyDescent="0.25">
      <c r="G2281" s="10">
        <v>4480</v>
      </c>
      <c r="H2281" s="9">
        <v>31877</v>
      </c>
      <c r="I2281" s="14">
        <f>DATE(2012,12,31)-1281</f>
        <v>39993</v>
      </c>
      <c r="J2281" s="15" t="s">
        <v>16</v>
      </c>
      <c r="K2281" s="9">
        <v>34</v>
      </c>
      <c r="L2281" s="16" t="s">
        <v>29</v>
      </c>
      <c r="M2281" s="16">
        <f t="shared" si="213"/>
        <v>0.58205411681129504</v>
      </c>
      <c r="N2281">
        <f t="shared" si="214"/>
        <v>0</v>
      </c>
      <c r="O2281">
        <f t="shared" si="215"/>
        <v>0</v>
      </c>
      <c r="P2281">
        <f t="shared" si="212"/>
        <v>5100</v>
      </c>
      <c r="Q2281">
        <f t="shared" si="216"/>
        <v>5100</v>
      </c>
      <c r="T2281" s="16">
        <f t="shared" si="217"/>
        <v>0.58205411681129471</v>
      </c>
    </row>
    <row r="2282" spans="7:20" ht="14.4" x14ac:dyDescent="0.25">
      <c r="G2282" s="10">
        <v>4501</v>
      </c>
      <c r="H2282" s="9">
        <v>32037</v>
      </c>
      <c r="I2282" s="14">
        <f>DATE(2012,12,31)-1414</f>
        <v>39860</v>
      </c>
      <c r="J2282" s="15" t="s">
        <v>25</v>
      </c>
      <c r="K2282" s="9">
        <v>37</v>
      </c>
      <c r="L2282" s="16" t="s">
        <v>26</v>
      </c>
      <c r="M2282" s="16">
        <f t="shared" si="213"/>
        <v>0.78923344666895934</v>
      </c>
      <c r="N2282">
        <f t="shared" si="214"/>
        <v>0</v>
      </c>
      <c r="O2282">
        <f t="shared" si="215"/>
        <v>0</v>
      </c>
      <c r="P2282">
        <f t="shared" si="212"/>
        <v>5250</v>
      </c>
      <c r="Q2282">
        <f t="shared" si="216"/>
        <v>5250</v>
      </c>
      <c r="T2282" s="16">
        <f t="shared" si="217"/>
        <v>0.789233446668959</v>
      </c>
    </row>
    <row r="2283" spans="7:20" ht="14.4" x14ac:dyDescent="0.25">
      <c r="G2283" s="10">
        <v>4502</v>
      </c>
      <c r="H2283" s="9">
        <v>32037</v>
      </c>
      <c r="I2283" s="14">
        <f>DATE(2012,12,31)-1414</f>
        <v>39860</v>
      </c>
      <c r="J2283" s="15" t="s">
        <v>25</v>
      </c>
      <c r="K2283" s="9">
        <v>15</v>
      </c>
      <c r="L2283" s="16" t="s">
        <v>27</v>
      </c>
      <c r="M2283" s="16">
        <f t="shared" si="213"/>
        <v>-0.7300816389539122</v>
      </c>
      <c r="N2283">
        <f t="shared" si="214"/>
        <v>0</v>
      </c>
      <c r="O2283">
        <f t="shared" si="215"/>
        <v>0</v>
      </c>
      <c r="P2283">
        <f t="shared" si="212"/>
        <v>4150</v>
      </c>
      <c r="Q2283">
        <f t="shared" si="216"/>
        <v>4150</v>
      </c>
      <c r="T2283" s="16">
        <f t="shared" si="217"/>
        <v>-0.73008163895391265</v>
      </c>
    </row>
    <row r="2284" spans="7:20" ht="14.4" x14ac:dyDescent="0.25">
      <c r="G2284" s="10">
        <v>4515</v>
      </c>
      <c r="H2284" s="9">
        <v>32131</v>
      </c>
      <c r="I2284" s="14">
        <f>DATE(2012,12,31)-735</f>
        <v>40539</v>
      </c>
      <c r="J2284" s="15" t="s">
        <v>30</v>
      </c>
      <c r="K2284" s="9">
        <v>34</v>
      </c>
      <c r="L2284" s="16" t="s">
        <v>26</v>
      </c>
      <c r="M2284" s="16">
        <f t="shared" si="213"/>
        <v>0.58205411681129504</v>
      </c>
      <c r="N2284">
        <f t="shared" si="214"/>
        <v>0</v>
      </c>
      <c r="O2284">
        <f t="shared" si="215"/>
        <v>0</v>
      </c>
      <c r="P2284">
        <f t="shared" si="212"/>
        <v>5100</v>
      </c>
      <c r="Q2284">
        <f t="shared" si="216"/>
        <v>5100</v>
      </c>
      <c r="T2284" s="16">
        <f t="shared" si="217"/>
        <v>0.58205411681129471</v>
      </c>
    </row>
    <row r="2285" spans="7:20" ht="14.4" x14ac:dyDescent="0.25">
      <c r="G2285" s="10">
        <v>4516</v>
      </c>
      <c r="H2285" s="9">
        <v>32135</v>
      </c>
      <c r="I2285" s="14">
        <f>DATE(2012,12,31)-767</f>
        <v>40507</v>
      </c>
      <c r="J2285" s="15" t="s">
        <v>17</v>
      </c>
      <c r="K2285" s="9">
        <v>37</v>
      </c>
      <c r="L2285" s="16" t="s">
        <v>27</v>
      </c>
      <c r="M2285" s="16">
        <f t="shared" si="213"/>
        <v>0.78923344666895934</v>
      </c>
      <c r="N2285">
        <f t="shared" si="214"/>
        <v>0</v>
      </c>
      <c r="O2285">
        <f t="shared" si="215"/>
        <v>0</v>
      </c>
      <c r="P2285">
        <f t="shared" si="212"/>
        <v>5250</v>
      </c>
      <c r="Q2285">
        <f t="shared" si="216"/>
        <v>5250</v>
      </c>
      <c r="T2285" s="16">
        <f t="shared" si="217"/>
        <v>0.789233446668959</v>
      </c>
    </row>
    <row r="2286" spans="7:20" ht="14.4" x14ac:dyDescent="0.25">
      <c r="G2286" s="10">
        <v>4517</v>
      </c>
      <c r="H2286" s="9">
        <v>32135</v>
      </c>
      <c r="I2286" s="14">
        <f>DATE(2012,12,31)-767</f>
        <v>40507</v>
      </c>
      <c r="J2286" s="15" t="s">
        <v>17</v>
      </c>
      <c r="K2286" s="9">
        <v>16</v>
      </c>
      <c r="L2286" s="16" t="s">
        <v>27</v>
      </c>
      <c r="M2286" s="16">
        <f t="shared" si="213"/>
        <v>-0.66102186233469074</v>
      </c>
      <c r="N2286">
        <f t="shared" si="214"/>
        <v>0</v>
      </c>
      <c r="O2286">
        <f t="shared" si="215"/>
        <v>0</v>
      </c>
      <c r="P2286">
        <f t="shared" si="212"/>
        <v>4200</v>
      </c>
      <c r="Q2286">
        <f t="shared" si="216"/>
        <v>4200</v>
      </c>
      <c r="T2286" s="16">
        <f t="shared" si="217"/>
        <v>-0.66102186233469118</v>
      </c>
    </row>
    <row r="2287" spans="7:20" ht="14.4" x14ac:dyDescent="0.25">
      <c r="G2287" s="10">
        <v>4526</v>
      </c>
      <c r="H2287" s="9">
        <v>32195</v>
      </c>
      <c r="I2287" s="14">
        <f>DATE(2012,12,31)-1132</f>
        <v>40142</v>
      </c>
      <c r="J2287" s="15" t="s">
        <v>16</v>
      </c>
      <c r="K2287" s="9">
        <v>7</v>
      </c>
      <c r="L2287" s="16" t="s">
        <v>26</v>
      </c>
      <c r="M2287" s="16">
        <f t="shared" si="213"/>
        <v>-1.2825598519076837</v>
      </c>
      <c r="N2287">
        <f t="shared" si="214"/>
        <v>0</v>
      </c>
      <c r="O2287">
        <f t="shared" si="215"/>
        <v>0</v>
      </c>
      <c r="P2287">
        <f t="shared" si="212"/>
        <v>3750</v>
      </c>
      <c r="Q2287">
        <f t="shared" si="216"/>
        <v>3750</v>
      </c>
      <c r="T2287" s="16">
        <f t="shared" si="217"/>
        <v>-1.2825598519076842</v>
      </c>
    </row>
    <row r="2288" spans="7:20" ht="14.4" x14ac:dyDescent="0.25">
      <c r="G2288" s="10">
        <v>4534</v>
      </c>
      <c r="H2288" s="9">
        <v>32230</v>
      </c>
      <c r="I2288" s="14">
        <f>DATE(2012,12,31)-134</f>
        <v>41140</v>
      </c>
      <c r="J2288" s="15" t="s">
        <v>17</v>
      </c>
      <c r="K2288" s="9">
        <v>46</v>
      </c>
      <c r="L2288" s="16" t="s">
        <v>29</v>
      </c>
      <c r="M2288" s="16">
        <f t="shared" si="213"/>
        <v>1.4107714362419523</v>
      </c>
      <c r="N2288">
        <f t="shared" si="214"/>
        <v>0</v>
      </c>
      <c r="O2288">
        <f t="shared" si="215"/>
        <v>0</v>
      </c>
      <c r="P2288">
        <f t="shared" si="212"/>
        <v>5700</v>
      </c>
      <c r="Q2288">
        <f t="shared" si="216"/>
        <v>5700</v>
      </c>
      <c r="T2288" s="16">
        <f t="shared" si="217"/>
        <v>1.4107714362419519</v>
      </c>
    </row>
    <row r="2289" spans="7:20" ht="14.4" x14ac:dyDescent="0.25">
      <c r="G2289" s="10">
        <v>4562</v>
      </c>
      <c r="H2289" s="9">
        <v>32451</v>
      </c>
      <c r="I2289" s="14">
        <f>DATE(2012,12,31)-1378</f>
        <v>39896</v>
      </c>
      <c r="J2289" s="15" t="s">
        <v>28</v>
      </c>
      <c r="K2289" s="9">
        <v>42</v>
      </c>
      <c r="L2289" s="16" t="s">
        <v>26</v>
      </c>
      <c r="M2289" s="16">
        <f t="shared" si="213"/>
        <v>1.1345323297650665</v>
      </c>
      <c r="N2289">
        <f t="shared" si="214"/>
        <v>0</v>
      </c>
      <c r="O2289">
        <f t="shared" si="215"/>
        <v>0</v>
      </c>
      <c r="P2289">
        <f t="shared" si="212"/>
        <v>5500</v>
      </c>
      <c r="Q2289">
        <f t="shared" si="216"/>
        <v>5500</v>
      </c>
      <c r="T2289" s="16">
        <f t="shared" si="217"/>
        <v>1.1345323297650662</v>
      </c>
    </row>
    <row r="2290" spans="7:20" ht="14.4" x14ac:dyDescent="0.25">
      <c r="G2290" s="10">
        <v>4590</v>
      </c>
      <c r="H2290" s="9">
        <v>32642</v>
      </c>
      <c r="I2290" s="14">
        <f>DATE(2012,12,31)-277</f>
        <v>40997</v>
      </c>
      <c r="J2290" s="15" t="s">
        <v>16</v>
      </c>
      <c r="K2290" s="9">
        <v>50</v>
      </c>
      <c r="L2290" s="16" t="s">
        <v>27</v>
      </c>
      <c r="M2290" s="16">
        <f t="shared" si="213"/>
        <v>1.687010542718838</v>
      </c>
      <c r="N2290">
        <f t="shared" si="214"/>
        <v>0</v>
      </c>
      <c r="O2290">
        <f t="shared" si="215"/>
        <v>0</v>
      </c>
      <c r="P2290">
        <f t="shared" si="212"/>
        <v>5900</v>
      </c>
      <c r="Q2290">
        <f t="shared" si="216"/>
        <v>5900</v>
      </c>
      <c r="T2290" s="16">
        <f t="shared" si="217"/>
        <v>1.6870105427188375</v>
      </c>
    </row>
    <row r="2291" spans="7:20" ht="14.4" x14ac:dyDescent="0.25">
      <c r="G2291" s="10">
        <v>4603</v>
      </c>
      <c r="H2291" s="9">
        <v>32803</v>
      </c>
      <c r="I2291" s="14">
        <f>DATE(2012,12,31)-381</f>
        <v>40893</v>
      </c>
      <c r="J2291" s="15" t="s">
        <v>16</v>
      </c>
      <c r="K2291" s="9">
        <v>49</v>
      </c>
      <c r="L2291" s="16" t="s">
        <v>26</v>
      </c>
      <c r="M2291" s="16">
        <f t="shared" si="213"/>
        <v>1.6179507660996166</v>
      </c>
      <c r="N2291">
        <f t="shared" si="214"/>
        <v>0</v>
      </c>
      <c r="O2291">
        <f t="shared" si="215"/>
        <v>0</v>
      </c>
      <c r="P2291">
        <f t="shared" si="212"/>
        <v>5850</v>
      </c>
      <c r="Q2291">
        <f t="shared" si="216"/>
        <v>5850</v>
      </c>
      <c r="T2291" s="16">
        <f t="shared" si="217"/>
        <v>1.6179507660996162</v>
      </c>
    </row>
    <row r="2292" spans="7:20" ht="14.4" x14ac:dyDescent="0.25">
      <c r="G2292" s="10">
        <v>4604</v>
      </c>
      <c r="H2292" s="9">
        <v>32803</v>
      </c>
      <c r="I2292" s="14">
        <f>DATE(2012,12,31)-381</f>
        <v>40893</v>
      </c>
      <c r="J2292" s="15" t="s">
        <v>16</v>
      </c>
      <c r="K2292" s="9">
        <v>22</v>
      </c>
      <c r="L2292" s="16" t="s">
        <v>26</v>
      </c>
      <c r="M2292" s="16">
        <f t="shared" si="213"/>
        <v>-0.24666320261936217</v>
      </c>
      <c r="N2292">
        <f t="shared" si="214"/>
        <v>0</v>
      </c>
      <c r="O2292">
        <f t="shared" si="215"/>
        <v>0</v>
      </c>
      <c r="P2292">
        <f t="shared" si="212"/>
        <v>4500</v>
      </c>
      <c r="Q2292">
        <f t="shared" si="216"/>
        <v>4500</v>
      </c>
      <c r="T2292" s="16">
        <f t="shared" si="217"/>
        <v>-0.24666320261936256</v>
      </c>
    </row>
    <row r="2293" spans="7:20" ht="14.4" x14ac:dyDescent="0.25">
      <c r="G2293" s="10">
        <v>4610</v>
      </c>
      <c r="H2293" s="9">
        <v>32834</v>
      </c>
      <c r="I2293" s="14">
        <f>DATE(2012,12,31)-857</f>
        <v>40417</v>
      </c>
      <c r="J2293" s="15" t="s">
        <v>30</v>
      </c>
      <c r="K2293" s="9">
        <v>39</v>
      </c>
      <c r="L2293" s="16" t="s">
        <v>27</v>
      </c>
      <c r="M2293" s="16">
        <f t="shared" si="213"/>
        <v>0.92735299990740228</v>
      </c>
      <c r="N2293">
        <f t="shared" si="214"/>
        <v>0</v>
      </c>
      <c r="O2293">
        <f t="shared" si="215"/>
        <v>0</v>
      </c>
      <c r="P2293">
        <f t="shared" si="212"/>
        <v>5350</v>
      </c>
      <c r="Q2293">
        <f t="shared" si="216"/>
        <v>5350</v>
      </c>
      <c r="T2293" s="16">
        <f t="shared" si="217"/>
        <v>0.92735299990740183</v>
      </c>
    </row>
    <row r="2294" spans="7:20" ht="14.4" x14ac:dyDescent="0.25">
      <c r="G2294" s="10">
        <v>4666</v>
      </c>
      <c r="H2294" s="9">
        <v>33219</v>
      </c>
      <c r="I2294" s="14">
        <f>DATE(2012,12,31)-387</f>
        <v>40887</v>
      </c>
      <c r="J2294" s="15" t="s">
        <v>17</v>
      </c>
      <c r="K2294" s="9">
        <v>32</v>
      </c>
      <c r="L2294" s="16" t="s">
        <v>29</v>
      </c>
      <c r="M2294" s="16">
        <f t="shared" si="213"/>
        <v>0.44393456357285216</v>
      </c>
      <c r="N2294">
        <f t="shared" si="214"/>
        <v>0</v>
      </c>
      <c r="O2294">
        <f t="shared" si="215"/>
        <v>0</v>
      </c>
      <c r="P2294">
        <f t="shared" si="212"/>
        <v>5000</v>
      </c>
      <c r="Q2294">
        <f t="shared" si="216"/>
        <v>5000</v>
      </c>
      <c r="T2294" s="16">
        <f t="shared" si="217"/>
        <v>0.44393456357285183</v>
      </c>
    </row>
    <row r="2295" spans="7:20" ht="14.4" x14ac:dyDescent="0.25">
      <c r="G2295" s="10">
        <v>4697</v>
      </c>
      <c r="H2295" s="9">
        <v>33477</v>
      </c>
      <c r="I2295" s="14">
        <f>DATE(2012,12,31)-73</f>
        <v>41201</v>
      </c>
      <c r="J2295" s="15" t="s">
        <v>17</v>
      </c>
      <c r="K2295" s="9">
        <v>28</v>
      </c>
      <c r="L2295" s="16" t="s">
        <v>26</v>
      </c>
      <c r="M2295" s="16">
        <f t="shared" si="213"/>
        <v>0.16769545709596645</v>
      </c>
      <c r="N2295">
        <f t="shared" si="214"/>
        <v>0</v>
      </c>
      <c r="O2295">
        <f t="shared" si="215"/>
        <v>0</v>
      </c>
      <c r="P2295">
        <f t="shared" si="212"/>
        <v>4800</v>
      </c>
      <c r="Q2295">
        <f t="shared" si="216"/>
        <v>4800</v>
      </c>
      <c r="T2295" s="16">
        <f t="shared" si="217"/>
        <v>0.16769545709596606</v>
      </c>
    </row>
    <row r="2296" spans="7:20" ht="14.4" x14ac:dyDescent="0.25">
      <c r="G2296" s="10">
        <v>4793</v>
      </c>
      <c r="H2296" s="9">
        <v>34082</v>
      </c>
      <c r="I2296" s="14">
        <f>DATE(2012,12,31)-430</f>
        <v>40844</v>
      </c>
      <c r="J2296" s="15" t="s">
        <v>28</v>
      </c>
      <c r="K2296" s="9">
        <v>19</v>
      </c>
      <c r="L2296" s="16" t="s">
        <v>26</v>
      </c>
      <c r="M2296" s="16">
        <f t="shared" si="213"/>
        <v>-0.45384253247702649</v>
      </c>
      <c r="N2296">
        <f t="shared" si="214"/>
        <v>0</v>
      </c>
      <c r="O2296">
        <f t="shared" si="215"/>
        <v>0</v>
      </c>
      <c r="P2296">
        <f t="shared" si="212"/>
        <v>4350</v>
      </c>
      <c r="Q2296">
        <f t="shared" si="216"/>
        <v>4350</v>
      </c>
      <c r="T2296" s="16">
        <f t="shared" si="217"/>
        <v>-0.45384253247702688</v>
      </c>
    </row>
    <row r="2297" spans="7:20" ht="14.4" x14ac:dyDescent="0.25">
      <c r="G2297" s="10">
        <v>4794</v>
      </c>
      <c r="H2297" s="9">
        <v>34082</v>
      </c>
      <c r="I2297" s="14">
        <f>DATE(2012,12,31)-430</f>
        <v>40844</v>
      </c>
      <c r="J2297" s="15" t="s">
        <v>28</v>
      </c>
      <c r="K2297" s="9">
        <v>20</v>
      </c>
      <c r="L2297" s="16" t="s">
        <v>26</v>
      </c>
      <c r="M2297" s="16">
        <f t="shared" si="213"/>
        <v>-0.38478275585780503</v>
      </c>
      <c r="N2297">
        <f t="shared" si="214"/>
        <v>0</v>
      </c>
      <c r="O2297">
        <f t="shared" si="215"/>
        <v>0</v>
      </c>
      <c r="P2297">
        <f t="shared" si="212"/>
        <v>4400</v>
      </c>
      <c r="Q2297">
        <f t="shared" si="216"/>
        <v>4400</v>
      </c>
      <c r="T2297" s="16">
        <f t="shared" si="217"/>
        <v>-0.38478275585780541</v>
      </c>
    </row>
    <row r="2298" spans="7:20" ht="14.4" x14ac:dyDescent="0.25">
      <c r="G2298" s="10">
        <v>4795</v>
      </c>
      <c r="H2298" s="9">
        <v>34082</v>
      </c>
      <c r="I2298" s="14">
        <f>DATE(2012,12,31)-430</f>
        <v>40844</v>
      </c>
      <c r="J2298" s="15" t="s">
        <v>28</v>
      </c>
      <c r="K2298" s="9">
        <v>35</v>
      </c>
      <c r="L2298" s="16" t="s">
        <v>26</v>
      </c>
      <c r="M2298" s="16">
        <f t="shared" si="213"/>
        <v>0.65111389343051651</v>
      </c>
      <c r="N2298">
        <f t="shared" si="214"/>
        <v>0</v>
      </c>
      <c r="O2298">
        <f t="shared" si="215"/>
        <v>0</v>
      </c>
      <c r="P2298">
        <f t="shared" si="212"/>
        <v>5150</v>
      </c>
      <c r="Q2298">
        <f t="shared" si="216"/>
        <v>5150</v>
      </c>
      <c r="T2298" s="16">
        <f t="shared" si="217"/>
        <v>0.65111389343051607</v>
      </c>
    </row>
    <row r="2299" spans="7:20" ht="14.4" x14ac:dyDescent="0.25">
      <c r="G2299" s="10">
        <v>4811</v>
      </c>
      <c r="H2299" s="9">
        <v>34211</v>
      </c>
      <c r="I2299" s="14">
        <f>DATE(2012,12,31)-322</f>
        <v>40952</v>
      </c>
      <c r="J2299" s="15" t="s">
        <v>28</v>
      </c>
      <c r="K2299" s="9">
        <v>15</v>
      </c>
      <c r="L2299" s="16" t="s">
        <v>26</v>
      </c>
      <c r="M2299" s="16">
        <f t="shared" si="213"/>
        <v>-0.7300816389539122</v>
      </c>
      <c r="N2299">
        <f t="shared" si="214"/>
        <v>0</v>
      </c>
      <c r="O2299">
        <f t="shared" si="215"/>
        <v>0</v>
      </c>
      <c r="P2299">
        <f t="shared" si="212"/>
        <v>4150</v>
      </c>
      <c r="Q2299">
        <f t="shared" si="216"/>
        <v>4150</v>
      </c>
      <c r="T2299" s="16">
        <f t="shared" si="217"/>
        <v>-0.73008163895391265</v>
      </c>
    </row>
    <row r="2300" spans="7:20" ht="14.4" x14ac:dyDescent="0.25">
      <c r="G2300" s="10">
        <v>4817</v>
      </c>
      <c r="H2300" s="9">
        <v>34244</v>
      </c>
      <c r="I2300" s="14">
        <f>DATE(2012,12,31)-824</f>
        <v>40450</v>
      </c>
      <c r="J2300" s="15" t="s">
        <v>25</v>
      </c>
      <c r="K2300" s="9">
        <v>25</v>
      </c>
      <c r="L2300" s="16" t="s">
        <v>27</v>
      </c>
      <c r="M2300" s="16">
        <f t="shared" si="213"/>
        <v>-3.9483872761697868E-2</v>
      </c>
      <c r="N2300">
        <f t="shared" si="214"/>
        <v>0</v>
      </c>
      <c r="O2300">
        <f t="shared" si="215"/>
        <v>0</v>
      </c>
      <c r="P2300">
        <f t="shared" si="212"/>
        <v>4650</v>
      </c>
      <c r="Q2300">
        <f t="shared" si="216"/>
        <v>4650</v>
      </c>
      <c r="T2300" s="16">
        <f t="shared" si="217"/>
        <v>-3.9483872761698249E-2</v>
      </c>
    </row>
    <row r="2301" spans="7:20" ht="14.4" x14ac:dyDescent="0.25">
      <c r="G2301" s="10">
        <v>4818</v>
      </c>
      <c r="H2301" s="9">
        <v>34244</v>
      </c>
      <c r="I2301" s="14">
        <f>DATE(2012,12,31)-824</f>
        <v>40450</v>
      </c>
      <c r="J2301" s="15" t="s">
        <v>25</v>
      </c>
      <c r="K2301" s="9">
        <v>4</v>
      </c>
      <c r="L2301" s="16" t="s">
        <v>27</v>
      </c>
      <c r="M2301" s="16">
        <f t="shared" si="213"/>
        <v>-1.489739181765348</v>
      </c>
      <c r="N2301">
        <f t="shared" si="214"/>
        <v>0</v>
      </c>
      <c r="O2301">
        <f t="shared" si="215"/>
        <v>0</v>
      </c>
      <c r="P2301">
        <f t="shared" si="212"/>
        <v>3600</v>
      </c>
      <c r="Q2301">
        <f t="shared" si="216"/>
        <v>3600</v>
      </c>
      <c r="T2301" s="16">
        <f t="shared" si="217"/>
        <v>-1.4897391817653485</v>
      </c>
    </row>
    <row r="2302" spans="7:20" ht="14.4" x14ac:dyDescent="0.25">
      <c r="G2302" s="10">
        <v>4867</v>
      </c>
      <c r="H2302" s="9">
        <v>34658</v>
      </c>
      <c r="I2302" s="14">
        <f>DATE(2012,12,31)-774</f>
        <v>40500</v>
      </c>
      <c r="J2302" s="15" t="s">
        <v>16</v>
      </c>
      <c r="K2302" s="9">
        <v>33</v>
      </c>
      <c r="L2302" s="16" t="s">
        <v>29</v>
      </c>
      <c r="M2302" s="16">
        <f t="shared" si="213"/>
        <v>0.51299434019207357</v>
      </c>
      <c r="N2302">
        <f t="shared" si="214"/>
        <v>0</v>
      </c>
      <c r="O2302">
        <f t="shared" si="215"/>
        <v>0</v>
      </c>
      <c r="P2302">
        <f t="shared" si="212"/>
        <v>5050</v>
      </c>
      <c r="Q2302">
        <f t="shared" si="216"/>
        <v>5050</v>
      </c>
      <c r="T2302" s="16">
        <f t="shared" si="217"/>
        <v>0.51299434019207324</v>
      </c>
    </row>
    <row r="2303" spans="7:20" ht="14.4" x14ac:dyDescent="0.25">
      <c r="G2303" s="10">
        <v>4890</v>
      </c>
      <c r="H2303" s="9">
        <v>34788</v>
      </c>
      <c r="I2303" s="14">
        <f>DATE(2012,12,31)-1148</f>
        <v>40126</v>
      </c>
      <c r="J2303" s="15" t="s">
        <v>17</v>
      </c>
      <c r="K2303" s="9">
        <v>4</v>
      </c>
      <c r="L2303" s="16" t="s">
        <v>26</v>
      </c>
      <c r="M2303" s="16">
        <f t="shared" si="213"/>
        <v>-1.489739181765348</v>
      </c>
      <c r="N2303">
        <f t="shared" si="214"/>
        <v>0</v>
      </c>
      <c r="O2303">
        <f t="shared" si="215"/>
        <v>0</v>
      </c>
      <c r="P2303">
        <f t="shared" si="212"/>
        <v>3600</v>
      </c>
      <c r="Q2303">
        <f t="shared" si="216"/>
        <v>3600</v>
      </c>
      <c r="T2303" s="16">
        <f t="shared" si="217"/>
        <v>-1.4897391817653485</v>
      </c>
    </row>
    <row r="2304" spans="7:20" ht="14.4" x14ac:dyDescent="0.25">
      <c r="G2304" s="10">
        <v>4907</v>
      </c>
      <c r="H2304" s="9">
        <v>34918</v>
      </c>
      <c r="I2304" s="14">
        <f>DATE(2012,12,31)-1165</f>
        <v>40109</v>
      </c>
      <c r="J2304" s="15" t="s">
        <v>16</v>
      </c>
      <c r="K2304" s="9">
        <v>12</v>
      </c>
      <c r="L2304" s="16" t="s">
        <v>29</v>
      </c>
      <c r="M2304" s="16">
        <f t="shared" si="213"/>
        <v>-0.9372609688115765</v>
      </c>
      <c r="N2304">
        <f t="shared" si="214"/>
        <v>0</v>
      </c>
      <c r="O2304">
        <f t="shared" si="215"/>
        <v>0</v>
      </c>
      <c r="P2304">
        <f t="shared" si="212"/>
        <v>4000</v>
      </c>
      <c r="Q2304">
        <f t="shared" si="216"/>
        <v>4000</v>
      </c>
      <c r="T2304" s="16">
        <f t="shared" si="217"/>
        <v>-0.93726096881157694</v>
      </c>
    </row>
    <row r="2305" spans="7:20" ht="14.4" x14ac:dyDescent="0.25">
      <c r="G2305" s="10">
        <v>4908</v>
      </c>
      <c r="H2305" s="9">
        <v>34918</v>
      </c>
      <c r="I2305" s="14">
        <f>DATE(2012,12,31)-1165</f>
        <v>40109</v>
      </c>
      <c r="J2305" s="15" t="s">
        <v>16</v>
      </c>
      <c r="K2305" s="9">
        <v>25</v>
      </c>
      <c r="L2305" s="16" t="s">
        <v>29</v>
      </c>
      <c r="M2305" s="16">
        <f t="shared" si="213"/>
        <v>-3.9483872761697868E-2</v>
      </c>
      <c r="N2305">
        <f t="shared" si="214"/>
        <v>0</v>
      </c>
      <c r="O2305">
        <f t="shared" si="215"/>
        <v>0</v>
      </c>
      <c r="P2305">
        <f t="shared" si="212"/>
        <v>4650</v>
      </c>
      <c r="Q2305">
        <f t="shared" si="216"/>
        <v>4650</v>
      </c>
      <c r="T2305" s="16">
        <f t="shared" si="217"/>
        <v>-3.9483872761698249E-2</v>
      </c>
    </row>
    <row r="2306" spans="7:20" ht="14.4" x14ac:dyDescent="0.25">
      <c r="G2306" s="10">
        <v>4931</v>
      </c>
      <c r="H2306" s="9">
        <v>35079</v>
      </c>
      <c r="I2306" s="14">
        <f>DATE(2012,12,31)-870</f>
        <v>40404</v>
      </c>
      <c r="J2306" s="15" t="s">
        <v>17</v>
      </c>
      <c r="K2306" s="9">
        <v>13</v>
      </c>
      <c r="L2306" s="16" t="s">
        <v>29</v>
      </c>
      <c r="M2306" s="16">
        <f t="shared" si="213"/>
        <v>-0.86820119219235514</v>
      </c>
      <c r="N2306">
        <f t="shared" si="214"/>
        <v>0</v>
      </c>
      <c r="O2306">
        <f t="shared" si="215"/>
        <v>0</v>
      </c>
      <c r="P2306">
        <f t="shared" si="212"/>
        <v>4050</v>
      </c>
      <c r="Q2306">
        <f t="shared" si="216"/>
        <v>4050</v>
      </c>
      <c r="T2306" s="16">
        <f t="shared" si="217"/>
        <v>-0.86820119219235548</v>
      </c>
    </row>
    <row r="2307" spans="7:20" ht="14.4" x14ac:dyDescent="0.25">
      <c r="G2307" s="10">
        <v>4932</v>
      </c>
      <c r="H2307" s="9">
        <v>35079</v>
      </c>
      <c r="I2307" s="14">
        <f>DATE(2012,12,31)-870</f>
        <v>40404</v>
      </c>
      <c r="J2307" s="15" t="s">
        <v>17</v>
      </c>
      <c r="K2307" s="9">
        <v>32</v>
      </c>
      <c r="L2307" s="16" t="s">
        <v>29</v>
      </c>
      <c r="M2307" s="16">
        <f t="shared" si="213"/>
        <v>0.44393456357285216</v>
      </c>
      <c r="N2307">
        <f t="shared" si="214"/>
        <v>0</v>
      </c>
      <c r="O2307">
        <f t="shared" si="215"/>
        <v>0</v>
      </c>
      <c r="P2307">
        <f t="shared" si="212"/>
        <v>5000</v>
      </c>
      <c r="Q2307">
        <f t="shared" si="216"/>
        <v>5000</v>
      </c>
      <c r="T2307" s="16">
        <f t="shared" si="217"/>
        <v>0.44393456357285183</v>
      </c>
    </row>
    <row r="2308" spans="7:20" ht="14.4" x14ac:dyDescent="0.25">
      <c r="G2308" s="10">
        <v>4935</v>
      </c>
      <c r="H2308" s="9">
        <v>35110</v>
      </c>
      <c r="I2308" s="14">
        <f>DATE(2012,12,31)-440</f>
        <v>40834</v>
      </c>
      <c r="J2308" s="15" t="s">
        <v>17</v>
      </c>
      <c r="K2308" s="9">
        <v>14</v>
      </c>
      <c r="L2308" s="16" t="s">
        <v>26</v>
      </c>
      <c r="M2308" s="16">
        <f t="shared" si="213"/>
        <v>-0.79914141557313367</v>
      </c>
      <c r="N2308">
        <f t="shared" si="214"/>
        <v>0</v>
      </c>
      <c r="O2308">
        <f t="shared" si="215"/>
        <v>0</v>
      </c>
      <c r="P2308">
        <f t="shared" si="212"/>
        <v>4100</v>
      </c>
      <c r="Q2308">
        <f t="shared" si="216"/>
        <v>4100</v>
      </c>
      <c r="T2308" s="16">
        <f t="shared" si="217"/>
        <v>-0.79914141557313401</v>
      </c>
    </row>
    <row r="2309" spans="7:20" ht="14.4" x14ac:dyDescent="0.25">
      <c r="G2309" s="10">
        <v>4936</v>
      </c>
      <c r="H2309" s="9">
        <v>35110</v>
      </c>
      <c r="I2309" s="14">
        <f>DATE(2012,12,31)-440</f>
        <v>40834</v>
      </c>
      <c r="J2309" s="15" t="s">
        <v>17</v>
      </c>
      <c r="K2309" s="9">
        <v>49</v>
      </c>
      <c r="L2309" s="16" t="s">
        <v>27</v>
      </c>
      <c r="M2309" s="16">
        <f t="shared" si="213"/>
        <v>1.6179507660996166</v>
      </c>
      <c r="N2309">
        <f t="shared" si="214"/>
        <v>0</v>
      </c>
      <c r="O2309">
        <f t="shared" si="215"/>
        <v>0</v>
      </c>
      <c r="P2309">
        <f t="shared" si="212"/>
        <v>5850</v>
      </c>
      <c r="Q2309">
        <f t="shared" si="216"/>
        <v>5850</v>
      </c>
      <c r="T2309" s="16">
        <f t="shared" si="217"/>
        <v>1.6179507660996162</v>
      </c>
    </row>
    <row r="2310" spans="7:20" ht="14.4" x14ac:dyDescent="0.25">
      <c r="G2310" s="10">
        <v>4992</v>
      </c>
      <c r="H2310" s="9">
        <v>35554</v>
      </c>
      <c r="I2310" s="14">
        <f>DATE(2012,12,31)-98</f>
        <v>41176</v>
      </c>
      <c r="J2310" s="15" t="s">
        <v>28</v>
      </c>
      <c r="K2310" s="9">
        <v>34</v>
      </c>
      <c r="L2310" s="16" t="s">
        <v>29</v>
      </c>
      <c r="M2310" s="16">
        <f t="shared" si="213"/>
        <v>0.58205411681129504</v>
      </c>
      <c r="N2310">
        <f t="shared" si="214"/>
        <v>0</v>
      </c>
      <c r="O2310">
        <f t="shared" si="215"/>
        <v>0</v>
      </c>
      <c r="P2310">
        <f t="shared" si="212"/>
        <v>5100</v>
      </c>
      <c r="Q2310">
        <f t="shared" si="216"/>
        <v>5100</v>
      </c>
      <c r="T2310" s="16">
        <f t="shared" si="217"/>
        <v>0.58205411681129471</v>
      </c>
    </row>
    <row r="2311" spans="7:20" ht="14.4" x14ac:dyDescent="0.25">
      <c r="G2311" s="10">
        <v>4993</v>
      </c>
      <c r="H2311" s="9">
        <v>35555</v>
      </c>
      <c r="I2311" s="14">
        <f>DATE(2012,12,31)-668</f>
        <v>40606</v>
      </c>
      <c r="J2311" s="15" t="s">
        <v>16</v>
      </c>
      <c r="K2311" s="9">
        <v>50</v>
      </c>
      <c r="L2311" s="16" t="s">
        <v>29</v>
      </c>
      <c r="M2311" s="16">
        <f t="shared" si="213"/>
        <v>1.687010542718838</v>
      </c>
      <c r="N2311">
        <f t="shared" si="214"/>
        <v>0</v>
      </c>
      <c r="O2311">
        <f t="shared" si="215"/>
        <v>0</v>
      </c>
      <c r="P2311">
        <f t="shared" si="212"/>
        <v>5900</v>
      </c>
      <c r="Q2311">
        <f t="shared" si="216"/>
        <v>5900</v>
      </c>
      <c r="T2311" s="16">
        <f t="shared" si="217"/>
        <v>1.6870105427188375</v>
      </c>
    </row>
    <row r="2312" spans="7:20" ht="14.4" x14ac:dyDescent="0.25">
      <c r="G2312" s="10">
        <v>4994</v>
      </c>
      <c r="H2312" s="9">
        <v>35555</v>
      </c>
      <c r="I2312" s="14">
        <f>DATE(2012,12,31)-668</f>
        <v>40606</v>
      </c>
      <c r="J2312" s="15" t="s">
        <v>16</v>
      </c>
      <c r="K2312" s="9">
        <v>15</v>
      </c>
      <c r="L2312" s="16" t="s">
        <v>27</v>
      </c>
      <c r="M2312" s="16">
        <f t="shared" si="213"/>
        <v>-0.7300816389539122</v>
      </c>
      <c r="N2312">
        <f t="shared" si="214"/>
        <v>0</v>
      </c>
      <c r="O2312">
        <f t="shared" si="215"/>
        <v>0</v>
      </c>
      <c r="P2312">
        <f t="shared" si="212"/>
        <v>4150</v>
      </c>
      <c r="Q2312">
        <f t="shared" si="216"/>
        <v>4150</v>
      </c>
      <c r="T2312" s="16">
        <f t="shared" si="217"/>
        <v>-0.73008163895391265</v>
      </c>
    </row>
    <row r="2313" spans="7:20" ht="14.4" x14ac:dyDescent="0.25">
      <c r="G2313" s="10">
        <v>4995</v>
      </c>
      <c r="H2313" s="9">
        <v>35555</v>
      </c>
      <c r="I2313" s="14">
        <f>DATE(2012,12,31)-668</f>
        <v>40606</v>
      </c>
      <c r="J2313" s="15" t="s">
        <v>16</v>
      </c>
      <c r="K2313" s="9">
        <v>2</v>
      </c>
      <c r="L2313" s="16" t="s">
        <v>26</v>
      </c>
      <c r="M2313" s="16">
        <f t="shared" si="213"/>
        <v>-1.627858735003791</v>
      </c>
      <c r="N2313">
        <f t="shared" si="214"/>
        <v>0</v>
      </c>
      <c r="O2313">
        <f t="shared" si="215"/>
        <v>0</v>
      </c>
      <c r="P2313">
        <f t="shared" si="212"/>
        <v>3500</v>
      </c>
      <c r="Q2313">
        <f t="shared" si="216"/>
        <v>3500</v>
      </c>
      <c r="T2313" s="16">
        <f t="shared" si="217"/>
        <v>-1.6278587350037912</v>
      </c>
    </row>
    <row r="2314" spans="7:20" ht="14.4" x14ac:dyDescent="0.25">
      <c r="G2314" s="10">
        <v>5033</v>
      </c>
      <c r="H2314" s="9">
        <v>35877</v>
      </c>
      <c r="I2314" s="14">
        <f>DATE(2012,12,31)-951</f>
        <v>40323</v>
      </c>
      <c r="J2314" s="15" t="s">
        <v>17</v>
      </c>
      <c r="K2314" s="9">
        <v>30</v>
      </c>
      <c r="L2314" s="16" t="s">
        <v>26</v>
      </c>
      <c r="M2314" s="16">
        <f t="shared" si="213"/>
        <v>0.30581501033440933</v>
      </c>
      <c r="N2314">
        <f t="shared" si="214"/>
        <v>0</v>
      </c>
      <c r="O2314">
        <f t="shared" si="215"/>
        <v>0</v>
      </c>
      <c r="P2314">
        <f t="shared" si="212"/>
        <v>4900</v>
      </c>
      <c r="Q2314">
        <f t="shared" si="216"/>
        <v>4900</v>
      </c>
      <c r="T2314" s="16">
        <f t="shared" si="217"/>
        <v>0.30581501033440894</v>
      </c>
    </row>
    <row r="2315" spans="7:20" ht="14.4" x14ac:dyDescent="0.25">
      <c r="G2315" s="10">
        <v>5035</v>
      </c>
      <c r="H2315" s="9">
        <v>35878</v>
      </c>
      <c r="I2315" s="14">
        <f>DATE(2012,12,31)-871</f>
        <v>40403</v>
      </c>
      <c r="J2315" s="15" t="s">
        <v>16</v>
      </c>
      <c r="K2315" s="9">
        <v>45</v>
      </c>
      <c r="L2315" s="16" t="s">
        <v>26</v>
      </c>
      <c r="M2315" s="16">
        <f t="shared" si="213"/>
        <v>1.3417116596227308</v>
      </c>
      <c r="N2315">
        <f t="shared" si="214"/>
        <v>0</v>
      </c>
      <c r="O2315">
        <f t="shared" si="215"/>
        <v>0</v>
      </c>
      <c r="P2315">
        <f t="shared" si="212"/>
        <v>5650</v>
      </c>
      <c r="Q2315">
        <f t="shared" si="216"/>
        <v>5650</v>
      </c>
      <c r="T2315" s="16">
        <f t="shared" si="217"/>
        <v>1.3417116596227305</v>
      </c>
    </row>
    <row r="2316" spans="7:20" ht="14.4" x14ac:dyDescent="0.25">
      <c r="G2316" s="10">
        <v>5112</v>
      </c>
      <c r="H2316" s="9">
        <v>36448</v>
      </c>
      <c r="I2316" s="14">
        <f>DATE(2012,12,31)-843</f>
        <v>40431</v>
      </c>
      <c r="J2316" s="15" t="s">
        <v>16</v>
      </c>
      <c r="K2316" s="9">
        <v>6</v>
      </c>
      <c r="L2316" s="16" t="s">
        <v>26</v>
      </c>
      <c r="M2316" s="16">
        <f t="shared" si="213"/>
        <v>-1.3516196285269051</v>
      </c>
      <c r="N2316">
        <f t="shared" si="214"/>
        <v>0</v>
      </c>
      <c r="O2316">
        <f t="shared" si="215"/>
        <v>0</v>
      </c>
      <c r="P2316">
        <f t="shared" ref="P2316:P2379" si="218">50*K2316+$P$10</f>
        <v>3700</v>
      </c>
      <c r="Q2316">
        <f t="shared" si="216"/>
        <v>3700</v>
      </c>
      <c r="T2316" s="16">
        <f t="shared" si="217"/>
        <v>-1.3516196285269055</v>
      </c>
    </row>
    <row r="2317" spans="7:20" ht="14.4" x14ac:dyDescent="0.25">
      <c r="G2317" s="10">
        <v>5113</v>
      </c>
      <c r="H2317" s="9">
        <v>36448</v>
      </c>
      <c r="I2317" s="14">
        <f>DATE(2012,12,31)-843</f>
        <v>40431</v>
      </c>
      <c r="J2317" s="15" t="s">
        <v>16</v>
      </c>
      <c r="K2317" s="9">
        <v>44</v>
      </c>
      <c r="L2317" s="16" t="s">
        <v>26</v>
      </c>
      <c r="M2317" s="16">
        <f t="shared" ref="M2317:M2380" si="219">(K2317-$K$4)/$K$7</f>
        <v>1.2726518830035094</v>
      </c>
      <c r="N2317">
        <f t="shared" ref="N2317:N2380" si="220">IF(MOD($B$20+G2317,1000)=0,1,0)</f>
        <v>0</v>
      </c>
      <c r="O2317">
        <f t="shared" ref="O2317:O2380" si="221">+ROUND(N2317*(IF(K2317&lt;$K$4,-4.5,10.5)*$P$5),-2)</f>
        <v>0</v>
      </c>
      <c r="P2317">
        <f t="shared" si="218"/>
        <v>5600</v>
      </c>
      <c r="Q2317">
        <f t="shared" ref="Q2317:Q2380" si="222">P2317+O2317</f>
        <v>5600</v>
      </c>
      <c r="T2317" s="16">
        <f t="shared" ref="T2317:T2380" si="223">(Q2317-$P$4)/$P$5</f>
        <v>1.272651883003509</v>
      </c>
    </row>
    <row r="2318" spans="7:20" ht="14.4" x14ac:dyDescent="0.25">
      <c r="G2318" s="10">
        <v>5117</v>
      </c>
      <c r="H2318" s="9">
        <v>36452</v>
      </c>
      <c r="I2318" s="14">
        <f>DATE(2012,12,31)-1366</f>
        <v>39908</v>
      </c>
      <c r="J2318" s="15" t="s">
        <v>17</v>
      </c>
      <c r="K2318" s="9">
        <v>26</v>
      </c>
      <c r="L2318" s="16" t="s">
        <v>26</v>
      </c>
      <c r="M2318" s="16">
        <f t="shared" si="219"/>
        <v>2.9575903857523567E-2</v>
      </c>
      <c r="N2318">
        <f t="shared" si="220"/>
        <v>0</v>
      </c>
      <c r="O2318">
        <f t="shared" si="221"/>
        <v>0</v>
      </c>
      <c r="P2318">
        <f t="shared" si="218"/>
        <v>4700</v>
      </c>
      <c r="Q2318">
        <f t="shared" si="222"/>
        <v>4700</v>
      </c>
      <c r="T2318" s="16">
        <f t="shared" si="223"/>
        <v>2.9575903857523185E-2</v>
      </c>
    </row>
    <row r="2319" spans="7:20" ht="14.4" x14ac:dyDescent="0.25">
      <c r="G2319" s="10">
        <v>5118</v>
      </c>
      <c r="H2319" s="9">
        <v>36452</v>
      </c>
      <c r="I2319" s="14">
        <f>DATE(2012,12,31)-1366</f>
        <v>39908</v>
      </c>
      <c r="J2319" s="15" t="s">
        <v>17</v>
      </c>
      <c r="K2319" s="9">
        <v>18</v>
      </c>
      <c r="L2319" s="16" t="s">
        <v>29</v>
      </c>
      <c r="M2319" s="16">
        <f t="shared" si="219"/>
        <v>-0.52290230909624791</v>
      </c>
      <c r="N2319">
        <f t="shared" si="220"/>
        <v>0</v>
      </c>
      <c r="O2319">
        <f t="shared" si="221"/>
        <v>0</v>
      </c>
      <c r="P2319">
        <f t="shared" si="218"/>
        <v>4300</v>
      </c>
      <c r="Q2319">
        <f t="shared" si="222"/>
        <v>4300</v>
      </c>
      <c r="T2319" s="16">
        <f t="shared" si="223"/>
        <v>-0.52290230909624835</v>
      </c>
    </row>
    <row r="2320" spans="7:20" ht="14.4" x14ac:dyDescent="0.25">
      <c r="G2320" s="10">
        <v>5125</v>
      </c>
      <c r="H2320" s="9">
        <v>36484</v>
      </c>
      <c r="I2320" s="14">
        <f>DATE(2012,12,31)-338</f>
        <v>40936</v>
      </c>
      <c r="J2320" s="15" t="s">
        <v>30</v>
      </c>
      <c r="K2320" s="9">
        <v>41</v>
      </c>
      <c r="L2320" s="16" t="s">
        <v>27</v>
      </c>
      <c r="M2320" s="16">
        <f t="shared" si="219"/>
        <v>1.0654725531458451</v>
      </c>
      <c r="N2320">
        <f t="shared" si="220"/>
        <v>0</v>
      </c>
      <c r="O2320">
        <f t="shared" si="221"/>
        <v>0</v>
      </c>
      <c r="P2320">
        <f t="shared" si="218"/>
        <v>5450</v>
      </c>
      <c r="Q2320">
        <f t="shared" si="222"/>
        <v>5450</v>
      </c>
      <c r="T2320" s="16">
        <f t="shared" si="223"/>
        <v>1.0654725531458447</v>
      </c>
    </row>
    <row r="2321" spans="7:20" ht="14.4" x14ac:dyDescent="0.25">
      <c r="G2321" s="10">
        <v>5136</v>
      </c>
      <c r="H2321" s="9">
        <v>36643</v>
      </c>
      <c r="I2321" s="14">
        <f>DATE(2012,12,31)-1407</f>
        <v>39867</v>
      </c>
      <c r="J2321" s="15" t="s">
        <v>30</v>
      </c>
      <c r="K2321" s="9">
        <v>17</v>
      </c>
      <c r="L2321" s="16" t="s">
        <v>29</v>
      </c>
      <c r="M2321" s="16">
        <f t="shared" si="219"/>
        <v>-0.59196208571546938</v>
      </c>
      <c r="N2321">
        <f t="shared" si="220"/>
        <v>0</v>
      </c>
      <c r="O2321">
        <f t="shared" si="221"/>
        <v>0</v>
      </c>
      <c r="P2321">
        <f t="shared" si="218"/>
        <v>4250</v>
      </c>
      <c r="Q2321">
        <f t="shared" si="222"/>
        <v>4250</v>
      </c>
      <c r="T2321" s="16">
        <f t="shared" si="223"/>
        <v>-0.59196208571546971</v>
      </c>
    </row>
    <row r="2322" spans="7:20" ht="14.4" x14ac:dyDescent="0.25">
      <c r="G2322" s="10">
        <v>5137</v>
      </c>
      <c r="H2322" s="9">
        <v>36643</v>
      </c>
      <c r="I2322" s="14">
        <f>DATE(2012,12,31)-1407</f>
        <v>39867</v>
      </c>
      <c r="J2322" s="15" t="s">
        <v>30</v>
      </c>
      <c r="K2322" s="9">
        <v>30</v>
      </c>
      <c r="L2322" s="16" t="s">
        <v>26</v>
      </c>
      <c r="M2322" s="16">
        <f t="shared" si="219"/>
        <v>0.30581501033440933</v>
      </c>
      <c r="N2322">
        <f t="shared" si="220"/>
        <v>0</v>
      </c>
      <c r="O2322">
        <f t="shared" si="221"/>
        <v>0</v>
      </c>
      <c r="P2322">
        <f t="shared" si="218"/>
        <v>4900</v>
      </c>
      <c r="Q2322">
        <f t="shared" si="222"/>
        <v>4900</v>
      </c>
      <c r="T2322" s="16">
        <f t="shared" si="223"/>
        <v>0.30581501033440894</v>
      </c>
    </row>
    <row r="2323" spans="7:20" ht="14.4" x14ac:dyDescent="0.25">
      <c r="G2323" s="10">
        <v>5148</v>
      </c>
      <c r="H2323" s="9">
        <v>36679</v>
      </c>
      <c r="I2323" s="14">
        <f>DATE(2012,12,31)-489</f>
        <v>40785</v>
      </c>
      <c r="J2323" s="15" t="s">
        <v>30</v>
      </c>
      <c r="K2323" s="9">
        <v>28</v>
      </c>
      <c r="L2323" s="16" t="s">
        <v>27</v>
      </c>
      <c r="M2323" s="16">
        <f t="shared" si="219"/>
        <v>0.16769545709596645</v>
      </c>
      <c r="N2323">
        <f t="shared" si="220"/>
        <v>0</v>
      </c>
      <c r="O2323">
        <f t="shared" si="221"/>
        <v>0</v>
      </c>
      <c r="P2323">
        <f t="shared" si="218"/>
        <v>4800</v>
      </c>
      <c r="Q2323">
        <f t="shared" si="222"/>
        <v>4800</v>
      </c>
      <c r="T2323" s="16">
        <f t="shared" si="223"/>
        <v>0.16769545709596606</v>
      </c>
    </row>
    <row r="2324" spans="7:20" ht="14.4" x14ac:dyDescent="0.25">
      <c r="G2324" s="10">
        <v>5163</v>
      </c>
      <c r="H2324" s="9">
        <v>36741</v>
      </c>
      <c r="I2324" s="14">
        <f>DATE(2012,12,31)-743</f>
        <v>40531</v>
      </c>
      <c r="J2324" s="15" t="s">
        <v>30</v>
      </c>
      <c r="K2324" s="9">
        <v>26</v>
      </c>
      <c r="L2324" s="16" t="s">
        <v>26</v>
      </c>
      <c r="M2324" s="16">
        <f t="shared" si="219"/>
        <v>2.9575903857523567E-2</v>
      </c>
      <c r="N2324">
        <f t="shared" si="220"/>
        <v>0</v>
      </c>
      <c r="O2324">
        <f t="shared" si="221"/>
        <v>0</v>
      </c>
      <c r="P2324">
        <f t="shared" si="218"/>
        <v>4700</v>
      </c>
      <c r="Q2324">
        <f t="shared" si="222"/>
        <v>4700</v>
      </c>
      <c r="T2324" s="16">
        <f t="shared" si="223"/>
        <v>2.9575903857523185E-2</v>
      </c>
    </row>
    <row r="2325" spans="7:20" ht="14.4" x14ac:dyDescent="0.25">
      <c r="G2325" s="10">
        <v>5164</v>
      </c>
      <c r="H2325" s="9">
        <v>36741</v>
      </c>
      <c r="I2325" s="14">
        <f>DATE(2012,12,31)-743</f>
        <v>40531</v>
      </c>
      <c r="J2325" s="15" t="s">
        <v>30</v>
      </c>
      <c r="K2325" s="9">
        <v>6</v>
      </c>
      <c r="L2325" s="16" t="s">
        <v>27</v>
      </c>
      <c r="M2325" s="16">
        <f t="shared" si="219"/>
        <v>-1.3516196285269051</v>
      </c>
      <c r="N2325">
        <f t="shared" si="220"/>
        <v>0</v>
      </c>
      <c r="O2325">
        <f t="shared" si="221"/>
        <v>0</v>
      </c>
      <c r="P2325">
        <f t="shared" si="218"/>
        <v>3700</v>
      </c>
      <c r="Q2325">
        <f t="shared" si="222"/>
        <v>3700</v>
      </c>
      <c r="T2325" s="16">
        <f t="shared" si="223"/>
        <v>-1.3516196285269055</v>
      </c>
    </row>
    <row r="2326" spans="7:20" ht="14.4" x14ac:dyDescent="0.25">
      <c r="G2326" s="10">
        <v>5187</v>
      </c>
      <c r="H2326" s="9">
        <v>36866</v>
      </c>
      <c r="I2326" s="14">
        <f>DATE(2012,12,31)-1013</f>
        <v>40261</v>
      </c>
      <c r="J2326" s="15" t="s">
        <v>25</v>
      </c>
      <c r="K2326" s="9">
        <v>32</v>
      </c>
      <c r="L2326" s="16" t="s">
        <v>26</v>
      </c>
      <c r="M2326" s="16">
        <f t="shared" si="219"/>
        <v>0.44393456357285216</v>
      </c>
      <c r="N2326">
        <f t="shared" si="220"/>
        <v>0</v>
      </c>
      <c r="O2326">
        <f t="shared" si="221"/>
        <v>0</v>
      </c>
      <c r="P2326">
        <f t="shared" si="218"/>
        <v>5000</v>
      </c>
      <c r="Q2326">
        <f t="shared" si="222"/>
        <v>5000</v>
      </c>
      <c r="T2326" s="16">
        <f t="shared" si="223"/>
        <v>0.44393456357285183</v>
      </c>
    </row>
    <row r="2327" spans="7:20" ht="14.4" x14ac:dyDescent="0.25">
      <c r="G2327" s="10">
        <v>5194</v>
      </c>
      <c r="H2327" s="9">
        <v>36929</v>
      </c>
      <c r="I2327" s="14">
        <f>DATE(2012,12,31)-220</f>
        <v>41054</v>
      </c>
      <c r="J2327" s="15" t="s">
        <v>25</v>
      </c>
      <c r="K2327" s="9">
        <v>45</v>
      </c>
      <c r="L2327" s="16" t="s">
        <v>26</v>
      </c>
      <c r="M2327" s="16">
        <f t="shared" si="219"/>
        <v>1.3417116596227308</v>
      </c>
      <c r="N2327">
        <f t="shared" si="220"/>
        <v>0</v>
      </c>
      <c r="O2327">
        <f t="shared" si="221"/>
        <v>0</v>
      </c>
      <c r="P2327">
        <f t="shared" si="218"/>
        <v>5650</v>
      </c>
      <c r="Q2327">
        <f t="shared" si="222"/>
        <v>5650</v>
      </c>
      <c r="T2327" s="16">
        <f t="shared" si="223"/>
        <v>1.3417116596227305</v>
      </c>
    </row>
    <row r="2328" spans="7:20" ht="14.4" x14ac:dyDescent="0.25">
      <c r="G2328" s="10">
        <v>5195</v>
      </c>
      <c r="H2328" s="9">
        <v>36929</v>
      </c>
      <c r="I2328" s="14">
        <f>DATE(2012,12,31)-220</f>
        <v>41054</v>
      </c>
      <c r="J2328" s="15" t="s">
        <v>25</v>
      </c>
      <c r="K2328" s="9">
        <v>37</v>
      </c>
      <c r="L2328" s="16" t="s">
        <v>26</v>
      </c>
      <c r="M2328" s="16">
        <f t="shared" si="219"/>
        <v>0.78923344666895934</v>
      </c>
      <c r="N2328">
        <f t="shared" si="220"/>
        <v>0</v>
      </c>
      <c r="O2328">
        <f t="shared" si="221"/>
        <v>0</v>
      </c>
      <c r="P2328">
        <f t="shared" si="218"/>
        <v>5250</v>
      </c>
      <c r="Q2328">
        <f t="shared" si="222"/>
        <v>5250</v>
      </c>
      <c r="T2328" s="16">
        <f t="shared" si="223"/>
        <v>0.789233446668959</v>
      </c>
    </row>
    <row r="2329" spans="7:20" ht="14.4" x14ac:dyDescent="0.25">
      <c r="G2329" s="10">
        <v>5209</v>
      </c>
      <c r="H2329" s="9">
        <v>36999</v>
      </c>
      <c r="I2329" s="14">
        <f>DATE(2012,12,31)-1115</f>
        <v>40159</v>
      </c>
      <c r="J2329" s="15" t="s">
        <v>16</v>
      </c>
      <c r="K2329" s="9">
        <v>28</v>
      </c>
      <c r="L2329" s="16" t="s">
        <v>27</v>
      </c>
      <c r="M2329" s="16">
        <f t="shared" si="219"/>
        <v>0.16769545709596645</v>
      </c>
      <c r="N2329">
        <f t="shared" si="220"/>
        <v>0</v>
      </c>
      <c r="O2329">
        <f t="shared" si="221"/>
        <v>0</v>
      </c>
      <c r="P2329">
        <f t="shared" si="218"/>
        <v>4800</v>
      </c>
      <c r="Q2329">
        <f t="shared" si="222"/>
        <v>4800</v>
      </c>
      <c r="T2329" s="16">
        <f t="shared" si="223"/>
        <v>0.16769545709596606</v>
      </c>
    </row>
    <row r="2330" spans="7:20" ht="14.4" x14ac:dyDescent="0.25">
      <c r="G2330" s="10">
        <v>5210</v>
      </c>
      <c r="H2330" s="9">
        <v>36999</v>
      </c>
      <c r="I2330" s="14">
        <f>DATE(2012,12,31)-1115</f>
        <v>40159</v>
      </c>
      <c r="J2330" s="15" t="s">
        <v>16</v>
      </c>
      <c r="K2330" s="9">
        <v>3</v>
      </c>
      <c r="L2330" s="16" t="s">
        <v>27</v>
      </c>
      <c r="M2330" s="16">
        <f t="shared" si="219"/>
        <v>-1.5587989583845694</v>
      </c>
      <c r="N2330">
        <f t="shared" si="220"/>
        <v>0</v>
      </c>
      <c r="O2330">
        <f t="shared" si="221"/>
        <v>0</v>
      </c>
      <c r="P2330">
        <f t="shared" si="218"/>
        <v>3550</v>
      </c>
      <c r="Q2330">
        <f t="shared" si="222"/>
        <v>3550</v>
      </c>
      <c r="T2330" s="16">
        <f t="shared" si="223"/>
        <v>-1.5587989583845698</v>
      </c>
    </row>
    <row r="2331" spans="7:20" ht="14.4" x14ac:dyDescent="0.25">
      <c r="G2331" s="10">
        <v>5225</v>
      </c>
      <c r="H2331" s="9">
        <v>37216</v>
      </c>
      <c r="I2331" s="14">
        <f>DATE(2012,12,31)-762</f>
        <v>40512</v>
      </c>
      <c r="J2331" s="15" t="s">
        <v>17</v>
      </c>
      <c r="K2331" s="9">
        <v>24</v>
      </c>
      <c r="L2331" s="16" t="s">
        <v>26</v>
      </c>
      <c r="M2331" s="16">
        <f t="shared" si="219"/>
        <v>-0.1085436493809193</v>
      </c>
      <c r="N2331">
        <f t="shared" si="220"/>
        <v>0</v>
      </c>
      <c r="O2331">
        <f t="shared" si="221"/>
        <v>0</v>
      </c>
      <c r="P2331">
        <f t="shared" si="218"/>
        <v>4600</v>
      </c>
      <c r="Q2331">
        <f t="shared" si="222"/>
        <v>4600</v>
      </c>
      <c r="T2331" s="16">
        <f t="shared" si="223"/>
        <v>-0.10854364938091969</v>
      </c>
    </row>
    <row r="2332" spans="7:20" ht="14.4" x14ac:dyDescent="0.25">
      <c r="G2332" s="10">
        <v>5244</v>
      </c>
      <c r="H2332" s="9">
        <v>37314</v>
      </c>
      <c r="I2332" s="14">
        <f>DATE(2012,12,31)-607</f>
        <v>40667</v>
      </c>
      <c r="J2332" s="15" t="s">
        <v>16</v>
      </c>
      <c r="K2332" s="9">
        <v>21</v>
      </c>
      <c r="L2332" s="16" t="s">
        <v>29</v>
      </c>
      <c r="M2332" s="16">
        <f t="shared" si="219"/>
        <v>-0.31572297923858361</v>
      </c>
      <c r="N2332">
        <f t="shared" si="220"/>
        <v>0</v>
      </c>
      <c r="O2332">
        <f t="shared" si="221"/>
        <v>0</v>
      </c>
      <c r="P2332">
        <f t="shared" si="218"/>
        <v>4450</v>
      </c>
      <c r="Q2332">
        <f t="shared" si="222"/>
        <v>4450</v>
      </c>
      <c r="T2332" s="16">
        <f t="shared" si="223"/>
        <v>-0.315722979238584</v>
      </c>
    </row>
    <row r="2333" spans="7:20" ht="14.4" x14ac:dyDescent="0.25">
      <c r="G2333" s="10">
        <v>5250</v>
      </c>
      <c r="H2333" s="9">
        <v>37349</v>
      </c>
      <c r="I2333" s="14">
        <f>DATE(2012,12,31)-1050</f>
        <v>40224</v>
      </c>
      <c r="J2333" s="15" t="s">
        <v>30</v>
      </c>
      <c r="K2333" s="9">
        <v>8</v>
      </c>
      <c r="L2333" s="16" t="s">
        <v>29</v>
      </c>
      <c r="M2333" s="16">
        <f t="shared" si="219"/>
        <v>-1.2135000752884624</v>
      </c>
      <c r="N2333">
        <f t="shared" si="220"/>
        <v>0</v>
      </c>
      <c r="O2333">
        <f t="shared" si="221"/>
        <v>0</v>
      </c>
      <c r="P2333">
        <f t="shared" si="218"/>
        <v>3800</v>
      </c>
      <c r="Q2333">
        <f t="shared" si="222"/>
        <v>3800</v>
      </c>
      <c r="T2333" s="16">
        <f t="shared" si="223"/>
        <v>-1.2135000752884626</v>
      </c>
    </row>
    <row r="2334" spans="7:20" ht="14.4" x14ac:dyDescent="0.25">
      <c r="G2334" s="10">
        <v>5319</v>
      </c>
      <c r="H2334" s="9">
        <v>37828</v>
      </c>
      <c r="I2334" s="14">
        <f>DATE(2012,12,31)-621</f>
        <v>40653</v>
      </c>
      <c r="J2334" s="15" t="s">
        <v>25</v>
      </c>
      <c r="K2334" s="9">
        <v>23</v>
      </c>
      <c r="L2334" s="16" t="s">
        <v>27</v>
      </c>
      <c r="M2334" s="16">
        <f t="shared" si="219"/>
        <v>-0.17760342600014073</v>
      </c>
      <c r="N2334">
        <f t="shared" si="220"/>
        <v>0</v>
      </c>
      <c r="O2334">
        <f t="shared" si="221"/>
        <v>0</v>
      </c>
      <c r="P2334">
        <f t="shared" si="218"/>
        <v>4550</v>
      </c>
      <c r="Q2334">
        <f t="shared" si="222"/>
        <v>4550</v>
      </c>
      <c r="T2334" s="16">
        <f t="shared" si="223"/>
        <v>-0.17760342600014112</v>
      </c>
    </row>
    <row r="2335" spans="7:20" ht="14.4" x14ac:dyDescent="0.25">
      <c r="G2335" s="10">
        <v>5320</v>
      </c>
      <c r="H2335" s="9">
        <v>37828</v>
      </c>
      <c r="I2335" s="14">
        <f>DATE(2012,12,31)-621</f>
        <v>40653</v>
      </c>
      <c r="J2335" s="15" t="s">
        <v>25</v>
      </c>
      <c r="K2335" s="9">
        <v>42</v>
      </c>
      <c r="L2335" s="16" t="s">
        <v>26</v>
      </c>
      <c r="M2335" s="16">
        <f t="shared" si="219"/>
        <v>1.1345323297650665</v>
      </c>
      <c r="N2335">
        <f t="shared" si="220"/>
        <v>0</v>
      </c>
      <c r="O2335">
        <f t="shared" si="221"/>
        <v>0</v>
      </c>
      <c r="P2335">
        <f t="shared" si="218"/>
        <v>5500</v>
      </c>
      <c r="Q2335">
        <f t="shared" si="222"/>
        <v>5500</v>
      </c>
      <c r="T2335" s="16">
        <f t="shared" si="223"/>
        <v>1.1345323297650662</v>
      </c>
    </row>
    <row r="2336" spans="7:20" ht="14.4" x14ac:dyDescent="0.25">
      <c r="G2336" s="10">
        <v>5336</v>
      </c>
      <c r="H2336" s="9">
        <v>37920</v>
      </c>
      <c r="I2336" s="14">
        <f>DATE(2012,12,31)-901</f>
        <v>40373</v>
      </c>
      <c r="J2336" s="15" t="s">
        <v>30</v>
      </c>
      <c r="K2336" s="9">
        <v>48</v>
      </c>
      <c r="L2336" s="16" t="s">
        <v>27</v>
      </c>
      <c r="M2336" s="16">
        <f t="shared" si="219"/>
        <v>1.5488909894803951</v>
      </c>
      <c r="N2336">
        <f t="shared" si="220"/>
        <v>0</v>
      </c>
      <c r="O2336">
        <f t="shared" si="221"/>
        <v>0</v>
      </c>
      <c r="P2336">
        <f t="shared" si="218"/>
        <v>5800</v>
      </c>
      <c r="Q2336">
        <f t="shared" si="222"/>
        <v>5800</v>
      </c>
      <c r="T2336" s="16">
        <f t="shared" si="223"/>
        <v>1.5488909894803948</v>
      </c>
    </row>
    <row r="2337" spans="7:20" ht="14.4" x14ac:dyDescent="0.25">
      <c r="G2337" s="10">
        <v>5357</v>
      </c>
      <c r="H2337" s="9">
        <v>38052</v>
      </c>
      <c r="I2337" s="14">
        <f>DATE(2012,12,31)-320</f>
        <v>40954</v>
      </c>
      <c r="J2337" s="15" t="s">
        <v>25</v>
      </c>
      <c r="K2337" s="9">
        <v>13</v>
      </c>
      <c r="L2337" s="16" t="s">
        <v>27</v>
      </c>
      <c r="M2337" s="16">
        <f t="shared" si="219"/>
        <v>-0.86820119219235514</v>
      </c>
      <c r="N2337">
        <f t="shared" si="220"/>
        <v>0</v>
      </c>
      <c r="O2337">
        <f t="shared" si="221"/>
        <v>0</v>
      </c>
      <c r="P2337">
        <f t="shared" si="218"/>
        <v>4050</v>
      </c>
      <c r="Q2337">
        <f t="shared" si="222"/>
        <v>4050</v>
      </c>
      <c r="T2337" s="16">
        <f t="shared" si="223"/>
        <v>-0.86820119219235548</v>
      </c>
    </row>
    <row r="2338" spans="7:20" ht="14.4" x14ac:dyDescent="0.25">
      <c r="G2338" s="10">
        <v>5358</v>
      </c>
      <c r="H2338" s="9">
        <v>38080</v>
      </c>
      <c r="I2338" s="14">
        <f>DATE(2012,12,31)-1204</f>
        <v>40070</v>
      </c>
      <c r="J2338" s="15" t="s">
        <v>28</v>
      </c>
      <c r="K2338" s="9">
        <v>26</v>
      </c>
      <c r="L2338" s="16" t="s">
        <v>26</v>
      </c>
      <c r="M2338" s="16">
        <f t="shared" si="219"/>
        <v>2.9575903857523567E-2</v>
      </c>
      <c r="N2338">
        <f t="shared" si="220"/>
        <v>0</v>
      </c>
      <c r="O2338">
        <f t="shared" si="221"/>
        <v>0</v>
      </c>
      <c r="P2338">
        <f t="shared" si="218"/>
        <v>4700</v>
      </c>
      <c r="Q2338">
        <f t="shared" si="222"/>
        <v>4700</v>
      </c>
      <c r="T2338" s="16">
        <f t="shared" si="223"/>
        <v>2.9575903857523185E-2</v>
      </c>
    </row>
    <row r="2339" spans="7:20" ht="14.4" x14ac:dyDescent="0.25">
      <c r="G2339" s="10">
        <v>5364</v>
      </c>
      <c r="H2339" s="9">
        <v>38145</v>
      </c>
      <c r="I2339" s="14">
        <f>DATE(2012,12,31)-1206</f>
        <v>40068</v>
      </c>
      <c r="J2339" s="15" t="s">
        <v>28</v>
      </c>
      <c r="K2339" s="9">
        <v>33</v>
      </c>
      <c r="L2339" s="16" t="s">
        <v>26</v>
      </c>
      <c r="M2339" s="16">
        <f t="shared" si="219"/>
        <v>0.51299434019207357</v>
      </c>
      <c r="N2339">
        <f t="shared" si="220"/>
        <v>0</v>
      </c>
      <c r="O2339">
        <f t="shared" si="221"/>
        <v>0</v>
      </c>
      <c r="P2339">
        <f t="shared" si="218"/>
        <v>5050</v>
      </c>
      <c r="Q2339">
        <f t="shared" si="222"/>
        <v>5050</v>
      </c>
      <c r="T2339" s="16">
        <f t="shared" si="223"/>
        <v>0.51299434019207324</v>
      </c>
    </row>
    <row r="2340" spans="7:20" ht="14.4" x14ac:dyDescent="0.25">
      <c r="G2340" s="10">
        <v>5365</v>
      </c>
      <c r="H2340" s="9">
        <v>38145</v>
      </c>
      <c r="I2340" s="14">
        <f>DATE(2012,12,31)-1206</f>
        <v>40068</v>
      </c>
      <c r="J2340" s="15" t="s">
        <v>28</v>
      </c>
      <c r="K2340" s="9">
        <v>8</v>
      </c>
      <c r="L2340" s="16" t="s">
        <v>29</v>
      </c>
      <c r="M2340" s="16">
        <f t="shared" si="219"/>
        <v>-1.2135000752884624</v>
      </c>
      <c r="N2340">
        <f t="shared" si="220"/>
        <v>0</v>
      </c>
      <c r="O2340">
        <f t="shared" si="221"/>
        <v>0</v>
      </c>
      <c r="P2340">
        <f t="shared" si="218"/>
        <v>3800</v>
      </c>
      <c r="Q2340">
        <f t="shared" si="222"/>
        <v>3800</v>
      </c>
      <c r="T2340" s="16">
        <f t="shared" si="223"/>
        <v>-1.2135000752884626</v>
      </c>
    </row>
    <row r="2341" spans="7:20" ht="14.4" x14ac:dyDescent="0.25">
      <c r="G2341" s="10">
        <v>5405</v>
      </c>
      <c r="H2341" s="9">
        <v>38437</v>
      </c>
      <c r="I2341" s="14">
        <f>DATE(2012,12,31)-237</f>
        <v>41037</v>
      </c>
      <c r="J2341" s="15" t="s">
        <v>30</v>
      </c>
      <c r="K2341" s="9">
        <v>19</v>
      </c>
      <c r="L2341" s="16" t="s">
        <v>29</v>
      </c>
      <c r="M2341" s="16">
        <f t="shared" si="219"/>
        <v>-0.45384253247702649</v>
      </c>
      <c r="N2341">
        <f t="shared" si="220"/>
        <v>0</v>
      </c>
      <c r="O2341">
        <f t="shared" si="221"/>
        <v>0</v>
      </c>
      <c r="P2341">
        <f t="shared" si="218"/>
        <v>4350</v>
      </c>
      <c r="Q2341">
        <f t="shared" si="222"/>
        <v>4350</v>
      </c>
      <c r="T2341" s="16">
        <f t="shared" si="223"/>
        <v>-0.45384253247702688</v>
      </c>
    </row>
    <row r="2342" spans="7:20" ht="14.4" x14ac:dyDescent="0.25">
      <c r="G2342" s="10">
        <v>5406</v>
      </c>
      <c r="H2342" s="9">
        <v>38437</v>
      </c>
      <c r="I2342" s="14">
        <f>DATE(2012,12,31)-237</f>
        <v>41037</v>
      </c>
      <c r="J2342" s="15" t="s">
        <v>30</v>
      </c>
      <c r="K2342" s="9">
        <v>17</v>
      </c>
      <c r="L2342" s="16" t="s">
        <v>26</v>
      </c>
      <c r="M2342" s="16">
        <f t="shared" si="219"/>
        <v>-0.59196208571546938</v>
      </c>
      <c r="N2342">
        <f t="shared" si="220"/>
        <v>0</v>
      </c>
      <c r="O2342">
        <f t="shared" si="221"/>
        <v>0</v>
      </c>
      <c r="P2342">
        <f t="shared" si="218"/>
        <v>4250</v>
      </c>
      <c r="Q2342">
        <f t="shared" si="222"/>
        <v>4250</v>
      </c>
      <c r="T2342" s="16">
        <f t="shared" si="223"/>
        <v>-0.59196208571546971</v>
      </c>
    </row>
    <row r="2343" spans="7:20" ht="14.4" x14ac:dyDescent="0.25">
      <c r="G2343" s="10">
        <v>5416</v>
      </c>
      <c r="H2343" s="9">
        <v>38503</v>
      </c>
      <c r="I2343" s="14">
        <f>DATE(2012,12,31)-1336</f>
        <v>39938</v>
      </c>
      <c r="J2343" s="15" t="s">
        <v>25</v>
      </c>
      <c r="K2343" s="9">
        <v>47</v>
      </c>
      <c r="L2343" s="16" t="s">
        <v>26</v>
      </c>
      <c r="M2343" s="16">
        <f t="shared" si="219"/>
        <v>1.4798312128611737</v>
      </c>
      <c r="N2343">
        <f t="shared" si="220"/>
        <v>0</v>
      </c>
      <c r="O2343">
        <f t="shared" si="221"/>
        <v>0</v>
      </c>
      <c r="P2343">
        <f t="shared" si="218"/>
        <v>5750</v>
      </c>
      <c r="Q2343">
        <f t="shared" si="222"/>
        <v>5750</v>
      </c>
      <c r="T2343" s="16">
        <f t="shared" si="223"/>
        <v>1.4798312128611733</v>
      </c>
    </row>
    <row r="2344" spans="7:20" ht="14.4" x14ac:dyDescent="0.25">
      <c r="G2344" s="10">
        <v>5417</v>
      </c>
      <c r="H2344" s="9">
        <v>38503</v>
      </c>
      <c r="I2344" s="14">
        <f>DATE(2012,12,31)-1336</f>
        <v>39938</v>
      </c>
      <c r="J2344" s="15" t="s">
        <v>25</v>
      </c>
      <c r="K2344" s="9">
        <v>10</v>
      </c>
      <c r="L2344" s="16" t="s">
        <v>27</v>
      </c>
      <c r="M2344" s="16">
        <f t="shared" si="219"/>
        <v>-1.0753805220500194</v>
      </c>
      <c r="N2344">
        <f t="shared" si="220"/>
        <v>0</v>
      </c>
      <c r="O2344">
        <f t="shared" si="221"/>
        <v>0</v>
      </c>
      <c r="P2344">
        <f t="shared" si="218"/>
        <v>3900</v>
      </c>
      <c r="Q2344">
        <f t="shared" si="222"/>
        <v>3900</v>
      </c>
      <c r="T2344" s="16">
        <f t="shared" si="223"/>
        <v>-1.0753805220500199</v>
      </c>
    </row>
    <row r="2345" spans="7:20" ht="14.4" x14ac:dyDescent="0.25">
      <c r="G2345" s="10">
        <v>5418</v>
      </c>
      <c r="H2345" s="9">
        <v>38503</v>
      </c>
      <c r="I2345" s="14">
        <f>DATE(2012,12,31)-1336</f>
        <v>39938</v>
      </c>
      <c r="J2345" s="15" t="s">
        <v>25</v>
      </c>
      <c r="K2345" s="9">
        <v>32</v>
      </c>
      <c r="L2345" s="16" t="s">
        <v>29</v>
      </c>
      <c r="M2345" s="16">
        <f t="shared" si="219"/>
        <v>0.44393456357285216</v>
      </c>
      <c r="N2345">
        <f t="shared" si="220"/>
        <v>0</v>
      </c>
      <c r="O2345">
        <f t="shared" si="221"/>
        <v>0</v>
      </c>
      <c r="P2345">
        <f t="shared" si="218"/>
        <v>5000</v>
      </c>
      <c r="Q2345">
        <f t="shared" si="222"/>
        <v>5000</v>
      </c>
      <c r="T2345" s="16">
        <f t="shared" si="223"/>
        <v>0.44393456357285183</v>
      </c>
    </row>
    <row r="2346" spans="7:20" ht="14.4" x14ac:dyDescent="0.25">
      <c r="G2346" s="10">
        <v>5422</v>
      </c>
      <c r="H2346" s="9">
        <v>38530</v>
      </c>
      <c r="I2346" s="14">
        <f>DATE(2012,12,31)-624</f>
        <v>40650</v>
      </c>
      <c r="J2346" s="15" t="s">
        <v>30</v>
      </c>
      <c r="K2346" s="9">
        <v>47</v>
      </c>
      <c r="L2346" s="16" t="s">
        <v>26</v>
      </c>
      <c r="M2346" s="16">
        <f t="shared" si="219"/>
        <v>1.4798312128611737</v>
      </c>
      <c r="N2346">
        <f t="shared" si="220"/>
        <v>0</v>
      </c>
      <c r="O2346">
        <f t="shared" si="221"/>
        <v>0</v>
      </c>
      <c r="P2346">
        <f t="shared" si="218"/>
        <v>5750</v>
      </c>
      <c r="Q2346">
        <f t="shared" si="222"/>
        <v>5750</v>
      </c>
      <c r="T2346" s="16">
        <f t="shared" si="223"/>
        <v>1.4798312128611733</v>
      </c>
    </row>
    <row r="2347" spans="7:20" ht="14.4" x14ac:dyDescent="0.25">
      <c r="G2347" s="10">
        <v>5423</v>
      </c>
      <c r="H2347" s="9">
        <v>38530</v>
      </c>
      <c r="I2347" s="14">
        <f>DATE(2012,12,31)-624</f>
        <v>40650</v>
      </c>
      <c r="J2347" s="15" t="s">
        <v>30</v>
      </c>
      <c r="K2347" s="9">
        <v>13</v>
      </c>
      <c r="L2347" s="16" t="s">
        <v>26</v>
      </c>
      <c r="M2347" s="16">
        <f t="shared" si="219"/>
        <v>-0.86820119219235514</v>
      </c>
      <c r="N2347">
        <f t="shared" si="220"/>
        <v>0</v>
      </c>
      <c r="O2347">
        <f t="shared" si="221"/>
        <v>0</v>
      </c>
      <c r="P2347">
        <f t="shared" si="218"/>
        <v>4050</v>
      </c>
      <c r="Q2347">
        <f t="shared" si="222"/>
        <v>4050</v>
      </c>
      <c r="T2347" s="16">
        <f t="shared" si="223"/>
        <v>-0.86820119219235548</v>
      </c>
    </row>
    <row r="2348" spans="7:20" ht="14.4" x14ac:dyDescent="0.25">
      <c r="G2348" s="10">
        <v>5455</v>
      </c>
      <c r="H2348" s="9">
        <v>38726</v>
      </c>
      <c r="I2348" s="14">
        <f>DATE(2012,12,31)-1320</f>
        <v>39954</v>
      </c>
      <c r="J2348" s="15" t="s">
        <v>16</v>
      </c>
      <c r="K2348" s="9">
        <v>44</v>
      </c>
      <c r="L2348" s="16" t="s">
        <v>26</v>
      </c>
      <c r="M2348" s="16">
        <f t="shared" si="219"/>
        <v>1.2726518830035094</v>
      </c>
      <c r="N2348">
        <f t="shared" si="220"/>
        <v>0</v>
      </c>
      <c r="O2348">
        <f t="shared" si="221"/>
        <v>0</v>
      </c>
      <c r="P2348">
        <f t="shared" si="218"/>
        <v>5600</v>
      </c>
      <c r="Q2348">
        <f t="shared" si="222"/>
        <v>5600</v>
      </c>
      <c r="T2348" s="16">
        <f t="shared" si="223"/>
        <v>1.272651883003509</v>
      </c>
    </row>
    <row r="2349" spans="7:20" ht="14.4" x14ac:dyDescent="0.25">
      <c r="G2349" s="10">
        <v>5531</v>
      </c>
      <c r="H2349" s="9">
        <v>39172</v>
      </c>
      <c r="I2349" s="14">
        <f>DATE(2012,12,31)-920</f>
        <v>40354</v>
      </c>
      <c r="J2349" s="15" t="s">
        <v>25</v>
      </c>
      <c r="K2349" s="9">
        <v>38</v>
      </c>
      <c r="L2349" s="16" t="s">
        <v>26</v>
      </c>
      <c r="M2349" s="16">
        <f t="shared" si="219"/>
        <v>0.85829322328818081</v>
      </c>
      <c r="N2349">
        <f t="shared" si="220"/>
        <v>0</v>
      </c>
      <c r="O2349">
        <f t="shared" si="221"/>
        <v>0</v>
      </c>
      <c r="P2349">
        <f t="shared" si="218"/>
        <v>5300</v>
      </c>
      <c r="Q2349">
        <f t="shared" si="222"/>
        <v>5300</v>
      </c>
      <c r="T2349" s="16">
        <f t="shared" si="223"/>
        <v>0.85829322328818036</v>
      </c>
    </row>
    <row r="2350" spans="7:20" ht="14.4" x14ac:dyDescent="0.25">
      <c r="G2350" s="10">
        <v>5532</v>
      </c>
      <c r="H2350" s="9">
        <v>39172</v>
      </c>
      <c r="I2350" s="14">
        <f>DATE(2012,12,31)-920</f>
        <v>40354</v>
      </c>
      <c r="J2350" s="15" t="s">
        <v>25</v>
      </c>
      <c r="K2350" s="9">
        <v>26</v>
      </c>
      <c r="L2350" s="16" t="s">
        <v>26</v>
      </c>
      <c r="M2350" s="16">
        <f t="shared" si="219"/>
        <v>2.9575903857523567E-2</v>
      </c>
      <c r="N2350">
        <f t="shared" si="220"/>
        <v>0</v>
      </c>
      <c r="O2350">
        <f t="shared" si="221"/>
        <v>0</v>
      </c>
      <c r="P2350">
        <f t="shared" si="218"/>
        <v>4700</v>
      </c>
      <c r="Q2350">
        <f t="shared" si="222"/>
        <v>4700</v>
      </c>
      <c r="T2350" s="16">
        <f t="shared" si="223"/>
        <v>2.9575903857523185E-2</v>
      </c>
    </row>
    <row r="2351" spans="7:20" ht="14.4" x14ac:dyDescent="0.25">
      <c r="G2351" s="10">
        <v>5547</v>
      </c>
      <c r="H2351" s="9">
        <v>39269</v>
      </c>
      <c r="I2351" s="14">
        <f>DATE(2012,12,31)-66</f>
        <v>41208</v>
      </c>
      <c r="J2351" s="15" t="s">
        <v>25</v>
      </c>
      <c r="K2351" s="9">
        <v>16</v>
      </c>
      <c r="L2351" s="16" t="s">
        <v>27</v>
      </c>
      <c r="M2351" s="16">
        <f t="shared" si="219"/>
        <v>-0.66102186233469074</v>
      </c>
      <c r="N2351">
        <f t="shared" si="220"/>
        <v>0</v>
      </c>
      <c r="O2351">
        <f t="shared" si="221"/>
        <v>0</v>
      </c>
      <c r="P2351">
        <f t="shared" si="218"/>
        <v>4200</v>
      </c>
      <c r="Q2351">
        <f t="shared" si="222"/>
        <v>4200</v>
      </c>
      <c r="T2351" s="16">
        <f t="shared" si="223"/>
        <v>-0.66102186233469118</v>
      </c>
    </row>
    <row r="2352" spans="7:20" ht="14.4" x14ac:dyDescent="0.25">
      <c r="G2352" s="10">
        <v>5552</v>
      </c>
      <c r="H2352" s="9">
        <v>39330</v>
      </c>
      <c r="I2352" s="14">
        <f>DATE(2012,12,31)-898</f>
        <v>40376</v>
      </c>
      <c r="J2352" s="15" t="s">
        <v>30</v>
      </c>
      <c r="K2352" s="9">
        <v>29</v>
      </c>
      <c r="L2352" s="16" t="s">
        <v>26</v>
      </c>
      <c r="M2352" s="16">
        <f t="shared" si="219"/>
        <v>0.23675523371518786</v>
      </c>
      <c r="N2352">
        <f t="shared" si="220"/>
        <v>0</v>
      </c>
      <c r="O2352">
        <f t="shared" si="221"/>
        <v>0</v>
      </c>
      <c r="P2352">
        <f t="shared" si="218"/>
        <v>4850</v>
      </c>
      <c r="Q2352">
        <f t="shared" si="222"/>
        <v>4850</v>
      </c>
      <c r="T2352" s="16">
        <f t="shared" si="223"/>
        <v>0.2367552337151875</v>
      </c>
    </row>
    <row r="2353" spans="7:20" ht="14.4" x14ac:dyDescent="0.25">
      <c r="G2353" s="10">
        <v>5561</v>
      </c>
      <c r="H2353" s="9">
        <v>39365</v>
      </c>
      <c r="I2353" s="14">
        <f>DATE(2012,12,31)-231</f>
        <v>41043</v>
      </c>
      <c r="J2353" s="15" t="s">
        <v>17</v>
      </c>
      <c r="K2353" s="9">
        <v>32</v>
      </c>
      <c r="L2353" s="16" t="s">
        <v>27</v>
      </c>
      <c r="M2353" s="16">
        <f t="shared" si="219"/>
        <v>0.44393456357285216</v>
      </c>
      <c r="N2353">
        <f t="shared" si="220"/>
        <v>0</v>
      </c>
      <c r="O2353">
        <f t="shared" si="221"/>
        <v>0</v>
      </c>
      <c r="P2353">
        <f t="shared" si="218"/>
        <v>5000</v>
      </c>
      <c r="Q2353">
        <f t="shared" si="222"/>
        <v>5000</v>
      </c>
      <c r="T2353" s="16">
        <f t="shared" si="223"/>
        <v>0.44393456357285183</v>
      </c>
    </row>
    <row r="2354" spans="7:20" ht="14.4" x14ac:dyDescent="0.25">
      <c r="G2354" s="10">
        <v>5568</v>
      </c>
      <c r="H2354" s="9">
        <v>39430</v>
      </c>
      <c r="I2354" s="14">
        <f>DATE(2012,12,31)-1297</f>
        <v>39977</v>
      </c>
      <c r="J2354" s="15" t="s">
        <v>25</v>
      </c>
      <c r="K2354" s="9">
        <v>29</v>
      </c>
      <c r="L2354" s="16" t="s">
        <v>27</v>
      </c>
      <c r="M2354" s="16">
        <f t="shared" si="219"/>
        <v>0.23675523371518786</v>
      </c>
      <c r="N2354">
        <f t="shared" si="220"/>
        <v>0</v>
      </c>
      <c r="O2354">
        <f t="shared" si="221"/>
        <v>0</v>
      </c>
      <c r="P2354">
        <f t="shared" si="218"/>
        <v>4850</v>
      </c>
      <c r="Q2354">
        <f t="shared" si="222"/>
        <v>4850</v>
      </c>
      <c r="T2354" s="16">
        <f t="shared" si="223"/>
        <v>0.2367552337151875</v>
      </c>
    </row>
    <row r="2355" spans="7:20" ht="14.4" x14ac:dyDescent="0.25">
      <c r="G2355" s="10">
        <v>5580</v>
      </c>
      <c r="H2355" s="9">
        <v>39555</v>
      </c>
      <c r="I2355" s="14">
        <f>DATE(2012,12,31)-118</f>
        <v>41156</v>
      </c>
      <c r="J2355" s="15" t="s">
        <v>25</v>
      </c>
      <c r="K2355" s="9">
        <v>38</v>
      </c>
      <c r="L2355" s="16" t="s">
        <v>26</v>
      </c>
      <c r="M2355" s="16">
        <f t="shared" si="219"/>
        <v>0.85829322328818081</v>
      </c>
      <c r="N2355">
        <f t="shared" si="220"/>
        <v>0</v>
      </c>
      <c r="O2355">
        <f t="shared" si="221"/>
        <v>0</v>
      </c>
      <c r="P2355">
        <f t="shared" si="218"/>
        <v>5300</v>
      </c>
      <c r="Q2355">
        <f t="shared" si="222"/>
        <v>5300</v>
      </c>
      <c r="T2355" s="16">
        <f t="shared" si="223"/>
        <v>0.85829322328818036</v>
      </c>
    </row>
    <row r="2356" spans="7:20" ht="14.4" x14ac:dyDescent="0.25">
      <c r="G2356" s="10">
        <v>5609</v>
      </c>
      <c r="H2356" s="9">
        <v>39749</v>
      </c>
      <c r="I2356" s="14">
        <f>DATE(2012,12,31)-918</f>
        <v>40356</v>
      </c>
      <c r="J2356" s="15" t="s">
        <v>17</v>
      </c>
      <c r="K2356" s="9">
        <v>14</v>
      </c>
      <c r="L2356" s="16" t="s">
        <v>29</v>
      </c>
      <c r="M2356" s="16">
        <f t="shared" si="219"/>
        <v>-0.79914141557313367</v>
      </c>
      <c r="N2356">
        <f t="shared" si="220"/>
        <v>0</v>
      </c>
      <c r="O2356">
        <f t="shared" si="221"/>
        <v>0</v>
      </c>
      <c r="P2356">
        <f t="shared" si="218"/>
        <v>4100</v>
      </c>
      <c r="Q2356">
        <f t="shared" si="222"/>
        <v>4100</v>
      </c>
      <c r="T2356" s="16">
        <f t="shared" si="223"/>
        <v>-0.79914141557313401</v>
      </c>
    </row>
    <row r="2357" spans="7:20" ht="14.4" x14ac:dyDescent="0.25">
      <c r="G2357" s="10">
        <v>5610</v>
      </c>
      <c r="H2357" s="9">
        <v>39749</v>
      </c>
      <c r="I2357" s="14">
        <f>DATE(2012,12,31)-918</f>
        <v>40356</v>
      </c>
      <c r="J2357" s="15" t="s">
        <v>17</v>
      </c>
      <c r="K2357" s="9">
        <v>45</v>
      </c>
      <c r="L2357" s="16" t="s">
        <v>27</v>
      </c>
      <c r="M2357" s="16">
        <f t="shared" si="219"/>
        <v>1.3417116596227308</v>
      </c>
      <c r="N2357">
        <f t="shared" si="220"/>
        <v>0</v>
      </c>
      <c r="O2357">
        <f t="shared" si="221"/>
        <v>0</v>
      </c>
      <c r="P2357">
        <f t="shared" si="218"/>
        <v>5650</v>
      </c>
      <c r="Q2357">
        <f t="shared" si="222"/>
        <v>5650</v>
      </c>
      <c r="T2357" s="16">
        <f t="shared" si="223"/>
        <v>1.3417116596227305</v>
      </c>
    </row>
    <row r="2358" spans="7:20" ht="14.4" x14ac:dyDescent="0.25">
      <c r="G2358" s="10">
        <v>5611</v>
      </c>
      <c r="H2358" s="9">
        <v>39749</v>
      </c>
      <c r="I2358" s="14">
        <f>DATE(2012,12,31)-918</f>
        <v>40356</v>
      </c>
      <c r="J2358" s="15" t="s">
        <v>17</v>
      </c>
      <c r="K2358" s="9">
        <v>43</v>
      </c>
      <c r="L2358" s="16" t="s">
        <v>26</v>
      </c>
      <c r="M2358" s="16">
        <f t="shared" si="219"/>
        <v>1.203592106384288</v>
      </c>
      <c r="N2358">
        <f t="shared" si="220"/>
        <v>0</v>
      </c>
      <c r="O2358">
        <f t="shared" si="221"/>
        <v>0</v>
      </c>
      <c r="P2358">
        <f t="shared" si="218"/>
        <v>5550</v>
      </c>
      <c r="Q2358">
        <f t="shared" si="222"/>
        <v>5550</v>
      </c>
      <c r="T2358" s="16">
        <f t="shared" si="223"/>
        <v>1.2035921063842876</v>
      </c>
    </row>
    <row r="2359" spans="7:20" ht="14.4" x14ac:dyDescent="0.25">
      <c r="G2359" s="10">
        <v>5622</v>
      </c>
      <c r="H2359" s="9">
        <v>39815</v>
      </c>
      <c r="I2359" s="14">
        <f>DATE(2012,12,31)-1362</f>
        <v>39912</v>
      </c>
      <c r="J2359" s="15" t="s">
        <v>25</v>
      </c>
      <c r="K2359" s="9">
        <v>43</v>
      </c>
      <c r="L2359" s="16" t="s">
        <v>27</v>
      </c>
      <c r="M2359" s="16">
        <f t="shared" si="219"/>
        <v>1.203592106384288</v>
      </c>
      <c r="N2359">
        <f t="shared" si="220"/>
        <v>0</v>
      </c>
      <c r="O2359">
        <f t="shared" si="221"/>
        <v>0</v>
      </c>
      <c r="P2359">
        <f t="shared" si="218"/>
        <v>5550</v>
      </c>
      <c r="Q2359">
        <f t="shared" si="222"/>
        <v>5550</v>
      </c>
      <c r="T2359" s="16">
        <f t="shared" si="223"/>
        <v>1.2035921063842876</v>
      </c>
    </row>
    <row r="2360" spans="7:20" ht="14.4" x14ac:dyDescent="0.25">
      <c r="G2360" s="10">
        <v>5651</v>
      </c>
      <c r="H2360" s="9">
        <v>40001</v>
      </c>
      <c r="I2360" s="14">
        <f>DATE(2012,12,31)-676</f>
        <v>40598</v>
      </c>
      <c r="J2360" s="15" t="s">
        <v>16</v>
      </c>
      <c r="K2360" s="9">
        <v>46</v>
      </c>
      <c r="L2360" s="16" t="s">
        <v>26</v>
      </c>
      <c r="M2360" s="16">
        <f t="shared" si="219"/>
        <v>1.4107714362419523</v>
      </c>
      <c r="N2360">
        <f t="shared" si="220"/>
        <v>0</v>
      </c>
      <c r="O2360">
        <f t="shared" si="221"/>
        <v>0</v>
      </c>
      <c r="P2360">
        <f t="shared" si="218"/>
        <v>5700</v>
      </c>
      <c r="Q2360">
        <f t="shared" si="222"/>
        <v>5700</v>
      </c>
      <c r="T2360" s="16">
        <f t="shared" si="223"/>
        <v>1.4107714362419519</v>
      </c>
    </row>
    <row r="2361" spans="7:20" ht="14.4" x14ac:dyDescent="0.25">
      <c r="G2361" s="10">
        <v>5708</v>
      </c>
      <c r="H2361" s="9">
        <v>40386</v>
      </c>
      <c r="I2361" s="14">
        <f>DATE(2012,12,31)-682</f>
        <v>40592</v>
      </c>
      <c r="J2361" s="15" t="s">
        <v>17</v>
      </c>
      <c r="K2361" s="9">
        <v>28</v>
      </c>
      <c r="L2361" s="16" t="s">
        <v>26</v>
      </c>
      <c r="M2361" s="16">
        <f t="shared" si="219"/>
        <v>0.16769545709596645</v>
      </c>
      <c r="N2361">
        <f t="shared" si="220"/>
        <v>0</v>
      </c>
      <c r="O2361">
        <f t="shared" si="221"/>
        <v>0</v>
      </c>
      <c r="P2361">
        <f t="shared" si="218"/>
        <v>4800</v>
      </c>
      <c r="Q2361">
        <f t="shared" si="222"/>
        <v>4800</v>
      </c>
      <c r="T2361" s="16">
        <f t="shared" si="223"/>
        <v>0.16769545709596606</v>
      </c>
    </row>
    <row r="2362" spans="7:20" ht="14.4" x14ac:dyDescent="0.25">
      <c r="G2362" s="10">
        <v>5729</v>
      </c>
      <c r="H2362" s="9">
        <v>40647</v>
      </c>
      <c r="I2362" s="14">
        <f>DATE(2012,12,31)-1232</f>
        <v>40042</v>
      </c>
      <c r="J2362" s="15" t="s">
        <v>17</v>
      </c>
      <c r="K2362" s="9">
        <v>47</v>
      </c>
      <c r="L2362" s="16" t="s">
        <v>26</v>
      </c>
      <c r="M2362" s="16">
        <f t="shared" si="219"/>
        <v>1.4798312128611737</v>
      </c>
      <c r="N2362">
        <f t="shared" si="220"/>
        <v>0</v>
      </c>
      <c r="O2362">
        <f t="shared" si="221"/>
        <v>0</v>
      </c>
      <c r="P2362">
        <f t="shared" si="218"/>
        <v>5750</v>
      </c>
      <c r="Q2362">
        <f t="shared" si="222"/>
        <v>5750</v>
      </c>
      <c r="T2362" s="16">
        <f t="shared" si="223"/>
        <v>1.4798312128611733</v>
      </c>
    </row>
    <row r="2363" spans="7:20" ht="14.4" x14ac:dyDescent="0.25">
      <c r="G2363" s="10">
        <v>5796</v>
      </c>
      <c r="H2363" s="9">
        <v>41120</v>
      </c>
      <c r="I2363" s="14">
        <f>DATE(2012,12,31)-177</f>
        <v>41097</v>
      </c>
      <c r="J2363" s="15" t="s">
        <v>25</v>
      </c>
      <c r="K2363" s="9">
        <v>35</v>
      </c>
      <c r="L2363" s="16" t="s">
        <v>29</v>
      </c>
      <c r="M2363" s="16">
        <f t="shared" si="219"/>
        <v>0.65111389343051651</v>
      </c>
      <c r="N2363">
        <f t="shared" si="220"/>
        <v>0</v>
      </c>
      <c r="O2363">
        <f t="shared" si="221"/>
        <v>0</v>
      </c>
      <c r="P2363">
        <f t="shared" si="218"/>
        <v>5150</v>
      </c>
      <c r="Q2363">
        <f t="shared" si="222"/>
        <v>5150</v>
      </c>
      <c r="T2363" s="16">
        <f t="shared" si="223"/>
        <v>0.65111389343051607</v>
      </c>
    </row>
    <row r="2364" spans="7:20" ht="14.4" x14ac:dyDescent="0.25">
      <c r="G2364" s="10">
        <v>5797</v>
      </c>
      <c r="H2364" s="9">
        <v>41120</v>
      </c>
      <c r="I2364" s="14">
        <f>DATE(2012,12,31)-177</f>
        <v>41097</v>
      </c>
      <c r="J2364" s="15" t="s">
        <v>25</v>
      </c>
      <c r="K2364" s="9">
        <v>13</v>
      </c>
      <c r="L2364" s="16" t="s">
        <v>29</v>
      </c>
      <c r="M2364" s="16">
        <f t="shared" si="219"/>
        <v>-0.86820119219235514</v>
      </c>
      <c r="N2364">
        <f t="shared" si="220"/>
        <v>0</v>
      </c>
      <c r="O2364">
        <f t="shared" si="221"/>
        <v>0</v>
      </c>
      <c r="P2364">
        <f t="shared" si="218"/>
        <v>4050</v>
      </c>
      <c r="Q2364">
        <f t="shared" si="222"/>
        <v>4050</v>
      </c>
      <c r="T2364" s="16">
        <f t="shared" si="223"/>
        <v>-0.86820119219235548</v>
      </c>
    </row>
    <row r="2365" spans="7:20" ht="14.4" x14ac:dyDescent="0.25">
      <c r="G2365" s="10">
        <v>5798</v>
      </c>
      <c r="H2365" s="9">
        <v>41122</v>
      </c>
      <c r="I2365" s="14">
        <f>DATE(2012,12,31)-1044</f>
        <v>40230</v>
      </c>
      <c r="J2365" s="15" t="s">
        <v>28</v>
      </c>
      <c r="K2365" s="9">
        <v>29</v>
      </c>
      <c r="L2365" s="16" t="s">
        <v>29</v>
      </c>
      <c r="M2365" s="16">
        <f t="shared" si="219"/>
        <v>0.23675523371518786</v>
      </c>
      <c r="N2365">
        <f t="shared" si="220"/>
        <v>0</v>
      </c>
      <c r="O2365">
        <f t="shared" si="221"/>
        <v>0</v>
      </c>
      <c r="P2365">
        <f t="shared" si="218"/>
        <v>4850</v>
      </c>
      <c r="Q2365">
        <f t="shared" si="222"/>
        <v>4850</v>
      </c>
      <c r="T2365" s="16">
        <f t="shared" si="223"/>
        <v>0.2367552337151875</v>
      </c>
    </row>
    <row r="2366" spans="7:20" ht="14.4" x14ac:dyDescent="0.25">
      <c r="G2366" s="10">
        <v>5809</v>
      </c>
      <c r="H2366" s="9">
        <v>41187</v>
      </c>
      <c r="I2366" s="14">
        <f>DATE(2012,12,31)-823</f>
        <v>40451</v>
      </c>
      <c r="J2366" s="15" t="s">
        <v>25</v>
      </c>
      <c r="K2366" s="9">
        <v>9</v>
      </c>
      <c r="L2366" s="16" t="s">
        <v>26</v>
      </c>
      <c r="M2366" s="16">
        <f t="shared" si="219"/>
        <v>-1.1444402986692408</v>
      </c>
      <c r="N2366">
        <f t="shared" si="220"/>
        <v>0</v>
      </c>
      <c r="O2366">
        <f t="shared" si="221"/>
        <v>0</v>
      </c>
      <c r="P2366">
        <f t="shared" si="218"/>
        <v>3850</v>
      </c>
      <c r="Q2366">
        <f t="shared" si="222"/>
        <v>3850</v>
      </c>
      <c r="T2366" s="16">
        <f t="shared" si="223"/>
        <v>-1.1444402986692412</v>
      </c>
    </row>
    <row r="2367" spans="7:20" ht="14.4" x14ac:dyDescent="0.25">
      <c r="G2367" s="10">
        <v>5810</v>
      </c>
      <c r="H2367" s="9">
        <v>41187</v>
      </c>
      <c r="I2367" s="14">
        <f>DATE(2012,12,31)-823</f>
        <v>40451</v>
      </c>
      <c r="J2367" s="15" t="s">
        <v>25</v>
      </c>
      <c r="K2367" s="9">
        <v>25</v>
      </c>
      <c r="L2367" s="16" t="s">
        <v>26</v>
      </c>
      <c r="M2367" s="16">
        <f t="shared" si="219"/>
        <v>-3.9483872761697868E-2</v>
      </c>
      <c r="N2367">
        <f t="shared" si="220"/>
        <v>0</v>
      </c>
      <c r="O2367">
        <f t="shared" si="221"/>
        <v>0</v>
      </c>
      <c r="P2367">
        <f t="shared" si="218"/>
        <v>4650</v>
      </c>
      <c r="Q2367">
        <f t="shared" si="222"/>
        <v>4650</v>
      </c>
      <c r="T2367" s="16">
        <f t="shared" si="223"/>
        <v>-3.9483872761698249E-2</v>
      </c>
    </row>
    <row r="2368" spans="7:20" ht="14.4" x14ac:dyDescent="0.25">
      <c r="G2368" s="10">
        <v>5815</v>
      </c>
      <c r="H2368" s="9">
        <v>41221</v>
      </c>
      <c r="I2368" s="14">
        <f>DATE(2012,12,31)-1206</f>
        <v>40068</v>
      </c>
      <c r="J2368" s="15" t="s">
        <v>30</v>
      </c>
      <c r="K2368" s="9">
        <v>4</v>
      </c>
      <c r="L2368" s="16" t="s">
        <v>26</v>
      </c>
      <c r="M2368" s="16">
        <f t="shared" si="219"/>
        <v>-1.489739181765348</v>
      </c>
      <c r="N2368">
        <f t="shared" si="220"/>
        <v>0</v>
      </c>
      <c r="O2368">
        <f t="shared" si="221"/>
        <v>0</v>
      </c>
      <c r="P2368">
        <f t="shared" si="218"/>
        <v>3600</v>
      </c>
      <c r="Q2368">
        <f t="shared" si="222"/>
        <v>3600</v>
      </c>
      <c r="T2368" s="16">
        <f t="shared" si="223"/>
        <v>-1.4897391817653485</v>
      </c>
    </row>
    <row r="2369" spans="7:20" ht="14.4" x14ac:dyDescent="0.25">
      <c r="G2369" s="10">
        <v>5819</v>
      </c>
      <c r="H2369" s="9">
        <v>41282</v>
      </c>
      <c r="I2369" s="14">
        <f>DATE(2012,12,31)-1276</f>
        <v>39998</v>
      </c>
      <c r="J2369" s="15" t="s">
        <v>16</v>
      </c>
      <c r="K2369" s="9">
        <v>39</v>
      </c>
      <c r="L2369" s="16" t="s">
        <v>26</v>
      </c>
      <c r="M2369" s="16">
        <f t="shared" si="219"/>
        <v>0.92735299990740228</v>
      </c>
      <c r="N2369">
        <f t="shared" si="220"/>
        <v>0</v>
      </c>
      <c r="O2369">
        <f t="shared" si="221"/>
        <v>0</v>
      </c>
      <c r="P2369">
        <f t="shared" si="218"/>
        <v>5350</v>
      </c>
      <c r="Q2369">
        <f t="shared" si="222"/>
        <v>5350</v>
      </c>
      <c r="T2369" s="16">
        <f t="shared" si="223"/>
        <v>0.92735299990740183</v>
      </c>
    </row>
    <row r="2370" spans="7:20" ht="14.4" x14ac:dyDescent="0.25">
      <c r="G2370" s="10">
        <v>5821</v>
      </c>
      <c r="H2370" s="9">
        <v>41312</v>
      </c>
      <c r="I2370" s="14">
        <f>DATE(2012,12,31)-335</f>
        <v>40939</v>
      </c>
      <c r="J2370" s="15" t="s">
        <v>28</v>
      </c>
      <c r="K2370" s="9">
        <v>21</v>
      </c>
      <c r="L2370" s="16" t="s">
        <v>27</v>
      </c>
      <c r="M2370" s="16">
        <f t="shared" si="219"/>
        <v>-0.31572297923858361</v>
      </c>
      <c r="N2370">
        <f t="shared" si="220"/>
        <v>0</v>
      </c>
      <c r="O2370">
        <f t="shared" si="221"/>
        <v>0</v>
      </c>
      <c r="P2370">
        <f t="shared" si="218"/>
        <v>4450</v>
      </c>
      <c r="Q2370">
        <f t="shared" si="222"/>
        <v>4450</v>
      </c>
      <c r="T2370" s="16">
        <f t="shared" si="223"/>
        <v>-0.315722979238584</v>
      </c>
    </row>
    <row r="2371" spans="7:20" ht="14.4" x14ac:dyDescent="0.25">
      <c r="G2371" s="10">
        <v>5824</v>
      </c>
      <c r="H2371" s="9">
        <v>41318</v>
      </c>
      <c r="I2371" s="14">
        <f>DATE(2012,12,31)-449</f>
        <v>40825</v>
      </c>
      <c r="J2371" s="15" t="s">
        <v>25</v>
      </c>
      <c r="K2371" s="9">
        <v>21</v>
      </c>
      <c r="L2371" s="16" t="s">
        <v>26</v>
      </c>
      <c r="M2371" s="16">
        <f t="shared" si="219"/>
        <v>-0.31572297923858361</v>
      </c>
      <c r="N2371">
        <f t="shared" si="220"/>
        <v>0</v>
      </c>
      <c r="O2371">
        <f t="shared" si="221"/>
        <v>0</v>
      </c>
      <c r="P2371">
        <f t="shared" si="218"/>
        <v>4450</v>
      </c>
      <c r="Q2371">
        <f t="shared" si="222"/>
        <v>4450</v>
      </c>
      <c r="T2371" s="16">
        <f t="shared" si="223"/>
        <v>-0.315722979238584</v>
      </c>
    </row>
    <row r="2372" spans="7:20" ht="14.4" x14ac:dyDescent="0.25">
      <c r="G2372" s="10">
        <v>5825</v>
      </c>
      <c r="H2372" s="9">
        <v>41345</v>
      </c>
      <c r="I2372" s="14">
        <f>DATE(2012,12,31)-333</f>
        <v>40941</v>
      </c>
      <c r="J2372" s="15" t="s">
        <v>16</v>
      </c>
      <c r="K2372" s="9">
        <v>36</v>
      </c>
      <c r="L2372" s="16" t="s">
        <v>26</v>
      </c>
      <c r="M2372" s="16">
        <f t="shared" si="219"/>
        <v>0.72017367004973787</v>
      </c>
      <c r="N2372">
        <f t="shared" si="220"/>
        <v>0</v>
      </c>
      <c r="O2372">
        <f t="shared" si="221"/>
        <v>0</v>
      </c>
      <c r="P2372">
        <f t="shared" si="218"/>
        <v>5200</v>
      </c>
      <c r="Q2372">
        <f t="shared" si="222"/>
        <v>5200</v>
      </c>
      <c r="T2372" s="16">
        <f t="shared" si="223"/>
        <v>0.72017367004973754</v>
      </c>
    </row>
    <row r="2373" spans="7:20" ht="14.4" x14ac:dyDescent="0.25">
      <c r="G2373" s="10">
        <v>5860</v>
      </c>
      <c r="H2373" s="9">
        <v>41604</v>
      </c>
      <c r="I2373" s="14">
        <f>DATE(2012,12,31)-1420</f>
        <v>39854</v>
      </c>
      <c r="J2373" s="15" t="s">
        <v>16</v>
      </c>
      <c r="K2373" s="9">
        <v>22</v>
      </c>
      <c r="L2373" s="16" t="s">
        <v>26</v>
      </c>
      <c r="M2373" s="16">
        <f t="shared" si="219"/>
        <v>-0.24666320261936217</v>
      </c>
      <c r="N2373">
        <f t="shared" si="220"/>
        <v>0</v>
      </c>
      <c r="O2373">
        <f t="shared" si="221"/>
        <v>0</v>
      </c>
      <c r="P2373">
        <f t="shared" si="218"/>
        <v>4500</v>
      </c>
      <c r="Q2373">
        <f t="shared" si="222"/>
        <v>4500</v>
      </c>
      <c r="T2373" s="16">
        <f t="shared" si="223"/>
        <v>-0.24666320261936256</v>
      </c>
    </row>
    <row r="2374" spans="7:20" ht="14.4" x14ac:dyDescent="0.25">
      <c r="G2374" s="10">
        <v>5909</v>
      </c>
      <c r="H2374" s="9">
        <v>41891</v>
      </c>
      <c r="I2374" s="14">
        <f>DATE(2012,12,31)-589</f>
        <v>40685</v>
      </c>
      <c r="J2374" s="15" t="s">
        <v>17</v>
      </c>
      <c r="K2374" s="9">
        <v>22</v>
      </c>
      <c r="L2374" s="16" t="s">
        <v>29</v>
      </c>
      <c r="M2374" s="16">
        <f t="shared" si="219"/>
        <v>-0.24666320261936217</v>
      </c>
      <c r="N2374">
        <f t="shared" si="220"/>
        <v>0</v>
      </c>
      <c r="O2374">
        <f t="shared" si="221"/>
        <v>0</v>
      </c>
      <c r="P2374">
        <f t="shared" si="218"/>
        <v>4500</v>
      </c>
      <c r="Q2374">
        <f t="shared" si="222"/>
        <v>4500</v>
      </c>
      <c r="T2374" s="16">
        <f t="shared" si="223"/>
        <v>-0.24666320261936256</v>
      </c>
    </row>
    <row r="2375" spans="7:20" ht="14.4" x14ac:dyDescent="0.25">
      <c r="G2375" s="10">
        <v>5925</v>
      </c>
      <c r="H2375" s="9">
        <v>42022</v>
      </c>
      <c r="I2375" s="14">
        <f>DATE(2012,12,31)-1194</f>
        <v>40080</v>
      </c>
      <c r="J2375" s="15" t="s">
        <v>16</v>
      </c>
      <c r="K2375" s="9">
        <v>45</v>
      </c>
      <c r="L2375" s="16" t="s">
        <v>26</v>
      </c>
      <c r="M2375" s="16">
        <f t="shared" si="219"/>
        <v>1.3417116596227308</v>
      </c>
      <c r="N2375">
        <f t="shared" si="220"/>
        <v>0</v>
      </c>
      <c r="O2375">
        <f t="shared" si="221"/>
        <v>0</v>
      </c>
      <c r="P2375">
        <f t="shared" si="218"/>
        <v>5650</v>
      </c>
      <c r="Q2375">
        <f t="shared" si="222"/>
        <v>5650</v>
      </c>
      <c r="T2375" s="16">
        <f t="shared" si="223"/>
        <v>1.3417116596227305</v>
      </c>
    </row>
    <row r="2376" spans="7:20" ht="14.4" x14ac:dyDescent="0.25">
      <c r="G2376" s="10">
        <v>5926</v>
      </c>
      <c r="H2376" s="9">
        <v>42022</v>
      </c>
      <c r="I2376" s="14">
        <f>DATE(2012,12,31)-1194</f>
        <v>40080</v>
      </c>
      <c r="J2376" s="15" t="s">
        <v>16</v>
      </c>
      <c r="K2376" s="9">
        <v>11</v>
      </c>
      <c r="L2376" s="16" t="s">
        <v>26</v>
      </c>
      <c r="M2376" s="16">
        <f t="shared" si="219"/>
        <v>-1.0063207454307979</v>
      </c>
      <c r="N2376">
        <f t="shared" si="220"/>
        <v>0</v>
      </c>
      <c r="O2376">
        <f t="shared" si="221"/>
        <v>0</v>
      </c>
      <c r="P2376">
        <f t="shared" si="218"/>
        <v>3950</v>
      </c>
      <c r="Q2376">
        <f t="shared" si="222"/>
        <v>3950</v>
      </c>
      <c r="T2376" s="16">
        <f t="shared" si="223"/>
        <v>-1.0063207454307983</v>
      </c>
    </row>
    <row r="2377" spans="7:20" ht="14.4" x14ac:dyDescent="0.25">
      <c r="G2377" s="10">
        <v>5928</v>
      </c>
      <c r="H2377" s="9">
        <v>42081</v>
      </c>
      <c r="I2377" s="14">
        <f>DATE(2012,12,31)-721</f>
        <v>40553</v>
      </c>
      <c r="J2377" s="15" t="s">
        <v>25</v>
      </c>
      <c r="K2377" s="9">
        <v>36</v>
      </c>
      <c r="L2377" s="16" t="s">
        <v>26</v>
      </c>
      <c r="M2377" s="16">
        <f t="shared" si="219"/>
        <v>0.72017367004973787</v>
      </c>
      <c r="N2377">
        <f t="shared" si="220"/>
        <v>0</v>
      </c>
      <c r="O2377">
        <f t="shared" si="221"/>
        <v>0</v>
      </c>
      <c r="P2377">
        <f t="shared" si="218"/>
        <v>5200</v>
      </c>
      <c r="Q2377">
        <f t="shared" si="222"/>
        <v>5200</v>
      </c>
      <c r="T2377" s="16">
        <f t="shared" si="223"/>
        <v>0.72017367004973754</v>
      </c>
    </row>
    <row r="2378" spans="7:20" ht="14.4" x14ac:dyDescent="0.25">
      <c r="G2378" s="10">
        <v>5929</v>
      </c>
      <c r="H2378" s="9">
        <v>42081</v>
      </c>
      <c r="I2378" s="14">
        <f>DATE(2012,12,31)-721</f>
        <v>40553</v>
      </c>
      <c r="J2378" s="15" t="s">
        <v>25</v>
      </c>
      <c r="K2378" s="9">
        <v>3</v>
      </c>
      <c r="L2378" s="16" t="s">
        <v>26</v>
      </c>
      <c r="M2378" s="16">
        <f t="shared" si="219"/>
        <v>-1.5587989583845694</v>
      </c>
      <c r="N2378">
        <f t="shared" si="220"/>
        <v>0</v>
      </c>
      <c r="O2378">
        <f t="shared" si="221"/>
        <v>0</v>
      </c>
      <c r="P2378">
        <f t="shared" si="218"/>
        <v>3550</v>
      </c>
      <c r="Q2378">
        <f t="shared" si="222"/>
        <v>3550</v>
      </c>
      <c r="T2378" s="16">
        <f t="shared" si="223"/>
        <v>-1.5587989583845698</v>
      </c>
    </row>
    <row r="2379" spans="7:20" ht="14.4" x14ac:dyDescent="0.25">
      <c r="G2379" s="10">
        <v>5930</v>
      </c>
      <c r="H2379" s="9">
        <v>42081</v>
      </c>
      <c r="I2379" s="14">
        <f>DATE(2012,12,31)-721</f>
        <v>40553</v>
      </c>
      <c r="J2379" s="15" t="s">
        <v>25</v>
      </c>
      <c r="K2379" s="9">
        <v>26</v>
      </c>
      <c r="L2379" s="16" t="s">
        <v>27</v>
      </c>
      <c r="M2379" s="16">
        <f t="shared" si="219"/>
        <v>2.9575903857523567E-2</v>
      </c>
      <c r="N2379">
        <f t="shared" si="220"/>
        <v>0</v>
      </c>
      <c r="O2379">
        <f t="shared" si="221"/>
        <v>0</v>
      </c>
      <c r="P2379">
        <f t="shared" si="218"/>
        <v>4700</v>
      </c>
      <c r="Q2379">
        <f t="shared" si="222"/>
        <v>4700</v>
      </c>
      <c r="T2379" s="16">
        <f t="shared" si="223"/>
        <v>2.9575903857523185E-2</v>
      </c>
    </row>
    <row r="2380" spans="7:20" ht="14.4" x14ac:dyDescent="0.25">
      <c r="G2380" s="10">
        <v>5935</v>
      </c>
      <c r="H2380" s="9">
        <v>42086</v>
      </c>
      <c r="I2380" s="14">
        <f>DATE(2012,12,31)-893</f>
        <v>40381</v>
      </c>
      <c r="J2380" s="15" t="s">
        <v>17</v>
      </c>
      <c r="K2380" s="9">
        <v>18</v>
      </c>
      <c r="L2380" s="16" t="s">
        <v>26</v>
      </c>
      <c r="M2380" s="16">
        <f t="shared" si="219"/>
        <v>-0.52290230909624791</v>
      </c>
      <c r="N2380">
        <f t="shared" si="220"/>
        <v>0</v>
      </c>
      <c r="O2380">
        <f t="shared" si="221"/>
        <v>0</v>
      </c>
      <c r="P2380">
        <f t="shared" ref="P2380:P2443" si="224">50*K2380+$P$10</f>
        <v>4300</v>
      </c>
      <c r="Q2380">
        <f t="shared" si="222"/>
        <v>4300</v>
      </c>
      <c r="T2380" s="16">
        <f t="shared" si="223"/>
        <v>-0.52290230909624835</v>
      </c>
    </row>
    <row r="2381" spans="7:20" ht="14.4" x14ac:dyDescent="0.25">
      <c r="G2381" s="10">
        <v>5954</v>
      </c>
      <c r="H2381" s="9">
        <v>42246</v>
      </c>
      <c r="I2381" s="14">
        <f>DATE(2012,12,31)-249</f>
        <v>41025</v>
      </c>
      <c r="J2381" s="15" t="s">
        <v>28</v>
      </c>
      <c r="K2381" s="9">
        <v>40</v>
      </c>
      <c r="L2381" s="16" t="s">
        <v>27</v>
      </c>
      <c r="M2381" s="16">
        <f t="shared" ref="M2381:M2444" si="225">(K2381-$K$4)/$K$7</f>
        <v>0.99641277652662363</v>
      </c>
      <c r="N2381">
        <f t="shared" ref="N2381:N2444" si="226">IF(MOD($B$20+G2381,1000)=0,1,0)</f>
        <v>0</v>
      </c>
      <c r="O2381">
        <f t="shared" ref="O2381:O2444" si="227">+ROUND(N2381*(IF(K2381&lt;$K$4,-4.5,10.5)*$P$5),-2)</f>
        <v>0</v>
      </c>
      <c r="P2381">
        <f t="shared" si="224"/>
        <v>5400</v>
      </c>
      <c r="Q2381">
        <f t="shared" ref="Q2381:Q2444" si="228">P2381+O2381</f>
        <v>5400</v>
      </c>
      <c r="T2381" s="16">
        <f t="shared" ref="T2381:T2444" si="229">(Q2381-$P$4)/$P$5</f>
        <v>0.9964127765266233</v>
      </c>
    </row>
    <row r="2382" spans="7:20" ht="14.4" x14ac:dyDescent="0.25">
      <c r="G2382" s="10">
        <v>5955</v>
      </c>
      <c r="H2382" s="9">
        <v>42246</v>
      </c>
      <c r="I2382" s="14">
        <f>DATE(2012,12,31)-249</f>
        <v>41025</v>
      </c>
      <c r="J2382" s="15" t="s">
        <v>28</v>
      </c>
      <c r="K2382" s="9">
        <v>5</v>
      </c>
      <c r="L2382" s="16" t="s">
        <v>26</v>
      </c>
      <c r="M2382" s="16">
        <f t="shared" si="225"/>
        <v>-1.4206794051461267</v>
      </c>
      <c r="N2382">
        <f t="shared" si="226"/>
        <v>0</v>
      </c>
      <c r="O2382">
        <f t="shared" si="227"/>
        <v>0</v>
      </c>
      <c r="P2382">
        <f t="shared" si="224"/>
        <v>3650</v>
      </c>
      <c r="Q2382">
        <f t="shared" si="228"/>
        <v>3650</v>
      </c>
      <c r="T2382" s="16">
        <f t="shared" si="229"/>
        <v>-1.4206794051461269</v>
      </c>
    </row>
    <row r="2383" spans="7:20" ht="14.4" x14ac:dyDescent="0.25">
      <c r="G2383" s="10">
        <v>5990</v>
      </c>
      <c r="H2383" s="9">
        <v>42465</v>
      </c>
      <c r="I2383" s="14">
        <f>DATE(2012,12,31)-741</f>
        <v>40533</v>
      </c>
      <c r="J2383" s="15" t="s">
        <v>16</v>
      </c>
      <c r="K2383" s="9">
        <v>15</v>
      </c>
      <c r="L2383" s="16" t="s">
        <v>26</v>
      </c>
      <c r="M2383" s="16">
        <f t="shared" si="225"/>
        <v>-0.7300816389539122</v>
      </c>
      <c r="N2383">
        <f t="shared" si="226"/>
        <v>0</v>
      </c>
      <c r="O2383">
        <f t="shared" si="227"/>
        <v>0</v>
      </c>
      <c r="P2383">
        <f t="shared" si="224"/>
        <v>4150</v>
      </c>
      <c r="Q2383">
        <f t="shared" si="228"/>
        <v>4150</v>
      </c>
      <c r="T2383" s="16">
        <f t="shared" si="229"/>
        <v>-0.73008163895391265</v>
      </c>
    </row>
    <row r="2384" spans="7:20" ht="14.4" x14ac:dyDescent="0.25">
      <c r="G2384" s="10">
        <v>6020</v>
      </c>
      <c r="H2384" s="9">
        <v>42657</v>
      </c>
      <c r="I2384" s="14">
        <f>DATE(2012,12,31)-455</f>
        <v>40819</v>
      </c>
      <c r="J2384" s="15" t="s">
        <v>25</v>
      </c>
      <c r="K2384" s="9">
        <v>48</v>
      </c>
      <c r="L2384" s="16" t="s">
        <v>26</v>
      </c>
      <c r="M2384" s="16">
        <f t="shared" si="225"/>
        <v>1.5488909894803951</v>
      </c>
      <c r="N2384">
        <f t="shared" si="226"/>
        <v>0</v>
      </c>
      <c r="O2384">
        <f t="shared" si="227"/>
        <v>0</v>
      </c>
      <c r="P2384">
        <f t="shared" si="224"/>
        <v>5800</v>
      </c>
      <c r="Q2384">
        <f t="shared" si="228"/>
        <v>5800</v>
      </c>
      <c r="T2384" s="16">
        <f t="shared" si="229"/>
        <v>1.5488909894803948</v>
      </c>
    </row>
    <row r="2385" spans="7:20" ht="14.4" x14ac:dyDescent="0.25">
      <c r="G2385" s="10">
        <v>6040</v>
      </c>
      <c r="H2385" s="9">
        <v>42820</v>
      </c>
      <c r="I2385" s="14">
        <f>DATE(2012,12,31)-1049</f>
        <v>40225</v>
      </c>
      <c r="J2385" s="15" t="s">
        <v>25</v>
      </c>
      <c r="K2385" s="9">
        <v>27</v>
      </c>
      <c r="L2385" s="16" t="s">
        <v>26</v>
      </c>
      <c r="M2385" s="16">
        <f t="shared" si="225"/>
        <v>9.8635680476745008E-2</v>
      </c>
      <c r="N2385">
        <f t="shared" si="226"/>
        <v>0</v>
      </c>
      <c r="O2385">
        <f t="shared" si="227"/>
        <v>0</v>
      </c>
      <c r="P2385">
        <f t="shared" si="224"/>
        <v>4750</v>
      </c>
      <c r="Q2385">
        <f t="shared" si="228"/>
        <v>4750</v>
      </c>
      <c r="T2385" s="16">
        <f t="shared" si="229"/>
        <v>9.8635680476744619E-2</v>
      </c>
    </row>
    <row r="2386" spans="7:20" ht="14.4" x14ac:dyDescent="0.25">
      <c r="G2386" s="10">
        <v>6042</v>
      </c>
      <c r="H2386" s="9">
        <v>42848</v>
      </c>
      <c r="I2386" s="14">
        <f>DATE(2012,12,31)-86</f>
        <v>41188</v>
      </c>
      <c r="J2386" s="15" t="s">
        <v>28</v>
      </c>
      <c r="K2386" s="9">
        <v>50</v>
      </c>
      <c r="L2386" s="16" t="s">
        <v>26</v>
      </c>
      <c r="M2386" s="16">
        <f t="shared" si="225"/>
        <v>1.687010542718838</v>
      </c>
      <c r="N2386">
        <f t="shared" si="226"/>
        <v>0</v>
      </c>
      <c r="O2386">
        <f t="shared" si="227"/>
        <v>0</v>
      </c>
      <c r="P2386">
        <f t="shared" si="224"/>
        <v>5900</v>
      </c>
      <c r="Q2386">
        <f t="shared" si="228"/>
        <v>5900</v>
      </c>
      <c r="T2386" s="16">
        <f t="shared" si="229"/>
        <v>1.6870105427188375</v>
      </c>
    </row>
    <row r="2387" spans="7:20" ht="14.4" x14ac:dyDescent="0.25">
      <c r="G2387" s="10">
        <v>6106</v>
      </c>
      <c r="H2387" s="9">
        <v>43269</v>
      </c>
      <c r="I2387" s="14">
        <f>DATE(2012,12,31)-1361</f>
        <v>39913</v>
      </c>
      <c r="J2387" s="15" t="s">
        <v>30</v>
      </c>
      <c r="K2387" s="9">
        <v>16</v>
      </c>
      <c r="L2387" s="16" t="s">
        <v>26</v>
      </c>
      <c r="M2387" s="16">
        <f t="shared" si="225"/>
        <v>-0.66102186233469074</v>
      </c>
      <c r="N2387">
        <f t="shared" si="226"/>
        <v>0</v>
      </c>
      <c r="O2387">
        <f t="shared" si="227"/>
        <v>0</v>
      </c>
      <c r="P2387">
        <f t="shared" si="224"/>
        <v>4200</v>
      </c>
      <c r="Q2387">
        <f t="shared" si="228"/>
        <v>4200</v>
      </c>
      <c r="T2387" s="16">
        <f t="shared" si="229"/>
        <v>-0.66102186233469118</v>
      </c>
    </row>
    <row r="2388" spans="7:20" ht="14.4" x14ac:dyDescent="0.25">
      <c r="G2388" s="10">
        <v>6107</v>
      </c>
      <c r="H2388" s="9">
        <v>43269</v>
      </c>
      <c r="I2388" s="14">
        <f>DATE(2012,12,31)-1361</f>
        <v>39913</v>
      </c>
      <c r="J2388" s="15" t="s">
        <v>30</v>
      </c>
      <c r="K2388" s="9">
        <v>24</v>
      </c>
      <c r="L2388" s="16" t="s">
        <v>26</v>
      </c>
      <c r="M2388" s="16">
        <f t="shared" si="225"/>
        <v>-0.1085436493809193</v>
      </c>
      <c r="N2388">
        <f t="shared" si="226"/>
        <v>0</v>
      </c>
      <c r="O2388">
        <f t="shared" si="227"/>
        <v>0</v>
      </c>
      <c r="P2388">
        <f t="shared" si="224"/>
        <v>4600</v>
      </c>
      <c r="Q2388">
        <f t="shared" si="228"/>
        <v>4600</v>
      </c>
      <c r="T2388" s="16">
        <f t="shared" si="229"/>
        <v>-0.10854364938091969</v>
      </c>
    </row>
    <row r="2389" spans="7:20" ht="14.4" x14ac:dyDescent="0.25">
      <c r="G2389" s="10">
        <v>6126</v>
      </c>
      <c r="H2389" s="9">
        <v>43367</v>
      </c>
      <c r="I2389" s="14">
        <f>DATE(2012,12,31)-1028</f>
        <v>40246</v>
      </c>
      <c r="J2389" s="15" t="s">
        <v>30</v>
      </c>
      <c r="K2389" s="9">
        <v>3</v>
      </c>
      <c r="L2389" s="16" t="s">
        <v>26</v>
      </c>
      <c r="M2389" s="16">
        <f t="shared" si="225"/>
        <v>-1.5587989583845694</v>
      </c>
      <c r="N2389">
        <f t="shared" si="226"/>
        <v>0</v>
      </c>
      <c r="O2389">
        <f t="shared" si="227"/>
        <v>0</v>
      </c>
      <c r="P2389">
        <f t="shared" si="224"/>
        <v>3550</v>
      </c>
      <c r="Q2389">
        <f t="shared" si="228"/>
        <v>3550</v>
      </c>
      <c r="T2389" s="16">
        <f t="shared" si="229"/>
        <v>-1.5587989583845698</v>
      </c>
    </row>
    <row r="2390" spans="7:20" ht="14.4" x14ac:dyDescent="0.25">
      <c r="G2390" s="10">
        <v>6127</v>
      </c>
      <c r="H2390" s="9">
        <v>43367</v>
      </c>
      <c r="I2390" s="14">
        <f>DATE(2012,12,31)-1028</f>
        <v>40246</v>
      </c>
      <c r="J2390" s="15" t="s">
        <v>30</v>
      </c>
      <c r="K2390" s="9">
        <v>16</v>
      </c>
      <c r="L2390" s="16" t="s">
        <v>26</v>
      </c>
      <c r="M2390" s="16">
        <f t="shared" si="225"/>
        <v>-0.66102186233469074</v>
      </c>
      <c r="N2390">
        <f t="shared" si="226"/>
        <v>0</v>
      </c>
      <c r="O2390">
        <f t="shared" si="227"/>
        <v>0</v>
      </c>
      <c r="P2390">
        <f t="shared" si="224"/>
        <v>4200</v>
      </c>
      <c r="Q2390">
        <f t="shared" si="228"/>
        <v>4200</v>
      </c>
      <c r="T2390" s="16">
        <f t="shared" si="229"/>
        <v>-0.66102186233469118</v>
      </c>
    </row>
    <row r="2391" spans="7:20" ht="14.4" x14ac:dyDescent="0.25">
      <c r="G2391" s="10">
        <v>6128</v>
      </c>
      <c r="H2391" s="9">
        <v>43367</v>
      </c>
      <c r="I2391" s="14">
        <f>DATE(2012,12,31)-1028</f>
        <v>40246</v>
      </c>
      <c r="J2391" s="15" t="s">
        <v>30</v>
      </c>
      <c r="K2391" s="9">
        <v>18</v>
      </c>
      <c r="L2391" s="16" t="s">
        <v>26</v>
      </c>
      <c r="M2391" s="16">
        <f t="shared" si="225"/>
        <v>-0.52290230909624791</v>
      </c>
      <c r="N2391">
        <f t="shared" si="226"/>
        <v>0</v>
      </c>
      <c r="O2391">
        <f t="shared" si="227"/>
        <v>0</v>
      </c>
      <c r="P2391">
        <f t="shared" si="224"/>
        <v>4300</v>
      </c>
      <c r="Q2391">
        <f t="shared" si="228"/>
        <v>4300</v>
      </c>
      <c r="T2391" s="16">
        <f t="shared" si="229"/>
        <v>-0.52290230909624835</v>
      </c>
    </row>
    <row r="2392" spans="7:20" ht="14.4" x14ac:dyDescent="0.25">
      <c r="G2392" s="10">
        <v>6132</v>
      </c>
      <c r="H2392" s="9">
        <v>43399</v>
      </c>
      <c r="I2392" s="14">
        <f>DATE(2012,12,31)-1250</f>
        <v>40024</v>
      </c>
      <c r="J2392" s="15" t="s">
        <v>17</v>
      </c>
      <c r="K2392" s="9">
        <v>35</v>
      </c>
      <c r="L2392" s="16" t="s">
        <v>26</v>
      </c>
      <c r="M2392" s="16">
        <f t="shared" si="225"/>
        <v>0.65111389343051651</v>
      </c>
      <c r="N2392">
        <f t="shared" si="226"/>
        <v>0</v>
      </c>
      <c r="O2392">
        <f t="shared" si="227"/>
        <v>0</v>
      </c>
      <c r="P2392">
        <f t="shared" si="224"/>
        <v>5150</v>
      </c>
      <c r="Q2392">
        <f t="shared" si="228"/>
        <v>5150</v>
      </c>
      <c r="T2392" s="16">
        <f t="shared" si="229"/>
        <v>0.65111389343051607</v>
      </c>
    </row>
    <row r="2393" spans="7:20" ht="14.4" x14ac:dyDescent="0.25">
      <c r="G2393" s="10">
        <v>6133</v>
      </c>
      <c r="H2393" s="9">
        <v>43399</v>
      </c>
      <c r="I2393" s="14">
        <f>DATE(2012,12,31)-1250</f>
        <v>40024</v>
      </c>
      <c r="J2393" s="15" t="s">
        <v>17</v>
      </c>
      <c r="K2393" s="9">
        <v>2</v>
      </c>
      <c r="L2393" s="16" t="s">
        <v>29</v>
      </c>
      <c r="M2393" s="16">
        <f t="shared" si="225"/>
        <v>-1.627858735003791</v>
      </c>
      <c r="N2393">
        <f t="shared" si="226"/>
        <v>0</v>
      </c>
      <c r="O2393">
        <f t="shared" si="227"/>
        <v>0</v>
      </c>
      <c r="P2393">
        <f t="shared" si="224"/>
        <v>3500</v>
      </c>
      <c r="Q2393">
        <f t="shared" si="228"/>
        <v>3500</v>
      </c>
      <c r="T2393" s="16">
        <f t="shared" si="229"/>
        <v>-1.6278587350037912</v>
      </c>
    </row>
    <row r="2394" spans="7:20" ht="14.4" x14ac:dyDescent="0.25">
      <c r="G2394" s="10">
        <v>6134</v>
      </c>
      <c r="H2394" s="9">
        <v>43399</v>
      </c>
      <c r="I2394" s="14">
        <f>DATE(2012,12,31)-1250</f>
        <v>40024</v>
      </c>
      <c r="J2394" s="15" t="s">
        <v>17</v>
      </c>
      <c r="K2394" s="9">
        <v>8</v>
      </c>
      <c r="L2394" s="16" t="s">
        <v>26</v>
      </c>
      <c r="M2394" s="16">
        <f t="shared" si="225"/>
        <v>-1.2135000752884624</v>
      </c>
      <c r="N2394">
        <f t="shared" si="226"/>
        <v>0</v>
      </c>
      <c r="O2394">
        <f t="shared" si="227"/>
        <v>0</v>
      </c>
      <c r="P2394">
        <f t="shared" si="224"/>
        <v>3800</v>
      </c>
      <c r="Q2394">
        <f t="shared" si="228"/>
        <v>3800</v>
      </c>
      <c r="T2394" s="16">
        <f t="shared" si="229"/>
        <v>-1.2135000752884626</v>
      </c>
    </row>
    <row r="2395" spans="7:20" ht="14.4" x14ac:dyDescent="0.25">
      <c r="G2395" s="10">
        <v>6189</v>
      </c>
      <c r="H2395" s="9">
        <v>43875</v>
      </c>
      <c r="I2395" s="14">
        <f>DATE(2012,12,31)-390</f>
        <v>40884</v>
      </c>
      <c r="J2395" s="15" t="s">
        <v>30</v>
      </c>
      <c r="K2395" s="9">
        <v>24</v>
      </c>
      <c r="L2395" s="16" t="s">
        <v>26</v>
      </c>
      <c r="M2395" s="16">
        <f t="shared" si="225"/>
        <v>-0.1085436493809193</v>
      </c>
      <c r="N2395">
        <f t="shared" si="226"/>
        <v>0</v>
      </c>
      <c r="O2395">
        <f t="shared" si="227"/>
        <v>0</v>
      </c>
      <c r="P2395">
        <f t="shared" si="224"/>
        <v>4600</v>
      </c>
      <c r="Q2395">
        <f t="shared" si="228"/>
        <v>4600</v>
      </c>
      <c r="T2395" s="16">
        <f t="shared" si="229"/>
        <v>-0.10854364938091969</v>
      </c>
    </row>
    <row r="2396" spans="7:20" ht="14.4" x14ac:dyDescent="0.25">
      <c r="G2396" s="10">
        <v>6190</v>
      </c>
      <c r="H2396" s="9">
        <v>43875</v>
      </c>
      <c r="I2396" s="14">
        <f>DATE(2012,12,31)-390</f>
        <v>40884</v>
      </c>
      <c r="J2396" s="15" t="s">
        <v>30</v>
      </c>
      <c r="K2396" s="9">
        <v>17</v>
      </c>
      <c r="L2396" s="16" t="s">
        <v>29</v>
      </c>
      <c r="M2396" s="16">
        <f t="shared" si="225"/>
        <v>-0.59196208571546938</v>
      </c>
      <c r="N2396">
        <f t="shared" si="226"/>
        <v>0</v>
      </c>
      <c r="O2396">
        <f t="shared" si="227"/>
        <v>0</v>
      </c>
      <c r="P2396">
        <f t="shared" si="224"/>
        <v>4250</v>
      </c>
      <c r="Q2396">
        <f t="shared" si="228"/>
        <v>4250</v>
      </c>
      <c r="T2396" s="16">
        <f t="shared" si="229"/>
        <v>-0.59196208571546971</v>
      </c>
    </row>
    <row r="2397" spans="7:20" ht="14.4" x14ac:dyDescent="0.25">
      <c r="G2397" s="10">
        <v>6191</v>
      </c>
      <c r="H2397" s="9">
        <v>43875</v>
      </c>
      <c r="I2397" s="14">
        <f>DATE(2012,12,31)-390</f>
        <v>40884</v>
      </c>
      <c r="J2397" s="15" t="s">
        <v>30</v>
      </c>
      <c r="K2397" s="9">
        <v>40</v>
      </c>
      <c r="L2397" s="16" t="s">
        <v>27</v>
      </c>
      <c r="M2397" s="16">
        <f t="shared" si="225"/>
        <v>0.99641277652662363</v>
      </c>
      <c r="N2397">
        <f t="shared" si="226"/>
        <v>0</v>
      </c>
      <c r="O2397">
        <f t="shared" si="227"/>
        <v>0</v>
      </c>
      <c r="P2397">
        <f t="shared" si="224"/>
        <v>5400</v>
      </c>
      <c r="Q2397">
        <f t="shared" si="228"/>
        <v>5400</v>
      </c>
      <c r="T2397" s="16">
        <f t="shared" si="229"/>
        <v>0.9964127765266233</v>
      </c>
    </row>
    <row r="2398" spans="7:20" ht="14.4" x14ac:dyDescent="0.25">
      <c r="G2398" s="10">
        <v>6192</v>
      </c>
      <c r="H2398" s="9">
        <v>43875</v>
      </c>
      <c r="I2398" s="14">
        <f>DATE(2012,12,31)-390</f>
        <v>40884</v>
      </c>
      <c r="J2398" s="15" t="s">
        <v>30</v>
      </c>
      <c r="K2398" s="9">
        <v>16</v>
      </c>
      <c r="L2398" s="16" t="s">
        <v>27</v>
      </c>
      <c r="M2398" s="16">
        <f t="shared" si="225"/>
        <v>-0.66102186233469074</v>
      </c>
      <c r="N2398">
        <f t="shared" si="226"/>
        <v>0</v>
      </c>
      <c r="O2398">
        <f t="shared" si="227"/>
        <v>0</v>
      </c>
      <c r="P2398">
        <f t="shared" si="224"/>
        <v>4200</v>
      </c>
      <c r="Q2398">
        <f t="shared" si="228"/>
        <v>4200</v>
      </c>
      <c r="T2398" s="16">
        <f t="shared" si="229"/>
        <v>-0.66102186233469118</v>
      </c>
    </row>
    <row r="2399" spans="7:20" ht="14.4" x14ac:dyDescent="0.25">
      <c r="G2399" s="10">
        <v>6193</v>
      </c>
      <c r="H2399" s="9">
        <v>43875</v>
      </c>
      <c r="I2399" s="14">
        <f>DATE(2012,12,31)-390</f>
        <v>40884</v>
      </c>
      <c r="J2399" s="15" t="s">
        <v>30</v>
      </c>
      <c r="K2399" s="9">
        <v>25</v>
      </c>
      <c r="L2399" s="16" t="s">
        <v>27</v>
      </c>
      <c r="M2399" s="16">
        <f t="shared" si="225"/>
        <v>-3.9483872761697868E-2</v>
      </c>
      <c r="N2399">
        <f t="shared" si="226"/>
        <v>0</v>
      </c>
      <c r="O2399">
        <f t="shared" si="227"/>
        <v>0</v>
      </c>
      <c r="P2399">
        <f t="shared" si="224"/>
        <v>4650</v>
      </c>
      <c r="Q2399">
        <f t="shared" si="228"/>
        <v>4650</v>
      </c>
      <c r="T2399" s="16">
        <f t="shared" si="229"/>
        <v>-3.9483872761698249E-2</v>
      </c>
    </row>
    <row r="2400" spans="7:20" ht="14.4" x14ac:dyDescent="0.25">
      <c r="G2400" s="10">
        <v>6237</v>
      </c>
      <c r="H2400" s="9">
        <v>44197</v>
      </c>
      <c r="I2400" s="14">
        <f>DATE(2012,12,31)-1441</f>
        <v>39833</v>
      </c>
      <c r="J2400" s="15" t="s">
        <v>17</v>
      </c>
      <c r="K2400" s="9">
        <v>27</v>
      </c>
      <c r="L2400" s="16" t="s">
        <v>29</v>
      </c>
      <c r="M2400" s="16">
        <f t="shared" si="225"/>
        <v>9.8635680476745008E-2</v>
      </c>
      <c r="N2400">
        <f t="shared" si="226"/>
        <v>0</v>
      </c>
      <c r="O2400">
        <f t="shared" si="227"/>
        <v>0</v>
      </c>
      <c r="P2400">
        <f t="shared" si="224"/>
        <v>4750</v>
      </c>
      <c r="Q2400">
        <f t="shared" si="228"/>
        <v>4750</v>
      </c>
      <c r="T2400" s="16">
        <f t="shared" si="229"/>
        <v>9.8635680476744619E-2</v>
      </c>
    </row>
    <row r="2401" spans="7:20" ht="14.4" x14ac:dyDescent="0.25">
      <c r="G2401" s="10">
        <v>6242</v>
      </c>
      <c r="H2401" s="9">
        <v>44229</v>
      </c>
      <c r="I2401" s="14">
        <f>DATE(2012,12,31)-962</f>
        <v>40312</v>
      </c>
      <c r="J2401" s="15" t="s">
        <v>16</v>
      </c>
      <c r="K2401" s="9">
        <v>39</v>
      </c>
      <c r="L2401" s="16" t="s">
        <v>26</v>
      </c>
      <c r="M2401" s="16">
        <f t="shared" si="225"/>
        <v>0.92735299990740228</v>
      </c>
      <c r="N2401">
        <f t="shared" si="226"/>
        <v>0</v>
      </c>
      <c r="O2401">
        <f t="shared" si="227"/>
        <v>0</v>
      </c>
      <c r="P2401">
        <f t="shared" si="224"/>
        <v>5350</v>
      </c>
      <c r="Q2401">
        <f t="shared" si="228"/>
        <v>5350</v>
      </c>
      <c r="T2401" s="16">
        <f t="shared" si="229"/>
        <v>0.92735299990740183</v>
      </c>
    </row>
    <row r="2402" spans="7:20" ht="14.4" x14ac:dyDescent="0.25">
      <c r="G2402" s="10">
        <v>6268</v>
      </c>
      <c r="H2402" s="9">
        <v>44386</v>
      </c>
      <c r="I2402" s="14">
        <f>DATE(2012,12,31)-266</f>
        <v>41008</v>
      </c>
      <c r="J2402" s="15" t="s">
        <v>16</v>
      </c>
      <c r="K2402" s="9">
        <v>27</v>
      </c>
      <c r="L2402" s="16" t="s">
        <v>26</v>
      </c>
      <c r="M2402" s="16">
        <f t="shared" si="225"/>
        <v>9.8635680476745008E-2</v>
      </c>
      <c r="N2402">
        <f t="shared" si="226"/>
        <v>0</v>
      </c>
      <c r="O2402">
        <f t="shared" si="227"/>
        <v>0</v>
      </c>
      <c r="P2402">
        <f t="shared" si="224"/>
        <v>4750</v>
      </c>
      <c r="Q2402">
        <f t="shared" si="228"/>
        <v>4750</v>
      </c>
      <c r="T2402" s="16">
        <f t="shared" si="229"/>
        <v>9.8635680476744619E-2</v>
      </c>
    </row>
    <row r="2403" spans="7:20" ht="14.4" x14ac:dyDescent="0.25">
      <c r="G2403" s="10">
        <v>6269</v>
      </c>
      <c r="H2403" s="9">
        <v>44386</v>
      </c>
      <c r="I2403" s="14">
        <f>DATE(2012,12,31)-266</f>
        <v>41008</v>
      </c>
      <c r="J2403" s="15" t="s">
        <v>16</v>
      </c>
      <c r="K2403" s="9">
        <v>43</v>
      </c>
      <c r="L2403" s="16" t="s">
        <v>27</v>
      </c>
      <c r="M2403" s="16">
        <f t="shared" si="225"/>
        <v>1.203592106384288</v>
      </c>
      <c r="N2403">
        <f t="shared" si="226"/>
        <v>0</v>
      </c>
      <c r="O2403">
        <f t="shared" si="227"/>
        <v>0</v>
      </c>
      <c r="P2403">
        <f t="shared" si="224"/>
        <v>5550</v>
      </c>
      <c r="Q2403">
        <f t="shared" si="228"/>
        <v>5550</v>
      </c>
      <c r="T2403" s="16">
        <f t="shared" si="229"/>
        <v>1.2035921063842876</v>
      </c>
    </row>
    <row r="2404" spans="7:20" ht="14.4" x14ac:dyDescent="0.25">
      <c r="G2404" s="10">
        <v>6272</v>
      </c>
      <c r="H2404" s="9">
        <v>44390</v>
      </c>
      <c r="I2404" s="14">
        <f>DATE(2012,12,31)-759</f>
        <v>40515</v>
      </c>
      <c r="J2404" s="15" t="s">
        <v>28</v>
      </c>
      <c r="K2404" s="9">
        <v>32</v>
      </c>
      <c r="L2404" s="16" t="s">
        <v>29</v>
      </c>
      <c r="M2404" s="16">
        <f t="shared" si="225"/>
        <v>0.44393456357285216</v>
      </c>
      <c r="N2404">
        <f t="shared" si="226"/>
        <v>0</v>
      </c>
      <c r="O2404">
        <f t="shared" si="227"/>
        <v>0</v>
      </c>
      <c r="P2404">
        <f t="shared" si="224"/>
        <v>5000</v>
      </c>
      <c r="Q2404">
        <f t="shared" si="228"/>
        <v>5000</v>
      </c>
      <c r="T2404" s="16">
        <f t="shared" si="229"/>
        <v>0.44393456357285183</v>
      </c>
    </row>
    <row r="2405" spans="7:20" ht="14.4" x14ac:dyDescent="0.25">
      <c r="G2405" s="10">
        <v>6303</v>
      </c>
      <c r="H2405" s="9">
        <v>44612</v>
      </c>
      <c r="I2405" s="14">
        <f>DATE(2012,12,31)-659</f>
        <v>40615</v>
      </c>
      <c r="J2405" s="15" t="s">
        <v>17</v>
      </c>
      <c r="K2405" s="9">
        <v>6</v>
      </c>
      <c r="L2405" s="16" t="s">
        <v>27</v>
      </c>
      <c r="M2405" s="16">
        <f t="shared" si="225"/>
        <v>-1.3516196285269051</v>
      </c>
      <c r="N2405">
        <f t="shared" si="226"/>
        <v>0</v>
      </c>
      <c r="O2405">
        <f t="shared" si="227"/>
        <v>0</v>
      </c>
      <c r="P2405">
        <f t="shared" si="224"/>
        <v>3700</v>
      </c>
      <c r="Q2405">
        <f t="shared" si="228"/>
        <v>3700</v>
      </c>
      <c r="T2405" s="16">
        <f t="shared" si="229"/>
        <v>-1.3516196285269055</v>
      </c>
    </row>
    <row r="2406" spans="7:20" ht="14.4" x14ac:dyDescent="0.25">
      <c r="G2406" s="10">
        <v>6307</v>
      </c>
      <c r="H2406" s="9">
        <v>44614</v>
      </c>
      <c r="I2406" s="14">
        <f>DATE(2012,12,31)-931</f>
        <v>40343</v>
      </c>
      <c r="J2406" s="15" t="s">
        <v>25</v>
      </c>
      <c r="K2406" s="9">
        <v>18</v>
      </c>
      <c r="L2406" s="16" t="s">
        <v>26</v>
      </c>
      <c r="M2406" s="16">
        <f t="shared" si="225"/>
        <v>-0.52290230909624791</v>
      </c>
      <c r="N2406">
        <f t="shared" si="226"/>
        <v>0</v>
      </c>
      <c r="O2406">
        <f t="shared" si="227"/>
        <v>0</v>
      </c>
      <c r="P2406">
        <f t="shared" si="224"/>
        <v>4300</v>
      </c>
      <c r="Q2406">
        <f t="shared" si="228"/>
        <v>4300</v>
      </c>
      <c r="T2406" s="16">
        <f t="shared" si="229"/>
        <v>-0.52290230909624835</v>
      </c>
    </row>
    <row r="2407" spans="7:20" ht="14.4" x14ac:dyDescent="0.25">
      <c r="G2407" s="10">
        <v>6308</v>
      </c>
      <c r="H2407" s="9">
        <v>44614</v>
      </c>
      <c r="I2407" s="14">
        <f>DATE(2012,12,31)-931</f>
        <v>40343</v>
      </c>
      <c r="J2407" s="15" t="s">
        <v>25</v>
      </c>
      <c r="K2407" s="9">
        <v>27</v>
      </c>
      <c r="L2407" s="16" t="s">
        <v>27</v>
      </c>
      <c r="M2407" s="16">
        <f t="shared" si="225"/>
        <v>9.8635680476745008E-2</v>
      </c>
      <c r="N2407">
        <f t="shared" si="226"/>
        <v>0</v>
      </c>
      <c r="O2407">
        <f t="shared" si="227"/>
        <v>0</v>
      </c>
      <c r="P2407">
        <f t="shared" si="224"/>
        <v>4750</v>
      </c>
      <c r="Q2407">
        <f t="shared" si="228"/>
        <v>4750</v>
      </c>
      <c r="T2407" s="16">
        <f t="shared" si="229"/>
        <v>9.8635680476744619E-2</v>
      </c>
    </row>
    <row r="2408" spans="7:20" ht="14.4" x14ac:dyDescent="0.25">
      <c r="G2408" s="10">
        <v>6309</v>
      </c>
      <c r="H2408" s="9">
        <v>44615</v>
      </c>
      <c r="I2408" s="14">
        <f>DATE(2012,12,31)-967</f>
        <v>40307</v>
      </c>
      <c r="J2408" s="15" t="s">
        <v>16</v>
      </c>
      <c r="K2408" s="9">
        <v>19</v>
      </c>
      <c r="L2408" s="16" t="s">
        <v>26</v>
      </c>
      <c r="M2408" s="16">
        <f t="shared" si="225"/>
        <v>-0.45384253247702649</v>
      </c>
      <c r="N2408">
        <f t="shared" si="226"/>
        <v>0</v>
      </c>
      <c r="O2408">
        <f t="shared" si="227"/>
        <v>0</v>
      </c>
      <c r="P2408">
        <f t="shared" si="224"/>
        <v>4350</v>
      </c>
      <c r="Q2408">
        <f t="shared" si="228"/>
        <v>4350</v>
      </c>
      <c r="T2408" s="16">
        <f t="shared" si="229"/>
        <v>-0.45384253247702688</v>
      </c>
    </row>
    <row r="2409" spans="7:20" ht="14.4" x14ac:dyDescent="0.25">
      <c r="G2409" s="10">
        <v>6331</v>
      </c>
      <c r="H2409" s="9">
        <v>44864</v>
      </c>
      <c r="I2409" s="14">
        <f>DATE(2012,12,31)-928</f>
        <v>40346</v>
      </c>
      <c r="J2409" s="15" t="s">
        <v>25</v>
      </c>
      <c r="K2409" s="9">
        <v>25</v>
      </c>
      <c r="L2409" s="16" t="s">
        <v>26</v>
      </c>
      <c r="M2409" s="16">
        <f t="shared" si="225"/>
        <v>-3.9483872761697868E-2</v>
      </c>
      <c r="N2409">
        <f t="shared" si="226"/>
        <v>0</v>
      </c>
      <c r="O2409">
        <f t="shared" si="227"/>
        <v>0</v>
      </c>
      <c r="P2409">
        <f t="shared" si="224"/>
        <v>4650</v>
      </c>
      <c r="Q2409">
        <f t="shared" si="228"/>
        <v>4650</v>
      </c>
      <c r="T2409" s="16">
        <f t="shared" si="229"/>
        <v>-3.9483872761698249E-2</v>
      </c>
    </row>
    <row r="2410" spans="7:20" ht="14.4" x14ac:dyDescent="0.25">
      <c r="G2410" s="10">
        <v>6336</v>
      </c>
      <c r="H2410" s="9">
        <v>44900</v>
      </c>
      <c r="I2410" s="14">
        <f>DATE(2012,12,31)-1056</f>
        <v>40218</v>
      </c>
      <c r="J2410" s="15" t="s">
        <v>16</v>
      </c>
      <c r="K2410" s="9">
        <v>4</v>
      </c>
      <c r="L2410" s="16" t="s">
        <v>26</v>
      </c>
      <c r="M2410" s="16">
        <f t="shared" si="225"/>
        <v>-1.489739181765348</v>
      </c>
      <c r="N2410">
        <f t="shared" si="226"/>
        <v>0</v>
      </c>
      <c r="O2410">
        <f t="shared" si="227"/>
        <v>0</v>
      </c>
      <c r="P2410">
        <f t="shared" si="224"/>
        <v>3600</v>
      </c>
      <c r="Q2410">
        <f t="shared" si="228"/>
        <v>3600</v>
      </c>
      <c r="T2410" s="16">
        <f t="shared" si="229"/>
        <v>-1.4897391817653485</v>
      </c>
    </row>
    <row r="2411" spans="7:20" ht="14.4" x14ac:dyDescent="0.25">
      <c r="G2411" s="10">
        <v>6340</v>
      </c>
      <c r="H2411" s="9">
        <v>44960</v>
      </c>
      <c r="I2411" s="14">
        <f>DATE(2012,12,31)-608</f>
        <v>40666</v>
      </c>
      <c r="J2411" s="15" t="s">
        <v>25</v>
      </c>
      <c r="K2411" s="9">
        <v>16</v>
      </c>
      <c r="L2411" s="16" t="s">
        <v>26</v>
      </c>
      <c r="M2411" s="16">
        <f t="shared" si="225"/>
        <v>-0.66102186233469074</v>
      </c>
      <c r="N2411">
        <f t="shared" si="226"/>
        <v>0</v>
      </c>
      <c r="O2411">
        <f t="shared" si="227"/>
        <v>0</v>
      </c>
      <c r="P2411">
        <f t="shared" si="224"/>
        <v>4200</v>
      </c>
      <c r="Q2411">
        <f t="shared" si="228"/>
        <v>4200</v>
      </c>
      <c r="T2411" s="16">
        <f t="shared" si="229"/>
        <v>-0.66102186233469118</v>
      </c>
    </row>
    <row r="2412" spans="7:20" ht="14.4" x14ac:dyDescent="0.25">
      <c r="G2412" s="10">
        <v>6341</v>
      </c>
      <c r="H2412" s="9">
        <v>44960</v>
      </c>
      <c r="I2412" s="14">
        <f>DATE(2012,12,31)-608</f>
        <v>40666</v>
      </c>
      <c r="J2412" s="15" t="s">
        <v>25</v>
      </c>
      <c r="K2412" s="9">
        <v>22</v>
      </c>
      <c r="L2412" s="16" t="s">
        <v>26</v>
      </c>
      <c r="M2412" s="16">
        <f t="shared" si="225"/>
        <v>-0.24666320261936217</v>
      </c>
      <c r="N2412">
        <f t="shared" si="226"/>
        <v>0</v>
      </c>
      <c r="O2412">
        <f t="shared" si="227"/>
        <v>0</v>
      </c>
      <c r="P2412">
        <f t="shared" si="224"/>
        <v>4500</v>
      </c>
      <c r="Q2412">
        <f t="shared" si="228"/>
        <v>4500</v>
      </c>
      <c r="T2412" s="16">
        <f t="shared" si="229"/>
        <v>-0.24666320261936256</v>
      </c>
    </row>
    <row r="2413" spans="7:20" ht="14.4" x14ac:dyDescent="0.25">
      <c r="G2413" s="10">
        <v>6342</v>
      </c>
      <c r="H2413" s="9">
        <v>44960</v>
      </c>
      <c r="I2413" s="14">
        <f>DATE(2012,12,31)-608</f>
        <v>40666</v>
      </c>
      <c r="J2413" s="15" t="s">
        <v>25</v>
      </c>
      <c r="K2413" s="9">
        <v>17</v>
      </c>
      <c r="L2413" s="16" t="s">
        <v>27</v>
      </c>
      <c r="M2413" s="16">
        <f t="shared" si="225"/>
        <v>-0.59196208571546938</v>
      </c>
      <c r="N2413">
        <f t="shared" si="226"/>
        <v>0</v>
      </c>
      <c r="O2413">
        <f t="shared" si="227"/>
        <v>0</v>
      </c>
      <c r="P2413">
        <f t="shared" si="224"/>
        <v>4250</v>
      </c>
      <c r="Q2413">
        <f t="shared" si="228"/>
        <v>4250</v>
      </c>
      <c r="T2413" s="16">
        <f t="shared" si="229"/>
        <v>-0.59196208571546971</v>
      </c>
    </row>
    <row r="2414" spans="7:20" ht="14.4" x14ac:dyDescent="0.25">
      <c r="G2414" s="10">
        <v>6346</v>
      </c>
      <c r="H2414" s="9">
        <v>44992</v>
      </c>
      <c r="I2414" s="14">
        <f>DATE(2012,12,31)-7</f>
        <v>41267</v>
      </c>
      <c r="J2414" s="15" t="s">
        <v>30</v>
      </c>
      <c r="K2414" s="9">
        <v>32</v>
      </c>
      <c r="L2414" s="16" t="s">
        <v>27</v>
      </c>
      <c r="M2414" s="16">
        <f t="shared" si="225"/>
        <v>0.44393456357285216</v>
      </c>
      <c r="N2414">
        <f t="shared" si="226"/>
        <v>0</v>
      </c>
      <c r="O2414">
        <f t="shared" si="227"/>
        <v>0</v>
      </c>
      <c r="P2414">
        <f t="shared" si="224"/>
        <v>5000</v>
      </c>
      <c r="Q2414">
        <f t="shared" si="228"/>
        <v>5000</v>
      </c>
      <c r="T2414" s="16">
        <f t="shared" si="229"/>
        <v>0.44393456357285183</v>
      </c>
    </row>
    <row r="2415" spans="7:20" ht="14.4" x14ac:dyDescent="0.25">
      <c r="G2415" s="10">
        <v>6347</v>
      </c>
      <c r="H2415" s="9">
        <v>44992</v>
      </c>
      <c r="I2415" s="14">
        <f>DATE(2012,12,31)-7</f>
        <v>41267</v>
      </c>
      <c r="J2415" s="15" t="s">
        <v>30</v>
      </c>
      <c r="K2415" s="9">
        <v>32</v>
      </c>
      <c r="L2415" s="16" t="s">
        <v>29</v>
      </c>
      <c r="M2415" s="16">
        <f t="shared" si="225"/>
        <v>0.44393456357285216</v>
      </c>
      <c r="N2415">
        <f t="shared" si="226"/>
        <v>0</v>
      </c>
      <c r="O2415">
        <f t="shared" si="227"/>
        <v>0</v>
      </c>
      <c r="P2415">
        <f t="shared" si="224"/>
        <v>5000</v>
      </c>
      <c r="Q2415">
        <f t="shared" si="228"/>
        <v>5000</v>
      </c>
      <c r="T2415" s="16">
        <f t="shared" si="229"/>
        <v>0.44393456357285183</v>
      </c>
    </row>
    <row r="2416" spans="7:20" ht="14.4" x14ac:dyDescent="0.25">
      <c r="G2416" s="10">
        <v>6359</v>
      </c>
      <c r="H2416" s="9">
        <v>45125</v>
      </c>
      <c r="I2416" s="14">
        <f>DATE(2012,12,31)-217</f>
        <v>41057</v>
      </c>
      <c r="J2416" s="15" t="s">
        <v>30</v>
      </c>
      <c r="K2416" s="9">
        <v>6</v>
      </c>
      <c r="L2416" s="16" t="s">
        <v>29</v>
      </c>
      <c r="M2416" s="16">
        <f t="shared" si="225"/>
        <v>-1.3516196285269051</v>
      </c>
      <c r="N2416">
        <f t="shared" si="226"/>
        <v>0</v>
      </c>
      <c r="O2416">
        <f t="shared" si="227"/>
        <v>0</v>
      </c>
      <c r="P2416">
        <f t="shared" si="224"/>
        <v>3700</v>
      </c>
      <c r="Q2416">
        <f t="shared" si="228"/>
        <v>3700</v>
      </c>
      <c r="T2416" s="16">
        <f t="shared" si="229"/>
        <v>-1.3516196285269055</v>
      </c>
    </row>
    <row r="2417" spans="7:20" ht="14.4" x14ac:dyDescent="0.25">
      <c r="G2417" s="10">
        <v>6360</v>
      </c>
      <c r="H2417" s="9">
        <v>45125</v>
      </c>
      <c r="I2417" s="14">
        <f>DATE(2012,12,31)-217</f>
        <v>41057</v>
      </c>
      <c r="J2417" s="15" t="s">
        <v>30</v>
      </c>
      <c r="K2417" s="9">
        <v>32</v>
      </c>
      <c r="L2417" s="16" t="s">
        <v>27</v>
      </c>
      <c r="M2417" s="16">
        <f t="shared" si="225"/>
        <v>0.44393456357285216</v>
      </c>
      <c r="N2417">
        <f t="shared" si="226"/>
        <v>0</v>
      </c>
      <c r="O2417">
        <f t="shared" si="227"/>
        <v>0</v>
      </c>
      <c r="P2417">
        <f t="shared" si="224"/>
        <v>5000</v>
      </c>
      <c r="Q2417">
        <f t="shared" si="228"/>
        <v>5000</v>
      </c>
      <c r="T2417" s="16">
        <f t="shared" si="229"/>
        <v>0.44393456357285183</v>
      </c>
    </row>
    <row r="2418" spans="7:20" ht="14.4" x14ac:dyDescent="0.25">
      <c r="G2418" s="10">
        <v>6371</v>
      </c>
      <c r="H2418" s="9">
        <v>45190</v>
      </c>
      <c r="I2418" s="14">
        <f>DATE(2012,12,31)-773</f>
        <v>40501</v>
      </c>
      <c r="J2418" s="15" t="s">
        <v>17</v>
      </c>
      <c r="K2418" s="9">
        <v>13</v>
      </c>
      <c r="L2418" s="16" t="s">
        <v>29</v>
      </c>
      <c r="M2418" s="16">
        <f t="shared" si="225"/>
        <v>-0.86820119219235514</v>
      </c>
      <c r="N2418">
        <f t="shared" si="226"/>
        <v>0</v>
      </c>
      <c r="O2418">
        <f t="shared" si="227"/>
        <v>0</v>
      </c>
      <c r="P2418">
        <f t="shared" si="224"/>
        <v>4050</v>
      </c>
      <c r="Q2418">
        <f t="shared" si="228"/>
        <v>4050</v>
      </c>
      <c r="T2418" s="16">
        <f t="shared" si="229"/>
        <v>-0.86820119219235548</v>
      </c>
    </row>
    <row r="2419" spans="7:20" ht="14.4" x14ac:dyDescent="0.25">
      <c r="G2419" s="10">
        <v>6401</v>
      </c>
      <c r="H2419" s="9">
        <v>45414</v>
      </c>
      <c r="I2419" s="14">
        <f>DATE(2012,12,31)-1419</f>
        <v>39855</v>
      </c>
      <c r="J2419" s="15" t="s">
        <v>30</v>
      </c>
      <c r="K2419" s="9">
        <v>17</v>
      </c>
      <c r="L2419" s="16" t="s">
        <v>26</v>
      </c>
      <c r="M2419" s="16">
        <f t="shared" si="225"/>
        <v>-0.59196208571546938</v>
      </c>
      <c r="N2419">
        <f t="shared" si="226"/>
        <v>0</v>
      </c>
      <c r="O2419">
        <f t="shared" si="227"/>
        <v>0</v>
      </c>
      <c r="P2419">
        <f t="shared" si="224"/>
        <v>4250</v>
      </c>
      <c r="Q2419">
        <f t="shared" si="228"/>
        <v>4250</v>
      </c>
      <c r="T2419" s="16">
        <f t="shared" si="229"/>
        <v>-0.59196208571546971</v>
      </c>
    </row>
    <row r="2420" spans="7:20" ht="14.4" x14ac:dyDescent="0.25">
      <c r="G2420" s="10">
        <v>6429</v>
      </c>
      <c r="H2420" s="9">
        <v>45700</v>
      </c>
      <c r="I2420" s="14">
        <f>DATE(2012,12,31)-48</f>
        <v>41226</v>
      </c>
      <c r="J2420" s="15" t="s">
        <v>17</v>
      </c>
      <c r="K2420" s="9">
        <v>43</v>
      </c>
      <c r="L2420" s="16" t="s">
        <v>26</v>
      </c>
      <c r="M2420" s="16">
        <f t="shared" si="225"/>
        <v>1.203592106384288</v>
      </c>
      <c r="N2420">
        <f t="shared" si="226"/>
        <v>0</v>
      </c>
      <c r="O2420">
        <f t="shared" si="227"/>
        <v>0</v>
      </c>
      <c r="P2420">
        <f t="shared" si="224"/>
        <v>5550</v>
      </c>
      <c r="Q2420">
        <f t="shared" si="228"/>
        <v>5550</v>
      </c>
      <c r="T2420" s="16">
        <f t="shared" si="229"/>
        <v>1.2035921063842876</v>
      </c>
    </row>
    <row r="2421" spans="7:20" ht="14.4" x14ac:dyDescent="0.25">
      <c r="G2421" s="10">
        <v>6443</v>
      </c>
      <c r="H2421" s="9">
        <v>45824</v>
      </c>
      <c r="I2421" s="14">
        <f>DATE(2012,12,31)-1121</f>
        <v>40153</v>
      </c>
      <c r="J2421" s="15" t="s">
        <v>28</v>
      </c>
      <c r="K2421" s="9">
        <v>44</v>
      </c>
      <c r="L2421" s="16" t="s">
        <v>29</v>
      </c>
      <c r="M2421" s="16">
        <f t="shared" si="225"/>
        <v>1.2726518830035094</v>
      </c>
      <c r="N2421">
        <f t="shared" si="226"/>
        <v>0</v>
      </c>
      <c r="O2421">
        <f t="shared" si="227"/>
        <v>0</v>
      </c>
      <c r="P2421">
        <f t="shared" si="224"/>
        <v>5600</v>
      </c>
      <c r="Q2421">
        <f t="shared" si="228"/>
        <v>5600</v>
      </c>
      <c r="T2421" s="16">
        <f t="shared" si="229"/>
        <v>1.272651883003509</v>
      </c>
    </row>
    <row r="2422" spans="7:20" ht="14.4" x14ac:dyDescent="0.25">
      <c r="G2422" s="10">
        <v>6461</v>
      </c>
      <c r="H2422" s="9">
        <v>45991</v>
      </c>
      <c r="I2422" s="14">
        <f>DATE(2012,12,31)-686</f>
        <v>40588</v>
      </c>
      <c r="J2422" s="15" t="s">
        <v>25</v>
      </c>
      <c r="K2422" s="9">
        <v>1</v>
      </c>
      <c r="L2422" s="16" t="s">
        <v>29</v>
      </c>
      <c r="M2422" s="16">
        <f t="shared" si="225"/>
        <v>-1.6969185116230123</v>
      </c>
      <c r="N2422">
        <f t="shared" si="226"/>
        <v>0</v>
      </c>
      <c r="O2422">
        <f t="shared" si="227"/>
        <v>0</v>
      </c>
      <c r="P2422">
        <f t="shared" si="224"/>
        <v>3450</v>
      </c>
      <c r="Q2422">
        <f t="shared" si="228"/>
        <v>3450</v>
      </c>
      <c r="T2422" s="16">
        <f t="shared" si="229"/>
        <v>-1.6969185116230128</v>
      </c>
    </row>
    <row r="2423" spans="7:20" ht="14.4" x14ac:dyDescent="0.25">
      <c r="G2423" s="10">
        <v>6462</v>
      </c>
      <c r="H2423" s="9">
        <v>45991</v>
      </c>
      <c r="I2423" s="14">
        <f>DATE(2012,12,31)-686</f>
        <v>40588</v>
      </c>
      <c r="J2423" s="15" t="s">
        <v>25</v>
      </c>
      <c r="K2423" s="9">
        <v>50</v>
      </c>
      <c r="L2423" s="16" t="s">
        <v>26</v>
      </c>
      <c r="M2423" s="16">
        <f t="shared" si="225"/>
        <v>1.687010542718838</v>
      </c>
      <c r="N2423">
        <f t="shared" si="226"/>
        <v>0</v>
      </c>
      <c r="O2423">
        <f t="shared" si="227"/>
        <v>0</v>
      </c>
      <c r="P2423">
        <f t="shared" si="224"/>
        <v>5900</v>
      </c>
      <c r="Q2423">
        <f t="shared" si="228"/>
        <v>5900</v>
      </c>
      <c r="T2423" s="16">
        <f t="shared" si="229"/>
        <v>1.6870105427188375</v>
      </c>
    </row>
    <row r="2424" spans="7:20" ht="14.4" x14ac:dyDescent="0.25">
      <c r="G2424" s="10">
        <v>6502</v>
      </c>
      <c r="H2424" s="9">
        <v>46307</v>
      </c>
      <c r="I2424" s="14">
        <f>DATE(2012,12,31)-694</f>
        <v>40580</v>
      </c>
      <c r="J2424" s="15" t="s">
        <v>16</v>
      </c>
      <c r="K2424" s="9">
        <v>32</v>
      </c>
      <c r="L2424" s="16" t="s">
        <v>26</v>
      </c>
      <c r="M2424" s="16">
        <f t="shared" si="225"/>
        <v>0.44393456357285216</v>
      </c>
      <c r="N2424">
        <f t="shared" si="226"/>
        <v>0</v>
      </c>
      <c r="O2424">
        <f t="shared" si="227"/>
        <v>0</v>
      </c>
      <c r="P2424">
        <f t="shared" si="224"/>
        <v>5000</v>
      </c>
      <c r="Q2424">
        <f t="shared" si="228"/>
        <v>5000</v>
      </c>
      <c r="T2424" s="16">
        <f t="shared" si="229"/>
        <v>0.44393456357285183</v>
      </c>
    </row>
    <row r="2425" spans="7:20" ht="14.4" x14ac:dyDescent="0.25">
      <c r="G2425" s="10">
        <v>6503</v>
      </c>
      <c r="H2425" s="9">
        <v>46307</v>
      </c>
      <c r="I2425" s="14">
        <f>DATE(2012,12,31)-694</f>
        <v>40580</v>
      </c>
      <c r="J2425" s="15" t="s">
        <v>16</v>
      </c>
      <c r="K2425" s="9">
        <v>27</v>
      </c>
      <c r="L2425" s="16" t="s">
        <v>26</v>
      </c>
      <c r="M2425" s="16">
        <f t="shared" si="225"/>
        <v>9.8635680476745008E-2</v>
      </c>
      <c r="N2425">
        <f t="shared" si="226"/>
        <v>0</v>
      </c>
      <c r="O2425">
        <f t="shared" si="227"/>
        <v>0</v>
      </c>
      <c r="P2425">
        <f t="shared" si="224"/>
        <v>4750</v>
      </c>
      <c r="Q2425">
        <f t="shared" si="228"/>
        <v>4750</v>
      </c>
      <c r="T2425" s="16">
        <f t="shared" si="229"/>
        <v>9.8635680476744619E-2</v>
      </c>
    </row>
    <row r="2426" spans="7:20" ht="14.4" x14ac:dyDescent="0.25">
      <c r="G2426" s="10">
        <v>6524</v>
      </c>
      <c r="H2426" s="9">
        <v>46434</v>
      </c>
      <c r="I2426" s="14">
        <f>DATE(2012,12,31)-1005</f>
        <v>40269</v>
      </c>
      <c r="J2426" s="15" t="s">
        <v>30</v>
      </c>
      <c r="K2426" s="9">
        <v>34</v>
      </c>
      <c r="L2426" s="16" t="s">
        <v>26</v>
      </c>
      <c r="M2426" s="16">
        <f t="shared" si="225"/>
        <v>0.58205411681129504</v>
      </c>
      <c r="N2426">
        <f t="shared" si="226"/>
        <v>0</v>
      </c>
      <c r="O2426">
        <f t="shared" si="227"/>
        <v>0</v>
      </c>
      <c r="P2426">
        <f t="shared" si="224"/>
        <v>5100</v>
      </c>
      <c r="Q2426">
        <f t="shared" si="228"/>
        <v>5100</v>
      </c>
      <c r="T2426" s="16">
        <f t="shared" si="229"/>
        <v>0.58205411681129471</v>
      </c>
    </row>
    <row r="2427" spans="7:20" ht="14.4" x14ac:dyDescent="0.25">
      <c r="G2427" s="10">
        <v>6527</v>
      </c>
      <c r="H2427" s="9">
        <v>46466</v>
      </c>
      <c r="I2427" s="14">
        <f>DATE(2012,12,31)-314</f>
        <v>40960</v>
      </c>
      <c r="J2427" s="15" t="s">
        <v>16</v>
      </c>
      <c r="K2427" s="9">
        <v>7</v>
      </c>
      <c r="L2427" s="16" t="s">
        <v>29</v>
      </c>
      <c r="M2427" s="16">
        <f t="shared" si="225"/>
        <v>-1.2825598519076837</v>
      </c>
      <c r="N2427">
        <f t="shared" si="226"/>
        <v>0</v>
      </c>
      <c r="O2427">
        <f t="shared" si="227"/>
        <v>0</v>
      </c>
      <c r="P2427">
        <f t="shared" si="224"/>
        <v>3750</v>
      </c>
      <c r="Q2427">
        <f t="shared" si="228"/>
        <v>3750</v>
      </c>
      <c r="T2427" s="16">
        <f t="shared" si="229"/>
        <v>-1.2825598519076842</v>
      </c>
    </row>
    <row r="2428" spans="7:20" ht="14.4" x14ac:dyDescent="0.25">
      <c r="G2428" s="10">
        <v>6538</v>
      </c>
      <c r="H2428" s="9">
        <v>46528</v>
      </c>
      <c r="I2428" s="14">
        <f>DATE(2012,12,31)-1121</f>
        <v>40153</v>
      </c>
      <c r="J2428" s="15" t="s">
        <v>16</v>
      </c>
      <c r="K2428" s="9">
        <v>43</v>
      </c>
      <c r="L2428" s="16" t="s">
        <v>29</v>
      </c>
      <c r="M2428" s="16">
        <f t="shared" si="225"/>
        <v>1.203592106384288</v>
      </c>
      <c r="N2428">
        <f t="shared" si="226"/>
        <v>0</v>
      </c>
      <c r="O2428">
        <f t="shared" si="227"/>
        <v>0</v>
      </c>
      <c r="P2428">
        <f t="shared" si="224"/>
        <v>5550</v>
      </c>
      <c r="Q2428">
        <f t="shared" si="228"/>
        <v>5550</v>
      </c>
      <c r="T2428" s="16">
        <f t="shared" si="229"/>
        <v>1.2035921063842876</v>
      </c>
    </row>
    <row r="2429" spans="7:20" ht="14.4" x14ac:dyDescent="0.25">
      <c r="G2429" s="10">
        <v>6539</v>
      </c>
      <c r="H2429" s="9">
        <v>46528</v>
      </c>
      <c r="I2429" s="14">
        <f>DATE(2012,12,31)-1121</f>
        <v>40153</v>
      </c>
      <c r="J2429" s="15" t="s">
        <v>16</v>
      </c>
      <c r="K2429" s="9">
        <v>23</v>
      </c>
      <c r="L2429" s="16" t="s">
        <v>26</v>
      </c>
      <c r="M2429" s="16">
        <f t="shared" si="225"/>
        <v>-0.17760342600014073</v>
      </c>
      <c r="N2429">
        <f t="shared" si="226"/>
        <v>0</v>
      </c>
      <c r="O2429">
        <f t="shared" si="227"/>
        <v>0</v>
      </c>
      <c r="P2429">
        <f t="shared" si="224"/>
        <v>4550</v>
      </c>
      <c r="Q2429">
        <f t="shared" si="228"/>
        <v>4550</v>
      </c>
      <c r="T2429" s="16">
        <f t="shared" si="229"/>
        <v>-0.17760342600014112</v>
      </c>
    </row>
    <row r="2430" spans="7:20" ht="14.4" x14ac:dyDescent="0.25">
      <c r="G2430" s="10">
        <v>6558</v>
      </c>
      <c r="H2430" s="9">
        <v>46626</v>
      </c>
      <c r="I2430" s="14">
        <f>DATE(2012,12,31)-187</f>
        <v>41087</v>
      </c>
      <c r="J2430" s="15" t="s">
        <v>25</v>
      </c>
      <c r="K2430" s="9">
        <v>8</v>
      </c>
      <c r="L2430" s="16" t="s">
        <v>29</v>
      </c>
      <c r="M2430" s="16">
        <f t="shared" si="225"/>
        <v>-1.2135000752884624</v>
      </c>
      <c r="N2430">
        <f t="shared" si="226"/>
        <v>0</v>
      </c>
      <c r="O2430">
        <f t="shared" si="227"/>
        <v>0</v>
      </c>
      <c r="P2430">
        <f t="shared" si="224"/>
        <v>3800</v>
      </c>
      <c r="Q2430">
        <f t="shared" si="228"/>
        <v>3800</v>
      </c>
      <c r="T2430" s="16">
        <f t="shared" si="229"/>
        <v>-1.2135000752884626</v>
      </c>
    </row>
    <row r="2431" spans="7:20" ht="14.4" x14ac:dyDescent="0.25">
      <c r="G2431" s="10">
        <v>6581</v>
      </c>
      <c r="H2431" s="9">
        <v>46853</v>
      </c>
      <c r="I2431" s="14">
        <f>DATE(2012,12,31)-1319</f>
        <v>39955</v>
      </c>
      <c r="J2431" s="15" t="s">
        <v>25</v>
      </c>
      <c r="K2431" s="9">
        <v>22</v>
      </c>
      <c r="L2431" s="16" t="s">
        <v>27</v>
      </c>
      <c r="M2431" s="16">
        <f t="shared" si="225"/>
        <v>-0.24666320261936217</v>
      </c>
      <c r="N2431">
        <f t="shared" si="226"/>
        <v>0</v>
      </c>
      <c r="O2431">
        <f t="shared" si="227"/>
        <v>0</v>
      </c>
      <c r="P2431">
        <f t="shared" si="224"/>
        <v>4500</v>
      </c>
      <c r="Q2431">
        <f t="shared" si="228"/>
        <v>4500</v>
      </c>
      <c r="T2431" s="16">
        <f t="shared" si="229"/>
        <v>-0.24666320261936256</v>
      </c>
    </row>
    <row r="2432" spans="7:20" ht="14.4" x14ac:dyDescent="0.25">
      <c r="G2432" s="10">
        <v>6582</v>
      </c>
      <c r="H2432" s="9">
        <v>46855</v>
      </c>
      <c r="I2432" s="14">
        <f>DATE(2012,12,31)-1032</f>
        <v>40242</v>
      </c>
      <c r="J2432" s="15" t="s">
        <v>17</v>
      </c>
      <c r="K2432" s="9">
        <v>32</v>
      </c>
      <c r="L2432" s="16" t="s">
        <v>29</v>
      </c>
      <c r="M2432" s="16">
        <f t="shared" si="225"/>
        <v>0.44393456357285216</v>
      </c>
      <c r="N2432">
        <f t="shared" si="226"/>
        <v>0</v>
      </c>
      <c r="O2432">
        <f t="shared" si="227"/>
        <v>0</v>
      </c>
      <c r="P2432">
        <f t="shared" si="224"/>
        <v>5000</v>
      </c>
      <c r="Q2432">
        <f t="shared" si="228"/>
        <v>5000</v>
      </c>
      <c r="T2432" s="16">
        <f t="shared" si="229"/>
        <v>0.44393456357285183</v>
      </c>
    </row>
    <row r="2433" spans="7:20" ht="14.4" x14ac:dyDescent="0.25">
      <c r="G2433" s="10">
        <v>6595</v>
      </c>
      <c r="H2433" s="9">
        <v>46919</v>
      </c>
      <c r="I2433" s="14">
        <f>DATE(2012,12,31)-1292</f>
        <v>39982</v>
      </c>
      <c r="J2433" s="15" t="s">
        <v>25</v>
      </c>
      <c r="K2433" s="9">
        <v>31</v>
      </c>
      <c r="L2433" s="16" t="s">
        <v>27</v>
      </c>
      <c r="M2433" s="16">
        <f t="shared" si="225"/>
        <v>0.37487478695363075</v>
      </c>
      <c r="N2433">
        <f t="shared" si="226"/>
        <v>0</v>
      </c>
      <c r="O2433">
        <f t="shared" si="227"/>
        <v>0</v>
      </c>
      <c r="P2433">
        <f t="shared" si="224"/>
        <v>4950</v>
      </c>
      <c r="Q2433">
        <f t="shared" si="228"/>
        <v>4950</v>
      </c>
      <c r="T2433" s="16">
        <f t="shared" si="229"/>
        <v>0.37487478695363036</v>
      </c>
    </row>
    <row r="2434" spans="7:20" ht="14.4" x14ac:dyDescent="0.25">
      <c r="G2434" s="10">
        <v>6599</v>
      </c>
      <c r="H2434" s="9">
        <v>46977</v>
      </c>
      <c r="I2434" s="14">
        <f>DATE(2012,12,31)-238</f>
        <v>41036</v>
      </c>
      <c r="J2434" s="15" t="s">
        <v>16</v>
      </c>
      <c r="K2434" s="9">
        <v>10</v>
      </c>
      <c r="L2434" s="16" t="s">
        <v>26</v>
      </c>
      <c r="M2434" s="16">
        <f t="shared" si="225"/>
        <v>-1.0753805220500194</v>
      </c>
      <c r="N2434">
        <f t="shared" si="226"/>
        <v>0</v>
      </c>
      <c r="O2434">
        <f t="shared" si="227"/>
        <v>0</v>
      </c>
      <c r="P2434">
        <f t="shared" si="224"/>
        <v>3900</v>
      </c>
      <c r="Q2434">
        <f t="shared" si="228"/>
        <v>3900</v>
      </c>
      <c r="T2434" s="16">
        <f t="shared" si="229"/>
        <v>-1.0753805220500199</v>
      </c>
    </row>
    <row r="2435" spans="7:20" ht="14.4" x14ac:dyDescent="0.25">
      <c r="G2435" s="10">
        <v>6600</v>
      </c>
      <c r="H2435" s="9">
        <v>46977</v>
      </c>
      <c r="I2435" s="14">
        <f>DATE(2012,12,31)-238</f>
        <v>41036</v>
      </c>
      <c r="J2435" s="15" t="s">
        <v>16</v>
      </c>
      <c r="K2435" s="9">
        <v>19</v>
      </c>
      <c r="L2435" s="16" t="s">
        <v>27</v>
      </c>
      <c r="M2435" s="16">
        <f t="shared" si="225"/>
        <v>-0.45384253247702649</v>
      </c>
      <c r="N2435">
        <f t="shared" si="226"/>
        <v>0</v>
      </c>
      <c r="O2435">
        <f t="shared" si="227"/>
        <v>0</v>
      </c>
      <c r="P2435">
        <f t="shared" si="224"/>
        <v>4350</v>
      </c>
      <c r="Q2435">
        <f t="shared" si="228"/>
        <v>4350</v>
      </c>
      <c r="T2435" s="16">
        <f t="shared" si="229"/>
        <v>-0.45384253247702688</v>
      </c>
    </row>
    <row r="2436" spans="7:20" ht="14.4" x14ac:dyDescent="0.25">
      <c r="G2436" s="10">
        <v>6612</v>
      </c>
      <c r="H2436" s="9">
        <v>47041</v>
      </c>
      <c r="I2436" s="14">
        <f>DATE(2012,12,31)-274</f>
        <v>41000</v>
      </c>
      <c r="J2436" s="15" t="s">
        <v>28</v>
      </c>
      <c r="K2436" s="9">
        <v>35</v>
      </c>
      <c r="L2436" s="16" t="s">
        <v>26</v>
      </c>
      <c r="M2436" s="16">
        <f t="shared" si="225"/>
        <v>0.65111389343051651</v>
      </c>
      <c r="N2436">
        <f t="shared" si="226"/>
        <v>0</v>
      </c>
      <c r="O2436">
        <f t="shared" si="227"/>
        <v>0</v>
      </c>
      <c r="P2436">
        <f t="shared" si="224"/>
        <v>5150</v>
      </c>
      <c r="Q2436">
        <f t="shared" si="228"/>
        <v>5150</v>
      </c>
      <c r="T2436" s="16">
        <f t="shared" si="229"/>
        <v>0.65111389343051607</v>
      </c>
    </row>
    <row r="2437" spans="7:20" ht="14.4" x14ac:dyDescent="0.25">
      <c r="G2437" s="10">
        <v>6650</v>
      </c>
      <c r="H2437" s="9">
        <v>47301</v>
      </c>
      <c r="I2437" s="14">
        <f>DATE(2012,12,31)-533</f>
        <v>40741</v>
      </c>
      <c r="J2437" s="15" t="s">
        <v>25</v>
      </c>
      <c r="K2437" s="9">
        <v>6</v>
      </c>
      <c r="L2437" s="16" t="s">
        <v>26</v>
      </c>
      <c r="M2437" s="16">
        <f t="shared" si="225"/>
        <v>-1.3516196285269051</v>
      </c>
      <c r="N2437">
        <f t="shared" si="226"/>
        <v>0</v>
      </c>
      <c r="O2437">
        <f t="shared" si="227"/>
        <v>0</v>
      </c>
      <c r="P2437">
        <f t="shared" si="224"/>
        <v>3700</v>
      </c>
      <c r="Q2437">
        <f t="shared" si="228"/>
        <v>3700</v>
      </c>
      <c r="T2437" s="16">
        <f t="shared" si="229"/>
        <v>-1.3516196285269055</v>
      </c>
    </row>
    <row r="2438" spans="7:20" ht="14.4" x14ac:dyDescent="0.25">
      <c r="G2438" s="10">
        <v>6701</v>
      </c>
      <c r="H2438" s="9">
        <v>47714</v>
      </c>
      <c r="I2438" s="14">
        <f>DATE(2012,12,31)-662</f>
        <v>40612</v>
      </c>
      <c r="J2438" s="15" t="s">
        <v>16</v>
      </c>
      <c r="K2438" s="9">
        <v>29</v>
      </c>
      <c r="L2438" s="16" t="s">
        <v>29</v>
      </c>
      <c r="M2438" s="16">
        <f t="shared" si="225"/>
        <v>0.23675523371518786</v>
      </c>
      <c r="N2438">
        <f t="shared" si="226"/>
        <v>0</v>
      </c>
      <c r="O2438">
        <f t="shared" si="227"/>
        <v>0</v>
      </c>
      <c r="P2438">
        <f t="shared" si="224"/>
        <v>4850</v>
      </c>
      <c r="Q2438">
        <f t="shared" si="228"/>
        <v>4850</v>
      </c>
      <c r="T2438" s="16">
        <f t="shared" si="229"/>
        <v>0.2367552337151875</v>
      </c>
    </row>
    <row r="2439" spans="7:20" ht="14.4" x14ac:dyDescent="0.25">
      <c r="G2439" s="10">
        <v>6742</v>
      </c>
      <c r="H2439" s="9">
        <v>48003</v>
      </c>
      <c r="I2439" s="14">
        <f>DATE(2012,12,31)-340</f>
        <v>40934</v>
      </c>
      <c r="J2439" s="15" t="s">
        <v>16</v>
      </c>
      <c r="K2439" s="9">
        <v>30</v>
      </c>
      <c r="L2439" s="16" t="s">
        <v>27</v>
      </c>
      <c r="M2439" s="16">
        <f t="shared" si="225"/>
        <v>0.30581501033440933</v>
      </c>
      <c r="N2439">
        <f t="shared" si="226"/>
        <v>0</v>
      </c>
      <c r="O2439">
        <f t="shared" si="227"/>
        <v>0</v>
      </c>
      <c r="P2439">
        <f t="shared" si="224"/>
        <v>4900</v>
      </c>
      <c r="Q2439">
        <f t="shared" si="228"/>
        <v>4900</v>
      </c>
      <c r="T2439" s="16">
        <f t="shared" si="229"/>
        <v>0.30581501033440894</v>
      </c>
    </row>
    <row r="2440" spans="7:20" ht="14.4" x14ac:dyDescent="0.25">
      <c r="G2440" s="10">
        <v>6743</v>
      </c>
      <c r="H2440" s="9">
        <v>48003</v>
      </c>
      <c r="I2440" s="14">
        <f>DATE(2012,12,31)-340</f>
        <v>40934</v>
      </c>
      <c r="J2440" s="15" t="s">
        <v>16</v>
      </c>
      <c r="K2440" s="9">
        <v>12</v>
      </c>
      <c r="L2440" s="16" t="s">
        <v>29</v>
      </c>
      <c r="M2440" s="16">
        <f t="shared" si="225"/>
        <v>-0.9372609688115765</v>
      </c>
      <c r="N2440">
        <f t="shared" si="226"/>
        <v>0</v>
      </c>
      <c r="O2440">
        <f t="shared" si="227"/>
        <v>0</v>
      </c>
      <c r="P2440">
        <f t="shared" si="224"/>
        <v>4000</v>
      </c>
      <c r="Q2440">
        <f t="shared" si="228"/>
        <v>4000</v>
      </c>
      <c r="T2440" s="16">
        <f t="shared" si="229"/>
        <v>-0.93726096881157694</v>
      </c>
    </row>
    <row r="2441" spans="7:20" ht="14.4" x14ac:dyDescent="0.25">
      <c r="G2441" s="10">
        <v>6766</v>
      </c>
      <c r="H2441" s="9">
        <v>48195</v>
      </c>
      <c r="I2441" s="14">
        <f>DATE(2012,12,31)-765</f>
        <v>40509</v>
      </c>
      <c r="J2441" s="15" t="s">
        <v>28</v>
      </c>
      <c r="K2441" s="9">
        <v>35</v>
      </c>
      <c r="L2441" s="16" t="s">
        <v>27</v>
      </c>
      <c r="M2441" s="16">
        <f t="shared" si="225"/>
        <v>0.65111389343051651</v>
      </c>
      <c r="N2441">
        <f t="shared" si="226"/>
        <v>0</v>
      </c>
      <c r="O2441">
        <f t="shared" si="227"/>
        <v>0</v>
      </c>
      <c r="P2441">
        <f t="shared" si="224"/>
        <v>5150</v>
      </c>
      <c r="Q2441">
        <f t="shared" si="228"/>
        <v>5150</v>
      </c>
      <c r="T2441" s="16">
        <f t="shared" si="229"/>
        <v>0.65111389343051607</v>
      </c>
    </row>
    <row r="2442" spans="7:20" ht="14.4" x14ac:dyDescent="0.25">
      <c r="G2442" s="10">
        <v>6767</v>
      </c>
      <c r="H2442" s="9">
        <v>48195</v>
      </c>
      <c r="I2442" s="14">
        <f>DATE(2012,12,31)-765</f>
        <v>40509</v>
      </c>
      <c r="J2442" s="15" t="s">
        <v>28</v>
      </c>
      <c r="K2442" s="9">
        <v>35</v>
      </c>
      <c r="L2442" s="16" t="s">
        <v>27</v>
      </c>
      <c r="M2442" s="16">
        <f t="shared" si="225"/>
        <v>0.65111389343051651</v>
      </c>
      <c r="N2442">
        <f t="shared" si="226"/>
        <v>0</v>
      </c>
      <c r="O2442">
        <f t="shared" si="227"/>
        <v>0</v>
      </c>
      <c r="P2442">
        <f t="shared" si="224"/>
        <v>5150</v>
      </c>
      <c r="Q2442">
        <f t="shared" si="228"/>
        <v>5150</v>
      </c>
      <c r="T2442" s="16">
        <f t="shared" si="229"/>
        <v>0.65111389343051607</v>
      </c>
    </row>
    <row r="2443" spans="7:20" ht="14.4" x14ac:dyDescent="0.25">
      <c r="G2443" s="10">
        <v>6768</v>
      </c>
      <c r="H2443" s="9">
        <v>48195</v>
      </c>
      <c r="I2443" s="14">
        <f>DATE(2012,12,31)-765</f>
        <v>40509</v>
      </c>
      <c r="J2443" s="15" t="s">
        <v>28</v>
      </c>
      <c r="K2443" s="9">
        <v>47</v>
      </c>
      <c r="L2443" s="16" t="s">
        <v>27</v>
      </c>
      <c r="M2443" s="16">
        <f t="shared" si="225"/>
        <v>1.4798312128611737</v>
      </c>
      <c r="N2443">
        <f t="shared" si="226"/>
        <v>0</v>
      </c>
      <c r="O2443">
        <f t="shared" si="227"/>
        <v>0</v>
      </c>
      <c r="P2443">
        <f t="shared" si="224"/>
        <v>5750</v>
      </c>
      <c r="Q2443">
        <f t="shared" si="228"/>
        <v>5750</v>
      </c>
      <c r="T2443" s="16">
        <f t="shared" si="229"/>
        <v>1.4798312128611733</v>
      </c>
    </row>
    <row r="2444" spans="7:20" ht="14.4" x14ac:dyDescent="0.25">
      <c r="G2444" s="10">
        <v>6789</v>
      </c>
      <c r="H2444" s="9">
        <v>48357</v>
      </c>
      <c r="I2444" s="14">
        <f>DATE(2012,12,31)-1374</f>
        <v>39900</v>
      </c>
      <c r="J2444" s="15" t="s">
        <v>28</v>
      </c>
      <c r="K2444" s="9">
        <v>16</v>
      </c>
      <c r="L2444" s="16" t="s">
        <v>27</v>
      </c>
      <c r="M2444" s="16">
        <f t="shared" si="225"/>
        <v>-0.66102186233469074</v>
      </c>
      <c r="N2444">
        <f t="shared" si="226"/>
        <v>0</v>
      </c>
      <c r="O2444">
        <f t="shared" si="227"/>
        <v>0</v>
      </c>
      <c r="P2444">
        <f t="shared" ref="P2444:P2507" si="230">50*K2444+$P$10</f>
        <v>4200</v>
      </c>
      <c r="Q2444">
        <f t="shared" si="228"/>
        <v>4200</v>
      </c>
      <c r="T2444" s="16">
        <f t="shared" si="229"/>
        <v>-0.66102186233469118</v>
      </c>
    </row>
    <row r="2445" spans="7:20" ht="14.4" x14ac:dyDescent="0.25">
      <c r="G2445" s="10">
        <v>6826</v>
      </c>
      <c r="H2445" s="9">
        <v>48615</v>
      </c>
      <c r="I2445" s="14">
        <f>DATE(2012,12,31)-28</f>
        <v>41246</v>
      </c>
      <c r="J2445" s="15" t="s">
        <v>25</v>
      </c>
      <c r="K2445" s="9">
        <v>4</v>
      </c>
      <c r="L2445" s="16" t="s">
        <v>26</v>
      </c>
      <c r="M2445" s="16">
        <f t="shared" ref="M2445:M2508" si="231">(K2445-$K$4)/$K$7</f>
        <v>-1.489739181765348</v>
      </c>
      <c r="N2445">
        <f t="shared" ref="N2445:N2508" si="232">IF(MOD($B$20+G2445,1000)=0,1,0)</f>
        <v>0</v>
      </c>
      <c r="O2445">
        <f t="shared" ref="O2445:O2508" si="233">+ROUND(N2445*(IF(K2445&lt;$K$4,-4.5,10.5)*$P$5),-2)</f>
        <v>0</v>
      </c>
      <c r="P2445">
        <f t="shared" si="230"/>
        <v>3600</v>
      </c>
      <c r="Q2445">
        <f t="shared" ref="Q2445:Q2508" si="234">P2445+O2445</f>
        <v>3600</v>
      </c>
      <c r="T2445" s="16">
        <f t="shared" ref="T2445:T2508" si="235">(Q2445-$P$4)/$P$5</f>
        <v>-1.4897391817653485</v>
      </c>
    </row>
    <row r="2446" spans="7:20" ht="14.4" x14ac:dyDescent="0.25">
      <c r="G2446" s="10">
        <v>6827</v>
      </c>
      <c r="H2446" s="9">
        <v>48615</v>
      </c>
      <c r="I2446" s="14">
        <f>DATE(2012,12,31)-28</f>
        <v>41246</v>
      </c>
      <c r="J2446" s="15" t="s">
        <v>25</v>
      </c>
      <c r="K2446" s="9">
        <v>8</v>
      </c>
      <c r="L2446" s="16" t="s">
        <v>29</v>
      </c>
      <c r="M2446" s="16">
        <f t="shared" si="231"/>
        <v>-1.2135000752884624</v>
      </c>
      <c r="N2446">
        <f t="shared" si="232"/>
        <v>0</v>
      </c>
      <c r="O2446">
        <f t="shared" si="233"/>
        <v>0</v>
      </c>
      <c r="P2446">
        <f t="shared" si="230"/>
        <v>3800</v>
      </c>
      <c r="Q2446">
        <f t="shared" si="234"/>
        <v>3800</v>
      </c>
      <c r="T2446" s="16">
        <f t="shared" si="235"/>
        <v>-1.2135000752884626</v>
      </c>
    </row>
    <row r="2447" spans="7:20" ht="14.4" x14ac:dyDescent="0.25">
      <c r="G2447" s="10">
        <v>6831</v>
      </c>
      <c r="H2447" s="9">
        <v>48642</v>
      </c>
      <c r="I2447" s="14">
        <f>DATE(2012,12,31)-1064</f>
        <v>40210</v>
      </c>
      <c r="J2447" s="15" t="s">
        <v>17</v>
      </c>
      <c r="K2447" s="9">
        <v>4</v>
      </c>
      <c r="L2447" s="16" t="s">
        <v>26</v>
      </c>
      <c r="M2447" s="16">
        <f t="shared" si="231"/>
        <v>-1.489739181765348</v>
      </c>
      <c r="N2447">
        <f t="shared" si="232"/>
        <v>0</v>
      </c>
      <c r="O2447">
        <f t="shared" si="233"/>
        <v>0</v>
      </c>
      <c r="P2447">
        <f t="shared" si="230"/>
        <v>3600</v>
      </c>
      <c r="Q2447">
        <f t="shared" si="234"/>
        <v>3600</v>
      </c>
      <c r="T2447" s="16">
        <f t="shared" si="235"/>
        <v>-1.4897391817653485</v>
      </c>
    </row>
    <row r="2448" spans="7:20" ht="14.4" x14ac:dyDescent="0.25">
      <c r="G2448" s="10">
        <v>6832</v>
      </c>
      <c r="H2448" s="9">
        <v>48642</v>
      </c>
      <c r="I2448" s="14">
        <f>DATE(2012,12,31)-1064</f>
        <v>40210</v>
      </c>
      <c r="J2448" s="15" t="s">
        <v>17</v>
      </c>
      <c r="K2448" s="9">
        <v>5</v>
      </c>
      <c r="L2448" s="16" t="s">
        <v>27</v>
      </c>
      <c r="M2448" s="16">
        <f t="shared" si="231"/>
        <v>-1.4206794051461267</v>
      </c>
      <c r="N2448">
        <f t="shared" si="232"/>
        <v>0</v>
      </c>
      <c r="O2448">
        <f t="shared" si="233"/>
        <v>0</v>
      </c>
      <c r="P2448">
        <f t="shared" si="230"/>
        <v>3650</v>
      </c>
      <c r="Q2448">
        <f t="shared" si="234"/>
        <v>3650</v>
      </c>
      <c r="T2448" s="16">
        <f t="shared" si="235"/>
        <v>-1.4206794051461269</v>
      </c>
    </row>
    <row r="2449" spans="7:20" ht="14.4" x14ac:dyDescent="0.25">
      <c r="G2449" s="10">
        <v>6842</v>
      </c>
      <c r="H2449" s="9">
        <v>48710</v>
      </c>
      <c r="I2449" s="14">
        <f>DATE(2012,12,31)-1132</f>
        <v>40142</v>
      </c>
      <c r="J2449" s="15" t="s">
        <v>16</v>
      </c>
      <c r="K2449" s="9">
        <v>4</v>
      </c>
      <c r="L2449" s="16" t="s">
        <v>26</v>
      </c>
      <c r="M2449" s="16">
        <f t="shared" si="231"/>
        <v>-1.489739181765348</v>
      </c>
      <c r="N2449">
        <f t="shared" si="232"/>
        <v>0</v>
      </c>
      <c r="O2449">
        <f t="shared" si="233"/>
        <v>0</v>
      </c>
      <c r="P2449">
        <f t="shared" si="230"/>
        <v>3600</v>
      </c>
      <c r="Q2449">
        <f t="shared" si="234"/>
        <v>3600</v>
      </c>
      <c r="T2449" s="16">
        <f t="shared" si="235"/>
        <v>-1.4897391817653485</v>
      </c>
    </row>
    <row r="2450" spans="7:20" ht="14.4" x14ac:dyDescent="0.25">
      <c r="G2450" s="10">
        <v>6888</v>
      </c>
      <c r="H2450" s="9">
        <v>49094</v>
      </c>
      <c r="I2450" s="14">
        <f>DATE(2012,12,31)-119</f>
        <v>41155</v>
      </c>
      <c r="J2450" s="15" t="s">
        <v>30</v>
      </c>
      <c r="K2450" s="9">
        <v>31</v>
      </c>
      <c r="L2450" s="16" t="s">
        <v>27</v>
      </c>
      <c r="M2450" s="16">
        <f t="shared" si="231"/>
        <v>0.37487478695363075</v>
      </c>
      <c r="N2450">
        <f t="shared" si="232"/>
        <v>0</v>
      </c>
      <c r="O2450">
        <f t="shared" si="233"/>
        <v>0</v>
      </c>
      <c r="P2450">
        <f t="shared" si="230"/>
        <v>4950</v>
      </c>
      <c r="Q2450">
        <f t="shared" si="234"/>
        <v>4950</v>
      </c>
      <c r="T2450" s="16">
        <f t="shared" si="235"/>
        <v>0.37487478695363036</v>
      </c>
    </row>
    <row r="2451" spans="7:20" ht="14.4" x14ac:dyDescent="0.25">
      <c r="G2451" s="10">
        <v>6891</v>
      </c>
      <c r="H2451" s="9">
        <v>49125</v>
      </c>
      <c r="I2451" s="14">
        <f>DATE(2012,12,31)-1373</f>
        <v>39901</v>
      </c>
      <c r="J2451" s="15" t="s">
        <v>28</v>
      </c>
      <c r="K2451" s="9">
        <v>29</v>
      </c>
      <c r="L2451" s="16" t="s">
        <v>26</v>
      </c>
      <c r="M2451" s="16">
        <f t="shared" si="231"/>
        <v>0.23675523371518786</v>
      </c>
      <c r="N2451">
        <f t="shared" si="232"/>
        <v>0</v>
      </c>
      <c r="O2451">
        <f t="shared" si="233"/>
        <v>0</v>
      </c>
      <c r="P2451">
        <f t="shared" si="230"/>
        <v>4850</v>
      </c>
      <c r="Q2451">
        <f t="shared" si="234"/>
        <v>4850</v>
      </c>
      <c r="T2451" s="16">
        <f t="shared" si="235"/>
        <v>0.2367552337151875</v>
      </c>
    </row>
    <row r="2452" spans="7:20" ht="14.4" x14ac:dyDescent="0.25">
      <c r="G2452" s="10">
        <v>6898</v>
      </c>
      <c r="H2452" s="9">
        <v>49216</v>
      </c>
      <c r="I2452" s="14">
        <f>DATE(2012,12,31)-1383</f>
        <v>39891</v>
      </c>
      <c r="J2452" s="15" t="s">
        <v>17</v>
      </c>
      <c r="K2452" s="9">
        <v>28</v>
      </c>
      <c r="L2452" s="16" t="s">
        <v>26</v>
      </c>
      <c r="M2452" s="16">
        <f t="shared" si="231"/>
        <v>0.16769545709596645</v>
      </c>
      <c r="N2452">
        <f t="shared" si="232"/>
        <v>0</v>
      </c>
      <c r="O2452">
        <f t="shared" si="233"/>
        <v>0</v>
      </c>
      <c r="P2452">
        <f t="shared" si="230"/>
        <v>4800</v>
      </c>
      <c r="Q2452">
        <f t="shared" si="234"/>
        <v>4800</v>
      </c>
      <c r="T2452" s="16">
        <f t="shared" si="235"/>
        <v>0.16769545709596606</v>
      </c>
    </row>
    <row r="2453" spans="7:20" ht="14.4" x14ac:dyDescent="0.25">
      <c r="G2453" s="10">
        <v>6940</v>
      </c>
      <c r="H2453" s="9">
        <v>49538</v>
      </c>
      <c r="I2453" s="14">
        <f>DATE(2012,12,31)-1020</f>
        <v>40254</v>
      </c>
      <c r="J2453" s="15" t="s">
        <v>25</v>
      </c>
      <c r="K2453" s="9">
        <v>29</v>
      </c>
      <c r="L2453" s="16" t="s">
        <v>29</v>
      </c>
      <c r="M2453" s="16">
        <f t="shared" si="231"/>
        <v>0.23675523371518786</v>
      </c>
      <c r="N2453">
        <f t="shared" si="232"/>
        <v>0</v>
      </c>
      <c r="O2453">
        <f t="shared" si="233"/>
        <v>0</v>
      </c>
      <c r="P2453">
        <f t="shared" si="230"/>
        <v>4850</v>
      </c>
      <c r="Q2453">
        <f t="shared" si="234"/>
        <v>4850</v>
      </c>
      <c r="T2453" s="16">
        <f t="shared" si="235"/>
        <v>0.2367552337151875</v>
      </c>
    </row>
    <row r="2454" spans="7:20" ht="14.4" x14ac:dyDescent="0.25">
      <c r="G2454" s="10">
        <v>6953</v>
      </c>
      <c r="H2454" s="9">
        <v>49730</v>
      </c>
      <c r="I2454" s="14">
        <f>DATE(2012,12,31)-1457</f>
        <v>39817</v>
      </c>
      <c r="J2454" s="15" t="s">
        <v>17</v>
      </c>
      <c r="K2454" s="9">
        <v>3</v>
      </c>
      <c r="L2454" s="16" t="s">
        <v>29</v>
      </c>
      <c r="M2454" s="16">
        <f t="shared" si="231"/>
        <v>-1.5587989583845694</v>
      </c>
      <c r="N2454">
        <f t="shared" si="232"/>
        <v>0</v>
      </c>
      <c r="O2454">
        <f t="shared" si="233"/>
        <v>0</v>
      </c>
      <c r="P2454">
        <f t="shared" si="230"/>
        <v>3550</v>
      </c>
      <c r="Q2454">
        <f t="shared" si="234"/>
        <v>3550</v>
      </c>
      <c r="T2454" s="16">
        <f t="shared" si="235"/>
        <v>-1.5587989583845698</v>
      </c>
    </row>
    <row r="2455" spans="7:20" ht="14.4" x14ac:dyDescent="0.25">
      <c r="G2455" s="10">
        <v>6985</v>
      </c>
      <c r="H2455" s="9">
        <v>49924</v>
      </c>
      <c r="I2455" s="14">
        <f>DATE(2012,12,31)-586</f>
        <v>40688</v>
      </c>
      <c r="J2455" s="15" t="s">
        <v>30</v>
      </c>
      <c r="K2455" s="9">
        <v>48</v>
      </c>
      <c r="L2455" s="16" t="s">
        <v>26</v>
      </c>
      <c r="M2455" s="16">
        <f t="shared" si="231"/>
        <v>1.5488909894803951</v>
      </c>
      <c r="N2455">
        <f t="shared" si="232"/>
        <v>0</v>
      </c>
      <c r="O2455">
        <f t="shared" si="233"/>
        <v>0</v>
      </c>
      <c r="P2455">
        <f t="shared" si="230"/>
        <v>5800</v>
      </c>
      <c r="Q2455">
        <f t="shared" si="234"/>
        <v>5800</v>
      </c>
      <c r="T2455" s="16">
        <f t="shared" si="235"/>
        <v>1.5488909894803948</v>
      </c>
    </row>
    <row r="2456" spans="7:20" ht="14.4" x14ac:dyDescent="0.25">
      <c r="G2456" s="10">
        <v>6986</v>
      </c>
      <c r="H2456" s="9">
        <v>49924</v>
      </c>
      <c r="I2456" s="14">
        <f>DATE(2012,12,31)-586</f>
        <v>40688</v>
      </c>
      <c r="J2456" s="15" t="s">
        <v>30</v>
      </c>
      <c r="K2456" s="9">
        <v>13</v>
      </c>
      <c r="L2456" s="16" t="s">
        <v>29</v>
      </c>
      <c r="M2456" s="16">
        <f t="shared" si="231"/>
        <v>-0.86820119219235514</v>
      </c>
      <c r="N2456">
        <f t="shared" si="232"/>
        <v>0</v>
      </c>
      <c r="O2456">
        <f t="shared" si="233"/>
        <v>0</v>
      </c>
      <c r="P2456">
        <f t="shared" si="230"/>
        <v>4050</v>
      </c>
      <c r="Q2456">
        <f t="shared" si="234"/>
        <v>4050</v>
      </c>
      <c r="T2456" s="16">
        <f t="shared" si="235"/>
        <v>-0.86820119219235548</v>
      </c>
    </row>
    <row r="2457" spans="7:20" ht="14.4" x14ac:dyDescent="0.25">
      <c r="G2457" s="10">
        <v>7046</v>
      </c>
      <c r="H2457" s="9">
        <v>50306</v>
      </c>
      <c r="I2457" s="14">
        <f>DATE(2012,12,31)-591</f>
        <v>40683</v>
      </c>
      <c r="J2457" s="15" t="s">
        <v>16</v>
      </c>
      <c r="K2457" s="9">
        <v>34</v>
      </c>
      <c r="L2457" s="16" t="s">
        <v>26</v>
      </c>
      <c r="M2457" s="16">
        <f t="shared" si="231"/>
        <v>0.58205411681129504</v>
      </c>
      <c r="N2457">
        <f t="shared" si="232"/>
        <v>0</v>
      </c>
      <c r="O2457">
        <f t="shared" si="233"/>
        <v>0</v>
      </c>
      <c r="P2457">
        <f t="shared" si="230"/>
        <v>5100</v>
      </c>
      <c r="Q2457">
        <f t="shared" si="234"/>
        <v>5100</v>
      </c>
      <c r="T2457" s="16">
        <f t="shared" si="235"/>
        <v>0.58205411681129471</v>
      </c>
    </row>
    <row r="2458" spans="7:20" ht="14.4" x14ac:dyDescent="0.25">
      <c r="G2458" s="10">
        <v>7088</v>
      </c>
      <c r="H2458" s="9">
        <v>50566</v>
      </c>
      <c r="I2458" s="14">
        <f>DATE(2012,12,31)-481</f>
        <v>40793</v>
      </c>
      <c r="J2458" s="15" t="s">
        <v>28</v>
      </c>
      <c r="K2458" s="9">
        <v>48</v>
      </c>
      <c r="L2458" s="16" t="s">
        <v>26</v>
      </c>
      <c r="M2458" s="16">
        <f t="shared" si="231"/>
        <v>1.5488909894803951</v>
      </c>
      <c r="N2458">
        <f t="shared" si="232"/>
        <v>0</v>
      </c>
      <c r="O2458">
        <f t="shared" si="233"/>
        <v>0</v>
      </c>
      <c r="P2458">
        <f t="shared" si="230"/>
        <v>5800</v>
      </c>
      <c r="Q2458">
        <f t="shared" si="234"/>
        <v>5800</v>
      </c>
      <c r="T2458" s="16">
        <f t="shared" si="235"/>
        <v>1.5488909894803948</v>
      </c>
    </row>
    <row r="2459" spans="7:20" ht="14.4" x14ac:dyDescent="0.25">
      <c r="G2459" s="10">
        <v>7126</v>
      </c>
      <c r="H2459" s="9">
        <v>50823</v>
      </c>
      <c r="I2459" s="14">
        <f>DATE(2012,12,31)-1259</f>
        <v>40015</v>
      </c>
      <c r="J2459" s="15" t="s">
        <v>25</v>
      </c>
      <c r="K2459" s="9">
        <v>12</v>
      </c>
      <c r="L2459" s="16" t="s">
        <v>27</v>
      </c>
      <c r="M2459" s="16">
        <f t="shared" si="231"/>
        <v>-0.9372609688115765</v>
      </c>
      <c r="N2459">
        <f t="shared" si="232"/>
        <v>0</v>
      </c>
      <c r="O2459">
        <f t="shared" si="233"/>
        <v>0</v>
      </c>
      <c r="P2459">
        <f t="shared" si="230"/>
        <v>4000</v>
      </c>
      <c r="Q2459">
        <f t="shared" si="234"/>
        <v>4000</v>
      </c>
      <c r="T2459" s="16">
        <f t="shared" si="235"/>
        <v>-0.93726096881157694</v>
      </c>
    </row>
    <row r="2460" spans="7:20" ht="14.4" x14ac:dyDescent="0.25">
      <c r="G2460" s="10">
        <v>7131</v>
      </c>
      <c r="H2460" s="9">
        <v>50854</v>
      </c>
      <c r="I2460" s="14">
        <f>DATE(2012,12,31)-380</f>
        <v>40894</v>
      </c>
      <c r="J2460" s="15" t="s">
        <v>30</v>
      </c>
      <c r="K2460" s="9">
        <v>27</v>
      </c>
      <c r="L2460" s="16" t="s">
        <v>26</v>
      </c>
      <c r="M2460" s="16">
        <f t="shared" si="231"/>
        <v>9.8635680476745008E-2</v>
      </c>
      <c r="N2460">
        <f t="shared" si="232"/>
        <v>0</v>
      </c>
      <c r="O2460">
        <f t="shared" si="233"/>
        <v>0</v>
      </c>
      <c r="P2460">
        <f t="shared" si="230"/>
        <v>4750</v>
      </c>
      <c r="Q2460">
        <f t="shared" si="234"/>
        <v>4750</v>
      </c>
      <c r="T2460" s="16">
        <f t="shared" si="235"/>
        <v>9.8635680476744619E-2</v>
      </c>
    </row>
    <row r="2461" spans="7:20" ht="14.4" x14ac:dyDescent="0.25">
      <c r="G2461" s="10">
        <v>7132</v>
      </c>
      <c r="H2461" s="9">
        <v>50854</v>
      </c>
      <c r="I2461" s="14">
        <f>DATE(2012,12,31)-380</f>
        <v>40894</v>
      </c>
      <c r="J2461" s="15" t="s">
        <v>30</v>
      </c>
      <c r="K2461" s="9">
        <v>12</v>
      </c>
      <c r="L2461" s="16" t="s">
        <v>27</v>
      </c>
      <c r="M2461" s="16">
        <f t="shared" si="231"/>
        <v>-0.9372609688115765</v>
      </c>
      <c r="N2461">
        <f t="shared" si="232"/>
        <v>0</v>
      </c>
      <c r="O2461">
        <f t="shared" si="233"/>
        <v>0</v>
      </c>
      <c r="P2461">
        <f t="shared" si="230"/>
        <v>4000</v>
      </c>
      <c r="Q2461">
        <f t="shared" si="234"/>
        <v>4000</v>
      </c>
      <c r="T2461" s="16">
        <f t="shared" si="235"/>
        <v>-0.93726096881157694</v>
      </c>
    </row>
    <row r="2462" spans="7:20" ht="14.4" x14ac:dyDescent="0.25">
      <c r="G2462" s="10">
        <v>7133</v>
      </c>
      <c r="H2462" s="9">
        <v>50854</v>
      </c>
      <c r="I2462" s="14">
        <f>DATE(2012,12,31)-380</f>
        <v>40894</v>
      </c>
      <c r="J2462" s="15" t="s">
        <v>30</v>
      </c>
      <c r="K2462" s="9">
        <v>42</v>
      </c>
      <c r="L2462" s="16" t="s">
        <v>26</v>
      </c>
      <c r="M2462" s="16">
        <f t="shared" si="231"/>
        <v>1.1345323297650665</v>
      </c>
      <c r="N2462">
        <f t="shared" si="232"/>
        <v>0</v>
      </c>
      <c r="O2462">
        <f t="shared" si="233"/>
        <v>0</v>
      </c>
      <c r="P2462">
        <f t="shared" si="230"/>
        <v>5500</v>
      </c>
      <c r="Q2462">
        <f t="shared" si="234"/>
        <v>5500</v>
      </c>
      <c r="T2462" s="16">
        <f t="shared" si="235"/>
        <v>1.1345323297650662</v>
      </c>
    </row>
    <row r="2463" spans="7:20" ht="14.4" x14ac:dyDescent="0.25">
      <c r="G2463" s="10">
        <v>7163</v>
      </c>
      <c r="H2463" s="9">
        <v>51109</v>
      </c>
      <c r="I2463" s="14">
        <f>DATE(2012,12,31)-53</f>
        <v>41221</v>
      </c>
      <c r="J2463" s="15" t="s">
        <v>17</v>
      </c>
      <c r="K2463" s="9">
        <v>28</v>
      </c>
      <c r="L2463" s="16" t="s">
        <v>26</v>
      </c>
      <c r="M2463" s="16">
        <f t="shared" si="231"/>
        <v>0.16769545709596645</v>
      </c>
      <c r="N2463">
        <f t="shared" si="232"/>
        <v>0</v>
      </c>
      <c r="O2463">
        <f t="shared" si="233"/>
        <v>0</v>
      </c>
      <c r="P2463">
        <f t="shared" si="230"/>
        <v>4800</v>
      </c>
      <c r="Q2463">
        <f t="shared" si="234"/>
        <v>4800</v>
      </c>
      <c r="T2463" s="16">
        <f t="shared" si="235"/>
        <v>0.16769545709596606</v>
      </c>
    </row>
    <row r="2464" spans="7:20" ht="14.4" x14ac:dyDescent="0.25">
      <c r="G2464" s="10">
        <v>7204</v>
      </c>
      <c r="H2464" s="9">
        <v>51395</v>
      </c>
      <c r="I2464" s="14">
        <f>DATE(2012,12,31)-936</f>
        <v>40338</v>
      </c>
      <c r="J2464" s="15" t="s">
        <v>25</v>
      </c>
      <c r="K2464" s="9">
        <v>26</v>
      </c>
      <c r="L2464" s="16" t="s">
        <v>26</v>
      </c>
      <c r="M2464" s="16">
        <f t="shared" si="231"/>
        <v>2.9575903857523567E-2</v>
      </c>
      <c r="N2464">
        <f t="shared" si="232"/>
        <v>0</v>
      </c>
      <c r="O2464">
        <f t="shared" si="233"/>
        <v>0</v>
      </c>
      <c r="P2464">
        <f t="shared" si="230"/>
        <v>4700</v>
      </c>
      <c r="Q2464">
        <f t="shared" si="234"/>
        <v>4700</v>
      </c>
      <c r="T2464" s="16">
        <f t="shared" si="235"/>
        <v>2.9575903857523185E-2</v>
      </c>
    </row>
    <row r="2465" spans="7:20" ht="14.4" x14ac:dyDescent="0.25">
      <c r="G2465" s="10">
        <v>7205</v>
      </c>
      <c r="H2465" s="9">
        <v>51395</v>
      </c>
      <c r="I2465" s="14">
        <f>DATE(2012,12,31)-936</f>
        <v>40338</v>
      </c>
      <c r="J2465" s="15" t="s">
        <v>25</v>
      </c>
      <c r="K2465" s="9">
        <v>10</v>
      </c>
      <c r="L2465" s="16" t="s">
        <v>26</v>
      </c>
      <c r="M2465" s="16">
        <f t="shared" si="231"/>
        <v>-1.0753805220500194</v>
      </c>
      <c r="N2465">
        <f t="shared" si="232"/>
        <v>0</v>
      </c>
      <c r="O2465">
        <f t="shared" si="233"/>
        <v>0</v>
      </c>
      <c r="P2465">
        <f t="shared" si="230"/>
        <v>3900</v>
      </c>
      <c r="Q2465">
        <f t="shared" si="234"/>
        <v>3900</v>
      </c>
      <c r="T2465" s="16">
        <f t="shared" si="235"/>
        <v>-1.0753805220500199</v>
      </c>
    </row>
    <row r="2466" spans="7:20" ht="14.4" x14ac:dyDescent="0.25">
      <c r="G2466" s="10">
        <v>7234</v>
      </c>
      <c r="H2466" s="9">
        <v>51559</v>
      </c>
      <c r="I2466" s="14">
        <f>DATE(2012,12,31)-302</f>
        <v>40972</v>
      </c>
      <c r="J2466" s="15" t="s">
        <v>25</v>
      </c>
      <c r="K2466" s="9">
        <v>34</v>
      </c>
      <c r="L2466" s="16" t="s">
        <v>26</v>
      </c>
      <c r="M2466" s="16">
        <f t="shared" si="231"/>
        <v>0.58205411681129504</v>
      </c>
      <c r="N2466">
        <f t="shared" si="232"/>
        <v>0</v>
      </c>
      <c r="O2466">
        <f t="shared" si="233"/>
        <v>0</v>
      </c>
      <c r="P2466">
        <f t="shared" si="230"/>
        <v>5100</v>
      </c>
      <c r="Q2466">
        <f t="shared" si="234"/>
        <v>5100</v>
      </c>
      <c r="T2466" s="16">
        <f t="shared" si="235"/>
        <v>0.58205411681129471</v>
      </c>
    </row>
    <row r="2467" spans="7:20" ht="14.4" x14ac:dyDescent="0.25">
      <c r="G2467" s="10">
        <v>7262</v>
      </c>
      <c r="H2467" s="9">
        <v>51813</v>
      </c>
      <c r="I2467" s="14">
        <f>DATE(2012,12,31)-10</f>
        <v>41264</v>
      </c>
      <c r="J2467" s="15" t="s">
        <v>28</v>
      </c>
      <c r="K2467" s="9">
        <v>13</v>
      </c>
      <c r="L2467" s="16" t="s">
        <v>26</v>
      </c>
      <c r="M2467" s="16">
        <f t="shared" si="231"/>
        <v>-0.86820119219235514</v>
      </c>
      <c r="N2467">
        <f t="shared" si="232"/>
        <v>0</v>
      </c>
      <c r="O2467">
        <f t="shared" si="233"/>
        <v>0</v>
      </c>
      <c r="P2467">
        <f t="shared" si="230"/>
        <v>4050</v>
      </c>
      <c r="Q2467">
        <f t="shared" si="234"/>
        <v>4050</v>
      </c>
      <c r="T2467" s="16">
        <f t="shared" si="235"/>
        <v>-0.86820119219235548</v>
      </c>
    </row>
    <row r="2468" spans="7:20" ht="14.4" x14ac:dyDescent="0.25">
      <c r="G2468" s="10">
        <v>7276</v>
      </c>
      <c r="H2468" s="9">
        <v>51937</v>
      </c>
      <c r="I2468" s="14">
        <f>DATE(2012,12,31)-1403</f>
        <v>39871</v>
      </c>
      <c r="J2468" s="15" t="s">
        <v>17</v>
      </c>
      <c r="K2468" s="9">
        <v>39</v>
      </c>
      <c r="L2468" s="16" t="s">
        <v>26</v>
      </c>
      <c r="M2468" s="16">
        <f t="shared" si="231"/>
        <v>0.92735299990740228</v>
      </c>
      <c r="N2468">
        <f t="shared" si="232"/>
        <v>0</v>
      </c>
      <c r="O2468">
        <f t="shared" si="233"/>
        <v>0</v>
      </c>
      <c r="P2468">
        <f t="shared" si="230"/>
        <v>5350</v>
      </c>
      <c r="Q2468">
        <f t="shared" si="234"/>
        <v>5350</v>
      </c>
      <c r="T2468" s="16">
        <f t="shared" si="235"/>
        <v>0.92735299990740183</v>
      </c>
    </row>
    <row r="2469" spans="7:20" ht="14.4" x14ac:dyDescent="0.25">
      <c r="G2469" s="10">
        <v>7307</v>
      </c>
      <c r="H2469" s="9">
        <v>52098</v>
      </c>
      <c r="I2469" s="14">
        <f>DATE(2012,12,31)-1027</f>
        <v>40247</v>
      </c>
      <c r="J2469" s="15" t="s">
        <v>16</v>
      </c>
      <c r="K2469" s="9">
        <v>19</v>
      </c>
      <c r="L2469" s="16" t="s">
        <v>29</v>
      </c>
      <c r="M2469" s="16">
        <f t="shared" si="231"/>
        <v>-0.45384253247702649</v>
      </c>
      <c r="N2469">
        <f t="shared" si="232"/>
        <v>0</v>
      </c>
      <c r="O2469">
        <f t="shared" si="233"/>
        <v>0</v>
      </c>
      <c r="P2469">
        <f t="shared" si="230"/>
        <v>4350</v>
      </c>
      <c r="Q2469">
        <f t="shared" si="234"/>
        <v>4350</v>
      </c>
      <c r="T2469" s="16">
        <f t="shared" si="235"/>
        <v>-0.45384253247702688</v>
      </c>
    </row>
    <row r="2470" spans="7:20" ht="14.4" x14ac:dyDescent="0.25">
      <c r="G2470" s="10">
        <v>7308</v>
      </c>
      <c r="H2470" s="9">
        <v>52102</v>
      </c>
      <c r="I2470" s="14">
        <f>DATE(2012,12,31)-841</f>
        <v>40433</v>
      </c>
      <c r="J2470" s="15" t="s">
        <v>16</v>
      </c>
      <c r="K2470" s="9">
        <v>8</v>
      </c>
      <c r="L2470" s="16" t="s">
        <v>26</v>
      </c>
      <c r="M2470" s="16">
        <f t="shared" si="231"/>
        <v>-1.2135000752884624</v>
      </c>
      <c r="N2470">
        <f t="shared" si="232"/>
        <v>0</v>
      </c>
      <c r="O2470">
        <f t="shared" si="233"/>
        <v>0</v>
      </c>
      <c r="P2470">
        <f t="shared" si="230"/>
        <v>3800</v>
      </c>
      <c r="Q2470">
        <f t="shared" si="234"/>
        <v>3800</v>
      </c>
      <c r="T2470" s="16">
        <f t="shared" si="235"/>
        <v>-1.2135000752884626</v>
      </c>
    </row>
    <row r="2471" spans="7:20" ht="14.4" x14ac:dyDescent="0.25">
      <c r="G2471" s="10">
        <v>7312</v>
      </c>
      <c r="H2471" s="9">
        <v>52135</v>
      </c>
      <c r="I2471" s="14">
        <f>DATE(2012,12,31)-1013</f>
        <v>40261</v>
      </c>
      <c r="J2471" s="15" t="s">
        <v>25</v>
      </c>
      <c r="K2471" s="9">
        <v>38</v>
      </c>
      <c r="L2471" s="16" t="s">
        <v>27</v>
      </c>
      <c r="M2471" s="16">
        <f t="shared" si="231"/>
        <v>0.85829322328818081</v>
      </c>
      <c r="N2471">
        <f t="shared" si="232"/>
        <v>0</v>
      </c>
      <c r="O2471">
        <f t="shared" si="233"/>
        <v>0</v>
      </c>
      <c r="P2471">
        <f t="shared" si="230"/>
        <v>5300</v>
      </c>
      <c r="Q2471">
        <f t="shared" si="234"/>
        <v>5300</v>
      </c>
      <c r="T2471" s="16">
        <f t="shared" si="235"/>
        <v>0.85829322328818036</v>
      </c>
    </row>
    <row r="2472" spans="7:20" ht="14.4" x14ac:dyDescent="0.25">
      <c r="G2472" s="10">
        <v>7315</v>
      </c>
      <c r="H2472" s="9">
        <v>52162</v>
      </c>
      <c r="I2472" s="14">
        <f>DATE(2012,12,31)-426</f>
        <v>40848</v>
      </c>
      <c r="J2472" s="15" t="s">
        <v>28</v>
      </c>
      <c r="K2472" s="9">
        <v>39</v>
      </c>
      <c r="L2472" s="16" t="s">
        <v>29</v>
      </c>
      <c r="M2472" s="16">
        <f t="shared" si="231"/>
        <v>0.92735299990740228</v>
      </c>
      <c r="N2472">
        <f t="shared" si="232"/>
        <v>0</v>
      </c>
      <c r="O2472">
        <f t="shared" si="233"/>
        <v>0</v>
      </c>
      <c r="P2472">
        <f t="shared" si="230"/>
        <v>5350</v>
      </c>
      <c r="Q2472">
        <f t="shared" si="234"/>
        <v>5350</v>
      </c>
      <c r="T2472" s="16">
        <f t="shared" si="235"/>
        <v>0.92735299990740183</v>
      </c>
    </row>
    <row r="2473" spans="7:20" ht="14.4" x14ac:dyDescent="0.25">
      <c r="G2473" s="10">
        <v>7316</v>
      </c>
      <c r="H2473" s="9">
        <v>52162</v>
      </c>
      <c r="I2473" s="14">
        <f>DATE(2012,12,31)-426</f>
        <v>40848</v>
      </c>
      <c r="J2473" s="15" t="s">
        <v>28</v>
      </c>
      <c r="K2473" s="9">
        <v>47</v>
      </c>
      <c r="L2473" s="16" t="s">
        <v>29</v>
      </c>
      <c r="M2473" s="16">
        <f t="shared" si="231"/>
        <v>1.4798312128611737</v>
      </c>
      <c r="N2473">
        <f t="shared" si="232"/>
        <v>0</v>
      </c>
      <c r="O2473">
        <f t="shared" si="233"/>
        <v>0</v>
      </c>
      <c r="P2473">
        <f t="shared" si="230"/>
        <v>5750</v>
      </c>
      <c r="Q2473">
        <f t="shared" si="234"/>
        <v>5750</v>
      </c>
      <c r="T2473" s="16">
        <f t="shared" si="235"/>
        <v>1.4798312128611733</v>
      </c>
    </row>
    <row r="2474" spans="7:20" ht="14.4" x14ac:dyDescent="0.25">
      <c r="G2474" s="10">
        <v>7332</v>
      </c>
      <c r="H2474" s="9">
        <v>52256</v>
      </c>
      <c r="I2474" s="14">
        <f>DATE(2012,12,31)-788</f>
        <v>40486</v>
      </c>
      <c r="J2474" s="15" t="s">
        <v>28</v>
      </c>
      <c r="K2474" s="9">
        <v>23</v>
      </c>
      <c r="L2474" s="16" t="s">
        <v>27</v>
      </c>
      <c r="M2474" s="16">
        <f t="shared" si="231"/>
        <v>-0.17760342600014073</v>
      </c>
      <c r="N2474">
        <f t="shared" si="232"/>
        <v>0</v>
      </c>
      <c r="O2474">
        <f t="shared" si="233"/>
        <v>0</v>
      </c>
      <c r="P2474">
        <f t="shared" si="230"/>
        <v>4550</v>
      </c>
      <c r="Q2474">
        <f t="shared" si="234"/>
        <v>4550</v>
      </c>
      <c r="T2474" s="16">
        <f t="shared" si="235"/>
        <v>-0.17760342600014112</v>
      </c>
    </row>
    <row r="2475" spans="7:20" ht="14.4" x14ac:dyDescent="0.25">
      <c r="G2475" s="10">
        <v>7354</v>
      </c>
      <c r="H2475" s="9">
        <v>52391</v>
      </c>
      <c r="I2475" s="14">
        <f>DATE(2012,12,31)-1115</f>
        <v>40159</v>
      </c>
      <c r="J2475" s="15" t="s">
        <v>17</v>
      </c>
      <c r="K2475" s="9">
        <v>36</v>
      </c>
      <c r="L2475" s="16" t="s">
        <v>26</v>
      </c>
      <c r="M2475" s="16">
        <f t="shared" si="231"/>
        <v>0.72017367004973787</v>
      </c>
      <c r="N2475">
        <f t="shared" si="232"/>
        <v>0</v>
      </c>
      <c r="O2475">
        <f t="shared" si="233"/>
        <v>0</v>
      </c>
      <c r="P2475">
        <f t="shared" si="230"/>
        <v>5200</v>
      </c>
      <c r="Q2475">
        <f t="shared" si="234"/>
        <v>5200</v>
      </c>
      <c r="T2475" s="16">
        <f t="shared" si="235"/>
        <v>0.72017367004973754</v>
      </c>
    </row>
    <row r="2476" spans="7:20" ht="14.4" x14ac:dyDescent="0.25">
      <c r="G2476" s="10">
        <v>7355</v>
      </c>
      <c r="H2476" s="9">
        <v>52391</v>
      </c>
      <c r="I2476" s="14">
        <f>DATE(2012,12,31)-1115</f>
        <v>40159</v>
      </c>
      <c r="J2476" s="15" t="s">
        <v>17</v>
      </c>
      <c r="K2476" s="9">
        <v>39</v>
      </c>
      <c r="L2476" s="16" t="s">
        <v>26</v>
      </c>
      <c r="M2476" s="16">
        <f t="shared" si="231"/>
        <v>0.92735299990740228</v>
      </c>
      <c r="N2476">
        <f t="shared" si="232"/>
        <v>0</v>
      </c>
      <c r="O2476">
        <f t="shared" si="233"/>
        <v>0</v>
      </c>
      <c r="P2476">
        <f t="shared" si="230"/>
        <v>5350</v>
      </c>
      <c r="Q2476">
        <f t="shared" si="234"/>
        <v>5350</v>
      </c>
      <c r="T2476" s="16">
        <f t="shared" si="235"/>
        <v>0.92735299990740183</v>
      </c>
    </row>
    <row r="2477" spans="7:20" ht="14.4" x14ac:dyDescent="0.25">
      <c r="G2477" s="10">
        <v>7384</v>
      </c>
      <c r="H2477" s="9">
        <v>52642</v>
      </c>
      <c r="I2477" s="14">
        <f>DATE(2012,12,31)-566</f>
        <v>40708</v>
      </c>
      <c r="J2477" s="15" t="s">
        <v>25</v>
      </c>
      <c r="K2477" s="9">
        <v>9</v>
      </c>
      <c r="L2477" s="16" t="s">
        <v>29</v>
      </c>
      <c r="M2477" s="16">
        <f t="shared" si="231"/>
        <v>-1.1444402986692408</v>
      </c>
      <c r="N2477">
        <f t="shared" si="232"/>
        <v>0</v>
      </c>
      <c r="O2477">
        <f t="shared" si="233"/>
        <v>0</v>
      </c>
      <c r="P2477">
        <f t="shared" si="230"/>
        <v>3850</v>
      </c>
      <c r="Q2477">
        <f t="shared" si="234"/>
        <v>3850</v>
      </c>
      <c r="T2477" s="16">
        <f t="shared" si="235"/>
        <v>-1.1444402986692412</v>
      </c>
    </row>
    <row r="2478" spans="7:20" ht="14.4" x14ac:dyDescent="0.25">
      <c r="G2478" s="10">
        <v>7385</v>
      </c>
      <c r="H2478" s="9">
        <v>52642</v>
      </c>
      <c r="I2478" s="14">
        <f>DATE(2012,12,31)-566</f>
        <v>40708</v>
      </c>
      <c r="J2478" s="15" t="s">
        <v>25</v>
      </c>
      <c r="K2478" s="9">
        <v>14</v>
      </c>
      <c r="L2478" s="16" t="s">
        <v>27</v>
      </c>
      <c r="M2478" s="16">
        <f t="shared" si="231"/>
        <v>-0.79914141557313367</v>
      </c>
      <c r="N2478">
        <f t="shared" si="232"/>
        <v>0</v>
      </c>
      <c r="O2478">
        <f t="shared" si="233"/>
        <v>0</v>
      </c>
      <c r="P2478">
        <f t="shared" si="230"/>
        <v>4100</v>
      </c>
      <c r="Q2478">
        <f t="shared" si="234"/>
        <v>4100</v>
      </c>
      <c r="T2478" s="16">
        <f t="shared" si="235"/>
        <v>-0.79914141557313401</v>
      </c>
    </row>
    <row r="2479" spans="7:20" ht="14.4" x14ac:dyDescent="0.25">
      <c r="G2479" s="10">
        <v>7386</v>
      </c>
      <c r="H2479" s="9">
        <v>52642</v>
      </c>
      <c r="I2479" s="14">
        <f>DATE(2012,12,31)-566</f>
        <v>40708</v>
      </c>
      <c r="J2479" s="15" t="s">
        <v>25</v>
      </c>
      <c r="K2479" s="9">
        <v>15</v>
      </c>
      <c r="L2479" s="16" t="s">
        <v>26</v>
      </c>
      <c r="M2479" s="16">
        <f t="shared" si="231"/>
        <v>-0.7300816389539122</v>
      </c>
      <c r="N2479">
        <f t="shared" si="232"/>
        <v>0</v>
      </c>
      <c r="O2479">
        <f t="shared" si="233"/>
        <v>0</v>
      </c>
      <c r="P2479">
        <f t="shared" si="230"/>
        <v>4150</v>
      </c>
      <c r="Q2479">
        <f t="shared" si="234"/>
        <v>4150</v>
      </c>
      <c r="T2479" s="16">
        <f t="shared" si="235"/>
        <v>-0.73008163895391265</v>
      </c>
    </row>
    <row r="2480" spans="7:20" ht="14.4" x14ac:dyDescent="0.25">
      <c r="G2480" s="10">
        <v>7387</v>
      </c>
      <c r="H2480" s="9">
        <v>52645</v>
      </c>
      <c r="I2480" s="14">
        <f>DATE(2012,12,31)-299</f>
        <v>40975</v>
      </c>
      <c r="J2480" s="15" t="s">
        <v>25</v>
      </c>
      <c r="K2480" s="9">
        <v>11</v>
      </c>
      <c r="L2480" s="16" t="s">
        <v>26</v>
      </c>
      <c r="M2480" s="16">
        <f t="shared" si="231"/>
        <v>-1.0063207454307979</v>
      </c>
      <c r="N2480">
        <f t="shared" si="232"/>
        <v>0</v>
      </c>
      <c r="O2480">
        <f t="shared" si="233"/>
        <v>0</v>
      </c>
      <c r="P2480">
        <f t="shared" si="230"/>
        <v>3950</v>
      </c>
      <c r="Q2480">
        <f t="shared" si="234"/>
        <v>3950</v>
      </c>
      <c r="T2480" s="16">
        <f t="shared" si="235"/>
        <v>-1.0063207454307983</v>
      </c>
    </row>
    <row r="2481" spans="7:20" ht="14.4" x14ac:dyDescent="0.25">
      <c r="G2481" s="10">
        <v>7388</v>
      </c>
      <c r="H2481" s="9">
        <v>52645</v>
      </c>
      <c r="I2481" s="14">
        <f>DATE(2012,12,31)-299</f>
        <v>40975</v>
      </c>
      <c r="J2481" s="15" t="s">
        <v>25</v>
      </c>
      <c r="K2481" s="9">
        <v>10</v>
      </c>
      <c r="L2481" s="16" t="s">
        <v>26</v>
      </c>
      <c r="M2481" s="16">
        <f t="shared" si="231"/>
        <v>-1.0753805220500194</v>
      </c>
      <c r="N2481">
        <f t="shared" si="232"/>
        <v>0</v>
      </c>
      <c r="O2481">
        <f t="shared" si="233"/>
        <v>0</v>
      </c>
      <c r="P2481">
        <f t="shared" si="230"/>
        <v>3900</v>
      </c>
      <c r="Q2481">
        <f t="shared" si="234"/>
        <v>3900</v>
      </c>
      <c r="T2481" s="16">
        <f t="shared" si="235"/>
        <v>-1.0753805220500199</v>
      </c>
    </row>
    <row r="2482" spans="7:20" ht="14.4" x14ac:dyDescent="0.25">
      <c r="G2482" s="10">
        <v>7399</v>
      </c>
      <c r="H2482" s="9">
        <v>52711</v>
      </c>
      <c r="I2482" s="14">
        <f>DATE(2012,12,31)-465</f>
        <v>40809</v>
      </c>
      <c r="J2482" s="15" t="s">
        <v>28</v>
      </c>
      <c r="K2482" s="9">
        <v>37</v>
      </c>
      <c r="L2482" s="16" t="s">
        <v>26</v>
      </c>
      <c r="M2482" s="16">
        <f t="shared" si="231"/>
        <v>0.78923344666895934</v>
      </c>
      <c r="N2482">
        <f t="shared" si="232"/>
        <v>0</v>
      </c>
      <c r="O2482">
        <f t="shared" si="233"/>
        <v>0</v>
      </c>
      <c r="P2482">
        <f t="shared" si="230"/>
        <v>5250</v>
      </c>
      <c r="Q2482">
        <f t="shared" si="234"/>
        <v>5250</v>
      </c>
      <c r="T2482" s="16">
        <f t="shared" si="235"/>
        <v>0.789233446668959</v>
      </c>
    </row>
    <row r="2483" spans="7:20" ht="14.4" x14ac:dyDescent="0.25">
      <c r="G2483" s="10">
        <v>7412</v>
      </c>
      <c r="H2483" s="9">
        <v>52896</v>
      </c>
      <c r="I2483" s="14">
        <f>DATE(2012,12,31)-801</f>
        <v>40473</v>
      </c>
      <c r="J2483" s="15" t="s">
        <v>17</v>
      </c>
      <c r="K2483" s="9">
        <v>9</v>
      </c>
      <c r="L2483" s="16" t="s">
        <v>26</v>
      </c>
      <c r="M2483" s="16">
        <f t="shared" si="231"/>
        <v>-1.1444402986692408</v>
      </c>
      <c r="N2483">
        <f t="shared" si="232"/>
        <v>0</v>
      </c>
      <c r="O2483">
        <f t="shared" si="233"/>
        <v>0</v>
      </c>
      <c r="P2483">
        <f t="shared" si="230"/>
        <v>3850</v>
      </c>
      <c r="Q2483">
        <f t="shared" si="234"/>
        <v>3850</v>
      </c>
      <c r="T2483" s="16">
        <f t="shared" si="235"/>
        <v>-1.1444402986692412</v>
      </c>
    </row>
    <row r="2484" spans="7:20" ht="14.4" x14ac:dyDescent="0.25">
      <c r="G2484" s="10">
        <v>7413</v>
      </c>
      <c r="H2484" s="9">
        <v>52896</v>
      </c>
      <c r="I2484" s="14">
        <f>DATE(2012,12,31)-801</f>
        <v>40473</v>
      </c>
      <c r="J2484" s="15" t="s">
        <v>17</v>
      </c>
      <c r="K2484" s="9">
        <v>6</v>
      </c>
      <c r="L2484" s="16" t="s">
        <v>29</v>
      </c>
      <c r="M2484" s="16">
        <f t="shared" si="231"/>
        <v>-1.3516196285269051</v>
      </c>
      <c r="N2484">
        <f t="shared" si="232"/>
        <v>0</v>
      </c>
      <c r="O2484">
        <f t="shared" si="233"/>
        <v>0</v>
      </c>
      <c r="P2484">
        <f t="shared" si="230"/>
        <v>3700</v>
      </c>
      <c r="Q2484">
        <f t="shared" si="234"/>
        <v>3700</v>
      </c>
      <c r="T2484" s="16">
        <f t="shared" si="235"/>
        <v>-1.3516196285269055</v>
      </c>
    </row>
    <row r="2485" spans="7:20" ht="14.4" x14ac:dyDescent="0.25">
      <c r="G2485" s="10">
        <v>7432</v>
      </c>
      <c r="H2485" s="9">
        <v>52999</v>
      </c>
      <c r="I2485" s="14">
        <f>DATE(2012,12,31)-250</f>
        <v>41024</v>
      </c>
      <c r="J2485" s="15" t="s">
        <v>28</v>
      </c>
      <c r="K2485" s="9">
        <v>5</v>
      </c>
      <c r="L2485" s="16" t="s">
        <v>29</v>
      </c>
      <c r="M2485" s="16">
        <f t="shared" si="231"/>
        <v>-1.4206794051461267</v>
      </c>
      <c r="N2485">
        <f t="shared" si="232"/>
        <v>0</v>
      </c>
      <c r="O2485">
        <f t="shared" si="233"/>
        <v>0</v>
      </c>
      <c r="P2485">
        <f t="shared" si="230"/>
        <v>3650</v>
      </c>
      <c r="Q2485">
        <f t="shared" si="234"/>
        <v>3650</v>
      </c>
      <c r="T2485" s="16">
        <f t="shared" si="235"/>
        <v>-1.4206794051461269</v>
      </c>
    </row>
    <row r="2486" spans="7:20" ht="14.4" x14ac:dyDescent="0.25">
      <c r="G2486" s="10">
        <v>7433</v>
      </c>
      <c r="H2486" s="9">
        <v>52999</v>
      </c>
      <c r="I2486" s="14">
        <f>DATE(2012,12,31)-250</f>
        <v>41024</v>
      </c>
      <c r="J2486" s="15" t="s">
        <v>28</v>
      </c>
      <c r="K2486" s="9">
        <v>39</v>
      </c>
      <c r="L2486" s="16" t="s">
        <v>26</v>
      </c>
      <c r="M2486" s="16">
        <f t="shared" si="231"/>
        <v>0.92735299990740228</v>
      </c>
      <c r="N2486">
        <f t="shared" si="232"/>
        <v>0</v>
      </c>
      <c r="O2486">
        <f t="shared" si="233"/>
        <v>0</v>
      </c>
      <c r="P2486">
        <f t="shared" si="230"/>
        <v>5350</v>
      </c>
      <c r="Q2486">
        <f t="shared" si="234"/>
        <v>5350</v>
      </c>
      <c r="T2486" s="16">
        <f t="shared" si="235"/>
        <v>0.92735299990740183</v>
      </c>
    </row>
    <row r="2487" spans="7:20" ht="14.4" x14ac:dyDescent="0.25">
      <c r="G2487" s="10">
        <v>7434</v>
      </c>
      <c r="H2487" s="9">
        <v>52999</v>
      </c>
      <c r="I2487" s="14">
        <f>DATE(2012,12,31)-250</f>
        <v>41024</v>
      </c>
      <c r="J2487" s="15" t="s">
        <v>28</v>
      </c>
      <c r="K2487" s="9">
        <v>7</v>
      </c>
      <c r="L2487" s="16" t="s">
        <v>26</v>
      </c>
      <c r="M2487" s="16">
        <f t="shared" si="231"/>
        <v>-1.2825598519076837</v>
      </c>
      <c r="N2487">
        <f t="shared" si="232"/>
        <v>0</v>
      </c>
      <c r="O2487">
        <f t="shared" si="233"/>
        <v>0</v>
      </c>
      <c r="P2487">
        <f t="shared" si="230"/>
        <v>3750</v>
      </c>
      <c r="Q2487">
        <f t="shared" si="234"/>
        <v>3750</v>
      </c>
      <c r="T2487" s="16">
        <f t="shared" si="235"/>
        <v>-1.2825598519076842</v>
      </c>
    </row>
    <row r="2488" spans="7:20" ht="14.4" x14ac:dyDescent="0.25">
      <c r="G2488" s="10">
        <v>7463</v>
      </c>
      <c r="H2488" s="9">
        <v>53254</v>
      </c>
      <c r="I2488" s="14">
        <f>DATE(2012,12,31)-1231</f>
        <v>40043</v>
      </c>
      <c r="J2488" s="15" t="s">
        <v>16</v>
      </c>
      <c r="K2488" s="9">
        <v>34</v>
      </c>
      <c r="L2488" s="16" t="s">
        <v>27</v>
      </c>
      <c r="M2488" s="16">
        <f t="shared" si="231"/>
        <v>0.58205411681129504</v>
      </c>
      <c r="N2488">
        <f t="shared" si="232"/>
        <v>0</v>
      </c>
      <c r="O2488">
        <f t="shared" si="233"/>
        <v>0</v>
      </c>
      <c r="P2488">
        <f t="shared" si="230"/>
        <v>5100</v>
      </c>
      <c r="Q2488">
        <f t="shared" si="234"/>
        <v>5100</v>
      </c>
      <c r="T2488" s="16">
        <f t="shared" si="235"/>
        <v>0.58205411681129471</v>
      </c>
    </row>
    <row r="2489" spans="7:20" ht="14.4" x14ac:dyDescent="0.25">
      <c r="G2489" s="10">
        <v>7464</v>
      </c>
      <c r="H2489" s="9">
        <v>53281</v>
      </c>
      <c r="I2489" s="14">
        <f>DATE(2012,12,31)-1369</f>
        <v>39905</v>
      </c>
      <c r="J2489" s="15" t="s">
        <v>30</v>
      </c>
      <c r="K2489" s="9">
        <v>40</v>
      </c>
      <c r="L2489" s="16" t="s">
        <v>29</v>
      </c>
      <c r="M2489" s="16">
        <f t="shared" si="231"/>
        <v>0.99641277652662363</v>
      </c>
      <c r="N2489">
        <f t="shared" si="232"/>
        <v>0</v>
      </c>
      <c r="O2489">
        <f t="shared" si="233"/>
        <v>0</v>
      </c>
      <c r="P2489">
        <f t="shared" si="230"/>
        <v>5400</v>
      </c>
      <c r="Q2489">
        <f t="shared" si="234"/>
        <v>5400</v>
      </c>
      <c r="T2489" s="16">
        <f t="shared" si="235"/>
        <v>0.9964127765266233</v>
      </c>
    </row>
    <row r="2490" spans="7:20" ht="14.4" x14ac:dyDescent="0.25">
      <c r="G2490" s="10">
        <v>7466</v>
      </c>
      <c r="H2490" s="9">
        <v>53285</v>
      </c>
      <c r="I2490" s="14">
        <f>DATE(2012,12,31)-221</f>
        <v>41053</v>
      </c>
      <c r="J2490" s="15" t="s">
        <v>30</v>
      </c>
      <c r="K2490" s="9">
        <v>6</v>
      </c>
      <c r="L2490" s="16" t="s">
        <v>26</v>
      </c>
      <c r="M2490" s="16">
        <f t="shared" si="231"/>
        <v>-1.3516196285269051</v>
      </c>
      <c r="N2490">
        <f t="shared" si="232"/>
        <v>0</v>
      </c>
      <c r="O2490">
        <f t="shared" si="233"/>
        <v>0</v>
      </c>
      <c r="P2490">
        <f t="shared" si="230"/>
        <v>3700</v>
      </c>
      <c r="Q2490">
        <f t="shared" si="234"/>
        <v>3700</v>
      </c>
      <c r="T2490" s="16">
        <f t="shared" si="235"/>
        <v>-1.3516196285269055</v>
      </c>
    </row>
    <row r="2491" spans="7:20" ht="14.4" x14ac:dyDescent="0.25">
      <c r="G2491" s="10">
        <v>7467</v>
      </c>
      <c r="H2491" s="9">
        <v>53312</v>
      </c>
      <c r="I2491" s="14">
        <f>DATE(2012,12,31)-1276</f>
        <v>39998</v>
      </c>
      <c r="J2491" s="15" t="s">
        <v>16</v>
      </c>
      <c r="K2491" s="9">
        <v>23</v>
      </c>
      <c r="L2491" s="16" t="s">
        <v>26</v>
      </c>
      <c r="M2491" s="16">
        <f t="shared" si="231"/>
        <v>-0.17760342600014073</v>
      </c>
      <c r="N2491">
        <f t="shared" si="232"/>
        <v>0</v>
      </c>
      <c r="O2491">
        <f t="shared" si="233"/>
        <v>0</v>
      </c>
      <c r="P2491">
        <f t="shared" si="230"/>
        <v>4550</v>
      </c>
      <c r="Q2491">
        <f t="shared" si="234"/>
        <v>4550</v>
      </c>
      <c r="T2491" s="16">
        <f t="shared" si="235"/>
        <v>-0.17760342600014112</v>
      </c>
    </row>
    <row r="2492" spans="7:20" ht="14.4" x14ac:dyDescent="0.25">
      <c r="G2492" s="10">
        <v>7468</v>
      </c>
      <c r="H2492" s="9">
        <v>53312</v>
      </c>
      <c r="I2492" s="14">
        <f>DATE(2012,12,31)-1276</f>
        <v>39998</v>
      </c>
      <c r="J2492" s="15" t="s">
        <v>16</v>
      </c>
      <c r="K2492" s="9">
        <v>30</v>
      </c>
      <c r="L2492" s="16" t="s">
        <v>26</v>
      </c>
      <c r="M2492" s="16">
        <f t="shared" si="231"/>
        <v>0.30581501033440933</v>
      </c>
      <c r="N2492">
        <f t="shared" si="232"/>
        <v>0</v>
      </c>
      <c r="O2492">
        <f t="shared" si="233"/>
        <v>0</v>
      </c>
      <c r="P2492">
        <f t="shared" si="230"/>
        <v>4900</v>
      </c>
      <c r="Q2492">
        <f t="shared" si="234"/>
        <v>4900</v>
      </c>
      <c r="T2492" s="16">
        <f t="shared" si="235"/>
        <v>0.30581501033440894</v>
      </c>
    </row>
    <row r="2493" spans="7:20" ht="14.4" x14ac:dyDescent="0.25">
      <c r="G2493" s="10">
        <v>7514</v>
      </c>
      <c r="H2493" s="9">
        <v>53637</v>
      </c>
      <c r="I2493" s="14">
        <f>DATE(2012,12,31)-655</f>
        <v>40619</v>
      </c>
      <c r="J2493" s="15" t="s">
        <v>17</v>
      </c>
      <c r="K2493" s="9">
        <v>12</v>
      </c>
      <c r="L2493" s="16" t="s">
        <v>26</v>
      </c>
      <c r="M2493" s="16">
        <f t="shared" si="231"/>
        <v>-0.9372609688115765</v>
      </c>
      <c r="N2493">
        <f t="shared" si="232"/>
        <v>0</v>
      </c>
      <c r="O2493">
        <f t="shared" si="233"/>
        <v>0</v>
      </c>
      <c r="P2493">
        <f t="shared" si="230"/>
        <v>4000</v>
      </c>
      <c r="Q2493">
        <f t="shared" si="234"/>
        <v>4000</v>
      </c>
      <c r="T2493" s="16">
        <f t="shared" si="235"/>
        <v>-0.93726096881157694</v>
      </c>
    </row>
    <row r="2494" spans="7:20" ht="14.4" x14ac:dyDescent="0.25">
      <c r="G2494" s="10">
        <v>7521</v>
      </c>
      <c r="H2494" s="9">
        <v>53698</v>
      </c>
      <c r="I2494" s="14">
        <f>DATE(2012,12,31)-198</f>
        <v>41076</v>
      </c>
      <c r="J2494" s="15" t="s">
        <v>16</v>
      </c>
      <c r="K2494" s="9">
        <v>10</v>
      </c>
      <c r="L2494" s="16" t="s">
        <v>26</v>
      </c>
      <c r="M2494" s="16">
        <f t="shared" si="231"/>
        <v>-1.0753805220500194</v>
      </c>
      <c r="N2494">
        <f t="shared" si="232"/>
        <v>0</v>
      </c>
      <c r="O2494">
        <f t="shared" si="233"/>
        <v>0</v>
      </c>
      <c r="P2494">
        <f t="shared" si="230"/>
        <v>3900</v>
      </c>
      <c r="Q2494">
        <f t="shared" si="234"/>
        <v>3900</v>
      </c>
      <c r="T2494" s="16">
        <f t="shared" si="235"/>
        <v>-1.0753805220500199</v>
      </c>
    </row>
    <row r="2495" spans="7:20" ht="14.4" x14ac:dyDescent="0.25">
      <c r="G2495" s="10">
        <v>7577</v>
      </c>
      <c r="H2495" s="9">
        <v>54183</v>
      </c>
      <c r="I2495" s="14">
        <f>DATE(2012,12,31)-260</f>
        <v>41014</v>
      </c>
      <c r="J2495" s="15" t="s">
        <v>30</v>
      </c>
      <c r="K2495" s="9">
        <v>32</v>
      </c>
      <c r="L2495" s="16" t="s">
        <v>27</v>
      </c>
      <c r="M2495" s="16">
        <f t="shared" si="231"/>
        <v>0.44393456357285216</v>
      </c>
      <c r="N2495">
        <f t="shared" si="232"/>
        <v>0</v>
      </c>
      <c r="O2495">
        <f t="shared" si="233"/>
        <v>0</v>
      </c>
      <c r="P2495">
        <f t="shared" si="230"/>
        <v>5000</v>
      </c>
      <c r="Q2495">
        <f t="shared" si="234"/>
        <v>5000</v>
      </c>
      <c r="T2495" s="16">
        <f t="shared" si="235"/>
        <v>0.44393456357285183</v>
      </c>
    </row>
    <row r="2496" spans="7:20" ht="14.4" x14ac:dyDescent="0.25">
      <c r="G2496" s="10">
        <v>7578</v>
      </c>
      <c r="H2496" s="9">
        <v>54183</v>
      </c>
      <c r="I2496" s="14">
        <f>DATE(2012,12,31)-260</f>
        <v>41014</v>
      </c>
      <c r="J2496" s="15" t="s">
        <v>30</v>
      </c>
      <c r="K2496" s="9">
        <v>9</v>
      </c>
      <c r="L2496" s="16" t="s">
        <v>26</v>
      </c>
      <c r="M2496" s="16">
        <f t="shared" si="231"/>
        <v>-1.1444402986692408</v>
      </c>
      <c r="N2496">
        <f t="shared" si="232"/>
        <v>0</v>
      </c>
      <c r="O2496">
        <f t="shared" si="233"/>
        <v>0</v>
      </c>
      <c r="P2496">
        <f t="shared" si="230"/>
        <v>3850</v>
      </c>
      <c r="Q2496">
        <f t="shared" si="234"/>
        <v>3850</v>
      </c>
      <c r="T2496" s="16">
        <f t="shared" si="235"/>
        <v>-1.1444402986692412</v>
      </c>
    </row>
    <row r="2497" spans="7:20" ht="14.4" x14ac:dyDescent="0.25">
      <c r="G2497" s="10">
        <v>7583</v>
      </c>
      <c r="H2497" s="9">
        <v>54245</v>
      </c>
      <c r="I2497" s="14">
        <f>DATE(2012,12,31)-648</f>
        <v>40626</v>
      </c>
      <c r="J2497" s="15" t="s">
        <v>16</v>
      </c>
      <c r="K2497" s="9">
        <v>5</v>
      </c>
      <c r="L2497" s="16" t="s">
        <v>27</v>
      </c>
      <c r="M2497" s="16">
        <f t="shared" si="231"/>
        <v>-1.4206794051461267</v>
      </c>
      <c r="N2497">
        <f t="shared" si="232"/>
        <v>0</v>
      </c>
      <c r="O2497">
        <f t="shared" si="233"/>
        <v>0</v>
      </c>
      <c r="P2497">
        <f t="shared" si="230"/>
        <v>3650</v>
      </c>
      <c r="Q2497">
        <f t="shared" si="234"/>
        <v>3650</v>
      </c>
      <c r="T2497" s="16">
        <f t="shared" si="235"/>
        <v>-1.4206794051461269</v>
      </c>
    </row>
    <row r="2498" spans="7:20" ht="14.4" x14ac:dyDescent="0.25">
      <c r="G2498" s="10">
        <v>7592</v>
      </c>
      <c r="H2498" s="9">
        <v>54339</v>
      </c>
      <c r="I2498" s="14">
        <f>DATE(2012,12,31)-243</f>
        <v>41031</v>
      </c>
      <c r="J2498" s="15" t="s">
        <v>25</v>
      </c>
      <c r="K2498" s="9">
        <v>48</v>
      </c>
      <c r="L2498" s="16" t="s">
        <v>26</v>
      </c>
      <c r="M2498" s="16">
        <f t="shared" si="231"/>
        <v>1.5488909894803951</v>
      </c>
      <c r="N2498">
        <f t="shared" si="232"/>
        <v>0</v>
      </c>
      <c r="O2498">
        <f t="shared" si="233"/>
        <v>0</v>
      </c>
      <c r="P2498">
        <f t="shared" si="230"/>
        <v>5800</v>
      </c>
      <c r="Q2498">
        <f t="shared" si="234"/>
        <v>5800</v>
      </c>
      <c r="T2498" s="16">
        <f t="shared" si="235"/>
        <v>1.5488909894803948</v>
      </c>
    </row>
    <row r="2499" spans="7:20" ht="14.4" x14ac:dyDescent="0.25">
      <c r="G2499" s="10">
        <v>7593</v>
      </c>
      <c r="H2499" s="9">
        <v>54339</v>
      </c>
      <c r="I2499" s="14">
        <f>DATE(2012,12,31)-243</f>
        <v>41031</v>
      </c>
      <c r="J2499" s="15" t="s">
        <v>25</v>
      </c>
      <c r="K2499" s="9">
        <v>41</v>
      </c>
      <c r="L2499" s="16" t="s">
        <v>27</v>
      </c>
      <c r="M2499" s="16">
        <f t="shared" si="231"/>
        <v>1.0654725531458451</v>
      </c>
      <c r="N2499">
        <f t="shared" si="232"/>
        <v>0</v>
      </c>
      <c r="O2499">
        <f t="shared" si="233"/>
        <v>0</v>
      </c>
      <c r="P2499">
        <f t="shared" si="230"/>
        <v>5450</v>
      </c>
      <c r="Q2499">
        <f t="shared" si="234"/>
        <v>5450</v>
      </c>
      <c r="T2499" s="16">
        <f t="shared" si="235"/>
        <v>1.0654725531458447</v>
      </c>
    </row>
    <row r="2500" spans="7:20" ht="14.4" x14ac:dyDescent="0.25">
      <c r="G2500" s="10">
        <v>7603</v>
      </c>
      <c r="H2500" s="9">
        <v>54401</v>
      </c>
      <c r="I2500" s="14">
        <f>DATE(2012,12,31)-393</f>
        <v>40881</v>
      </c>
      <c r="J2500" s="15" t="s">
        <v>17</v>
      </c>
      <c r="K2500" s="9">
        <v>34</v>
      </c>
      <c r="L2500" s="16" t="s">
        <v>26</v>
      </c>
      <c r="M2500" s="16">
        <f t="shared" si="231"/>
        <v>0.58205411681129504</v>
      </c>
      <c r="N2500">
        <f t="shared" si="232"/>
        <v>0</v>
      </c>
      <c r="O2500">
        <f t="shared" si="233"/>
        <v>0</v>
      </c>
      <c r="P2500">
        <f t="shared" si="230"/>
        <v>5100</v>
      </c>
      <c r="Q2500">
        <f t="shared" si="234"/>
        <v>5100</v>
      </c>
      <c r="T2500" s="16">
        <f t="shared" si="235"/>
        <v>0.58205411681129471</v>
      </c>
    </row>
    <row r="2501" spans="7:20" ht="14.4" x14ac:dyDescent="0.25">
      <c r="G2501" s="10">
        <v>7626</v>
      </c>
      <c r="H2501" s="9">
        <v>54563</v>
      </c>
      <c r="I2501" s="14">
        <f>DATE(2012,12,31)-819</f>
        <v>40455</v>
      </c>
      <c r="J2501" s="15" t="s">
        <v>30</v>
      </c>
      <c r="K2501" s="9">
        <v>24</v>
      </c>
      <c r="L2501" s="16" t="s">
        <v>29</v>
      </c>
      <c r="M2501" s="16">
        <f t="shared" si="231"/>
        <v>-0.1085436493809193</v>
      </c>
      <c r="N2501">
        <f t="shared" si="232"/>
        <v>0</v>
      </c>
      <c r="O2501">
        <f t="shared" si="233"/>
        <v>0</v>
      </c>
      <c r="P2501">
        <f t="shared" si="230"/>
        <v>4600</v>
      </c>
      <c r="Q2501">
        <f t="shared" si="234"/>
        <v>4600</v>
      </c>
      <c r="T2501" s="16">
        <f t="shared" si="235"/>
        <v>-0.10854364938091969</v>
      </c>
    </row>
    <row r="2502" spans="7:20" ht="14.4" x14ac:dyDescent="0.25">
      <c r="G2502" s="10">
        <v>7639</v>
      </c>
      <c r="H2502" s="9">
        <v>54694</v>
      </c>
      <c r="I2502" s="14">
        <f>DATE(2012,12,31)-1199</f>
        <v>40075</v>
      </c>
      <c r="J2502" s="15" t="s">
        <v>30</v>
      </c>
      <c r="K2502" s="9">
        <v>43</v>
      </c>
      <c r="L2502" s="16" t="s">
        <v>26</v>
      </c>
      <c r="M2502" s="16">
        <f t="shared" si="231"/>
        <v>1.203592106384288</v>
      </c>
      <c r="N2502">
        <f t="shared" si="232"/>
        <v>0</v>
      </c>
      <c r="O2502">
        <f t="shared" si="233"/>
        <v>0</v>
      </c>
      <c r="P2502">
        <f t="shared" si="230"/>
        <v>5550</v>
      </c>
      <c r="Q2502">
        <f t="shared" si="234"/>
        <v>5550</v>
      </c>
      <c r="T2502" s="16">
        <f t="shared" si="235"/>
        <v>1.2035921063842876</v>
      </c>
    </row>
    <row r="2503" spans="7:20" ht="14.4" x14ac:dyDescent="0.25">
      <c r="G2503" s="10">
        <v>7643</v>
      </c>
      <c r="H2503" s="9">
        <v>54755</v>
      </c>
      <c r="I2503" s="14">
        <f>DATE(2012,12,31)-1120</f>
        <v>40154</v>
      </c>
      <c r="J2503" s="15" t="s">
        <v>30</v>
      </c>
      <c r="K2503" s="9">
        <v>44</v>
      </c>
      <c r="L2503" s="16" t="s">
        <v>27</v>
      </c>
      <c r="M2503" s="16">
        <f t="shared" si="231"/>
        <v>1.2726518830035094</v>
      </c>
      <c r="N2503">
        <f t="shared" si="232"/>
        <v>0</v>
      </c>
      <c r="O2503">
        <f t="shared" si="233"/>
        <v>0</v>
      </c>
      <c r="P2503">
        <f t="shared" si="230"/>
        <v>5600</v>
      </c>
      <c r="Q2503">
        <f t="shared" si="234"/>
        <v>5600</v>
      </c>
      <c r="T2503" s="16">
        <f t="shared" si="235"/>
        <v>1.272651883003509</v>
      </c>
    </row>
    <row r="2504" spans="7:20" ht="14.4" x14ac:dyDescent="0.25">
      <c r="G2504" s="10">
        <v>7659</v>
      </c>
      <c r="H2504" s="9">
        <v>54914</v>
      </c>
      <c r="I2504" s="14">
        <f>DATE(2012,12,31)-491</f>
        <v>40783</v>
      </c>
      <c r="J2504" s="15" t="s">
        <v>30</v>
      </c>
      <c r="K2504" s="9">
        <v>32</v>
      </c>
      <c r="L2504" s="16" t="s">
        <v>26</v>
      </c>
      <c r="M2504" s="16">
        <f t="shared" si="231"/>
        <v>0.44393456357285216</v>
      </c>
      <c r="N2504">
        <f t="shared" si="232"/>
        <v>0</v>
      </c>
      <c r="O2504">
        <f t="shared" si="233"/>
        <v>0</v>
      </c>
      <c r="P2504">
        <f t="shared" si="230"/>
        <v>5000</v>
      </c>
      <c r="Q2504">
        <f t="shared" si="234"/>
        <v>5000</v>
      </c>
      <c r="T2504" s="16">
        <f t="shared" si="235"/>
        <v>0.44393456357285183</v>
      </c>
    </row>
    <row r="2505" spans="7:20" ht="14.4" x14ac:dyDescent="0.25">
      <c r="G2505" s="10">
        <v>7660</v>
      </c>
      <c r="H2505" s="9">
        <v>54914</v>
      </c>
      <c r="I2505" s="14">
        <f>DATE(2012,12,31)-491</f>
        <v>40783</v>
      </c>
      <c r="J2505" s="15" t="s">
        <v>30</v>
      </c>
      <c r="K2505" s="9">
        <v>7</v>
      </c>
      <c r="L2505" s="16" t="s">
        <v>26</v>
      </c>
      <c r="M2505" s="16">
        <f t="shared" si="231"/>
        <v>-1.2825598519076837</v>
      </c>
      <c r="N2505">
        <f t="shared" si="232"/>
        <v>0</v>
      </c>
      <c r="O2505">
        <f t="shared" si="233"/>
        <v>0</v>
      </c>
      <c r="P2505">
        <f t="shared" si="230"/>
        <v>3750</v>
      </c>
      <c r="Q2505">
        <f t="shared" si="234"/>
        <v>3750</v>
      </c>
      <c r="T2505" s="16">
        <f t="shared" si="235"/>
        <v>-1.2825598519076842</v>
      </c>
    </row>
    <row r="2506" spans="7:20" ht="14.4" x14ac:dyDescent="0.25">
      <c r="G2506" s="10">
        <v>7684</v>
      </c>
      <c r="H2506" s="9">
        <v>55073</v>
      </c>
      <c r="I2506" s="14">
        <f>DATE(2012,12,31)-286</f>
        <v>40988</v>
      </c>
      <c r="J2506" s="15" t="s">
        <v>25</v>
      </c>
      <c r="K2506" s="9">
        <v>40</v>
      </c>
      <c r="L2506" s="16" t="s">
        <v>27</v>
      </c>
      <c r="M2506" s="16">
        <f t="shared" si="231"/>
        <v>0.99641277652662363</v>
      </c>
      <c r="N2506">
        <f t="shared" si="232"/>
        <v>0</v>
      </c>
      <c r="O2506">
        <f t="shared" si="233"/>
        <v>0</v>
      </c>
      <c r="P2506">
        <f t="shared" si="230"/>
        <v>5400</v>
      </c>
      <c r="Q2506">
        <f t="shared" si="234"/>
        <v>5400</v>
      </c>
      <c r="T2506" s="16">
        <f t="shared" si="235"/>
        <v>0.9964127765266233</v>
      </c>
    </row>
    <row r="2507" spans="7:20" ht="14.4" x14ac:dyDescent="0.25">
      <c r="G2507" s="10">
        <v>7712</v>
      </c>
      <c r="H2507" s="9">
        <v>55270</v>
      </c>
      <c r="I2507" s="14">
        <f>DATE(2012,12,31)-1074</f>
        <v>40200</v>
      </c>
      <c r="J2507" s="15" t="s">
        <v>16</v>
      </c>
      <c r="K2507" s="9">
        <v>1</v>
      </c>
      <c r="L2507" s="16" t="s">
        <v>26</v>
      </c>
      <c r="M2507" s="16">
        <f t="shared" si="231"/>
        <v>-1.6969185116230123</v>
      </c>
      <c r="N2507">
        <f t="shared" si="232"/>
        <v>0</v>
      </c>
      <c r="O2507">
        <f t="shared" si="233"/>
        <v>0</v>
      </c>
      <c r="P2507">
        <f t="shared" si="230"/>
        <v>3450</v>
      </c>
      <c r="Q2507">
        <f t="shared" si="234"/>
        <v>3450</v>
      </c>
      <c r="T2507" s="16">
        <f t="shared" si="235"/>
        <v>-1.6969185116230128</v>
      </c>
    </row>
    <row r="2508" spans="7:20" ht="14.4" x14ac:dyDescent="0.25">
      <c r="G2508" s="10">
        <v>7788</v>
      </c>
      <c r="H2508" s="9">
        <v>55716</v>
      </c>
      <c r="I2508" s="14">
        <f>DATE(2012,12,31)-70</f>
        <v>41204</v>
      </c>
      <c r="J2508" s="15" t="s">
        <v>17</v>
      </c>
      <c r="K2508" s="9">
        <v>9</v>
      </c>
      <c r="L2508" s="16" t="s">
        <v>26</v>
      </c>
      <c r="M2508" s="16">
        <f t="shared" si="231"/>
        <v>-1.1444402986692408</v>
      </c>
      <c r="N2508">
        <f t="shared" si="232"/>
        <v>0</v>
      </c>
      <c r="O2508">
        <f t="shared" si="233"/>
        <v>0</v>
      </c>
      <c r="P2508">
        <f t="shared" ref="P2508:P2571" si="236">50*K2508+$P$10</f>
        <v>3850</v>
      </c>
      <c r="Q2508">
        <f t="shared" si="234"/>
        <v>3850</v>
      </c>
      <c r="T2508" s="16">
        <f t="shared" si="235"/>
        <v>-1.1444402986692412</v>
      </c>
    </row>
    <row r="2509" spans="7:20" ht="14.4" x14ac:dyDescent="0.25">
      <c r="G2509" s="10">
        <v>7795</v>
      </c>
      <c r="H2509" s="9">
        <v>55776</v>
      </c>
      <c r="I2509" s="14">
        <f>DATE(2012,12,31)-1380</f>
        <v>39894</v>
      </c>
      <c r="J2509" s="15" t="s">
        <v>28</v>
      </c>
      <c r="K2509" s="9">
        <v>32</v>
      </c>
      <c r="L2509" s="16" t="s">
        <v>27</v>
      </c>
      <c r="M2509" s="16">
        <f t="shared" ref="M2509:M2572" si="237">(K2509-$K$4)/$K$7</f>
        <v>0.44393456357285216</v>
      </c>
      <c r="N2509">
        <f t="shared" ref="N2509:N2572" si="238">IF(MOD($B$20+G2509,1000)=0,1,0)</f>
        <v>0</v>
      </c>
      <c r="O2509">
        <f t="shared" ref="O2509:O2572" si="239">+ROUND(N2509*(IF(K2509&lt;$K$4,-4.5,10.5)*$P$5),-2)</f>
        <v>0</v>
      </c>
      <c r="P2509">
        <f t="shared" si="236"/>
        <v>5000</v>
      </c>
      <c r="Q2509">
        <f t="shared" ref="Q2509:Q2572" si="240">P2509+O2509</f>
        <v>5000</v>
      </c>
      <c r="T2509" s="16">
        <f t="shared" ref="T2509:T2572" si="241">(Q2509-$P$4)/$P$5</f>
        <v>0.44393456357285183</v>
      </c>
    </row>
    <row r="2510" spans="7:20" ht="14.4" x14ac:dyDescent="0.25">
      <c r="G2510" s="10">
        <v>7810</v>
      </c>
      <c r="H2510" s="9">
        <v>55874</v>
      </c>
      <c r="I2510" s="14">
        <f>DATE(2012,12,31)-1414</f>
        <v>39860</v>
      </c>
      <c r="J2510" s="15" t="s">
        <v>16</v>
      </c>
      <c r="K2510" s="9">
        <v>28</v>
      </c>
      <c r="L2510" s="16" t="s">
        <v>26</v>
      </c>
      <c r="M2510" s="16">
        <f t="shared" si="237"/>
        <v>0.16769545709596645</v>
      </c>
      <c r="N2510">
        <f t="shared" si="238"/>
        <v>0</v>
      </c>
      <c r="O2510">
        <f t="shared" si="239"/>
        <v>0</v>
      </c>
      <c r="P2510">
        <f t="shared" si="236"/>
        <v>4800</v>
      </c>
      <c r="Q2510">
        <f t="shared" si="240"/>
        <v>4800</v>
      </c>
      <c r="T2510" s="16">
        <f t="shared" si="241"/>
        <v>0.16769545709596606</v>
      </c>
    </row>
    <row r="2511" spans="7:20" ht="14.4" x14ac:dyDescent="0.25">
      <c r="G2511" s="10">
        <v>7811</v>
      </c>
      <c r="H2511" s="9">
        <v>55874</v>
      </c>
      <c r="I2511" s="14">
        <f>DATE(2012,12,31)-1414</f>
        <v>39860</v>
      </c>
      <c r="J2511" s="15" t="s">
        <v>16</v>
      </c>
      <c r="K2511" s="9">
        <v>41</v>
      </c>
      <c r="L2511" s="16" t="s">
        <v>27</v>
      </c>
      <c r="M2511" s="16">
        <f t="shared" si="237"/>
        <v>1.0654725531458451</v>
      </c>
      <c r="N2511">
        <f t="shared" si="238"/>
        <v>0</v>
      </c>
      <c r="O2511">
        <f t="shared" si="239"/>
        <v>0</v>
      </c>
      <c r="P2511">
        <f t="shared" si="236"/>
        <v>5450</v>
      </c>
      <c r="Q2511">
        <f t="shared" si="240"/>
        <v>5450</v>
      </c>
      <c r="T2511" s="16">
        <f t="shared" si="241"/>
        <v>1.0654725531458447</v>
      </c>
    </row>
    <row r="2512" spans="7:20" ht="14.4" x14ac:dyDescent="0.25">
      <c r="G2512" s="10">
        <v>7831</v>
      </c>
      <c r="H2512" s="9">
        <v>56002</v>
      </c>
      <c r="I2512" s="14">
        <f>DATE(2012,12,31)-1276</f>
        <v>39998</v>
      </c>
      <c r="J2512" s="15" t="s">
        <v>25</v>
      </c>
      <c r="K2512" s="9">
        <v>21</v>
      </c>
      <c r="L2512" s="16" t="s">
        <v>26</v>
      </c>
      <c r="M2512" s="16">
        <f t="shared" si="237"/>
        <v>-0.31572297923858361</v>
      </c>
      <c r="N2512">
        <f t="shared" si="238"/>
        <v>0</v>
      </c>
      <c r="O2512">
        <f t="shared" si="239"/>
        <v>0</v>
      </c>
      <c r="P2512">
        <f t="shared" si="236"/>
        <v>4450</v>
      </c>
      <c r="Q2512">
        <f t="shared" si="240"/>
        <v>4450</v>
      </c>
      <c r="T2512" s="16">
        <f t="shared" si="241"/>
        <v>-0.315722979238584</v>
      </c>
    </row>
    <row r="2513" spans="7:20" ht="14.4" x14ac:dyDescent="0.25">
      <c r="G2513" s="10">
        <v>7832</v>
      </c>
      <c r="H2513" s="9">
        <v>56002</v>
      </c>
      <c r="I2513" s="14">
        <f>DATE(2012,12,31)-1276</f>
        <v>39998</v>
      </c>
      <c r="J2513" s="15" t="s">
        <v>25</v>
      </c>
      <c r="K2513" s="9">
        <v>14</v>
      </c>
      <c r="L2513" s="16" t="s">
        <v>26</v>
      </c>
      <c r="M2513" s="16">
        <f t="shared" si="237"/>
        <v>-0.79914141557313367</v>
      </c>
      <c r="N2513">
        <f t="shared" si="238"/>
        <v>0</v>
      </c>
      <c r="O2513">
        <f t="shared" si="239"/>
        <v>0</v>
      </c>
      <c r="P2513">
        <f t="shared" si="236"/>
        <v>4100</v>
      </c>
      <c r="Q2513">
        <f t="shared" si="240"/>
        <v>4100</v>
      </c>
      <c r="T2513" s="16">
        <f t="shared" si="241"/>
        <v>-0.79914141557313401</v>
      </c>
    </row>
    <row r="2514" spans="7:20" ht="14.4" x14ac:dyDescent="0.25">
      <c r="G2514" s="10">
        <v>7833</v>
      </c>
      <c r="H2514" s="9">
        <v>56002</v>
      </c>
      <c r="I2514" s="14">
        <f>DATE(2012,12,31)-1276</f>
        <v>39998</v>
      </c>
      <c r="J2514" s="15" t="s">
        <v>25</v>
      </c>
      <c r="K2514" s="9">
        <v>9</v>
      </c>
      <c r="L2514" s="16" t="s">
        <v>26</v>
      </c>
      <c r="M2514" s="16">
        <f t="shared" si="237"/>
        <v>-1.1444402986692408</v>
      </c>
      <c r="N2514">
        <f t="shared" si="238"/>
        <v>0</v>
      </c>
      <c r="O2514">
        <f t="shared" si="239"/>
        <v>0</v>
      </c>
      <c r="P2514">
        <f t="shared" si="236"/>
        <v>3850</v>
      </c>
      <c r="Q2514">
        <f t="shared" si="240"/>
        <v>3850</v>
      </c>
      <c r="T2514" s="16">
        <f t="shared" si="241"/>
        <v>-1.1444402986692412</v>
      </c>
    </row>
    <row r="2515" spans="7:20" ht="14.4" x14ac:dyDescent="0.25">
      <c r="G2515" s="10">
        <v>7834</v>
      </c>
      <c r="H2515" s="9">
        <v>56002</v>
      </c>
      <c r="I2515" s="14">
        <f>DATE(2012,12,31)-1276</f>
        <v>39998</v>
      </c>
      <c r="J2515" s="15" t="s">
        <v>25</v>
      </c>
      <c r="K2515" s="9">
        <v>14</v>
      </c>
      <c r="L2515" s="16" t="s">
        <v>29</v>
      </c>
      <c r="M2515" s="16">
        <f t="shared" si="237"/>
        <v>-0.79914141557313367</v>
      </c>
      <c r="N2515">
        <f t="shared" si="238"/>
        <v>0</v>
      </c>
      <c r="O2515">
        <f t="shared" si="239"/>
        <v>0</v>
      </c>
      <c r="P2515">
        <f t="shared" si="236"/>
        <v>4100</v>
      </c>
      <c r="Q2515">
        <f t="shared" si="240"/>
        <v>4100</v>
      </c>
      <c r="T2515" s="16">
        <f t="shared" si="241"/>
        <v>-0.79914141557313401</v>
      </c>
    </row>
    <row r="2516" spans="7:20" ht="14.4" x14ac:dyDescent="0.25">
      <c r="G2516" s="10">
        <v>7840</v>
      </c>
      <c r="H2516" s="9">
        <v>56039</v>
      </c>
      <c r="I2516" s="14">
        <f>DATE(2012,12,31)-402</f>
        <v>40872</v>
      </c>
      <c r="J2516" s="15" t="s">
        <v>25</v>
      </c>
      <c r="K2516" s="9">
        <v>23</v>
      </c>
      <c r="L2516" s="16" t="s">
        <v>26</v>
      </c>
      <c r="M2516" s="16">
        <f t="shared" si="237"/>
        <v>-0.17760342600014073</v>
      </c>
      <c r="N2516">
        <f t="shared" si="238"/>
        <v>0</v>
      </c>
      <c r="O2516">
        <f t="shared" si="239"/>
        <v>0</v>
      </c>
      <c r="P2516">
        <f t="shared" si="236"/>
        <v>4550</v>
      </c>
      <c r="Q2516">
        <f t="shared" si="240"/>
        <v>4550</v>
      </c>
      <c r="T2516" s="16">
        <f t="shared" si="241"/>
        <v>-0.17760342600014112</v>
      </c>
    </row>
    <row r="2517" spans="7:20" ht="14.4" x14ac:dyDescent="0.25">
      <c r="G2517" s="10">
        <v>7936</v>
      </c>
      <c r="H2517" s="9">
        <v>56710</v>
      </c>
      <c r="I2517" s="14">
        <f>DATE(2012,12,31)-965</f>
        <v>40309</v>
      </c>
      <c r="J2517" s="15" t="s">
        <v>28</v>
      </c>
      <c r="K2517" s="9">
        <v>34</v>
      </c>
      <c r="L2517" s="16" t="s">
        <v>26</v>
      </c>
      <c r="M2517" s="16">
        <f t="shared" si="237"/>
        <v>0.58205411681129504</v>
      </c>
      <c r="N2517">
        <f t="shared" si="238"/>
        <v>0</v>
      </c>
      <c r="O2517">
        <f t="shared" si="239"/>
        <v>0</v>
      </c>
      <c r="P2517">
        <f t="shared" si="236"/>
        <v>5100</v>
      </c>
      <c r="Q2517">
        <f t="shared" si="240"/>
        <v>5100</v>
      </c>
      <c r="T2517" s="16">
        <f t="shared" si="241"/>
        <v>0.58205411681129471</v>
      </c>
    </row>
    <row r="2518" spans="7:20" ht="14.4" x14ac:dyDescent="0.25">
      <c r="G2518" s="10">
        <v>7937</v>
      </c>
      <c r="H2518" s="9">
        <v>56710</v>
      </c>
      <c r="I2518" s="14">
        <f>DATE(2012,12,31)-965</f>
        <v>40309</v>
      </c>
      <c r="J2518" s="15" t="s">
        <v>28</v>
      </c>
      <c r="K2518" s="9">
        <v>16</v>
      </c>
      <c r="L2518" s="16" t="s">
        <v>27</v>
      </c>
      <c r="M2518" s="16">
        <f t="shared" si="237"/>
        <v>-0.66102186233469074</v>
      </c>
      <c r="N2518">
        <f t="shared" si="238"/>
        <v>0</v>
      </c>
      <c r="O2518">
        <f t="shared" si="239"/>
        <v>0</v>
      </c>
      <c r="P2518">
        <f t="shared" si="236"/>
        <v>4200</v>
      </c>
      <c r="Q2518">
        <f t="shared" si="240"/>
        <v>4200</v>
      </c>
      <c r="T2518" s="16">
        <f t="shared" si="241"/>
        <v>-0.66102186233469118</v>
      </c>
    </row>
    <row r="2519" spans="7:20" ht="14.4" x14ac:dyDescent="0.25">
      <c r="G2519" s="10">
        <v>7938</v>
      </c>
      <c r="H2519" s="9">
        <v>56710</v>
      </c>
      <c r="I2519" s="14">
        <f>DATE(2012,12,31)-965</f>
        <v>40309</v>
      </c>
      <c r="J2519" s="15" t="s">
        <v>28</v>
      </c>
      <c r="K2519" s="9">
        <v>6</v>
      </c>
      <c r="L2519" s="16" t="s">
        <v>27</v>
      </c>
      <c r="M2519" s="16">
        <f t="shared" si="237"/>
        <v>-1.3516196285269051</v>
      </c>
      <c r="N2519">
        <f t="shared" si="238"/>
        <v>0</v>
      </c>
      <c r="O2519">
        <f t="shared" si="239"/>
        <v>0</v>
      </c>
      <c r="P2519">
        <f t="shared" si="236"/>
        <v>3700</v>
      </c>
      <c r="Q2519">
        <f t="shared" si="240"/>
        <v>3700</v>
      </c>
      <c r="T2519" s="16">
        <f t="shared" si="241"/>
        <v>-1.3516196285269055</v>
      </c>
    </row>
    <row r="2520" spans="7:20" ht="14.4" x14ac:dyDescent="0.25">
      <c r="G2520" s="10">
        <v>7939</v>
      </c>
      <c r="H2520" s="9">
        <v>56710</v>
      </c>
      <c r="I2520" s="14">
        <f>DATE(2012,12,31)-965</f>
        <v>40309</v>
      </c>
      <c r="J2520" s="15" t="s">
        <v>28</v>
      </c>
      <c r="K2520" s="9">
        <v>21</v>
      </c>
      <c r="L2520" s="16" t="s">
        <v>27</v>
      </c>
      <c r="M2520" s="16">
        <f t="shared" si="237"/>
        <v>-0.31572297923858361</v>
      </c>
      <c r="N2520">
        <f t="shared" si="238"/>
        <v>0</v>
      </c>
      <c r="O2520">
        <f t="shared" si="239"/>
        <v>0</v>
      </c>
      <c r="P2520">
        <f t="shared" si="236"/>
        <v>4450</v>
      </c>
      <c r="Q2520">
        <f t="shared" si="240"/>
        <v>4450</v>
      </c>
      <c r="T2520" s="16">
        <f t="shared" si="241"/>
        <v>-0.315722979238584</v>
      </c>
    </row>
    <row r="2521" spans="7:20" ht="14.4" x14ac:dyDescent="0.25">
      <c r="G2521" s="10">
        <v>7985</v>
      </c>
      <c r="H2521" s="9">
        <v>57092</v>
      </c>
      <c r="I2521" s="14">
        <f>DATE(2012,12,31)-975</f>
        <v>40299</v>
      </c>
      <c r="J2521" s="15" t="s">
        <v>30</v>
      </c>
      <c r="K2521" s="9">
        <v>29</v>
      </c>
      <c r="L2521" s="16" t="s">
        <v>27</v>
      </c>
      <c r="M2521" s="16">
        <f t="shared" si="237"/>
        <v>0.23675523371518786</v>
      </c>
      <c r="N2521">
        <f t="shared" si="238"/>
        <v>0</v>
      </c>
      <c r="O2521">
        <f t="shared" si="239"/>
        <v>0</v>
      </c>
      <c r="P2521">
        <f t="shared" si="236"/>
        <v>4850</v>
      </c>
      <c r="Q2521">
        <f t="shared" si="240"/>
        <v>4850</v>
      </c>
      <c r="T2521" s="16">
        <f t="shared" si="241"/>
        <v>0.2367552337151875</v>
      </c>
    </row>
    <row r="2522" spans="7:20" ht="14.4" x14ac:dyDescent="0.25">
      <c r="G2522" s="10">
        <v>8011</v>
      </c>
      <c r="H2522" s="9">
        <v>57253</v>
      </c>
      <c r="I2522" s="14">
        <f>DATE(2012,12,31)-1456</f>
        <v>39818</v>
      </c>
      <c r="J2522" s="15" t="s">
        <v>30</v>
      </c>
      <c r="K2522" s="9">
        <v>43</v>
      </c>
      <c r="L2522" s="16" t="s">
        <v>29</v>
      </c>
      <c r="M2522" s="16">
        <f t="shared" si="237"/>
        <v>1.203592106384288</v>
      </c>
      <c r="N2522">
        <f t="shared" si="238"/>
        <v>0</v>
      </c>
      <c r="O2522">
        <f t="shared" si="239"/>
        <v>0</v>
      </c>
      <c r="P2522">
        <f t="shared" si="236"/>
        <v>5550</v>
      </c>
      <c r="Q2522">
        <f t="shared" si="240"/>
        <v>5550</v>
      </c>
      <c r="T2522" s="16">
        <f t="shared" si="241"/>
        <v>1.2035921063842876</v>
      </c>
    </row>
    <row r="2523" spans="7:20" ht="14.4" x14ac:dyDescent="0.25">
      <c r="G2523" s="10">
        <v>8012</v>
      </c>
      <c r="H2523" s="9">
        <v>57253</v>
      </c>
      <c r="I2523" s="14">
        <f>DATE(2012,12,31)-1456</f>
        <v>39818</v>
      </c>
      <c r="J2523" s="15" t="s">
        <v>30</v>
      </c>
      <c r="K2523" s="9">
        <v>29</v>
      </c>
      <c r="L2523" s="16" t="s">
        <v>29</v>
      </c>
      <c r="M2523" s="16">
        <f t="shared" si="237"/>
        <v>0.23675523371518786</v>
      </c>
      <c r="N2523">
        <f t="shared" si="238"/>
        <v>0</v>
      </c>
      <c r="O2523">
        <f t="shared" si="239"/>
        <v>0</v>
      </c>
      <c r="P2523">
        <f t="shared" si="236"/>
        <v>4850</v>
      </c>
      <c r="Q2523">
        <f t="shared" si="240"/>
        <v>4850</v>
      </c>
      <c r="T2523" s="16">
        <f t="shared" si="241"/>
        <v>0.2367552337151875</v>
      </c>
    </row>
    <row r="2524" spans="7:20" ht="14.4" x14ac:dyDescent="0.25">
      <c r="G2524" s="10">
        <v>8013</v>
      </c>
      <c r="H2524" s="9">
        <v>57253</v>
      </c>
      <c r="I2524" s="14">
        <f>DATE(2012,12,31)-1456</f>
        <v>39818</v>
      </c>
      <c r="J2524" s="15" t="s">
        <v>30</v>
      </c>
      <c r="K2524" s="9">
        <v>48</v>
      </c>
      <c r="L2524" s="16" t="s">
        <v>29</v>
      </c>
      <c r="M2524" s="16">
        <f t="shared" si="237"/>
        <v>1.5488909894803951</v>
      </c>
      <c r="N2524">
        <f t="shared" si="238"/>
        <v>0</v>
      </c>
      <c r="O2524">
        <f t="shared" si="239"/>
        <v>0</v>
      </c>
      <c r="P2524">
        <f t="shared" si="236"/>
        <v>5800</v>
      </c>
      <c r="Q2524">
        <f t="shared" si="240"/>
        <v>5800</v>
      </c>
      <c r="T2524" s="16">
        <f t="shared" si="241"/>
        <v>1.5488909894803948</v>
      </c>
    </row>
    <row r="2525" spans="7:20" ht="14.4" x14ac:dyDescent="0.25">
      <c r="G2525" s="10">
        <v>8014</v>
      </c>
      <c r="H2525" s="9">
        <v>57253</v>
      </c>
      <c r="I2525" s="14">
        <f>DATE(2012,12,31)-1456</f>
        <v>39818</v>
      </c>
      <c r="J2525" s="15" t="s">
        <v>30</v>
      </c>
      <c r="K2525" s="9">
        <v>49</v>
      </c>
      <c r="L2525" s="16" t="s">
        <v>29</v>
      </c>
      <c r="M2525" s="16">
        <f t="shared" si="237"/>
        <v>1.6179507660996166</v>
      </c>
      <c r="N2525">
        <f t="shared" si="238"/>
        <v>0</v>
      </c>
      <c r="O2525">
        <f t="shared" si="239"/>
        <v>0</v>
      </c>
      <c r="P2525">
        <f t="shared" si="236"/>
        <v>5850</v>
      </c>
      <c r="Q2525">
        <f t="shared" si="240"/>
        <v>5850</v>
      </c>
      <c r="T2525" s="16">
        <f t="shared" si="241"/>
        <v>1.6179507660996162</v>
      </c>
    </row>
    <row r="2526" spans="7:20" ht="14.4" x14ac:dyDescent="0.25">
      <c r="G2526" s="10">
        <v>8015</v>
      </c>
      <c r="H2526" s="9">
        <v>57253</v>
      </c>
      <c r="I2526" s="14">
        <f>DATE(2012,12,31)-1456</f>
        <v>39818</v>
      </c>
      <c r="J2526" s="15" t="s">
        <v>30</v>
      </c>
      <c r="K2526" s="9">
        <v>25</v>
      </c>
      <c r="L2526" s="16" t="s">
        <v>27</v>
      </c>
      <c r="M2526" s="16">
        <f t="shared" si="237"/>
        <v>-3.9483872761697868E-2</v>
      </c>
      <c r="N2526">
        <f t="shared" si="238"/>
        <v>0</v>
      </c>
      <c r="O2526">
        <f t="shared" si="239"/>
        <v>0</v>
      </c>
      <c r="P2526">
        <f t="shared" si="236"/>
        <v>4650</v>
      </c>
      <c r="Q2526">
        <f t="shared" si="240"/>
        <v>4650</v>
      </c>
      <c r="T2526" s="16">
        <f t="shared" si="241"/>
        <v>-3.9483872761698249E-2</v>
      </c>
    </row>
    <row r="2527" spans="7:20" ht="14.4" x14ac:dyDescent="0.25">
      <c r="G2527" s="10">
        <v>8034</v>
      </c>
      <c r="H2527" s="9">
        <v>57382</v>
      </c>
      <c r="I2527" s="14">
        <f>DATE(2012,12,31)-1379</f>
        <v>39895</v>
      </c>
      <c r="J2527" s="15" t="s">
        <v>16</v>
      </c>
      <c r="K2527" s="9">
        <v>25</v>
      </c>
      <c r="L2527" s="16" t="s">
        <v>26</v>
      </c>
      <c r="M2527" s="16">
        <f t="shared" si="237"/>
        <v>-3.9483872761697868E-2</v>
      </c>
      <c r="N2527">
        <f t="shared" si="238"/>
        <v>0</v>
      </c>
      <c r="O2527">
        <f t="shared" si="239"/>
        <v>0</v>
      </c>
      <c r="P2527">
        <f t="shared" si="236"/>
        <v>4650</v>
      </c>
      <c r="Q2527">
        <f t="shared" si="240"/>
        <v>4650</v>
      </c>
      <c r="T2527" s="16">
        <f t="shared" si="241"/>
        <v>-3.9483872761698249E-2</v>
      </c>
    </row>
    <row r="2528" spans="7:20" ht="14.4" x14ac:dyDescent="0.25">
      <c r="G2528" s="10">
        <v>8035</v>
      </c>
      <c r="H2528" s="9">
        <v>57382</v>
      </c>
      <c r="I2528" s="14">
        <f>DATE(2012,12,31)-1379</f>
        <v>39895</v>
      </c>
      <c r="J2528" s="15" t="s">
        <v>16</v>
      </c>
      <c r="K2528" s="9">
        <v>45</v>
      </c>
      <c r="L2528" s="16" t="s">
        <v>26</v>
      </c>
      <c r="M2528" s="16">
        <f t="shared" si="237"/>
        <v>1.3417116596227308</v>
      </c>
      <c r="N2528">
        <f t="shared" si="238"/>
        <v>0</v>
      </c>
      <c r="O2528">
        <f t="shared" si="239"/>
        <v>0</v>
      </c>
      <c r="P2528">
        <f t="shared" si="236"/>
        <v>5650</v>
      </c>
      <c r="Q2528">
        <f t="shared" si="240"/>
        <v>5650</v>
      </c>
      <c r="T2528" s="16">
        <f t="shared" si="241"/>
        <v>1.3417116596227305</v>
      </c>
    </row>
    <row r="2529" spans="7:20" ht="14.4" x14ac:dyDescent="0.25">
      <c r="G2529" s="10">
        <v>8039</v>
      </c>
      <c r="H2529" s="9">
        <v>57415</v>
      </c>
      <c r="I2529" s="14">
        <f>DATE(2012,12,31)-1378</f>
        <v>39896</v>
      </c>
      <c r="J2529" s="15" t="s">
        <v>16</v>
      </c>
      <c r="K2529" s="9">
        <v>6</v>
      </c>
      <c r="L2529" s="16" t="s">
        <v>26</v>
      </c>
      <c r="M2529" s="16">
        <f t="shared" si="237"/>
        <v>-1.3516196285269051</v>
      </c>
      <c r="N2529">
        <f t="shared" si="238"/>
        <v>0</v>
      </c>
      <c r="O2529">
        <f t="shared" si="239"/>
        <v>0</v>
      </c>
      <c r="P2529">
        <f t="shared" si="236"/>
        <v>3700</v>
      </c>
      <c r="Q2529">
        <f t="shared" si="240"/>
        <v>3700</v>
      </c>
      <c r="T2529" s="16">
        <f t="shared" si="241"/>
        <v>-1.3516196285269055</v>
      </c>
    </row>
    <row r="2530" spans="7:20" ht="14.4" x14ac:dyDescent="0.25">
      <c r="G2530" s="10">
        <v>8077</v>
      </c>
      <c r="H2530" s="9">
        <v>57606</v>
      </c>
      <c r="I2530" s="14">
        <f>DATE(2012,12,31)-1093</f>
        <v>40181</v>
      </c>
      <c r="J2530" s="15" t="s">
        <v>28</v>
      </c>
      <c r="K2530" s="9">
        <v>37</v>
      </c>
      <c r="L2530" s="16" t="s">
        <v>27</v>
      </c>
      <c r="M2530" s="16">
        <f t="shared" si="237"/>
        <v>0.78923344666895934</v>
      </c>
      <c r="N2530">
        <f t="shared" si="238"/>
        <v>0</v>
      </c>
      <c r="O2530">
        <f t="shared" si="239"/>
        <v>0</v>
      </c>
      <c r="P2530">
        <f t="shared" si="236"/>
        <v>5250</v>
      </c>
      <c r="Q2530">
        <f t="shared" si="240"/>
        <v>5250</v>
      </c>
      <c r="T2530" s="16">
        <f t="shared" si="241"/>
        <v>0.789233446668959</v>
      </c>
    </row>
    <row r="2531" spans="7:20" ht="14.4" x14ac:dyDescent="0.25">
      <c r="G2531" s="10">
        <v>8099</v>
      </c>
      <c r="H2531" s="9">
        <v>57794</v>
      </c>
      <c r="I2531" s="14">
        <f>DATE(2012,12,31)-1254</f>
        <v>40020</v>
      </c>
      <c r="J2531" s="15" t="s">
        <v>25</v>
      </c>
      <c r="K2531" s="9">
        <v>16</v>
      </c>
      <c r="L2531" s="16" t="s">
        <v>26</v>
      </c>
      <c r="M2531" s="16">
        <f t="shared" si="237"/>
        <v>-0.66102186233469074</v>
      </c>
      <c r="N2531">
        <f t="shared" si="238"/>
        <v>0</v>
      </c>
      <c r="O2531">
        <f t="shared" si="239"/>
        <v>0</v>
      </c>
      <c r="P2531">
        <f t="shared" si="236"/>
        <v>4200</v>
      </c>
      <c r="Q2531">
        <f t="shared" si="240"/>
        <v>4200</v>
      </c>
      <c r="T2531" s="16">
        <f t="shared" si="241"/>
        <v>-0.66102186233469118</v>
      </c>
    </row>
    <row r="2532" spans="7:20" ht="14.4" x14ac:dyDescent="0.25">
      <c r="G2532" s="10">
        <v>8123</v>
      </c>
      <c r="H2532" s="9">
        <v>58054</v>
      </c>
      <c r="I2532" s="14">
        <f>DATE(2012,12,31)-727</f>
        <v>40547</v>
      </c>
      <c r="J2532" s="15" t="s">
        <v>17</v>
      </c>
      <c r="K2532" s="9">
        <v>26</v>
      </c>
      <c r="L2532" s="16" t="s">
        <v>29</v>
      </c>
      <c r="M2532" s="16">
        <f t="shared" si="237"/>
        <v>2.9575903857523567E-2</v>
      </c>
      <c r="N2532">
        <f t="shared" si="238"/>
        <v>0</v>
      </c>
      <c r="O2532">
        <f t="shared" si="239"/>
        <v>0</v>
      </c>
      <c r="P2532">
        <f t="shared" si="236"/>
        <v>4700</v>
      </c>
      <c r="Q2532">
        <f t="shared" si="240"/>
        <v>4700</v>
      </c>
      <c r="T2532" s="16">
        <f t="shared" si="241"/>
        <v>2.9575903857523185E-2</v>
      </c>
    </row>
    <row r="2533" spans="7:20" ht="14.4" x14ac:dyDescent="0.25">
      <c r="G2533" s="10">
        <v>8129</v>
      </c>
      <c r="H2533" s="9">
        <v>58113</v>
      </c>
      <c r="I2533" s="14">
        <f>DATE(2012,12,31)-334</f>
        <v>40940</v>
      </c>
      <c r="J2533" s="15" t="s">
        <v>17</v>
      </c>
      <c r="K2533" s="9">
        <v>48</v>
      </c>
      <c r="L2533" s="16" t="s">
        <v>26</v>
      </c>
      <c r="M2533" s="16">
        <f t="shared" si="237"/>
        <v>1.5488909894803951</v>
      </c>
      <c r="N2533">
        <f t="shared" si="238"/>
        <v>0</v>
      </c>
      <c r="O2533">
        <f t="shared" si="239"/>
        <v>0</v>
      </c>
      <c r="P2533">
        <f t="shared" si="236"/>
        <v>5800</v>
      </c>
      <c r="Q2533">
        <f t="shared" si="240"/>
        <v>5800</v>
      </c>
      <c r="T2533" s="16">
        <f t="shared" si="241"/>
        <v>1.5488909894803948</v>
      </c>
    </row>
    <row r="2534" spans="7:20" ht="14.4" x14ac:dyDescent="0.25">
      <c r="G2534" s="10">
        <v>8130</v>
      </c>
      <c r="H2534" s="9">
        <v>58113</v>
      </c>
      <c r="I2534" s="14">
        <f>DATE(2012,12,31)-334</f>
        <v>40940</v>
      </c>
      <c r="J2534" s="15" t="s">
        <v>17</v>
      </c>
      <c r="K2534" s="9">
        <v>12</v>
      </c>
      <c r="L2534" s="16" t="s">
        <v>27</v>
      </c>
      <c r="M2534" s="16">
        <f t="shared" si="237"/>
        <v>-0.9372609688115765</v>
      </c>
      <c r="N2534">
        <f t="shared" si="238"/>
        <v>0</v>
      </c>
      <c r="O2534">
        <f t="shared" si="239"/>
        <v>0</v>
      </c>
      <c r="P2534">
        <f t="shared" si="236"/>
        <v>4000</v>
      </c>
      <c r="Q2534">
        <f t="shared" si="240"/>
        <v>4000</v>
      </c>
      <c r="T2534" s="16">
        <f t="shared" si="241"/>
        <v>-0.93726096881157694</v>
      </c>
    </row>
    <row r="2535" spans="7:20" ht="14.4" x14ac:dyDescent="0.25">
      <c r="G2535" s="10">
        <v>8186</v>
      </c>
      <c r="H2535" s="9">
        <v>58528</v>
      </c>
      <c r="I2535" s="14">
        <f>DATE(2012,12,31)-796</f>
        <v>40478</v>
      </c>
      <c r="J2535" s="15" t="s">
        <v>16</v>
      </c>
      <c r="K2535" s="9">
        <v>14</v>
      </c>
      <c r="L2535" s="16" t="s">
        <v>26</v>
      </c>
      <c r="M2535" s="16">
        <f t="shared" si="237"/>
        <v>-0.79914141557313367</v>
      </c>
      <c r="N2535">
        <f t="shared" si="238"/>
        <v>0</v>
      </c>
      <c r="O2535">
        <f t="shared" si="239"/>
        <v>0</v>
      </c>
      <c r="P2535">
        <f t="shared" si="236"/>
        <v>4100</v>
      </c>
      <c r="Q2535">
        <f t="shared" si="240"/>
        <v>4100</v>
      </c>
      <c r="T2535" s="16">
        <f t="shared" si="241"/>
        <v>-0.79914141557313401</v>
      </c>
    </row>
    <row r="2536" spans="7:20" ht="14.4" x14ac:dyDescent="0.25">
      <c r="G2536" s="10">
        <v>8187</v>
      </c>
      <c r="H2536" s="9">
        <v>58528</v>
      </c>
      <c r="I2536" s="14">
        <f>DATE(2012,12,31)-796</f>
        <v>40478</v>
      </c>
      <c r="J2536" s="15" t="s">
        <v>16</v>
      </c>
      <c r="K2536" s="9">
        <v>41</v>
      </c>
      <c r="L2536" s="16" t="s">
        <v>26</v>
      </c>
      <c r="M2536" s="16">
        <f t="shared" si="237"/>
        <v>1.0654725531458451</v>
      </c>
      <c r="N2536">
        <f t="shared" si="238"/>
        <v>0</v>
      </c>
      <c r="O2536">
        <f t="shared" si="239"/>
        <v>0</v>
      </c>
      <c r="P2536">
        <f t="shared" si="236"/>
        <v>5450</v>
      </c>
      <c r="Q2536">
        <f t="shared" si="240"/>
        <v>5450</v>
      </c>
      <c r="T2536" s="16">
        <f t="shared" si="241"/>
        <v>1.0654725531458447</v>
      </c>
    </row>
    <row r="2537" spans="7:20" ht="14.4" x14ac:dyDescent="0.25">
      <c r="G2537" s="10">
        <v>8193</v>
      </c>
      <c r="H2537" s="9">
        <v>58598</v>
      </c>
      <c r="I2537" s="14">
        <f>DATE(2012,12,31)-497</f>
        <v>40777</v>
      </c>
      <c r="J2537" s="15" t="s">
        <v>16</v>
      </c>
      <c r="K2537" s="9">
        <v>50</v>
      </c>
      <c r="L2537" s="16" t="s">
        <v>29</v>
      </c>
      <c r="M2537" s="16">
        <f t="shared" si="237"/>
        <v>1.687010542718838</v>
      </c>
      <c r="N2537">
        <f t="shared" si="238"/>
        <v>0</v>
      </c>
      <c r="O2537">
        <f t="shared" si="239"/>
        <v>0</v>
      </c>
      <c r="P2537">
        <f t="shared" si="236"/>
        <v>5900</v>
      </c>
      <c r="Q2537">
        <f t="shared" si="240"/>
        <v>5900</v>
      </c>
      <c r="T2537" s="16">
        <f t="shared" si="241"/>
        <v>1.6870105427188375</v>
      </c>
    </row>
    <row r="2538" spans="7:20" ht="14.4" x14ac:dyDescent="0.25">
      <c r="G2538" s="10">
        <v>8194</v>
      </c>
      <c r="H2538" s="9">
        <v>58598</v>
      </c>
      <c r="I2538" s="14">
        <f>DATE(2012,12,31)-497</f>
        <v>40777</v>
      </c>
      <c r="J2538" s="15" t="s">
        <v>16</v>
      </c>
      <c r="K2538" s="9">
        <v>25</v>
      </c>
      <c r="L2538" s="16" t="s">
        <v>26</v>
      </c>
      <c r="M2538" s="16">
        <f t="shared" si="237"/>
        <v>-3.9483872761697868E-2</v>
      </c>
      <c r="N2538">
        <f t="shared" si="238"/>
        <v>0</v>
      </c>
      <c r="O2538">
        <f t="shared" si="239"/>
        <v>0</v>
      </c>
      <c r="P2538">
        <f t="shared" si="236"/>
        <v>4650</v>
      </c>
      <c r="Q2538">
        <f t="shared" si="240"/>
        <v>4650</v>
      </c>
      <c r="T2538" s="16">
        <f t="shared" si="241"/>
        <v>-3.9483872761698249E-2</v>
      </c>
    </row>
    <row r="2539" spans="7:20" ht="14.4" x14ac:dyDescent="0.25">
      <c r="G2539" s="10">
        <v>8231</v>
      </c>
      <c r="H2539" s="9">
        <v>58851</v>
      </c>
      <c r="I2539" s="14">
        <f>DATE(2012,12,31)-938</f>
        <v>40336</v>
      </c>
      <c r="J2539" s="15" t="s">
        <v>25</v>
      </c>
      <c r="K2539" s="9">
        <v>3</v>
      </c>
      <c r="L2539" s="16" t="s">
        <v>29</v>
      </c>
      <c r="M2539" s="16">
        <f t="shared" si="237"/>
        <v>-1.5587989583845694</v>
      </c>
      <c r="N2539">
        <f t="shared" si="238"/>
        <v>0</v>
      </c>
      <c r="O2539">
        <f t="shared" si="239"/>
        <v>0</v>
      </c>
      <c r="P2539">
        <f t="shared" si="236"/>
        <v>3550</v>
      </c>
      <c r="Q2539">
        <f t="shared" si="240"/>
        <v>3550</v>
      </c>
      <c r="T2539" s="16">
        <f t="shared" si="241"/>
        <v>-1.5587989583845698</v>
      </c>
    </row>
    <row r="2540" spans="7:20" ht="14.4" x14ac:dyDescent="0.25">
      <c r="G2540" s="10">
        <v>8232</v>
      </c>
      <c r="H2540" s="9">
        <v>58851</v>
      </c>
      <c r="I2540" s="14">
        <f>DATE(2012,12,31)-938</f>
        <v>40336</v>
      </c>
      <c r="J2540" s="15" t="s">
        <v>25</v>
      </c>
      <c r="K2540" s="9">
        <v>14</v>
      </c>
      <c r="L2540" s="16" t="s">
        <v>27</v>
      </c>
      <c r="M2540" s="16">
        <f t="shared" si="237"/>
        <v>-0.79914141557313367</v>
      </c>
      <c r="N2540">
        <f t="shared" si="238"/>
        <v>0</v>
      </c>
      <c r="O2540">
        <f t="shared" si="239"/>
        <v>0</v>
      </c>
      <c r="P2540">
        <f t="shared" si="236"/>
        <v>4100</v>
      </c>
      <c r="Q2540">
        <f t="shared" si="240"/>
        <v>4100</v>
      </c>
      <c r="T2540" s="16">
        <f t="shared" si="241"/>
        <v>-0.79914141557313401</v>
      </c>
    </row>
    <row r="2541" spans="7:20" ht="14.4" x14ac:dyDescent="0.25">
      <c r="G2541" s="10">
        <v>8233</v>
      </c>
      <c r="H2541" s="9">
        <v>58853</v>
      </c>
      <c r="I2541" s="14">
        <f>DATE(2012,12,31)-232</f>
        <v>41042</v>
      </c>
      <c r="J2541" s="15" t="s">
        <v>30</v>
      </c>
      <c r="K2541" s="9">
        <v>27</v>
      </c>
      <c r="L2541" s="16" t="s">
        <v>29</v>
      </c>
      <c r="M2541" s="16">
        <f t="shared" si="237"/>
        <v>9.8635680476745008E-2</v>
      </c>
      <c r="N2541">
        <f t="shared" si="238"/>
        <v>0</v>
      </c>
      <c r="O2541">
        <f t="shared" si="239"/>
        <v>0</v>
      </c>
      <c r="P2541">
        <f t="shared" si="236"/>
        <v>4750</v>
      </c>
      <c r="Q2541">
        <f t="shared" si="240"/>
        <v>4750</v>
      </c>
      <c r="T2541" s="16">
        <f t="shared" si="241"/>
        <v>9.8635680476744619E-2</v>
      </c>
    </row>
    <row r="2542" spans="7:20" ht="14.4" x14ac:dyDescent="0.25">
      <c r="G2542" s="10">
        <v>8252</v>
      </c>
      <c r="H2542" s="9">
        <v>59015</v>
      </c>
      <c r="I2542" s="14">
        <f>DATE(2012,12,31)-219</f>
        <v>41055</v>
      </c>
      <c r="J2542" s="15" t="s">
        <v>16</v>
      </c>
      <c r="K2542" s="9">
        <v>32</v>
      </c>
      <c r="L2542" s="16" t="s">
        <v>27</v>
      </c>
      <c r="M2542" s="16">
        <f t="shared" si="237"/>
        <v>0.44393456357285216</v>
      </c>
      <c r="N2542">
        <f t="shared" si="238"/>
        <v>0</v>
      </c>
      <c r="O2542">
        <f t="shared" si="239"/>
        <v>0</v>
      </c>
      <c r="P2542">
        <f t="shared" si="236"/>
        <v>5000</v>
      </c>
      <c r="Q2542">
        <f t="shared" si="240"/>
        <v>5000</v>
      </c>
      <c r="T2542" s="16">
        <f t="shared" si="241"/>
        <v>0.44393456357285183</v>
      </c>
    </row>
    <row r="2543" spans="7:20" ht="14.4" x14ac:dyDescent="0.25">
      <c r="G2543" s="10">
        <v>8253</v>
      </c>
      <c r="H2543" s="9">
        <v>59015</v>
      </c>
      <c r="I2543" s="14">
        <f>DATE(2012,12,31)-219</f>
        <v>41055</v>
      </c>
      <c r="J2543" s="15" t="s">
        <v>16</v>
      </c>
      <c r="K2543" s="9">
        <v>32</v>
      </c>
      <c r="L2543" s="16" t="s">
        <v>29</v>
      </c>
      <c r="M2543" s="16">
        <f t="shared" si="237"/>
        <v>0.44393456357285216</v>
      </c>
      <c r="N2543">
        <f t="shared" si="238"/>
        <v>0</v>
      </c>
      <c r="O2543">
        <f t="shared" si="239"/>
        <v>0</v>
      </c>
      <c r="P2543">
        <f t="shared" si="236"/>
        <v>5000</v>
      </c>
      <c r="Q2543">
        <f t="shared" si="240"/>
        <v>5000</v>
      </c>
      <c r="T2543" s="16">
        <f t="shared" si="241"/>
        <v>0.44393456357285183</v>
      </c>
    </row>
    <row r="2544" spans="7:20" ht="14.4" x14ac:dyDescent="0.25">
      <c r="G2544" s="10">
        <v>8254</v>
      </c>
      <c r="H2544" s="9">
        <v>59015</v>
      </c>
      <c r="I2544" s="14">
        <f>DATE(2012,12,31)-219</f>
        <v>41055</v>
      </c>
      <c r="J2544" s="15" t="s">
        <v>16</v>
      </c>
      <c r="K2544" s="9">
        <v>32</v>
      </c>
      <c r="L2544" s="16" t="s">
        <v>26</v>
      </c>
      <c r="M2544" s="16">
        <f t="shared" si="237"/>
        <v>0.44393456357285216</v>
      </c>
      <c r="N2544">
        <f t="shared" si="238"/>
        <v>0</v>
      </c>
      <c r="O2544">
        <f t="shared" si="239"/>
        <v>0</v>
      </c>
      <c r="P2544">
        <f t="shared" si="236"/>
        <v>5000</v>
      </c>
      <c r="Q2544">
        <f t="shared" si="240"/>
        <v>5000</v>
      </c>
      <c r="T2544" s="16">
        <f t="shared" si="241"/>
        <v>0.44393456357285183</v>
      </c>
    </row>
    <row r="2545" spans="7:20" ht="14.4" x14ac:dyDescent="0.25">
      <c r="G2545" s="10">
        <v>8264</v>
      </c>
      <c r="H2545" s="9">
        <v>59075</v>
      </c>
      <c r="I2545" s="14">
        <f>DATE(2012,12,31)-309</f>
        <v>40965</v>
      </c>
      <c r="J2545" s="15" t="s">
        <v>25</v>
      </c>
      <c r="K2545" s="9">
        <v>38</v>
      </c>
      <c r="L2545" s="16" t="s">
        <v>26</v>
      </c>
      <c r="M2545" s="16">
        <f t="shared" si="237"/>
        <v>0.85829322328818081</v>
      </c>
      <c r="N2545">
        <f t="shared" si="238"/>
        <v>0</v>
      </c>
      <c r="O2545">
        <f t="shared" si="239"/>
        <v>0</v>
      </c>
      <c r="P2545">
        <f t="shared" si="236"/>
        <v>5300</v>
      </c>
      <c r="Q2545">
        <f t="shared" si="240"/>
        <v>5300</v>
      </c>
      <c r="T2545" s="16">
        <f t="shared" si="241"/>
        <v>0.85829322328818036</v>
      </c>
    </row>
    <row r="2546" spans="7:20" ht="14.4" x14ac:dyDescent="0.25">
      <c r="G2546" s="10">
        <v>8269</v>
      </c>
      <c r="H2546" s="9">
        <v>59108</v>
      </c>
      <c r="I2546" s="14">
        <f>DATE(2012,12,31)-451</f>
        <v>40823</v>
      </c>
      <c r="J2546" s="15" t="s">
        <v>25</v>
      </c>
      <c r="K2546" s="9">
        <v>21</v>
      </c>
      <c r="L2546" s="16" t="s">
        <v>26</v>
      </c>
      <c r="M2546" s="16">
        <f t="shared" si="237"/>
        <v>-0.31572297923858361</v>
      </c>
      <c r="N2546">
        <f t="shared" si="238"/>
        <v>0</v>
      </c>
      <c r="O2546">
        <f t="shared" si="239"/>
        <v>0</v>
      </c>
      <c r="P2546">
        <f t="shared" si="236"/>
        <v>4450</v>
      </c>
      <c r="Q2546">
        <f t="shared" si="240"/>
        <v>4450</v>
      </c>
      <c r="T2546" s="16">
        <f t="shared" si="241"/>
        <v>-0.315722979238584</v>
      </c>
    </row>
    <row r="2547" spans="7:20" ht="14.4" x14ac:dyDescent="0.25">
      <c r="G2547" s="10">
        <v>8270</v>
      </c>
      <c r="H2547" s="9">
        <v>59108</v>
      </c>
      <c r="I2547" s="14">
        <f>DATE(2012,12,31)-451</f>
        <v>40823</v>
      </c>
      <c r="J2547" s="15" t="s">
        <v>25</v>
      </c>
      <c r="K2547" s="9">
        <v>39</v>
      </c>
      <c r="L2547" s="16" t="s">
        <v>27</v>
      </c>
      <c r="M2547" s="16">
        <f t="shared" si="237"/>
        <v>0.92735299990740228</v>
      </c>
      <c r="N2547">
        <f t="shared" si="238"/>
        <v>0</v>
      </c>
      <c r="O2547">
        <f t="shared" si="239"/>
        <v>0</v>
      </c>
      <c r="P2547">
        <f t="shared" si="236"/>
        <v>5350</v>
      </c>
      <c r="Q2547">
        <f t="shared" si="240"/>
        <v>5350</v>
      </c>
      <c r="T2547" s="16">
        <f t="shared" si="241"/>
        <v>0.92735299990740183</v>
      </c>
    </row>
    <row r="2548" spans="7:20" ht="14.4" x14ac:dyDescent="0.25">
      <c r="G2548" s="10">
        <v>8339</v>
      </c>
      <c r="H2548" s="9">
        <v>59589</v>
      </c>
      <c r="I2548" s="14">
        <f>DATE(2012,12,31)-264</f>
        <v>41010</v>
      </c>
      <c r="J2548" s="15" t="s">
        <v>16</v>
      </c>
      <c r="K2548" s="9">
        <v>25</v>
      </c>
      <c r="L2548" s="16" t="s">
        <v>26</v>
      </c>
      <c r="M2548" s="16">
        <f t="shared" si="237"/>
        <v>-3.9483872761697868E-2</v>
      </c>
      <c r="N2548">
        <f t="shared" si="238"/>
        <v>0</v>
      </c>
      <c r="O2548">
        <f t="shared" si="239"/>
        <v>0</v>
      </c>
      <c r="P2548">
        <f t="shared" si="236"/>
        <v>4650</v>
      </c>
      <c r="Q2548">
        <f t="shared" si="240"/>
        <v>4650</v>
      </c>
      <c r="T2548" s="16">
        <f t="shared" si="241"/>
        <v>-3.9483872761698249E-2</v>
      </c>
    </row>
    <row r="2549" spans="7:20" ht="14.4" x14ac:dyDescent="0.25">
      <c r="G2549" s="10">
        <v>8354</v>
      </c>
      <c r="H2549" s="9">
        <v>59685</v>
      </c>
      <c r="I2549" s="14">
        <f>DATE(2012,12,31)-21</f>
        <v>41253</v>
      </c>
      <c r="J2549" s="15" t="s">
        <v>30</v>
      </c>
      <c r="K2549" s="9">
        <v>12</v>
      </c>
      <c r="L2549" s="16" t="s">
        <v>26</v>
      </c>
      <c r="M2549" s="16">
        <f t="shared" si="237"/>
        <v>-0.9372609688115765</v>
      </c>
      <c r="N2549">
        <f t="shared" si="238"/>
        <v>0</v>
      </c>
      <c r="O2549">
        <f t="shared" si="239"/>
        <v>0</v>
      </c>
      <c r="P2549">
        <f t="shared" si="236"/>
        <v>4000</v>
      </c>
      <c r="Q2549">
        <f t="shared" si="240"/>
        <v>4000</v>
      </c>
      <c r="T2549" s="16">
        <f t="shared" si="241"/>
        <v>-0.93726096881157694</v>
      </c>
    </row>
    <row r="2550" spans="7:20" ht="14.4" x14ac:dyDescent="0.25">
      <c r="G2550" s="10">
        <v>8355</v>
      </c>
      <c r="H2550" s="9">
        <v>59685</v>
      </c>
      <c r="I2550" s="14">
        <f>DATE(2012,12,31)-21</f>
        <v>41253</v>
      </c>
      <c r="J2550" s="15" t="s">
        <v>30</v>
      </c>
      <c r="K2550" s="9">
        <v>46</v>
      </c>
      <c r="L2550" s="16" t="s">
        <v>29</v>
      </c>
      <c r="M2550" s="16">
        <f t="shared" si="237"/>
        <v>1.4107714362419523</v>
      </c>
      <c r="N2550">
        <f t="shared" si="238"/>
        <v>0</v>
      </c>
      <c r="O2550">
        <f t="shared" si="239"/>
        <v>0</v>
      </c>
      <c r="P2550">
        <f t="shared" si="236"/>
        <v>5700</v>
      </c>
      <c r="Q2550">
        <f t="shared" si="240"/>
        <v>5700</v>
      </c>
      <c r="T2550" s="16">
        <f t="shared" si="241"/>
        <v>1.4107714362419519</v>
      </c>
    </row>
    <row r="2551" spans="7:20" ht="14.4" x14ac:dyDescent="0.25">
      <c r="G2551" s="10">
        <v>8377</v>
      </c>
      <c r="H2551" s="9">
        <v>59845</v>
      </c>
      <c r="I2551" s="14">
        <f>DATE(2012,12,31)-1105</f>
        <v>40169</v>
      </c>
      <c r="J2551" s="15" t="s">
        <v>25</v>
      </c>
      <c r="K2551" s="9">
        <v>42</v>
      </c>
      <c r="L2551" s="16" t="s">
        <v>26</v>
      </c>
      <c r="M2551" s="16">
        <f t="shared" si="237"/>
        <v>1.1345323297650665</v>
      </c>
      <c r="N2551">
        <f t="shared" si="238"/>
        <v>0</v>
      </c>
      <c r="O2551">
        <f t="shared" si="239"/>
        <v>0</v>
      </c>
      <c r="P2551">
        <f t="shared" si="236"/>
        <v>5500</v>
      </c>
      <c r="Q2551">
        <f t="shared" si="240"/>
        <v>5500</v>
      </c>
      <c r="T2551" s="16">
        <f t="shared" si="241"/>
        <v>1.1345323297650662</v>
      </c>
    </row>
    <row r="2552" spans="7:20" ht="14.4" x14ac:dyDescent="0.25">
      <c r="G2552" s="10">
        <v>8378</v>
      </c>
      <c r="H2552" s="9">
        <v>59845</v>
      </c>
      <c r="I2552" s="14">
        <f>DATE(2012,12,31)-1105</f>
        <v>40169</v>
      </c>
      <c r="J2552" s="15" t="s">
        <v>25</v>
      </c>
      <c r="K2552" s="9">
        <v>28</v>
      </c>
      <c r="L2552" s="16" t="s">
        <v>26</v>
      </c>
      <c r="M2552" s="16">
        <f t="shared" si="237"/>
        <v>0.16769545709596645</v>
      </c>
      <c r="N2552">
        <f t="shared" si="238"/>
        <v>0</v>
      </c>
      <c r="O2552">
        <f t="shared" si="239"/>
        <v>0</v>
      </c>
      <c r="P2552">
        <f t="shared" si="236"/>
        <v>4800</v>
      </c>
      <c r="Q2552">
        <f t="shared" si="240"/>
        <v>4800</v>
      </c>
      <c r="T2552" s="16">
        <f t="shared" si="241"/>
        <v>0.16769545709596606</v>
      </c>
    </row>
    <row r="2553" spans="7:20" ht="14.4" x14ac:dyDescent="0.25">
      <c r="G2553" s="10">
        <v>24</v>
      </c>
      <c r="H2553" s="9">
        <v>134</v>
      </c>
      <c r="I2553" s="14">
        <f>DATE(2012,12,31)-245</f>
        <v>41029</v>
      </c>
      <c r="J2553" s="15" t="s">
        <v>28</v>
      </c>
      <c r="K2553" s="9">
        <v>11</v>
      </c>
      <c r="L2553" s="16" t="s">
        <v>26</v>
      </c>
      <c r="M2553" s="16">
        <f t="shared" si="237"/>
        <v>-1.0063207454307979</v>
      </c>
      <c r="N2553">
        <f t="shared" si="238"/>
        <v>0</v>
      </c>
      <c r="O2553">
        <f t="shared" si="239"/>
        <v>0</v>
      </c>
      <c r="P2553">
        <f t="shared" si="236"/>
        <v>3950</v>
      </c>
      <c r="Q2553">
        <f t="shared" si="240"/>
        <v>3950</v>
      </c>
      <c r="T2553" s="16">
        <f t="shared" si="241"/>
        <v>-1.0063207454307983</v>
      </c>
    </row>
    <row r="2554" spans="7:20" ht="14.4" x14ac:dyDescent="0.25">
      <c r="G2554" s="10">
        <v>114</v>
      </c>
      <c r="H2554" s="9">
        <v>740</v>
      </c>
      <c r="I2554" s="14">
        <f>DATE(2012,12,31)-535</f>
        <v>40739</v>
      </c>
      <c r="J2554" s="15" t="s">
        <v>16</v>
      </c>
      <c r="K2554" s="9">
        <v>6</v>
      </c>
      <c r="L2554" s="16" t="s">
        <v>26</v>
      </c>
      <c r="M2554" s="16">
        <f t="shared" si="237"/>
        <v>-1.3516196285269051</v>
      </c>
      <c r="N2554">
        <f t="shared" si="238"/>
        <v>0</v>
      </c>
      <c r="O2554">
        <f t="shared" si="239"/>
        <v>0</v>
      </c>
      <c r="P2554">
        <f t="shared" si="236"/>
        <v>3700</v>
      </c>
      <c r="Q2554">
        <f t="shared" si="240"/>
        <v>3700</v>
      </c>
      <c r="T2554" s="16">
        <f t="shared" si="241"/>
        <v>-1.3516196285269055</v>
      </c>
    </row>
    <row r="2555" spans="7:20" ht="14.4" x14ac:dyDescent="0.25">
      <c r="G2555" s="10">
        <v>130</v>
      </c>
      <c r="H2555" s="9">
        <v>833</v>
      </c>
      <c r="I2555" s="14">
        <f>DATE(2012,12,31)-1418</f>
        <v>39856</v>
      </c>
      <c r="J2555" s="15" t="s">
        <v>16</v>
      </c>
      <c r="K2555" s="9">
        <v>1</v>
      </c>
      <c r="L2555" s="16" t="s">
        <v>26</v>
      </c>
      <c r="M2555" s="16">
        <f t="shared" si="237"/>
        <v>-1.6969185116230123</v>
      </c>
      <c r="N2555">
        <f t="shared" si="238"/>
        <v>0</v>
      </c>
      <c r="O2555">
        <f t="shared" si="239"/>
        <v>0</v>
      </c>
      <c r="P2555">
        <f t="shared" si="236"/>
        <v>3450</v>
      </c>
      <c r="Q2555">
        <f t="shared" si="240"/>
        <v>3450</v>
      </c>
      <c r="T2555" s="16">
        <f t="shared" si="241"/>
        <v>-1.6969185116230128</v>
      </c>
    </row>
    <row r="2556" spans="7:20" ht="14.4" x14ac:dyDescent="0.25">
      <c r="G2556" s="10">
        <v>234</v>
      </c>
      <c r="H2556" s="9">
        <v>1573</v>
      </c>
      <c r="I2556" s="14">
        <f>DATE(2012,12,31)-4</f>
        <v>41270</v>
      </c>
      <c r="J2556" s="15" t="s">
        <v>17</v>
      </c>
      <c r="K2556" s="9">
        <v>13</v>
      </c>
      <c r="L2556" s="16" t="s">
        <v>29</v>
      </c>
      <c r="M2556" s="16">
        <f t="shared" si="237"/>
        <v>-0.86820119219235514</v>
      </c>
      <c r="N2556">
        <f t="shared" si="238"/>
        <v>0</v>
      </c>
      <c r="O2556">
        <f t="shared" si="239"/>
        <v>0</v>
      </c>
      <c r="P2556">
        <f t="shared" si="236"/>
        <v>4050</v>
      </c>
      <c r="Q2556">
        <f t="shared" si="240"/>
        <v>4050</v>
      </c>
      <c r="T2556" s="16">
        <f t="shared" si="241"/>
        <v>-0.86820119219235548</v>
      </c>
    </row>
    <row r="2557" spans="7:20" ht="14.4" x14ac:dyDescent="0.25">
      <c r="G2557" s="10">
        <v>243</v>
      </c>
      <c r="H2557" s="9">
        <v>1639</v>
      </c>
      <c r="I2557" s="14">
        <f>DATE(2012,12,31)-500</f>
        <v>40774</v>
      </c>
      <c r="J2557" s="15" t="s">
        <v>28</v>
      </c>
      <c r="K2557" s="9">
        <v>24</v>
      </c>
      <c r="L2557" s="16" t="s">
        <v>26</v>
      </c>
      <c r="M2557" s="16">
        <f t="shared" si="237"/>
        <v>-0.1085436493809193</v>
      </c>
      <c r="N2557">
        <f t="shared" si="238"/>
        <v>0</v>
      </c>
      <c r="O2557">
        <f t="shared" si="239"/>
        <v>0</v>
      </c>
      <c r="P2557">
        <f t="shared" si="236"/>
        <v>4600</v>
      </c>
      <c r="Q2557">
        <f t="shared" si="240"/>
        <v>4600</v>
      </c>
      <c r="T2557" s="16">
        <f t="shared" si="241"/>
        <v>-0.10854364938091969</v>
      </c>
    </row>
    <row r="2558" spans="7:20" ht="14.4" x14ac:dyDescent="0.25">
      <c r="G2558" s="10">
        <v>297</v>
      </c>
      <c r="H2558" s="9">
        <v>2053</v>
      </c>
      <c r="I2558" s="14">
        <f>DATE(2012,12,31)-694</f>
        <v>40580</v>
      </c>
      <c r="J2558" s="15" t="s">
        <v>30</v>
      </c>
      <c r="K2558" s="9">
        <v>39</v>
      </c>
      <c r="L2558" s="16" t="s">
        <v>29</v>
      </c>
      <c r="M2558" s="16">
        <f t="shared" si="237"/>
        <v>0.92735299990740228</v>
      </c>
      <c r="N2558">
        <f t="shared" si="238"/>
        <v>0</v>
      </c>
      <c r="O2558">
        <f t="shared" si="239"/>
        <v>0</v>
      </c>
      <c r="P2558">
        <f t="shared" si="236"/>
        <v>5350</v>
      </c>
      <c r="Q2558">
        <f t="shared" si="240"/>
        <v>5350</v>
      </c>
      <c r="T2558" s="16">
        <f t="shared" si="241"/>
        <v>0.92735299990740183</v>
      </c>
    </row>
    <row r="2559" spans="7:20" ht="14.4" x14ac:dyDescent="0.25">
      <c r="G2559" s="10">
        <v>298</v>
      </c>
      <c r="H2559" s="9">
        <v>2053</v>
      </c>
      <c r="I2559" s="14">
        <f>DATE(2012,12,31)-694</f>
        <v>40580</v>
      </c>
      <c r="J2559" s="15" t="s">
        <v>30</v>
      </c>
      <c r="K2559" s="9">
        <v>7</v>
      </c>
      <c r="L2559" s="16" t="s">
        <v>27</v>
      </c>
      <c r="M2559" s="16">
        <f t="shared" si="237"/>
        <v>-1.2825598519076837</v>
      </c>
      <c r="N2559">
        <f t="shared" si="238"/>
        <v>0</v>
      </c>
      <c r="O2559">
        <f t="shared" si="239"/>
        <v>0</v>
      </c>
      <c r="P2559">
        <f t="shared" si="236"/>
        <v>3750</v>
      </c>
      <c r="Q2559">
        <f t="shared" si="240"/>
        <v>3750</v>
      </c>
      <c r="T2559" s="16">
        <f t="shared" si="241"/>
        <v>-1.2825598519076842</v>
      </c>
    </row>
    <row r="2560" spans="7:20" ht="14.4" x14ac:dyDescent="0.25">
      <c r="G2560" s="10">
        <v>307</v>
      </c>
      <c r="H2560" s="9">
        <v>2146</v>
      </c>
      <c r="I2560" s="14">
        <f>DATE(2012,12,31)-109</f>
        <v>41165</v>
      </c>
      <c r="J2560" s="15" t="s">
        <v>28</v>
      </c>
      <c r="K2560" s="9">
        <v>41</v>
      </c>
      <c r="L2560" s="16" t="s">
        <v>27</v>
      </c>
      <c r="M2560" s="16">
        <f t="shared" si="237"/>
        <v>1.0654725531458451</v>
      </c>
      <c r="N2560">
        <f t="shared" si="238"/>
        <v>0</v>
      </c>
      <c r="O2560">
        <f t="shared" si="239"/>
        <v>0</v>
      </c>
      <c r="P2560">
        <f t="shared" si="236"/>
        <v>5450</v>
      </c>
      <c r="Q2560">
        <f t="shared" si="240"/>
        <v>5450</v>
      </c>
      <c r="T2560" s="16">
        <f t="shared" si="241"/>
        <v>1.0654725531458447</v>
      </c>
    </row>
    <row r="2561" spans="7:20" ht="14.4" x14ac:dyDescent="0.25">
      <c r="G2561" s="10">
        <v>308</v>
      </c>
      <c r="H2561" s="9">
        <v>2146</v>
      </c>
      <c r="I2561" s="14">
        <f>DATE(2012,12,31)-109</f>
        <v>41165</v>
      </c>
      <c r="J2561" s="15" t="s">
        <v>28</v>
      </c>
      <c r="K2561" s="9">
        <v>44</v>
      </c>
      <c r="L2561" s="16" t="s">
        <v>26</v>
      </c>
      <c r="M2561" s="16">
        <f t="shared" si="237"/>
        <v>1.2726518830035094</v>
      </c>
      <c r="N2561">
        <f t="shared" si="238"/>
        <v>0</v>
      </c>
      <c r="O2561">
        <f t="shared" si="239"/>
        <v>0</v>
      </c>
      <c r="P2561">
        <f t="shared" si="236"/>
        <v>5600</v>
      </c>
      <c r="Q2561">
        <f t="shared" si="240"/>
        <v>5600</v>
      </c>
      <c r="T2561" s="16">
        <f t="shared" si="241"/>
        <v>1.272651883003509</v>
      </c>
    </row>
    <row r="2562" spans="7:20" ht="14.4" x14ac:dyDescent="0.25">
      <c r="G2562" s="10">
        <v>396</v>
      </c>
      <c r="H2562" s="9">
        <v>2752</v>
      </c>
      <c r="I2562" s="14">
        <f>DATE(2012,12,31)-774</f>
        <v>40500</v>
      </c>
      <c r="J2562" s="15" t="s">
        <v>17</v>
      </c>
      <c r="K2562" s="9">
        <v>30</v>
      </c>
      <c r="L2562" s="16" t="s">
        <v>27</v>
      </c>
      <c r="M2562" s="16">
        <f t="shared" si="237"/>
        <v>0.30581501033440933</v>
      </c>
      <c r="N2562">
        <f t="shared" si="238"/>
        <v>0</v>
      </c>
      <c r="O2562">
        <f t="shared" si="239"/>
        <v>0</v>
      </c>
      <c r="P2562">
        <f t="shared" si="236"/>
        <v>4900</v>
      </c>
      <c r="Q2562">
        <f t="shared" si="240"/>
        <v>4900</v>
      </c>
      <c r="T2562" s="16">
        <f t="shared" si="241"/>
        <v>0.30581501033440894</v>
      </c>
    </row>
    <row r="2563" spans="7:20" ht="14.4" x14ac:dyDescent="0.25">
      <c r="G2563" s="10">
        <v>397</v>
      </c>
      <c r="H2563" s="9">
        <v>2752</v>
      </c>
      <c r="I2563" s="14">
        <f>DATE(2012,12,31)-774</f>
        <v>40500</v>
      </c>
      <c r="J2563" s="15" t="s">
        <v>17</v>
      </c>
      <c r="K2563" s="9">
        <v>41</v>
      </c>
      <c r="L2563" s="16" t="s">
        <v>26</v>
      </c>
      <c r="M2563" s="16">
        <f t="shared" si="237"/>
        <v>1.0654725531458451</v>
      </c>
      <c r="N2563">
        <f t="shared" si="238"/>
        <v>0</v>
      </c>
      <c r="O2563">
        <f t="shared" si="239"/>
        <v>0</v>
      </c>
      <c r="P2563">
        <f t="shared" si="236"/>
        <v>5450</v>
      </c>
      <c r="Q2563">
        <f t="shared" si="240"/>
        <v>5450</v>
      </c>
      <c r="T2563" s="16">
        <f t="shared" si="241"/>
        <v>1.0654725531458447</v>
      </c>
    </row>
    <row r="2564" spans="7:20" ht="14.4" x14ac:dyDescent="0.25">
      <c r="G2564" s="10">
        <v>398</v>
      </c>
      <c r="H2564" s="9">
        <v>2752</v>
      </c>
      <c r="I2564" s="14">
        <f>DATE(2012,12,31)-774</f>
        <v>40500</v>
      </c>
      <c r="J2564" s="15" t="s">
        <v>17</v>
      </c>
      <c r="K2564" s="9">
        <v>10</v>
      </c>
      <c r="L2564" s="16" t="s">
        <v>26</v>
      </c>
      <c r="M2564" s="16">
        <f t="shared" si="237"/>
        <v>-1.0753805220500194</v>
      </c>
      <c r="N2564">
        <f t="shared" si="238"/>
        <v>0</v>
      </c>
      <c r="O2564">
        <f t="shared" si="239"/>
        <v>0</v>
      </c>
      <c r="P2564">
        <f t="shared" si="236"/>
        <v>3900</v>
      </c>
      <c r="Q2564">
        <f t="shared" si="240"/>
        <v>3900</v>
      </c>
      <c r="T2564" s="16">
        <f t="shared" si="241"/>
        <v>-1.0753805220500199</v>
      </c>
    </row>
    <row r="2565" spans="7:20" ht="14.4" x14ac:dyDescent="0.25">
      <c r="G2565" s="10">
        <v>399</v>
      </c>
      <c r="H2565" s="9">
        <v>2752</v>
      </c>
      <c r="I2565" s="14">
        <f>DATE(2012,12,31)-774</f>
        <v>40500</v>
      </c>
      <c r="J2565" s="15" t="s">
        <v>17</v>
      </c>
      <c r="K2565" s="9">
        <v>10</v>
      </c>
      <c r="L2565" s="16" t="s">
        <v>27</v>
      </c>
      <c r="M2565" s="16">
        <f t="shared" si="237"/>
        <v>-1.0753805220500194</v>
      </c>
      <c r="N2565">
        <f t="shared" si="238"/>
        <v>0</v>
      </c>
      <c r="O2565">
        <f t="shared" si="239"/>
        <v>0</v>
      </c>
      <c r="P2565">
        <f t="shared" si="236"/>
        <v>3900</v>
      </c>
      <c r="Q2565">
        <f t="shared" si="240"/>
        <v>3900</v>
      </c>
      <c r="T2565" s="16">
        <f t="shared" si="241"/>
        <v>-1.0753805220500199</v>
      </c>
    </row>
    <row r="2566" spans="7:20" ht="14.4" x14ac:dyDescent="0.25">
      <c r="G2566" s="10">
        <v>760</v>
      </c>
      <c r="H2566" s="9">
        <v>5445</v>
      </c>
      <c r="I2566" s="14">
        <f>DATE(2012,12,31)-890</f>
        <v>40384</v>
      </c>
      <c r="J2566" s="15" t="s">
        <v>25</v>
      </c>
      <c r="K2566" s="9">
        <v>4</v>
      </c>
      <c r="L2566" s="16" t="s">
        <v>26</v>
      </c>
      <c r="M2566" s="16">
        <f t="shared" si="237"/>
        <v>-1.489739181765348</v>
      </c>
      <c r="N2566">
        <f t="shared" si="238"/>
        <v>0</v>
      </c>
      <c r="O2566">
        <f t="shared" si="239"/>
        <v>0</v>
      </c>
      <c r="P2566">
        <f t="shared" si="236"/>
        <v>3600</v>
      </c>
      <c r="Q2566">
        <f t="shared" si="240"/>
        <v>3600</v>
      </c>
      <c r="T2566" s="16">
        <f t="shared" si="241"/>
        <v>-1.4897391817653485</v>
      </c>
    </row>
    <row r="2567" spans="7:20" ht="14.4" x14ac:dyDescent="0.25">
      <c r="G2567" s="10">
        <v>761</v>
      </c>
      <c r="H2567" s="9">
        <v>5445</v>
      </c>
      <c r="I2567" s="14">
        <f>DATE(2012,12,31)-890</f>
        <v>40384</v>
      </c>
      <c r="J2567" s="15" t="s">
        <v>25</v>
      </c>
      <c r="K2567" s="9">
        <v>9</v>
      </c>
      <c r="L2567" s="16" t="s">
        <v>26</v>
      </c>
      <c r="M2567" s="16">
        <f t="shared" si="237"/>
        <v>-1.1444402986692408</v>
      </c>
      <c r="N2567">
        <f t="shared" si="238"/>
        <v>0</v>
      </c>
      <c r="O2567">
        <f t="shared" si="239"/>
        <v>0</v>
      </c>
      <c r="P2567">
        <f t="shared" si="236"/>
        <v>3850</v>
      </c>
      <c r="Q2567">
        <f t="shared" si="240"/>
        <v>3850</v>
      </c>
      <c r="T2567" s="16">
        <f t="shared" si="241"/>
        <v>-1.1444402986692412</v>
      </c>
    </row>
    <row r="2568" spans="7:20" ht="14.4" x14ac:dyDescent="0.25">
      <c r="G2568" s="10">
        <v>797</v>
      </c>
      <c r="H2568" s="9">
        <v>5699</v>
      </c>
      <c r="I2568" s="14">
        <f>DATE(2012,12,31)-155</f>
        <v>41119</v>
      </c>
      <c r="J2568" s="15" t="s">
        <v>25</v>
      </c>
      <c r="K2568" s="9">
        <v>2</v>
      </c>
      <c r="L2568" s="16" t="s">
        <v>26</v>
      </c>
      <c r="M2568" s="16">
        <f t="shared" si="237"/>
        <v>-1.627858735003791</v>
      </c>
      <c r="N2568">
        <f t="shared" si="238"/>
        <v>0</v>
      </c>
      <c r="O2568">
        <f t="shared" si="239"/>
        <v>0</v>
      </c>
      <c r="P2568">
        <f t="shared" si="236"/>
        <v>3500</v>
      </c>
      <c r="Q2568">
        <f t="shared" si="240"/>
        <v>3500</v>
      </c>
      <c r="T2568" s="16">
        <f t="shared" si="241"/>
        <v>-1.6278587350037912</v>
      </c>
    </row>
    <row r="2569" spans="7:20" ht="14.4" x14ac:dyDescent="0.25">
      <c r="G2569" s="10">
        <v>798</v>
      </c>
      <c r="H2569" s="9">
        <v>5699</v>
      </c>
      <c r="I2569" s="14">
        <f>DATE(2012,12,31)-155</f>
        <v>41119</v>
      </c>
      <c r="J2569" s="15" t="s">
        <v>25</v>
      </c>
      <c r="K2569" s="9">
        <v>41</v>
      </c>
      <c r="L2569" s="16" t="s">
        <v>26</v>
      </c>
      <c r="M2569" s="16">
        <f t="shared" si="237"/>
        <v>1.0654725531458451</v>
      </c>
      <c r="N2569">
        <f t="shared" si="238"/>
        <v>0</v>
      </c>
      <c r="O2569">
        <f t="shared" si="239"/>
        <v>0</v>
      </c>
      <c r="P2569">
        <f t="shared" si="236"/>
        <v>5450</v>
      </c>
      <c r="Q2569">
        <f t="shared" si="240"/>
        <v>5450</v>
      </c>
      <c r="T2569" s="16">
        <f t="shared" si="241"/>
        <v>1.0654725531458447</v>
      </c>
    </row>
    <row r="2570" spans="7:20" ht="14.4" x14ac:dyDescent="0.25">
      <c r="G2570" s="10">
        <v>940</v>
      </c>
      <c r="H2570" s="9">
        <v>6823</v>
      </c>
      <c r="I2570" s="14">
        <f>DATE(2012,12,31)-1259</f>
        <v>40015</v>
      </c>
      <c r="J2570" s="15" t="s">
        <v>28</v>
      </c>
      <c r="K2570" s="9">
        <v>50</v>
      </c>
      <c r="L2570" s="16" t="s">
        <v>26</v>
      </c>
      <c r="M2570" s="16">
        <f t="shared" si="237"/>
        <v>1.687010542718838</v>
      </c>
      <c r="N2570">
        <f t="shared" si="238"/>
        <v>0</v>
      </c>
      <c r="O2570">
        <f t="shared" si="239"/>
        <v>0</v>
      </c>
      <c r="P2570">
        <f t="shared" si="236"/>
        <v>5900</v>
      </c>
      <c r="Q2570">
        <f t="shared" si="240"/>
        <v>5900</v>
      </c>
      <c r="T2570" s="16">
        <f t="shared" si="241"/>
        <v>1.6870105427188375</v>
      </c>
    </row>
    <row r="2571" spans="7:20" ht="14.4" x14ac:dyDescent="0.25">
      <c r="G2571" s="10">
        <v>941</v>
      </c>
      <c r="H2571" s="9">
        <v>6823</v>
      </c>
      <c r="I2571" s="14">
        <f>DATE(2012,12,31)-1259</f>
        <v>40015</v>
      </c>
      <c r="J2571" s="15" t="s">
        <v>28</v>
      </c>
      <c r="K2571" s="9">
        <v>31</v>
      </c>
      <c r="L2571" s="16" t="s">
        <v>27</v>
      </c>
      <c r="M2571" s="16">
        <f t="shared" si="237"/>
        <v>0.37487478695363075</v>
      </c>
      <c r="N2571">
        <f t="shared" si="238"/>
        <v>0</v>
      </c>
      <c r="O2571">
        <f t="shared" si="239"/>
        <v>0</v>
      </c>
      <c r="P2571">
        <f t="shared" si="236"/>
        <v>4950</v>
      </c>
      <c r="Q2571">
        <f t="shared" si="240"/>
        <v>4950</v>
      </c>
      <c r="T2571" s="16">
        <f t="shared" si="241"/>
        <v>0.37487478695363036</v>
      </c>
    </row>
    <row r="2572" spans="7:20" ht="14.4" x14ac:dyDescent="0.25">
      <c r="G2572" s="10">
        <v>959</v>
      </c>
      <c r="H2572" s="9">
        <v>6948</v>
      </c>
      <c r="I2572" s="14">
        <f>DATE(2012,12,31)-753</f>
        <v>40521</v>
      </c>
      <c r="J2572" s="15" t="s">
        <v>28</v>
      </c>
      <c r="K2572" s="9">
        <v>15</v>
      </c>
      <c r="L2572" s="16" t="s">
        <v>27</v>
      </c>
      <c r="M2572" s="16">
        <f t="shared" si="237"/>
        <v>-0.7300816389539122</v>
      </c>
      <c r="N2572">
        <f t="shared" si="238"/>
        <v>0</v>
      </c>
      <c r="O2572">
        <f t="shared" si="239"/>
        <v>0</v>
      </c>
      <c r="P2572">
        <f t="shared" ref="P2572:P2635" si="242">50*K2572+$P$10</f>
        <v>4150</v>
      </c>
      <c r="Q2572">
        <f t="shared" si="240"/>
        <v>4150</v>
      </c>
      <c r="T2572" s="16">
        <f t="shared" si="241"/>
        <v>-0.73008163895391265</v>
      </c>
    </row>
    <row r="2573" spans="7:20" ht="14.4" x14ac:dyDescent="0.25">
      <c r="G2573" s="10">
        <v>1027</v>
      </c>
      <c r="H2573" s="9">
        <v>7462</v>
      </c>
      <c r="I2573" s="14">
        <f>DATE(2012,12,31)-680</f>
        <v>40594</v>
      </c>
      <c r="J2573" s="15" t="s">
        <v>17</v>
      </c>
      <c r="K2573" s="9">
        <v>3</v>
      </c>
      <c r="L2573" s="16" t="s">
        <v>26</v>
      </c>
      <c r="M2573" s="16">
        <f t="shared" ref="M2573:M2636" si="243">(K2573-$K$4)/$K$7</f>
        <v>-1.5587989583845694</v>
      </c>
      <c r="N2573">
        <f t="shared" ref="N2573:N2636" si="244">IF(MOD($B$20+G2573,1000)=0,1,0)</f>
        <v>0</v>
      </c>
      <c r="O2573">
        <f t="shared" ref="O2573:O2636" si="245">+ROUND(N2573*(IF(K2573&lt;$K$4,-4.5,10.5)*$P$5),-2)</f>
        <v>0</v>
      </c>
      <c r="P2573">
        <f t="shared" si="242"/>
        <v>3550</v>
      </c>
      <c r="Q2573">
        <f t="shared" ref="Q2573:Q2636" si="246">P2573+O2573</f>
        <v>3550</v>
      </c>
      <c r="T2573" s="16">
        <f t="shared" ref="T2573:T2636" si="247">(Q2573-$P$4)/$P$5</f>
        <v>-1.5587989583845698</v>
      </c>
    </row>
    <row r="2574" spans="7:20" ht="14.4" x14ac:dyDescent="0.25">
      <c r="G2574" s="10">
        <v>1062</v>
      </c>
      <c r="H2574" s="9">
        <v>7845</v>
      </c>
      <c r="I2574" s="14">
        <f>DATE(2012,12,31)-1114</f>
        <v>40160</v>
      </c>
      <c r="J2574" s="15" t="s">
        <v>30</v>
      </c>
      <c r="K2574" s="9">
        <v>22</v>
      </c>
      <c r="L2574" s="16" t="s">
        <v>26</v>
      </c>
      <c r="M2574" s="16">
        <f t="shared" si="243"/>
        <v>-0.24666320261936217</v>
      </c>
      <c r="N2574">
        <f t="shared" si="244"/>
        <v>0</v>
      </c>
      <c r="O2574">
        <f t="shared" si="245"/>
        <v>0</v>
      </c>
      <c r="P2574">
        <f t="shared" si="242"/>
        <v>4500</v>
      </c>
      <c r="Q2574">
        <f t="shared" si="246"/>
        <v>4500</v>
      </c>
      <c r="T2574" s="16">
        <f t="shared" si="247"/>
        <v>-0.24666320261936256</v>
      </c>
    </row>
    <row r="2575" spans="7:20" ht="14.4" x14ac:dyDescent="0.25">
      <c r="G2575" s="10">
        <v>1063</v>
      </c>
      <c r="H2575" s="9">
        <v>7845</v>
      </c>
      <c r="I2575" s="14">
        <f>DATE(2012,12,31)-1114</f>
        <v>40160</v>
      </c>
      <c r="J2575" s="15" t="s">
        <v>30</v>
      </c>
      <c r="K2575" s="9">
        <v>45</v>
      </c>
      <c r="L2575" s="16" t="s">
        <v>26</v>
      </c>
      <c r="M2575" s="16">
        <f t="shared" si="243"/>
        <v>1.3417116596227308</v>
      </c>
      <c r="N2575">
        <f t="shared" si="244"/>
        <v>0</v>
      </c>
      <c r="O2575">
        <f t="shared" si="245"/>
        <v>0</v>
      </c>
      <c r="P2575">
        <f t="shared" si="242"/>
        <v>5650</v>
      </c>
      <c r="Q2575">
        <f t="shared" si="246"/>
        <v>5650</v>
      </c>
      <c r="T2575" s="16">
        <f t="shared" si="247"/>
        <v>1.3417116596227305</v>
      </c>
    </row>
    <row r="2576" spans="7:20" ht="14.4" x14ac:dyDescent="0.25">
      <c r="G2576" s="10">
        <v>1092</v>
      </c>
      <c r="H2576" s="9">
        <v>8033</v>
      </c>
      <c r="I2576" s="14">
        <f>DATE(2012,12,31)-251</f>
        <v>41023</v>
      </c>
      <c r="J2576" s="15" t="s">
        <v>17</v>
      </c>
      <c r="K2576" s="9">
        <v>27</v>
      </c>
      <c r="L2576" s="16" t="s">
        <v>26</v>
      </c>
      <c r="M2576" s="16">
        <f t="shared" si="243"/>
        <v>9.8635680476745008E-2</v>
      </c>
      <c r="N2576">
        <f t="shared" si="244"/>
        <v>0</v>
      </c>
      <c r="O2576">
        <f t="shared" si="245"/>
        <v>0</v>
      </c>
      <c r="P2576">
        <f t="shared" si="242"/>
        <v>4750</v>
      </c>
      <c r="Q2576">
        <f t="shared" si="246"/>
        <v>4750</v>
      </c>
      <c r="T2576" s="16">
        <f t="shared" si="247"/>
        <v>9.8635680476744619E-2</v>
      </c>
    </row>
    <row r="2577" spans="7:20" ht="14.4" x14ac:dyDescent="0.25">
      <c r="G2577" s="10">
        <v>1150</v>
      </c>
      <c r="H2577" s="9">
        <v>8388</v>
      </c>
      <c r="I2577" s="14">
        <f>DATE(2012,12,31)-312</f>
        <v>40962</v>
      </c>
      <c r="J2577" s="15" t="s">
        <v>25</v>
      </c>
      <c r="K2577" s="9">
        <v>39</v>
      </c>
      <c r="L2577" s="16" t="s">
        <v>29</v>
      </c>
      <c r="M2577" s="16">
        <f t="shared" si="243"/>
        <v>0.92735299990740228</v>
      </c>
      <c r="N2577">
        <f t="shared" si="244"/>
        <v>0</v>
      </c>
      <c r="O2577">
        <f t="shared" si="245"/>
        <v>0</v>
      </c>
      <c r="P2577">
        <f t="shared" si="242"/>
        <v>5350</v>
      </c>
      <c r="Q2577">
        <f t="shared" si="246"/>
        <v>5350</v>
      </c>
      <c r="T2577" s="16">
        <f t="shared" si="247"/>
        <v>0.92735299990740183</v>
      </c>
    </row>
    <row r="2578" spans="7:20" ht="14.4" x14ac:dyDescent="0.25">
      <c r="G2578" s="10">
        <v>1151</v>
      </c>
      <c r="H2578" s="9">
        <v>8388</v>
      </c>
      <c r="I2578" s="14">
        <f>DATE(2012,12,31)-312</f>
        <v>40962</v>
      </c>
      <c r="J2578" s="15" t="s">
        <v>25</v>
      </c>
      <c r="K2578" s="9">
        <v>37</v>
      </c>
      <c r="L2578" s="16" t="s">
        <v>26</v>
      </c>
      <c r="M2578" s="16">
        <f t="shared" si="243"/>
        <v>0.78923344666895934</v>
      </c>
      <c r="N2578">
        <f t="shared" si="244"/>
        <v>0</v>
      </c>
      <c r="O2578">
        <f t="shared" si="245"/>
        <v>0</v>
      </c>
      <c r="P2578">
        <f t="shared" si="242"/>
        <v>5250</v>
      </c>
      <c r="Q2578">
        <f t="shared" si="246"/>
        <v>5250</v>
      </c>
      <c r="T2578" s="16">
        <f t="shared" si="247"/>
        <v>0.789233446668959</v>
      </c>
    </row>
    <row r="2579" spans="7:20" ht="14.4" x14ac:dyDescent="0.25">
      <c r="G2579" s="10">
        <v>1152</v>
      </c>
      <c r="H2579" s="9">
        <v>8388</v>
      </c>
      <c r="I2579" s="14">
        <f>DATE(2012,12,31)-312</f>
        <v>40962</v>
      </c>
      <c r="J2579" s="15" t="s">
        <v>25</v>
      </c>
      <c r="K2579" s="9">
        <v>42</v>
      </c>
      <c r="L2579" s="16" t="s">
        <v>26</v>
      </c>
      <c r="M2579" s="16">
        <f t="shared" si="243"/>
        <v>1.1345323297650665</v>
      </c>
      <c r="N2579">
        <f t="shared" si="244"/>
        <v>0</v>
      </c>
      <c r="O2579">
        <f t="shared" si="245"/>
        <v>0</v>
      </c>
      <c r="P2579">
        <f t="shared" si="242"/>
        <v>5500</v>
      </c>
      <c r="Q2579">
        <f t="shared" si="246"/>
        <v>5500</v>
      </c>
      <c r="T2579" s="16">
        <f t="shared" si="247"/>
        <v>1.1345323297650662</v>
      </c>
    </row>
    <row r="2580" spans="7:20" ht="14.4" x14ac:dyDescent="0.25">
      <c r="G2580" s="10">
        <v>1334</v>
      </c>
      <c r="H2580" s="9">
        <v>9761</v>
      </c>
      <c r="I2580" s="14">
        <f>DATE(2012,12,31)-344</f>
        <v>40930</v>
      </c>
      <c r="J2580" s="15" t="s">
        <v>28</v>
      </c>
      <c r="K2580" s="9">
        <v>2</v>
      </c>
      <c r="L2580" s="16" t="s">
        <v>27</v>
      </c>
      <c r="M2580" s="16">
        <f t="shared" si="243"/>
        <v>-1.627858735003791</v>
      </c>
      <c r="N2580">
        <f t="shared" si="244"/>
        <v>0</v>
      </c>
      <c r="O2580">
        <f t="shared" si="245"/>
        <v>0</v>
      </c>
      <c r="P2580">
        <f t="shared" si="242"/>
        <v>3500</v>
      </c>
      <c r="Q2580">
        <f t="shared" si="246"/>
        <v>3500</v>
      </c>
      <c r="T2580" s="16">
        <f t="shared" si="247"/>
        <v>-1.6278587350037912</v>
      </c>
    </row>
    <row r="2581" spans="7:20" ht="14.4" x14ac:dyDescent="0.25">
      <c r="G2581" s="10">
        <v>1335</v>
      </c>
      <c r="H2581" s="9">
        <v>9761</v>
      </c>
      <c r="I2581" s="14">
        <f>DATE(2012,12,31)-344</f>
        <v>40930</v>
      </c>
      <c r="J2581" s="15" t="s">
        <v>28</v>
      </c>
      <c r="K2581" s="9">
        <v>23</v>
      </c>
      <c r="L2581" s="16" t="s">
        <v>26</v>
      </c>
      <c r="M2581" s="16">
        <f t="shared" si="243"/>
        <v>-0.17760342600014073</v>
      </c>
      <c r="N2581">
        <f t="shared" si="244"/>
        <v>0</v>
      </c>
      <c r="O2581">
        <f t="shared" si="245"/>
        <v>0</v>
      </c>
      <c r="P2581">
        <f t="shared" si="242"/>
        <v>4550</v>
      </c>
      <c r="Q2581">
        <f t="shared" si="246"/>
        <v>4550</v>
      </c>
      <c r="T2581" s="16">
        <f t="shared" si="247"/>
        <v>-0.17760342600014112</v>
      </c>
    </row>
    <row r="2582" spans="7:20" ht="14.4" x14ac:dyDescent="0.25">
      <c r="G2582" s="10">
        <v>1354</v>
      </c>
      <c r="H2582" s="9">
        <v>9863</v>
      </c>
      <c r="I2582" s="14">
        <f>DATE(2012,12,31)-484</f>
        <v>40790</v>
      </c>
      <c r="J2582" s="15" t="s">
        <v>30</v>
      </c>
      <c r="K2582" s="9">
        <v>18</v>
      </c>
      <c r="L2582" s="16" t="s">
        <v>26</v>
      </c>
      <c r="M2582" s="16">
        <f t="shared" si="243"/>
        <v>-0.52290230909624791</v>
      </c>
      <c r="N2582">
        <f t="shared" si="244"/>
        <v>0</v>
      </c>
      <c r="O2582">
        <f t="shared" si="245"/>
        <v>0</v>
      </c>
      <c r="P2582">
        <f t="shared" si="242"/>
        <v>4300</v>
      </c>
      <c r="Q2582">
        <f t="shared" si="246"/>
        <v>4300</v>
      </c>
      <c r="T2582" s="16">
        <f t="shared" si="247"/>
        <v>-0.52290230909624835</v>
      </c>
    </row>
    <row r="2583" spans="7:20" ht="14.4" x14ac:dyDescent="0.25">
      <c r="G2583" s="10">
        <v>1432</v>
      </c>
      <c r="H2583" s="9">
        <v>10342</v>
      </c>
      <c r="I2583" s="14">
        <f>DATE(2012,12,31)-405</f>
        <v>40869</v>
      </c>
      <c r="J2583" s="15" t="s">
        <v>16</v>
      </c>
      <c r="K2583" s="9">
        <v>45</v>
      </c>
      <c r="L2583" s="16" t="s">
        <v>29</v>
      </c>
      <c r="M2583" s="16">
        <f t="shared" si="243"/>
        <v>1.3417116596227308</v>
      </c>
      <c r="N2583">
        <f t="shared" si="244"/>
        <v>0</v>
      </c>
      <c r="O2583">
        <f t="shared" si="245"/>
        <v>0</v>
      </c>
      <c r="P2583">
        <f t="shared" si="242"/>
        <v>5650</v>
      </c>
      <c r="Q2583">
        <f t="shared" si="246"/>
        <v>5650</v>
      </c>
      <c r="T2583" s="16">
        <f t="shared" si="247"/>
        <v>1.3417116596227305</v>
      </c>
    </row>
    <row r="2584" spans="7:20" ht="14.4" x14ac:dyDescent="0.25">
      <c r="G2584" s="10">
        <v>1433</v>
      </c>
      <c r="H2584" s="9">
        <v>10342</v>
      </c>
      <c r="I2584" s="14">
        <f>DATE(2012,12,31)-405</f>
        <v>40869</v>
      </c>
      <c r="J2584" s="15" t="s">
        <v>16</v>
      </c>
      <c r="K2584" s="9">
        <v>38</v>
      </c>
      <c r="L2584" s="16" t="s">
        <v>27</v>
      </c>
      <c r="M2584" s="16">
        <f t="shared" si="243"/>
        <v>0.85829322328818081</v>
      </c>
      <c r="N2584">
        <f t="shared" si="244"/>
        <v>0</v>
      </c>
      <c r="O2584">
        <f t="shared" si="245"/>
        <v>0</v>
      </c>
      <c r="P2584">
        <f t="shared" si="242"/>
        <v>5300</v>
      </c>
      <c r="Q2584">
        <f t="shared" si="246"/>
        <v>5300</v>
      </c>
      <c r="T2584" s="16">
        <f t="shared" si="247"/>
        <v>0.85829322328818036</v>
      </c>
    </row>
    <row r="2585" spans="7:20" ht="14.4" x14ac:dyDescent="0.25">
      <c r="G2585" s="10">
        <v>1434</v>
      </c>
      <c r="H2585" s="9">
        <v>10342</v>
      </c>
      <c r="I2585" s="14">
        <f>DATE(2012,12,31)-405</f>
        <v>40869</v>
      </c>
      <c r="J2585" s="15" t="s">
        <v>16</v>
      </c>
      <c r="K2585" s="9">
        <v>38</v>
      </c>
      <c r="L2585" s="16" t="s">
        <v>29</v>
      </c>
      <c r="M2585" s="16">
        <f t="shared" si="243"/>
        <v>0.85829322328818081</v>
      </c>
      <c r="N2585">
        <f t="shared" si="244"/>
        <v>0</v>
      </c>
      <c r="O2585">
        <f t="shared" si="245"/>
        <v>0</v>
      </c>
      <c r="P2585">
        <f t="shared" si="242"/>
        <v>5300</v>
      </c>
      <c r="Q2585">
        <f t="shared" si="246"/>
        <v>5300</v>
      </c>
      <c r="T2585" s="16">
        <f t="shared" si="247"/>
        <v>0.85829322328818036</v>
      </c>
    </row>
    <row r="2586" spans="7:20" ht="14.4" x14ac:dyDescent="0.25">
      <c r="G2586" s="10">
        <v>1435</v>
      </c>
      <c r="H2586" s="9">
        <v>10342</v>
      </c>
      <c r="I2586" s="14">
        <f>DATE(2012,12,31)-405</f>
        <v>40869</v>
      </c>
      <c r="J2586" s="15" t="s">
        <v>16</v>
      </c>
      <c r="K2586" s="9">
        <v>2</v>
      </c>
      <c r="L2586" s="16" t="s">
        <v>27</v>
      </c>
      <c r="M2586" s="16">
        <f t="shared" si="243"/>
        <v>-1.627858735003791</v>
      </c>
      <c r="N2586">
        <f t="shared" si="244"/>
        <v>0</v>
      </c>
      <c r="O2586">
        <f t="shared" si="245"/>
        <v>0</v>
      </c>
      <c r="P2586">
        <f t="shared" si="242"/>
        <v>3500</v>
      </c>
      <c r="Q2586">
        <f t="shared" si="246"/>
        <v>3500</v>
      </c>
      <c r="T2586" s="16">
        <f t="shared" si="247"/>
        <v>-1.6278587350037912</v>
      </c>
    </row>
    <row r="2587" spans="7:20" ht="14.4" x14ac:dyDescent="0.25">
      <c r="G2587" s="10">
        <v>1441</v>
      </c>
      <c r="H2587" s="9">
        <v>10434</v>
      </c>
      <c r="I2587" s="14">
        <f>DATE(2012,12,31)-1104</f>
        <v>40170</v>
      </c>
      <c r="J2587" s="15" t="s">
        <v>17</v>
      </c>
      <c r="K2587" s="9">
        <v>2</v>
      </c>
      <c r="L2587" s="16" t="s">
        <v>29</v>
      </c>
      <c r="M2587" s="16">
        <f t="shared" si="243"/>
        <v>-1.627858735003791</v>
      </c>
      <c r="N2587">
        <f t="shared" si="244"/>
        <v>0</v>
      </c>
      <c r="O2587">
        <f t="shared" si="245"/>
        <v>0</v>
      </c>
      <c r="P2587">
        <f t="shared" si="242"/>
        <v>3500</v>
      </c>
      <c r="Q2587">
        <f t="shared" si="246"/>
        <v>3500</v>
      </c>
      <c r="T2587" s="16">
        <f t="shared" si="247"/>
        <v>-1.6278587350037912</v>
      </c>
    </row>
    <row r="2588" spans="7:20" ht="14.4" x14ac:dyDescent="0.25">
      <c r="G2588" s="10">
        <v>1532</v>
      </c>
      <c r="H2588" s="9">
        <v>11040</v>
      </c>
      <c r="I2588" s="14">
        <f>DATE(2012,12,31)-435</f>
        <v>40839</v>
      </c>
      <c r="J2588" s="15" t="s">
        <v>28</v>
      </c>
      <c r="K2588" s="9">
        <v>44</v>
      </c>
      <c r="L2588" s="16" t="s">
        <v>26</v>
      </c>
      <c r="M2588" s="16">
        <f t="shared" si="243"/>
        <v>1.2726518830035094</v>
      </c>
      <c r="N2588">
        <f t="shared" si="244"/>
        <v>0</v>
      </c>
      <c r="O2588">
        <f t="shared" si="245"/>
        <v>0</v>
      </c>
      <c r="P2588">
        <f t="shared" si="242"/>
        <v>5600</v>
      </c>
      <c r="Q2588">
        <f t="shared" si="246"/>
        <v>5600</v>
      </c>
      <c r="T2588" s="16">
        <f t="shared" si="247"/>
        <v>1.272651883003509</v>
      </c>
    </row>
    <row r="2589" spans="7:20" ht="14.4" x14ac:dyDescent="0.25">
      <c r="G2589" s="10">
        <v>1566</v>
      </c>
      <c r="H2589" s="9">
        <v>11302</v>
      </c>
      <c r="I2589" s="14">
        <f>DATE(2012,12,31)-1401</f>
        <v>39873</v>
      </c>
      <c r="J2589" s="15" t="s">
        <v>25</v>
      </c>
      <c r="K2589" s="9">
        <v>10</v>
      </c>
      <c r="L2589" s="16" t="s">
        <v>27</v>
      </c>
      <c r="M2589" s="16">
        <f t="shared" si="243"/>
        <v>-1.0753805220500194</v>
      </c>
      <c r="N2589">
        <f t="shared" si="244"/>
        <v>0</v>
      </c>
      <c r="O2589">
        <f t="shared" si="245"/>
        <v>0</v>
      </c>
      <c r="P2589">
        <f t="shared" si="242"/>
        <v>3900</v>
      </c>
      <c r="Q2589">
        <f t="shared" si="246"/>
        <v>3900</v>
      </c>
      <c r="T2589" s="16">
        <f t="shared" si="247"/>
        <v>-1.0753805220500199</v>
      </c>
    </row>
    <row r="2590" spans="7:20" ht="14.4" x14ac:dyDescent="0.25">
      <c r="G2590" s="10">
        <v>1577</v>
      </c>
      <c r="H2590" s="9">
        <v>11398</v>
      </c>
      <c r="I2590" s="14">
        <f>DATE(2012,12,31)-147</f>
        <v>41127</v>
      </c>
      <c r="J2590" s="15" t="s">
        <v>17</v>
      </c>
      <c r="K2590" s="9">
        <v>16</v>
      </c>
      <c r="L2590" s="16" t="s">
        <v>26</v>
      </c>
      <c r="M2590" s="16">
        <f t="shared" si="243"/>
        <v>-0.66102186233469074</v>
      </c>
      <c r="N2590">
        <f t="shared" si="244"/>
        <v>0</v>
      </c>
      <c r="O2590">
        <f t="shared" si="245"/>
        <v>0</v>
      </c>
      <c r="P2590">
        <f t="shared" si="242"/>
        <v>4200</v>
      </c>
      <c r="Q2590">
        <f t="shared" si="246"/>
        <v>4200</v>
      </c>
      <c r="T2590" s="16">
        <f t="shared" si="247"/>
        <v>-0.66102186233469118</v>
      </c>
    </row>
    <row r="2591" spans="7:20" ht="14.4" x14ac:dyDescent="0.25">
      <c r="G2591" s="10">
        <v>1578</v>
      </c>
      <c r="H2591" s="9">
        <v>11398</v>
      </c>
      <c r="I2591" s="14">
        <f>DATE(2012,12,31)-147</f>
        <v>41127</v>
      </c>
      <c r="J2591" s="15" t="s">
        <v>17</v>
      </c>
      <c r="K2591" s="9">
        <v>26</v>
      </c>
      <c r="L2591" s="16" t="s">
        <v>26</v>
      </c>
      <c r="M2591" s="16">
        <f t="shared" si="243"/>
        <v>2.9575903857523567E-2</v>
      </c>
      <c r="N2591">
        <f t="shared" si="244"/>
        <v>0</v>
      </c>
      <c r="O2591">
        <f t="shared" si="245"/>
        <v>0</v>
      </c>
      <c r="P2591">
        <f t="shared" si="242"/>
        <v>4700</v>
      </c>
      <c r="Q2591">
        <f t="shared" si="246"/>
        <v>4700</v>
      </c>
      <c r="T2591" s="16">
        <f t="shared" si="247"/>
        <v>2.9575903857523185E-2</v>
      </c>
    </row>
    <row r="2592" spans="7:20" ht="14.4" x14ac:dyDescent="0.25">
      <c r="G2592" s="10">
        <v>1599</v>
      </c>
      <c r="H2592" s="9">
        <v>11584</v>
      </c>
      <c r="I2592" s="14">
        <f>DATE(2012,12,31)-1135</f>
        <v>40139</v>
      </c>
      <c r="J2592" s="15" t="s">
        <v>16</v>
      </c>
      <c r="K2592" s="9">
        <v>48</v>
      </c>
      <c r="L2592" s="16" t="s">
        <v>27</v>
      </c>
      <c r="M2592" s="16">
        <f t="shared" si="243"/>
        <v>1.5488909894803951</v>
      </c>
      <c r="N2592">
        <f t="shared" si="244"/>
        <v>0</v>
      </c>
      <c r="O2592">
        <f t="shared" si="245"/>
        <v>0</v>
      </c>
      <c r="P2592">
        <f t="shared" si="242"/>
        <v>5800</v>
      </c>
      <c r="Q2592">
        <f t="shared" si="246"/>
        <v>5800</v>
      </c>
      <c r="T2592" s="16">
        <f t="shared" si="247"/>
        <v>1.5488909894803948</v>
      </c>
    </row>
    <row r="2593" spans="7:20" ht="14.4" x14ac:dyDescent="0.25">
      <c r="G2593" s="10">
        <v>1607</v>
      </c>
      <c r="H2593" s="9">
        <v>11652</v>
      </c>
      <c r="I2593" s="14">
        <f>DATE(2012,12,31)-417</f>
        <v>40857</v>
      </c>
      <c r="J2593" s="15" t="s">
        <v>28</v>
      </c>
      <c r="K2593" s="9">
        <v>35</v>
      </c>
      <c r="L2593" s="16" t="s">
        <v>27</v>
      </c>
      <c r="M2593" s="16">
        <f t="shared" si="243"/>
        <v>0.65111389343051651</v>
      </c>
      <c r="N2593">
        <f t="shared" si="244"/>
        <v>0</v>
      </c>
      <c r="O2593">
        <f t="shared" si="245"/>
        <v>0</v>
      </c>
      <c r="P2593">
        <f t="shared" si="242"/>
        <v>5150</v>
      </c>
      <c r="Q2593">
        <f t="shared" si="246"/>
        <v>5150</v>
      </c>
      <c r="T2593" s="16">
        <f t="shared" si="247"/>
        <v>0.65111389343051607</v>
      </c>
    </row>
    <row r="2594" spans="7:20" ht="14.4" x14ac:dyDescent="0.25">
      <c r="G2594" s="10">
        <v>1608</v>
      </c>
      <c r="H2594" s="9">
        <v>11652</v>
      </c>
      <c r="I2594" s="14">
        <f>DATE(2012,12,31)-417</f>
        <v>40857</v>
      </c>
      <c r="J2594" s="15" t="s">
        <v>28</v>
      </c>
      <c r="K2594" s="9">
        <v>37</v>
      </c>
      <c r="L2594" s="16" t="s">
        <v>26</v>
      </c>
      <c r="M2594" s="16">
        <f t="shared" si="243"/>
        <v>0.78923344666895934</v>
      </c>
      <c r="N2594">
        <f t="shared" si="244"/>
        <v>0</v>
      </c>
      <c r="O2594">
        <f t="shared" si="245"/>
        <v>0</v>
      </c>
      <c r="P2594">
        <f t="shared" si="242"/>
        <v>5250</v>
      </c>
      <c r="Q2594">
        <f t="shared" si="246"/>
        <v>5250</v>
      </c>
      <c r="T2594" s="16">
        <f t="shared" si="247"/>
        <v>0.789233446668959</v>
      </c>
    </row>
    <row r="2595" spans="7:20" ht="14.4" x14ac:dyDescent="0.25">
      <c r="G2595" s="10">
        <v>1609</v>
      </c>
      <c r="H2595" s="9">
        <v>11652</v>
      </c>
      <c r="I2595" s="14">
        <f>DATE(2012,12,31)-417</f>
        <v>40857</v>
      </c>
      <c r="J2595" s="15" t="s">
        <v>28</v>
      </c>
      <c r="K2595" s="9">
        <v>1</v>
      </c>
      <c r="L2595" s="16" t="s">
        <v>27</v>
      </c>
      <c r="M2595" s="16">
        <f t="shared" si="243"/>
        <v>-1.6969185116230123</v>
      </c>
      <c r="N2595">
        <f t="shared" si="244"/>
        <v>0</v>
      </c>
      <c r="O2595">
        <f t="shared" si="245"/>
        <v>0</v>
      </c>
      <c r="P2595">
        <f t="shared" si="242"/>
        <v>3450</v>
      </c>
      <c r="Q2595">
        <f t="shared" si="246"/>
        <v>3450</v>
      </c>
      <c r="T2595" s="16">
        <f t="shared" si="247"/>
        <v>-1.6969185116230128</v>
      </c>
    </row>
    <row r="2596" spans="7:20" ht="14.4" x14ac:dyDescent="0.25">
      <c r="G2596" s="10">
        <v>1610</v>
      </c>
      <c r="H2596" s="9">
        <v>11652</v>
      </c>
      <c r="I2596" s="14">
        <f>DATE(2012,12,31)-417</f>
        <v>40857</v>
      </c>
      <c r="J2596" s="15" t="s">
        <v>28</v>
      </c>
      <c r="K2596" s="9">
        <v>25</v>
      </c>
      <c r="L2596" s="16" t="s">
        <v>26</v>
      </c>
      <c r="M2596" s="16">
        <f t="shared" si="243"/>
        <v>-3.9483872761697868E-2</v>
      </c>
      <c r="N2596">
        <f t="shared" si="244"/>
        <v>0</v>
      </c>
      <c r="O2596">
        <f t="shared" si="245"/>
        <v>0</v>
      </c>
      <c r="P2596">
        <f t="shared" si="242"/>
        <v>4650</v>
      </c>
      <c r="Q2596">
        <f t="shared" si="246"/>
        <v>4650</v>
      </c>
      <c r="T2596" s="16">
        <f t="shared" si="247"/>
        <v>-3.9483872761698249E-2</v>
      </c>
    </row>
    <row r="2597" spans="7:20" ht="14.4" x14ac:dyDescent="0.25">
      <c r="G2597" s="10">
        <v>1615</v>
      </c>
      <c r="H2597" s="9">
        <v>11686</v>
      </c>
      <c r="I2597" s="14">
        <f>DATE(2012,12,31)-1434</f>
        <v>39840</v>
      </c>
      <c r="J2597" s="15" t="s">
        <v>28</v>
      </c>
      <c r="K2597" s="9">
        <v>38</v>
      </c>
      <c r="L2597" s="16" t="s">
        <v>27</v>
      </c>
      <c r="M2597" s="16">
        <f t="shared" si="243"/>
        <v>0.85829322328818081</v>
      </c>
      <c r="N2597">
        <f t="shared" si="244"/>
        <v>0</v>
      </c>
      <c r="O2597">
        <f t="shared" si="245"/>
        <v>0</v>
      </c>
      <c r="P2597">
        <f t="shared" si="242"/>
        <v>5300</v>
      </c>
      <c r="Q2597">
        <f t="shared" si="246"/>
        <v>5300</v>
      </c>
      <c r="T2597" s="16">
        <f t="shared" si="247"/>
        <v>0.85829322328818036</v>
      </c>
    </row>
    <row r="2598" spans="7:20" ht="14.4" x14ac:dyDescent="0.25">
      <c r="G2598" s="10">
        <v>1940</v>
      </c>
      <c r="H2598" s="9">
        <v>13895</v>
      </c>
      <c r="I2598" s="14">
        <f>DATE(2012,12,31)-772</f>
        <v>40502</v>
      </c>
      <c r="J2598" s="15" t="s">
        <v>17</v>
      </c>
      <c r="K2598" s="9">
        <v>44</v>
      </c>
      <c r="L2598" s="16" t="s">
        <v>26</v>
      </c>
      <c r="M2598" s="16">
        <f t="shared" si="243"/>
        <v>1.2726518830035094</v>
      </c>
      <c r="N2598">
        <f t="shared" si="244"/>
        <v>0</v>
      </c>
      <c r="O2598">
        <f t="shared" si="245"/>
        <v>0</v>
      </c>
      <c r="P2598">
        <f t="shared" si="242"/>
        <v>5600</v>
      </c>
      <c r="Q2598">
        <f t="shared" si="246"/>
        <v>5600</v>
      </c>
      <c r="T2598" s="16">
        <f t="shared" si="247"/>
        <v>1.272651883003509</v>
      </c>
    </row>
    <row r="2599" spans="7:20" ht="14.4" x14ac:dyDescent="0.25">
      <c r="G2599" s="10">
        <v>2072</v>
      </c>
      <c r="H2599" s="9">
        <v>14820</v>
      </c>
      <c r="I2599" s="14">
        <f>DATE(2012,12,31)-357</f>
        <v>40917</v>
      </c>
      <c r="J2599" s="15" t="s">
        <v>17</v>
      </c>
      <c r="K2599" s="9">
        <v>39</v>
      </c>
      <c r="L2599" s="16" t="s">
        <v>27</v>
      </c>
      <c r="M2599" s="16">
        <f t="shared" si="243"/>
        <v>0.92735299990740228</v>
      </c>
      <c r="N2599">
        <f t="shared" si="244"/>
        <v>0</v>
      </c>
      <c r="O2599">
        <f t="shared" si="245"/>
        <v>0</v>
      </c>
      <c r="P2599">
        <f t="shared" si="242"/>
        <v>5350</v>
      </c>
      <c r="Q2599">
        <f t="shared" si="246"/>
        <v>5350</v>
      </c>
      <c r="T2599" s="16">
        <f t="shared" si="247"/>
        <v>0.92735299990740183</v>
      </c>
    </row>
    <row r="2600" spans="7:20" ht="14.4" x14ac:dyDescent="0.25">
      <c r="G2600" s="10">
        <v>2127</v>
      </c>
      <c r="H2600" s="9">
        <v>15170</v>
      </c>
      <c r="I2600" s="14">
        <f>DATE(2012,12,31)-1384</f>
        <v>39890</v>
      </c>
      <c r="J2600" s="15" t="s">
        <v>30</v>
      </c>
      <c r="K2600" s="9">
        <v>19</v>
      </c>
      <c r="L2600" s="16" t="s">
        <v>27</v>
      </c>
      <c r="M2600" s="16">
        <f t="shared" si="243"/>
        <v>-0.45384253247702649</v>
      </c>
      <c r="N2600">
        <f t="shared" si="244"/>
        <v>0</v>
      </c>
      <c r="O2600">
        <f t="shared" si="245"/>
        <v>0</v>
      </c>
      <c r="P2600">
        <f t="shared" si="242"/>
        <v>4350</v>
      </c>
      <c r="Q2600">
        <f t="shared" si="246"/>
        <v>4350</v>
      </c>
      <c r="T2600" s="16">
        <f t="shared" si="247"/>
        <v>-0.45384253247702688</v>
      </c>
    </row>
    <row r="2601" spans="7:20" ht="14.4" x14ac:dyDescent="0.25">
      <c r="G2601" s="10">
        <v>2190</v>
      </c>
      <c r="H2601" s="9">
        <v>15780</v>
      </c>
      <c r="I2601" s="14">
        <f>DATE(2012,12,31)-628</f>
        <v>40646</v>
      </c>
      <c r="J2601" s="15" t="s">
        <v>30</v>
      </c>
      <c r="K2601" s="9">
        <v>19</v>
      </c>
      <c r="L2601" s="16" t="s">
        <v>26</v>
      </c>
      <c r="M2601" s="16">
        <f t="shared" si="243"/>
        <v>-0.45384253247702649</v>
      </c>
      <c r="N2601">
        <f t="shared" si="244"/>
        <v>0</v>
      </c>
      <c r="O2601">
        <f t="shared" si="245"/>
        <v>0</v>
      </c>
      <c r="P2601">
        <f t="shared" si="242"/>
        <v>4350</v>
      </c>
      <c r="Q2601">
        <f t="shared" si="246"/>
        <v>4350</v>
      </c>
      <c r="T2601" s="16">
        <f t="shared" si="247"/>
        <v>-0.45384253247702688</v>
      </c>
    </row>
    <row r="2602" spans="7:20" ht="14.4" x14ac:dyDescent="0.25">
      <c r="G2602" s="10">
        <v>2225</v>
      </c>
      <c r="H2602" s="9">
        <v>16098</v>
      </c>
      <c r="I2602" s="14">
        <f>DATE(2012,12,31)-163</f>
        <v>41111</v>
      </c>
      <c r="J2602" s="15" t="s">
        <v>25</v>
      </c>
      <c r="K2602" s="9">
        <v>31</v>
      </c>
      <c r="L2602" s="16" t="s">
        <v>29</v>
      </c>
      <c r="M2602" s="16">
        <f t="shared" si="243"/>
        <v>0.37487478695363075</v>
      </c>
      <c r="N2602">
        <f t="shared" si="244"/>
        <v>0</v>
      </c>
      <c r="O2602">
        <f t="shared" si="245"/>
        <v>0</v>
      </c>
      <c r="P2602">
        <f t="shared" si="242"/>
        <v>4950</v>
      </c>
      <c r="Q2602">
        <f t="shared" si="246"/>
        <v>4950</v>
      </c>
      <c r="T2602" s="16">
        <f t="shared" si="247"/>
        <v>0.37487478695363036</v>
      </c>
    </row>
    <row r="2603" spans="7:20" ht="14.4" x14ac:dyDescent="0.25">
      <c r="G2603" s="10">
        <v>2229</v>
      </c>
      <c r="H2603" s="9">
        <v>16103</v>
      </c>
      <c r="I2603" s="14">
        <f>DATE(2012,12,31)-169</f>
        <v>41105</v>
      </c>
      <c r="J2603" s="15" t="s">
        <v>28</v>
      </c>
      <c r="K2603" s="9">
        <v>31</v>
      </c>
      <c r="L2603" s="16" t="s">
        <v>26</v>
      </c>
      <c r="M2603" s="16">
        <f t="shared" si="243"/>
        <v>0.37487478695363075</v>
      </c>
      <c r="N2603">
        <f t="shared" si="244"/>
        <v>0</v>
      </c>
      <c r="O2603">
        <f t="shared" si="245"/>
        <v>0</v>
      </c>
      <c r="P2603">
        <f t="shared" si="242"/>
        <v>4950</v>
      </c>
      <c r="Q2603">
        <f t="shared" si="246"/>
        <v>4950</v>
      </c>
      <c r="T2603" s="16">
        <f t="shared" si="247"/>
        <v>0.37487478695363036</v>
      </c>
    </row>
    <row r="2604" spans="7:20" ht="14.4" x14ac:dyDescent="0.25">
      <c r="G2604" s="10">
        <v>2303</v>
      </c>
      <c r="H2604" s="9">
        <v>16610</v>
      </c>
      <c r="I2604" s="14">
        <f>DATE(2012,12,31)-1178</f>
        <v>40096</v>
      </c>
      <c r="J2604" s="15" t="s">
        <v>17</v>
      </c>
      <c r="K2604" s="9">
        <v>19</v>
      </c>
      <c r="L2604" s="16" t="s">
        <v>26</v>
      </c>
      <c r="M2604" s="16">
        <f t="shared" si="243"/>
        <v>-0.45384253247702649</v>
      </c>
      <c r="N2604">
        <f t="shared" si="244"/>
        <v>0</v>
      </c>
      <c r="O2604">
        <f t="shared" si="245"/>
        <v>0</v>
      </c>
      <c r="P2604">
        <f t="shared" si="242"/>
        <v>4350</v>
      </c>
      <c r="Q2604">
        <f t="shared" si="246"/>
        <v>4350</v>
      </c>
      <c r="T2604" s="16">
        <f t="shared" si="247"/>
        <v>-0.45384253247702688</v>
      </c>
    </row>
    <row r="2605" spans="7:20" ht="14.4" x14ac:dyDescent="0.25">
      <c r="G2605" s="10">
        <v>2596</v>
      </c>
      <c r="H2605" s="9">
        <v>18757</v>
      </c>
      <c r="I2605" s="14">
        <f>DATE(2012,12,31)-223</f>
        <v>41051</v>
      </c>
      <c r="J2605" s="15" t="s">
        <v>25</v>
      </c>
      <c r="K2605" s="9">
        <v>9</v>
      </c>
      <c r="L2605" s="16" t="s">
        <v>26</v>
      </c>
      <c r="M2605" s="16">
        <f t="shared" si="243"/>
        <v>-1.1444402986692408</v>
      </c>
      <c r="N2605">
        <f t="shared" si="244"/>
        <v>0</v>
      </c>
      <c r="O2605">
        <f t="shared" si="245"/>
        <v>0</v>
      </c>
      <c r="P2605">
        <f t="shared" si="242"/>
        <v>3850</v>
      </c>
      <c r="Q2605">
        <f t="shared" si="246"/>
        <v>3850</v>
      </c>
      <c r="T2605" s="16">
        <f t="shared" si="247"/>
        <v>-1.1444402986692412</v>
      </c>
    </row>
    <row r="2606" spans="7:20" ht="14.4" x14ac:dyDescent="0.25">
      <c r="G2606" s="10">
        <v>2597</v>
      </c>
      <c r="H2606" s="9">
        <v>18757</v>
      </c>
      <c r="I2606" s="14">
        <f>DATE(2012,12,31)-223</f>
        <v>41051</v>
      </c>
      <c r="J2606" s="15" t="s">
        <v>25</v>
      </c>
      <c r="K2606" s="9">
        <v>5</v>
      </c>
      <c r="L2606" s="16" t="s">
        <v>26</v>
      </c>
      <c r="M2606" s="16">
        <f t="shared" si="243"/>
        <v>-1.4206794051461267</v>
      </c>
      <c r="N2606">
        <f t="shared" si="244"/>
        <v>0</v>
      </c>
      <c r="O2606">
        <f t="shared" si="245"/>
        <v>0</v>
      </c>
      <c r="P2606">
        <f t="shared" si="242"/>
        <v>3650</v>
      </c>
      <c r="Q2606">
        <f t="shared" si="246"/>
        <v>3650</v>
      </c>
      <c r="T2606" s="16">
        <f t="shared" si="247"/>
        <v>-1.4206794051461269</v>
      </c>
    </row>
    <row r="2607" spans="7:20" ht="14.4" x14ac:dyDescent="0.25">
      <c r="G2607" s="10">
        <v>2687</v>
      </c>
      <c r="H2607" s="9">
        <v>19431</v>
      </c>
      <c r="I2607" s="14">
        <f>DATE(2012,12,31)-1318</f>
        <v>39956</v>
      </c>
      <c r="J2607" s="15" t="s">
        <v>28</v>
      </c>
      <c r="K2607" s="9">
        <v>4</v>
      </c>
      <c r="L2607" s="16" t="s">
        <v>26</v>
      </c>
      <c r="M2607" s="16">
        <f t="shared" si="243"/>
        <v>-1.489739181765348</v>
      </c>
      <c r="N2607">
        <f t="shared" si="244"/>
        <v>0</v>
      </c>
      <c r="O2607">
        <f t="shared" si="245"/>
        <v>0</v>
      </c>
      <c r="P2607">
        <f t="shared" si="242"/>
        <v>3600</v>
      </c>
      <c r="Q2607">
        <f t="shared" si="246"/>
        <v>3600</v>
      </c>
      <c r="T2607" s="16">
        <f t="shared" si="247"/>
        <v>-1.4897391817653485</v>
      </c>
    </row>
    <row r="2608" spans="7:20" ht="14.4" x14ac:dyDescent="0.25">
      <c r="G2608" s="10">
        <v>2712</v>
      </c>
      <c r="H2608" s="9">
        <v>19584</v>
      </c>
      <c r="I2608" s="14">
        <f>DATE(2012,12,31)-1355</f>
        <v>39919</v>
      </c>
      <c r="J2608" s="15" t="s">
        <v>30</v>
      </c>
      <c r="K2608" s="9">
        <v>6</v>
      </c>
      <c r="L2608" s="16" t="s">
        <v>27</v>
      </c>
      <c r="M2608" s="16">
        <f t="shared" si="243"/>
        <v>-1.3516196285269051</v>
      </c>
      <c r="N2608">
        <f t="shared" si="244"/>
        <v>0</v>
      </c>
      <c r="O2608">
        <f t="shared" si="245"/>
        <v>0</v>
      </c>
      <c r="P2608">
        <f t="shared" si="242"/>
        <v>3700</v>
      </c>
      <c r="Q2608">
        <f t="shared" si="246"/>
        <v>3700</v>
      </c>
      <c r="T2608" s="16">
        <f t="shared" si="247"/>
        <v>-1.3516196285269055</v>
      </c>
    </row>
    <row r="2609" spans="7:20" ht="14.4" x14ac:dyDescent="0.25">
      <c r="G2609" s="10">
        <v>2810</v>
      </c>
      <c r="H2609" s="9">
        <v>20262</v>
      </c>
      <c r="I2609" s="14">
        <f>DATE(2012,12,31)-1101</f>
        <v>40173</v>
      </c>
      <c r="J2609" s="15" t="s">
        <v>28</v>
      </c>
      <c r="K2609" s="9">
        <v>27</v>
      </c>
      <c r="L2609" s="16" t="s">
        <v>29</v>
      </c>
      <c r="M2609" s="16">
        <f t="shared" si="243"/>
        <v>9.8635680476745008E-2</v>
      </c>
      <c r="N2609">
        <f t="shared" si="244"/>
        <v>0</v>
      </c>
      <c r="O2609">
        <f t="shared" si="245"/>
        <v>0</v>
      </c>
      <c r="P2609">
        <f t="shared" si="242"/>
        <v>4750</v>
      </c>
      <c r="Q2609">
        <f t="shared" si="246"/>
        <v>4750</v>
      </c>
      <c r="T2609" s="16">
        <f t="shared" si="247"/>
        <v>9.8635680476744619E-2</v>
      </c>
    </row>
    <row r="2610" spans="7:20" ht="14.4" x14ac:dyDescent="0.25">
      <c r="G2610" s="10">
        <v>2852</v>
      </c>
      <c r="H2610" s="9">
        <v>20545</v>
      </c>
      <c r="I2610" s="14">
        <f>DATE(2012,12,31)-814</f>
        <v>40460</v>
      </c>
      <c r="J2610" s="15" t="s">
        <v>28</v>
      </c>
      <c r="K2610" s="9">
        <v>1</v>
      </c>
      <c r="L2610" s="16" t="s">
        <v>29</v>
      </c>
      <c r="M2610" s="16">
        <f t="shared" si="243"/>
        <v>-1.6969185116230123</v>
      </c>
      <c r="N2610">
        <f t="shared" si="244"/>
        <v>0</v>
      </c>
      <c r="O2610">
        <f t="shared" si="245"/>
        <v>0</v>
      </c>
      <c r="P2610">
        <f t="shared" si="242"/>
        <v>3450</v>
      </c>
      <c r="Q2610">
        <f t="shared" si="246"/>
        <v>3450</v>
      </c>
      <c r="T2610" s="16">
        <f t="shared" si="247"/>
        <v>-1.6969185116230128</v>
      </c>
    </row>
    <row r="2611" spans="7:20" ht="14.4" x14ac:dyDescent="0.25">
      <c r="G2611" s="10">
        <v>2853</v>
      </c>
      <c r="H2611" s="9">
        <v>20545</v>
      </c>
      <c r="I2611" s="14">
        <f>DATE(2012,12,31)-814</f>
        <v>40460</v>
      </c>
      <c r="J2611" s="15" t="s">
        <v>28</v>
      </c>
      <c r="K2611" s="9">
        <v>31</v>
      </c>
      <c r="L2611" s="16" t="s">
        <v>26</v>
      </c>
      <c r="M2611" s="16">
        <f t="shared" si="243"/>
        <v>0.37487478695363075</v>
      </c>
      <c r="N2611">
        <f t="shared" si="244"/>
        <v>0</v>
      </c>
      <c r="O2611">
        <f t="shared" si="245"/>
        <v>0</v>
      </c>
      <c r="P2611">
        <f t="shared" si="242"/>
        <v>4950</v>
      </c>
      <c r="Q2611">
        <f t="shared" si="246"/>
        <v>4950</v>
      </c>
      <c r="T2611" s="16">
        <f t="shared" si="247"/>
        <v>0.37487478695363036</v>
      </c>
    </row>
    <row r="2612" spans="7:20" ht="14.4" x14ac:dyDescent="0.25">
      <c r="G2612" s="10">
        <v>2854</v>
      </c>
      <c r="H2612" s="9">
        <v>20545</v>
      </c>
      <c r="I2612" s="14">
        <f>DATE(2012,12,31)-814</f>
        <v>40460</v>
      </c>
      <c r="J2612" s="15" t="s">
        <v>28</v>
      </c>
      <c r="K2612" s="9">
        <v>40</v>
      </c>
      <c r="L2612" s="16" t="s">
        <v>29</v>
      </c>
      <c r="M2612" s="16">
        <f t="shared" si="243"/>
        <v>0.99641277652662363</v>
      </c>
      <c r="N2612">
        <f t="shared" si="244"/>
        <v>0</v>
      </c>
      <c r="O2612">
        <f t="shared" si="245"/>
        <v>0</v>
      </c>
      <c r="P2612">
        <f t="shared" si="242"/>
        <v>5400</v>
      </c>
      <c r="Q2612">
        <f t="shared" si="246"/>
        <v>5400</v>
      </c>
      <c r="T2612" s="16">
        <f t="shared" si="247"/>
        <v>0.9964127765266233</v>
      </c>
    </row>
    <row r="2613" spans="7:20" ht="14.4" x14ac:dyDescent="0.25">
      <c r="G2613" s="10">
        <v>2856</v>
      </c>
      <c r="H2613" s="9">
        <v>20577</v>
      </c>
      <c r="I2613" s="14">
        <f>DATE(2012,12,31)-1056</f>
        <v>40218</v>
      </c>
      <c r="J2613" s="15" t="s">
        <v>30</v>
      </c>
      <c r="K2613" s="9">
        <v>15</v>
      </c>
      <c r="L2613" s="16" t="s">
        <v>26</v>
      </c>
      <c r="M2613" s="16">
        <f t="shared" si="243"/>
        <v>-0.7300816389539122</v>
      </c>
      <c r="N2613">
        <f t="shared" si="244"/>
        <v>0</v>
      </c>
      <c r="O2613">
        <f t="shared" si="245"/>
        <v>0</v>
      </c>
      <c r="P2613">
        <f t="shared" si="242"/>
        <v>4150</v>
      </c>
      <c r="Q2613">
        <f t="shared" si="246"/>
        <v>4150</v>
      </c>
      <c r="T2613" s="16">
        <f t="shared" si="247"/>
        <v>-0.73008163895391265</v>
      </c>
    </row>
    <row r="2614" spans="7:20" ht="14.4" x14ac:dyDescent="0.25">
      <c r="G2614" s="10">
        <v>2881</v>
      </c>
      <c r="H2614" s="9">
        <v>20804</v>
      </c>
      <c r="I2614" s="14">
        <f>DATE(2012,12,31)-401</f>
        <v>40873</v>
      </c>
      <c r="J2614" s="15" t="s">
        <v>25</v>
      </c>
      <c r="K2614" s="9">
        <v>13</v>
      </c>
      <c r="L2614" s="16" t="s">
        <v>27</v>
      </c>
      <c r="M2614" s="16">
        <f t="shared" si="243"/>
        <v>-0.86820119219235514</v>
      </c>
      <c r="N2614">
        <f t="shared" si="244"/>
        <v>0</v>
      </c>
      <c r="O2614">
        <f t="shared" si="245"/>
        <v>0</v>
      </c>
      <c r="P2614">
        <f t="shared" si="242"/>
        <v>4050</v>
      </c>
      <c r="Q2614">
        <f t="shared" si="246"/>
        <v>4050</v>
      </c>
      <c r="T2614" s="16">
        <f t="shared" si="247"/>
        <v>-0.86820119219235548</v>
      </c>
    </row>
    <row r="2615" spans="7:20" ht="14.4" x14ac:dyDescent="0.25">
      <c r="G2615" s="10">
        <v>2960</v>
      </c>
      <c r="H2615" s="9">
        <v>21414</v>
      </c>
      <c r="I2615" s="14">
        <f>DATE(2012,12,31)-607</f>
        <v>40667</v>
      </c>
      <c r="J2615" s="15" t="s">
        <v>30</v>
      </c>
      <c r="K2615" s="9">
        <v>34</v>
      </c>
      <c r="L2615" s="16" t="s">
        <v>26</v>
      </c>
      <c r="M2615" s="16">
        <f t="shared" si="243"/>
        <v>0.58205411681129504</v>
      </c>
      <c r="N2615">
        <f t="shared" si="244"/>
        <v>0</v>
      </c>
      <c r="O2615">
        <f t="shared" si="245"/>
        <v>0</v>
      </c>
      <c r="P2615">
        <f t="shared" si="242"/>
        <v>5100</v>
      </c>
      <c r="Q2615">
        <f t="shared" si="246"/>
        <v>5100</v>
      </c>
      <c r="T2615" s="16">
        <f t="shared" si="247"/>
        <v>0.58205411681129471</v>
      </c>
    </row>
    <row r="2616" spans="7:20" ht="14.4" x14ac:dyDescent="0.25">
      <c r="G2616" s="10">
        <v>2961</v>
      </c>
      <c r="H2616" s="9">
        <v>21414</v>
      </c>
      <c r="I2616" s="14">
        <f>DATE(2012,12,31)-607</f>
        <v>40667</v>
      </c>
      <c r="J2616" s="15" t="s">
        <v>30</v>
      </c>
      <c r="K2616" s="9">
        <v>46</v>
      </c>
      <c r="L2616" s="16" t="s">
        <v>26</v>
      </c>
      <c r="M2616" s="16">
        <f t="shared" si="243"/>
        <v>1.4107714362419523</v>
      </c>
      <c r="N2616">
        <f t="shared" si="244"/>
        <v>0</v>
      </c>
      <c r="O2616">
        <f t="shared" si="245"/>
        <v>0</v>
      </c>
      <c r="P2616">
        <f t="shared" si="242"/>
        <v>5700</v>
      </c>
      <c r="Q2616">
        <f t="shared" si="246"/>
        <v>5700</v>
      </c>
      <c r="T2616" s="16">
        <f t="shared" si="247"/>
        <v>1.4107714362419519</v>
      </c>
    </row>
    <row r="2617" spans="7:20" ht="14.4" x14ac:dyDescent="0.25">
      <c r="G2617" s="10">
        <v>2962</v>
      </c>
      <c r="H2617" s="9">
        <v>21414</v>
      </c>
      <c r="I2617" s="14">
        <f>DATE(2012,12,31)-607</f>
        <v>40667</v>
      </c>
      <c r="J2617" s="15" t="s">
        <v>30</v>
      </c>
      <c r="K2617" s="9">
        <v>33</v>
      </c>
      <c r="L2617" s="16" t="s">
        <v>27</v>
      </c>
      <c r="M2617" s="16">
        <f t="shared" si="243"/>
        <v>0.51299434019207357</v>
      </c>
      <c r="N2617">
        <f t="shared" si="244"/>
        <v>0</v>
      </c>
      <c r="O2617">
        <f t="shared" si="245"/>
        <v>0</v>
      </c>
      <c r="P2617">
        <f t="shared" si="242"/>
        <v>5050</v>
      </c>
      <c r="Q2617">
        <f t="shared" si="246"/>
        <v>5050</v>
      </c>
      <c r="T2617" s="16">
        <f t="shared" si="247"/>
        <v>0.51299434019207324</v>
      </c>
    </row>
    <row r="2618" spans="7:20" ht="14.4" x14ac:dyDescent="0.25">
      <c r="G2618" s="10">
        <v>2969</v>
      </c>
      <c r="H2618" s="9">
        <v>21447</v>
      </c>
      <c r="I2618" s="14">
        <f>DATE(2012,12,31)-942</f>
        <v>40332</v>
      </c>
      <c r="J2618" s="15" t="s">
        <v>28</v>
      </c>
      <c r="K2618" s="9">
        <v>15</v>
      </c>
      <c r="L2618" s="16" t="s">
        <v>26</v>
      </c>
      <c r="M2618" s="16">
        <f t="shared" si="243"/>
        <v>-0.7300816389539122</v>
      </c>
      <c r="N2618">
        <f t="shared" si="244"/>
        <v>0</v>
      </c>
      <c r="O2618">
        <f t="shared" si="245"/>
        <v>0</v>
      </c>
      <c r="P2618">
        <f t="shared" si="242"/>
        <v>4150</v>
      </c>
      <c r="Q2618">
        <f t="shared" si="246"/>
        <v>4150</v>
      </c>
      <c r="T2618" s="16">
        <f t="shared" si="247"/>
        <v>-0.73008163895391265</v>
      </c>
    </row>
    <row r="2619" spans="7:20" ht="14.4" x14ac:dyDescent="0.25">
      <c r="G2619" s="10">
        <v>2976</v>
      </c>
      <c r="H2619" s="9">
        <v>21479</v>
      </c>
      <c r="I2619" s="14">
        <f>DATE(2012,12,31)-1221</f>
        <v>40053</v>
      </c>
      <c r="J2619" s="15" t="s">
        <v>16</v>
      </c>
      <c r="K2619" s="9">
        <v>41</v>
      </c>
      <c r="L2619" s="16" t="s">
        <v>26</v>
      </c>
      <c r="M2619" s="16">
        <f t="shared" si="243"/>
        <v>1.0654725531458451</v>
      </c>
      <c r="N2619">
        <f t="shared" si="244"/>
        <v>0</v>
      </c>
      <c r="O2619">
        <f t="shared" si="245"/>
        <v>0</v>
      </c>
      <c r="P2619">
        <f t="shared" si="242"/>
        <v>5450</v>
      </c>
      <c r="Q2619">
        <f t="shared" si="246"/>
        <v>5450</v>
      </c>
      <c r="T2619" s="16">
        <f t="shared" si="247"/>
        <v>1.0654725531458447</v>
      </c>
    </row>
    <row r="2620" spans="7:20" ht="14.4" x14ac:dyDescent="0.25">
      <c r="G2620" s="10">
        <v>3096</v>
      </c>
      <c r="H2620" s="9">
        <v>22208</v>
      </c>
      <c r="I2620" s="14">
        <f>DATE(2012,12,31)-1175</f>
        <v>40099</v>
      </c>
      <c r="J2620" s="15" t="s">
        <v>17</v>
      </c>
      <c r="K2620" s="9">
        <v>37</v>
      </c>
      <c r="L2620" s="16" t="s">
        <v>27</v>
      </c>
      <c r="M2620" s="16">
        <f t="shared" si="243"/>
        <v>0.78923344666895934</v>
      </c>
      <c r="N2620">
        <f t="shared" si="244"/>
        <v>0</v>
      </c>
      <c r="O2620">
        <f t="shared" si="245"/>
        <v>0</v>
      </c>
      <c r="P2620">
        <f t="shared" si="242"/>
        <v>5250</v>
      </c>
      <c r="Q2620">
        <f t="shared" si="246"/>
        <v>5250</v>
      </c>
      <c r="T2620" s="16">
        <f t="shared" si="247"/>
        <v>0.789233446668959</v>
      </c>
    </row>
    <row r="2621" spans="7:20" ht="14.4" x14ac:dyDescent="0.25">
      <c r="G2621" s="10">
        <v>3097</v>
      </c>
      <c r="H2621" s="9">
        <v>22208</v>
      </c>
      <c r="I2621" s="14">
        <f>DATE(2012,12,31)-1175</f>
        <v>40099</v>
      </c>
      <c r="J2621" s="15" t="s">
        <v>17</v>
      </c>
      <c r="K2621" s="9">
        <v>50</v>
      </c>
      <c r="L2621" s="16" t="s">
        <v>27</v>
      </c>
      <c r="M2621" s="16">
        <f t="shared" si="243"/>
        <v>1.687010542718838</v>
      </c>
      <c r="N2621">
        <f t="shared" si="244"/>
        <v>0</v>
      </c>
      <c r="O2621">
        <f t="shared" si="245"/>
        <v>0</v>
      </c>
      <c r="P2621">
        <f t="shared" si="242"/>
        <v>5900</v>
      </c>
      <c r="Q2621">
        <f t="shared" si="246"/>
        <v>5900</v>
      </c>
      <c r="T2621" s="16">
        <f t="shared" si="247"/>
        <v>1.6870105427188375</v>
      </c>
    </row>
    <row r="2622" spans="7:20" ht="14.4" x14ac:dyDescent="0.25">
      <c r="G2622" s="10">
        <v>3106</v>
      </c>
      <c r="H2622" s="9">
        <v>22279</v>
      </c>
      <c r="I2622" s="14">
        <f>DATE(2012,12,31)-1105</f>
        <v>40169</v>
      </c>
      <c r="J2622" s="15" t="s">
        <v>28</v>
      </c>
      <c r="K2622" s="9">
        <v>43</v>
      </c>
      <c r="L2622" s="16" t="s">
        <v>26</v>
      </c>
      <c r="M2622" s="16">
        <f t="shared" si="243"/>
        <v>1.203592106384288</v>
      </c>
      <c r="N2622">
        <f t="shared" si="244"/>
        <v>0</v>
      </c>
      <c r="O2622">
        <f t="shared" si="245"/>
        <v>0</v>
      </c>
      <c r="P2622">
        <f t="shared" si="242"/>
        <v>5550</v>
      </c>
      <c r="Q2622">
        <f t="shared" si="246"/>
        <v>5550</v>
      </c>
      <c r="T2622" s="16">
        <f t="shared" si="247"/>
        <v>1.2035921063842876</v>
      </c>
    </row>
    <row r="2623" spans="7:20" ht="14.4" x14ac:dyDescent="0.25">
      <c r="G2623" s="10">
        <v>3231</v>
      </c>
      <c r="H2623" s="9">
        <v>23174</v>
      </c>
      <c r="I2623" s="14">
        <f>DATE(2012,12,31)-158</f>
        <v>41116</v>
      </c>
      <c r="J2623" s="15" t="s">
        <v>25</v>
      </c>
      <c r="K2623" s="9">
        <v>16</v>
      </c>
      <c r="L2623" s="16" t="s">
        <v>29</v>
      </c>
      <c r="M2623" s="16">
        <f t="shared" si="243"/>
        <v>-0.66102186233469074</v>
      </c>
      <c r="N2623">
        <f t="shared" si="244"/>
        <v>0</v>
      </c>
      <c r="O2623">
        <f t="shared" si="245"/>
        <v>0</v>
      </c>
      <c r="P2623">
        <f t="shared" si="242"/>
        <v>4200</v>
      </c>
      <c r="Q2623">
        <f t="shared" si="246"/>
        <v>4200</v>
      </c>
      <c r="T2623" s="16">
        <f t="shared" si="247"/>
        <v>-0.66102186233469118</v>
      </c>
    </row>
    <row r="2624" spans="7:20" ht="14.4" x14ac:dyDescent="0.25">
      <c r="G2624" s="10">
        <v>3232</v>
      </c>
      <c r="H2624" s="9">
        <v>23174</v>
      </c>
      <c r="I2624" s="14">
        <f>DATE(2012,12,31)-158</f>
        <v>41116</v>
      </c>
      <c r="J2624" s="15" t="s">
        <v>25</v>
      </c>
      <c r="K2624" s="9">
        <v>8</v>
      </c>
      <c r="L2624" s="16" t="s">
        <v>26</v>
      </c>
      <c r="M2624" s="16">
        <f t="shared" si="243"/>
        <v>-1.2135000752884624</v>
      </c>
      <c r="N2624">
        <f t="shared" si="244"/>
        <v>0</v>
      </c>
      <c r="O2624">
        <f t="shared" si="245"/>
        <v>0</v>
      </c>
      <c r="P2624">
        <f t="shared" si="242"/>
        <v>3800</v>
      </c>
      <c r="Q2624">
        <f t="shared" si="246"/>
        <v>3800</v>
      </c>
      <c r="T2624" s="16">
        <f t="shared" si="247"/>
        <v>-1.2135000752884626</v>
      </c>
    </row>
    <row r="2625" spans="7:20" ht="14.4" x14ac:dyDescent="0.25">
      <c r="G2625" s="10">
        <v>3259</v>
      </c>
      <c r="H2625" s="9">
        <v>23333</v>
      </c>
      <c r="I2625" s="14">
        <f>DATE(2012,12,31)-1244</f>
        <v>40030</v>
      </c>
      <c r="J2625" s="15" t="s">
        <v>16</v>
      </c>
      <c r="K2625" s="9">
        <v>44</v>
      </c>
      <c r="L2625" s="16" t="s">
        <v>26</v>
      </c>
      <c r="M2625" s="16">
        <f t="shared" si="243"/>
        <v>1.2726518830035094</v>
      </c>
      <c r="N2625">
        <f t="shared" si="244"/>
        <v>0</v>
      </c>
      <c r="O2625">
        <f t="shared" si="245"/>
        <v>0</v>
      </c>
      <c r="P2625">
        <f t="shared" si="242"/>
        <v>5600</v>
      </c>
      <c r="Q2625">
        <f t="shared" si="246"/>
        <v>5600</v>
      </c>
      <c r="T2625" s="16">
        <f t="shared" si="247"/>
        <v>1.272651883003509</v>
      </c>
    </row>
    <row r="2626" spans="7:20" ht="14.4" x14ac:dyDescent="0.25">
      <c r="G2626" s="10">
        <v>3260</v>
      </c>
      <c r="H2626" s="9">
        <v>23333</v>
      </c>
      <c r="I2626" s="14">
        <f>DATE(2012,12,31)-1244</f>
        <v>40030</v>
      </c>
      <c r="J2626" s="15" t="s">
        <v>16</v>
      </c>
      <c r="K2626" s="9">
        <v>32</v>
      </c>
      <c r="L2626" s="16" t="s">
        <v>26</v>
      </c>
      <c r="M2626" s="16">
        <f t="shared" si="243"/>
        <v>0.44393456357285216</v>
      </c>
      <c r="N2626">
        <f t="shared" si="244"/>
        <v>0</v>
      </c>
      <c r="O2626">
        <f t="shared" si="245"/>
        <v>0</v>
      </c>
      <c r="P2626">
        <f t="shared" si="242"/>
        <v>5000</v>
      </c>
      <c r="Q2626">
        <f t="shared" si="246"/>
        <v>5000</v>
      </c>
      <c r="T2626" s="16">
        <f t="shared" si="247"/>
        <v>0.44393456357285183</v>
      </c>
    </row>
    <row r="2627" spans="7:20" ht="14.4" x14ac:dyDescent="0.25">
      <c r="G2627" s="10">
        <v>3261</v>
      </c>
      <c r="H2627" s="9">
        <v>23333</v>
      </c>
      <c r="I2627" s="14">
        <f>DATE(2012,12,31)-1244</f>
        <v>40030</v>
      </c>
      <c r="J2627" s="15" t="s">
        <v>16</v>
      </c>
      <c r="K2627" s="9">
        <v>16</v>
      </c>
      <c r="L2627" s="16" t="s">
        <v>27</v>
      </c>
      <c r="M2627" s="16">
        <f t="shared" si="243"/>
        <v>-0.66102186233469074</v>
      </c>
      <c r="N2627">
        <f t="shared" si="244"/>
        <v>0</v>
      </c>
      <c r="O2627">
        <f t="shared" si="245"/>
        <v>0</v>
      </c>
      <c r="P2627">
        <f t="shared" si="242"/>
        <v>4200</v>
      </c>
      <c r="Q2627">
        <f t="shared" si="246"/>
        <v>4200</v>
      </c>
      <c r="T2627" s="16">
        <f t="shared" si="247"/>
        <v>-0.66102186233469118</v>
      </c>
    </row>
    <row r="2628" spans="7:20" ht="14.4" x14ac:dyDescent="0.25">
      <c r="G2628" s="10">
        <v>3456</v>
      </c>
      <c r="H2628" s="9">
        <v>24640</v>
      </c>
      <c r="I2628" s="14">
        <f>DATE(2012,12,31)-702</f>
        <v>40572</v>
      </c>
      <c r="J2628" s="15" t="s">
        <v>16</v>
      </c>
      <c r="K2628" s="9">
        <v>12</v>
      </c>
      <c r="L2628" s="16" t="s">
        <v>29</v>
      </c>
      <c r="M2628" s="16">
        <f t="shared" si="243"/>
        <v>-0.9372609688115765</v>
      </c>
      <c r="N2628">
        <f t="shared" si="244"/>
        <v>0</v>
      </c>
      <c r="O2628">
        <f t="shared" si="245"/>
        <v>0</v>
      </c>
      <c r="P2628">
        <f t="shared" si="242"/>
        <v>4000</v>
      </c>
      <c r="Q2628">
        <f t="shared" si="246"/>
        <v>4000</v>
      </c>
      <c r="T2628" s="16">
        <f t="shared" si="247"/>
        <v>-0.93726096881157694</v>
      </c>
    </row>
    <row r="2629" spans="7:20" ht="14.4" x14ac:dyDescent="0.25">
      <c r="G2629" s="10">
        <v>3516</v>
      </c>
      <c r="H2629" s="9">
        <v>25056</v>
      </c>
      <c r="I2629" s="14">
        <f>DATE(2012,12,31)-832</f>
        <v>40442</v>
      </c>
      <c r="J2629" s="15" t="s">
        <v>28</v>
      </c>
      <c r="K2629" s="9">
        <v>41</v>
      </c>
      <c r="L2629" s="16" t="s">
        <v>26</v>
      </c>
      <c r="M2629" s="16">
        <f t="shared" si="243"/>
        <v>1.0654725531458451</v>
      </c>
      <c r="N2629">
        <f t="shared" si="244"/>
        <v>0</v>
      </c>
      <c r="O2629">
        <f t="shared" si="245"/>
        <v>0</v>
      </c>
      <c r="P2629">
        <f t="shared" si="242"/>
        <v>5450</v>
      </c>
      <c r="Q2629">
        <f t="shared" si="246"/>
        <v>5450</v>
      </c>
      <c r="T2629" s="16">
        <f t="shared" si="247"/>
        <v>1.0654725531458447</v>
      </c>
    </row>
    <row r="2630" spans="7:20" ht="14.4" x14ac:dyDescent="0.25">
      <c r="G2630" s="10">
        <v>3665</v>
      </c>
      <c r="H2630" s="9">
        <v>26244</v>
      </c>
      <c r="I2630" s="14">
        <f>DATE(2012,12,31)-881</f>
        <v>40393</v>
      </c>
      <c r="J2630" s="15" t="s">
        <v>17</v>
      </c>
      <c r="K2630" s="9">
        <v>16</v>
      </c>
      <c r="L2630" s="16" t="s">
        <v>27</v>
      </c>
      <c r="M2630" s="16">
        <f t="shared" si="243"/>
        <v>-0.66102186233469074</v>
      </c>
      <c r="N2630">
        <f t="shared" si="244"/>
        <v>0</v>
      </c>
      <c r="O2630">
        <f t="shared" si="245"/>
        <v>0</v>
      </c>
      <c r="P2630">
        <f t="shared" si="242"/>
        <v>4200</v>
      </c>
      <c r="Q2630">
        <f t="shared" si="246"/>
        <v>4200</v>
      </c>
      <c r="T2630" s="16">
        <f t="shared" si="247"/>
        <v>-0.66102186233469118</v>
      </c>
    </row>
    <row r="2631" spans="7:20" ht="14.4" x14ac:dyDescent="0.25">
      <c r="G2631" s="10">
        <v>3816</v>
      </c>
      <c r="H2631" s="9">
        <v>27201</v>
      </c>
      <c r="I2631" s="14">
        <f>DATE(2012,12,31)-159</f>
        <v>41115</v>
      </c>
      <c r="J2631" s="15" t="s">
        <v>17</v>
      </c>
      <c r="K2631" s="9">
        <v>10</v>
      </c>
      <c r="L2631" s="16" t="s">
        <v>29</v>
      </c>
      <c r="M2631" s="16">
        <f t="shared" si="243"/>
        <v>-1.0753805220500194</v>
      </c>
      <c r="N2631">
        <f t="shared" si="244"/>
        <v>0</v>
      </c>
      <c r="O2631">
        <f t="shared" si="245"/>
        <v>0</v>
      </c>
      <c r="P2631">
        <f t="shared" si="242"/>
        <v>3900</v>
      </c>
      <c r="Q2631">
        <f t="shared" si="246"/>
        <v>3900</v>
      </c>
      <c r="T2631" s="16">
        <f t="shared" si="247"/>
        <v>-1.0753805220500199</v>
      </c>
    </row>
    <row r="2632" spans="7:20" ht="14.4" x14ac:dyDescent="0.25">
      <c r="G2632" s="10">
        <v>3817</v>
      </c>
      <c r="H2632" s="9">
        <v>27201</v>
      </c>
      <c r="I2632" s="14">
        <f>DATE(2012,12,31)-159</f>
        <v>41115</v>
      </c>
      <c r="J2632" s="15" t="s">
        <v>17</v>
      </c>
      <c r="K2632" s="9">
        <v>45</v>
      </c>
      <c r="L2632" s="16" t="s">
        <v>29</v>
      </c>
      <c r="M2632" s="16">
        <f t="shared" si="243"/>
        <v>1.3417116596227308</v>
      </c>
      <c r="N2632">
        <f t="shared" si="244"/>
        <v>0</v>
      </c>
      <c r="O2632">
        <f t="shared" si="245"/>
        <v>0</v>
      </c>
      <c r="P2632">
        <f t="shared" si="242"/>
        <v>5650</v>
      </c>
      <c r="Q2632">
        <f t="shared" si="246"/>
        <v>5650</v>
      </c>
      <c r="T2632" s="16">
        <f t="shared" si="247"/>
        <v>1.3417116596227305</v>
      </c>
    </row>
    <row r="2633" spans="7:20" ht="14.4" x14ac:dyDescent="0.25">
      <c r="G2633" s="10">
        <v>3897</v>
      </c>
      <c r="H2633" s="9">
        <v>27808</v>
      </c>
      <c r="I2633" s="14">
        <f>DATE(2012,12,31)-1070</f>
        <v>40204</v>
      </c>
      <c r="J2633" s="15" t="s">
        <v>25</v>
      </c>
      <c r="K2633" s="9">
        <v>9</v>
      </c>
      <c r="L2633" s="16" t="s">
        <v>27</v>
      </c>
      <c r="M2633" s="16">
        <f t="shared" si="243"/>
        <v>-1.1444402986692408</v>
      </c>
      <c r="N2633">
        <f t="shared" si="244"/>
        <v>0</v>
      </c>
      <c r="O2633">
        <f t="shared" si="245"/>
        <v>0</v>
      </c>
      <c r="P2633">
        <f t="shared" si="242"/>
        <v>3850</v>
      </c>
      <c r="Q2633">
        <f t="shared" si="246"/>
        <v>3850</v>
      </c>
      <c r="T2633" s="16">
        <f t="shared" si="247"/>
        <v>-1.1444402986692412</v>
      </c>
    </row>
    <row r="2634" spans="7:20" ht="14.4" x14ac:dyDescent="0.25">
      <c r="G2634" s="10">
        <v>4173</v>
      </c>
      <c r="H2634" s="9">
        <v>29573</v>
      </c>
      <c r="I2634" s="14">
        <f>DATE(2012,12,31)-350</f>
        <v>40924</v>
      </c>
      <c r="J2634" s="15" t="s">
        <v>30</v>
      </c>
      <c r="K2634" s="9">
        <v>43</v>
      </c>
      <c r="L2634" s="16" t="s">
        <v>26</v>
      </c>
      <c r="M2634" s="16">
        <f t="shared" si="243"/>
        <v>1.203592106384288</v>
      </c>
      <c r="N2634">
        <f t="shared" si="244"/>
        <v>0</v>
      </c>
      <c r="O2634">
        <f t="shared" si="245"/>
        <v>0</v>
      </c>
      <c r="P2634">
        <f t="shared" si="242"/>
        <v>5550</v>
      </c>
      <c r="Q2634">
        <f t="shared" si="246"/>
        <v>5550</v>
      </c>
      <c r="T2634" s="16">
        <f t="shared" si="247"/>
        <v>1.2035921063842876</v>
      </c>
    </row>
    <row r="2635" spans="7:20" ht="14.4" x14ac:dyDescent="0.25">
      <c r="G2635" s="10">
        <v>4203</v>
      </c>
      <c r="H2635" s="9">
        <v>29862</v>
      </c>
      <c r="I2635" s="14">
        <f>DATE(2012,12,31)-561</f>
        <v>40713</v>
      </c>
      <c r="J2635" s="15" t="s">
        <v>16</v>
      </c>
      <c r="K2635" s="9">
        <v>34</v>
      </c>
      <c r="L2635" s="16" t="s">
        <v>26</v>
      </c>
      <c r="M2635" s="16">
        <f t="shared" si="243"/>
        <v>0.58205411681129504</v>
      </c>
      <c r="N2635">
        <f t="shared" si="244"/>
        <v>0</v>
      </c>
      <c r="O2635">
        <f t="shared" si="245"/>
        <v>0</v>
      </c>
      <c r="P2635">
        <f t="shared" si="242"/>
        <v>5100</v>
      </c>
      <c r="Q2635">
        <f t="shared" si="246"/>
        <v>5100</v>
      </c>
      <c r="T2635" s="16">
        <f t="shared" si="247"/>
        <v>0.58205411681129471</v>
      </c>
    </row>
    <row r="2636" spans="7:20" ht="14.4" x14ac:dyDescent="0.25">
      <c r="G2636" s="10">
        <v>4276</v>
      </c>
      <c r="H2636" s="9">
        <v>30433</v>
      </c>
      <c r="I2636" s="14">
        <f>DATE(2012,12,31)-936</f>
        <v>40338</v>
      </c>
      <c r="J2636" s="15" t="s">
        <v>16</v>
      </c>
      <c r="K2636" s="9">
        <v>17</v>
      </c>
      <c r="L2636" s="16" t="s">
        <v>26</v>
      </c>
      <c r="M2636" s="16">
        <f t="shared" si="243"/>
        <v>-0.59196208571546938</v>
      </c>
      <c r="N2636">
        <f t="shared" si="244"/>
        <v>0</v>
      </c>
      <c r="O2636">
        <f t="shared" si="245"/>
        <v>0</v>
      </c>
      <c r="P2636">
        <f t="shared" ref="P2636:P2699" si="248">50*K2636+$P$10</f>
        <v>4250</v>
      </c>
      <c r="Q2636">
        <f t="shared" si="246"/>
        <v>4250</v>
      </c>
      <c r="T2636" s="16">
        <f t="shared" si="247"/>
        <v>-0.59196208571546971</v>
      </c>
    </row>
    <row r="2637" spans="7:20" ht="14.4" x14ac:dyDescent="0.25">
      <c r="G2637" s="10">
        <v>4284</v>
      </c>
      <c r="H2637" s="9">
        <v>30532</v>
      </c>
      <c r="I2637" s="14">
        <f>DATE(2012,12,31)-401</f>
        <v>40873</v>
      </c>
      <c r="J2637" s="15" t="s">
        <v>17</v>
      </c>
      <c r="K2637" s="9">
        <v>28</v>
      </c>
      <c r="L2637" s="16" t="s">
        <v>26</v>
      </c>
      <c r="M2637" s="16">
        <f t="shared" ref="M2637:M2700" si="249">(K2637-$K$4)/$K$7</f>
        <v>0.16769545709596645</v>
      </c>
      <c r="N2637">
        <f t="shared" ref="N2637:N2700" si="250">IF(MOD($B$20+G2637,1000)=0,1,0)</f>
        <v>0</v>
      </c>
      <c r="O2637">
        <f t="shared" ref="O2637:O2700" si="251">+ROUND(N2637*(IF(K2637&lt;$K$4,-4.5,10.5)*$P$5),-2)</f>
        <v>0</v>
      </c>
      <c r="P2637">
        <f t="shared" si="248"/>
        <v>4800</v>
      </c>
      <c r="Q2637">
        <f t="shared" ref="Q2637:Q2700" si="252">P2637+O2637</f>
        <v>4800</v>
      </c>
      <c r="T2637" s="16">
        <f t="shared" ref="T2637:T2700" si="253">(Q2637-$P$4)/$P$5</f>
        <v>0.16769545709596606</v>
      </c>
    </row>
    <row r="2638" spans="7:20" ht="14.4" x14ac:dyDescent="0.25">
      <c r="G2638" s="10">
        <v>4285</v>
      </c>
      <c r="H2638" s="9">
        <v>30532</v>
      </c>
      <c r="I2638" s="14">
        <f>DATE(2012,12,31)-401</f>
        <v>40873</v>
      </c>
      <c r="J2638" s="15" t="s">
        <v>17</v>
      </c>
      <c r="K2638" s="9">
        <v>23</v>
      </c>
      <c r="L2638" s="16" t="s">
        <v>26</v>
      </c>
      <c r="M2638" s="16">
        <f t="shared" si="249"/>
        <v>-0.17760342600014073</v>
      </c>
      <c r="N2638">
        <f t="shared" si="250"/>
        <v>0</v>
      </c>
      <c r="O2638">
        <f t="shared" si="251"/>
        <v>0</v>
      </c>
      <c r="P2638">
        <f t="shared" si="248"/>
        <v>4550</v>
      </c>
      <c r="Q2638">
        <f t="shared" si="252"/>
        <v>4550</v>
      </c>
      <c r="T2638" s="16">
        <f t="shared" si="253"/>
        <v>-0.17760342600014112</v>
      </c>
    </row>
    <row r="2639" spans="7:20" ht="14.4" x14ac:dyDescent="0.25">
      <c r="G2639" s="10">
        <v>4286</v>
      </c>
      <c r="H2639" s="9">
        <v>30532</v>
      </c>
      <c r="I2639" s="14">
        <f>DATE(2012,12,31)-401</f>
        <v>40873</v>
      </c>
      <c r="J2639" s="15" t="s">
        <v>17</v>
      </c>
      <c r="K2639" s="9">
        <v>45</v>
      </c>
      <c r="L2639" s="16" t="s">
        <v>26</v>
      </c>
      <c r="M2639" s="16">
        <f t="shared" si="249"/>
        <v>1.3417116596227308</v>
      </c>
      <c r="N2639">
        <f t="shared" si="250"/>
        <v>0</v>
      </c>
      <c r="O2639">
        <f t="shared" si="251"/>
        <v>0</v>
      </c>
      <c r="P2639">
        <f t="shared" si="248"/>
        <v>5650</v>
      </c>
      <c r="Q2639">
        <f t="shared" si="252"/>
        <v>5650</v>
      </c>
      <c r="T2639" s="16">
        <f t="shared" si="253"/>
        <v>1.3417116596227305</v>
      </c>
    </row>
    <row r="2640" spans="7:20" ht="14.4" x14ac:dyDescent="0.25">
      <c r="G2640" s="10">
        <v>4287</v>
      </c>
      <c r="H2640" s="9">
        <v>30532</v>
      </c>
      <c r="I2640" s="14">
        <f>DATE(2012,12,31)-401</f>
        <v>40873</v>
      </c>
      <c r="J2640" s="15" t="s">
        <v>17</v>
      </c>
      <c r="K2640" s="9">
        <v>9</v>
      </c>
      <c r="L2640" s="16" t="s">
        <v>29</v>
      </c>
      <c r="M2640" s="16">
        <f t="shared" si="249"/>
        <v>-1.1444402986692408</v>
      </c>
      <c r="N2640">
        <f t="shared" si="250"/>
        <v>0</v>
      </c>
      <c r="O2640">
        <f t="shared" si="251"/>
        <v>0</v>
      </c>
      <c r="P2640">
        <f t="shared" si="248"/>
        <v>3850</v>
      </c>
      <c r="Q2640">
        <f t="shared" si="252"/>
        <v>3850</v>
      </c>
      <c r="T2640" s="16">
        <f t="shared" si="253"/>
        <v>-1.1444402986692412</v>
      </c>
    </row>
    <row r="2641" spans="7:20" ht="14.4" x14ac:dyDescent="0.25">
      <c r="G2641" s="10">
        <v>4297</v>
      </c>
      <c r="H2641" s="9">
        <v>30597</v>
      </c>
      <c r="I2641" s="14">
        <f>DATE(2012,12,31)-148</f>
        <v>41126</v>
      </c>
      <c r="J2641" s="15" t="s">
        <v>17</v>
      </c>
      <c r="K2641" s="9">
        <v>18</v>
      </c>
      <c r="L2641" s="16" t="s">
        <v>29</v>
      </c>
      <c r="M2641" s="16">
        <f t="shared" si="249"/>
        <v>-0.52290230909624791</v>
      </c>
      <c r="N2641">
        <f t="shared" si="250"/>
        <v>0</v>
      </c>
      <c r="O2641">
        <f t="shared" si="251"/>
        <v>0</v>
      </c>
      <c r="P2641">
        <f t="shared" si="248"/>
        <v>4300</v>
      </c>
      <c r="Q2641">
        <f t="shared" si="252"/>
        <v>4300</v>
      </c>
      <c r="T2641" s="16">
        <f t="shared" si="253"/>
        <v>-0.52290230909624835</v>
      </c>
    </row>
    <row r="2642" spans="7:20" ht="14.4" x14ac:dyDescent="0.25">
      <c r="G2642" s="10">
        <v>4298</v>
      </c>
      <c r="H2642" s="9">
        <v>30597</v>
      </c>
      <c r="I2642" s="14">
        <f>DATE(2012,12,31)-148</f>
        <v>41126</v>
      </c>
      <c r="J2642" s="15" t="s">
        <v>17</v>
      </c>
      <c r="K2642" s="9">
        <v>42</v>
      </c>
      <c r="L2642" s="16" t="s">
        <v>26</v>
      </c>
      <c r="M2642" s="16">
        <f t="shared" si="249"/>
        <v>1.1345323297650665</v>
      </c>
      <c r="N2642">
        <f t="shared" si="250"/>
        <v>0</v>
      </c>
      <c r="O2642">
        <f t="shared" si="251"/>
        <v>0</v>
      </c>
      <c r="P2642">
        <f t="shared" si="248"/>
        <v>5500</v>
      </c>
      <c r="Q2642">
        <f t="shared" si="252"/>
        <v>5500</v>
      </c>
      <c r="T2642" s="16">
        <f t="shared" si="253"/>
        <v>1.1345323297650662</v>
      </c>
    </row>
    <row r="2643" spans="7:20" ht="14.4" x14ac:dyDescent="0.25">
      <c r="G2643" s="10">
        <v>4349</v>
      </c>
      <c r="H2643" s="9">
        <v>30981</v>
      </c>
      <c r="I2643" s="14">
        <f>DATE(2012,12,31)-685</f>
        <v>40589</v>
      </c>
      <c r="J2643" s="15" t="s">
        <v>25</v>
      </c>
      <c r="K2643" s="9">
        <v>29</v>
      </c>
      <c r="L2643" s="16" t="s">
        <v>26</v>
      </c>
      <c r="M2643" s="16">
        <f t="shared" si="249"/>
        <v>0.23675523371518786</v>
      </c>
      <c r="N2643">
        <f t="shared" si="250"/>
        <v>0</v>
      </c>
      <c r="O2643">
        <f t="shared" si="251"/>
        <v>0</v>
      </c>
      <c r="P2643">
        <f t="shared" si="248"/>
        <v>4850</v>
      </c>
      <c r="Q2643">
        <f t="shared" si="252"/>
        <v>4850</v>
      </c>
      <c r="T2643" s="16">
        <f t="shared" si="253"/>
        <v>0.2367552337151875</v>
      </c>
    </row>
    <row r="2644" spans="7:20" ht="14.4" x14ac:dyDescent="0.25">
      <c r="G2644" s="10">
        <v>4350</v>
      </c>
      <c r="H2644" s="9">
        <v>30981</v>
      </c>
      <c r="I2644" s="14">
        <f>DATE(2012,12,31)-685</f>
        <v>40589</v>
      </c>
      <c r="J2644" s="15" t="s">
        <v>25</v>
      </c>
      <c r="K2644" s="9">
        <v>22</v>
      </c>
      <c r="L2644" s="16" t="s">
        <v>29</v>
      </c>
      <c r="M2644" s="16">
        <f t="shared" si="249"/>
        <v>-0.24666320261936217</v>
      </c>
      <c r="N2644">
        <f t="shared" si="250"/>
        <v>0</v>
      </c>
      <c r="O2644">
        <f t="shared" si="251"/>
        <v>0</v>
      </c>
      <c r="P2644">
        <f t="shared" si="248"/>
        <v>4500</v>
      </c>
      <c r="Q2644">
        <f t="shared" si="252"/>
        <v>4500</v>
      </c>
      <c r="T2644" s="16">
        <f t="shared" si="253"/>
        <v>-0.24666320261936256</v>
      </c>
    </row>
    <row r="2645" spans="7:20" ht="14.4" x14ac:dyDescent="0.25">
      <c r="G2645" s="10">
        <v>4455</v>
      </c>
      <c r="H2645" s="9">
        <v>31751</v>
      </c>
      <c r="I2645" s="14">
        <f>DATE(2012,12,31)-585</f>
        <v>40689</v>
      </c>
      <c r="J2645" s="15" t="s">
        <v>17</v>
      </c>
      <c r="K2645" s="9">
        <v>31</v>
      </c>
      <c r="L2645" s="16" t="s">
        <v>26</v>
      </c>
      <c r="M2645" s="16">
        <f t="shared" si="249"/>
        <v>0.37487478695363075</v>
      </c>
      <c r="N2645">
        <f t="shared" si="250"/>
        <v>0</v>
      </c>
      <c r="O2645">
        <f t="shared" si="251"/>
        <v>0</v>
      </c>
      <c r="P2645">
        <f t="shared" si="248"/>
        <v>4950</v>
      </c>
      <c r="Q2645">
        <f t="shared" si="252"/>
        <v>4950</v>
      </c>
      <c r="T2645" s="16">
        <f t="shared" si="253"/>
        <v>0.37487478695363036</v>
      </c>
    </row>
    <row r="2646" spans="7:20" ht="14.4" x14ac:dyDescent="0.25">
      <c r="G2646" s="10">
        <v>4473</v>
      </c>
      <c r="H2646" s="9">
        <v>31873</v>
      </c>
      <c r="I2646" s="14">
        <f>DATE(2012,12,31)-1149</f>
        <v>40125</v>
      </c>
      <c r="J2646" s="15" t="s">
        <v>25</v>
      </c>
      <c r="K2646" s="9">
        <v>2</v>
      </c>
      <c r="L2646" s="16" t="s">
        <v>26</v>
      </c>
      <c r="M2646" s="16">
        <f t="shared" si="249"/>
        <v>-1.627858735003791</v>
      </c>
      <c r="N2646">
        <f t="shared" si="250"/>
        <v>0</v>
      </c>
      <c r="O2646">
        <f t="shared" si="251"/>
        <v>0</v>
      </c>
      <c r="P2646">
        <f t="shared" si="248"/>
        <v>3500</v>
      </c>
      <c r="Q2646">
        <f t="shared" si="252"/>
        <v>3500</v>
      </c>
      <c r="T2646" s="16">
        <f t="shared" si="253"/>
        <v>-1.6278587350037912</v>
      </c>
    </row>
    <row r="2647" spans="7:20" ht="14.4" x14ac:dyDescent="0.25">
      <c r="G2647" s="10">
        <v>4474</v>
      </c>
      <c r="H2647" s="9">
        <v>31873</v>
      </c>
      <c r="I2647" s="14">
        <f>DATE(2012,12,31)-1149</f>
        <v>40125</v>
      </c>
      <c r="J2647" s="15" t="s">
        <v>25</v>
      </c>
      <c r="K2647" s="9">
        <v>14</v>
      </c>
      <c r="L2647" s="16" t="s">
        <v>27</v>
      </c>
      <c r="M2647" s="16">
        <f t="shared" si="249"/>
        <v>-0.79914141557313367</v>
      </c>
      <c r="N2647">
        <f t="shared" si="250"/>
        <v>0</v>
      </c>
      <c r="O2647">
        <f t="shared" si="251"/>
        <v>0</v>
      </c>
      <c r="P2647">
        <f t="shared" si="248"/>
        <v>4100</v>
      </c>
      <c r="Q2647">
        <f t="shared" si="252"/>
        <v>4100</v>
      </c>
      <c r="T2647" s="16">
        <f t="shared" si="253"/>
        <v>-0.79914141557313401</v>
      </c>
    </row>
    <row r="2648" spans="7:20" ht="14.4" x14ac:dyDescent="0.25">
      <c r="G2648" s="10">
        <v>4475</v>
      </c>
      <c r="H2648" s="9">
        <v>31873</v>
      </c>
      <c r="I2648" s="14">
        <f>DATE(2012,12,31)-1149</f>
        <v>40125</v>
      </c>
      <c r="J2648" s="15" t="s">
        <v>25</v>
      </c>
      <c r="K2648" s="9">
        <v>50</v>
      </c>
      <c r="L2648" s="16" t="s">
        <v>27</v>
      </c>
      <c r="M2648" s="16">
        <f t="shared" si="249"/>
        <v>1.687010542718838</v>
      </c>
      <c r="N2648">
        <f t="shared" si="250"/>
        <v>0</v>
      </c>
      <c r="O2648">
        <f t="shared" si="251"/>
        <v>0</v>
      </c>
      <c r="P2648">
        <f t="shared" si="248"/>
        <v>5900</v>
      </c>
      <c r="Q2648">
        <f t="shared" si="252"/>
        <v>5900</v>
      </c>
      <c r="T2648" s="16">
        <f t="shared" si="253"/>
        <v>1.6870105427188375</v>
      </c>
    </row>
    <row r="2649" spans="7:20" ht="14.4" x14ac:dyDescent="0.25">
      <c r="G2649" s="10">
        <v>4476</v>
      </c>
      <c r="H2649" s="9">
        <v>31873</v>
      </c>
      <c r="I2649" s="14">
        <f>DATE(2012,12,31)-1149</f>
        <v>40125</v>
      </c>
      <c r="J2649" s="15" t="s">
        <v>25</v>
      </c>
      <c r="K2649" s="9">
        <v>42</v>
      </c>
      <c r="L2649" s="16" t="s">
        <v>26</v>
      </c>
      <c r="M2649" s="16">
        <f t="shared" si="249"/>
        <v>1.1345323297650665</v>
      </c>
      <c r="N2649">
        <f t="shared" si="250"/>
        <v>0</v>
      </c>
      <c r="O2649">
        <f t="shared" si="251"/>
        <v>0</v>
      </c>
      <c r="P2649">
        <f t="shared" si="248"/>
        <v>5500</v>
      </c>
      <c r="Q2649">
        <f t="shared" si="252"/>
        <v>5500</v>
      </c>
      <c r="T2649" s="16">
        <f t="shared" si="253"/>
        <v>1.1345323297650662</v>
      </c>
    </row>
    <row r="2650" spans="7:20" ht="14.4" x14ac:dyDescent="0.25">
      <c r="G2650" s="10">
        <v>4492</v>
      </c>
      <c r="H2650" s="9">
        <v>32000</v>
      </c>
      <c r="I2650" s="14">
        <f>DATE(2012,12,31)-109</f>
        <v>41165</v>
      </c>
      <c r="J2650" s="15" t="s">
        <v>25</v>
      </c>
      <c r="K2650" s="9">
        <v>49</v>
      </c>
      <c r="L2650" s="16" t="s">
        <v>26</v>
      </c>
      <c r="M2650" s="16">
        <f t="shared" si="249"/>
        <v>1.6179507660996166</v>
      </c>
      <c r="N2650">
        <f t="shared" si="250"/>
        <v>0</v>
      </c>
      <c r="O2650">
        <f t="shared" si="251"/>
        <v>0</v>
      </c>
      <c r="P2650">
        <f t="shared" si="248"/>
        <v>5850</v>
      </c>
      <c r="Q2650">
        <f t="shared" si="252"/>
        <v>5850</v>
      </c>
      <c r="T2650" s="16">
        <f t="shared" si="253"/>
        <v>1.6179507660996162</v>
      </c>
    </row>
    <row r="2651" spans="7:20" ht="14.4" x14ac:dyDescent="0.25">
      <c r="G2651" s="10">
        <v>4493</v>
      </c>
      <c r="H2651" s="9">
        <v>32000</v>
      </c>
      <c r="I2651" s="14">
        <f>DATE(2012,12,31)-109</f>
        <v>41165</v>
      </c>
      <c r="J2651" s="15" t="s">
        <v>25</v>
      </c>
      <c r="K2651" s="9">
        <v>26</v>
      </c>
      <c r="L2651" s="16" t="s">
        <v>29</v>
      </c>
      <c r="M2651" s="16">
        <f t="shared" si="249"/>
        <v>2.9575903857523567E-2</v>
      </c>
      <c r="N2651">
        <f t="shared" si="250"/>
        <v>0</v>
      </c>
      <c r="O2651">
        <f t="shared" si="251"/>
        <v>0</v>
      </c>
      <c r="P2651">
        <f t="shared" si="248"/>
        <v>4700</v>
      </c>
      <c r="Q2651">
        <f t="shared" si="252"/>
        <v>4700</v>
      </c>
      <c r="T2651" s="16">
        <f t="shared" si="253"/>
        <v>2.9575903857523185E-2</v>
      </c>
    </row>
    <row r="2652" spans="7:20" ht="14.4" x14ac:dyDescent="0.25">
      <c r="G2652" s="10">
        <v>4597</v>
      </c>
      <c r="H2652" s="9">
        <v>32737</v>
      </c>
      <c r="I2652" s="14">
        <f>DATE(2012,12,31)-1160</f>
        <v>40114</v>
      </c>
      <c r="J2652" s="15" t="s">
        <v>17</v>
      </c>
      <c r="K2652" s="9">
        <v>14</v>
      </c>
      <c r="L2652" s="16" t="s">
        <v>26</v>
      </c>
      <c r="M2652" s="16">
        <f t="shared" si="249"/>
        <v>-0.79914141557313367</v>
      </c>
      <c r="N2652">
        <f t="shared" si="250"/>
        <v>0</v>
      </c>
      <c r="O2652">
        <f t="shared" si="251"/>
        <v>0</v>
      </c>
      <c r="P2652">
        <f t="shared" si="248"/>
        <v>4100</v>
      </c>
      <c r="Q2652">
        <f t="shared" si="252"/>
        <v>4100</v>
      </c>
      <c r="T2652" s="16">
        <f t="shared" si="253"/>
        <v>-0.79914141557313401</v>
      </c>
    </row>
    <row r="2653" spans="7:20" ht="14.4" x14ac:dyDescent="0.25">
      <c r="G2653" s="10">
        <v>4918</v>
      </c>
      <c r="H2653" s="9">
        <v>35012</v>
      </c>
      <c r="I2653" s="14">
        <f>DATE(2012,12,31)-206</f>
        <v>41068</v>
      </c>
      <c r="J2653" s="15" t="s">
        <v>16</v>
      </c>
      <c r="K2653" s="9">
        <v>10</v>
      </c>
      <c r="L2653" s="16" t="s">
        <v>26</v>
      </c>
      <c r="M2653" s="16">
        <f t="shared" si="249"/>
        <v>-1.0753805220500194</v>
      </c>
      <c r="N2653">
        <f t="shared" si="250"/>
        <v>0</v>
      </c>
      <c r="O2653">
        <f t="shared" si="251"/>
        <v>0</v>
      </c>
      <c r="P2653">
        <f t="shared" si="248"/>
        <v>3900</v>
      </c>
      <c r="Q2653">
        <f t="shared" si="252"/>
        <v>3900</v>
      </c>
      <c r="T2653" s="16">
        <f t="shared" si="253"/>
        <v>-1.0753805220500199</v>
      </c>
    </row>
    <row r="2654" spans="7:20" ht="14.4" x14ac:dyDescent="0.25">
      <c r="G2654" s="10">
        <v>4919</v>
      </c>
      <c r="H2654" s="9">
        <v>35012</v>
      </c>
      <c r="I2654" s="14">
        <f>DATE(2012,12,31)-206</f>
        <v>41068</v>
      </c>
      <c r="J2654" s="15" t="s">
        <v>16</v>
      </c>
      <c r="K2654" s="9">
        <v>11</v>
      </c>
      <c r="L2654" s="16" t="s">
        <v>27</v>
      </c>
      <c r="M2654" s="16">
        <f t="shared" si="249"/>
        <v>-1.0063207454307979</v>
      </c>
      <c r="N2654">
        <f t="shared" si="250"/>
        <v>0</v>
      </c>
      <c r="O2654">
        <f t="shared" si="251"/>
        <v>0</v>
      </c>
      <c r="P2654">
        <f t="shared" si="248"/>
        <v>3950</v>
      </c>
      <c r="Q2654">
        <f t="shared" si="252"/>
        <v>3950</v>
      </c>
      <c r="T2654" s="16">
        <f t="shared" si="253"/>
        <v>-1.0063207454307983</v>
      </c>
    </row>
    <row r="2655" spans="7:20" ht="14.4" x14ac:dyDescent="0.25">
      <c r="G2655" s="10">
        <v>4922</v>
      </c>
      <c r="H2655" s="9">
        <v>35042</v>
      </c>
      <c r="I2655" s="14">
        <f>DATE(2012,12,31)-760</f>
        <v>40514</v>
      </c>
      <c r="J2655" s="15" t="s">
        <v>28</v>
      </c>
      <c r="K2655" s="9">
        <v>23</v>
      </c>
      <c r="L2655" s="16" t="s">
        <v>27</v>
      </c>
      <c r="M2655" s="16">
        <f t="shared" si="249"/>
        <v>-0.17760342600014073</v>
      </c>
      <c r="N2655">
        <f t="shared" si="250"/>
        <v>0</v>
      </c>
      <c r="O2655">
        <f t="shared" si="251"/>
        <v>0</v>
      </c>
      <c r="P2655">
        <f t="shared" si="248"/>
        <v>4550</v>
      </c>
      <c r="Q2655">
        <f t="shared" si="252"/>
        <v>4550</v>
      </c>
      <c r="T2655" s="16">
        <f t="shared" si="253"/>
        <v>-0.17760342600014112</v>
      </c>
    </row>
    <row r="2656" spans="7:20" ht="14.4" x14ac:dyDescent="0.25">
      <c r="G2656" s="10">
        <v>5009</v>
      </c>
      <c r="H2656" s="9">
        <v>35713</v>
      </c>
      <c r="I2656" s="14">
        <f>DATE(2012,12,31)-75</f>
        <v>41199</v>
      </c>
      <c r="J2656" s="15" t="s">
        <v>16</v>
      </c>
      <c r="K2656" s="9">
        <v>49</v>
      </c>
      <c r="L2656" s="16" t="s">
        <v>26</v>
      </c>
      <c r="M2656" s="16">
        <f t="shared" si="249"/>
        <v>1.6179507660996166</v>
      </c>
      <c r="N2656">
        <f t="shared" si="250"/>
        <v>0</v>
      </c>
      <c r="O2656">
        <f t="shared" si="251"/>
        <v>0</v>
      </c>
      <c r="P2656">
        <f t="shared" si="248"/>
        <v>5850</v>
      </c>
      <c r="Q2656">
        <f t="shared" si="252"/>
        <v>5850</v>
      </c>
      <c r="T2656" s="16">
        <f t="shared" si="253"/>
        <v>1.6179507660996162</v>
      </c>
    </row>
    <row r="2657" spans="7:20" ht="14.4" x14ac:dyDescent="0.25">
      <c r="G2657" s="10">
        <v>5082</v>
      </c>
      <c r="H2657" s="9">
        <v>36229</v>
      </c>
      <c r="I2657" s="14">
        <f>DATE(2012,12,31)-101</f>
        <v>41173</v>
      </c>
      <c r="J2657" s="15" t="s">
        <v>28</v>
      </c>
      <c r="K2657" s="9">
        <v>12</v>
      </c>
      <c r="L2657" s="16" t="s">
        <v>27</v>
      </c>
      <c r="M2657" s="16">
        <f t="shared" si="249"/>
        <v>-0.9372609688115765</v>
      </c>
      <c r="N2657">
        <f t="shared" si="250"/>
        <v>0</v>
      </c>
      <c r="O2657">
        <f t="shared" si="251"/>
        <v>0</v>
      </c>
      <c r="P2657">
        <f t="shared" si="248"/>
        <v>4000</v>
      </c>
      <c r="Q2657">
        <f t="shared" si="252"/>
        <v>4000</v>
      </c>
      <c r="T2657" s="16">
        <f t="shared" si="253"/>
        <v>-0.93726096881157694</v>
      </c>
    </row>
    <row r="2658" spans="7:20" ht="14.4" x14ac:dyDescent="0.25">
      <c r="G2658" s="10">
        <v>5083</v>
      </c>
      <c r="H2658" s="9">
        <v>36229</v>
      </c>
      <c r="I2658" s="14">
        <f>DATE(2012,12,31)-101</f>
        <v>41173</v>
      </c>
      <c r="J2658" s="15" t="s">
        <v>28</v>
      </c>
      <c r="K2658" s="9">
        <v>24</v>
      </c>
      <c r="L2658" s="16" t="s">
        <v>29</v>
      </c>
      <c r="M2658" s="16">
        <f t="shared" si="249"/>
        <v>-0.1085436493809193</v>
      </c>
      <c r="N2658">
        <f t="shared" si="250"/>
        <v>0</v>
      </c>
      <c r="O2658">
        <f t="shared" si="251"/>
        <v>0</v>
      </c>
      <c r="P2658">
        <f t="shared" si="248"/>
        <v>4600</v>
      </c>
      <c r="Q2658">
        <f t="shared" si="252"/>
        <v>4600</v>
      </c>
      <c r="T2658" s="16">
        <f t="shared" si="253"/>
        <v>-0.10854364938091969</v>
      </c>
    </row>
    <row r="2659" spans="7:20" ht="14.4" x14ac:dyDescent="0.25">
      <c r="G2659" s="10">
        <v>5199</v>
      </c>
      <c r="H2659" s="9">
        <v>36933</v>
      </c>
      <c r="I2659" s="14">
        <f>DATE(2012,12,31)-538</f>
        <v>40736</v>
      </c>
      <c r="J2659" s="15" t="s">
        <v>17</v>
      </c>
      <c r="K2659" s="9">
        <v>32</v>
      </c>
      <c r="L2659" s="16" t="s">
        <v>26</v>
      </c>
      <c r="M2659" s="16">
        <f t="shared" si="249"/>
        <v>0.44393456357285216</v>
      </c>
      <c r="N2659">
        <f t="shared" si="250"/>
        <v>0</v>
      </c>
      <c r="O2659">
        <f t="shared" si="251"/>
        <v>0</v>
      </c>
      <c r="P2659">
        <f t="shared" si="248"/>
        <v>5000</v>
      </c>
      <c r="Q2659">
        <f t="shared" si="252"/>
        <v>5000</v>
      </c>
      <c r="T2659" s="16">
        <f t="shared" si="253"/>
        <v>0.44393456357285183</v>
      </c>
    </row>
    <row r="2660" spans="7:20" ht="14.4" x14ac:dyDescent="0.25">
      <c r="G2660" s="10">
        <v>5219</v>
      </c>
      <c r="H2660" s="9">
        <v>37152</v>
      </c>
      <c r="I2660" s="14">
        <f>DATE(2012,12,31)-589</f>
        <v>40685</v>
      </c>
      <c r="J2660" s="15" t="s">
        <v>16</v>
      </c>
      <c r="K2660" s="9">
        <v>39</v>
      </c>
      <c r="L2660" s="16" t="s">
        <v>29</v>
      </c>
      <c r="M2660" s="16">
        <f t="shared" si="249"/>
        <v>0.92735299990740228</v>
      </c>
      <c r="N2660">
        <f t="shared" si="250"/>
        <v>0</v>
      </c>
      <c r="O2660">
        <f t="shared" si="251"/>
        <v>0</v>
      </c>
      <c r="P2660">
        <f t="shared" si="248"/>
        <v>5350</v>
      </c>
      <c r="Q2660">
        <f t="shared" si="252"/>
        <v>5350</v>
      </c>
      <c r="T2660" s="16">
        <f t="shared" si="253"/>
        <v>0.92735299990740183</v>
      </c>
    </row>
    <row r="2661" spans="7:20" ht="14.4" x14ac:dyDescent="0.25">
      <c r="G2661" s="10">
        <v>5220</v>
      </c>
      <c r="H2661" s="9">
        <v>37152</v>
      </c>
      <c r="I2661" s="14">
        <f>DATE(2012,12,31)-589</f>
        <v>40685</v>
      </c>
      <c r="J2661" s="15" t="s">
        <v>16</v>
      </c>
      <c r="K2661" s="9">
        <v>45</v>
      </c>
      <c r="L2661" s="16" t="s">
        <v>27</v>
      </c>
      <c r="M2661" s="16">
        <f t="shared" si="249"/>
        <v>1.3417116596227308</v>
      </c>
      <c r="N2661">
        <f t="shared" si="250"/>
        <v>0</v>
      </c>
      <c r="O2661">
        <f t="shared" si="251"/>
        <v>0</v>
      </c>
      <c r="P2661">
        <f t="shared" si="248"/>
        <v>5650</v>
      </c>
      <c r="Q2661">
        <f t="shared" si="252"/>
        <v>5650</v>
      </c>
      <c r="T2661" s="16">
        <f t="shared" si="253"/>
        <v>1.3417116596227305</v>
      </c>
    </row>
    <row r="2662" spans="7:20" ht="14.4" x14ac:dyDescent="0.25">
      <c r="G2662" s="10">
        <v>5228</v>
      </c>
      <c r="H2662" s="9">
        <v>37223</v>
      </c>
      <c r="I2662" s="14">
        <f>DATE(2012,12,31)-417</f>
        <v>40857</v>
      </c>
      <c r="J2662" s="15" t="s">
        <v>25</v>
      </c>
      <c r="K2662" s="9">
        <v>21</v>
      </c>
      <c r="L2662" s="16" t="s">
        <v>27</v>
      </c>
      <c r="M2662" s="16">
        <f t="shared" si="249"/>
        <v>-0.31572297923858361</v>
      </c>
      <c r="N2662">
        <f t="shared" si="250"/>
        <v>0</v>
      </c>
      <c r="O2662">
        <f t="shared" si="251"/>
        <v>0</v>
      </c>
      <c r="P2662">
        <f t="shared" si="248"/>
        <v>4450</v>
      </c>
      <c r="Q2662">
        <f t="shared" si="252"/>
        <v>4450</v>
      </c>
      <c r="T2662" s="16">
        <f t="shared" si="253"/>
        <v>-0.315722979238584</v>
      </c>
    </row>
    <row r="2663" spans="7:20" ht="14.4" x14ac:dyDescent="0.25">
      <c r="G2663" s="10">
        <v>5229</v>
      </c>
      <c r="H2663" s="9">
        <v>37223</v>
      </c>
      <c r="I2663" s="14">
        <f>DATE(2012,12,31)-417</f>
        <v>40857</v>
      </c>
      <c r="J2663" s="15" t="s">
        <v>25</v>
      </c>
      <c r="K2663" s="9">
        <v>40</v>
      </c>
      <c r="L2663" s="16" t="s">
        <v>26</v>
      </c>
      <c r="M2663" s="16">
        <f t="shared" si="249"/>
        <v>0.99641277652662363</v>
      </c>
      <c r="N2663">
        <f t="shared" si="250"/>
        <v>0</v>
      </c>
      <c r="O2663">
        <f t="shared" si="251"/>
        <v>0</v>
      </c>
      <c r="P2663">
        <f t="shared" si="248"/>
        <v>5400</v>
      </c>
      <c r="Q2663">
        <f t="shared" si="252"/>
        <v>5400</v>
      </c>
      <c r="T2663" s="16">
        <f t="shared" si="253"/>
        <v>0.9964127765266233</v>
      </c>
    </row>
    <row r="2664" spans="7:20" ht="14.4" x14ac:dyDescent="0.25">
      <c r="G2664" s="10">
        <v>5230</v>
      </c>
      <c r="H2664" s="9">
        <v>37223</v>
      </c>
      <c r="I2664" s="14">
        <f>DATE(2012,12,31)-417</f>
        <v>40857</v>
      </c>
      <c r="J2664" s="15" t="s">
        <v>25</v>
      </c>
      <c r="K2664" s="9">
        <v>38</v>
      </c>
      <c r="L2664" s="16" t="s">
        <v>26</v>
      </c>
      <c r="M2664" s="16">
        <f t="shared" si="249"/>
        <v>0.85829322328818081</v>
      </c>
      <c r="N2664">
        <f t="shared" si="250"/>
        <v>0</v>
      </c>
      <c r="O2664">
        <f t="shared" si="251"/>
        <v>0</v>
      </c>
      <c r="P2664">
        <f t="shared" si="248"/>
        <v>5300</v>
      </c>
      <c r="Q2664">
        <f t="shared" si="252"/>
        <v>5300</v>
      </c>
      <c r="T2664" s="16">
        <f t="shared" si="253"/>
        <v>0.85829322328818036</v>
      </c>
    </row>
    <row r="2665" spans="7:20" ht="14.4" x14ac:dyDescent="0.25">
      <c r="G2665" s="10">
        <v>5237</v>
      </c>
      <c r="H2665" s="9">
        <v>37254</v>
      </c>
      <c r="I2665" s="14">
        <f>DATE(2012,12,31)-1200</f>
        <v>40074</v>
      </c>
      <c r="J2665" s="15" t="s">
        <v>17</v>
      </c>
      <c r="K2665" s="9">
        <v>28</v>
      </c>
      <c r="L2665" s="16" t="s">
        <v>26</v>
      </c>
      <c r="M2665" s="16">
        <f t="shared" si="249"/>
        <v>0.16769545709596645</v>
      </c>
      <c r="N2665">
        <f t="shared" si="250"/>
        <v>0</v>
      </c>
      <c r="O2665">
        <f t="shared" si="251"/>
        <v>0</v>
      </c>
      <c r="P2665">
        <f t="shared" si="248"/>
        <v>4800</v>
      </c>
      <c r="Q2665">
        <f t="shared" si="252"/>
        <v>4800</v>
      </c>
      <c r="T2665" s="16">
        <f t="shared" si="253"/>
        <v>0.16769545709596606</v>
      </c>
    </row>
    <row r="2666" spans="7:20" ht="14.4" x14ac:dyDescent="0.25">
      <c r="G2666" s="10">
        <v>5260</v>
      </c>
      <c r="H2666" s="9">
        <v>37441</v>
      </c>
      <c r="I2666" s="14">
        <f>DATE(2012,12,31)-1406</f>
        <v>39868</v>
      </c>
      <c r="J2666" s="15" t="s">
        <v>30</v>
      </c>
      <c r="K2666" s="9">
        <v>46</v>
      </c>
      <c r="L2666" s="16" t="s">
        <v>29</v>
      </c>
      <c r="M2666" s="16">
        <f t="shared" si="249"/>
        <v>1.4107714362419523</v>
      </c>
      <c r="N2666">
        <f t="shared" si="250"/>
        <v>0</v>
      </c>
      <c r="O2666">
        <f t="shared" si="251"/>
        <v>0</v>
      </c>
      <c r="P2666">
        <f t="shared" si="248"/>
        <v>5700</v>
      </c>
      <c r="Q2666">
        <f t="shared" si="252"/>
        <v>5700</v>
      </c>
      <c r="T2666" s="16">
        <f t="shared" si="253"/>
        <v>1.4107714362419519</v>
      </c>
    </row>
    <row r="2667" spans="7:20" ht="14.4" x14ac:dyDescent="0.25">
      <c r="G2667" s="10">
        <v>5261</v>
      </c>
      <c r="H2667" s="9">
        <v>37441</v>
      </c>
      <c r="I2667" s="14">
        <f>DATE(2012,12,31)-1406</f>
        <v>39868</v>
      </c>
      <c r="J2667" s="15" t="s">
        <v>30</v>
      </c>
      <c r="K2667" s="9">
        <v>1</v>
      </c>
      <c r="L2667" s="16" t="s">
        <v>26</v>
      </c>
      <c r="M2667" s="16">
        <f t="shared" si="249"/>
        <v>-1.6969185116230123</v>
      </c>
      <c r="N2667">
        <f t="shared" si="250"/>
        <v>0</v>
      </c>
      <c r="O2667">
        <f t="shared" si="251"/>
        <v>0</v>
      </c>
      <c r="P2667">
        <f t="shared" si="248"/>
        <v>3450</v>
      </c>
      <c r="Q2667">
        <f t="shared" si="252"/>
        <v>3450</v>
      </c>
      <c r="T2667" s="16">
        <f t="shared" si="253"/>
        <v>-1.6969185116230128</v>
      </c>
    </row>
    <row r="2668" spans="7:20" ht="14.4" x14ac:dyDescent="0.25">
      <c r="G2668" s="10">
        <v>5359</v>
      </c>
      <c r="H2668" s="9">
        <v>38084</v>
      </c>
      <c r="I2668" s="14">
        <f>DATE(2012,12,31)-1382</f>
        <v>39892</v>
      </c>
      <c r="J2668" s="15" t="s">
        <v>28</v>
      </c>
      <c r="K2668" s="9">
        <v>11</v>
      </c>
      <c r="L2668" s="16" t="s">
        <v>26</v>
      </c>
      <c r="M2668" s="16">
        <f t="shared" si="249"/>
        <v>-1.0063207454307979</v>
      </c>
      <c r="N2668">
        <f t="shared" si="250"/>
        <v>0</v>
      </c>
      <c r="O2668">
        <f t="shared" si="251"/>
        <v>0</v>
      </c>
      <c r="P2668">
        <f t="shared" si="248"/>
        <v>3950</v>
      </c>
      <c r="Q2668">
        <f t="shared" si="252"/>
        <v>3950</v>
      </c>
      <c r="T2668" s="16">
        <f t="shared" si="253"/>
        <v>-1.0063207454307983</v>
      </c>
    </row>
    <row r="2669" spans="7:20" ht="14.4" x14ac:dyDescent="0.25">
      <c r="G2669" s="10">
        <v>5360</v>
      </c>
      <c r="H2669" s="9">
        <v>38084</v>
      </c>
      <c r="I2669" s="14">
        <f>DATE(2012,12,31)-1382</f>
        <v>39892</v>
      </c>
      <c r="J2669" s="15" t="s">
        <v>28</v>
      </c>
      <c r="K2669" s="9">
        <v>33</v>
      </c>
      <c r="L2669" s="16" t="s">
        <v>29</v>
      </c>
      <c r="M2669" s="16">
        <f t="shared" si="249"/>
        <v>0.51299434019207357</v>
      </c>
      <c r="N2669">
        <f t="shared" si="250"/>
        <v>0</v>
      </c>
      <c r="O2669">
        <f t="shared" si="251"/>
        <v>0</v>
      </c>
      <c r="P2669">
        <f t="shared" si="248"/>
        <v>5050</v>
      </c>
      <c r="Q2669">
        <f t="shared" si="252"/>
        <v>5050</v>
      </c>
      <c r="T2669" s="16">
        <f t="shared" si="253"/>
        <v>0.51299434019207324</v>
      </c>
    </row>
    <row r="2670" spans="7:20" ht="14.4" x14ac:dyDescent="0.25">
      <c r="G2670" s="10">
        <v>5527</v>
      </c>
      <c r="H2670" s="9">
        <v>39168</v>
      </c>
      <c r="I2670" s="14">
        <f>DATE(2012,12,31)-228</f>
        <v>41046</v>
      </c>
      <c r="J2670" s="15" t="s">
        <v>17</v>
      </c>
      <c r="K2670" s="9">
        <v>22</v>
      </c>
      <c r="L2670" s="16" t="s">
        <v>26</v>
      </c>
      <c r="M2670" s="16">
        <f t="shared" si="249"/>
        <v>-0.24666320261936217</v>
      </c>
      <c r="N2670">
        <f t="shared" si="250"/>
        <v>0</v>
      </c>
      <c r="O2670">
        <f t="shared" si="251"/>
        <v>0</v>
      </c>
      <c r="P2670">
        <f t="shared" si="248"/>
        <v>4500</v>
      </c>
      <c r="Q2670">
        <f t="shared" si="252"/>
        <v>4500</v>
      </c>
      <c r="T2670" s="16">
        <f t="shared" si="253"/>
        <v>-0.24666320261936256</v>
      </c>
    </row>
    <row r="2671" spans="7:20" ht="14.4" x14ac:dyDescent="0.25">
      <c r="G2671" s="10">
        <v>5528</v>
      </c>
      <c r="H2671" s="9">
        <v>39168</v>
      </c>
      <c r="I2671" s="14">
        <f>DATE(2012,12,31)-228</f>
        <v>41046</v>
      </c>
      <c r="J2671" s="15" t="s">
        <v>17</v>
      </c>
      <c r="K2671" s="9">
        <v>50</v>
      </c>
      <c r="L2671" s="16" t="s">
        <v>26</v>
      </c>
      <c r="M2671" s="16">
        <f t="shared" si="249"/>
        <v>1.687010542718838</v>
      </c>
      <c r="N2671">
        <f t="shared" si="250"/>
        <v>0</v>
      </c>
      <c r="O2671">
        <f t="shared" si="251"/>
        <v>0</v>
      </c>
      <c r="P2671">
        <f t="shared" si="248"/>
        <v>5900</v>
      </c>
      <c r="Q2671">
        <f t="shared" si="252"/>
        <v>5900</v>
      </c>
      <c r="T2671" s="16">
        <f t="shared" si="253"/>
        <v>1.6870105427188375</v>
      </c>
    </row>
    <row r="2672" spans="7:20" ht="14.4" x14ac:dyDescent="0.25">
      <c r="G2672" s="10">
        <v>5529</v>
      </c>
      <c r="H2672" s="9">
        <v>39168</v>
      </c>
      <c r="I2672" s="14">
        <f>DATE(2012,12,31)-228</f>
        <v>41046</v>
      </c>
      <c r="J2672" s="15" t="s">
        <v>17</v>
      </c>
      <c r="K2672" s="9">
        <v>30</v>
      </c>
      <c r="L2672" s="16" t="s">
        <v>26</v>
      </c>
      <c r="M2672" s="16">
        <f t="shared" si="249"/>
        <v>0.30581501033440933</v>
      </c>
      <c r="N2672">
        <f t="shared" si="250"/>
        <v>0</v>
      </c>
      <c r="O2672">
        <f t="shared" si="251"/>
        <v>0</v>
      </c>
      <c r="P2672">
        <f t="shared" si="248"/>
        <v>4900</v>
      </c>
      <c r="Q2672">
        <f t="shared" si="252"/>
        <v>4900</v>
      </c>
      <c r="T2672" s="16">
        <f t="shared" si="253"/>
        <v>0.30581501033440894</v>
      </c>
    </row>
    <row r="2673" spans="7:20" ht="14.4" x14ac:dyDescent="0.25">
      <c r="G2673" s="10">
        <v>5555</v>
      </c>
      <c r="H2673" s="9">
        <v>39333</v>
      </c>
      <c r="I2673" s="14">
        <f>DATE(2012,12,31)-1048</f>
        <v>40226</v>
      </c>
      <c r="J2673" s="15" t="s">
        <v>30</v>
      </c>
      <c r="K2673" s="9">
        <v>31</v>
      </c>
      <c r="L2673" s="16" t="s">
        <v>29</v>
      </c>
      <c r="M2673" s="16">
        <f t="shared" si="249"/>
        <v>0.37487478695363075</v>
      </c>
      <c r="N2673">
        <f t="shared" si="250"/>
        <v>0</v>
      </c>
      <c r="O2673">
        <f t="shared" si="251"/>
        <v>0</v>
      </c>
      <c r="P2673">
        <f t="shared" si="248"/>
        <v>4950</v>
      </c>
      <c r="Q2673">
        <f t="shared" si="252"/>
        <v>4950</v>
      </c>
      <c r="T2673" s="16">
        <f t="shared" si="253"/>
        <v>0.37487478695363036</v>
      </c>
    </row>
    <row r="2674" spans="7:20" ht="14.4" x14ac:dyDescent="0.25">
      <c r="G2674" s="10">
        <v>5556</v>
      </c>
      <c r="H2674" s="9">
        <v>39333</v>
      </c>
      <c r="I2674" s="14">
        <f>DATE(2012,12,31)-1048</f>
        <v>40226</v>
      </c>
      <c r="J2674" s="15" t="s">
        <v>30</v>
      </c>
      <c r="K2674" s="9">
        <v>18</v>
      </c>
      <c r="L2674" s="16" t="s">
        <v>26</v>
      </c>
      <c r="M2674" s="16">
        <f t="shared" si="249"/>
        <v>-0.52290230909624791</v>
      </c>
      <c r="N2674">
        <f t="shared" si="250"/>
        <v>0</v>
      </c>
      <c r="O2674">
        <f t="shared" si="251"/>
        <v>0</v>
      </c>
      <c r="P2674">
        <f t="shared" si="248"/>
        <v>4300</v>
      </c>
      <c r="Q2674">
        <f t="shared" si="252"/>
        <v>4300</v>
      </c>
      <c r="T2674" s="16">
        <f t="shared" si="253"/>
        <v>-0.52290230909624835</v>
      </c>
    </row>
    <row r="2675" spans="7:20" ht="14.4" x14ac:dyDescent="0.25">
      <c r="G2675" s="10">
        <v>5583</v>
      </c>
      <c r="H2675" s="9">
        <v>39589</v>
      </c>
      <c r="I2675" s="14">
        <f>DATE(2012,12,31)-1247</f>
        <v>40027</v>
      </c>
      <c r="J2675" s="15" t="s">
        <v>30</v>
      </c>
      <c r="K2675" s="9">
        <v>42</v>
      </c>
      <c r="L2675" s="16" t="s">
        <v>26</v>
      </c>
      <c r="M2675" s="16">
        <f t="shared" si="249"/>
        <v>1.1345323297650665</v>
      </c>
      <c r="N2675">
        <f t="shared" si="250"/>
        <v>0</v>
      </c>
      <c r="O2675">
        <f t="shared" si="251"/>
        <v>0</v>
      </c>
      <c r="P2675">
        <f t="shared" si="248"/>
        <v>5500</v>
      </c>
      <c r="Q2675">
        <f t="shared" si="252"/>
        <v>5500</v>
      </c>
      <c r="T2675" s="16">
        <f t="shared" si="253"/>
        <v>1.1345323297650662</v>
      </c>
    </row>
    <row r="2676" spans="7:20" ht="14.4" x14ac:dyDescent="0.25">
      <c r="G2676" s="10">
        <v>5584</v>
      </c>
      <c r="H2676" s="9">
        <v>39589</v>
      </c>
      <c r="I2676" s="14">
        <f>DATE(2012,12,31)-1247</f>
        <v>40027</v>
      </c>
      <c r="J2676" s="15" t="s">
        <v>30</v>
      </c>
      <c r="K2676" s="9">
        <v>20</v>
      </c>
      <c r="L2676" s="16" t="s">
        <v>26</v>
      </c>
      <c r="M2676" s="16">
        <f t="shared" si="249"/>
        <v>-0.38478275585780503</v>
      </c>
      <c r="N2676">
        <f t="shared" si="250"/>
        <v>0</v>
      </c>
      <c r="O2676">
        <f t="shared" si="251"/>
        <v>0</v>
      </c>
      <c r="P2676">
        <f t="shared" si="248"/>
        <v>4400</v>
      </c>
      <c r="Q2676">
        <f t="shared" si="252"/>
        <v>4400</v>
      </c>
      <c r="T2676" s="16">
        <f t="shared" si="253"/>
        <v>-0.38478275585780541</v>
      </c>
    </row>
    <row r="2677" spans="7:20" ht="14.4" x14ac:dyDescent="0.25">
      <c r="G2677" s="10">
        <v>5640</v>
      </c>
      <c r="H2677" s="9">
        <v>39906</v>
      </c>
      <c r="I2677" s="14">
        <f>DATE(2012,12,31)-1385</f>
        <v>39889</v>
      </c>
      <c r="J2677" s="15" t="s">
        <v>16</v>
      </c>
      <c r="K2677" s="9">
        <v>25</v>
      </c>
      <c r="L2677" s="16" t="s">
        <v>26</v>
      </c>
      <c r="M2677" s="16">
        <f t="shared" si="249"/>
        <v>-3.9483872761697868E-2</v>
      </c>
      <c r="N2677">
        <f t="shared" si="250"/>
        <v>0</v>
      </c>
      <c r="O2677">
        <f t="shared" si="251"/>
        <v>0</v>
      </c>
      <c r="P2677">
        <f t="shared" si="248"/>
        <v>4650</v>
      </c>
      <c r="Q2677">
        <f t="shared" si="252"/>
        <v>4650</v>
      </c>
      <c r="T2677" s="16">
        <f t="shared" si="253"/>
        <v>-3.9483872761698249E-2</v>
      </c>
    </row>
    <row r="2678" spans="7:20" ht="14.4" x14ac:dyDescent="0.25">
      <c r="G2678" s="10">
        <v>5666</v>
      </c>
      <c r="H2678" s="9">
        <v>40097</v>
      </c>
      <c r="I2678" s="14">
        <f>DATE(2012,12,31)-1452</f>
        <v>39822</v>
      </c>
      <c r="J2678" s="15" t="s">
        <v>25</v>
      </c>
      <c r="K2678" s="9">
        <v>47</v>
      </c>
      <c r="L2678" s="16" t="s">
        <v>26</v>
      </c>
      <c r="M2678" s="16">
        <f t="shared" si="249"/>
        <v>1.4798312128611737</v>
      </c>
      <c r="N2678">
        <f t="shared" si="250"/>
        <v>0</v>
      </c>
      <c r="O2678">
        <f t="shared" si="251"/>
        <v>0</v>
      </c>
      <c r="P2678">
        <f t="shared" si="248"/>
        <v>5750</v>
      </c>
      <c r="Q2678">
        <f t="shared" si="252"/>
        <v>5750</v>
      </c>
      <c r="T2678" s="16">
        <f t="shared" si="253"/>
        <v>1.4798312128611733</v>
      </c>
    </row>
    <row r="2679" spans="7:20" ht="14.4" x14ac:dyDescent="0.25">
      <c r="G2679" s="10">
        <v>5685</v>
      </c>
      <c r="H2679" s="9">
        <v>40193</v>
      </c>
      <c r="I2679" s="14">
        <f>DATE(2012,12,31)-120</f>
        <v>41154</v>
      </c>
      <c r="J2679" s="15" t="s">
        <v>17</v>
      </c>
      <c r="K2679" s="9">
        <v>34</v>
      </c>
      <c r="L2679" s="16" t="s">
        <v>27</v>
      </c>
      <c r="M2679" s="16">
        <f t="shared" si="249"/>
        <v>0.58205411681129504</v>
      </c>
      <c r="N2679">
        <f t="shared" si="250"/>
        <v>0</v>
      </c>
      <c r="O2679">
        <f t="shared" si="251"/>
        <v>0</v>
      </c>
      <c r="P2679">
        <f t="shared" si="248"/>
        <v>5100</v>
      </c>
      <c r="Q2679">
        <f t="shared" si="252"/>
        <v>5100</v>
      </c>
      <c r="T2679" s="16">
        <f t="shared" si="253"/>
        <v>0.58205411681129471</v>
      </c>
    </row>
    <row r="2680" spans="7:20" ht="14.4" x14ac:dyDescent="0.25">
      <c r="G2680" s="10">
        <v>5693</v>
      </c>
      <c r="H2680" s="9">
        <v>40258</v>
      </c>
      <c r="I2680" s="14">
        <f>DATE(2012,12,31)-1362</f>
        <v>39912</v>
      </c>
      <c r="J2680" s="15" t="s">
        <v>28</v>
      </c>
      <c r="K2680" s="9">
        <v>31</v>
      </c>
      <c r="L2680" s="16" t="s">
        <v>26</v>
      </c>
      <c r="M2680" s="16">
        <f t="shared" si="249"/>
        <v>0.37487478695363075</v>
      </c>
      <c r="N2680">
        <f t="shared" si="250"/>
        <v>0</v>
      </c>
      <c r="O2680">
        <f t="shared" si="251"/>
        <v>0</v>
      </c>
      <c r="P2680">
        <f t="shared" si="248"/>
        <v>4950</v>
      </c>
      <c r="Q2680">
        <f t="shared" si="252"/>
        <v>4950</v>
      </c>
      <c r="T2680" s="16">
        <f t="shared" si="253"/>
        <v>0.37487478695363036</v>
      </c>
    </row>
    <row r="2681" spans="7:20" ht="14.4" x14ac:dyDescent="0.25">
      <c r="G2681" s="10">
        <v>5694</v>
      </c>
      <c r="H2681" s="9">
        <v>40258</v>
      </c>
      <c r="I2681" s="14">
        <f>DATE(2012,12,31)-1362</f>
        <v>39912</v>
      </c>
      <c r="J2681" s="15" t="s">
        <v>28</v>
      </c>
      <c r="K2681" s="9">
        <v>29</v>
      </c>
      <c r="L2681" s="16" t="s">
        <v>26</v>
      </c>
      <c r="M2681" s="16">
        <f t="shared" si="249"/>
        <v>0.23675523371518786</v>
      </c>
      <c r="N2681">
        <f t="shared" si="250"/>
        <v>0</v>
      </c>
      <c r="O2681">
        <f t="shared" si="251"/>
        <v>0</v>
      </c>
      <c r="P2681">
        <f t="shared" si="248"/>
        <v>4850</v>
      </c>
      <c r="Q2681">
        <f t="shared" si="252"/>
        <v>4850</v>
      </c>
      <c r="T2681" s="16">
        <f t="shared" si="253"/>
        <v>0.2367552337151875</v>
      </c>
    </row>
    <row r="2682" spans="7:20" ht="14.4" x14ac:dyDescent="0.25">
      <c r="G2682" s="10">
        <v>5721</v>
      </c>
      <c r="H2682" s="9">
        <v>40544</v>
      </c>
      <c r="I2682" s="14">
        <f>DATE(2012,12,31)-1365</f>
        <v>39909</v>
      </c>
      <c r="J2682" s="15" t="s">
        <v>25</v>
      </c>
      <c r="K2682" s="9">
        <v>39</v>
      </c>
      <c r="L2682" s="16" t="s">
        <v>29</v>
      </c>
      <c r="M2682" s="16">
        <f t="shared" si="249"/>
        <v>0.92735299990740228</v>
      </c>
      <c r="N2682">
        <f t="shared" si="250"/>
        <v>0</v>
      </c>
      <c r="O2682">
        <f t="shared" si="251"/>
        <v>0</v>
      </c>
      <c r="P2682">
        <f t="shared" si="248"/>
        <v>5350</v>
      </c>
      <c r="Q2682">
        <f t="shared" si="252"/>
        <v>5350</v>
      </c>
      <c r="T2682" s="16">
        <f t="shared" si="253"/>
        <v>0.92735299990740183</v>
      </c>
    </row>
    <row r="2683" spans="7:20" ht="14.4" x14ac:dyDescent="0.25">
      <c r="G2683" s="10">
        <v>5887</v>
      </c>
      <c r="H2683" s="9">
        <v>41765</v>
      </c>
      <c r="I2683" s="14">
        <f>DATE(2012,12,31)-1118</f>
        <v>40156</v>
      </c>
      <c r="J2683" s="15" t="s">
        <v>16</v>
      </c>
      <c r="K2683" s="9">
        <v>41</v>
      </c>
      <c r="L2683" s="16" t="s">
        <v>26</v>
      </c>
      <c r="M2683" s="16">
        <f t="shared" si="249"/>
        <v>1.0654725531458451</v>
      </c>
      <c r="N2683">
        <f t="shared" si="250"/>
        <v>0</v>
      </c>
      <c r="O2683">
        <f t="shared" si="251"/>
        <v>0</v>
      </c>
      <c r="P2683">
        <f t="shared" si="248"/>
        <v>5450</v>
      </c>
      <c r="Q2683">
        <f t="shared" si="252"/>
        <v>5450</v>
      </c>
      <c r="T2683" s="16">
        <f t="shared" si="253"/>
        <v>1.0654725531458447</v>
      </c>
    </row>
    <row r="2684" spans="7:20" ht="14.4" x14ac:dyDescent="0.25">
      <c r="G2684" s="10">
        <v>5949</v>
      </c>
      <c r="H2684" s="9">
        <v>42242</v>
      </c>
      <c r="I2684" s="14">
        <f>DATE(2012,12,31)-1370</f>
        <v>39904</v>
      </c>
      <c r="J2684" s="15" t="s">
        <v>28</v>
      </c>
      <c r="K2684" s="9">
        <v>23</v>
      </c>
      <c r="L2684" s="16" t="s">
        <v>26</v>
      </c>
      <c r="M2684" s="16">
        <f t="shared" si="249"/>
        <v>-0.17760342600014073</v>
      </c>
      <c r="N2684">
        <f t="shared" si="250"/>
        <v>0</v>
      </c>
      <c r="O2684">
        <f t="shared" si="251"/>
        <v>0</v>
      </c>
      <c r="P2684">
        <f t="shared" si="248"/>
        <v>4550</v>
      </c>
      <c r="Q2684">
        <f t="shared" si="252"/>
        <v>4550</v>
      </c>
      <c r="T2684" s="16">
        <f t="shared" si="253"/>
        <v>-0.17760342600014112</v>
      </c>
    </row>
    <row r="2685" spans="7:20" ht="14.4" x14ac:dyDescent="0.25">
      <c r="G2685" s="10">
        <v>5950</v>
      </c>
      <c r="H2685" s="9">
        <v>42242</v>
      </c>
      <c r="I2685" s="14">
        <f>DATE(2012,12,31)-1370</f>
        <v>39904</v>
      </c>
      <c r="J2685" s="15" t="s">
        <v>28</v>
      </c>
      <c r="K2685" s="9">
        <v>15</v>
      </c>
      <c r="L2685" s="16" t="s">
        <v>27</v>
      </c>
      <c r="M2685" s="16">
        <f t="shared" si="249"/>
        <v>-0.7300816389539122</v>
      </c>
      <c r="N2685">
        <f t="shared" si="250"/>
        <v>0</v>
      </c>
      <c r="O2685">
        <f t="shared" si="251"/>
        <v>0</v>
      </c>
      <c r="P2685">
        <f t="shared" si="248"/>
        <v>4150</v>
      </c>
      <c r="Q2685">
        <f t="shared" si="252"/>
        <v>4150</v>
      </c>
      <c r="T2685" s="16">
        <f t="shared" si="253"/>
        <v>-0.73008163895391265</v>
      </c>
    </row>
    <row r="2686" spans="7:20" ht="14.4" x14ac:dyDescent="0.25">
      <c r="G2686" s="10">
        <v>5951</v>
      </c>
      <c r="H2686" s="9">
        <v>42242</v>
      </c>
      <c r="I2686" s="14">
        <f>DATE(2012,12,31)-1370</f>
        <v>39904</v>
      </c>
      <c r="J2686" s="15" t="s">
        <v>28</v>
      </c>
      <c r="K2686" s="9">
        <v>23</v>
      </c>
      <c r="L2686" s="16" t="s">
        <v>27</v>
      </c>
      <c r="M2686" s="16">
        <f t="shared" si="249"/>
        <v>-0.17760342600014073</v>
      </c>
      <c r="N2686">
        <f t="shared" si="250"/>
        <v>0</v>
      </c>
      <c r="O2686">
        <f t="shared" si="251"/>
        <v>0</v>
      </c>
      <c r="P2686">
        <f t="shared" si="248"/>
        <v>4550</v>
      </c>
      <c r="Q2686">
        <f t="shared" si="252"/>
        <v>4550</v>
      </c>
      <c r="T2686" s="16">
        <f t="shared" si="253"/>
        <v>-0.17760342600014112</v>
      </c>
    </row>
    <row r="2687" spans="7:20" ht="14.4" x14ac:dyDescent="0.25">
      <c r="G2687" s="10">
        <v>5974</v>
      </c>
      <c r="H2687" s="9">
        <v>42369</v>
      </c>
      <c r="I2687" s="14">
        <f>DATE(2012,12,31)-879</f>
        <v>40395</v>
      </c>
      <c r="J2687" s="15" t="s">
        <v>30</v>
      </c>
      <c r="K2687" s="9">
        <v>44</v>
      </c>
      <c r="L2687" s="16" t="s">
        <v>27</v>
      </c>
      <c r="M2687" s="16">
        <f t="shared" si="249"/>
        <v>1.2726518830035094</v>
      </c>
      <c r="N2687">
        <f t="shared" si="250"/>
        <v>0</v>
      </c>
      <c r="O2687">
        <f t="shared" si="251"/>
        <v>0</v>
      </c>
      <c r="P2687">
        <f t="shared" si="248"/>
        <v>5600</v>
      </c>
      <c r="Q2687">
        <f t="shared" si="252"/>
        <v>5600</v>
      </c>
      <c r="T2687" s="16">
        <f t="shared" si="253"/>
        <v>1.272651883003509</v>
      </c>
    </row>
    <row r="2688" spans="7:20" ht="14.4" x14ac:dyDescent="0.25">
      <c r="G2688" s="10">
        <v>6022</v>
      </c>
      <c r="H2688" s="9">
        <v>42690</v>
      </c>
      <c r="I2688" s="14">
        <f>DATE(2012,12,31)-825</f>
        <v>40449</v>
      </c>
      <c r="J2688" s="15" t="s">
        <v>25</v>
      </c>
      <c r="K2688" s="9">
        <v>44</v>
      </c>
      <c r="L2688" s="16" t="s">
        <v>26</v>
      </c>
      <c r="M2688" s="16">
        <f t="shared" si="249"/>
        <v>1.2726518830035094</v>
      </c>
      <c r="N2688">
        <f t="shared" si="250"/>
        <v>0</v>
      </c>
      <c r="O2688">
        <f t="shared" si="251"/>
        <v>0</v>
      </c>
      <c r="P2688">
        <f t="shared" si="248"/>
        <v>5600</v>
      </c>
      <c r="Q2688">
        <f t="shared" si="252"/>
        <v>5600</v>
      </c>
      <c r="T2688" s="16">
        <f t="shared" si="253"/>
        <v>1.272651883003509</v>
      </c>
    </row>
    <row r="2689" spans="7:20" ht="14.4" x14ac:dyDescent="0.25">
      <c r="G2689" s="10">
        <v>6023</v>
      </c>
      <c r="H2689" s="9">
        <v>42690</v>
      </c>
      <c r="I2689" s="14">
        <f>DATE(2012,12,31)-825</f>
        <v>40449</v>
      </c>
      <c r="J2689" s="15" t="s">
        <v>25</v>
      </c>
      <c r="K2689" s="9">
        <v>48</v>
      </c>
      <c r="L2689" s="16" t="s">
        <v>26</v>
      </c>
      <c r="M2689" s="16">
        <f t="shared" si="249"/>
        <v>1.5488909894803951</v>
      </c>
      <c r="N2689">
        <f t="shared" si="250"/>
        <v>0</v>
      </c>
      <c r="O2689">
        <f t="shared" si="251"/>
        <v>0</v>
      </c>
      <c r="P2689">
        <f t="shared" si="248"/>
        <v>5800</v>
      </c>
      <c r="Q2689">
        <f t="shared" si="252"/>
        <v>5800</v>
      </c>
      <c r="T2689" s="16">
        <f t="shared" si="253"/>
        <v>1.5488909894803948</v>
      </c>
    </row>
    <row r="2690" spans="7:20" ht="14.4" x14ac:dyDescent="0.25">
      <c r="G2690" s="10">
        <v>6369</v>
      </c>
      <c r="H2690" s="9">
        <v>45184</v>
      </c>
      <c r="I2690" s="14">
        <f>DATE(2012,12,31)-928</f>
        <v>40346</v>
      </c>
      <c r="J2690" s="15" t="s">
        <v>25</v>
      </c>
      <c r="K2690" s="9">
        <v>25</v>
      </c>
      <c r="L2690" s="16" t="s">
        <v>27</v>
      </c>
      <c r="M2690" s="16">
        <f t="shared" si="249"/>
        <v>-3.9483872761697868E-2</v>
      </c>
      <c r="N2690">
        <f t="shared" si="250"/>
        <v>0</v>
      </c>
      <c r="O2690">
        <f t="shared" si="251"/>
        <v>0</v>
      </c>
      <c r="P2690">
        <f t="shared" si="248"/>
        <v>4650</v>
      </c>
      <c r="Q2690">
        <f t="shared" si="252"/>
        <v>4650</v>
      </c>
      <c r="T2690" s="16">
        <f t="shared" si="253"/>
        <v>-3.9483872761698249E-2</v>
      </c>
    </row>
    <row r="2691" spans="7:20" ht="14.4" x14ac:dyDescent="0.25">
      <c r="G2691" s="10">
        <v>6370</v>
      </c>
      <c r="H2691" s="9">
        <v>45184</v>
      </c>
      <c r="I2691" s="14">
        <f>DATE(2012,12,31)-928</f>
        <v>40346</v>
      </c>
      <c r="J2691" s="15" t="s">
        <v>25</v>
      </c>
      <c r="K2691" s="9">
        <v>10</v>
      </c>
      <c r="L2691" s="16" t="s">
        <v>26</v>
      </c>
      <c r="M2691" s="16">
        <f t="shared" si="249"/>
        <v>-1.0753805220500194</v>
      </c>
      <c r="N2691">
        <f t="shared" si="250"/>
        <v>0</v>
      </c>
      <c r="O2691">
        <f t="shared" si="251"/>
        <v>0</v>
      </c>
      <c r="P2691">
        <f t="shared" si="248"/>
        <v>3900</v>
      </c>
      <c r="Q2691">
        <f t="shared" si="252"/>
        <v>3900</v>
      </c>
      <c r="T2691" s="16">
        <f t="shared" si="253"/>
        <v>-1.0753805220500199</v>
      </c>
    </row>
    <row r="2692" spans="7:20" ht="14.4" x14ac:dyDescent="0.25">
      <c r="G2692" s="10">
        <v>6421</v>
      </c>
      <c r="H2692" s="9">
        <v>45632</v>
      </c>
      <c r="I2692" s="14">
        <f>DATE(2012,12,31)-966</f>
        <v>40308</v>
      </c>
      <c r="J2692" s="15" t="s">
        <v>28</v>
      </c>
      <c r="K2692" s="9">
        <v>50</v>
      </c>
      <c r="L2692" s="16" t="s">
        <v>29</v>
      </c>
      <c r="M2692" s="16">
        <f t="shared" si="249"/>
        <v>1.687010542718838</v>
      </c>
      <c r="N2692">
        <f t="shared" si="250"/>
        <v>0</v>
      </c>
      <c r="O2692">
        <f t="shared" si="251"/>
        <v>0</v>
      </c>
      <c r="P2692">
        <f t="shared" si="248"/>
        <v>5900</v>
      </c>
      <c r="Q2692">
        <f t="shared" si="252"/>
        <v>5900</v>
      </c>
      <c r="T2692" s="16">
        <f t="shared" si="253"/>
        <v>1.6870105427188375</v>
      </c>
    </row>
    <row r="2693" spans="7:20" ht="14.4" x14ac:dyDescent="0.25">
      <c r="G2693" s="10">
        <v>6499</v>
      </c>
      <c r="H2693" s="9">
        <v>46276</v>
      </c>
      <c r="I2693" s="14">
        <f>DATE(2012,12,31)-22</f>
        <v>41252</v>
      </c>
      <c r="J2693" s="15" t="s">
        <v>30</v>
      </c>
      <c r="K2693" s="9">
        <v>4</v>
      </c>
      <c r="L2693" s="16" t="s">
        <v>27</v>
      </c>
      <c r="M2693" s="16">
        <f t="shared" si="249"/>
        <v>-1.489739181765348</v>
      </c>
      <c r="N2693">
        <f t="shared" si="250"/>
        <v>0</v>
      </c>
      <c r="O2693">
        <f t="shared" si="251"/>
        <v>0</v>
      </c>
      <c r="P2693">
        <f t="shared" si="248"/>
        <v>3600</v>
      </c>
      <c r="Q2693">
        <f t="shared" si="252"/>
        <v>3600</v>
      </c>
      <c r="T2693" s="16">
        <f t="shared" si="253"/>
        <v>-1.4897391817653485</v>
      </c>
    </row>
    <row r="2694" spans="7:20" ht="14.4" x14ac:dyDescent="0.25">
      <c r="G2694" s="10">
        <v>6500</v>
      </c>
      <c r="H2694" s="9">
        <v>46276</v>
      </c>
      <c r="I2694" s="14">
        <f>DATE(2012,12,31)-22</f>
        <v>41252</v>
      </c>
      <c r="J2694" s="15" t="s">
        <v>30</v>
      </c>
      <c r="K2694" s="9">
        <v>23</v>
      </c>
      <c r="L2694" s="16" t="s">
        <v>27</v>
      </c>
      <c r="M2694" s="16">
        <f t="shared" si="249"/>
        <v>-0.17760342600014073</v>
      </c>
      <c r="N2694">
        <f t="shared" si="250"/>
        <v>0</v>
      </c>
      <c r="O2694">
        <f t="shared" si="251"/>
        <v>0</v>
      </c>
      <c r="P2694">
        <f t="shared" si="248"/>
        <v>4550</v>
      </c>
      <c r="Q2694">
        <f t="shared" si="252"/>
        <v>4550</v>
      </c>
      <c r="T2694" s="16">
        <f t="shared" si="253"/>
        <v>-0.17760342600014112</v>
      </c>
    </row>
    <row r="2695" spans="7:20" ht="14.4" x14ac:dyDescent="0.25">
      <c r="G2695" s="10">
        <v>6551</v>
      </c>
      <c r="H2695" s="9">
        <v>46566</v>
      </c>
      <c r="I2695" s="14">
        <f>DATE(2012,12,31)-266</f>
        <v>41008</v>
      </c>
      <c r="J2695" s="15" t="s">
        <v>16</v>
      </c>
      <c r="K2695" s="9">
        <v>49</v>
      </c>
      <c r="L2695" s="16" t="s">
        <v>27</v>
      </c>
      <c r="M2695" s="16">
        <f t="shared" si="249"/>
        <v>1.6179507660996166</v>
      </c>
      <c r="N2695">
        <f t="shared" si="250"/>
        <v>0</v>
      </c>
      <c r="O2695">
        <f t="shared" si="251"/>
        <v>0</v>
      </c>
      <c r="P2695">
        <f t="shared" si="248"/>
        <v>5850</v>
      </c>
      <c r="Q2695">
        <f t="shared" si="252"/>
        <v>5850</v>
      </c>
      <c r="T2695" s="16">
        <f t="shared" si="253"/>
        <v>1.6179507660996162</v>
      </c>
    </row>
    <row r="2696" spans="7:20" ht="14.4" x14ac:dyDescent="0.25">
      <c r="G2696" s="10">
        <v>6770</v>
      </c>
      <c r="H2696" s="9">
        <v>48198</v>
      </c>
      <c r="I2696" s="14">
        <f>DATE(2012,12,31)-1137</f>
        <v>40137</v>
      </c>
      <c r="J2696" s="15" t="s">
        <v>30</v>
      </c>
      <c r="K2696" s="9">
        <v>7</v>
      </c>
      <c r="L2696" s="16" t="s">
        <v>27</v>
      </c>
      <c r="M2696" s="16">
        <f t="shared" si="249"/>
        <v>-1.2825598519076837</v>
      </c>
      <c r="N2696">
        <f t="shared" si="250"/>
        <v>0</v>
      </c>
      <c r="O2696">
        <f t="shared" si="251"/>
        <v>0</v>
      </c>
      <c r="P2696">
        <f t="shared" si="248"/>
        <v>3750</v>
      </c>
      <c r="Q2696">
        <f t="shared" si="252"/>
        <v>3750</v>
      </c>
      <c r="T2696" s="16">
        <f t="shared" si="253"/>
        <v>-1.2825598519076842</v>
      </c>
    </row>
    <row r="2697" spans="7:20" ht="14.4" x14ac:dyDescent="0.25">
      <c r="G2697" s="10">
        <v>6771</v>
      </c>
      <c r="H2697" s="9">
        <v>48198</v>
      </c>
      <c r="I2697" s="14">
        <f>DATE(2012,12,31)-1137</f>
        <v>40137</v>
      </c>
      <c r="J2697" s="15" t="s">
        <v>30</v>
      </c>
      <c r="K2697" s="9">
        <v>45</v>
      </c>
      <c r="L2697" s="16" t="s">
        <v>26</v>
      </c>
      <c r="M2697" s="16">
        <f t="shared" si="249"/>
        <v>1.3417116596227308</v>
      </c>
      <c r="N2697">
        <f t="shared" si="250"/>
        <v>0</v>
      </c>
      <c r="O2697">
        <f t="shared" si="251"/>
        <v>0</v>
      </c>
      <c r="P2697">
        <f t="shared" si="248"/>
        <v>5650</v>
      </c>
      <c r="Q2697">
        <f t="shared" si="252"/>
        <v>5650</v>
      </c>
      <c r="T2697" s="16">
        <f t="shared" si="253"/>
        <v>1.3417116596227305</v>
      </c>
    </row>
    <row r="2698" spans="7:20" ht="14.4" x14ac:dyDescent="0.25">
      <c r="G2698" s="10">
        <v>6802</v>
      </c>
      <c r="H2698" s="9">
        <v>48453</v>
      </c>
      <c r="I2698" s="14">
        <f>DATE(2012,12,31)-1254</f>
        <v>40020</v>
      </c>
      <c r="J2698" s="15" t="s">
        <v>16</v>
      </c>
      <c r="K2698" s="9">
        <v>50</v>
      </c>
      <c r="L2698" s="16" t="s">
        <v>29</v>
      </c>
      <c r="M2698" s="16">
        <f t="shared" si="249"/>
        <v>1.687010542718838</v>
      </c>
      <c r="N2698">
        <f t="shared" si="250"/>
        <v>0</v>
      </c>
      <c r="O2698">
        <f t="shared" si="251"/>
        <v>0</v>
      </c>
      <c r="P2698">
        <f t="shared" si="248"/>
        <v>5900</v>
      </c>
      <c r="Q2698">
        <f t="shared" si="252"/>
        <v>5900</v>
      </c>
      <c r="T2698" s="16">
        <f t="shared" si="253"/>
        <v>1.6870105427188375</v>
      </c>
    </row>
    <row r="2699" spans="7:20" ht="14.4" x14ac:dyDescent="0.25">
      <c r="G2699" s="10">
        <v>6817</v>
      </c>
      <c r="H2699" s="9">
        <v>48518</v>
      </c>
      <c r="I2699" s="14">
        <f>DATE(2012,12,31)-1369</f>
        <v>39905</v>
      </c>
      <c r="J2699" s="15" t="s">
        <v>16</v>
      </c>
      <c r="K2699" s="9">
        <v>17</v>
      </c>
      <c r="L2699" s="16" t="s">
        <v>26</v>
      </c>
      <c r="M2699" s="16">
        <f t="shared" si="249"/>
        <v>-0.59196208571546938</v>
      </c>
      <c r="N2699">
        <f t="shared" si="250"/>
        <v>0</v>
      </c>
      <c r="O2699">
        <f t="shared" si="251"/>
        <v>0</v>
      </c>
      <c r="P2699">
        <f t="shared" si="248"/>
        <v>4250</v>
      </c>
      <c r="Q2699">
        <f t="shared" si="252"/>
        <v>4250</v>
      </c>
      <c r="T2699" s="16">
        <f t="shared" si="253"/>
        <v>-0.59196208571546971</v>
      </c>
    </row>
    <row r="2700" spans="7:20" ht="14.4" x14ac:dyDescent="0.25">
      <c r="G2700" s="10">
        <v>6919</v>
      </c>
      <c r="H2700" s="9">
        <v>49349</v>
      </c>
      <c r="I2700" s="14">
        <f>DATE(2012,12,31)-579</f>
        <v>40695</v>
      </c>
      <c r="J2700" s="15" t="s">
        <v>17</v>
      </c>
      <c r="K2700" s="9">
        <v>11</v>
      </c>
      <c r="L2700" s="16" t="s">
        <v>26</v>
      </c>
      <c r="M2700" s="16">
        <f t="shared" si="249"/>
        <v>-1.0063207454307979</v>
      </c>
      <c r="N2700">
        <f t="shared" si="250"/>
        <v>0</v>
      </c>
      <c r="O2700">
        <f t="shared" si="251"/>
        <v>0</v>
      </c>
      <c r="P2700">
        <f t="shared" ref="P2700:P2763" si="254">50*K2700+$P$10</f>
        <v>3950</v>
      </c>
      <c r="Q2700">
        <f t="shared" si="252"/>
        <v>3950</v>
      </c>
      <c r="T2700" s="16">
        <f t="shared" si="253"/>
        <v>-1.0063207454307983</v>
      </c>
    </row>
    <row r="2701" spans="7:20" ht="14.4" x14ac:dyDescent="0.25">
      <c r="G2701" s="10">
        <v>6920</v>
      </c>
      <c r="H2701" s="9">
        <v>49349</v>
      </c>
      <c r="I2701" s="14">
        <f>DATE(2012,12,31)-579</f>
        <v>40695</v>
      </c>
      <c r="J2701" s="15" t="s">
        <v>17</v>
      </c>
      <c r="K2701" s="9">
        <v>23</v>
      </c>
      <c r="L2701" s="16" t="s">
        <v>26</v>
      </c>
      <c r="M2701" s="16">
        <f t="shared" ref="M2701:M2764" si="255">(K2701-$K$4)/$K$7</f>
        <v>-0.17760342600014073</v>
      </c>
      <c r="N2701">
        <f t="shared" ref="N2701:N2764" si="256">IF(MOD($B$20+G2701,1000)=0,1,0)</f>
        <v>0</v>
      </c>
      <c r="O2701">
        <f t="shared" ref="O2701:O2764" si="257">+ROUND(N2701*(IF(K2701&lt;$K$4,-4.5,10.5)*$P$5),-2)</f>
        <v>0</v>
      </c>
      <c r="P2701">
        <f t="shared" si="254"/>
        <v>4550</v>
      </c>
      <c r="Q2701">
        <f t="shared" ref="Q2701:Q2764" si="258">P2701+O2701</f>
        <v>4550</v>
      </c>
      <c r="T2701" s="16">
        <f t="shared" ref="T2701:T2764" si="259">(Q2701-$P$4)/$P$5</f>
        <v>-0.17760342600014112</v>
      </c>
    </row>
    <row r="2702" spans="7:20" ht="14.4" x14ac:dyDescent="0.25">
      <c r="G2702" s="10">
        <v>6952</v>
      </c>
      <c r="H2702" s="9">
        <v>49668</v>
      </c>
      <c r="I2702" s="14">
        <f>DATE(2012,12,31)-1125</f>
        <v>40149</v>
      </c>
      <c r="J2702" s="15" t="s">
        <v>25</v>
      </c>
      <c r="K2702" s="9">
        <v>25</v>
      </c>
      <c r="L2702" s="16" t="s">
        <v>26</v>
      </c>
      <c r="M2702" s="16">
        <f t="shared" si="255"/>
        <v>-3.9483872761697868E-2</v>
      </c>
      <c r="N2702">
        <f t="shared" si="256"/>
        <v>0</v>
      </c>
      <c r="O2702">
        <f t="shared" si="257"/>
        <v>0</v>
      </c>
      <c r="P2702">
        <f t="shared" si="254"/>
        <v>4650</v>
      </c>
      <c r="Q2702">
        <f t="shared" si="258"/>
        <v>4650</v>
      </c>
      <c r="T2702" s="16">
        <f t="shared" si="259"/>
        <v>-3.9483872761698249E-2</v>
      </c>
    </row>
    <row r="2703" spans="7:20" ht="14.4" x14ac:dyDescent="0.25">
      <c r="G2703" s="10">
        <v>7050</v>
      </c>
      <c r="H2703" s="9">
        <v>50309</v>
      </c>
      <c r="I2703" s="14">
        <f>DATE(2012,12,31)-657</f>
        <v>40617</v>
      </c>
      <c r="J2703" s="15" t="s">
        <v>25</v>
      </c>
      <c r="K2703" s="9">
        <v>36</v>
      </c>
      <c r="L2703" s="16" t="s">
        <v>26</v>
      </c>
      <c r="M2703" s="16">
        <f t="shared" si="255"/>
        <v>0.72017367004973787</v>
      </c>
      <c r="N2703">
        <f t="shared" si="256"/>
        <v>0</v>
      </c>
      <c r="O2703">
        <f t="shared" si="257"/>
        <v>0</v>
      </c>
      <c r="P2703">
        <f t="shared" si="254"/>
        <v>5200</v>
      </c>
      <c r="Q2703">
        <f t="shared" si="258"/>
        <v>5200</v>
      </c>
      <c r="T2703" s="16">
        <f t="shared" si="259"/>
        <v>0.72017367004973754</v>
      </c>
    </row>
    <row r="2704" spans="7:20" ht="14.4" x14ac:dyDescent="0.25">
      <c r="G2704" s="10">
        <v>7349</v>
      </c>
      <c r="H2704" s="9">
        <v>52327</v>
      </c>
      <c r="I2704" s="14">
        <f>DATE(2012,12,31)-377</f>
        <v>40897</v>
      </c>
      <c r="J2704" s="15" t="s">
        <v>16</v>
      </c>
      <c r="K2704" s="9">
        <v>27</v>
      </c>
      <c r="L2704" s="16" t="s">
        <v>27</v>
      </c>
      <c r="M2704" s="16">
        <f t="shared" si="255"/>
        <v>9.8635680476745008E-2</v>
      </c>
      <c r="N2704">
        <f t="shared" si="256"/>
        <v>0</v>
      </c>
      <c r="O2704">
        <f t="shared" si="257"/>
        <v>0</v>
      </c>
      <c r="P2704">
        <f t="shared" si="254"/>
        <v>4750</v>
      </c>
      <c r="Q2704">
        <f t="shared" si="258"/>
        <v>4750</v>
      </c>
      <c r="T2704" s="16">
        <f t="shared" si="259"/>
        <v>9.8635680476744619E-2</v>
      </c>
    </row>
    <row r="2705" spans="7:20" ht="14.4" x14ac:dyDescent="0.25">
      <c r="G2705" s="10">
        <v>7350</v>
      </c>
      <c r="H2705" s="9">
        <v>52327</v>
      </c>
      <c r="I2705" s="14">
        <f>DATE(2012,12,31)-377</f>
        <v>40897</v>
      </c>
      <c r="J2705" s="15" t="s">
        <v>16</v>
      </c>
      <c r="K2705" s="9">
        <v>5</v>
      </c>
      <c r="L2705" s="16" t="s">
        <v>26</v>
      </c>
      <c r="M2705" s="16">
        <f t="shared" si="255"/>
        <v>-1.4206794051461267</v>
      </c>
      <c r="N2705">
        <f t="shared" si="256"/>
        <v>0</v>
      </c>
      <c r="O2705">
        <f t="shared" si="257"/>
        <v>0</v>
      </c>
      <c r="P2705">
        <f t="shared" si="254"/>
        <v>3650</v>
      </c>
      <c r="Q2705">
        <f t="shared" si="258"/>
        <v>3650</v>
      </c>
      <c r="T2705" s="16">
        <f t="shared" si="259"/>
        <v>-1.4206794051461269</v>
      </c>
    </row>
    <row r="2706" spans="7:20" ht="14.4" x14ac:dyDescent="0.25">
      <c r="G2706" s="10">
        <v>7369</v>
      </c>
      <c r="H2706" s="9">
        <v>52516</v>
      </c>
      <c r="I2706" s="14">
        <f>DATE(2012,12,31)-361</f>
        <v>40913</v>
      </c>
      <c r="J2706" s="15" t="s">
        <v>17</v>
      </c>
      <c r="K2706" s="9">
        <v>50</v>
      </c>
      <c r="L2706" s="16" t="s">
        <v>27</v>
      </c>
      <c r="M2706" s="16">
        <f t="shared" si="255"/>
        <v>1.687010542718838</v>
      </c>
      <c r="N2706">
        <f t="shared" si="256"/>
        <v>0</v>
      </c>
      <c r="O2706">
        <f t="shared" si="257"/>
        <v>0</v>
      </c>
      <c r="P2706">
        <f t="shared" si="254"/>
        <v>5900</v>
      </c>
      <c r="Q2706">
        <f t="shared" si="258"/>
        <v>5900</v>
      </c>
      <c r="T2706" s="16">
        <f t="shared" si="259"/>
        <v>1.6870105427188375</v>
      </c>
    </row>
    <row r="2707" spans="7:20" ht="14.4" x14ac:dyDescent="0.25">
      <c r="G2707" s="10">
        <v>7370</v>
      </c>
      <c r="H2707" s="9">
        <v>52516</v>
      </c>
      <c r="I2707" s="14">
        <f>DATE(2012,12,31)-361</f>
        <v>40913</v>
      </c>
      <c r="J2707" s="15" t="s">
        <v>17</v>
      </c>
      <c r="K2707" s="9">
        <v>19</v>
      </c>
      <c r="L2707" s="16" t="s">
        <v>26</v>
      </c>
      <c r="M2707" s="16">
        <f t="shared" si="255"/>
        <v>-0.45384253247702649</v>
      </c>
      <c r="N2707">
        <f t="shared" si="256"/>
        <v>0</v>
      </c>
      <c r="O2707">
        <f t="shared" si="257"/>
        <v>0</v>
      </c>
      <c r="P2707">
        <f t="shared" si="254"/>
        <v>4350</v>
      </c>
      <c r="Q2707">
        <f t="shared" si="258"/>
        <v>4350</v>
      </c>
      <c r="T2707" s="16">
        <f t="shared" si="259"/>
        <v>-0.45384253247702688</v>
      </c>
    </row>
    <row r="2708" spans="7:20" ht="14.4" x14ac:dyDescent="0.25">
      <c r="G2708" s="10">
        <v>7402</v>
      </c>
      <c r="H2708" s="9">
        <v>52800</v>
      </c>
      <c r="I2708" s="14">
        <f>DATE(2012,12,31)-813</f>
        <v>40461</v>
      </c>
      <c r="J2708" s="15" t="s">
        <v>28</v>
      </c>
      <c r="K2708" s="9">
        <v>13</v>
      </c>
      <c r="L2708" s="16" t="s">
        <v>26</v>
      </c>
      <c r="M2708" s="16">
        <f t="shared" si="255"/>
        <v>-0.86820119219235514</v>
      </c>
      <c r="N2708">
        <f t="shared" si="256"/>
        <v>0</v>
      </c>
      <c r="O2708">
        <f t="shared" si="257"/>
        <v>0</v>
      </c>
      <c r="P2708">
        <f t="shared" si="254"/>
        <v>4050</v>
      </c>
      <c r="Q2708">
        <f t="shared" si="258"/>
        <v>4050</v>
      </c>
      <c r="T2708" s="16">
        <f t="shared" si="259"/>
        <v>-0.86820119219235548</v>
      </c>
    </row>
    <row r="2709" spans="7:20" ht="14.4" x14ac:dyDescent="0.25">
      <c r="G2709" s="10">
        <v>7508</v>
      </c>
      <c r="H2709" s="9">
        <v>53574</v>
      </c>
      <c r="I2709" s="14">
        <f>DATE(2012,12,31)-266</f>
        <v>41008</v>
      </c>
      <c r="J2709" s="15" t="s">
        <v>16</v>
      </c>
      <c r="K2709" s="9">
        <v>8</v>
      </c>
      <c r="L2709" s="16" t="s">
        <v>26</v>
      </c>
      <c r="M2709" s="16">
        <f t="shared" si="255"/>
        <v>-1.2135000752884624</v>
      </c>
      <c r="N2709">
        <f t="shared" si="256"/>
        <v>0</v>
      </c>
      <c r="O2709">
        <f t="shared" si="257"/>
        <v>0</v>
      </c>
      <c r="P2709">
        <f t="shared" si="254"/>
        <v>3800</v>
      </c>
      <c r="Q2709">
        <f t="shared" si="258"/>
        <v>3800</v>
      </c>
      <c r="T2709" s="16">
        <f t="shared" si="259"/>
        <v>-1.2135000752884626</v>
      </c>
    </row>
    <row r="2710" spans="7:20" ht="14.4" x14ac:dyDescent="0.25">
      <c r="G2710" s="10">
        <v>7552</v>
      </c>
      <c r="H2710" s="9">
        <v>54023</v>
      </c>
      <c r="I2710" s="14">
        <f>DATE(2012,12,31)-162</f>
        <v>41112</v>
      </c>
      <c r="J2710" s="15" t="s">
        <v>28</v>
      </c>
      <c r="K2710" s="9">
        <v>45</v>
      </c>
      <c r="L2710" s="16" t="s">
        <v>26</v>
      </c>
      <c r="M2710" s="16">
        <f t="shared" si="255"/>
        <v>1.3417116596227308</v>
      </c>
      <c r="N2710">
        <f t="shared" si="256"/>
        <v>0</v>
      </c>
      <c r="O2710">
        <f t="shared" si="257"/>
        <v>0</v>
      </c>
      <c r="P2710">
        <f t="shared" si="254"/>
        <v>5650</v>
      </c>
      <c r="Q2710">
        <f t="shared" si="258"/>
        <v>5650</v>
      </c>
      <c r="T2710" s="16">
        <f t="shared" si="259"/>
        <v>1.3417116596227305</v>
      </c>
    </row>
    <row r="2711" spans="7:20" ht="14.4" x14ac:dyDescent="0.25">
      <c r="G2711" s="10">
        <v>7709</v>
      </c>
      <c r="H2711" s="9">
        <v>55265</v>
      </c>
      <c r="I2711" s="14">
        <f>DATE(2012,12,31)-1195</f>
        <v>40079</v>
      </c>
      <c r="J2711" s="15" t="s">
        <v>25</v>
      </c>
      <c r="K2711" s="9">
        <v>39</v>
      </c>
      <c r="L2711" s="16" t="s">
        <v>27</v>
      </c>
      <c r="M2711" s="16">
        <f t="shared" si="255"/>
        <v>0.92735299990740228</v>
      </c>
      <c r="N2711">
        <f t="shared" si="256"/>
        <v>0</v>
      </c>
      <c r="O2711">
        <f t="shared" si="257"/>
        <v>0</v>
      </c>
      <c r="P2711">
        <f t="shared" si="254"/>
        <v>5350</v>
      </c>
      <c r="Q2711">
        <f t="shared" si="258"/>
        <v>5350</v>
      </c>
      <c r="T2711" s="16">
        <f t="shared" si="259"/>
        <v>0.92735299990740183</v>
      </c>
    </row>
    <row r="2712" spans="7:20" ht="14.4" x14ac:dyDescent="0.25">
      <c r="G2712" s="10">
        <v>7737</v>
      </c>
      <c r="H2712" s="9">
        <v>55398</v>
      </c>
      <c r="I2712" s="14">
        <f>DATE(2012,12,31)-1076</f>
        <v>40198</v>
      </c>
      <c r="J2712" s="15" t="s">
        <v>16</v>
      </c>
      <c r="K2712" s="9">
        <v>24</v>
      </c>
      <c r="L2712" s="16" t="s">
        <v>26</v>
      </c>
      <c r="M2712" s="16">
        <f t="shared" si="255"/>
        <v>-0.1085436493809193</v>
      </c>
      <c r="N2712">
        <f t="shared" si="256"/>
        <v>0</v>
      </c>
      <c r="O2712">
        <f t="shared" si="257"/>
        <v>0</v>
      </c>
      <c r="P2712">
        <f t="shared" si="254"/>
        <v>4600</v>
      </c>
      <c r="Q2712">
        <f t="shared" si="258"/>
        <v>4600</v>
      </c>
      <c r="T2712" s="16">
        <f t="shared" si="259"/>
        <v>-0.10854364938091969</v>
      </c>
    </row>
    <row r="2713" spans="7:20" ht="14.4" x14ac:dyDescent="0.25">
      <c r="G2713" s="10">
        <v>7745</v>
      </c>
      <c r="H2713" s="9">
        <v>55458</v>
      </c>
      <c r="I2713" s="14">
        <f>DATE(2012,12,31)-290</f>
        <v>40984</v>
      </c>
      <c r="J2713" s="15" t="s">
        <v>17</v>
      </c>
      <c r="K2713" s="9">
        <v>32</v>
      </c>
      <c r="L2713" s="16" t="s">
        <v>26</v>
      </c>
      <c r="M2713" s="16">
        <f t="shared" si="255"/>
        <v>0.44393456357285216</v>
      </c>
      <c r="N2713">
        <f t="shared" si="256"/>
        <v>0</v>
      </c>
      <c r="O2713">
        <f t="shared" si="257"/>
        <v>0</v>
      </c>
      <c r="P2713">
        <f t="shared" si="254"/>
        <v>5000</v>
      </c>
      <c r="Q2713">
        <f t="shared" si="258"/>
        <v>5000</v>
      </c>
      <c r="T2713" s="16">
        <f t="shared" si="259"/>
        <v>0.44393456357285183</v>
      </c>
    </row>
    <row r="2714" spans="7:20" ht="14.4" x14ac:dyDescent="0.25">
      <c r="G2714" s="10">
        <v>7746</v>
      </c>
      <c r="H2714" s="9">
        <v>55458</v>
      </c>
      <c r="I2714" s="14">
        <f>DATE(2012,12,31)-290</f>
        <v>40984</v>
      </c>
      <c r="J2714" s="15" t="s">
        <v>17</v>
      </c>
      <c r="K2714" s="9">
        <v>13</v>
      </c>
      <c r="L2714" s="16" t="s">
        <v>26</v>
      </c>
      <c r="M2714" s="16">
        <f t="shared" si="255"/>
        <v>-0.86820119219235514</v>
      </c>
      <c r="N2714">
        <f t="shared" si="256"/>
        <v>0</v>
      </c>
      <c r="O2714">
        <f t="shared" si="257"/>
        <v>0</v>
      </c>
      <c r="P2714">
        <f t="shared" si="254"/>
        <v>4050</v>
      </c>
      <c r="Q2714">
        <f t="shared" si="258"/>
        <v>4050</v>
      </c>
      <c r="T2714" s="16">
        <f t="shared" si="259"/>
        <v>-0.86820119219235548</v>
      </c>
    </row>
    <row r="2715" spans="7:20" ht="14.4" x14ac:dyDescent="0.25">
      <c r="G2715" s="10">
        <v>7801</v>
      </c>
      <c r="H2715" s="9">
        <v>55809</v>
      </c>
      <c r="I2715" s="14">
        <f>DATE(2012,12,31)-478</f>
        <v>40796</v>
      </c>
      <c r="J2715" s="15" t="s">
        <v>30</v>
      </c>
      <c r="K2715" s="9">
        <v>2</v>
      </c>
      <c r="L2715" s="16" t="s">
        <v>29</v>
      </c>
      <c r="M2715" s="16">
        <f t="shared" si="255"/>
        <v>-1.627858735003791</v>
      </c>
      <c r="N2715">
        <f t="shared" si="256"/>
        <v>0</v>
      </c>
      <c r="O2715">
        <f t="shared" si="257"/>
        <v>0</v>
      </c>
      <c r="P2715">
        <f t="shared" si="254"/>
        <v>3500</v>
      </c>
      <c r="Q2715">
        <f t="shared" si="258"/>
        <v>3500</v>
      </c>
      <c r="T2715" s="16">
        <f t="shared" si="259"/>
        <v>-1.6278587350037912</v>
      </c>
    </row>
    <row r="2716" spans="7:20" ht="14.4" x14ac:dyDescent="0.25">
      <c r="G2716" s="10">
        <v>7969</v>
      </c>
      <c r="H2716" s="9">
        <v>56992</v>
      </c>
      <c r="I2716" s="14">
        <f>DATE(2012,12,31)-988</f>
        <v>40286</v>
      </c>
      <c r="J2716" s="15" t="s">
        <v>28</v>
      </c>
      <c r="K2716" s="9">
        <v>10</v>
      </c>
      <c r="L2716" s="16" t="s">
        <v>26</v>
      </c>
      <c r="M2716" s="16">
        <f t="shared" si="255"/>
        <v>-1.0753805220500194</v>
      </c>
      <c r="N2716">
        <f t="shared" si="256"/>
        <v>0</v>
      </c>
      <c r="O2716">
        <f t="shared" si="257"/>
        <v>0</v>
      </c>
      <c r="P2716">
        <f t="shared" si="254"/>
        <v>3900</v>
      </c>
      <c r="Q2716">
        <f t="shared" si="258"/>
        <v>3900</v>
      </c>
      <c r="T2716" s="16">
        <f t="shared" si="259"/>
        <v>-1.0753805220500199</v>
      </c>
    </row>
    <row r="2717" spans="7:20" ht="14.4" x14ac:dyDescent="0.25">
      <c r="G2717" s="10">
        <v>8142</v>
      </c>
      <c r="H2717" s="9">
        <v>58210</v>
      </c>
      <c r="I2717" s="14">
        <f>DATE(2012,12,31)-25</f>
        <v>41249</v>
      </c>
      <c r="J2717" s="15" t="s">
        <v>16</v>
      </c>
      <c r="K2717" s="9">
        <v>38</v>
      </c>
      <c r="L2717" s="16" t="s">
        <v>26</v>
      </c>
      <c r="M2717" s="16">
        <f t="shared" si="255"/>
        <v>0.85829322328818081</v>
      </c>
      <c r="N2717">
        <f t="shared" si="256"/>
        <v>0</v>
      </c>
      <c r="O2717">
        <f t="shared" si="257"/>
        <v>0</v>
      </c>
      <c r="P2717">
        <f t="shared" si="254"/>
        <v>5300</v>
      </c>
      <c r="Q2717">
        <f t="shared" si="258"/>
        <v>5300</v>
      </c>
      <c r="T2717" s="16">
        <f t="shared" si="259"/>
        <v>0.85829322328818036</v>
      </c>
    </row>
    <row r="2718" spans="7:20" ht="14.4" x14ac:dyDescent="0.25">
      <c r="G2718" s="10">
        <v>8148</v>
      </c>
      <c r="H2718" s="9">
        <v>58277</v>
      </c>
      <c r="I2718" s="14">
        <f>DATE(2012,12,31)-1437</f>
        <v>39837</v>
      </c>
      <c r="J2718" s="15" t="s">
        <v>16</v>
      </c>
      <c r="K2718" s="9">
        <v>23</v>
      </c>
      <c r="L2718" s="16" t="s">
        <v>26</v>
      </c>
      <c r="M2718" s="16">
        <f t="shared" si="255"/>
        <v>-0.17760342600014073</v>
      </c>
      <c r="N2718">
        <f t="shared" si="256"/>
        <v>0</v>
      </c>
      <c r="O2718">
        <f t="shared" si="257"/>
        <v>0</v>
      </c>
      <c r="P2718">
        <f t="shared" si="254"/>
        <v>4550</v>
      </c>
      <c r="Q2718">
        <f t="shared" si="258"/>
        <v>4550</v>
      </c>
      <c r="T2718" s="16">
        <f t="shared" si="259"/>
        <v>-0.17760342600014112</v>
      </c>
    </row>
    <row r="2719" spans="7:20" ht="14.4" x14ac:dyDescent="0.25">
      <c r="G2719" s="10">
        <v>8211</v>
      </c>
      <c r="H2719" s="9">
        <v>58720</v>
      </c>
      <c r="I2719" s="14">
        <f>DATE(2012,12,31)-1030</f>
        <v>40244</v>
      </c>
      <c r="J2719" s="15" t="s">
        <v>28</v>
      </c>
      <c r="K2719" s="9">
        <v>43</v>
      </c>
      <c r="L2719" s="16" t="s">
        <v>26</v>
      </c>
      <c r="M2719" s="16">
        <f t="shared" si="255"/>
        <v>1.203592106384288</v>
      </c>
      <c r="N2719">
        <f t="shared" si="256"/>
        <v>0</v>
      </c>
      <c r="O2719">
        <f t="shared" si="257"/>
        <v>0</v>
      </c>
      <c r="P2719">
        <f t="shared" si="254"/>
        <v>5550</v>
      </c>
      <c r="Q2719">
        <f t="shared" si="258"/>
        <v>5550</v>
      </c>
      <c r="T2719" s="16">
        <f t="shared" si="259"/>
        <v>1.2035921063842876</v>
      </c>
    </row>
    <row r="2720" spans="7:20" ht="14.4" x14ac:dyDescent="0.25">
      <c r="G2720" s="10">
        <v>8212</v>
      </c>
      <c r="H2720" s="9">
        <v>58720</v>
      </c>
      <c r="I2720" s="14">
        <f>DATE(2012,12,31)-1030</f>
        <v>40244</v>
      </c>
      <c r="J2720" s="15" t="s">
        <v>28</v>
      </c>
      <c r="K2720" s="9">
        <v>6</v>
      </c>
      <c r="L2720" s="16" t="s">
        <v>26</v>
      </c>
      <c r="M2720" s="16">
        <f t="shared" si="255"/>
        <v>-1.3516196285269051</v>
      </c>
      <c r="N2720">
        <f t="shared" si="256"/>
        <v>0</v>
      </c>
      <c r="O2720">
        <f t="shared" si="257"/>
        <v>0</v>
      </c>
      <c r="P2720">
        <f t="shared" si="254"/>
        <v>3700</v>
      </c>
      <c r="Q2720">
        <f t="shared" si="258"/>
        <v>3700</v>
      </c>
      <c r="T2720" s="16">
        <f t="shared" si="259"/>
        <v>-1.3516196285269055</v>
      </c>
    </row>
    <row r="2721" spans="7:20" ht="14.4" x14ac:dyDescent="0.25">
      <c r="G2721" s="10">
        <v>8230</v>
      </c>
      <c r="H2721" s="9">
        <v>58820</v>
      </c>
      <c r="I2721" s="14">
        <f>DATE(2012,12,31)-1038</f>
        <v>40236</v>
      </c>
      <c r="J2721" s="15" t="s">
        <v>25</v>
      </c>
      <c r="K2721" s="9">
        <v>24</v>
      </c>
      <c r="L2721" s="16" t="s">
        <v>29</v>
      </c>
      <c r="M2721" s="16">
        <f t="shared" si="255"/>
        <v>-0.1085436493809193</v>
      </c>
      <c r="N2721">
        <f t="shared" si="256"/>
        <v>0</v>
      </c>
      <c r="O2721">
        <f t="shared" si="257"/>
        <v>0</v>
      </c>
      <c r="P2721">
        <f t="shared" si="254"/>
        <v>4600</v>
      </c>
      <c r="Q2721">
        <f t="shared" si="258"/>
        <v>4600</v>
      </c>
      <c r="T2721" s="16">
        <f t="shared" si="259"/>
        <v>-0.10854364938091969</v>
      </c>
    </row>
    <row r="2722" spans="7:20" ht="14.4" x14ac:dyDescent="0.25">
      <c r="G2722" s="10">
        <v>178</v>
      </c>
      <c r="H2722" s="9">
        <v>1154</v>
      </c>
      <c r="I2722" s="14">
        <f>DATE(2012,12,31)-321</f>
        <v>40953</v>
      </c>
      <c r="J2722" s="15" t="s">
        <v>30</v>
      </c>
      <c r="K2722" s="9">
        <v>7</v>
      </c>
      <c r="L2722" s="16" t="s">
        <v>26</v>
      </c>
      <c r="M2722" s="16">
        <f t="shared" si="255"/>
        <v>-1.2825598519076837</v>
      </c>
      <c r="N2722">
        <f t="shared" si="256"/>
        <v>0</v>
      </c>
      <c r="O2722">
        <f t="shared" si="257"/>
        <v>0</v>
      </c>
      <c r="P2722">
        <f t="shared" si="254"/>
        <v>3750</v>
      </c>
      <c r="Q2722">
        <f t="shared" si="258"/>
        <v>3750</v>
      </c>
      <c r="T2722" s="16">
        <f t="shared" si="259"/>
        <v>-1.2825598519076842</v>
      </c>
    </row>
    <row r="2723" spans="7:20" ht="14.4" x14ac:dyDescent="0.25">
      <c r="G2723" s="10">
        <v>207</v>
      </c>
      <c r="H2723" s="9">
        <v>1382</v>
      </c>
      <c r="I2723" s="14">
        <f>DATE(2012,12,31)-868</f>
        <v>40406</v>
      </c>
      <c r="J2723" s="15" t="s">
        <v>25</v>
      </c>
      <c r="K2723" s="9">
        <v>5</v>
      </c>
      <c r="L2723" s="16" t="s">
        <v>27</v>
      </c>
      <c r="M2723" s="16">
        <f t="shared" si="255"/>
        <v>-1.4206794051461267</v>
      </c>
      <c r="N2723">
        <f t="shared" si="256"/>
        <v>0</v>
      </c>
      <c r="O2723">
        <f t="shared" si="257"/>
        <v>0</v>
      </c>
      <c r="P2723">
        <f t="shared" si="254"/>
        <v>3650</v>
      </c>
      <c r="Q2723">
        <f t="shared" si="258"/>
        <v>3650</v>
      </c>
      <c r="T2723" s="16">
        <f t="shared" si="259"/>
        <v>-1.4206794051461269</v>
      </c>
    </row>
    <row r="2724" spans="7:20" ht="14.4" x14ac:dyDescent="0.25">
      <c r="G2724" s="10">
        <v>208</v>
      </c>
      <c r="H2724" s="9">
        <v>1382</v>
      </c>
      <c r="I2724" s="14">
        <f>DATE(2012,12,31)-868</f>
        <v>40406</v>
      </c>
      <c r="J2724" s="15" t="s">
        <v>25</v>
      </c>
      <c r="K2724" s="9">
        <v>39</v>
      </c>
      <c r="L2724" s="16" t="s">
        <v>26</v>
      </c>
      <c r="M2724" s="16">
        <f t="shared" si="255"/>
        <v>0.92735299990740228</v>
      </c>
      <c r="N2724">
        <f t="shared" si="256"/>
        <v>0</v>
      </c>
      <c r="O2724">
        <f t="shared" si="257"/>
        <v>0</v>
      </c>
      <c r="P2724">
        <f t="shared" si="254"/>
        <v>5350</v>
      </c>
      <c r="Q2724">
        <f t="shared" si="258"/>
        <v>5350</v>
      </c>
      <c r="T2724" s="16">
        <f t="shared" si="259"/>
        <v>0.92735299990740183</v>
      </c>
    </row>
    <row r="2725" spans="7:20" ht="14.4" x14ac:dyDescent="0.25">
      <c r="G2725" s="10">
        <v>209</v>
      </c>
      <c r="H2725" s="9">
        <v>1382</v>
      </c>
      <c r="I2725" s="14">
        <f>DATE(2012,12,31)-868</f>
        <v>40406</v>
      </c>
      <c r="J2725" s="15" t="s">
        <v>25</v>
      </c>
      <c r="K2725" s="9">
        <v>31</v>
      </c>
      <c r="L2725" s="16" t="s">
        <v>29</v>
      </c>
      <c r="M2725" s="16">
        <f t="shared" si="255"/>
        <v>0.37487478695363075</v>
      </c>
      <c r="N2725">
        <f t="shared" si="256"/>
        <v>0</v>
      </c>
      <c r="O2725">
        <f t="shared" si="257"/>
        <v>0</v>
      </c>
      <c r="P2725">
        <f t="shared" si="254"/>
        <v>4950</v>
      </c>
      <c r="Q2725">
        <f t="shared" si="258"/>
        <v>4950</v>
      </c>
      <c r="T2725" s="16">
        <f t="shared" si="259"/>
        <v>0.37487478695363036</v>
      </c>
    </row>
    <row r="2726" spans="7:20" ht="14.4" x14ac:dyDescent="0.25">
      <c r="G2726" s="10">
        <v>211</v>
      </c>
      <c r="H2726" s="9">
        <v>1411</v>
      </c>
      <c r="I2726" s="14">
        <f>DATE(2012,12,31)-1107</f>
        <v>40167</v>
      </c>
      <c r="J2726" s="15" t="s">
        <v>17</v>
      </c>
      <c r="K2726" s="9">
        <v>39</v>
      </c>
      <c r="L2726" s="16" t="s">
        <v>29</v>
      </c>
      <c r="M2726" s="16">
        <f t="shared" si="255"/>
        <v>0.92735299990740228</v>
      </c>
      <c r="N2726">
        <f t="shared" si="256"/>
        <v>0</v>
      </c>
      <c r="O2726">
        <f t="shared" si="257"/>
        <v>0</v>
      </c>
      <c r="P2726">
        <f t="shared" si="254"/>
        <v>5350</v>
      </c>
      <c r="Q2726">
        <f t="shared" si="258"/>
        <v>5350</v>
      </c>
      <c r="T2726" s="16">
        <f t="shared" si="259"/>
        <v>0.92735299990740183</v>
      </c>
    </row>
    <row r="2727" spans="7:20" ht="14.4" x14ac:dyDescent="0.25">
      <c r="G2727" s="10">
        <v>219</v>
      </c>
      <c r="H2727" s="9">
        <v>1444</v>
      </c>
      <c r="I2727" s="14">
        <f>DATE(2012,12,31)-1122</f>
        <v>40152</v>
      </c>
      <c r="J2727" s="15" t="s">
        <v>16</v>
      </c>
      <c r="K2727" s="9">
        <v>2</v>
      </c>
      <c r="L2727" s="16" t="s">
        <v>26</v>
      </c>
      <c r="M2727" s="16">
        <f t="shared" si="255"/>
        <v>-1.627858735003791</v>
      </c>
      <c r="N2727">
        <f t="shared" si="256"/>
        <v>0</v>
      </c>
      <c r="O2727">
        <f t="shared" si="257"/>
        <v>0</v>
      </c>
      <c r="P2727">
        <f t="shared" si="254"/>
        <v>3500</v>
      </c>
      <c r="Q2727">
        <f t="shared" si="258"/>
        <v>3500</v>
      </c>
      <c r="T2727" s="16">
        <f t="shared" si="259"/>
        <v>-1.6278587350037912</v>
      </c>
    </row>
    <row r="2728" spans="7:20" ht="14.4" x14ac:dyDescent="0.25">
      <c r="G2728" s="10">
        <v>580</v>
      </c>
      <c r="H2728" s="9">
        <v>3942</v>
      </c>
      <c r="I2728" s="14">
        <f>DATE(2012,12,31)-918</f>
        <v>40356</v>
      </c>
      <c r="J2728" s="15" t="s">
        <v>28</v>
      </c>
      <c r="K2728" s="9">
        <v>22</v>
      </c>
      <c r="L2728" s="16" t="s">
        <v>27</v>
      </c>
      <c r="M2728" s="16">
        <f t="shared" si="255"/>
        <v>-0.24666320261936217</v>
      </c>
      <c r="N2728">
        <f t="shared" si="256"/>
        <v>0</v>
      </c>
      <c r="O2728">
        <f t="shared" si="257"/>
        <v>0</v>
      </c>
      <c r="P2728">
        <f t="shared" si="254"/>
        <v>4500</v>
      </c>
      <c r="Q2728">
        <f t="shared" si="258"/>
        <v>4500</v>
      </c>
      <c r="T2728" s="16">
        <f t="shared" si="259"/>
        <v>-0.24666320261936256</v>
      </c>
    </row>
    <row r="2729" spans="7:20" ht="14.4" x14ac:dyDescent="0.25">
      <c r="G2729" s="10">
        <v>664</v>
      </c>
      <c r="H2729" s="9">
        <v>4647</v>
      </c>
      <c r="I2729" s="14">
        <f>DATE(2012,12,31)-1328</f>
        <v>39946</v>
      </c>
      <c r="J2729" s="15" t="s">
        <v>16</v>
      </c>
      <c r="K2729" s="9">
        <v>7</v>
      </c>
      <c r="L2729" s="16" t="s">
        <v>26</v>
      </c>
      <c r="M2729" s="16">
        <f t="shared" si="255"/>
        <v>-1.2825598519076837</v>
      </c>
      <c r="N2729">
        <f t="shared" si="256"/>
        <v>0</v>
      </c>
      <c r="O2729">
        <f t="shared" si="257"/>
        <v>0</v>
      </c>
      <c r="P2729">
        <f t="shared" si="254"/>
        <v>3750</v>
      </c>
      <c r="Q2729">
        <f t="shared" si="258"/>
        <v>3750</v>
      </c>
      <c r="T2729" s="16">
        <f t="shared" si="259"/>
        <v>-1.2825598519076842</v>
      </c>
    </row>
    <row r="2730" spans="7:20" ht="14.4" x14ac:dyDescent="0.25">
      <c r="G2730" s="10">
        <v>665</v>
      </c>
      <c r="H2730" s="9">
        <v>4647</v>
      </c>
      <c r="I2730" s="14">
        <f>DATE(2012,12,31)-1328</f>
        <v>39946</v>
      </c>
      <c r="J2730" s="15" t="s">
        <v>16</v>
      </c>
      <c r="K2730" s="9">
        <v>6</v>
      </c>
      <c r="L2730" s="16" t="s">
        <v>26</v>
      </c>
      <c r="M2730" s="16">
        <f t="shared" si="255"/>
        <v>-1.3516196285269051</v>
      </c>
      <c r="N2730">
        <f t="shared" si="256"/>
        <v>0</v>
      </c>
      <c r="O2730">
        <f t="shared" si="257"/>
        <v>0</v>
      </c>
      <c r="P2730">
        <f t="shared" si="254"/>
        <v>3700</v>
      </c>
      <c r="Q2730">
        <f t="shared" si="258"/>
        <v>3700</v>
      </c>
      <c r="T2730" s="16">
        <f t="shared" si="259"/>
        <v>-1.3516196285269055</v>
      </c>
    </row>
    <row r="2731" spans="7:20" ht="14.4" x14ac:dyDescent="0.25">
      <c r="G2731" s="10">
        <v>707</v>
      </c>
      <c r="H2731" s="9">
        <v>4960</v>
      </c>
      <c r="I2731" s="14">
        <f>DATE(2012,12,31)-675</f>
        <v>40599</v>
      </c>
      <c r="J2731" s="15" t="s">
        <v>25</v>
      </c>
      <c r="K2731" s="9">
        <v>30</v>
      </c>
      <c r="L2731" s="16" t="s">
        <v>29</v>
      </c>
      <c r="M2731" s="16">
        <f t="shared" si="255"/>
        <v>0.30581501033440933</v>
      </c>
      <c r="N2731">
        <f t="shared" si="256"/>
        <v>0</v>
      </c>
      <c r="O2731">
        <f t="shared" si="257"/>
        <v>0</v>
      </c>
      <c r="P2731">
        <f t="shared" si="254"/>
        <v>4900</v>
      </c>
      <c r="Q2731">
        <f t="shared" si="258"/>
        <v>4900</v>
      </c>
      <c r="T2731" s="16">
        <f t="shared" si="259"/>
        <v>0.30581501033440894</v>
      </c>
    </row>
    <row r="2732" spans="7:20" ht="14.4" x14ac:dyDescent="0.25">
      <c r="G2732" s="10">
        <v>1010</v>
      </c>
      <c r="H2732" s="9">
        <v>7367</v>
      </c>
      <c r="I2732" s="14">
        <f>DATE(2012,12,31)-575</f>
        <v>40699</v>
      </c>
      <c r="J2732" s="15" t="s">
        <v>25</v>
      </c>
      <c r="K2732" s="9">
        <v>46</v>
      </c>
      <c r="L2732" s="16" t="s">
        <v>27</v>
      </c>
      <c r="M2732" s="16">
        <f t="shared" si="255"/>
        <v>1.4107714362419523</v>
      </c>
      <c r="N2732">
        <f t="shared" si="256"/>
        <v>0</v>
      </c>
      <c r="O2732">
        <f t="shared" si="257"/>
        <v>0</v>
      </c>
      <c r="P2732">
        <f t="shared" si="254"/>
        <v>5700</v>
      </c>
      <c r="Q2732">
        <f t="shared" si="258"/>
        <v>5700</v>
      </c>
      <c r="T2732" s="16">
        <f t="shared" si="259"/>
        <v>1.4107714362419519</v>
      </c>
    </row>
    <row r="2733" spans="7:20" ht="14.4" x14ac:dyDescent="0.25">
      <c r="G2733" s="10">
        <v>1079</v>
      </c>
      <c r="H2733" s="9">
        <v>7938</v>
      </c>
      <c r="I2733" s="14">
        <f>DATE(2012,12,31)-1024</f>
        <v>40250</v>
      </c>
      <c r="J2733" s="15" t="s">
        <v>16</v>
      </c>
      <c r="K2733" s="9">
        <v>34</v>
      </c>
      <c r="L2733" s="16" t="s">
        <v>26</v>
      </c>
      <c r="M2733" s="16">
        <f t="shared" si="255"/>
        <v>0.58205411681129504</v>
      </c>
      <c r="N2733">
        <f t="shared" si="256"/>
        <v>0</v>
      </c>
      <c r="O2733">
        <f t="shared" si="257"/>
        <v>0</v>
      </c>
      <c r="P2733">
        <f t="shared" si="254"/>
        <v>5100</v>
      </c>
      <c r="Q2733">
        <f t="shared" si="258"/>
        <v>5100</v>
      </c>
      <c r="T2733" s="16">
        <f t="shared" si="259"/>
        <v>0.58205411681129471</v>
      </c>
    </row>
    <row r="2734" spans="7:20" ht="14.4" x14ac:dyDescent="0.25">
      <c r="G2734" s="10">
        <v>1142</v>
      </c>
      <c r="H2734" s="9">
        <v>8320</v>
      </c>
      <c r="I2734" s="14">
        <f>DATE(2012,12,31)-1199</f>
        <v>40075</v>
      </c>
      <c r="J2734" s="15" t="s">
        <v>28</v>
      </c>
      <c r="K2734" s="9">
        <v>35</v>
      </c>
      <c r="L2734" s="16" t="s">
        <v>27</v>
      </c>
      <c r="M2734" s="16">
        <f t="shared" si="255"/>
        <v>0.65111389343051651</v>
      </c>
      <c r="N2734">
        <f t="shared" si="256"/>
        <v>0</v>
      </c>
      <c r="O2734">
        <f t="shared" si="257"/>
        <v>0</v>
      </c>
      <c r="P2734">
        <f t="shared" si="254"/>
        <v>5150</v>
      </c>
      <c r="Q2734">
        <f t="shared" si="258"/>
        <v>5150</v>
      </c>
      <c r="T2734" s="16">
        <f t="shared" si="259"/>
        <v>0.65111389343051607</v>
      </c>
    </row>
    <row r="2735" spans="7:20" ht="14.4" x14ac:dyDescent="0.25">
      <c r="G2735" s="10">
        <v>1203</v>
      </c>
      <c r="H2735" s="9">
        <v>8807</v>
      </c>
      <c r="I2735" s="14">
        <f>DATE(2012,12,31)-1040</f>
        <v>40234</v>
      </c>
      <c r="J2735" s="15" t="s">
        <v>25</v>
      </c>
      <c r="K2735" s="9">
        <v>14</v>
      </c>
      <c r="L2735" s="16" t="s">
        <v>27</v>
      </c>
      <c r="M2735" s="16">
        <f t="shared" si="255"/>
        <v>-0.79914141557313367</v>
      </c>
      <c r="N2735">
        <f t="shared" si="256"/>
        <v>0</v>
      </c>
      <c r="O2735">
        <f t="shared" si="257"/>
        <v>0</v>
      </c>
      <c r="P2735">
        <f t="shared" si="254"/>
        <v>4100</v>
      </c>
      <c r="Q2735">
        <f t="shared" si="258"/>
        <v>4100</v>
      </c>
      <c r="T2735" s="16">
        <f t="shared" si="259"/>
        <v>-0.79914141557313401</v>
      </c>
    </row>
    <row r="2736" spans="7:20" ht="14.4" x14ac:dyDescent="0.25">
      <c r="G2736" s="10">
        <v>1245</v>
      </c>
      <c r="H2736" s="9">
        <v>9062</v>
      </c>
      <c r="I2736" s="14">
        <f>DATE(2012,12,31)-652</f>
        <v>40622</v>
      </c>
      <c r="J2736" s="15" t="s">
        <v>17</v>
      </c>
      <c r="K2736" s="9">
        <v>19</v>
      </c>
      <c r="L2736" s="16" t="s">
        <v>29</v>
      </c>
      <c r="M2736" s="16">
        <f t="shared" si="255"/>
        <v>-0.45384253247702649</v>
      </c>
      <c r="N2736">
        <f t="shared" si="256"/>
        <v>0</v>
      </c>
      <c r="O2736">
        <f t="shared" si="257"/>
        <v>0</v>
      </c>
      <c r="P2736">
        <f t="shared" si="254"/>
        <v>4350</v>
      </c>
      <c r="Q2736">
        <f t="shared" si="258"/>
        <v>4350</v>
      </c>
      <c r="T2736" s="16">
        <f t="shared" si="259"/>
        <v>-0.45384253247702688</v>
      </c>
    </row>
    <row r="2737" spans="7:20" ht="14.4" x14ac:dyDescent="0.25">
      <c r="G2737" s="10">
        <v>1308</v>
      </c>
      <c r="H2737" s="9">
        <v>9602</v>
      </c>
      <c r="I2737" s="14">
        <f>DATE(2012,12,31)-51</f>
        <v>41223</v>
      </c>
      <c r="J2737" s="15" t="s">
        <v>30</v>
      </c>
      <c r="K2737" s="9">
        <v>27</v>
      </c>
      <c r="L2737" s="16" t="s">
        <v>27</v>
      </c>
      <c r="M2737" s="16">
        <f t="shared" si="255"/>
        <v>9.8635680476745008E-2</v>
      </c>
      <c r="N2737">
        <f t="shared" si="256"/>
        <v>0</v>
      </c>
      <c r="O2737">
        <f t="shared" si="257"/>
        <v>0</v>
      </c>
      <c r="P2737">
        <f t="shared" si="254"/>
        <v>4750</v>
      </c>
      <c r="Q2737">
        <f t="shared" si="258"/>
        <v>4750</v>
      </c>
      <c r="T2737" s="16">
        <f t="shared" si="259"/>
        <v>9.8635680476744619E-2</v>
      </c>
    </row>
    <row r="2738" spans="7:20" ht="14.4" x14ac:dyDescent="0.25">
      <c r="G2738" s="10">
        <v>1310</v>
      </c>
      <c r="H2738" s="9">
        <v>9602</v>
      </c>
      <c r="I2738" s="14">
        <f>DATE(2012,12,31)-51</f>
        <v>41223</v>
      </c>
      <c r="J2738" s="15" t="s">
        <v>30</v>
      </c>
      <c r="K2738" s="9">
        <v>15</v>
      </c>
      <c r="L2738" s="16" t="s">
        <v>29</v>
      </c>
      <c r="M2738" s="16">
        <f t="shared" si="255"/>
        <v>-0.7300816389539122</v>
      </c>
      <c r="N2738">
        <f t="shared" si="256"/>
        <v>0</v>
      </c>
      <c r="O2738">
        <f t="shared" si="257"/>
        <v>0</v>
      </c>
      <c r="P2738">
        <f t="shared" si="254"/>
        <v>4150</v>
      </c>
      <c r="Q2738">
        <f t="shared" si="258"/>
        <v>4150</v>
      </c>
      <c r="T2738" s="16">
        <f t="shared" si="259"/>
        <v>-0.73008163895391265</v>
      </c>
    </row>
    <row r="2739" spans="7:20" ht="14.4" x14ac:dyDescent="0.25">
      <c r="G2739" s="10">
        <v>1402</v>
      </c>
      <c r="H2739" s="9">
        <v>10209</v>
      </c>
      <c r="I2739" s="14">
        <f>DATE(2012,12,31)-763</f>
        <v>40511</v>
      </c>
      <c r="J2739" s="15" t="s">
        <v>16</v>
      </c>
      <c r="K2739" s="9">
        <v>14</v>
      </c>
      <c r="L2739" s="16" t="s">
        <v>29</v>
      </c>
      <c r="M2739" s="16">
        <f t="shared" si="255"/>
        <v>-0.79914141557313367</v>
      </c>
      <c r="N2739">
        <f t="shared" si="256"/>
        <v>0</v>
      </c>
      <c r="O2739">
        <f t="shared" si="257"/>
        <v>0</v>
      </c>
      <c r="P2739">
        <f t="shared" si="254"/>
        <v>4100</v>
      </c>
      <c r="Q2739">
        <f t="shared" si="258"/>
        <v>4100</v>
      </c>
      <c r="T2739" s="16">
        <f t="shared" si="259"/>
        <v>-0.79914141557313401</v>
      </c>
    </row>
    <row r="2740" spans="7:20" ht="14.4" x14ac:dyDescent="0.25">
      <c r="G2740" s="10">
        <v>1425</v>
      </c>
      <c r="H2740" s="9">
        <v>10338</v>
      </c>
      <c r="I2740" s="14">
        <f>DATE(2012,12,31)-536</f>
        <v>40738</v>
      </c>
      <c r="J2740" s="15" t="s">
        <v>28</v>
      </c>
      <c r="K2740" s="9">
        <v>9</v>
      </c>
      <c r="L2740" s="16" t="s">
        <v>27</v>
      </c>
      <c r="M2740" s="16">
        <f t="shared" si="255"/>
        <v>-1.1444402986692408</v>
      </c>
      <c r="N2740">
        <f t="shared" si="256"/>
        <v>0</v>
      </c>
      <c r="O2740">
        <f t="shared" si="257"/>
        <v>0</v>
      </c>
      <c r="P2740">
        <f t="shared" si="254"/>
        <v>3850</v>
      </c>
      <c r="Q2740">
        <f t="shared" si="258"/>
        <v>3850</v>
      </c>
      <c r="T2740" s="16">
        <f t="shared" si="259"/>
        <v>-1.1444402986692412</v>
      </c>
    </row>
    <row r="2741" spans="7:20" ht="14.4" x14ac:dyDescent="0.25">
      <c r="G2741" s="10">
        <v>1485</v>
      </c>
      <c r="H2741" s="9">
        <v>10688</v>
      </c>
      <c r="I2741" s="14">
        <f>DATE(2012,12,31)-233</f>
        <v>41041</v>
      </c>
      <c r="J2741" s="15" t="s">
        <v>16</v>
      </c>
      <c r="K2741" s="9">
        <v>14</v>
      </c>
      <c r="L2741" s="16" t="s">
        <v>29</v>
      </c>
      <c r="M2741" s="16">
        <f t="shared" si="255"/>
        <v>-0.79914141557313367</v>
      </c>
      <c r="N2741">
        <f t="shared" si="256"/>
        <v>0</v>
      </c>
      <c r="O2741">
        <f t="shared" si="257"/>
        <v>0</v>
      </c>
      <c r="P2741">
        <f t="shared" si="254"/>
        <v>4100</v>
      </c>
      <c r="Q2741">
        <f t="shared" si="258"/>
        <v>4100</v>
      </c>
      <c r="T2741" s="16">
        <f t="shared" si="259"/>
        <v>-0.79914141557313401</v>
      </c>
    </row>
    <row r="2742" spans="7:20" ht="14.4" x14ac:dyDescent="0.25">
      <c r="G2742" s="10">
        <v>1553</v>
      </c>
      <c r="H2742" s="9">
        <v>11206</v>
      </c>
      <c r="I2742" s="14">
        <f>DATE(2012,12,31)-1099</f>
        <v>40175</v>
      </c>
      <c r="J2742" s="15" t="s">
        <v>25</v>
      </c>
      <c r="K2742" s="9">
        <v>6</v>
      </c>
      <c r="L2742" s="16" t="s">
        <v>26</v>
      </c>
      <c r="M2742" s="16">
        <f t="shared" si="255"/>
        <v>-1.3516196285269051</v>
      </c>
      <c r="N2742">
        <f t="shared" si="256"/>
        <v>0</v>
      </c>
      <c r="O2742">
        <f t="shared" si="257"/>
        <v>0</v>
      </c>
      <c r="P2742">
        <f t="shared" si="254"/>
        <v>3700</v>
      </c>
      <c r="Q2742">
        <f t="shared" si="258"/>
        <v>3700</v>
      </c>
      <c r="T2742" s="16">
        <f t="shared" si="259"/>
        <v>-1.3516196285269055</v>
      </c>
    </row>
    <row r="2743" spans="7:20" ht="14.4" x14ac:dyDescent="0.25">
      <c r="G2743" s="10">
        <v>1601</v>
      </c>
      <c r="H2743" s="9">
        <v>11585</v>
      </c>
      <c r="I2743" s="14">
        <f>DATE(2012,12,31)-1387</f>
        <v>39887</v>
      </c>
      <c r="J2743" s="15" t="s">
        <v>16</v>
      </c>
      <c r="K2743" s="9">
        <v>2</v>
      </c>
      <c r="L2743" s="16" t="s">
        <v>27</v>
      </c>
      <c r="M2743" s="16">
        <f t="shared" si="255"/>
        <v>-1.627858735003791</v>
      </c>
      <c r="N2743">
        <f t="shared" si="256"/>
        <v>0</v>
      </c>
      <c r="O2743">
        <f t="shared" si="257"/>
        <v>0</v>
      </c>
      <c r="P2743">
        <f t="shared" si="254"/>
        <v>3500</v>
      </c>
      <c r="Q2743">
        <f t="shared" si="258"/>
        <v>3500</v>
      </c>
      <c r="T2743" s="16">
        <f t="shared" si="259"/>
        <v>-1.6278587350037912</v>
      </c>
    </row>
    <row r="2744" spans="7:20" ht="14.4" x14ac:dyDescent="0.25">
      <c r="G2744" s="10">
        <v>1796</v>
      </c>
      <c r="H2744" s="9">
        <v>12868</v>
      </c>
      <c r="I2744" s="14">
        <f>DATE(2012,12,31)-671</f>
        <v>40603</v>
      </c>
      <c r="J2744" s="15" t="s">
        <v>30</v>
      </c>
      <c r="K2744" s="9">
        <v>2</v>
      </c>
      <c r="L2744" s="16" t="s">
        <v>26</v>
      </c>
      <c r="M2744" s="16">
        <f t="shared" si="255"/>
        <v>-1.627858735003791</v>
      </c>
      <c r="N2744">
        <f t="shared" si="256"/>
        <v>0</v>
      </c>
      <c r="O2744">
        <f t="shared" si="257"/>
        <v>0</v>
      </c>
      <c r="P2744">
        <f t="shared" si="254"/>
        <v>3500</v>
      </c>
      <c r="Q2744">
        <f t="shared" si="258"/>
        <v>3500</v>
      </c>
      <c r="T2744" s="16">
        <f t="shared" si="259"/>
        <v>-1.6278587350037912</v>
      </c>
    </row>
    <row r="2745" spans="7:20" ht="14.4" x14ac:dyDescent="0.25">
      <c r="G2745" s="10">
        <v>1994</v>
      </c>
      <c r="H2745" s="9">
        <v>14215</v>
      </c>
      <c r="I2745" s="14">
        <f>DATE(2012,12,31)-171</f>
        <v>41103</v>
      </c>
      <c r="J2745" s="15" t="s">
        <v>16</v>
      </c>
      <c r="K2745" s="9">
        <v>44</v>
      </c>
      <c r="L2745" s="16" t="s">
        <v>26</v>
      </c>
      <c r="M2745" s="16">
        <f t="shared" si="255"/>
        <v>1.2726518830035094</v>
      </c>
      <c r="N2745">
        <f t="shared" si="256"/>
        <v>0</v>
      </c>
      <c r="O2745">
        <f t="shared" si="257"/>
        <v>0</v>
      </c>
      <c r="P2745">
        <f t="shared" si="254"/>
        <v>5600</v>
      </c>
      <c r="Q2745">
        <f t="shared" si="258"/>
        <v>5600</v>
      </c>
      <c r="T2745" s="16">
        <f t="shared" si="259"/>
        <v>1.272651883003509</v>
      </c>
    </row>
    <row r="2746" spans="7:20" ht="14.4" x14ac:dyDescent="0.25">
      <c r="G2746" s="10">
        <v>2053</v>
      </c>
      <c r="H2746" s="9">
        <v>14662</v>
      </c>
      <c r="I2746" s="14">
        <f>DATE(2012,12,31)-411</f>
        <v>40863</v>
      </c>
      <c r="J2746" s="15" t="s">
        <v>17</v>
      </c>
      <c r="K2746" s="9">
        <v>24</v>
      </c>
      <c r="L2746" s="16" t="s">
        <v>26</v>
      </c>
      <c r="M2746" s="16">
        <f t="shared" si="255"/>
        <v>-0.1085436493809193</v>
      </c>
      <c r="N2746">
        <f t="shared" si="256"/>
        <v>0</v>
      </c>
      <c r="O2746">
        <f t="shared" si="257"/>
        <v>0</v>
      </c>
      <c r="P2746">
        <f t="shared" si="254"/>
        <v>4600</v>
      </c>
      <c r="Q2746">
        <f t="shared" si="258"/>
        <v>4600</v>
      </c>
      <c r="T2746" s="16">
        <f t="shared" si="259"/>
        <v>-0.10854364938091969</v>
      </c>
    </row>
    <row r="2747" spans="7:20" ht="14.4" x14ac:dyDescent="0.25">
      <c r="G2747" s="10">
        <v>2059</v>
      </c>
      <c r="H2747" s="9">
        <v>14727</v>
      </c>
      <c r="I2747" s="14">
        <f>DATE(2012,12,31)-165</f>
        <v>41109</v>
      </c>
      <c r="J2747" s="15" t="s">
        <v>16</v>
      </c>
      <c r="K2747" s="9">
        <v>50</v>
      </c>
      <c r="L2747" s="16" t="s">
        <v>29</v>
      </c>
      <c r="M2747" s="16">
        <f t="shared" si="255"/>
        <v>1.687010542718838</v>
      </c>
      <c r="N2747">
        <f t="shared" si="256"/>
        <v>0</v>
      </c>
      <c r="O2747">
        <f t="shared" si="257"/>
        <v>0</v>
      </c>
      <c r="P2747">
        <f t="shared" si="254"/>
        <v>5900</v>
      </c>
      <c r="Q2747">
        <f t="shared" si="258"/>
        <v>5900</v>
      </c>
      <c r="T2747" s="16">
        <f t="shared" si="259"/>
        <v>1.6870105427188375</v>
      </c>
    </row>
    <row r="2748" spans="7:20" ht="14.4" x14ac:dyDescent="0.25">
      <c r="G2748" s="10">
        <v>2191</v>
      </c>
      <c r="H2748" s="9">
        <v>15781</v>
      </c>
      <c r="I2748" s="14">
        <f>DATE(2012,12,31)-119</f>
        <v>41155</v>
      </c>
      <c r="J2748" s="15" t="s">
        <v>17</v>
      </c>
      <c r="K2748" s="9">
        <v>29</v>
      </c>
      <c r="L2748" s="16" t="s">
        <v>27</v>
      </c>
      <c r="M2748" s="16">
        <f t="shared" si="255"/>
        <v>0.23675523371518786</v>
      </c>
      <c r="N2748">
        <f t="shared" si="256"/>
        <v>0</v>
      </c>
      <c r="O2748">
        <f t="shared" si="257"/>
        <v>0</v>
      </c>
      <c r="P2748">
        <f t="shared" si="254"/>
        <v>4850</v>
      </c>
      <c r="Q2748">
        <f t="shared" si="258"/>
        <v>4850</v>
      </c>
      <c r="T2748" s="16">
        <f t="shared" si="259"/>
        <v>0.2367552337151875</v>
      </c>
    </row>
    <row r="2749" spans="7:20" ht="14.4" x14ac:dyDescent="0.25">
      <c r="G2749" s="10">
        <v>2370</v>
      </c>
      <c r="H2749" s="9">
        <v>17157</v>
      </c>
      <c r="I2749" s="14">
        <f>DATE(2012,12,31)-103</f>
        <v>41171</v>
      </c>
      <c r="J2749" s="15" t="s">
        <v>25</v>
      </c>
      <c r="K2749" s="9">
        <v>31</v>
      </c>
      <c r="L2749" s="16" t="s">
        <v>27</v>
      </c>
      <c r="M2749" s="16">
        <f t="shared" si="255"/>
        <v>0.37487478695363075</v>
      </c>
      <c r="N2749">
        <f t="shared" si="256"/>
        <v>0</v>
      </c>
      <c r="O2749">
        <f t="shared" si="257"/>
        <v>0</v>
      </c>
      <c r="P2749">
        <f t="shared" si="254"/>
        <v>4950</v>
      </c>
      <c r="Q2749">
        <f t="shared" si="258"/>
        <v>4950</v>
      </c>
      <c r="T2749" s="16">
        <f t="shared" si="259"/>
        <v>0.37487478695363036</v>
      </c>
    </row>
    <row r="2750" spans="7:20" ht="14.4" x14ac:dyDescent="0.25">
      <c r="G2750" s="10">
        <v>2447</v>
      </c>
      <c r="H2750" s="9">
        <v>17795</v>
      </c>
      <c r="I2750" s="14">
        <f>DATE(2012,12,31)-1370</f>
        <v>39904</v>
      </c>
      <c r="J2750" s="15" t="s">
        <v>16</v>
      </c>
      <c r="K2750" s="9">
        <v>1</v>
      </c>
      <c r="L2750" s="16" t="s">
        <v>26</v>
      </c>
      <c r="M2750" s="16">
        <f t="shared" si="255"/>
        <v>-1.6969185116230123</v>
      </c>
      <c r="N2750">
        <f t="shared" si="256"/>
        <v>0</v>
      </c>
      <c r="O2750">
        <f t="shared" si="257"/>
        <v>0</v>
      </c>
      <c r="P2750">
        <f t="shared" si="254"/>
        <v>3450</v>
      </c>
      <c r="Q2750">
        <f t="shared" si="258"/>
        <v>3450</v>
      </c>
      <c r="T2750" s="16">
        <f t="shared" si="259"/>
        <v>-1.6969185116230128</v>
      </c>
    </row>
    <row r="2751" spans="7:20" ht="14.4" x14ac:dyDescent="0.25">
      <c r="G2751" s="10">
        <v>2832</v>
      </c>
      <c r="H2751" s="9">
        <v>20449</v>
      </c>
      <c r="I2751" s="14">
        <f>DATE(2012,12,31)-1093</f>
        <v>40181</v>
      </c>
      <c r="J2751" s="15" t="s">
        <v>16</v>
      </c>
      <c r="K2751" s="9">
        <v>19</v>
      </c>
      <c r="L2751" s="16" t="s">
        <v>26</v>
      </c>
      <c r="M2751" s="16">
        <f t="shared" si="255"/>
        <v>-0.45384253247702649</v>
      </c>
      <c r="N2751">
        <f t="shared" si="256"/>
        <v>0</v>
      </c>
      <c r="O2751">
        <f t="shared" si="257"/>
        <v>0</v>
      </c>
      <c r="P2751">
        <f t="shared" si="254"/>
        <v>4350</v>
      </c>
      <c r="Q2751">
        <f t="shared" si="258"/>
        <v>4350</v>
      </c>
      <c r="T2751" s="16">
        <f t="shared" si="259"/>
        <v>-0.45384253247702688</v>
      </c>
    </row>
    <row r="2752" spans="7:20" ht="14.4" x14ac:dyDescent="0.25">
      <c r="G2752" s="10">
        <v>3054</v>
      </c>
      <c r="H2752" s="9">
        <v>21890</v>
      </c>
      <c r="I2752" s="14">
        <f>DATE(2012,12,31)-707</f>
        <v>40567</v>
      </c>
      <c r="J2752" s="15" t="s">
        <v>28</v>
      </c>
      <c r="K2752" s="9">
        <v>27</v>
      </c>
      <c r="L2752" s="16" t="s">
        <v>26</v>
      </c>
      <c r="M2752" s="16">
        <f t="shared" si="255"/>
        <v>9.8635680476745008E-2</v>
      </c>
      <c r="N2752">
        <f t="shared" si="256"/>
        <v>0</v>
      </c>
      <c r="O2752">
        <f t="shared" si="257"/>
        <v>0</v>
      </c>
      <c r="P2752">
        <f t="shared" si="254"/>
        <v>4750</v>
      </c>
      <c r="Q2752">
        <f t="shared" si="258"/>
        <v>4750</v>
      </c>
      <c r="T2752" s="16">
        <f t="shared" si="259"/>
        <v>9.8635680476744619E-2</v>
      </c>
    </row>
    <row r="2753" spans="7:20" ht="14.4" x14ac:dyDescent="0.25">
      <c r="G2753" s="10">
        <v>3071</v>
      </c>
      <c r="H2753" s="9">
        <v>22020</v>
      </c>
      <c r="I2753" s="14">
        <f>DATE(2012,12,31)-959</f>
        <v>40315</v>
      </c>
      <c r="J2753" s="15" t="s">
        <v>30</v>
      </c>
      <c r="K2753" s="9">
        <v>37</v>
      </c>
      <c r="L2753" s="16" t="s">
        <v>26</v>
      </c>
      <c r="M2753" s="16">
        <f t="shared" si="255"/>
        <v>0.78923344666895934</v>
      </c>
      <c r="N2753">
        <f t="shared" si="256"/>
        <v>0</v>
      </c>
      <c r="O2753">
        <f t="shared" si="257"/>
        <v>0</v>
      </c>
      <c r="P2753">
        <f t="shared" si="254"/>
        <v>5250</v>
      </c>
      <c r="Q2753">
        <f t="shared" si="258"/>
        <v>5250</v>
      </c>
      <c r="T2753" s="16">
        <f t="shared" si="259"/>
        <v>0.789233446668959</v>
      </c>
    </row>
    <row r="2754" spans="7:20" ht="14.4" x14ac:dyDescent="0.25">
      <c r="G2754" s="10">
        <v>3087</v>
      </c>
      <c r="H2754" s="9">
        <v>22149</v>
      </c>
      <c r="I2754" s="14">
        <f>DATE(2012,12,31)-465</f>
        <v>40809</v>
      </c>
      <c r="J2754" s="15" t="s">
        <v>25</v>
      </c>
      <c r="K2754" s="9">
        <v>47</v>
      </c>
      <c r="L2754" s="16" t="s">
        <v>26</v>
      </c>
      <c r="M2754" s="16">
        <f t="shared" si="255"/>
        <v>1.4798312128611737</v>
      </c>
      <c r="N2754">
        <f t="shared" si="256"/>
        <v>0</v>
      </c>
      <c r="O2754">
        <f t="shared" si="257"/>
        <v>0</v>
      </c>
      <c r="P2754">
        <f t="shared" si="254"/>
        <v>5750</v>
      </c>
      <c r="Q2754">
        <f t="shared" si="258"/>
        <v>5750</v>
      </c>
      <c r="T2754" s="16">
        <f t="shared" si="259"/>
        <v>1.4798312128611733</v>
      </c>
    </row>
    <row r="2755" spans="7:20" ht="14.4" x14ac:dyDescent="0.25">
      <c r="G2755" s="10">
        <v>3216</v>
      </c>
      <c r="H2755" s="9">
        <v>23078</v>
      </c>
      <c r="I2755" s="14">
        <f>DATE(2012,12,31)-473</f>
        <v>40801</v>
      </c>
      <c r="J2755" s="15" t="s">
        <v>16</v>
      </c>
      <c r="K2755" s="9">
        <v>18</v>
      </c>
      <c r="L2755" s="16" t="s">
        <v>26</v>
      </c>
      <c r="M2755" s="16">
        <f t="shared" si="255"/>
        <v>-0.52290230909624791</v>
      </c>
      <c r="N2755">
        <f t="shared" si="256"/>
        <v>0</v>
      </c>
      <c r="O2755">
        <f t="shared" si="257"/>
        <v>0</v>
      </c>
      <c r="P2755">
        <f t="shared" si="254"/>
        <v>4300</v>
      </c>
      <c r="Q2755">
        <f t="shared" si="258"/>
        <v>4300</v>
      </c>
      <c r="T2755" s="16">
        <f t="shared" si="259"/>
        <v>-0.52290230909624835</v>
      </c>
    </row>
    <row r="2756" spans="7:20" ht="14.4" x14ac:dyDescent="0.25">
      <c r="G2756" s="10">
        <v>3306</v>
      </c>
      <c r="H2756" s="9">
        <v>23619</v>
      </c>
      <c r="I2756" s="14">
        <f>DATE(2012,12,31)-10</f>
        <v>41264</v>
      </c>
      <c r="J2756" s="15" t="s">
        <v>16</v>
      </c>
      <c r="K2756" s="9">
        <v>7</v>
      </c>
      <c r="L2756" s="16" t="s">
        <v>27</v>
      </c>
      <c r="M2756" s="16">
        <f t="shared" si="255"/>
        <v>-1.2825598519076837</v>
      </c>
      <c r="N2756">
        <f t="shared" si="256"/>
        <v>0</v>
      </c>
      <c r="O2756">
        <f t="shared" si="257"/>
        <v>0</v>
      </c>
      <c r="P2756">
        <f t="shared" si="254"/>
        <v>3750</v>
      </c>
      <c r="Q2756">
        <f t="shared" si="258"/>
        <v>3750</v>
      </c>
      <c r="T2756" s="16">
        <f t="shared" si="259"/>
        <v>-1.2825598519076842</v>
      </c>
    </row>
    <row r="2757" spans="7:20" ht="14.4" x14ac:dyDescent="0.25">
      <c r="G2757" s="10">
        <v>3351</v>
      </c>
      <c r="H2757" s="9">
        <v>24003</v>
      </c>
      <c r="I2757" s="14">
        <f>DATE(2012,12,31)-1157</f>
        <v>40117</v>
      </c>
      <c r="J2757" s="15" t="s">
        <v>30</v>
      </c>
      <c r="K2757" s="9">
        <v>49</v>
      </c>
      <c r="L2757" s="16" t="s">
        <v>26</v>
      </c>
      <c r="M2757" s="16">
        <f t="shared" si="255"/>
        <v>1.6179507660996166</v>
      </c>
      <c r="N2757">
        <f t="shared" si="256"/>
        <v>0</v>
      </c>
      <c r="O2757">
        <f t="shared" si="257"/>
        <v>0</v>
      </c>
      <c r="P2757">
        <f t="shared" si="254"/>
        <v>5850</v>
      </c>
      <c r="Q2757">
        <f t="shared" si="258"/>
        <v>5850</v>
      </c>
      <c r="T2757" s="16">
        <f t="shared" si="259"/>
        <v>1.6179507660996162</v>
      </c>
    </row>
    <row r="2758" spans="7:20" ht="14.4" x14ac:dyDescent="0.25">
      <c r="G2758" s="10">
        <v>3352</v>
      </c>
      <c r="H2758" s="9">
        <v>24003</v>
      </c>
      <c r="I2758" s="14">
        <f>DATE(2012,12,31)-1157</f>
        <v>40117</v>
      </c>
      <c r="J2758" s="15" t="s">
        <v>30</v>
      </c>
      <c r="K2758" s="9">
        <v>50</v>
      </c>
      <c r="L2758" s="16" t="s">
        <v>26</v>
      </c>
      <c r="M2758" s="16">
        <f t="shared" si="255"/>
        <v>1.687010542718838</v>
      </c>
      <c r="N2758">
        <f t="shared" si="256"/>
        <v>0</v>
      </c>
      <c r="O2758">
        <f t="shared" si="257"/>
        <v>0</v>
      </c>
      <c r="P2758">
        <f t="shared" si="254"/>
        <v>5900</v>
      </c>
      <c r="Q2758">
        <f t="shared" si="258"/>
        <v>5900</v>
      </c>
      <c r="T2758" s="16">
        <f t="shared" si="259"/>
        <v>1.6870105427188375</v>
      </c>
    </row>
    <row r="2759" spans="7:20" ht="14.4" x14ac:dyDescent="0.25">
      <c r="G2759" s="10">
        <v>3564</v>
      </c>
      <c r="H2759" s="9">
        <v>25442</v>
      </c>
      <c r="I2759" s="14">
        <f>DATE(2012,12,31)-361</f>
        <v>40913</v>
      </c>
      <c r="J2759" s="15" t="s">
        <v>17</v>
      </c>
      <c r="K2759" s="9">
        <v>32</v>
      </c>
      <c r="L2759" s="16" t="s">
        <v>26</v>
      </c>
      <c r="M2759" s="16">
        <f t="shared" si="255"/>
        <v>0.44393456357285216</v>
      </c>
      <c r="N2759">
        <f t="shared" si="256"/>
        <v>0</v>
      </c>
      <c r="O2759">
        <f t="shared" si="257"/>
        <v>0</v>
      </c>
      <c r="P2759">
        <f t="shared" si="254"/>
        <v>5000</v>
      </c>
      <c r="Q2759">
        <f t="shared" si="258"/>
        <v>5000</v>
      </c>
      <c r="T2759" s="16">
        <f t="shared" si="259"/>
        <v>0.44393456357285183</v>
      </c>
    </row>
    <row r="2760" spans="7:20" ht="14.4" x14ac:dyDescent="0.25">
      <c r="G2760" s="10">
        <v>3630</v>
      </c>
      <c r="H2760" s="9">
        <v>25927</v>
      </c>
      <c r="I2760" s="14">
        <f>DATE(2012,12,31)-1349</f>
        <v>39925</v>
      </c>
      <c r="J2760" s="15" t="s">
        <v>16</v>
      </c>
      <c r="K2760" s="9">
        <v>43</v>
      </c>
      <c r="L2760" s="16" t="s">
        <v>26</v>
      </c>
      <c r="M2760" s="16">
        <f t="shared" si="255"/>
        <v>1.203592106384288</v>
      </c>
      <c r="N2760">
        <f t="shared" si="256"/>
        <v>0</v>
      </c>
      <c r="O2760">
        <f t="shared" si="257"/>
        <v>0</v>
      </c>
      <c r="P2760">
        <f t="shared" si="254"/>
        <v>5550</v>
      </c>
      <c r="Q2760">
        <f t="shared" si="258"/>
        <v>5550</v>
      </c>
      <c r="T2760" s="16">
        <f t="shared" si="259"/>
        <v>1.2035921063842876</v>
      </c>
    </row>
    <row r="2761" spans="7:20" ht="14.4" x14ac:dyDescent="0.25">
      <c r="G2761" s="10">
        <v>3664</v>
      </c>
      <c r="H2761" s="9">
        <v>26243</v>
      </c>
      <c r="I2761" s="14">
        <f>DATE(2012,12,31)-534</f>
        <v>40740</v>
      </c>
      <c r="J2761" s="15" t="s">
        <v>25</v>
      </c>
      <c r="K2761" s="9">
        <v>42</v>
      </c>
      <c r="L2761" s="16" t="s">
        <v>26</v>
      </c>
      <c r="M2761" s="16">
        <f t="shared" si="255"/>
        <v>1.1345323297650665</v>
      </c>
      <c r="N2761">
        <f t="shared" si="256"/>
        <v>0</v>
      </c>
      <c r="O2761">
        <f t="shared" si="257"/>
        <v>0</v>
      </c>
      <c r="P2761">
        <f t="shared" si="254"/>
        <v>5500</v>
      </c>
      <c r="Q2761">
        <f t="shared" si="258"/>
        <v>5500</v>
      </c>
      <c r="T2761" s="16">
        <f t="shared" si="259"/>
        <v>1.1345323297650662</v>
      </c>
    </row>
    <row r="2762" spans="7:20" ht="14.4" x14ac:dyDescent="0.25">
      <c r="G2762" s="10">
        <v>3997</v>
      </c>
      <c r="H2762" s="9">
        <v>28515</v>
      </c>
      <c r="I2762" s="14">
        <f>DATE(2012,12,31)-915</f>
        <v>40359</v>
      </c>
      <c r="J2762" s="15" t="s">
        <v>17</v>
      </c>
      <c r="K2762" s="9">
        <v>33</v>
      </c>
      <c r="L2762" s="16" t="s">
        <v>26</v>
      </c>
      <c r="M2762" s="16">
        <f t="shared" si="255"/>
        <v>0.51299434019207357</v>
      </c>
      <c r="N2762">
        <f t="shared" si="256"/>
        <v>0</v>
      </c>
      <c r="O2762">
        <f t="shared" si="257"/>
        <v>0</v>
      </c>
      <c r="P2762">
        <f t="shared" si="254"/>
        <v>5050</v>
      </c>
      <c r="Q2762">
        <f t="shared" si="258"/>
        <v>5050</v>
      </c>
      <c r="T2762" s="16">
        <f t="shared" si="259"/>
        <v>0.51299434019207324</v>
      </c>
    </row>
    <row r="2763" spans="7:20" ht="14.4" x14ac:dyDescent="0.25">
      <c r="G2763" s="10">
        <v>4180</v>
      </c>
      <c r="H2763" s="9">
        <v>29667</v>
      </c>
      <c r="I2763" s="14">
        <f>DATE(2012,12,31)-1256</f>
        <v>40018</v>
      </c>
      <c r="J2763" s="15" t="s">
        <v>28</v>
      </c>
      <c r="K2763" s="9">
        <v>14</v>
      </c>
      <c r="L2763" s="16" t="s">
        <v>26</v>
      </c>
      <c r="M2763" s="16">
        <f t="shared" si="255"/>
        <v>-0.79914141557313367</v>
      </c>
      <c r="N2763">
        <f t="shared" si="256"/>
        <v>0</v>
      </c>
      <c r="O2763">
        <f t="shared" si="257"/>
        <v>0</v>
      </c>
      <c r="P2763">
        <f t="shared" si="254"/>
        <v>4100</v>
      </c>
      <c r="Q2763">
        <f t="shared" si="258"/>
        <v>4100</v>
      </c>
      <c r="T2763" s="16">
        <f t="shared" si="259"/>
        <v>-0.79914141557313401</v>
      </c>
    </row>
    <row r="2764" spans="7:20" ht="14.4" x14ac:dyDescent="0.25">
      <c r="G2764" s="10">
        <v>4226</v>
      </c>
      <c r="H2764" s="9">
        <v>30023</v>
      </c>
      <c r="I2764" s="14">
        <f>DATE(2012,12,31)-808</f>
        <v>40466</v>
      </c>
      <c r="J2764" s="15" t="s">
        <v>25</v>
      </c>
      <c r="K2764" s="9">
        <v>14</v>
      </c>
      <c r="L2764" s="16" t="s">
        <v>26</v>
      </c>
      <c r="M2764" s="16">
        <f t="shared" si="255"/>
        <v>-0.79914141557313367</v>
      </c>
      <c r="N2764">
        <f t="shared" si="256"/>
        <v>0</v>
      </c>
      <c r="O2764">
        <f t="shared" si="257"/>
        <v>0</v>
      </c>
      <c r="P2764">
        <f t="shared" ref="P2764:P2827" si="260">50*K2764+$P$10</f>
        <v>4100</v>
      </c>
      <c r="Q2764">
        <f t="shared" si="258"/>
        <v>4100</v>
      </c>
      <c r="T2764" s="16">
        <f t="shared" si="259"/>
        <v>-0.79914141557313401</v>
      </c>
    </row>
    <row r="2765" spans="7:20" ht="14.4" x14ac:dyDescent="0.25">
      <c r="G2765" s="10">
        <v>4248</v>
      </c>
      <c r="H2765" s="9">
        <v>30215</v>
      </c>
      <c r="I2765" s="14">
        <f>DATE(2012,12,31)-1404</f>
        <v>39870</v>
      </c>
      <c r="J2765" s="15" t="s">
        <v>16</v>
      </c>
      <c r="K2765" s="9">
        <v>20</v>
      </c>
      <c r="L2765" s="16" t="s">
        <v>26</v>
      </c>
      <c r="M2765" s="16">
        <f t="shared" ref="M2765:M2828" si="261">(K2765-$K$4)/$K$7</f>
        <v>-0.38478275585780503</v>
      </c>
      <c r="N2765">
        <f t="shared" ref="N2765:N2828" si="262">IF(MOD($B$20+G2765,1000)=0,1,0)</f>
        <v>0</v>
      </c>
      <c r="O2765">
        <f t="shared" ref="O2765:O2828" si="263">+ROUND(N2765*(IF(K2765&lt;$K$4,-4.5,10.5)*$P$5),-2)</f>
        <v>0</v>
      </c>
      <c r="P2765">
        <f t="shared" si="260"/>
        <v>4400</v>
      </c>
      <c r="Q2765">
        <f t="shared" ref="Q2765:Q2828" si="264">P2765+O2765</f>
        <v>4400</v>
      </c>
      <c r="T2765" s="16">
        <f t="shared" ref="T2765:T2828" si="265">(Q2765-$P$4)/$P$5</f>
        <v>-0.38478275585780541</v>
      </c>
    </row>
    <row r="2766" spans="7:20" ht="14.4" x14ac:dyDescent="0.25">
      <c r="G2766" s="10">
        <v>4468</v>
      </c>
      <c r="H2766" s="9">
        <v>31845</v>
      </c>
      <c r="I2766" s="14">
        <f>DATE(2012,12,31)-70</f>
        <v>41204</v>
      </c>
      <c r="J2766" s="15" t="s">
        <v>25</v>
      </c>
      <c r="K2766" s="9">
        <v>11</v>
      </c>
      <c r="L2766" s="16" t="s">
        <v>26</v>
      </c>
      <c r="M2766" s="16">
        <f t="shared" si="261"/>
        <v>-1.0063207454307979</v>
      </c>
      <c r="N2766">
        <f t="shared" si="262"/>
        <v>0</v>
      </c>
      <c r="O2766">
        <f t="shared" si="263"/>
        <v>0</v>
      </c>
      <c r="P2766">
        <f t="shared" si="260"/>
        <v>3950</v>
      </c>
      <c r="Q2766">
        <f t="shared" si="264"/>
        <v>3950</v>
      </c>
      <c r="T2766" s="16">
        <f t="shared" si="265"/>
        <v>-1.0063207454307983</v>
      </c>
    </row>
    <row r="2767" spans="7:20" ht="14.4" x14ac:dyDescent="0.25">
      <c r="G2767" s="10">
        <v>4638</v>
      </c>
      <c r="H2767" s="9">
        <v>32999</v>
      </c>
      <c r="I2767" s="14">
        <f>DATE(2012,12,31)-1357</f>
        <v>39917</v>
      </c>
      <c r="J2767" s="15" t="s">
        <v>25</v>
      </c>
      <c r="K2767" s="9">
        <v>14</v>
      </c>
      <c r="L2767" s="16" t="s">
        <v>29</v>
      </c>
      <c r="M2767" s="16">
        <f t="shared" si="261"/>
        <v>-0.79914141557313367</v>
      </c>
      <c r="N2767">
        <f t="shared" si="262"/>
        <v>0</v>
      </c>
      <c r="O2767">
        <f t="shared" si="263"/>
        <v>0</v>
      </c>
      <c r="P2767">
        <f t="shared" si="260"/>
        <v>4100</v>
      </c>
      <c r="Q2767">
        <f t="shared" si="264"/>
        <v>4100</v>
      </c>
      <c r="T2767" s="16">
        <f t="shared" si="265"/>
        <v>-0.79914141557313401</v>
      </c>
    </row>
    <row r="2768" spans="7:20" ht="14.4" x14ac:dyDescent="0.25">
      <c r="G2768" s="10">
        <v>5013</v>
      </c>
      <c r="H2768" s="9">
        <v>35777</v>
      </c>
      <c r="I2768" s="14">
        <f>DATE(2012,12,31)-845</f>
        <v>40429</v>
      </c>
      <c r="J2768" s="15" t="s">
        <v>30</v>
      </c>
      <c r="K2768" s="9">
        <v>35</v>
      </c>
      <c r="L2768" s="16" t="s">
        <v>26</v>
      </c>
      <c r="M2768" s="16">
        <f t="shared" si="261"/>
        <v>0.65111389343051651</v>
      </c>
      <c r="N2768">
        <f t="shared" si="262"/>
        <v>0</v>
      </c>
      <c r="O2768">
        <f t="shared" si="263"/>
        <v>0</v>
      </c>
      <c r="P2768">
        <f t="shared" si="260"/>
        <v>5150</v>
      </c>
      <c r="Q2768">
        <f t="shared" si="264"/>
        <v>5150</v>
      </c>
      <c r="T2768" s="16">
        <f t="shared" si="265"/>
        <v>0.65111389343051607</v>
      </c>
    </row>
    <row r="2769" spans="7:20" ht="14.4" x14ac:dyDescent="0.25">
      <c r="G2769" s="10">
        <v>5052</v>
      </c>
      <c r="H2769" s="9">
        <v>36005</v>
      </c>
      <c r="I2769" s="14">
        <f>DATE(2012,12,31)-836</f>
        <v>40438</v>
      </c>
      <c r="J2769" s="15" t="s">
        <v>25</v>
      </c>
      <c r="K2769" s="9">
        <v>1</v>
      </c>
      <c r="L2769" s="16" t="s">
        <v>26</v>
      </c>
      <c r="M2769" s="16">
        <f t="shared" si="261"/>
        <v>-1.6969185116230123</v>
      </c>
      <c r="N2769">
        <f t="shared" si="262"/>
        <v>0</v>
      </c>
      <c r="O2769">
        <f t="shared" si="263"/>
        <v>0</v>
      </c>
      <c r="P2769">
        <f t="shared" si="260"/>
        <v>3450</v>
      </c>
      <c r="Q2769">
        <f t="shared" si="264"/>
        <v>3450</v>
      </c>
      <c r="T2769" s="16">
        <f t="shared" si="265"/>
        <v>-1.6969185116230128</v>
      </c>
    </row>
    <row r="2770" spans="7:20" ht="14.4" x14ac:dyDescent="0.25">
      <c r="G2770" s="10">
        <v>5080</v>
      </c>
      <c r="H2770" s="9">
        <v>36196</v>
      </c>
      <c r="I2770" s="14">
        <f>DATE(2012,12,31)-513</f>
        <v>40761</v>
      </c>
      <c r="J2770" s="15" t="s">
        <v>28</v>
      </c>
      <c r="K2770" s="9">
        <v>6</v>
      </c>
      <c r="L2770" s="16" t="s">
        <v>29</v>
      </c>
      <c r="M2770" s="16">
        <f t="shared" si="261"/>
        <v>-1.3516196285269051</v>
      </c>
      <c r="N2770">
        <f t="shared" si="262"/>
        <v>0</v>
      </c>
      <c r="O2770">
        <f t="shared" si="263"/>
        <v>0</v>
      </c>
      <c r="P2770">
        <f t="shared" si="260"/>
        <v>3700</v>
      </c>
      <c r="Q2770">
        <f t="shared" si="264"/>
        <v>3700</v>
      </c>
      <c r="T2770" s="16">
        <f t="shared" si="265"/>
        <v>-1.3516196285269055</v>
      </c>
    </row>
    <row r="2771" spans="7:20" ht="14.4" x14ac:dyDescent="0.25">
      <c r="G2771" s="10">
        <v>5084</v>
      </c>
      <c r="H2771" s="9">
        <v>36230</v>
      </c>
      <c r="I2771" s="14">
        <f>DATE(2012,12,31)-1300</f>
        <v>39974</v>
      </c>
      <c r="J2771" s="15" t="s">
        <v>17</v>
      </c>
      <c r="K2771" s="9">
        <v>7</v>
      </c>
      <c r="L2771" s="16" t="s">
        <v>27</v>
      </c>
      <c r="M2771" s="16">
        <f t="shared" si="261"/>
        <v>-1.2825598519076837</v>
      </c>
      <c r="N2771">
        <f t="shared" si="262"/>
        <v>0</v>
      </c>
      <c r="O2771">
        <f t="shared" si="263"/>
        <v>0</v>
      </c>
      <c r="P2771">
        <f t="shared" si="260"/>
        <v>3750</v>
      </c>
      <c r="Q2771">
        <f t="shared" si="264"/>
        <v>3750</v>
      </c>
      <c r="T2771" s="16">
        <f t="shared" si="265"/>
        <v>-1.2825598519076842</v>
      </c>
    </row>
    <row r="2772" spans="7:20" ht="14.4" x14ac:dyDescent="0.25">
      <c r="G2772" s="10">
        <v>5093</v>
      </c>
      <c r="H2772" s="9">
        <v>36294</v>
      </c>
      <c r="I2772" s="14">
        <f>DATE(2012,12,31)-133</f>
        <v>41141</v>
      </c>
      <c r="J2772" s="15" t="s">
        <v>16</v>
      </c>
      <c r="K2772" s="9">
        <v>46</v>
      </c>
      <c r="L2772" s="16" t="s">
        <v>26</v>
      </c>
      <c r="M2772" s="16">
        <f t="shared" si="261"/>
        <v>1.4107714362419523</v>
      </c>
      <c r="N2772">
        <f t="shared" si="262"/>
        <v>0</v>
      </c>
      <c r="O2772">
        <f t="shared" si="263"/>
        <v>0</v>
      </c>
      <c r="P2772">
        <f t="shared" si="260"/>
        <v>5700</v>
      </c>
      <c r="Q2772">
        <f t="shared" si="264"/>
        <v>5700</v>
      </c>
      <c r="T2772" s="16">
        <f t="shared" si="265"/>
        <v>1.4107714362419519</v>
      </c>
    </row>
    <row r="2773" spans="7:20" ht="14.4" x14ac:dyDescent="0.25">
      <c r="G2773" s="10">
        <v>5158</v>
      </c>
      <c r="H2773" s="9">
        <v>36737</v>
      </c>
      <c r="I2773" s="14">
        <f>DATE(2012,12,31)-1022</f>
        <v>40252</v>
      </c>
      <c r="J2773" s="15" t="s">
        <v>28</v>
      </c>
      <c r="K2773" s="9">
        <v>26</v>
      </c>
      <c r="L2773" s="16" t="s">
        <v>27</v>
      </c>
      <c r="M2773" s="16">
        <f t="shared" si="261"/>
        <v>2.9575903857523567E-2</v>
      </c>
      <c r="N2773">
        <f t="shared" si="262"/>
        <v>0</v>
      </c>
      <c r="O2773">
        <f t="shared" si="263"/>
        <v>0</v>
      </c>
      <c r="P2773">
        <f t="shared" si="260"/>
        <v>4700</v>
      </c>
      <c r="Q2773">
        <f t="shared" si="264"/>
        <v>4700</v>
      </c>
      <c r="T2773" s="16">
        <f t="shared" si="265"/>
        <v>2.9575903857523185E-2</v>
      </c>
    </row>
    <row r="2774" spans="7:20" ht="14.4" x14ac:dyDescent="0.25">
      <c r="G2774" s="10">
        <v>5241</v>
      </c>
      <c r="H2774" s="9">
        <v>37287</v>
      </c>
      <c r="I2774" s="14">
        <f>DATE(2012,12,31)-60</f>
        <v>41214</v>
      </c>
      <c r="J2774" s="15" t="s">
        <v>25</v>
      </c>
      <c r="K2774" s="9">
        <v>45</v>
      </c>
      <c r="L2774" s="16" t="s">
        <v>26</v>
      </c>
      <c r="M2774" s="16">
        <f t="shared" si="261"/>
        <v>1.3417116596227308</v>
      </c>
      <c r="N2774">
        <f t="shared" si="262"/>
        <v>0</v>
      </c>
      <c r="O2774">
        <f t="shared" si="263"/>
        <v>0</v>
      </c>
      <c r="P2774">
        <f t="shared" si="260"/>
        <v>5650</v>
      </c>
      <c r="Q2774">
        <f t="shared" si="264"/>
        <v>5650</v>
      </c>
      <c r="T2774" s="16">
        <f t="shared" si="265"/>
        <v>1.3417116596227305</v>
      </c>
    </row>
    <row r="2775" spans="7:20" ht="14.4" x14ac:dyDescent="0.25">
      <c r="G2775" s="10">
        <v>5323</v>
      </c>
      <c r="H2775" s="9">
        <v>37831</v>
      </c>
      <c r="I2775" s="14">
        <f>DATE(2012,12,31)-158</f>
        <v>41116</v>
      </c>
      <c r="J2775" s="15" t="s">
        <v>28</v>
      </c>
      <c r="K2775" s="9">
        <v>30</v>
      </c>
      <c r="L2775" s="16" t="s">
        <v>27</v>
      </c>
      <c r="M2775" s="16">
        <f t="shared" si="261"/>
        <v>0.30581501033440933</v>
      </c>
      <c r="N2775">
        <f t="shared" si="262"/>
        <v>0</v>
      </c>
      <c r="O2775">
        <f t="shared" si="263"/>
        <v>0</v>
      </c>
      <c r="P2775">
        <f t="shared" si="260"/>
        <v>4900</v>
      </c>
      <c r="Q2775">
        <f t="shared" si="264"/>
        <v>4900</v>
      </c>
      <c r="T2775" s="16">
        <f t="shared" si="265"/>
        <v>0.30581501033440894</v>
      </c>
    </row>
    <row r="2776" spans="7:20" ht="14.4" x14ac:dyDescent="0.25">
      <c r="G2776" s="10">
        <v>5400</v>
      </c>
      <c r="H2776" s="9">
        <v>38372</v>
      </c>
      <c r="I2776" s="14">
        <f>DATE(2012,12,31)-961</f>
        <v>40313</v>
      </c>
      <c r="J2776" s="15" t="s">
        <v>17</v>
      </c>
      <c r="K2776" s="9">
        <v>33</v>
      </c>
      <c r="L2776" s="16" t="s">
        <v>26</v>
      </c>
      <c r="M2776" s="16">
        <f t="shared" si="261"/>
        <v>0.51299434019207357</v>
      </c>
      <c r="N2776">
        <f t="shared" si="262"/>
        <v>0</v>
      </c>
      <c r="O2776">
        <f t="shared" si="263"/>
        <v>0</v>
      </c>
      <c r="P2776">
        <f t="shared" si="260"/>
        <v>5050</v>
      </c>
      <c r="Q2776">
        <f t="shared" si="264"/>
        <v>5050</v>
      </c>
      <c r="T2776" s="16">
        <f t="shared" si="265"/>
        <v>0.51299434019207324</v>
      </c>
    </row>
    <row r="2777" spans="7:20" ht="14.4" x14ac:dyDescent="0.25">
      <c r="G2777" s="10">
        <v>5478</v>
      </c>
      <c r="H2777" s="9">
        <v>38912</v>
      </c>
      <c r="I2777" s="14">
        <f>DATE(2012,12,31)-64</f>
        <v>41210</v>
      </c>
      <c r="J2777" s="15" t="s">
        <v>25</v>
      </c>
      <c r="K2777" s="9">
        <v>26</v>
      </c>
      <c r="L2777" s="16" t="s">
        <v>27</v>
      </c>
      <c r="M2777" s="16">
        <f t="shared" si="261"/>
        <v>2.9575903857523567E-2</v>
      </c>
      <c r="N2777">
        <f t="shared" si="262"/>
        <v>0</v>
      </c>
      <c r="O2777">
        <f t="shared" si="263"/>
        <v>0</v>
      </c>
      <c r="P2777">
        <f t="shared" si="260"/>
        <v>4700</v>
      </c>
      <c r="Q2777">
        <f t="shared" si="264"/>
        <v>4700</v>
      </c>
      <c r="T2777" s="16">
        <f t="shared" si="265"/>
        <v>2.9575903857523185E-2</v>
      </c>
    </row>
    <row r="2778" spans="7:20" ht="14.4" x14ac:dyDescent="0.25">
      <c r="G2778" s="10">
        <v>5504</v>
      </c>
      <c r="H2778" s="9">
        <v>39040</v>
      </c>
      <c r="I2778" s="14">
        <f>DATE(2012,12,31)-1320</f>
        <v>39954</v>
      </c>
      <c r="J2778" s="15" t="s">
        <v>30</v>
      </c>
      <c r="K2778" s="9">
        <v>7</v>
      </c>
      <c r="L2778" s="16" t="s">
        <v>26</v>
      </c>
      <c r="M2778" s="16">
        <f t="shared" si="261"/>
        <v>-1.2825598519076837</v>
      </c>
      <c r="N2778">
        <f t="shared" si="262"/>
        <v>0</v>
      </c>
      <c r="O2778">
        <f t="shared" si="263"/>
        <v>0</v>
      </c>
      <c r="P2778">
        <f t="shared" si="260"/>
        <v>3750</v>
      </c>
      <c r="Q2778">
        <f t="shared" si="264"/>
        <v>3750</v>
      </c>
      <c r="T2778" s="16">
        <f t="shared" si="265"/>
        <v>-1.2825598519076842</v>
      </c>
    </row>
    <row r="2779" spans="7:20" ht="14.4" x14ac:dyDescent="0.25">
      <c r="G2779" s="10">
        <v>5761</v>
      </c>
      <c r="H2779" s="9">
        <v>40896</v>
      </c>
      <c r="I2779" s="14">
        <f>DATE(2012,12,31)-486</f>
        <v>40788</v>
      </c>
      <c r="J2779" s="15" t="s">
        <v>28</v>
      </c>
      <c r="K2779" s="9">
        <v>21</v>
      </c>
      <c r="L2779" s="16" t="s">
        <v>26</v>
      </c>
      <c r="M2779" s="16">
        <f t="shared" si="261"/>
        <v>-0.31572297923858361</v>
      </c>
      <c r="N2779">
        <f t="shared" si="262"/>
        <v>0</v>
      </c>
      <c r="O2779">
        <f t="shared" si="263"/>
        <v>0</v>
      </c>
      <c r="P2779">
        <f t="shared" si="260"/>
        <v>4450</v>
      </c>
      <c r="Q2779">
        <f t="shared" si="264"/>
        <v>4450</v>
      </c>
      <c r="T2779" s="16">
        <f t="shared" si="265"/>
        <v>-0.315722979238584</v>
      </c>
    </row>
    <row r="2780" spans="7:20" ht="14.4" x14ac:dyDescent="0.25">
      <c r="G2780" s="10">
        <v>5776</v>
      </c>
      <c r="H2780" s="9">
        <v>40994</v>
      </c>
      <c r="I2780" s="14">
        <f>DATE(2012,12,31)-83</f>
        <v>41191</v>
      </c>
      <c r="J2780" s="15" t="s">
        <v>17</v>
      </c>
      <c r="K2780" s="9">
        <v>42</v>
      </c>
      <c r="L2780" s="16" t="s">
        <v>26</v>
      </c>
      <c r="M2780" s="16">
        <f t="shared" si="261"/>
        <v>1.1345323297650665</v>
      </c>
      <c r="N2780">
        <f t="shared" si="262"/>
        <v>0</v>
      </c>
      <c r="O2780">
        <f t="shared" si="263"/>
        <v>0</v>
      </c>
      <c r="P2780">
        <f t="shared" si="260"/>
        <v>5500</v>
      </c>
      <c r="Q2780">
        <f t="shared" si="264"/>
        <v>5500</v>
      </c>
      <c r="T2780" s="16">
        <f t="shared" si="265"/>
        <v>1.1345323297650662</v>
      </c>
    </row>
    <row r="2781" spans="7:20" ht="14.4" x14ac:dyDescent="0.25">
      <c r="G2781" s="10">
        <v>5864</v>
      </c>
      <c r="H2781" s="9">
        <v>41607</v>
      </c>
      <c r="I2781" s="14">
        <f>DATE(2012,12,31)-1108</f>
        <v>40166</v>
      </c>
      <c r="J2781" s="15" t="s">
        <v>16</v>
      </c>
      <c r="K2781" s="9">
        <v>36</v>
      </c>
      <c r="L2781" s="16" t="s">
        <v>26</v>
      </c>
      <c r="M2781" s="16">
        <f t="shared" si="261"/>
        <v>0.72017367004973787</v>
      </c>
      <c r="N2781">
        <f t="shared" si="262"/>
        <v>0</v>
      </c>
      <c r="O2781">
        <f t="shared" si="263"/>
        <v>0</v>
      </c>
      <c r="P2781">
        <f t="shared" si="260"/>
        <v>5200</v>
      </c>
      <c r="Q2781">
        <f t="shared" si="264"/>
        <v>5200</v>
      </c>
      <c r="T2781" s="16">
        <f t="shared" si="265"/>
        <v>0.72017367004973754</v>
      </c>
    </row>
    <row r="2782" spans="7:20" ht="14.4" x14ac:dyDescent="0.25">
      <c r="G2782" s="10">
        <v>5874</v>
      </c>
      <c r="H2782" s="9">
        <v>41666</v>
      </c>
      <c r="I2782" s="14">
        <f>DATE(2012,12,31)-303</f>
        <v>40971</v>
      </c>
      <c r="J2782" s="15" t="s">
        <v>16</v>
      </c>
      <c r="K2782" s="9">
        <v>26</v>
      </c>
      <c r="L2782" s="16" t="s">
        <v>27</v>
      </c>
      <c r="M2782" s="16">
        <f t="shared" si="261"/>
        <v>2.9575903857523567E-2</v>
      </c>
      <c r="N2782">
        <f t="shared" si="262"/>
        <v>0</v>
      </c>
      <c r="O2782">
        <f t="shared" si="263"/>
        <v>0</v>
      </c>
      <c r="P2782">
        <f t="shared" si="260"/>
        <v>4700</v>
      </c>
      <c r="Q2782">
        <f t="shared" si="264"/>
        <v>4700</v>
      </c>
      <c r="T2782" s="16">
        <f t="shared" si="265"/>
        <v>2.9575903857523185E-2</v>
      </c>
    </row>
    <row r="2783" spans="7:20" ht="14.4" x14ac:dyDescent="0.25">
      <c r="G2783" s="10">
        <v>5961</v>
      </c>
      <c r="H2783" s="9">
        <v>42306</v>
      </c>
      <c r="I2783" s="14">
        <f>DATE(2012,12,31)-108</f>
        <v>41166</v>
      </c>
      <c r="J2783" s="15" t="s">
        <v>17</v>
      </c>
      <c r="K2783" s="9">
        <v>18</v>
      </c>
      <c r="L2783" s="16" t="s">
        <v>26</v>
      </c>
      <c r="M2783" s="16">
        <f t="shared" si="261"/>
        <v>-0.52290230909624791</v>
      </c>
      <c r="N2783">
        <f t="shared" si="262"/>
        <v>0</v>
      </c>
      <c r="O2783">
        <f t="shared" si="263"/>
        <v>0</v>
      </c>
      <c r="P2783">
        <f t="shared" si="260"/>
        <v>4300</v>
      </c>
      <c r="Q2783">
        <f t="shared" si="264"/>
        <v>4300</v>
      </c>
      <c r="T2783" s="16">
        <f t="shared" si="265"/>
        <v>-0.52290230909624835</v>
      </c>
    </row>
    <row r="2784" spans="7:20" ht="14.4" x14ac:dyDescent="0.25">
      <c r="G2784" s="10">
        <v>5994</v>
      </c>
      <c r="H2784" s="9">
        <v>42469</v>
      </c>
      <c r="I2784" s="14">
        <f>DATE(2012,12,31)-53</f>
        <v>41221</v>
      </c>
      <c r="J2784" s="15" t="s">
        <v>28</v>
      </c>
      <c r="K2784" s="9">
        <v>31</v>
      </c>
      <c r="L2784" s="16" t="s">
        <v>26</v>
      </c>
      <c r="M2784" s="16">
        <f t="shared" si="261"/>
        <v>0.37487478695363075</v>
      </c>
      <c r="N2784">
        <f t="shared" si="262"/>
        <v>0</v>
      </c>
      <c r="O2784">
        <f t="shared" si="263"/>
        <v>0</v>
      </c>
      <c r="P2784">
        <f t="shared" si="260"/>
        <v>4950</v>
      </c>
      <c r="Q2784">
        <f t="shared" si="264"/>
        <v>4950</v>
      </c>
      <c r="T2784" s="16">
        <f t="shared" si="265"/>
        <v>0.37487478695363036</v>
      </c>
    </row>
    <row r="2785" spans="7:20" ht="14.4" x14ac:dyDescent="0.25">
      <c r="G2785" s="10">
        <v>6002</v>
      </c>
      <c r="H2785" s="9">
        <v>42528</v>
      </c>
      <c r="I2785" s="14">
        <f>DATE(2012,12,31)-1042</f>
        <v>40232</v>
      </c>
      <c r="J2785" s="15" t="s">
        <v>16</v>
      </c>
      <c r="K2785" s="9">
        <v>46</v>
      </c>
      <c r="L2785" s="16" t="s">
        <v>26</v>
      </c>
      <c r="M2785" s="16">
        <f t="shared" si="261"/>
        <v>1.4107714362419523</v>
      </c>
      <c r="N2785">
        <f t="shared" si="262"/>
        <v>0</v>
      </c>
      <c r="O2785">
        <f t="shared" si="263"/>
        <v>0</v>
      </c>
      <c r="P2785">
        <f t="shared" si="260"/>
        <v>5700</v>
      </c>
      <c r="Q2785">
        <f t="shared" si="264"/>
        <v>5700</v>
      </c>
      <c r="T2785" s="16">
        <f t="shared" si="265"/>
        <v>1.4107714362419519</v>
      </c>
    </row>
    <row r="2786" spans="7:20" ht="14.4" x14ac:dyDescent="0.25">
      <c r="G2786" s="10">
        <v>6049</v>
      </c>
      <c r="H2786" s="9">
        <v>42884</v>
      </c>
      <c r="I2786" s="14">
        <f>DATE(2012,12,31)-1025</f>
        <v>40249</v>
      </c>
      <c r="J2786" s="15" t="s">
        <v>28</v>
      </c>
      <c r="K2786" s="9">
        <v>29</v>
      </c>
      <c r="L2786" s="16" t="s">
        <v>29</v>
      </c>
      <c r="M2786" s="16">
        <f t="shared" si="261"/>
        <v>0.23675523371518786</v>
      </c>
      <c r="N2786">
        <f t="shared" si="262"/>
        <v>0</v>
      </c>
      <c r="O2786">
        <f t="shared" si="263"/>
        <v>0</v>
      </c>
      <c r="P2786">
        <f t="shared" si="260"/>
        <v>4850</v>
      </c>
      <c r="Q2786">
        <f t="shared" si="264"/>
        <v>4850</v>
      </c>
      <c r="T2786" s="16">
        <f t="shared" si="265"/>
        <v>0.2367552337151875</v>
      </c>
    </row>
    <row r="2787" spans="7:20" ht="14.4" x14ac:dyDescent="0.25">
      <c r="G2787" s="10">
        <v>6116</v>
      </c>
      <c r="H2787" s="9">
        <v>43302</v>
      </c>
      <c r="I2787" s="14">
        <f>DATE(2012,12,31)-496</f>
        <v>40778</v>
      </c>
      <c r="J2787" s="15" t="s">
        <v>25</v>
      </c>
      <c r="K2787" s="9">
        <v>4</v>
      </c>
      <c r="L2787" s="16" t="s">
        <v>26</v>
      </c>
      <c r="M2787" s="16">
        <f t="shared" si="261"/>
        <v>-1.489739181765348</v>
      </c>
      <c r="N2787">
        <f t="shared" si="262"/>
        <v>0</v>
      </c>
      <c r="O2787">
        <f t="shared" si="263"/>
        <v>0</v>
      </c>
      <c r="P2787">
        <f t="shared" si="260"/>
        <v>3600</v>
      </c>
      <c r="Q2787">
        <f t="shared" si="264"/>
        <v>3600</v>
      </c>
      <c r="T2787" s="16">
        <f t="shared" si="265"/>
        <v>-1.4897391817653485</v>
      </c>
    </row>
    <row r="2788" spans="7:20" ht="14.4" x14ac:dyDescent="0.25">
      <c r="G2788" s="10">
        <v>6137</v>
      </c>
      <c r="H2788" s="9">
        <v>43460</v>
      </c>
      <c r="I2788" s="14">
        <f>DATE(2012,12,31)-203</f>
        <v>41071</v>
      </c>
      <c r="J2788" s="15" t="s">
        <v>16</v>
      </c>
      <c r="K2788" s="9">
        <v>2</v>
      </c>
      <c r="L2788" s="16" t="s">
        <v>26</v>
      </c>
      <c r="M2788" s="16">
        <f t="shared" si="261"/>
        <v>-1.627858735003791</v>
      </c>
      <c r="N2788">
        <f t="shared" si="262"/>
        <v>0</v>
      </c>
      <c r="O2788">
        <f t="shared" si="263"/>
        <v>0</v>
      </c>
      <c r="P2788">
        <f t="shared" si="260"/>
        <v>3500</v>
      </c>
      <c r="Q2788">
        <f t="shared" si="264"/>
        <v>3500</v>
      </c>
      <c r="T2788" s="16">
        <f t="shared" si="265"/>
        <v>-1.6278587350037912</v>
      </c>
    </row>
    <row r="2789" spans="7:20" ht="14.4" x14ac:dyDescent="0.25">
      <c r="G2789" s="10">
        <v>6206</v>
      </c>
      <c r="H2789" s="9">
        <v>43972</v>
      </c>
      <c r="I2789" s="14">
        <f>DATE(2012,12,31)-1021</f>
        <v>40253</v>
      </c>
      <c r="J2789" s="15" t="s">
        <v>25</v>
      </c>
      <c r="K2789" s="9">
        <v>12</v>
      </c>
      <c r="L2789" s="16" t="s">
        <v>27</v>
      </c>
      <c r="M2789" s="16">
        <f t="shared" si="261"/>
        <v>-0.9372609688115765</v>
      </c>
      <c r="N2789">
        <f t="shared" si="262"/>
        <v>0</v>
      </c>
      <c r="O2789">
        <f t="shared" si="263"/>
        <v>0</v>
      </c>
      <c r="P2789">
        <f t="shared" si="260"/>
        <v>4000</v>
      </c>
      <c r="Q2789">
        <f t="shared" si="264"/>
        <v>4000</v>
      </c>
      <c r="T2789" s="16">
        <f t="shared" si="265"/>
        <v>-0.93726096881157694</v>
      </c>
    </row>
    <row r="2790" spans="7:20" ht="14.4" x14ac:dyDescent="0.25">
      <c r="G2790" s="10">
        <v>6211</v>
      </c>
      <c r="H2790" s="9">
        <v>44000</v>
      </c>
      <c r="I2790" s="14">
        <f>DATE(2012,12,31)-88</f>
        <v>41186</v>
      </c>
      <c r="J2790" s="15" t="s">
        <v>28</v>
      </c>
      <c r="K2790" s="9">
        <v>15</v>
      </c>
      <c r="L2790" s="16" t="s">
        <v>26</v>
      </c>
      <c r="M2790" s="16">
        <f t="shared" si="261"/>
        <v>-0.7300816389539122</v>
      </c>
      <c r="N2790">
        <f t="shared" si="262"/>
        <v>0</v>
      </c>
      <c r="O2790">
        <f t="shared" si="263"/>
        <v>0</v>
      </c>
      <c r="P2790">
        <f t="shared" si="260"/>
        <v>4150</v>
      </c>
      <c r="Q2790">
        <f t="shared" si="264"/>
        <v>4150</v>
      </c>
      <c r="T2790" s="16">
        <f t="shared" si="265"/>
        <v>-0.73008163895391265</v>
      </c>
    </row>
    <row r="2791" spans="7:20" ht="14.4" x14ac:dyDescent="0.25">
      <c r="G2791" s="10">
        <v>6488</v>
      </c>
      <c r="H2791" s="9">
        <v>46177</v>
      </c>
      <c r="I2791" s="14">
        <f>DATE(2012,12,31)-757</f>
        <v>40517</v>
      </c>
      <c r="J2791" s="15" t="s">
        <v>25</v>
      </c>
      <c r="K2791" s="9">
        <v>33</v>
      </c>
      <c r="L2791" s="16" t="s">
        <v>29</v>
      </c>
      <c r="M2791" s="16">
        <f t="shared" si="261"/>
        <v>0.51299434019207357</v>
      </c>
      <c r="N2791">
        <f t="shared" si="262"/>
        <v>0</v>
      </c>
      <c r="O2791">
        <f t="shared" si="263"/>
        <v>0</v>
      </c>
      <c r="P2791">
        <f t="shared" si="260"/>
        <v>5050</v>
      </c>
      <c r="Q2791">
        <f t="shared" si="264"/>
        <v>5050</v>
      </c>
      <c r="T2791" s="16">
        <f t="shared" si="265"/>
        <v>0.51299434019207324</v>
      </c>
    </row>
    <row r="2792" spans="7:20" ht="14.4" x14ac:dyDescent="0.25">
      <c r="G2792" s="10">
        <v>6773</v>
      </c>
      <c r="H2792" s="9">
        <v>48226</v>
      </c>
      <c r="I2792" s="14">
        <f>DATE(2012,12,31)-1455</f>
        <v>39819</v>
      </c>
      <c r="J2792" s="15" t="s">
        <v>25</v>
      </c>
      <c r="K2792" s="9">
        <v>23</v>
      </c>
      <c r="L2792" s="16" t="s">
        <v>29</v>
      </c>
      <c r="M2792" s="16">
        <f t="shared" si="261"/>
        <v>-0.17760342600014073</v>
      </c>
      <c r="N2792">
        <f t="shared" si="262"/>
        <v>0</v>
      </c>
      <c r="O2792">
        <f t="shared" si="263"/>
        <v>0</v>
      </c>
      <c r="P2792">
        <f t="shared" si="260"/>
        <v>4550</v>
      </c>
      <c r="Q2792">
        <f t="shared" si="264"/>
        <v>4550</v>
      </c>
      <c r="T2792" s="16">
        <f t="shared" si="265"/>
        <v>-0.17760342600014112</v>
      </c>
    </row>
    <row r="2793" spans="7:20" ht="14.4" x14ac:dyDescent="0.25">
      <c r="G2793" s="10">
        <v>6803</v>
      </c>
      <c r="H2793" s="9">
        <v>48455</v>
      </c>
      <c r="I2793" s="14">
        <f>DATE(2012,12,31)-1308</f>
        <v>39966</v>
      </c>
      <c r="J2793" s="15" t="s">
        <v>30</v>
      </c>
      <c r="K2793" s="9">
        <v>34</v>
      </c>
      <c r="L2793" s="16" t="s">
        <v>26</v>
      </c>
      <c r="M2793" s="16">
        <f t="shared" si="261"/>
        <v>0.58205411681129504</v>
      </c>
      <c r="N2793">
        <f t="shared" si="262"/>
        <v>0</v>
      </c>
      <c r="O2793">
        <f t="shared" si="263"/>
        <v>0</v>
      </c>
      <c r="P2793">
        <f t="shared" si="260"/>
        <v>5100</v>
      </c>
      <c r="Q2793">
        <f t="shared" si="264"/>
        <v>5100</v>
      </c>
      <c r="T2793" s="16">
        <f t="shared" si="265"/>
        <v>0.58205411681129471</v>
      </c>
    </row>
    <row r="2794" spans="7:20" ht="14.4" x14ac:dyDescent="0.25">
      <c r="G2794" s="10">
        <v>6866</v>
      </c>
      <c r="H2794" s="9">
        <v>48929</v>
      </c>
      <c r="I2794" s="14">
        <f>DATE(2012,12,31)-1166</f>
        <v>40108</v>
      </c>
      <c r="J2794" s="15" t="s">
        <v>17</v>
      </c>
      <c r="K2794" s="9">
        <v>1</v>
      </c>
      <c r="L2794" s="16" t="s">
        <v>26</v>
      </c>
      <c r="M2794" s="16">
        <f t="shared" si="261"/>
        <v>-1.6969185116230123</v>
      </c>
      <c r="N2794">
        <f t="shared" si="262"/>
        <v>0</v>
      </c>
      <c r="O2794">
        <f t="shared" si="263"/>
        <v>0</v>
      </c>
      <c r="P2794">
        <f t="shared" si="260"/>
        <v>3450</v>
      </c>
      <c r="Q2794">
        <f t="shared" si="264"/>
        <v>3450</v>
      </c>
      <c r="T2794" s="16">
        <f t="shared" si="265"/>
        <v>-1.6969185116230128</v>
      </c>
    </row>
    <row r="2795" spans="7:20" ht="14.4" x14ac:dyDescent="0.25">
      <c r="G2795" s="10">
        <v>6875</v>
      </c>
      <c r="H2795" s="9">
        <v>48994</v>
      </c>
      <c r="I2795" s="14">
        <f>DATE(2012,12,31)-801</f>
        <v>40473</v>
      </c>
      <c r="J2795" s="15" t="s">
        <v>28</v>
      </c>
      <c r="K2795" s="9">
        <v>6</v>
      </c>
      <c r="L2795" s="16" t="s">
        <v>26</v>
      </c>
      <c r="M2795" s="16">
        <f t="shared" si="261"/>
        <v>-1.3516196285269051</v>
      </c>
      <c r="N2795">
        <f t="shared" si="262"/>
        <v>0</v>
      </c>
      <c r="O2795">
        <f t="shared" si="263"/>
        <v>0</v>
      </c>
      <c r="P2795">
        <f t="shared" si="260"/>
        <v>3700</v>
      </c>
      <c r="Q2795">
        <f t="shared" si="264"/>
        <v>3700</v>
      </c>
      <c r="T2795" s="16">
        <f t="shared" si="265"/>
        <v>-1.3516196285269055</v>
      </c>
    </row>
    <row r="2796" spans="7:20" ht="14.4" x14ac:dyDescent="0.25">
      <c r="G2796" s="10">
        <v>7164</v>
      </c>
      <c r="H2796" s="9">
        <v>51111</v>
      </c>
      <c r="I2796" s="14">
        <f>DATE(2012,12,31)-326</f>
        <v>40948</v>
      </c>
      <c r="J2796" s="15" t="s">
        <v>28</v>
      </c>
      <c r="K2796" s="9">
        <v>1</v>
      </c>
      <c r="L2796" s="16" t="s">
        <v>27</v>
      </c>
      <c r="M2796" s="16">
        <f t="shared" si="261"/>
        <v>-1.6969185116230123</v>
      </c>
      <c r="N2796">
        <f t="shared" si="262"/>
        <v>0</v>
      </c>
      <c r="O2796">
        <f t="shared" si="263"/>
        <v>0</v>
      </c>
      <c r="P2796">
        <f t="shared" si="260"/>
        <v>3450</v>
      </c>
      <c r="Q2796">
        <f t="shared" si="264"/>
        <v>3450</v>
      </c>
      <c r="T2796" s="16">
        <f t="shared" si="265"/>
        <v>-1.6969185116230128</v>
      </c>
    </row>
    <row r="2797" spans="7:20" ht="14.4" x14ac:dyDescent="0.25">
      <c r="G2797" s="10">
        <v>7740</v>
      </c>
      <c r="H2797" s="9">
        <v>55425</v>
      </c>
      <c r="I2797" s="14">
        <f>DATE(2012,12,31)-426</f>
        <v>40848</v>
      </c>
      <c r="J2797" s="15" t="s">
        <v>30</v>
      </c>
      <c r="K2797" s="9">
        <v>42</v>
      </c>
      <c r="L2797" s="16" t="s">
        <v>27</v>
      </c>
      <c r="M2797" s="16">
        <f t="shared" si="261"/>
        <v>1.1345323297650665</v>
      </c>
      <c r="N2797">
        <f t="shared" si="262"/>
        <v>0</v>
      </c>
      <c r="O2797">
        <f t="shared" si="263"/>
        <v>0</v>
      </c>
      <c r="P2797">
        <f t="shared" si="260"/>
        <v>5500</v>
      </c>
      <c r="Q2797">
        <f t="shared" si="264"/>
        <v>5500</v>
      </c>
      <c r="T2797" s="16">
        <f t="shared" si="265"/>
        <v>1.1345323297650662</v>
      </c>
    </row>
    <row r="2798" spans="7:20" ht="14.4" x14ac:dyDescent="0.25">
      <c r="G2798" s="10">
        <v>7803</v>
      </c>
      <c r="H2798" s="9">
        <v>55815</v>
      </c>
      <c r="I2798" s="14">
        <f>DATE(2012,12,31)-718</f>
        <v>40556</v>
      </c>
      <c r="J2798" s="15" t="s">
        <v>17</v>
      </c>
      <c r="K2798" s="9">
        <v>28</v>
      </c>
      <c r="L2798" s="16" t="s">
        <v>29</v>
      </c>
      <c r="M2798" s="16">
        <f t="shared" si="261"/>
        <v>0.16769545709596645</v>
      </c>
      <c r="N2798">
        <f t="shared" si="262"/>
        <v>0</v>
      </c>
      <c r="O2798">
        <f t="shared" si="263"/>
        <v>0</v>
      </c>
      <c r="P2798">
        <f t="shared" si="260"/>
        <v>4800</v>
      </c>
      <c r="Q2798">
        <f t="shared" si="264"/>
        <v>4800</v>
      </c>
      <c r="T2798" s="16">
        <f t="shared" si="265"/>
        <v>0.16769545709596606</v>
      </c>
    </row>
    <row r="2799" spans="7:20" ht="14.4" x14ac:dyDescent="0.25">
      <c r="G2799" s="10">
        <v>7827</v>
      </c>
      <c r="H2799" s="9">
        <v>55940</v>
      </c>
      <c r="I2799" s="14">
        <f>DATE(2012,12,31)-1342</f>
        <v>39932</v>
      </c>
      <c r="J2799" s="15" t="s">
        <v>28</v>
      </c>
      <c r="K2799" s="9">
        <v>29</v>
      </c>
      <c r="L2799" s="16" t="s">
        <v>27</v>
      </c>
      <c r="M2799" s="16">
        <f t="shared" si="261"/>
        <v>0.23675523371518786</v>
      </c>
      <c r="N2799">
        <f t="shared" si="262"/>
        <v>0</v>
      </c>
      <c r="O2799">
        <f t="shared" si="263"/>
        <v>0</v>
      </c>
      <c r="P2799">
        <f t="shared" si="260"/>
        <v>4850</v>
      </c>
      <c r="Q2799">
        <f t="shared" si="264"/>
        <v>4850</v>
      </c>
      <c r="T2799" s="16">
        <f t="shared" si="265"/>
        <v>0.2367552337151875</v>
      </c>
    </row>
    <row r="2800" spans="7:20" ht="14.4" x14ac:dyDescent="0.25">
      <c r="G2800" s="10">
        <v>7858</v>
      </c>
      <c r="H2800" s="9">
        <v>56166</v>
      </c>
      <c r="I2800" s="14">
        <f>DATE(2012,12,31)-880</f>
        <v>40394</v>
      </c>
      <c r="J2800" s="15" t="s">
        <v>30</v>
      </c>
      <c r="K2800" s="9">
        <v>1</v>
      </c>
      <c r="L2800" s="16" t="s">
        <v>29</v>
      </c>
      <c r="M2800" s="16">
        <f t="shared" si="261"/>
        <v>-1.6969185116230123</v>
      </c>
      <c r="N2800">
        <f t="shared" si="262"/>
        <v>0</v>
      </c>
      <c r="O2800">
        <f t="shared" si="263"/>
        <v>0</v>
      </c>
      <c r="P2800">
        <f t="shared" si="260"/>
        <v>3450</v>
      </c>
      <c r="Q2800">
        <f t="shared" si="264"/>
        <v>3450</v>
      </c>
      <c r="T2800" s="16">
        <f t="shared" si="265"/>
        <v>-1.6969185116230128</v>
      </c>
    </row>
    <row r="2801" spans="7:20" ht="14.4" x14ac:dyDescent="0.25">
      <c r="G2801" s="10">
        <v>8080</v>
      </c>
      <c r="H2801" s="9">
        <v>57638</v>
      </c>
      <c r="I2801" s="14">
        <f>DATE(2012,12,31)-253</f>
        <v>41021</v>
      </c>
      <c r="J2801" s="15" t="s">
        <v>25</v>
      </c>
      <c r="K2801" s="9">
        <v>49</v>
      </c>
      <c r="L2801" s="16" t="s">
        <v>26</v>
      </c>
      <c r="M2801" s="16">
        <f t="shared" si="261"/>
        <v>1.6179507660996166</v>
      </c>
      <c r="N2801">
        <f t="shared" si="262"/>
        <v>0</v>
      </c>
      <c r="O2801">
        <f t="shared" si="263"/>
        <v>0</v>
      </c>
      <c r="P2801">
        <f t="shared" si="260"/>
        <v>5850</v>
      </c>
      <c r="Q2801">
        <f t="shared" si="264"/>
        <v>5850</v>
      </c>
      <c r="T2801" s="16">
        <f t="shared" si="265"/>
        <v>1.6179507660996162</v>
      </c>
    </row>
    <row r="2802" spans="7:20" ht="14.4" x14ac:dyDescent="0.25">
      <c r="G2802" s="10">
        <v>8081</v>
      </c>
      <c r="H2802" s="9">
        <v>57638</v>
      </c>
      <c r="I2802" s="14">
        <f>DATE(2012,12,31)-253</f>
        <v>41021</v>
      </c>
      <c r="J2802" s="15" t="s">
        <v>25</v>
      </c>
      <c r="K2802" s="9">
        <v>49</v>
      </c>
      <c r="L2802" s="16" t="s">
        <v>26</v>
      </c>
      <c r="M2802" s="16">
        <f t="shared" si="261"/>
        <v>1.6179507660996166</v>
      </c>
      <c r="N2802">
        <f t="shared" si="262"/>
        <v>0</v>
      </c>
      <c r="O2802">
        <f t="shared" si="263"/>
        <v>0</v>
      </c>
      <c r="P2802">
        <f t="shared" si="260"/>
        <v>5850</v>
      </c>
      <c r="Q2802">
        <f t="shared" si="264"/>
        <v>5850</v>
      </c>
      <c r="T2802" s="16">
        <f t="shared" si="265"/>
        <v>1.6179507660996162</v>
      </c>
    </row>
    <row r="2803" spans="7:20" ht="14.4" x14ac:dyDescent="0.25">
      <c r="G2803" s="10">
        <v>8109</v>
      </c>
      <c r="H2803" s="9">
        <v>57890</v>
      </c>
      <c r="I2803" s="14">
        <f>DATE(2012,12,31)-1404</f>
        <v>39870</v>
      </c>
      <c r="J2803" s="15" t="s">
        <v>30</v>
      </c>
      <c r="K2803" s="9">
        <v>15</v>
      </c>
      <c r="L2803" s="16" t="s">
        <v>26</v>
      </c>
      <c r="M2803" s="16">
        <f t="shared" si="261"/>
        <v>-0.7300816389539122</v>
      </c>
      <c r="N2803">
        <f t="shared" si="262"/>
        <v>0</v>
      </c>
      <c r="O2803">
        <f t="shared" si="263"/>
        <v>0</v>
      </c>
      <c r="P2803">
        <f t="shared" si="260"/>
        <v>4150</v>
      </c>
      <c r="Q2803">
        <f t="shared" si="264"/>
        <v>4150</v>
      </c>
      <c r="T2803" s="16">
        <f t="shared" si="265"/>
        <v>-0.73008163895391265</v>
      </c>
    </row>
    <row r="2804" spans="7:20" ht="14.4" x14ac:dyDescent="0.25">
      <c r="G2804" s="10">
        <v>327</v>
      </c>
      <c r="H2804" s="9">
        <v>2244</v>
      </c>
      <c r="I2804" s="14">
        <f>DATE(2012,12,31)-1088</f>
        <v>40186</v>
      </c>
      <c r="J2804" s="15" t="s">
        <v>30</v>
      </c>
      <c r="K2804" s="9">
        <v>19</v>
      </c>
      <c r="L2804" s="16" t="s">
        <v>26</v>
      </c>
      <c r="M2804" s="16">
        <f t="shared" si="261"/>
        <v>-0.45384253247702649</v>
      </c>
      <c r="N2804">
        <f t="shared" si="262"/>
        <v>0</v>
      </c>
      <c r="O2804">
        <f t="shared" si="263"/>
        <v>0</v>
      </c>
      <c r="P2804">
        <f t="shared" si="260"/>
        <v>4350</v>
      </c>
      <c r="Q2804">
        <f t="shared" si="264"/>
        <v>4350</v>
      </c>
      <c r="T2804" s="16">
        <f t="shared" si="265"/>
        <v>-0.45384253247702688</v>
      </c>
    </row>
    <row r="2805" spans="7:20" ht="14.4" x14ac:dyDescent="0.25">
      <c r="G2805" s="10">
        <v>455</v>
      </c>
      <c r="H2805" s="9">
        <v>3104</v>
      </c>
      <c r="I2805" s="14">
        <f>DATE(2012,12,31)-838</f>
        <v>40436</v>
      </c>
      <c r="J2805" s="15" t="s">
        <v>16</v>
      </c>
      <c r="K2805" s="9">
        <v>50</v>
      </c>
      <c r="L2805" s="16" t="s">
        <v>26</v>
      </c>
      <c r="M2805" s="16">
        <f t="shared" si="261"/>
        <v>1.687010542718838</v>
      </c>
      <c r="N2805">
        <f t="shared" si="262"/>
        <v>0</v>
      </c>
      <c r="O2805">
        <f t="shared" si="263"/>
        <v>0</v>
      </c>
      <c r="P2805">
        <f t="shared" si="260"/>
        <v>5900</v>
      </c>
      <c r="Q2805">
        <f t="shared" si="264"/>
        <v>5900</v>
      </c>
      <c r="T2805" s="16">
        <f t="shared" si="265"/>
        <v>1.6870105427188375</v>
      </c>
    </row>
    <row r="2806" spans="7:20" ht="14.4" x14ac:dyDescent="0.25">
      <c r="G2806" s="10">
        <v>456</v>
      </c>
      <c r="H2806" s="9">
        <v>3104</v>
      </c>
      <c r="I2806" s="14">
        <f>DATE(2012,12,31)-838</f>
        <v>40436</v>
      </c>
      <c r="J2806" s="15" t="s">
        <v>16</v>
      </c>
      <c r="K2806" s="9">
        <v>24</v>
      </c>
      <c r="L2806" s="16" t="s">
        <v>26</v>
      </c>
      <c r="M2806" s="16">
        <f t="shared" si="261"/>
        <v>-0.1085436493809193</v>
      </c>
      <c r="N2806">
        <f t="shared" si="262"/>
        <v>0</v>
      </c>
      <c r="O2806">
        <f t="shared" si="263"/>
        <v>0</v>
      </c>
      <c r="P2806">
        <f t="shared" si="260"/>
        <v>4600</v>
      </c>
      <c r="Q2806">
        <f t="shared" si="264"/>
        <v>4600</v>
      </c>
      <c r="T2806" s="16">
        <f t="shared" si="265"/>
        <v>-0.10854364938091969</v>
      </c>
    </row>
    <row r="2807" spans="7:20" ht="14.4" x14ac:dyDescent="0.25">
      <c r="G2807" s="10">
        <v>860</v>
      </c>
      <c r="H2807" s="9">
        <v>6179</v>
      </c>
      <c r="I2807" s="14">
        <f>DATE(2012,12,31)-1308</f>
        <v>39966</v>
      </c>
      <c r="J2807" s="15" t="s">
        <v>28</v>
      </c>
      <c r="K2807" s="9">
        <v>50</v>
      </c>
      <c r="L2807" s="16" t="s">
        <v>26</v>
      </c>
      <c r="M2807" s="16">
        <f t="shared" si="261"/>
        <v>1.687010542718838</v>
      </c>
      <c r="N2807">
        <f t="shared" si="262"/>
        <v>0</v>
      </c>
      <c r="O2807">
        <f t="shared" si="263"/>
        <v>0</v>
      </c>
      <c r="P2807">
        <f t="shared" si="260"/>
        <v>5900</v>
      </c>
      <c r="Q2807">
        <f t="shared" si="264"/>
        <v>5900</v>
      </c>
      <c r="T2807" s="16">
        <f t="shared" si="265"/>
        <v>1.6870105427188375</v>
      </c>
    </row>
    <row r="2808" spans="7:20" ht="14.4" x14ac:dyDescent="0.25">
      <c r="G2808" s="10">
        <v>861</v>
      </c>
      <c r="H2808" s="9">
        <v>6179</v>
      </c>
      <c r="I2808" s="14">
        <f>DATE(2012,12,31)-1308</f>
        <v>39966</v>
      </c>
      <c r="J2808" s="15" t="s">
        <v>28</v>
      </c>
      <c r="K2808" s="9">
        <v>15</v>
      </c>
      <c r="L2808" s="16" t="s">
        <v>27</v>
      </c>
      <c r="M2808" s="16">
        <f t="shared" si="261"/>
        <v>-0.7300816389539122</v>
      </c>
      <c r="N2808">
        <f t="shared" si="262"/>
        <v>0</v>
      </c>
      <c r="O2808">
        <f t="shared" si="263"/>
        <v>0</v>
      </c>
      <c r="P2808">
        <f t="shared" si="260"/>
        <v>4150</v>
      </c>
      <c r="Q2808">
        <f t="shared" si="264"/>
        <v>4150</v>
      </c>
      <c r="T2808" s="16">
        <f t="shared" si="265"/>
        <v>-0.73008163895391265</v>
      </c>
    </row>
    <row r="2809" spans="7:20" ht="14.4" x14ac:dyDescent="0.25">
      <c r="G2809" s="10">
        <v>1624</v>
      </c>
      <c r="H2809" s="9">
        <v>11747</v>
      </c>
      <c r="I2809" s="14">
        <f>DATE(2012,12,31)-1040</f>
        <v>40234</v>
      </c>
      <c r="J2809" s="15" t="s">
        <v>16</v>
      </c>
      <c r="K2809" s="9">
        <v>3</v>
      </c>
      <c r="L2809" s="16" t="s">
        <v>27</v>
      </c>
      <c r="M2809" s="16">
        <f t="shared" si="261"/>
        <v>-1.5587989583845694</v>
      </c>
      <c r="N2809">
        <f t="shared" si="262"/>
        <v>0</v>
      </c>
      <c r="O2809">
        <f t="shared" si="263"/>
        <v>0</v>
      </c>
      <c r="P2809">
        <f t="shared" si="260"/>
        <v>3550</v>
      </c>
      <c r="Q2809">
        <f t="shared" si="264"/>
        <v>3550</v>
      </c>
      <c r="T2809" s="16">
        <f t="shared" si="265"/>
        <v>-1.5587989583845698</v>
      </c>
    </row>
    <row r="2810" spans="7:20" ht="14.4" x14ac:dyDescent="0.25">
      <c r="G2810" s="10">
        <v>1646</v>
      </c>
      <c r="H2810" s="9">
        <v>11877</v>
      </c>
      <c r="I2810" s="14">
        <f>DATE(2012,12,31)-953</f>
        <v>40321</v>
      </c>
      <c r="J2810" s="15" t="s">
        <v>28</v>
      </c>
      <c r="K2810" s="9">
        <v>19</v>
      </c>
      <c r="L2810" s="16" t="s">
        <v>26</v>
      </c>
      <c r="M2810" s="16">
        <f t="shared" si="261"/>
        <v>-0.45384253247702649</v>
      </c>
      <c r="N2810">
        <f t="shared" si="262"/>
        <v>0</v>
      </c>
      <c r="O2810">
        <f t="shared" si="263"/>
        <v>0</v>
      </c>
      <c r="P2810">
        <f t="shared" si="260"/>
        <v>4350</v>
      </c>
      <c r="Q2810">
        <f t="shared" si="264"/>
        <v>4350</v>
      </c>
      <c r="T2810" s="16">
        <f t="shared" si="265"/>
        <v>-0.45384253247702688</v>
      </c>
    </row>
    <row r="2811" spans="7:20" ht="14.4" x14ac:dyDescent="0.25">
      <c r="G2811" s="10">
        <v>1647</v>
      </c>
      <c r="H2811" s="9">
        <v>11877</v>
      </c>
      <c r="I2811" s="14">
        <f>DATE(2012,12,31)-953</f>
        <v>40321</v>
      </c>
      <c r="J2811" s="15" t="s">
        <v>28</v>
      </c>
      <c r="K2811" s="9">
        <v>31</v>
      </c>
      <c r="L2811" s="16" t="s">
        <v>26</v>
      </c>
      <c r="M2811" s="16">
        <f t="shared" si="261"/>
        <v>0.37487478695363075</v>
      </c>
      <c r="N2811">
        <f t="shared" si="262"/>
        <v>0</v>
      </c>
      <c r="O2811">
        <f t="shared" si="263"/>
        <v>0</v>
      </c>
      <c r="P2811">
        <f t="shared" si="260"/>
        <v>4950</v>
      </c>
      <c r="Q2811">
        <f t="shared" si="264"/>
        <v>4950</v>
      </c>
      <c r="T2811" s="16">
        <f t="shared" si="265"/>
        <v>0.37487478695363036</v>
      </c>
    </row>
    <row r="2812" spans="7:20" ht="14.4" x14ac:dyDescent="0.25">
      <c r="G2812" s="10">
        <v>2139</v>
      </c>
      <c r="H2812" s="9">
        <v>15271</v>
      </c>
      <c r="I2812" s="14">
        <f>DATE(2012,12,31)-890</f>
        <v>40384</v>
      </c>
      <c r="J2812" s="15" t="s">
        <v>30</v>
      </c>
      <c r="K2812" s="9">
        <v>18</v>
      </c>
      <c r="L2812" s="16" t="s">
        <v>29</v>
      </c>
      <c r="M2812" s="16">
        <f t="shared" si="261"/>
        <v>-0.52290230909624791</v>
      </c>
      <c r="N2812">
        <f t="shared" si="262"/>
        <v>0</v>
      </c>
      <c r="O2812">
        <f t="shared" si="263"/>
        <v>0</v>
      </c>
      <c r="P2812">
        <f t="shared" si="260"/>
        <v>4300</v>
      </c>
      <c r="Q2812">
        <f t="shared" si="264"/>
        <v>4300</v>
      </c>
      <c r="T2812" s="16">
        <f t="shared" si="265"/>
        <v>-0.52290230909624835</v>
      </c>
    </row>
    <row r="2813" spans="7:20" ht="14.4" x14ac:dyDescent="0.25">
      <c r="G2813" s="10">
        <v>2140</v>
      </c>
      <c r="H2813" s="9">
        <v>15271</v>
      </c>
      <c r="I2813" s="14">
        <f>DATE(2012,12,31)-890</f>
        <v>40384</v>
      </c>
      <c r="J2813" s="15" t="s">
        <v>30</v>
      </c>
      <c r="K2813" s="9">
        <v>7</v>
      </c>
      <c r="L2813" s="16" t="s">
        <v>27</v>
      </c>
      <c r="M2813" s="16">
        <f t="shared" si="261"/>
        <v>-1.2825598519076837</v>
      </c>
      <c r="N2813">
        <f t="shared" si="262"/>
        <v>0</v>
      </c>
      <c r="O2813">
        <f t="shared" si="263"/>
        <v>0</v>
      </c>
      <c r="P2813">
        <f t="shared" si="260"/>
        <v>3750</v>
      </c>
      <c r="Q2813">
        <f t="shared" si="264"/>
        <v>3750</v>
      </c>
      <c r="T2813" s="16">
        <f t="shared" si="265"/>
        <v>-1.2825598519076842</v>
      </c>
    </row>
    <row r="2814" spans="7:20" ht="14.4" x14ac:dyDescent="0.25">
      <c r="G2814" s="10">
        <v>3142</v>
      </c>
      <c r="H2814" s="9">
        <v>22561</v>
      </c>
      <c r="I2814" s="14">
        <f>DATE(2012,12,31)-711</f>
        <v>40563</v>
      </c>
      <c r="J2814" s="15" t="s">
        <v>30</v>
      </c>
      <c r="K2814" s="9">
        <v>7</v>
      </c>
      <c r="L2814" s="16" t="s">
        <v>29</v>
      </c>
      <c r="M2814" s="16">
        <f t="shared" si="261"/>
        <v>-1.2825598519076837</v>
      </c>
      <c r="N2814">
        <f t="shared" si="262"/>
        <v>0</v>
      </c>
      <c r="O2814">
        <f t="shared" si="263"/>
        <v>0</v>
      </c>
      <c r="P2814">
        <f t="shared" si="260"/>
        <v>3750</v>
      </c>
      <c r="Q2814">
        <f t="shared" si="264"/>
        <v>3750</v>
      </c>
      <c r="T2814" s="16">
        <f t="shared" si="265"/>
        <v>-1.2825598519076842</v>
      </c>
    </row>
    <row r="2815" spans="7:20" ht="14.4" x14ac:dyDescent="0.25">
      <c r="G2815" s="10">
        <v>3143</v>
      </c>
      <c r="H2815" s="9">
        <v>22561</v>
      </c>
      <c r="I2815" s="14">
        <f>DATE(2012,12,31)-711</f>
        <v>40563</v>
      </c>
      <c r="J2815" s="15" t="s">
        <v>30</v>
      </c>
      <c r="K2815" s="9">
        <v>50</v>
      </c>
      <c r="L2815" s="16" t="s">
        <v>26</v>
      </c>
      <c r="M2815" s="16">
        <f t="shared" si="261"/>
        <v>1.687010542718838</v>
      </c>
      <c r="N2815">
        <f t="shared" si="262"/>
        <v>0</v>
      </c>
      <c r="O2815">
        <f t="shared" si="263"/>
        <v>0</v>
      </c>
      <c r="P2815">
        <f t="shared" si="260"/>
        <v>5900</v>
      </c>
      <c r="Q2815">
        <f t="shared" si="264"/>
        <v>5900</v>
      </c>
      <c r="T2815" s="16">
        <f t="shared" si="265"/>
        <v>1.6870105427188375</v>
      </c>
    </row>
    <row r="2816" spans="7:20" ht="14.4" x14ac:dyDescent="0.25">
      <c r="G2816" s="10">
        <v>3144</v>
      </c>
      <c r="H2816" s="9">
        <v>22561</v>
      </c>
      <c r="I2816" s="14">
        <f>DATE(2012,12,31)-711</f>
        <v>40563</v>
      </c>
      <c r="J2816" s="15" t="s">
        <v>30</v>
      </c>
      <c r="K2816" s="9">
        <v>5</v>
      </c>
      <c r="L2816" s="16" t="s">
        <v>27</v>
      </c>
      <c r="M2816" s="16">
        <f t="shared" si="261"/>
        <v>-1.4206794051461267</v>
      </c>
      <c r="N2816">
        <f t="shared" si="262"/>
        <v>0</v>
      </c>
      <c r="O2816">
        <f t="shared" si="263"/>
        <v>0</v>
      </c>
      <c r="P2816">
        <f t="shared" si="260"/>
        <v>3650</v>
      </c>
      <c r="Q2816">
        <f t="shared" si="264"/>
        <v>3650</v>
      </c>
      <c r="T2816" s="16">
        <f t="shared" si="265"/>
        <v>-1.4206794051461269</v>
      </c>
    </row>
    <row r="2817" spans="7:20" ht="14.4" x14ac:dyDescent="0.25">
      <c r="G2817" s="10">
        <v>3621</v>
      </c>
      <c r="H2817" s="9">
        <v>25860</v>
      </c>
      <c r="I2817" s="14">
        <f>DATE(2012,12,31)-1094</f>
        <v>40180</v>
      </c>
      <c r="J2817" s="15" t="s">
        <v>25</v>
      </c>
      <c r="K2817" s="9">
        <v>9</v>
      </c>
      <c r="L2817" s="16" t="s">
        <v>26</v>
      </c>
      <c r="M2817" s="16">
        <f t="shared" si="261"/>
        <v>-1.1444402986692408</v>
      </c>
      <c r="N2817">
        <f t="shared" si="262"/>
        <v>0</v>
      </c>
      <c r="O2817">
        <f t="shared" si="263"/>
        <v>0</v>
      </c>
      <c r="P2817">
        <f t="shared" si="260"/>
        <v>3850</v>
      </c>
      <c r="Q2817">
        <f t="shared" si="264"/>
        <v>3850</v>
      </c>
      <c r="T2817" s="16">
        <f t="shared" si="265"/>
        <v>-1.1444402986692412</v>
      </c>
    </row>
    <row r="2818" spans="7:20" ht="14.4" x14ac:dyDescent="0.25">
      <c r="G2818" s="10">
        <v>3622</v>
      </c>
      <c r="H2818" s="9">
        <v>25860</v>
      </c>
      <c r="I2818" s="14">
        <f>DATE(2012,12,31)-1094</f>
        <v>40180</v>
      </c>
      <c r="J2818" s="15" t="s">
        <v>25</v>
      </c>
      <c r="K2818" s="9">
        <v>23</v>
      </c>
      <c r="L2818" s="16" t="s">
        <v>27</v>
      </c>
      <c r="M2818" s="16">
        <f t="shared" si="261"/>
        <v>-0.17760342600014073</v>
      </c>
      <c r="N2818">
        <f t="shared" si="262"/>
        <v>0</v>
      </c>
      <c r="O2818">
        <f t="shared" si="263"/>
        <v>0</v>
      </c>
      <c r="P2818">
        <f t="shared" si="260"/>
        <v>4550</v>
      </c>
      <c r="Q2818">
        <f t="shared" si="264"/>
        <v>4550</v>
      </c>
      <c r="T2818" s="16">
        <f t="shared" si="265"/>
        <v>-0.17760342600014112</v>
      </c>
    </row>
    <row r="2819" spans="7:20" ht="14.4" x14ac:dyDescent="0.25">
      <c r="G2819" s="10">
        <v>121</v>
      </c>
      <c r="H2819" s="9">
        <v>775</v>
      </c>
      <c r="I2819" s="14">
        <f>DATE(2012,12,31)-655</f>
        <v>40619</v>
      </c>
      <c r="J2819" s="15" t="s">
        <v>30</v>
      </c>
      <c r="K2819" s="9">
        <v>35</v>
      </c>
      <c r="L2819" s="16" t="s">
        <v>26</v>
      </c>
      <c r="M2819" s="16">
        <f t="shared" si="261"/>
        <v>0.65111389343051651</v>
      </c>
      <c r="N2819">
        <f t="shared" si="262"/>
        <v>0</v>
      </c>
      <c r="O2819">
        <f t="shared" si="263"/>
        <v>0</v>
      </c>
      <c r="P2819">
        <f t="shared" si="260"/>
        <v>5150</v>
      </c>
      <c r="Q2819">
        <f t="shared" si="264"/>
        <v>5150</v>
      </c>
      <c r="T2819" s="16">
        <f t="shared" si="265"/>
        <v>0.65111389343051607</v>
      </c>
    </row>
    <row r="2820" spans="7:20" ht="14.4" x14ac:dyDescent="0.25">
      <c r="G2820" s="10">
        <v>122</v>
      </c>
      <c r="H2820" s="9">
        <v>775</v>
      </c>
      <c r="I2820" s="14">
        <f>DATE(2012,12,31)-655</f>
        <v>40619</v>
      </c>
      <c r="J2820" s="15" t="s">
        <v>30</v>
      </c>
      <c r="K2820" s="9">
        <v>8</v>
      </c>
      <c r="L2820" s="16" t="s">
        <v>26</v>
      </c>
      <c r="M2820" s="16">
        <f t="shared" si="261"/>
        <v>-1.2135000752884624</v>
      </c>
      <c r="N2820">
        <f t="shared" si="262"/>
        <v>0</v>
      </c>
      <c r="O2820">
        <f t="shared" si="263"/>
        <v>0</v>
      </c>
      <c r="P2820">
        <f t="shared" si="260"/>
        <v>3800</v>
      </c>
      <c r="Q2820">
        <f t="shared" si="264"/>
        <v>3800</v>
      </c>
      <c r="T2820" s="16">
        <f t="shared" si="265"/>
        <v>-1.2135000752884626</v>
      </c>
    </row>
    <row r="2821" spans="7:20" ht="14.4" x14ac:dyDescent="0.25">
      <c r="G2821" s="10">
        <v>141</v>
      </c>
      <c r="H2821" s="9">
        <v>900</v>
      </c>
      <c r="I2821" s="14">
        <f>DATE(2012,12,31)-1188</f>
        <v>40086</v>
      </c>
      <c r="J2821" s="15" t="s">
        <v>28</v>
      </c>
      <c r="K2821" s="9">
        <v>29</v>
      </c>
      <c r="L2821" s="16" t="s">
        <v>26</v>
      </c>
      <c r="M2821" s="16">
        <f t="shared" si="261"/>
        <v>0.23675523371518786</v>
      </c>
      <c r="N2821">
        <f t="shared" si="262"/>
        <v>0</v>
      </c>
      <c r="O2821">
        <f t="shared" si="263"/>
        <v>0</v>
      </c>
      <c r="P2821">
        <f t="shared" si="260"/>
        <v>4850</v>
      </c>
      <c r="Q2821">
        <f t="shared" si="264"/>
        <v>4850</v>
      </c>
      <c r="T2821" s="16">
        <f t="shared" si="265"/>
        <v>0.2367552337151875</v>
      </c>
    </row>
    <row r="2822" spans="7:20" ht="14.4" x14ac:dyDescent="0.25">
      <c r="G2822" s="10">
        <v>154</v>
      </c>
      <c r="H2822" s="9">
        <v>964</v>
      </c>
      <c r="I2822" s="14">
        <f>DATE(2012,12,31)-592</f>
        <v>40682</v>
      </c>
      <c r="J2822" s="15" t="s">
        <v>16</v>
      </c>
      <c r="K2822" s="9">
        <v>4</v>
      </c>
      <c r="L2822" s="16" t="s">
        <v>26</v>
      </c>
      <c r="M2822" s="16">
        <f t="shared" si="261"/>
        <v>-1.489739181765348</v>
      </c>
      <c r="N2822">
        <f t="shared" si="262"/>
        <v>0</v>
      </c>
      <c r="O2822">
        <f t="shared" si="263"/>
        <v>0</v>
      </c>
      <c r="P2822">
        <f t="shared" si="260"/>
        <v>3600</v>
      </c>
      <c r="Q2822">
        <f t="shared" si="264"/>
        <v>3600</v>
      </c>
      <c r="T2822" s="16">
        <f t="shared" si="265"/>
        <v>-1.4897391817653485</v>
      </c>
    </row>
    <row r="2823" spans="7:20" ht="14.4" x14ac:dyDescent="0.25">
      <c r="G2823" s="10">
        <v>394</v>
      </c>
      <c r="H2823" s="9">
        <v>2722</v>
      </c>
      <c r="I2823" s="14">
        <f>DATE(2012,12,31)-1363</f>
        <v>39911</v>
      </c>
      <c r="J2823" s="15" t="s">
        <v>25</v>
      </c>
      <c r="K2823" s="9">
        <v>46</v>
      </c>
      <c r="L2823" s="16" t="s">
        <v>27</v>
      </c>
      <c r="M2823" s="16">
        <f t="shared" si="261"/>
        <v>1.4107714362419523</v>
      </c>
      <c r="N2823">
        <f t="shared" si="262"/>
        <v>0</v>
      </c>
      <c r="O2823">
        <f t="shared" si="263"/>
        <v>0</v>
      </c>
      <c r="P2823">
        <f t="shared" si="260"/>
        <v>5700</v>
      </c>
      <c r="Q2823">
        <f t="shared" si="264"/>
        <v>5700</v>
      </c>
      <c r="T2823" s="16">
        <f t="shared" si="265"/>
        <v>1.4107714362419519</v>
      </c>
    </row>
    <row r="2824" spans="7:20" ht="14.4" x14ac:dyDescent="0.25">
      <c r="G2824" s="10">
        <v>454</v>
      </c>
      <c r="H2824" s="9">
        <v>3078</v>
      </c>
      <c r="I2824" s="14">
        <f>DATE(2012,12,31)-1054</f>
        <v>40220</v>
      </c>
      <c r="J2824" s="15" t="s">
        <v>17</v>
      </c>
      <c r="K2824" s="9">
        <v>1</v>
      </c>
      <c r="L2824" s="16" t="s">
        <v>29</v>
      </c>
      <c r="M2824" s="16">
        <f t="shared" si="261"/>
        <v>-1.6969185116230123</v>
      </c>
      <c r="N2824">
        <f t="shared" si="262"/>
        <v>0</v>
      </c>
      <c r="O2824">
        <f t="shared" si="263"/>
        <v>0</v>
      </c>
      <c r="P2824">
        <f t="shared" si="260"/>
        <v>3450</v>
      </c>
      <c r="Q2824">
        <f t="shared" si="264"/>
        <v>3450</v>
      </c>
      <c r="T2824" s="16">
        <f t="shared" si="265"/>
        <v>-1.6969185116230128</v>
      </c>
    </row>
    <row r="2825" spans="7:20" ht="14.4" x14ac:dyDescent="0.25">
      <c r="G2825" s="10">
        <v>496</v>
      </c>
      <c r="H2825" s="9">
        <v>3456</v>
      </c>
      <c r="I2825" s="14">
        <f>DATE(2012,12,31)-945</f>
        <v>40329</v>
      </c>
      <c r="J2825" s="15" t="s">
        <v>25</v>
      </c>
      <c r="K2825" s="9">
        <v>20</v>
      </c>
      <c r="L2825" s="16" t="s">
        <v>29</v>
      </c>
      <c r="M2825" s="16">
        <f t="shared" si="261"/>
        <v>-0.38478275585780503</v>
      </c>
      <c r="N2825">
        <f t="shared" si="262"/>
        <v>0</v>
      </c>
      <c r="O2825">
        <f t="shared" si="263"/>
        <v>0</v>
      </c>
      <c r="P2825">
        <f t="shared" si="260"/>
        <v>4400</v>
      </c>
      <c r="Q2825">
        <f t="shared" si="264"/>
        <v>4400</v>
      </c>
      <c r="T2825" s="16">
        <f t="shared" si="265"/>
        <v>-0.38478275585780541</v>
      </c>
    </row>
    <row r="2826" spans="7:20" ht="14.4" x14ac:dyDescent="0.25">
      <c r="G2826" s="10">
        <v>518</v>
      </c>
      <c r="H2826" s="9">
        <v>3556</v>
      </c>
      <c r="I2826" s="14">
        <f>DATE(2012,12,31)-100</f>
        <v>41174</v>
      </c>
      <c r="J2826" s="15" t="s">
        <v>28</v>
      </c>
      <c r="K2826" s="9">
        <v>48</v>
      </c>
      <c r="L2826" s="16" t="s">
        <v>26</v>
      </c>
      <c r="M2826" s="16">
        <f t="shared" si="261"/>
        <v>1.5488909894803951</v>
      </c>
      <c r="N2826">
        <f t="shared" si="262"/>
        <v>0</v>
      </c>
      <c r="O2826">
        <f t="shared" si="263"/>
        <v>0</v>
      </c>
      <c r="P2826">
        <f t="shared" si="260"/>
        <v>5800</v>
      </c>
      <c r="Q2826">
        <f t="shared" si="264"/>
        <v>5800</v>
      </c>
      <c r="T2826" s="16">
        <f t="shared" si="265"/>
        <v>1.5488909894803948</v>
      </c>
    </row>
    <row r="2827" spans="7:20" ht="14.4" x14ac:dyDescent="0.25">
      <c r="G2827" s="10">
        <v>542</v>
      </c>
      <c r="H2827" s="9">
        <v>3654</v>
      </c>
      <c r="I2827" s="14">
        <f>DATE(2012,12,31)-212</f>
        <v>41062</v>
      </c>
      <c r="J2827" s="15" t="s">
        <v>25</v>
      </c>
      <c r="K2827" s="9">
        <v>39</v>
      </c>
      <c r="L2827" s="16" t="s">
        <v>27</v>
      </c>
      <c r="M2827" s="16">
        <f t="shared" si="261"/>
        <v>0.92735299990740228</v>
      </c>
      <c r="N2827">
        <f t="shared" si="262"/>
        <v>0</v>
      </c>
      <c r="O2827">
        <f t="shared" si="263"/>
        <v>0</v>
      </c>
      <c r="P2827">
        <f t="shared" si="260"/>
        <v>5350</v>
      </c>
      <c r="Q2827">
        <f t="shared" si="264"/>
        <v>5350</v>
      </c>
      <c r="T2827" s="16">
        <f t="shared" si="265"/>
        <v>0.92735299990740183</v>
      </c>
    </row>
    <row r="2828" spans="7:20" ht="14.4" x14ac:dyDescent="0.25">
      <c r="G2828" s="10">
        <v>543</v>
      </c>
      <c r="H2828" s="9">
        <v>3654</v>
      </c>
      <c r="I2828" s="14">
        <f>DATE(2012,12,31)-212</f>
        <v>41062</v>
      </c>
      <c r="J2828" s="15" t="s">
        <v>25</v>
      </c>
      <c r="K2828" s="9">
        <v>47</v>
      </c>
      <c r="L2828" s="16" t="s">
        <v>26</v>
      </c>
      <c r="M2828" s="16">
        <f t="shared" si="261"/>
        <v>1.4798312128611737</v>
      </c>
      <c r="N2828">
        <f t="shared" si="262"/>
        <v>0</v>
      </c>
      <c r="O2828">
        <f t="shared" si="263"/>
        <v>0</v>
      </c>
      <c r="P2828">
        <f t="shared" ref="P2828:P2891" si="266">50*K2828+$P$10</f>
        <v>5750</v>
      </c>
      <c r="Q2828">
        <f t="shared" si="264"/>
        <v>5750</v>
      </c>
      <c r="T2828" s="16">
        <f t="shared" si="265"/>
        <v>1.4798312128611733</v>
      </c>
    </row>
    <row r="2829" spans="7:20" ht="14.4" x14ac:dyDescent="0.25">
      <c r="G2829" s="10">
        <v>546</v>
      </c>
      <c r="H2829" s="9">
        <v>3680</v>
      </c>
      <c r="I2829" s="14">
        <f>DATE(2012,12,31)-22</f>
        <v>41252</v>
      </c>
      <c r="J2829" s="15" t="s">
        <v>28</v>
      </c>
      <c r="K2829" s="9">
        <v>27</v>
      </c>
      <c r="L2829" s="16" t="s">
        <v>26</v>
      </c>
      <c r="M2829" s="16">
        <f t="shared" ref="M2829:M2892" si="267">(K2829-$K$4)/$K$7</f>
        <v>9.8635680476745008E-2</v>
      </c>
      <c r="N2829">
        <f t="shared" ref="N2829:N2892" si="268">IF(MOD($B$20+G2829,1000)=0,1,0)</f>
        <v>0</v>
      </c>
      <c r="O2829">
        <f t="shared" ref="O2829:O2892" si="269">+ROUND(N2829*(IF(K2829&lt;$K$4,-4.5,10.5)*$P$5),-2)</f>
        <v>0</v>
      </c>
      <c r="P2829">
        <f t="shared" si="266"/>
        <v>4750</v>
      </c>
      <c r="Q2829">
        <f t="shared" ref="Q2829:Q2892" si="270">P2829+O2829</f>
        <v>4750</v>
      </c>
      <c r="T2829" s="16">
        <f t="shared" ref="T2829:T2892" si="271">(Q2829-$P$4)/$P$5</f>
        <v>9.8635680476744619E-2</v>
      </c>
    </row>
    <row r="2830" spans="7:20" ht="14.4" x14ac:dyDescent="0.25">
      <c r="G2830" s="10">
        <v>579</v>
      </c>
      <c r="H2830" s="9">
        <v>3942</v>
      </c>
      <c r="I2830" s="14">
        <f>DATE(2012,12,31)-918</f>
        <v>40356</v>
      </c>
      <c r="J2830" s="15" t="s">
        <v>28</v>
      </c>
      <c r="K2830" s="9">
        <v>11</v>
      </c>
      <c r="L2830" s="16" t="s">
        <v>26</v>
      </c>
      <c r="M2830" s="16">
        <f t="shared" si="267"/>
        <v>-1.0063207454307979</v>
      </c>
      <c r="N2830">
        <f t="shared" si="268"/>
        <v>0</v>
      </c>
      <c r="O2830">
        <f t="shared" si="269"/>
        <v>0</v>
      </c>
      <c r="P2830">
        <f t="shared" si="266"/>
        <v>3950</v>
      </c>
      <c r="Q2830">
        <f t="shared" si="270"/>
        <v>3950</v>
      </c>
      <c r="T2830" s="16">
        <f t="shared" si="271"/>
        <v>-1.0063207454307983</v>
      </c>
    </row>
    <row r="2831" spans="7:20" ht="14.4" x14ac:dyDescent="0.25">
      <c r="G2831" s="10">
        <v>609</v>
      </c>
      <c r="H2831" s="9">
        <v>4162</v>
      </c>
      <c r="I2831" s="14">
        <f>DATE(2012,12,31)-326</f>
        <v>40948</v>
      </c>
      <c r="J2831" s="15" t="s">
        <v>25</v>
      </c>
      <c r="K2831" s="9">
        <v>2</v>
      </c>
      <c r="L2831" s="16" t="s">
        <v>26</v>
      </c>
      <c r="M2831" s="16">
        <f t="shared" si="267"/>
        <v>-1.627858735003791</v>
      </c>
      <c r="N2831">
        <f t="shared" si="268"/>
        <v>0</v>
      </c>
      <c r="O2831">
        <f t="shared" si="269"/>
        <v>0</v>
      </c>
      <c r="P2831">
        <f t="shared" si="266"/>
        <v>3500</v>
      </c>
      <c r="Q2831">
        <f t="shared" si="270"/>
        <v>3500</v>
      </c>
      <c r="T2831" s="16">
        <f t="shared" si="271"/>
        <v>-1.6278587350037912</v>
      </c>
    </row>
    <row r="2832" spans="7:20" ht="14.4" x14ac:dyDescent="0.25">
      <c r="G2832" s="10">
        <v>699</v>
      </c>
      <c r="H2832" s="9">
        <v>4896</v>
      </c>
      <c r="I2832" s="14">
        <f>DATE(2012,12,31)-132</f>
        <v>41142</v>
      </c>
      <c r="J2832" s="15" t="s">
        <v>30</v>
      </c>
      <c r="K2832" s="9">
        <v>25</v>
      </c>
      <c r="L2832" s="16" t="s">
        <v>27</v>
      </c>
      <c r="M2832" s="16">
        <f t="shared" si="267"/>
        <v>-3.9483872761697868E-2</v>
      </c>
      <c r="N2832">
        <f t="shared" si="268"/>
        <v>0</v>
      </c>
      <c r="O2832">
        <f t="shared" si="269"/>
        <v>0</v>
      </c>
      <c r="P2832">
        <f t="shared" si="266"/>
        <v>4650</v>
      </c>
      <c r="Q2832">
        <f t="shared" si="270"/>
        <v>4650</v>
      </c>
      <c r="T2832" s="16">
        <f t="shared" si="271"/>
        <v>-3.9483872761698249E-2</v>
      </c>
    </row>
    <row r="2833" spans="7:20" ht="14.4" x14ac:dyDescent="0.25">
      <c r="G2833" s="10">
        <v>700</v>
      </c>
      <c r="H2833" s="9">
        <v>4896</v>
      </c>
      <c r="I2833" s="14">
        <f>DATE(2012,12,31)-132</f>
        <v>41142</v>
      </c>
      <c r="J2833" s="15" t="s">
        <v>30</v>
      </c>
      <c r="K2833" s="9">
        <v>10</v>
      </c>
      <c r="L2833" s="16" t="s">
        <v>27</v>
      </c>
      <c r="M2833" s="16">
        <f t="shared" si="267"/>
        <v>-1.0753805220500194</v>
      </c>
      <c r="N2833">
        <f t="shared" si="268"/>
        <v>0</v>
      </c>
      <c r="O2833">
        <f t="shared" si="269"/>
        <v>0</v>
      </c>
      <c r="P2833">
        <f t="shared" si="266"/>
        <v>3900</v>
      </c>
      <c r="Q2833">
        <f t="shared" si="270"/>
        <v>3900</v>
      </c>
      <c r="T2833" s="16">
        <f t="shared" si="271"/>
        <v>-1.0753805220500199</v>
      </c>
    </row>
    <row r="2834" spans="7:20" ht="14.4" x14ac:dyDescent="0.25">
      <c r="G2834" s="10">
        <v>708</v>
      </c>
      <c r="H2834" s="9">
        <v>4965</v>
      </c>
      <c r="I2834" s="14">
        <f>DATE(2012,12,31)-803</f>
        <v>40471</v>
      </c>
      <c r="J2834" s="15" t="s">
        <v>25</v>
      </c>
      <c r="K2834" s="9">
        <v>14</v>
      </c>
      <c r="L2834" s="16" t="s">
        <v>26</v>
      </c>
      <c r="M2834" s="16">
        <f t="shared" si="267"/>
        <v>-0.79914141557313367</v>
      </c>
      <c r="N2834">
        <f t="shared" si="268"/>
        <v>0</v>
      </c>
      <c r="O2834">
        <f t="shared" si="269"/>
        <v>0</v>
      </c>
      <c r="P2834">
        <f t="shared" si="266"/>
        <v>4100</v>
      </c>
      <c r="Q2834">
        <f t="shared" si="270"/>
        <v>4100</v>
      </c>
      <c r="T2834" s="16">
        <f t="shared" si="271"/>
        <v>-0.79914141557313401</v>
      </c>
    </row>
    <row r="2835" spans="7:20" ht="14.4" x14ac:dyDescent="0.25">
      <c r="G2835" s="10">
        <v>809</v>
      </c>
      <c r="H2835" s="9">
        <v>5830</v>
      </c>
      <c r="I2835" s="14">
        <f>DATE(2012,12,31)-1013</f>
        <v>40261</v>
      </c>
      <c r="J2835" s="15" t="s">
        <v>16</v>
      </c>
      <c r="K2835" s="9">
        <v>49</v>
      </c>
      <c r="L2835" s="16" t="s">
        <v>29</v>
      </c>
      <c r="M2835" s="16">
        <f t="shared" si="267"/>
        <v>1.6179507660996166</v>
      </c>
      <c r="N2835">
        <f t="shared" si="268"/>
        <v>0</v>
      </c>
      <c r="O2835">
        <f t="shared" si="269"/>
        <v>0</v>
      </c>
      <c r="P2835">
        <f t="shared" si="266"/>
        <v>5850</v>
      </c>
      <c r="Q2835">
        <f t="shared" si="270"/>
        <v>5850</v>
      </c>
      <c r="T2835" s="16">
        <f t="shared" si="271"/>
        <v>1.6179507660996162</v>
      </c>
    </row>
    <row r="2836" spans="7:20" ht="14.4" x14ac:dyDescent="0.25">
      <c r="G2836" s="10">
        <v>852</v>
      </c>
      <c r="H2836" s="9">
        <v>6116</v>
      </c>
      <c r="I2836" s="14">
        <f>DATE(2012,12,31)-1382</f>
        <v>39892</v>
      </c>
      <c r="J2836" s="15" t="s">
        <v>16</v>
      </c>
      <c r="K2836" s="9">
        <v>7</v>
      </c>
      <c r="L2836" s="16" t="s">
        <v>27</v>
      </c>
      <c r="M2836" s="16">
        <f t="shared" si="267"/>
        <v>-1.2825598519076837</v>
      </c>
      <c r="N2836">
        <f t="shared" si="268"/>
        <v>0</v>
      </c>
      <c r="O2836">
        <f t="shared" si="269"/>
        <v>0</v>
      </c>
      <c r="P2836">
        <f t="shared" si="266"/>
        <v>3750</v>
      </c>
      <c r="Q2836">
        <f t="shared" si="270"/>
        <v>3750</v>
      </c>
      <c r="T2836" s="16">
        <f t="shared" si="271"/>
        <v>-1.2825598519076842</v>
      </c>
    </row>
    <row r="2837" spans="7:20" ht="14.4" x14ac:dyDescent="0.25">
      <c r="G2837" s="10">
        <v>926</v>
      </c>
      <c r="H2837" s="9">
        <v>6695</v>
      </c>
      <c r="I2837" s="14">
        <f>DATE(2012,12,31)-187</f>
        <v>41087</v>
      </c>
      <c r="J2837" s="15" t="s">
        <v>25</v>
      </c>
      <c r="K2837" s="9">
        <v>49</v>
      </c>
      <c r="L2837" s="16" t="s">
        <v>26</v>
      </c>
      <c r="M2837" s="16">
        <f t="shared" si="267"/>
        <v>1.6179507660996166</v>
      </c>
      <c r="N2837">
        <f t="shared" si="268"/>
        <v>0</v>
      </c>
      <c r="O2837">
        <f t="shared" si="269"/>
        <v>0</v>
      </c>
      <c r="P2837">
        <f t="shared" si="266"/>
        <v>5850</v>
      </c>
      <c r="Q2837">
        <f t="shared" si="270"/>
        <v>5850</v>
      </c>
      <c r="T2837" s="16">
        <f t="shared" si="271"/>
        <v>1.6179507660996162</v>
      </c>
    </row>
    <row r="2838" spans="7:20" ht="14.4" x14ac:dyDescent="0.25">
      <c r="G2838" s="10">
        <v>952</v>
      </c>
      <c r="H2838" s="9">
        <v>6885</v>
      </c>
      <c r="I2838" s="14">
        <f>DATE(2012,12,31)-195</f>
        <v>41079</v>
      </c>
      <c r="J2838" s="15" t="s">
        <v>25</v>
      </c>
      <c r="K2838" s="9">
        <v>4</v>
      </c>
      <c r="L2838" s="16" t="s">
        <v>29</v>
      </c>
      <c r="M2838" s="16">
        <f t="shared" si="267"/>
        <v>-1.489739181765348</v>
      </c>
      <c r="N2838">
        <f t="shared" si="268"/>
        <v>0</v>
      </c>
      <c r="O2838">
        <f t="shared" si="269"/>
        <v>0</v>
      </c>
      <c r="P2838">
        <f t="shared" si="266"/>
        <v>3600</v>
      </c>
      <c r="Q2838">
        <f t="shared" si="270"/>
        <v>3600</v>
      </c>
      <c r="T2838" s="16">
        <f t="shared" si="271"/>
        <v>-1.4897391817653485</v>
      </c>
    </row>
    <row r="2839" spans="7:20" ht="14.4" x14ac:dyDescent="0.25">
      <c r="G2839" s="10">
        <v>1021</v>
      </c>
      <c r="H2839" s="9">
        <v>7458</v>
      </c>
      <c r="I2839" s="14">
        <f>DATE(2012,12,31)-271</f>
        <v>41003</v>
      </c>
      <c r="J2839" s="15" t="s">
        <v>30</v>
      </c>
      <c r="K2839" s="9">
        <v>16</v>
      </c>
      <c r="L2839" s="16" t="s">
        <v>26</v>
      </c>
      <c r="M2839" s="16">
        <f t="shared" si="267"/>
        <v>-0.66102186233469074</v>
      </c>
      <c r="N2839">
        <f t="shared" si="268"/>
        <v>0</v>
      </c>
      <c r="O2839">
        <f t="shared" si="269"/>
        <v>0</v>
      </c>
      <c r="P2839">
        <f t="shared" si="266"/>
        <v>4200</v>
      </c>
      <c r="Q2839">
        <f t="shared" si="270"/>
        <v>4200</v>
      </c>
      <c r="T2839" s="16">
        <f t="shared" si="271"/>
        <v>-0.66102186233469118</v>
      </c>
    </row>
    <row r="2840" spans="7:20" ht="14.4" x14ac:dyDescent="0.25">
      <c r="G2840" s="10">
        <v>1022</v>
      </c>
      <c r="H2840" s="9">
        <v>7458</v>
      </c>
      <c r="I2840" s="14">
        <f>DATE(2012,12,31)-271</f>
        <v>41003</v>
      </c>
      <c r="J2840" s="15" t="s">
        <v>30</v>
      </c>
      <c r="K2840" s="9">
        <v>46</v>
      </c>
      <c r="L2840" s="16" t="s">
        <v>27</v>
      </c>
      <c r="M2840" s="16">
        <f t="shared" si="267"/>
        <v>1.4107714362419523</v>
      </c>
      <c r="N2840">
        <f t="shared" si="268"/>
        <v>0</v>
      </c>
      <c r="O2840">
        <f t="shared" si="269"/>
        <v>0</v>
      </c>
      <c r="P2840">
        <f t="shared" si="266"/>
        <v>5700</v>
      </c>
      <c r="Q2840">
        <f t="shared" si="270"/>
        <v>5700</v>
      </c>
      <c r="T2840" s="16">
        <f t="shared" si="271"/>
        <v>1.4107714362419519</v>
      </c>
    </row>
    <row r="2841" spans="7:20" ht="14.4" x14ac:dyDescent="0.25">
      <c r="G2841" s="10">
        <v>1202</v>
      </c>
      <c r="H2841" s="9">
        <v>8807</v>
      </c>
      <c r="I2841" s="14">
        <f>DATE(2012,12,31)-1040</f>
        <v>40234</v>
      </c>
      <c r="J2841" s="15" t="s">
        <v>25</v>
      </c>
      <c r="K2841" s="9">
        <v>19</v>
      </c>
      <c r="L2841" s="16" t="s">
        <v>26</v>
      </c>
      <c r="M2841" s="16">
        <f t="shared" si="267"/>
        <v>-0.45384253247702649</v>
      </c>
      <c r="N2841">
        <f t="shared" si="268"/>
        <v>0</v>
      </c>
      <c r="O2841">
        <f t="shared" si="269"/>
        <v>0</v>
      </c>
      <c r="P2841">
        <f t="shared" si="266"/>
        <v>4350</v>
      </c>
      <c r="Q2841">
        <f t="shared" si="270"/>
        <v>4350</v>
      </c>
      <c r="T2841" s="16">
        <f t="shared" si="271"/>
        <v>-0.45384253247702688</v>
      </c>
    </row>
    <row r="2842" spans="7:20" ht="14.4" x14ac:dyDescent="0.25">
      <c r="G2842" s="10">
        <v>1239</v>
      </c>
      <c r="H2842" s="9">
        <v>9024</v>
      </c>
      <c r="I2842" s="14">
        <f>DATE(2012,12,31)-212</f>
        <v>41062</v>
      </c>
      <c r="J2842" s="15" t="s">
        <v>16</v>
      </c>
      <c r="K2842" s="9">
        <v>44</v>
      </c>
      <c r="L2842" s="16" t="s">
        <v>27</v>
      </c>
      <c r="M2842" s="16">
        <f t="shared" si="267"/>
        <v>1.2726518830035094</v>
      </c>
      <c r="N2842">
        <f t="shared" si="268"/>
        <v>0</v>
      </c>
      <c r="O2842">
        <f t="shared" si="269"/>
        <v>0</v>
      </c>
      <c r="P2842">
        <f t="shared" si="266"/>
        <v>5600</v>
      </c>
      <c r="Q2842">
        <f t="shared" si="270"/>
        <v>5600</v>
      </c>
      <c r="T2842" s="16">
        <f t="shared" si="271"/>
        <v>1.272651883003509</v>
      </c>
    </row>
    <row r="2843" spans="7:20" ht="14.4" x14ac:dyDescent="0.25">
      <c r="G2843" s="10">
        <v>1309</v>
      </c>
      <c r="H2843" s="9">
        <v>9602</v>
      </c>
      <c r="I2843" s="14">
        <f>DATE(2012,12,31)-51</f>
        <v>41223</v>
      </c>
      <c r="J2843" s="15" t="s">
        <v>30</v>
      </c>
      <c r="K2843" s="9">
        <v>16</v>
      </c>
      <c r="L2843" s="16" t="s">
        <v>27</v>
      </c>
      <c r="M2843" s="16">
        <f t="shared" si="267"/>
        <v>-0.66102186233469074</v>
      </c>
      <c r="N2843">
        <f t="shared" si="268"/>
        <v>0</v>
      </c>
      <c r="O2843">
        <f t="shared" si="269"/>
        <v>0</v>
      </c>
      <c r="P2843">
        <f t="shared" si="266"/>
        <v>4200</v>
      </c>
      <c r="Q2843">
        <f t="shared" si="270"/>
        <v>4200</v>
      </c>
      <c r="T2843" s="16">
        <f t="shared" si="271"/>
        <v>-0.66102186233469118</v>
      </c>
    </row>
    <row r="2844" spans="7:20" ht="14.4" x14ac:dyDescent="0.25">
      <c r="G2844" s="10">
        <v>1358</v>
      </c>
      <c r="H2844" s="9">
        <v>9894</v>
      </c>
      <c r="I2844" s="14">
        <f>DATE(2012,12,31)-1384</f>
        <v>39890</v>
      </c>
      <c r="J2844" s="15" t="s">
        <v>17</v>
      </c>
      <c r="K2844" s="9">
        <v>16</v>
      </c>
      <c r="L2844" s="16" t="s">
        <v>29</v>
      </c>
      <c r="M2844" s="16">
        <f t="shared" si="267"/>
        <v>-0.66102186233469074</v>
      </c>
      <c r="N2844">
        <f t="shared" si="268"/>
        <v>0</v>
      </c>
      <c r="O2844">
        <f t="shared" si="269"/>
        <v>0</v>
      </c>
      <c r="P2844">
        <f t="shared" si="266"/>
        <v>4200</v>
      </c>
      <c r="Q2844">
        <f t="shared" si="270"/>
        <v>4200</v>
      </c>
      <c r="T2844" s="16">
        <f t="shared" si="271"/>
        <v>-0.66102186233469118</v>
      </c>
    </row>
    <row r="2845" spans="7:20" ht="14.4" x14ac:dyDescent="0.25">
      <c r="G2845" s="10">
        <v>1426</v>
      </c>
      <c r="H2845" s="9">
        <v>10338</v>
      </c>
      <c r="I2845" s="14">
        <f>DATE(2012,12,31)-536</f>
        <v>40738</v>
      </c>
      <c r="J2845" s="15" t="s">
        <v>28</v>
      </c>
      <c r="K2845" s="9">
        <v>7</v>
      </c>
      <c r="L2845" s="16" t="s">
        <v>29</v>
      </c>
      <c r="M2845" s="16">
        <f t="shared" si="267"/>
        <v>-1.2825598519076837</v>
      </c>
      <c r="N2845">
        <f t="shared" si="268"/>
        <v>0</v>
      </c>
      <c r="O2845">
        <f t="shared" si="269"/>
        <v>0</v>
      </c>
      <c r="P2845">
        <f t="shared" si="266"/>
        <v>3750</v>
      </c>
      <c r="Q2845">
        <f t="shared" si="270"/>
        <v>3750</v>
      </c>
      <c r="T2845" s="16">
        <f t="shared" si="271"/>
        <v>-1.2825598519076842</v>
      </c>
    </row>
    <row r="2846" spans="7:20" ht="14.4" x14ac:dyDescent="0.25">
      <c r="G2846" s="10">
        <v>1528</v>
      </c>
      <c r="H2846" s="9">
        <v>11011</v>
      </c>
      <c r="I2846" s="14">
        <f>DATE(2012,12,31)-232</f>
        <v>41042</v>
      </c>
      <c r="J2846" s="15" t="s">
        <v>17</v>
      </c>
      <c r="K2846" s="9">
        <v>36</v>
      </c>
      <c r="L2846" s="16" t="s">
        <v>26</v>
      </c>
      <c r="M2846" s="16">
        <f t="shared" si="267"/>
        <v>0.72017367004973787</v>
      </c>
      <c r="N2846">
        <f t="shared" si="268"/>
        <v>0</v>
      </c>
      <c r="O2846">
        <f t="shared" si="269"/>
        <v>0</v>
      </c>
      <c r="P2846">
        <f t="shared" si="266"/>
        <v>5200</v>
      </c>
      <c r="Q2846">
        <f t="shared" si="270"/>
        <v>5200</v>
      </c>
      <c r="T2846" s="16">
        <f t="shared" si="271"/>
        <v>0.72017367004973754</v>
      </c>
    </row>
    <row r="2847" spans="7:20" ht="14.4" x14ac:dyDescent="0.25">
      <c r="G2847" s="10">
        <v>1564</v>
      </c>
      <c r="H2847" s="9">
        <v>11271</v>
      </c>
      <c r="I2847" s="14">
        <f>DATE(2012,12,31)-440</f>
        <v>40834</v>
      </c>
      <c r="J2847" s="15" t="s">
        <v>17</v>
      </c>
      <c r="K2847" s="9">
        <v>46</v>
      </c>
      <c r="L2847" s="16" t="s">
        <v>26</v>
      </c>
      <c r="M2847" s="16">
        <f t="shared" si="267"/>
        <v>1.4107714362419523</v>
      </c>
      <c r="N2847">
        <f t="shared" si="268"/>
        <v>0</v>
      </c>
      <c r="O2847">
        <f t="shared" si="269"/>
        <v>0</v>
      </c>
      <c r="P2847">
        <f t="shared" si="266"/>
        <v>5700</v>
      </c>
      <c r="Q2847">
        <f t="shared" si="270"/>
        <v>5700</v>
      </c>
      <c r="T2847" s="16">
        <f t="shared" si="271"/>
        <v>1.4107714362419519</v>
      </c>
    </row>
    <row r="2848" spans="7:20" ht="14.4" x14ac:dyDescent="0.25">
      <c r="G2848" s="10">
        <v>1665</v>
      </c>
      <c r="H2848" s="9">
        <v>12005</v>
      </c>
      <c r="I2848" s="14">
        <f>DATE(2012,12,31)-190</f>
        <v>41084</v>
      </c>
      <c r="J2848" s="15" t="s">
        <v>28</v>
      </c>
      <c r="K2848" s="9">
        <v>4</v>
      </c>
      <c r="L2848" s="16" t="s">
        <v>26</v>
      </c>
      <c r="M2848" s="16">
        <f t="shared" si="267"/>
        <v>-1.489739181765348</v>
      </c>
      <c r="N2848">
        <f t="shared" si="268"/>
        <v>0</v>
      </c>
      <c r="O2848">
        <f t="shared" si="269"/>
        <v>0</v>
      </c>
      <c r="P2848">
        <f t="shared" si="266"/>
        <v>3600</v>
      </c>
      <c r="Q2848">
        <f t="shared" si="270"/>
        <v>3600</v>
      </c>
      <c r="T2848" s="16">
        <f t="shared" si="271"/>
        <v>-1.4897391817653485</v>
      </c>
    </row>
    <row r="2849" spans="7:20" ht="14.4" x14ac:dyDescent="0.25">
      <c r="G2849" s="10">
        <v>1846</v>
      </c>
      <c r="H2849" s="9">
        <v>13284</v>
      </c>
      <c r="I2849" s="14">
        <f>DATE(2012,12,31)-141</f>
        <v>41133</v>
      </c>
      <c r="J2849" s="15" t="s">
        <v>17</v>
      </c>
      <c r="K2849" s="9">
        <v>22</v>
      </c>
      <c r="L2849" s="16" t="s">
        <v>26</v>
      </c>
      <c r="M2849" s="16">
        <f t="shared" si="267"/>
        <v>-0.24666320261936217</v>
      </c>
      <c r="N2849">
        <f t="shared" si="268"/>
        <v>0</v>
      </c>
      <c r="O2849">
        <f t="shared" si="269"/>
        <v>0</v>
      </c>
      <c r="P2849">
        <f t="shared" si="266"/>
        <v>4500</v>
      </c>
      <c r="Q2849">
        <f t="shared" si="270"/>
        <v>4500</v>
      </c>
      <c r="T2849" s="16">
        <f t="shared" si="271"/>
        <v>-0.24666320261936256</v>
      </c>
    </row>
    <row r="2850" spans="7:20" ht="14.4" x14ac:dyDescent="0.25">
      <c r="G2850" s="10">
        <v>1847</v>
      </c>
      <c r="H2850" s="9">
        <v>13284</v>
      </c>
      <c r="I2850" s="14">
        <f>DATE(2012,12,31)-141</f>
        <v>41133</v>
      </c>
      <c r="J2850" s="15" t="s">
        <v>17</v>
      </c>
      <c r="K2850" s="9">
        <v>49</v>
      </c>
      <c r="L2850" s="16" t="s">
        <v>26</v>
      </c>
      <c r="M2850" s="16">
        <f t="shared" si="267"/>
        <v>1.6179507660996166</v>
      </c>
      <c r="N2850">
        <f t="shared" si="268"/>
        <v>0</v>
      </c>
      <c r="O2850">
        <f t="shared" si="269"/>
        <v>0</v>
      </c>
      <c r="P2850">
        <f t="shared" si="266"/>
        <v>5850</v>
      </c>
      <c r="Q2850">
        <f t="shared" si="270"/>
        <v>5850</v>
      </c>
      <c r="T2850" s="16">
        <f t="shared" si="271"/>
        <v>1.6179507660996162</v>
      </c>
    </row>
    <row r="2851" spans="7:20" ht="14.4" x14ac:dyDescent="0.25">
      <c r="G2851" s="10">
        <v>1871</v>
      </c>
      <c r="H2851" s="9">
        <v>13476</v>
      </c>
      <c r="I2851" s="14">
        <f>DATE(2012,12,31)-807</f>
        <v>40467</v>
      </c>
      <c r="J2851" s="15" t="s">
        <v>28</v>
      </c>
      <c r="K2851" s="9">
        <v>3</v>
      </c>
      <c r="L2851" s="16" t="s">
        <v>26</v>
      </c>
      <c r="M2851" s="16">
        <f t="shared" si="267"/>
        <v>-1.5587989583845694</v>
      </c>
      <c r="N2851">
        <f t="shared" si="268"/>
        <v>0</v>
      </c>
      <c r="O2851">
        <f t="shared" si="269"/>
        <v>0</v>
      </c>
      <c r="P2851">
        <f t="shared" si="266"/>
        <v>3550</v>
      </c>
      <c r="Q2851">
        <f t="shared" si="270"/>
        <v>3550</v>
      </c>
      <c r="T2851" s="16">
        <f t="shared" si="271"/>
        <v>-1.5587989583845698</v>
      </c>
    </row>
    <row r="2852" spans="7:20" ht="14.4" x14ac:dyDescent="0.25">
      <c r="G2852" s="10">
        <v>1988</v>
      </c>
      <c r="H2852" s="9">
        <v>14182</v>
      </c>
      <c r="I2852" s="14">
        <f>DATE(2012,12,31)-1288</f>
        <v>39986</v>
      </c>
      <c r="J2852" s="15" t="s">
        <v>25</v>
      </c>
      <c r="K2852" s="9">
        <v>23</v>
      </c>
      <c r="L2852" s="16" t="s">
        <v>27</v>
      </c>
      <c r="M2852" s="16">
        <f t="shared" si="267"/>
        <v>-0.17760342600014073</v>
      </c>
      <c r="N2852">
        <f t="shared" si="268"/>
        <v>0</v>
      </c>
      <c r="O2852">
        <f t="shared" si="269"/>
        <v>0</v>
      </c>
      <c r="P2852">
        <f t="shared" si="266"/>
        <v>4550</v>
      </c>
      <c r="Q2852">
        <f t="shared" si="270"/>
        <v>4550</v>
      </c>
      <c r="T2852" s="16">
        <f t="shared" si="271"/>
        <v>-0.17760342600014112</v>
      </c>
    </row>
    <row r="2853" spans="7:20" ht="14.4" x14ac:dyDescent="0.25">
      <c r="G2853" s="10">
        <v>2015</v>
      </c>
      <c r="H2853" s="9">
        <v>14375</v>
      </c>
      <c r="I2853" s="14">
        <f>DATE(2012,12,31)-1065</f>
        <v>40209</v>
      </c>
      <c r="J2853" s="15" t="s">
        <v>16</v>
      </c>
      <c r="K2853" s="9">
        <v>50</v>
      </c>
      <c r="L2853" s="16" t="s">
        <v>26</v>
      </c>
      <c r="M2853" s="16">
        <f t="shared" si="267"/>
        <v>1.687010542718838</v>
      </c>
      <c r="N2853">
        <f t="shared" si="268"/>
        <v>0</v>
      </c>
      <c r="O2853">
        <f t="shared" si="269"/>
        <v>0</v>
      </c>
      <c r="P2853">
        <f t="shared" si="266"/>
        <v>5900</v>
      </c>
      <c r="Q2853">
        <f t="shared" si="270"/>
        <v>5900</v>
      </c>
      <c r="T2853" s="16">
        <f t="shared" si="271"/>
        <v>1.6870105427188375</v>
      </c>
    </row>
    <row r="2854" spans="7:20" ht="14.4" x14ac:dyDescent="0.25">
      <c r="G2854" s="10">
        <v>2036</v>
      </c>
      <c r="H2854" s="9">
        <v>14528</v>
      </c>
      <c r="I2854" s="14">
        <f>DATE(2012,12,31)-1295</f>
        <v>39979</v>
      </c>
      <c r="J2854" s="15" t="s">
        <v>30</v>
      </c>
      <c r="K2854" s="9">
        <v>14</v>
      </c>
      <c r="L2854" s="16" t="s">
        <v>26</v>
      </c>
      <c r="M2854" s="16">
        <f t="shared" si="267"/>
        <v>-0.79914141557313367</v>
      </c>
      <c r="N2854">
        <f t="shared" si="268"/>
        <v>0</v>
      </c>
      <c r="O2854">
        <f t="shared" si="269"/>
        <v>0</v>
      </c>
      <c r="P2854">
        <f t="shared" si="266"/>
        <v>4100</v>
      </c>
      <c r="Q2854">
        <f t="shared" si="270"/>
        <v>4100</v>
      </c>
      <c r="T2854" s="16">
        <f t="shared" si="271"/>
        <v>-0.79914141557313401</v>
      </c>
    </row>
    <row r="2855" spans="7:20" ht="14.4" x14ac:dyDescent="0.25">
      <c r="G2855" s="10">
        <v>2052</v>
      </c>
      <c r="H2855" s="9">
        <v>14662</v>
      </c>
      <c r="I2855" s="14">
        <f>DATE(2012,12,31)-411</f>
        <v>40863</v>
      </c>
      <c r="J2855" s="15" t="s">
        <v>17</v>
      </c>
      <c r="K2855" s="9">
        <v>48</v>
      </c>
      <c r="L2855" s="16" t="s">
        <v>26</v>
      </c>
      <c r="M2855" s="16">
        <f t="shared" si="267"/>
        <v>1.5488909894803951</v>
      </c>
      <c r="N2855">
        <f t="shared" si="268"/>
        <v>0</v>
      </c>
      <c r="O2855">
        <f t="shared" si="269"/>
        <v>0</v>
      </c>
      <c r="P2855">
        <f t="shared" si="266"/>
        <v>5800</v>
      </c>
      <c r="Q2855">
        <f t="shared" si="270"/>
        <v>5800</v>
      </c>
      <c r="T2855" s="16">
        <f t="shared" si="271"/>
        <v>1.5488909894803948</v>
      </c>
    </row>
    <row r="2856" spans="7:20" ht="14.4" x14ac:dyDescent="0.25">
      <c r="G2856" s="10">
        <v>2054</v>
      </c>
      <c r="H2856" s="9">
        <v>14662</v>
      </c>
      <c r="I2856" s="14">
        <f>DATE(2012,12,31)-411</f>
        <v>40863</v>
      </c>
      <c r="J2856" s="15" t="s">
        <v>17</v>
      </c>
      <c r="K2856" s="9">
        <v>48</v>
      </c>
      <c r="L2856" s="16" t="s">
        <v>27</v>
      </c>
      <c r="M2856" s="16">
        <f t="shared" si="267"/>
        <v>1.5488909894803951</v>
      </c>
      <c r="N2856">
        <f t="shared" si="268"/>
        <v>0</v>
      </c>
      <c r="O2856">
        <f t="shared" si="269"/>
        <v>0</v>
      </c>
      <c r="P2856">
        <f t="shared" si="266"/>
        <v>5800</v>
      </c>
      <c r="Q2856">
        <f t="shared" si="270"/>
        <v>5800</v>
      </c>
      <c r="T2856" s="16">
        <f t="shared" si="271"/>
        <v>1.5488909894803948</v>
      </c>
    </row>
    <row r="2857" spans="7:20" ht="14.4" x14ac:dyDescent="0.25">
      <c r="G2857" s="10">
        <v>2100</v>
      </c>
      <c r="H2857" s="9">
        <v>15009</v>
      </c>
      <c r="I2857" s="14">
        <f>DATE(2012,12,31)-376</f>
        <v>40898</v>
      </c>
      <c r="J2857" s="15" t="s">
        <v>28</v>
      </c>
      <c r="K2857" s="9">
        <v>28</v>
      </c>
      <c r="L2857" s="16" t="s">
        <v>26</v>
      </c>
      <c r="M2857" s="16">
        <f t="shared" si="267"/>
        <v>0.16769545709596645</v>
      </c>
      <c r="N2857">
        <f t="shared" si="268"/>
        <v>0</v>
      </c>
      <c r="O2857">
        <f t="shared" si="269"/>
        <v>0</v>
      </c>
      <c r="P2857">
        <f t="shared" si="266"/>
        <v>4800</v>
      </c>
      <c r="Q2857">
        <f t="shared" si="270"/>
        <v>4800</v>
      </c>
      <c r="T2857" s="16">
        <f t="shared" si="271"/>
        <v>0.16769545709596606</v>
      </c>
    </row>
    <row r="2858" spans="7:20" ht="14.4" x14ac:dyDescent="0.25">
      <c r="G2858" s="10">
        <v>2167</v>
      </c>
      <c r="H2858" s="9">
        <v>15619</v>
      </c>
      <c r="I2858" s="14">
        <f>DATE(2012,12,31)-552</f>
        <v>40722</v>
      </c>
      <c r="J2858" s="15" t="s">
        <v>25</v>
      </c>
      <c r="K2858" s="9">
        <v>36</v>
      </c>
      <c r="L2858" s="16" t="s">
        <v>26</v>
      </c>
      <c r="M2858" s="16">
        <f t="shared" si="267"/>
        <v>0.72017367004973787</v>
      </c>
      <c r="N2858">
        <f t="shared" si="268"/>
        <v>0</v>
      </c>
      <c r="O2858">
        <f t="shared" si="269"/>
        <v>0</v>
      </c>
      <c r="P2858">
        <f t="shared" si="266"/>
        <v>5200</v>
      </c>
      <c r="Q2858">
        <f t="shared" si="270"/>
        <v>5200</v>
      </c>
      <c r="T2858" s="16">
        <f t="shared" si="271"/>
        <v>0.72017367004973754</v>
      </c>
    </row>
    <row r="2859" spans="7:20" ht="14.4" x14ac:dyDescent="0.25">
      <c r="G2859" s="10">
        <v>2212</v>
      </c>
      <c r="H2859" s="9">
        <v>15971</v>
      </c>
      <c r="I2859" s="14">
        <f>DATE(2012,12,31)-1235</f>
        <v>40039</v>
      </c>
      <c r="J2859" s="15" t="s">
        <v>17</v>
      </c>
      <c r="K2859" s="9">
        <v>15</v>
      </c>
      <c r="L2859" s="16" t="s">
        <v>27</v>
      </c>
      <c r="M2859" s="16">
        <f t="shared" si="267"/>
        <v>-0.7300816389539122</v>
      </c>
      <c r="N2859">
        <f t="shared" si="268"/>
        <v>0</v>
      </c>
      <c r="O2859">
        <f t="shared" si="269"/>
        <v>0</v>
      </c>
      <c r="P2859">
        <f t="shared" si="266"/>
        <v>4150</v>
      </c>
      <c r="Q2859">
        <f t="shared" si="270"/>
        <v>4150</v>
      </c>
      <c r="T2859" s="16">
        <f t="shared" si="271"/>
        <v>-0.73008163895391265</v>
      </c>
    </row>
    <row r="2860" spans="7:20" ht="14.4" x14ac:dyDescent="0.25">
      <c r="G2860" s="10">
        <v>2217</v>
      </c>
      <c r="H2860" s="9">
        <v>16036</v>
      </c>
      <c r="I2860" s="14">
        <f>DATE(2012,12,31)-361</f>
        <v>40913</v>
      </c>
      <c r="J2860" s="15" t="s">
        <v>16</v>
      </c>
      <c r="K2860" s="9">
        <v>28</v>
      </c>
      <c r="L2860" s="16" t="s">
        <v>26</v>
      </c>
      <c r="M2860" s="16">
        <f t="shared" si="267"/>
        <v>0.16769545709596645</v>
      </c>
      <c r="N2860">
        <f t="shared" si="268"/>
        <v>0</v>
      </c>
      <c r="O2860">
        <f t="shared" si="269"/>
        <v>0</v>
      </c>
      <c r="P2860">
        <f t="shared" si="266"/>
        <v>4800</v>
      </c>
      <c r="Q2860">
        <f t="shared" si="270"/>
        <v>4800</v>
      </c>
      <c r="T2860" s="16">
        <f t="shared" si="271"/>
        <v>0.16769545709596606</v>
      </c>
    </row>
    <row r="2861" spans="7:20" ht="14.4" x14ac:dyDescent="0.25">
      <c r="G2861" s="10">
        <v>2284</v>
      </c>
      <c r="H2861" s="9">
        <v>16452</v>
      </c>
      <c r="I2861" s="14">
        <f>DATE(2012,12,31)-130</f>
        <v>41144</v>
      </c>
      <c r="J2861" s="15" t="s">
        <v>16</v>
      </c>
      <c r="K2861" s="9">
        <v>46</v>
      </c>
      <c r="L2861" s="16" t="s">
        <v>26</v>
      </c>
      <c r="M2861" s="16">
        <f t="shared" si="267"/>
        <v>1.4107714362419523</v>
      </c>
      <c r="N2861">
        <f t="shared" si="268"/>
        <v>0</v>
      </c>
      <c r="O2861">
        <f t="shared" si="269"/>
        <v>0</v>
      </c>
      <c r="P2861">
        <f t="shared" si="266"/>
        <v>5700</v>
      </c>
      <c r="Q2861">
        <f t="shared" si="270"/>
        <v>5700</v>
      </c>
      <c r="T2861" s="16">
        <f t="shared" si="271"/>
        <v>1.4107714362419519</v>
      </c>
    </row>
    <row r="2862" spans="7:20" ht="14.4" x14ac:dyDescent="0.25">
      <c r="G2862" s="10">
        <v>2299</v>
      </c>
      <c r="H2862" s="9">
        <v>16548</v>
      </c>
      <c r="I2862" s="14">
        <f>DATE(2012,12,31)-330</f>
        <v>40944</v>
      </c>
      <c r="J2862" s="15" t="s">
        <v>28</v>
      </c>
      <c r="K2862" s="9">
        <v>40</v>
      </c>
      <c r="L2862" s="16" t="s">
        <v>29</v>
      </c>
      <c r="M2862" s="16">
        <f t="shared" si="267"/>
        <v>0.99641277652662363</v>
      </c>
      <c r="N2862">
        <f t="shared" si="268"/>
        <v>0</v>
      </c>
      <c r="O2862">
        <f t="shared" si="269"/>
        <v>0</v>
      </c>
      <c r="P2862">
        <f t="shared" si="266"/>
        <v>5400</v>
      </c>
      <c r="Q2862">
        <f t="shared" si="270"/>
        <v>5400</v>
      </c>
      <c r="T2862" s="16">
        <f t="shared" si="271"/>
        <v>0.9964127765266233</v>
      </c>
    </row>
    <row r="2863" spans="7:20" ht="14.4" x14ac:dyDescent="0.25">
      <c r="G2863" s="10">
        <v>2400</v>
      </c>
      <c r="H2863" s="9">
        <v>17408</v>
      </c>
      <c r="I2863" s="14">
        <f>DATE(2012,12,31)-1314</f>
        <v>39960</v>
      </c>
      <c r="J2863" s="15" t="s">
        <v>28</v>
      </c>
      <c r="K2863" s="9">
        <v>26</v>
      </c>
      <c r="L2863" s="16" t="s">
        <v>26</v>
      </c>
      <c r="M2863" s="16">
        <f t="shared" si="267"/>
        <v>2.9575903857523567E-2</v>
      </c>
      <c r="N2863">
        <f t="shared" si="268"/>
        <v>0</v>
      </c>
      <c r="O2863">
        <f t="shared" si="269"/>
        <v>0</v>
      </c>
      <c r="P2863">
        <f t="shared" si="266"/>
        <v>4700</v>
      </c>
      <c r="Q2863">
        <f t="shared" si="270"/>
        <v>4700</v>
      </c>
      <c r="T2863" s="16">
        <f t="shared" si="271"/>
        <v>2.9575903857523185E-2</v>
      </c>
    </row>
    <row r="2864" spans="7:20" ht="14.4" x14ac:dyDescent="0.25">
      <c r="G2864" s="10">
        <v>2403</v>
      </c>
      <c r="H2864" s="9">
        <v>17410</v>
      </c>
      <c r="I2864" s="14">
        <f>DATE(2012,12,31)-852</f>
        <v>40422</v>
      </c>
      <c r="J2864" s="15" t="s">
        <v>25</v>
      </c>
      <c r="K2864" s="9">
        <v>5</v>
      </c>
      <c r="L2864" s="16" t="s">
        <v>27</v>
      </c>
      <c r="M2864" s="16">
        <f t="shared" si="267"/>
        <v>-1.4206794051461267</v>
      </c>
      <c r="N2864">
        <f t="shared" si="268"/>
        <v>0</v>
      </c>
      <c r="O2864">
        <f t="shared" si="269"/>
        <v>0</v>
      </c>
      <c r="P2864">
        <f t="shared" si="266"/>
        <v>3650</v>
      </c>
      <c r="Q2864">
        <f t="shared" si="270"/>
        <v>3650</v>
      </c>
      <c r="T2864" s="16">
        <f t="shared" si="271"/>
        <v>-1.4206794051461269</v>
      </c>
    </row>
    <row r="2865" spans="7:20" ht="14.4" x14ac:dyDescent="0.25">
      <c r="G2865" s="10">
        <v>2606</v>
      </c>
      <c r="H2865" s="9">
        <v>18849</v>
      </c>
      <c r="I2865" s="14">
        <f>DATE(2012,12,31)-148</f>
        <v>41126</v>
      </c>
      <c r="J2865" s="15" t="s">
        <v>17</v>
      </c>
      <c r="K2865" s="9">
        <v>6</v>
      </c>
      <c r="L2865" s="16" t="s">
        <v>26</v>
      </c>
      <c r="M2865" s="16">
        <f t="shared" si="267"/>
        <v>-1.3516196285269051</v>
      </c>
      <c r="N2865">
        <f t="shared" si="268"/>
        <v>0</v>
      </c>
      <c r="O2865">
        <f t="shared" si="269"/>
        <v>0</v>
      </c>
      <c r="P2865">
        <f t="shared" si="266"/>
        <v>3700</v>
      </c>
      <c r="Q2865">
        <f t="shared" si="270"/>
        <v>3700</v>
      </c>
      <c r="T2865" s="16">
        <f t="shared" si="271"/>
        <v>-1.3516196285269055</v>
      </c>
    </row>
    <row r="2866" spans="7:20" ht="14.4" x14ac:dyDescent="0.25">
      <c r="G2866" s="10">
        <v>2649</v>
      </c>
      <c r="H2866" s="9">
        <v>19174</v>
      </c>
      <c r="I2866" s="14">
        <f>DATE(2012,12,31)-899</f>
        <v>40375</v>
      </c>
      <c r="J2866" s="15" t="s">
        <v>16</v>
      </c>
      <c r="K2866" s="9">
        <v>35</v>
      </c>
      <c r="L2866" s="16" t="s">
        <v>27</v>
      </c>
      <c r="M2866" s="16">
        <f t="shared" si="267"/>
        <v>0.65111389343051651</v>
      </c>
      <c r="N2866">
        <f t="shared" si="268"/>
        <v>0</v>
      </c>
      <c r="O2866">
        <f t="shared" si="269"/>
        <v>0</v>
      </c>
      <c r="P2866">
        <f t="shared" si="266"/>
        <v>5150</v>
      </c>
      <c r="Q2866">
        <f t="shared" si="270"/>
        <v>5150</v>
      </c>
      <c r="T2866" s="16">
        <f t="shared" si="271"/>
        <v>0.65111389343051607</v>
      </c>
    </row>
    <row r="2867" spans="7:20" ht="14.4" x14ac:dyDescent="0.25">
      <c r="G2867" s="10">
        <v>2650</v>
      </c>
      <c r="H2867" s="9">
        <v>19174</v>
      </c>
      <c r="I2867" s="14">
        <f>DATE(2012,12,31)-899</f>
        <v>40375</v>
      </c>
      <c r="J2867" s="15" t="s">
        <v>16</v>
      </c>
      <c r="K2867" s="9">
        <v>19</v>
      </c>
      <c r="L2867" s="16" t="s">
        <v>27</v>
      </c>
      <c r="M2867" s="16">
        <f t="shared" si="267"/>
        <v>-0.45384253247702649</v>
      </c>
      <c r="N2867">
        <f t="shared" si="268"/>
        <v>0</v>
      </c>
      <c r="O2867">
        <f t="shared" si="269"/>
        <v>0</v>
      </c>
      <c r="P2867">
        <f t="shared" si="266"/>
        <v>4350</v>
      </c>
      <c r="Q2867">
        <f t="shared" si="270"/>
        <v>4350</v>
      </c>
      <c r="T2867" s="16">
        <f t="shared" si="271"/>
        <v>-0.45384253247702688</v>
      </c>
    </row>
    <row r="2868" spans="7:20" ht="14.4" x14ac:dyDescent="0.25">
      <c r="G2868" s="10">
        <v>2651</v>
      </c>
      <c r="H2868" s="9">
        <v>19174</v>
      </c>
      <c r="I2868" s="14">
        <f>DATE(2012,12,31)-899</f>
        <v>40375</v>
      </c>
      <c r="J2868" s="15" t="s">
        <v>16</v>
      </c>
      <c r="K2868" s="9">
        <v>48</v>
      </c>
      <c r="L2868" s="16" t="s">
        <v>27</v>
      </c>
      <c r="M2868" s="16">
        <f t="shared" si="267"/>
        <v>1.5488909894803951</v>
      </c>
      <c r="N2868">
        <f t="shared" si="268"/>
        <v>0</v>
      </c>
      <c r="O2868">
        <f t="shared" si="269"/>
        <v>0</v>
      </c>
      <c r="P2868">
        <f t="shared" si="266"/>
        <v>5800</v>
      </c>
      <c r="Q2868">
        <f t="shared" si="270"/>
        <v>5800</v>
      </c>
      <c r="T2868" s="16">
        <f t="shared" si="271"/>
        <v>1.5488909894803948</v>
      </c>
    </row>
    <row r="2869" spans="7:20" ht="14.4" x14ac:dyDescent="0.25">
      <c r="G2869" s="10">
        <v>2784</v>
      </c>
      <c r="H2869" s="9">
        <v>20098</v>
      </c>
      <c r="I2869" s="14">
        <f>DATE(2012,12,31)-389</f>
        <v>40885</v>
      </c>
      <c r="J2869" s="15" t="s">
        <v>16</v>
      </c>
      <c r="K2869" s="9">
        <v>11</v>
      </c>
      <c r="L2869" s="16" t="s">
        <v>27</v>
      </c>
      <c r="M2869" s="16">
        <f t="shared" si="267"/>
        <v>-1.0063207454307979</v>
      </c>
      <c r="N2869">
        <f t="shared" si="268"/>
        <v>0</v>
      </c>
      <c r="O2869">
        <f t="shared" si="269"/>
        <v>0</v>
      </c>
      <c r="P2869">
        <f t="shared" si="266"/>
        <v>3950</v>
      </c>
      <c r="Q2869">
        <f t="shared" si="270"/>
        <v>3950</v>
      </c>
      <c r="T2869" s="16">
        <f t="shared" si="271"/>
        <v>-1.0063207454307983</v>
      </c>
    </row>
    <row r="2870" spans="7:20" ht="14.4" x14ac:dyDescent="0.25">
      <c r="G2870" s="10">
        <v>2874</v>
      </c>
      <c r="H2870" s="9">
        <v>20711</v>
      </c>
      <c r="I2870" s="14">
        <f>DATE(2012,12,31)-1442</f>
        <v>39832</v>
      </c>
      <c r="J2870" s="15" t="s">
        <v>30</v>
      </c>
      <c r="K2870" s="9">
        <v>5</v>
      </c>
      <c r="L2870" s="16" t="s">
        <v>26</v>
      </c>
      <c r="M2870" s="16">
        <f t="shared" si="267"/>
        <v>-1.4206794051461267</v>
      </c>
      <c r="N2870">
        <f t="shared" si="268"/>
        <v>0</v>
      </c>
      <c r="O2870">
        <f t="shared" si="269"/>
        <v>0</v>
      </c>
      <c r="P2870">
        <f t="shared" si="266"/>
        <v>3650</v>
      </c>
      <c r="Q2870">
        <f t="shared" si="270"/>
        <v>3650</v>
      </c>
      <c r="T2870" s="16">
        <f t="shared" si="271"/>
        <v>-1.4206794051461269</v>
      </c>
    </row>
    <row r="2871" spans="7:20" ht="14.4" x14ac:dyDescent="0.25">
      <c r="G2871" s="10">
        <v>2898</v>
      </c>
      <c r="H2871" s="9">
        <v>20932</v>
      </c>
      <c r="I2871" s="14">
        <f>DATE(2012,12,31)-155</f>
        <v>41119</v>
      </c>
      <c r="J2871" s="15" t="s">
        <v>17</v>
      </c>
      <c r="K2871" s="9">
        <v>38</v>
      </c>
      <c r="L2871" s="16" t="s">
        <v>26</v>
      </c>
      <c r="M2871" s="16">
        <f t="shared" si="267"/>
        <v>0.85829322328818081</v>
      </c>
      <c r="N2871">
        <f t="shared" si="268"/>
        <v>0</v>
      </c>
      <c r="O2871">
        <f t="shared" si="269"/>
        <v>0</v>
      </c>
      <c r="P2871">
        <f t="shared" si="266"/>
        <v>5300</v>
      </c>
      <c r="Q2871">
        <f t="shared" si="270"/>
        <v>5300</v>
      </c>
      <c r="T2871" s="16">
        <f t="shared" si="271"/>
        <v>0.85829322328818036</v>
      </c>
    </row>
    <row r="2872" spans="7:20" ht="14.4" x14ac:dyDescent="0.25">
      <c r="G2872" s="10">
        <v>2943</v>
      </c>
      <c r="H2872" s="9">
        <v>21319</v>
      </c>
      <c r="I2872" s="14">
        <f>DATE(2012,12,31)-977</f>
        <v>40297</v>
      </c>
      <c r="J2872" s="15" t="s">
        <v>16</v>
      </c>
      <c r="K2872" s="9">
        <v>5</v>
      </c>
      <c r="L2872" s="16" t="s">
        <v>27</v>
      </c>
      <c r="M2872" s="16">
        <f t="shared" si="267"/>
        <v>-1.4206794051461267</v>
      </c>
      <c r="N2872">
        <f t="shared" si="268"/>
        <v>0</v>
      </c>
      <c r="O2872">
        <f t="shared" si="269"/>
        <v>0</v>
      </c>
      <c r="P2872">
        <f t="shared" si="266"/>
        <v>3650</v>
      </c>
      <c r="Q2872">
        <f t="shared" si="270"/>
        <v>3650</v>
      </c>
      <c r="T2872" s="16">
        <f t="shared" si="271"/>
        <v>-1.4206794051461269</v>
      </c>
    </row>
    <row r="2873" spans="7:20" ht="14.4" x14ac:dyDescent="0.25">
      <c r="G2873" s="10">
        <v>2947</v>
      </c>
      <c r="H2873" s="9">
        <v>21344</v>
      </c>
      <c r="I2873" s="14">
        <f>DATE(2012,12,31)-22</f>
        <v>41252</v>
      </c>
      <c r="J2873" s="15" t="s">
        <v>25</v>
      </c>
      <c r="K2873" s="9">
        <v>48</v>
      </c>
      <c r="L2873" s="16" t="s">
        <v>29</v>
      </c>
      <c r="M2873" s="16">
        <f t="shared" si="267"/>
        <v>1.5488909894803951</v>
      </c>
      <c r="N2873">
        <f t="shared" si="268"/>
        <v>0</v>
      </c>
      <c r="O2873">
        <f t="shared" si="269"/>
        <v>0</v>
      </c>
      <c r="P2873">
        <f t="shared" si="266"/>
        <v>5800</v>
      </c>
      <c r="Q2873">
        <f t="shared" si="270"/>
        <v>5800</v>
      </c>
      <c r="T2873" s="16">
        <f t="shared" si="271"/>
        <v>1.5488909894803948</v>
      </c>
    </row>
    <row r="2874" spans="7:20" ht="14.4" x14ac:dyDescent="0.25">
      <c r="G2874" s="10">
        <v>2980</v>
      </c>
      <c r="H2874" s="9">
        <v>21538</v>
      </c>
      <c r="I2874" s="14">
        <f>DATE(2012,12,31)-1253</f>
        <v>40021</v>
      </c>
      <c r="J2874" s="15" t="s">
        <v>16</v>
      </c>
      <c r="K2874" s="9">
        <v>31</v>
      </c>
      <c r="L2874" s="16" t="s">
        <v>26</v>
      </c>
      <c r="M2874" s="16">
        <f t="shared" si="267"/>
        <v>0.37487478695363075</v>
      </c>
      <c r="N2874">
        <f t="shared" si="268"/>
        <v>0</v>
      </c>
      <c r="O2874">
        <f t="shared" si="269"/>
        <v>0</v>
      </c>
      <c r="P2874">
        <f t="shared" si="266"/>
        <v>4950</v>
      </c>
      <c r="Q2874">
        <f t="shared" si="270"/>
        <v>4950</v>
      </c>
      <c r="T2874" s="16">
        <f t="shared" si="271"/>
        <v>0.37487478695363036</v>
      </c>
    </row>
    <row r="2875" spans="7:20" ht="14.4" x14ac:dyDescent="0.25">
      <c r="G2875" s="10">
        <v>2990</v>
      </c>
      <c r="H2875" s="9">
        <v>21574</v>
      </c>
      <c r="I2875" s="14">
        <f>DATE(2012,12,31)-1081</f>
        <v>40193</v>
      </c>
      <c r="J2875" s="15" t="s">
        <v>30</v>
      </c>
      <c r="K2875" s="9">
        <v>33</v>
      </c>
      <c r="L2875" s="16" t="s">
        <v>27</v>
      </c>
      <c r="M2875" s="16">
        <f t="shared" si="267"/>
        <v>0.51299434019207357</v>
      </c>
      <c r="N2875">
        <f t="shared" si="268"/>
        <v>0</v>
      </c>
      <c r="O2875">
        <f t="shared" si="269"/>
        <v>0</v>
      </c>
      <c r="P2875">
        <f t="shared" si="266"/>
        <v>5050</v>
      </c>
      <c r="Q2875">
        <f t="shared" si="270"/>
        <v>5050</v>
      </c>
      <c r="T2875" s="16">
        <f t="shared" si="271"/>
        <v>0.51299434019207324</v>
      </c>
    </row>
    <row r="2876" spans="7:20" ht="14.4" x14ac:dyDescent="0.25">
      <c r="G2876" s="10">
        <v>3102</v>
      </c>
      <c r="H2876" s="9">
        <v>22242</v>
      </c>
      <c r="I2876" s="14">
        <f>DATE(2012,12,31)-1295</f>
        <v>39979</v>
      </c>
      <c r="J2876" s="15" t="s">
        <v>28</v>
      </c>
      <c r="K2876" s="9">
        <v>50</v>
      </c>
      <c r="L2876" s="16" t="s">
        <v>26</v>
      </c>
      <c r="M2876" s="16">
        <f t="shared" si="267"/>
        <v>1.687010542718838</v>
      </c>
      <c r="N2876">
        <f t="shared" si="268"/>
        <v>0</v>
      </c>
      <c r="O2876">
        <f t="shared" si="269"/>
        <v>0</v>
      </c>
      <c r="P2876">
        <f t="shared" si="266"/>
        <v>5900</v>
      </c>
      <c r="Q2876">
        <f t="shared" si="270"/>
        <v>5900</v>
      </c>
      <c r="T2876" s="16">
        <f t="shared" si="271"/>
        <v>1.6870105427188375</v>
      </c>
    </row>
    <row r="2877" spans="7:20" ht="14.4" x14ac:dyDescent="0.25">
      <c r="G2877" s="10">
        <v>3215</v>
      </c>
      <c r="H2877" s="9">
        <v>23078</v>
      </c>
      <c r="I2877" s="14">
        <f>DATE(2012,12,31)-473</f>
        <v>40801</v>
      </c>
      <c r="J2877" s="15" t="s">
        <v>16</v>
      </c>
      <c r="K2877" s="9">
        <v>8</v>
      </c>
      <c r="L2877" s="16" t="s">
        <v>26</v>
      </c>
      <c r="M2877" s="16">
        <f t="shared" si="267"/>
        <v>-1.2135000752884624</v>
      </c>
      <c r="N2877">
        <f t="shared" si="268"/>
        <v>0</v>
      </c>
      <c r="O2877">
        <f t="shared" si="269"/>
        <v>0</v>
      </c>
      <c r="P2877">
        <f t="shared" si="266"/>
        <v>3800</v>
      </c>
      <c r="Q2877">
        <f t="shared" si="270"/>
        <v>3800</v>
      </c>
      <c r="T2877" s="16">
        <f t="shared" si="271"/>
        <v>-1.2135000752884626</v>
      </c>
    </row>
    <row r="2878" spans="7:20" ht="14.4" x14ac:dyDescent="0.25">
      <c r="G2878" s="10">
        <v>3250</v>
      </c>
      <c r="H2878" s="9">
        <v>23271</v>
      </c>
      <c r="I2878" s="14">
        <f>DATE(2012,12,31)-789</f>
        <v>40485</v>
      </c>
      <c r="J2878" s="15" t="s">
        <v>17</v>
      </c>
      <c r="K2878" s="9">
        <v>1</v>
      </c>
      <c r="L2878" s="16" t="s">
        <v>27</v>
      </c>
      <c r="M2878" s="16">
        <f t="shared" si="267"/>
        <v>-1.6969185116230123</v>
      </c>
      <c r="N2878">
        <f t="shared" si="268"/>
        <v>0</v>
      </c>
      <c r="O2878">
        <f t="shared" si="269"/>
        <v>0</v>
      </c>
      <c r="P2878">
        <f t="shared" si="266"/>
        <v>3450</v>
      </c>
      <c r="Q2878">
        <f t="shared" si="270"/>
        <v>3450</v>
      </c>
      <c r="T2878" s="16">
        <f t="shared" si="271"/>
        <v>-1.6969185116230128</v>
      </c>
    </row>
    <row r="2879" spans="7:20" ht="14.4" x14ac:dyDescent="0.25">
      <c r="G2879" s="10">
        <v>3280</v>
      </c>
      <c r="H2879" s="9">
        <v>23428</v>
      </c>
      <c r="I2879" s="14">
        <f>DATE(2012,12,31)-64</f>
        <v>41210</v>
      </c>
      <c r="J2879" s="15" t="s">
        <v>17</v>
      </c>
      <c r="K2879" s="9">
        <v>41</v>
      </c>
      <c r="L2879" s="16" t="s">
        <v>26</v>
      </c>
      <c r="M2879" s="16">
        <f t="shared" si="267"/>
        <v>1.0654725531458451</v>
      </c>
      <c r="N2879">
        <f t="shared" si="268"/>
        <v>0</v>
      </c>
      <c r="O2879">
        <f t="shared" si="269"/>
        <v>0</v>
      </c>
      <c r="P2879">
        <f t="shared" si="266"/>
        <v>5450</v>
      </c>
      <c r="Q2879">
        <f t="shared" si="270"/>
        <v>5450</v>
      </c>
      <c r="T2879" s="16">
        <f t="shared" si="271"/>
        <v>1.0654725531458447</v>
      </c>
    </row>
    <row r="2880" spans="7:20" ht="14.4" x14ac:dyDescent="0.25">
      <c r="G2880" s="10">
        <v>3307</v>
      </c>
      <c r="H2880" s="9">
        <v>23619</v>
      </c>
      <c r="I2880" s="14">
        <f>DATE(2012,12,31)-10</f>
        <v>41264</v>
      </c>
      <c r="J2880" s="15" t="s">
        <v>16</v>
      </c>
      <c r="K2880" s="9">
        <v>45</v>
      </c>
      <c r="L2880" s="16" t="s">
        <v>29</v>
      </c>
      <c r="M2880" s="16">
        <f t="shared" si="267"/>
        <v>1.3417116596227308</v>
      </c>
      <c r="N2880">
        <f t="shared" si="268"/>
        <v>0</v>
      </c>
      <c r="O2880">
        <f t="shared" si="269"/>
        <v>0</v>
      </c>
      <c r="P2880">
        <f t="shared" si="266"/>
        <v>5650</v>
      </c>
      <c r="Q2880">
        <f t="shared" si="270"/>
        <v>5650</v>
      </c>
      <c r="T2880" s="16">
        <f t="shared" si="271"/>
        <v>1.3417116596227305</v>
      </c>
    </row>
    <row r="2881" spans="7:20" ht="14.4" x14ac:dyDescent="0.25">
      <c r="G2881" s="10">
        <v>3308</v>
      </c>
      <c r="H2881" s="9">
        <v>23619</v>
      </c>
      <c r="I2881" s="14">
        <f>DATE(2012,12,31)-10</f>
        <v>41264</v>
      </c>
      <c r="J2881" s="15" t="s">
        <v>16</v>
      </c>
      <c r="K2881" s="9">
        <v>48</v>
      </c>
      <c r="L2881" s="16" t="s">
        <v>27</v>
      </c>
      <c r="M2881" s="16">
        <f t="shared" si="267"/>
        <v>1.5488909894803951</v>
      </c>
      <c r="N2881">
        <f t="shared" si="268"/>
        <v>0</v>
      </c>
      <c r="O2881">
        <f t="shared" si="269"/>
        <v>0</v>
      </c>
      <c r="P2881">
        <f t="shared" si="266"/>
        <v>5800</v>
      </c>
      <c r="Q2881">
        <f t="shared" si="270"/>
        <v>5800</v>
      </c>
      <c r="T2881" s="16">
        <f t="shared" si="271"/>
        <v>1.5488909894803948</v>
      </c>
    </row>
    <row r="2882" spans="7:20" ht="14.4" x14ac:dyDescent="0.25">
      <c r="G2882" s="10">
        <v>3364</v>
      </c>
      <c r="H2882" s="9">
        <v>24067</v>
      </c>
      <c r="I2882" s="14">
        <f>DATE(2012,12,31)-131</f>
        <v>41143</v>
      </c>
      <c r="J2882" s="15" t="s">
        <v>17</v>
      </c>
      <c r="K2882" s="9">
        <v>30</v>
      </c>
      <c r="L2882" s="16" t="s">
        <v>26</v>
      </c>
      <c r="M2882" s="16">
        <f t="shared" si="267"/>
        <v>0.30581501033440933</v>
      </c>
      <c r="N2882">
        <f t="shared" si="268"/>
        <v>0</v>
      </c>
      <c r="O2882">
        <f t="shared" si="269"/>
        <v>0</v>
      </c>
      <c r="P2882">
        <f t="shared" si="266"/>
        <v>4900</v>
      </c>
      <c r="Q2882">
        <f t="shared" si="270"/>
        <v>4900</v>
      </c>
      <c r="T2882" s="16">
        <f t="shared" si="271"/>
        <v>0.30581501033440894</v>
      </c>
    </row>
    <row r="2883" spans="7:20" ht="14.4" x14ac:dyDescent="0.25">
      <c r="G2883" s="10">
        <v>3524</v>
      </c>
      <c r="H2883" s="9">
        <v>25092</v>
      </c>
      <c r="I2883" s="14">
        <f>DATE(2012,12,31)-761</f>
        <v>40513</v>
      </c>
      <c r="J2883" s="15" t="s">
        <v>17</v>
      </c>
      <c r="K2883" s="9">
        <v>6</v>
      </c>
      <c r="L2883" s="16" t="s">
        <v>26</v>
      </c>
      <c r="M2883" s="16">
        <f t="shared" si="267"/>
        <v>-1.3516196285269051</v>
      </c>
      <c r="N2883">
        <f t="shared" si="268"/>
        <v>0</v>
      </c>
      <c r="O2883">
        <f t="shared" si="269"/>
        <v>0</v>
      </c>
      <c r="P2883">
        <f t="shared" si="266"/>
        <v>3700</v>
      </c>
      <c r="Q2883">
        <f t="shared" si="270"/>
        <v>3700</v>
      </c>
      <c r="T2883" s="16">
        <f t="shared" si="271"/>
        <v>-1.3516196285269055</v>
      </c>
    </row>
    <row r="2884" spans="7:20" ht="14.4" x14ac:dyDescent="0.25">
      <c r="G2884" s="10">
        <v>3525</v>
      </c>
      <c r="H2884" s="9">
        <v>25092</v>
      </c>
      <c r="I2884" s="14">
        <f>DATE(2012,12,31)-761</f>
        <v>40513</v>
      </c>
      <c r="J2884" s="15" t="s">
        <v>17</v>
      </c>
      <c r="K2884" s="9">
        <v>9</v>
      </c>
      <c r="L2884" s="16" t="s">
        <v>26</v>
      </c>
      <c r="M2884" s="16">
        <f t="shared" si="267"/>
        <v>-1.1444402986692408</v>
      </c>
      <c r="N2884">
        <f t="shared" si="268"/>
        <v>0</v>
      </c>
      <c r="O2884">
        <f t="shared" si="269"/>
        <v>0</v>
      </c>
      <c r="P2884">
        <f t="shared" si="266"/>
        <v>3850</v>
      </c>
      <c r="Q2884">
        <f t="shared" si="270"/>
        <v>3850</v>
      </c>
      <c r="T2884" s="16">
        <f t="shared" si="271"/>
        <v>-1.1444402986692412</v>
      </c>
    </row>
    <row r="2885" spans="7:20" ht="14.4" x14ac:dyDescent="0.25">
      <c r="G2885" s="10">
        <v>3546</v>
      </c>
      <c r="H2885" s="9">
        <v>25280</v>
      </c>
      <c r="I2885" s="14">
        <f>DATE(2012,12,31)-590</f>
        <v>40684</v>
      </c>
      <c r="J2885" s="15" t="s">
        <v>28</v>
      </c>
      <c r="K2885" s="9">
        <v>47</v>
      </c>
      <c r="L2885" s="16" t="s">
        <v>26</v>
      </c>
      <c r="M2885" s="16">
        <f t="shared" si="267"/>
        <v>1.4798312128611737</v>
      </c>
      <c r="N2885">
        <f t="shared" si="268"/>
        <v>0</v>
      </c>
      <c r="O2885">
        <f t="shared" si="269"/>
        <v>0</v>
      </c>
      <c r="P2885">
        <f t="shared" si="266"/>
        <v>5750</v>
      </c>
      <c r="Q2885">
        <f t="shared" si="270"/>
        <v>5750</v>
      </c>
      <c r="T2885" s="16">
        <f t="shared" si="271"/>
        <v>1.4798312128611733</v>
      </c>
    </row>
    <row r="2886" spans="7:20" ht="14.4" x14ac:dyDescent="0.25">
      <c r="G2886" s="10">
        <v>3565</v>
      </c>
      <c r="H2886" s="9">
        <v>25442</v>
      </c>
      <c r="I2886" s="14">
        <f>DATE(2012,12,31)-361</f>
        <v>40913</v>
      </c>
      <c r="J2886" s="15" t="s">
        <v>17</v>
      </c>
      <c r="K2886" s="9">
        <v>40</v>
      </c>
      <c r="L2886" s="16" t="s">
        <v>26</v>
      </c>
      <c r="M2886" s="16">
        <f t="shared" si="267"/>
        <v>0.99641277652662363</v>
      </c>
      <c r="N2886">
        <f t="shared" si="268"/>
        <v>0</v>
      </c>
      <c r="O2886">
        <f t="shared" si="269"/>
        <v>0</v>
      </c>
      <c r="P2886">
        <f t="shared" si="266"/>
        <v>5400</v>
      </c>
      <c r="Q2886">
        <f t="shared" si="270"/>
        <v>5400</v>
      </c>
      <c r="T2886" s="16">
        <f t="shared" si="271"/>
        <v>0.9964127765266233</v>
      </c>
    </row>
    <row r="2887" spans="7:20" ht="14.4" x14ac:dyDescent="0.25">
      <c r="G2887" s="10">
        <v>3599</v>
      </c>
      <c r="H2887" s="9">
        <v>25666</v>
      </c>
      <c r="I2887" s="14">
        <f>DATE(2012,12,31)-120</f>
        <v>41154</v>
      </c>
      <c r="J2887" s="15" t="s">
        <v>30</v>
      </c>
      <c r="K2887" s="9">
        <v>36</v>
      </c>
      <c r="L2887" s="16" t="s">
        <v>26</v>
      </c>
      <c r="M2887" s="16">
        <f t="shared" si="267"/>
        <v>0.72017367004973787</v>
      </c>
      <c r="N2887">
        <f t="shared" si="268"/>
        <v>0</v>
      </c>
      <c r="O2887">
        <f t="shared" si="269"/>
        <v>0</v>
      </c>
      <c r="P2887">
        <f t="shared" si="266"/>
        <v>5200</v>
      </c>
      <c r="Q2887">
        <f t="shared" si="270"/>
        <v>5200</v>
      </c>
      <c r="T2887" s="16">
        <f t="shared" si="271"/>
        <v>0.72017367004973754</v>
      </c>
    </row>
    <row r="2888" spans="7:20" ht="14.4" x14ac:dyDescent="0.25">
      <c r="G2888" s="10">
        <v>3600</v>
      </c>
      <c r="H2888" s="9">
        <v>25669</v>
      </c>
      <c r="I2888" s="14">
        <f>DATE(2012,12,31)-715</f>
        <v>40559</v>
      </c>
      <c r="J2888" s="15" t="s">
        <v>30</v>
      </c>
      <c r="K2888" s="9">
        <v>12</v>
      </c>
      <c r="L2888" s="16" t="s">
        <v>26</v>
      </c>
      <c r="M2888" s="16">
        <f t="shared" si="267"/>
        <v>-0.9372609688115765</v>
      </c>
      <c r="N2888">
        <f t="shared" si="268"/>
        <v>0</v>
      </c>
      <c r="O2888">
        <f t="shared" si="269"/>
        <v>0</v>
      </c>
      <c r="P2888">
        <f t="shared" si="266"/>
        <v>4000</v>
      </c>
      <c r="Q2888">
        <f t="shared" si="270"/>
        <v>4000</v>
      </c>
      <c r="T2888" s="16">
        <f t="shared" si="271"/>
        <v>-0.93726096881157694</v>
      </c>
    </row>
    <row r="2889" spans="7:20" ht="14.4" x14ac:dyDescent="0.25">
      <c r="G2889" s="10">
        <v>3669</v>
      </c>
      <c r="H2889" s="9">
        <v>26276</v>
      </c>
      <c r="I2889" s="14">
        <f>DATE(2012,12,31)-841</f>
        <v>40433</v>
      </c>
      <c r="J2889" s="15" t="s">
        <v>25</v>
      </c>
      <c r="K2889" s="9">
        <v>21</v>
      </c>
      <c r="L2889" s="16" t="s">
        <v>29</v>
      </c>
      <c r="M2889" s="16">
        <f t="shared" si="267"/>
        <v>-0.31572297923858361</v>
      </c>
      <c r="N2889">
        <f t="shared" si="268"/>
        <v>0</v>
      </c>
      <c r="O2889">
        <f t="shared" si="269"/>
        <v>0</v>
      </c>
      <c r="P2889">
        <f t="shared" si="266"/>
        <v>4450</v>
      </c>
      <c r="Q2889">
        <f t="shared" si="270"/>
        <v>4450</v>
      </c>
      <c r="T2889" s="16">
        <f t="shared" si="271"/>
        <v>-0.315722979238584</v>
      </c>
    </row>
    <row r="2890" spans="7:20" ht="14.4" x14ac:dyDescent="0.25">
      <c r="G2890" s="10">
        <v>3766</v>
      </c>
      <c r="H2890" s="9">
        <v>26912</v>
      </c>
      <c r="I2890" s="14">
        <f>DATE(2012,12,31)-248</f>
        <v>41026</v>
      </c>
      <c r="J2890" s="15" t="s">
        <v>25</v>
      </c>
      <c r="K2890" s="9">
        <v>21</v>
      </c>
      <c r="L2890" s="16" t="s">
        <v>27</v>
      </c>
      <c r="M2890" s="16">
        <f t="shared" si="267"/>
        <v>-0.31572297923858361</v>
      </c>
      <c r="N2890">
        <f t="shared" si="268"/>
        <v>0</v>
      </c>
      <c r="O2890">
        <f t="shared" si="269"/>
        <v>0</v>
      </c>
      <c r="P2890">
        <f t="shared" si="266"/>
        <v>4450</v>
      </c>
      <c r="Q2890">
        <f t="shared" si="270"/>
        <v>4450</v>
      </c>
      <c r="T2890" s="16">
        <f t="shared" si="271"/>
        <v>-0.315722979238584</v>
      </c>
    </row>
    <row r="2891" spans="7:20" ht="14.4" x14ac:dyDescent="0.25">
      <c r="G2891" s="10">
        <v>3809</v>
      </c>
      <c r="H2891" s="9">
        <v>27137</v>
      </c>
      <c r="I2891" s="14">
        <f>DATE(2012,12,31)-366</f>
        <v>40908</v>
      </c>
      <c r="J2891" s="15" t="s">
        <v>17</v>
      </c>
      <c r="K2891" s="9">
        <v>2</v>
      </c>
      <c r="L2891" s="16" t="s">
        <v>27</v>
      </c>
      <c r="M2891" s="16">
        <f t="shared" si="267"/>
        <v>-1.627858735003791</v>
      </c>
      <c r="N2891">
        <f t="shared" si="268"/>
        <v>0</v>
      </c>
      <c r="O2891">
        <f t="shared" si="269"/>
        <v>0</v>
      </c>
      <c r="P2891">
        <f t="shared" si="266"/>
        <v>3500</v>
      </c>
      <c r="Q2891">
        <f t="shared" si="270"/>
        <v>3500</v>
      </c>
      <c r="T2891" s="16">
        <f t="shared" si="271"/>
        <v>-1.6278587350037912</v>
      </c>
    </row>
    <row r="2892" spans="7:20" ht="14.4" x14ac:dyDescent="0.25">
      <c r="G2892" s="10">
        <v>3836</v>
      </c>
      <c r="H2892" s="9">
        <v>27335</v>
      </c>
      <c r="I2892" s="14">
        <f>DATE(2012,12,31)-786</f>
        <v>40488</v>
      </c>
      <c r="J2892" s="15" t="s">
        <v>25</v>
      </c>
      <c r="K2892" s="9">
        <v>23</v>
      </c>
      <c r="L2892" s="16" t="s">
        <v>26</v>
      </c>
      <c r="M2892" s="16">
        <f t="shared" si="267"/>
        <v>-0.17760342600014073</v>
      </c>
      <c r="N2892">
        <f t="shared" si="268"/>
        <v>0</v>
      </c>
      <c r="O2892">
        <f t="shared" si="269"/>
        <v>0</v>
      </c>
      <c r="P2892">
        <f t="shared" ref="P2892:P2955" si="272">50*K2892+$P$10</f>
        <v>4550</v>
      </c>
      <c r="Q2892">
        <f t="shared" si="270"/>
        <v>4550</v>
      </c>
      <c r="T2892" s="16">
        <f t="shared" si="271"/>
        <v>-0.17760342600014112</v>
      </c>
    </row>
    <row r="2893" spans="7:20" ht="14.4" x14ac:dyDescent="0.25">
      <c r="G2893" s="10">
        <v>3846</v>
      </c>
      <c r="H2893" s="9">
        <v>27430</v>
      </c>
      <c r="I2893" s="14">
        <f>DATE(2012,12,31)-700</f>
        <v>40574</v>
      </c>
      <c r="J2893" s="15" t="s">
        <v>17</v>
      </c>
      <c r="K2893" s="9">
        <v>3</v>
      </c>
      <c r="L2893" s="16" t="s">
        <v>29</v>
      </c>
      <c r="M2893" s="16">
        <f t="shared" ref="M2893:M2956" si="273">(K2893-$K$4)/$K$7</f>
        <v>-1.5587989583845694</v>
      </c>
      <c r="N2893">
        <f t="shared" ref="N2893:N2956" si="274">IF(MOD($B$20+G2893,1000)=0,1,0)</f>
        <v>0</v>
      </c>
      <c r="O2893">
        <f t="shared" ref="O2893:O2956" si="275">+ROUND(N2893*(IF(K2893&lt;$K$4,-4.5,10.5)*$P$5),-2)</f>
        <v>0</v>
      </c>
      <c r="P2893">
        <f t="shared" si="272"/>
        <v>3550</v>
      </c>
      <c r="Q2893">
        <f t="shared" ref="Q2893:Q2956" si="276">P2893+O2893</f>
        <v>3550</v>
      </c>
      <c r="T2893" s="16">
        <f t="shared" ref="T2893:T2956" si="277">(Q2893-$P$4)/$P$5</f>
        <v>-1.5587989583845698</v>
      </c>
    </row>
    <row r="2894" spans="7:20" ht="14.4" x14ac:dyDescent="0.25">
      <c r="G2894" s="10">
        <v>3866</v>
      </c>
      <c r="H2894" s="9">
        <v>27559</v>
      </c>
      <c r="I2894" s="14">
        <f>DATE(2012,12,31)-428</f>
        <v>40846</v>
      </c>
      <c r="J2894" s="15" t="s">
        <v>17</v>
      </c>
      <c r="K2894" s="9">
        <v>38</v>
      </c>
      <c r="L2894" s="16" t="s">
        <v>26</v>
      </c>
      <c r="M2894" s="16">
        <f t="shared" si="273"/>
        <v>0.85829322328818081</v>
      </c>
      <c r="N2894">
        <f t="shared" si="274"/>
        <v>0</v>
      </c>
      <c r="O2894">
        <f t="shared" si="275"/>
        <v>0</v>
      </c>
      <c r="P2894">
        <f t="shared" si="272"/>
        <v>5300</v>
      </c>
      <c r="Q2894">
        <f t="shared" si="276"/>
        <v>5300</v>
      </c>
      <c r="T2894" s="16">
        <f t="shared" si="277"/>
        <v>0.85829322328818036</v>
      </c>
    </row>
    <row r="2895" spans="7:20" ht="14.4" x14ac:dyDescent="0.25">
      <c r="G2895" s="10">
        <v>4195</v>
      </c>
      <c r="H2895" s="9">
        <v>29797</v>
      </c>
      <c r="I2895" s="14">
        <f>DATE(2012,12,31)-919</f>
        <v>40355</v>
      </c>
      <c r="J2895" s="15" t="s">
        <v>17</v>
      </c>
      <c r="K2895" s="9">
        <v>50</v>
      </c>
      <c r="L2895" s="16" t="s">
        <v>29</v>
      </c>
      <c r="M2895" s="16">
        <f t="shared" si="273"/>
        <v>1.687010542718838</v>
      </c>
      <c r="N2895">
        <f t="shared" si="274"/>
        <v>0</v>
      </c>
      <c r="O2895">
        <f t="shared" si="275"/>
        <v>0</v>
      </c>
      <c r="P2895">
        <f t="shared" si="272"/>
        <v>5900</v>
      </c>
      <c r="Q2895">
        <f t="shared" si="276"/>
        <v>5900</v>
      </c>
      <c r="T2895" s="16">
        <f t="shared" si="277"/>
        <v>1.6870105427188375</v>
      </c>
    </row>
    <row r="2896" spans="7:20" ht="14.4" x14ac:dyDescent="0.25">
      <c r="G2896" s="10">
        <v>4227</v>
      </c>
      <c r="H2896" s="9">
        <v>30023</v>
      </c>
      <c r="I2896" s="14">
        <f>DATE(2012,12,31)-808</f>
        <v>40466</v>
      </c>
      <c r="J2896" s="15" t="s">
        <v>25</v>
      </c>
      <c r="K2896" s="9">
        <v>28</v>
      </c>
      <c r="L2896" s="16" t="s">
        <v>27</v>
      </c>
      <c r="M2896" s="16">
        <f t="shared" si="273"/>
        <v>0.16769545709596645</v>
      </c>
      <c r="N2896">
        <f t="shared" si="274"/>
        <v>0</v>
      </c>
      <c r="O2896">
        <f t="shared" si="275"/>
        <v>0</v>
      </c>
      <c r="P2896">
        <f t="shared" si="272"/>
        <v>4800</v>
      </c>
      <c r="Q2896">
        <f t="shared" si="276"/>
        <v>4800</v>
      </c>
      <c r="T2896" s="16">
        <f t="shared" si="277"/>
        <v>0.16769545709596606</v>
      </c>
    </row>
    <row r="2897" spans="7:20" ht="14.4" x14ac:dyDescent="0.25">
      <c r="G2897" s="10">
        <v>4445</v>
      </c>
      <c r="H2897" s="9">
        <v>31682</v>
      </c>
      <c r="I2897" s="14">
        <f>DATE(2012,12,31)-1028</f>
        <v>40246</v>
      </c>
      <c r="J2897" s="15" t="s">
        <v>25</v>
      </c>
      <c r="K2897" s="9">
        <v>42</v>
      </c>
      <c r="L2897" s="16" t="s">
        <v>26</v>
      </c>
      <c r="M2897" s="16">
        <f t="shared" si="273"/>
        <v>1.1345323297650665</v>
      </c>
      <c r="N2897">
        <f t="shared" si="274"/>
        <v>0</v>
      </c>
      <c r="O2897">
        <f t="shared" si="275"/>
        <v>0</v>
      </c>
      <c r="P2897">
        <f t="shared" si="272"/>
        <v>5500</v>
      </c>
      <c r="Q2897">
        <f t="shared" si="276"/>
        <v>5500</v>
      </c>
      <c r="T2897" s="16">
        <f t="shared" si="277"/>
        <v>1.1345323297650662</v>
      </c>
    </row>
    <row r="2898" spans="7:20" ht="14.4" x14ac:dyDescent="0.25">
      <c r="G2898" s="10">
        <v>4467</v>
      </c>
      <c r="H2898" s="9">
        <v>31845</v>
      </c>
      <c r="I2898" s="14">
        <f>DATE(2012,12,31)-70</f>
        <v>41204</v>
      </c>
      <c r="J2898" s="15" t="s">
        <v>25</v>
      </c>
      <c r="K2898" s="9">
        <v>36</v>
      </c>
      <c r="L2898" s="16" t="s">
        <v>26</v>
      </c>
      <c r="M2898" s="16">
        <f t="shared" si="273"/>
        <v>0.72017367004973787</v>
      </c>
      <c r="N2898">
        <f t="shared" si="274"/>
        <v>0</v>
      </c>
      <c r="O2898">
        <f t="shared" si="275"/>
        <v>0</v>
      </c>
      <c r="P2898">
        <f t="shared" si="272"/>
        <v>5200</v>
      </c>
      <c r="Q2898">
        <f t="shared" si="276"/>
        <v>5200</v>
      </c>
      <c r="T2898" s="16">
        <f t="shared" si="277"/>
        <v>0.72017367004973754</v>
      </c>
    </row>
    <row r="2899" spans="7:20" ht="14.4" x14ac:dyDescent="0.25">
      <c r="G2899" s="10">
        <v>4553</v>
      </c>
      <c r="H2899" s="9">
        <v>32389</v>
      </c>
      <c r="I2899" s="14">
        <f>DATE(2012,12,31)-792</f>
        <v>40482</v>
      </c>
      <c r="J2899" s="15" t="s">
        <v>16</v>
      </c>
      <c r="K2899" s="9">
        <v>23</v>
      </c>
      <c r="L2899" s="16" t="s">
        <v>27</v>
      </c>
      <c r="M2899" s="16">
        <f t="shared" si="273"/>
        <v>-0.17760342600014073</v>
      </c>
      <c r="N2899">
        <f t="shared" si="274"/>
        <v>0</v>
      </c>
      <c r="O2899">
        <f t="shared" si="275"/>
        <v>0</v>
      </c>
      <c r="P2899">
        <f t="shared" si="272"/>
        <v>4550</v>
      </c>
      <c r="Q2899">
        <f t="shared" si="276"/>
        <v>4550</v>
      </c>
      <c r="T2899" s="16">
        <f t="shared" si="277"/>
        <v>-0.17760342600014112</v>
      </c>
    </row>
    <row r="2900" spans="7:20" ht="14.4" x14ac:dyDescent="0.25">
      <c r="G2900" s="10">
        <v>4556</v>
      </c>
      <c r="H2900" s="9">
        <v>32420</v>
      </c>
      <c r="I2900" s="14">
        <f>DATE(2012,12,31)-1251</f>
        <v>40023</v>
      </c>
      <c r="J2900" s="15" t="s">
        <v>16</v>
      </c>
      <c r="K2900" s="9">
        <v>35</v>
      </c>
      <c r="L2900" s="16" t="s">
        <v>27</v>
      </c>
      <c r="M2900" s="16">
        <f t="shared" si="273"/>
        <v>0.65111389343051651</v>
      </c>
      <c r="N2900">
        <f t="shared" si="274"/>
        <v>0</v>
      </c>
      <c r="O2900">
        <f t="shared" si="275"/>
        <v>0</v>
      </c>
      <c r="P2900">
        <f t="shared" si="272"/>
        <v>5150</v>
      </c>
      <c r="Q2900">
        <f t="shared" si="276"/>
        <v>5150</v>
      </c>
      <c r="T2900" s="16">
        <f t="shared" si="277"/>
        <v>0.65111389343051607</v>
      </c>
    </row>
    <row r="2901" spans="7:20" ht="14.4" x14ac:dyDescent="0.25">
      <c r="G2901" s="10">
        <v>4732</v>
      </c>
      <c r="H2901" s="9">
        <v>33699</v>
      </c>
      <c r="I2901" s="14">
        <f>DATE(2012,12,31)-1254</f>
        <v>40020</v>
      </c>
      <c r="J2901" s="15" t="s">
        <v>25</v>
      </c>
      <c r="K2901" s="9">
        <v>18</v>
      </c>
      <c r="L2901" s="16" t="s">
        <v>26</v>
      </c>
      <c r="M2901" s="16">
        <f t="shared" si="273"/>
        <v>-0.52290230909624791</v>
      </c>
      <c r="N2901">
        <f t="shared" si="274"/>
        <v>0</v>
      </c>
      <c r="O2901">
        <f t="shared" si="275"/>
        <v>0</v>
      </c>
      <c r="P2901">
        <f t="shared" si="272"/>
        <v>4300</v>
      </c>
      <c r="Q2901">
        <f t="shared" si="276"/>
        <v>4300</v>
      </c>
      <c r="T2901" s="16">
        <f t="shared" si="277"/>
        <v>-0.52290230909624835</v>
      </c>
    </row>
    <row r="2902" spans="7:20" ht="14.4" x14ac:dyDescent="0.25">
      <c r="G2902" s="10">
        <v>4734</v>
      </c>
      <c r="H2902" s="9">
        <v>33699</v>
      </c>
      <c r="I2902" s="14">
        <f>DATE(2012,12,31)-1254</f>
        <v>40020</v>
      </c>
      <c r="J2902" s="15" t="s">
        <v>25</v>
      </c>
      <c r="K2902" s="9">
        <v>31</v>
      </c>
      <c r="L2902" s="16" t="s">
        <v>26</v>
      </c>
      <c r="M2902" s="16">
        <f t="shared" si="273"/>
        <v>0.37487478695363075</v>
      </c>
      <c r="N2902">
        <f t="shared" si="274"/>
        <v>0</v>
      </c>
      <c r="O2902">
        <f t="shared" si="275"/>
        <v>0</v>
      </c>
      <c r="P2902">
        <f t="shared" si="272"/>
        <v>4950</v>
      </c>
      <c r="Q2902">
        <f t="shared" si="276"/>
        <v>4950</v>
      </c>
      <c r="T2902" s="16">
        <f t="shared" si="277"/>
        <v>0.37487478695363036</v>
      </c>
    </row>
    <row r="2903" spans="7:20" ht="14.4" x14ac:dyDescent="0.25">
      <c r="G2903" s="10">
        <v>4754</v>
      </c>
      <c r="H2903" s="9">
        <v>33797</v>
      </c>
      <c r="I2903" s="14">
        <f>DATE(2012,12,31)-1450</f>
        <v>39824</v>
      </c>
      <c r="J2903" s="15" t="s">
        <v>28</v>
      </c>
      <c r="K2903" s="9">
        <v>20</v>
      </c>
      <c r="L2903" s="16" t="s">
        <v>27</v>
      </c>
      <c r="M2903" s="16">
        <f t="shared" si="273"/>
        <v>-0.38478275585780503</v>
      </c>
      <c r="N2903">
        <f t="shared" si="274"/>
        <v>0</v>
      </c>
      <c r="O2903">
        <f t="shared" si="275"/>
        <v>0</v>
      </c>
      <c r="P2903">
        <f t="shared" si="272"/>
        <v>4400</v>
      </c>
      <c r="Q2903">
        <f t="shared" si="276"/>
        <v>4400</v>
      </c>
      <c r="T2903" s="16">
        <f t="shared" si="277"/>
        <v>-0.38478275585780541</v>
      </c>
    </row>
    <row r="2904" spans="7:20" ht="14.4" x14ac:dyDescent="0.25">
      <c r="G2904" s="10">
        <v>4755</v>
      </c>
      <c r="H2904" s="9">
        <v>33797</v>
      </c>
      <c r="I2904" s="14">
        <f>DATE(2012,12,31)-1450</f>
        <v>39824</v>
      </c>
      <c r="J2904" s="15" t="s">
        <v>28</v>
      </c>
      <c r="K2904" s="9">
        <v>44</v>
      </c>
      <c r="L2904" s="16" t="s">
        <v>29</v>
      </c>
      <c r="M2904" s="16">
        <f t="shared" si="273"/>
        <v>1.2726518830035094</v>
      </c>
      <c r="N2904">
        <f t="shared" si="274"/>
        <v>0</v>
      </c>
      <c r="O2904">
        <f t="shared" si="275"/>
        <v>0</v>
      </c>
      <c r="P2904">
        <f t="shared" si="272"/>
        <v>5600</v>
      </c>
      <c r="Q2904">
        <f t="shared" si="276"/>
        <v>5600</v>
      </c>
      <c r="T2904" s="16">
        <f t="shared" si="277"/>
        <v>1.272651883003509</v>
      </c>
    </row>
    <row r="2905" spans="7:20" ht="14.4" x14ac:dyDescent="0.25">
      <c r="G2905" s="10">
        <v>4756</v>
      </c>
      <c r="H2905" s="9">
        <v>33797</v>
      </c>
      <c r="I2905" s="14">
        <f>DATE(2012,12,31)-1450</f>
        <v>39824</v>
      </c>
      <c r="J2905" s="15" t="s">
        <v>28</v>
      </c>
      <c r="K2905" s="9">
        <v>18</v>
      </c>
      <c r="L2905" s="16" t="s">
        <v>26</v>
      </c>
      <c r="M2905" s="16">
        <f t="shared" si="273"/>
        <v>-0.52290230909624791</v>
      </c>
      <c r="N2905">
        <f t="shared" si="274"/>
        <v>0</v>
      </c>
      <c r="O2905">
        <f t="shared" si="275"/>
        <v>0</v>
      </c>
      <c r="P2905">
        <f t="shared" si="272"/>
        <v>4300</v>
      </c>
      <c r="Q2905">
        <f t="shared" si="276"/>
        <v>4300</v>
      </c>
      <c r="T2905" s="16">
        <f t="shared" si="277"/>
        <v>-0.52290230909624835</v>
      </c>
    </row>
    <row r="2906" spans="7:20" ht="14.4" x14ac:dyDescent="0.25">
      <c r="G2906" s="10">
        <v>4782</v>
      </c>
      <c r="H2906" s="9">
        <v>33958</v>
      </c>
      <c r="I2906" s="14">
        <f>DATE(2012,12,31)-698</f>
        <v>40576</v>
      </c>
      <c r="J2906" s="15" t="s">
        <v>30</v>
      </c>
      <c r="K2906" s="9">
        <v>27</v>
      </c>
      <c r="L2906" s="16" t="s">
        <v>27</v>
      </c>
      <c r="M2906" s="16">
        <f t="shared" si="273"/>
        <v>9.8635680476745008E-2</v>
      </c>
      <c r="N2906">
        <f t="shared" si="274"/>
        <v>0</v>
      </c>
      <c r="O2906">
        <f t="shared" si="275"/>
        <v>0</v>
      </c>
      <c r="P2906">
        <f t="shared" si="272"/>
        <v>4750</v>
      </c>
      <c r="Q2906">
        <f t="shared" si="276"/>
        <v>4750</v>
      </c>
      <c r="T2906" s="16">
        <f t="shared" si="277"/>
        <v>9.8635680476744619E-2</v>
      </c>
    </row>
    <row r="2907" spans="7:20" ht="14.4" x14ac:dyDescent="0.25">
      <c r="G2907" s="10">
        <v>4783</v>
      </c>
      <c r="H2907" s="9">
        <v>33958</v>
      </c>
      <c r="I2907" s="14">
        <f>DATE(2012,12,31)-698</f>
        <v>40576</v>
      </c>
      <c r="J2907" s="15" t="s">
        <v>30</v>
      </c>
      <c r="K2907" s="9">
        <v>14</v>
      </c>
      <c r="L2907" s="16" t="s">
        <v>26</v>
      </c>
      <c r="M2907" s="16">
        <f t="shared" si="273"/>
        <v>-0.79914141557313367</v>
      </c>
      <c r="N2907">
        <f t="shared" si="274"/>
        <v>0</v>
      </c>
      <c r="O2907">
        <f t="shared" si="275"/>
        <v>0</v>
      </c>
      <c r="P2907">
        <f t="shared" si="272"/>
        <v>4100</v>
      </c>
      <c r="Q2907">
        <f t="shared" si="276"/>
        <v>4100</v>
      </c>
      <c r="T2907" s="16">
        <f t="shared" si="277"/>
        <v>-0.79914141557313401</v>
      </c>
    </row>
    <row r="2908" spans="7:20" ht="14.4" x14ac:dyDescent="0.25">
      <c r="G2908" s="10">
        <v>5119</v>
      </c>
      <c r="H2908" s="9">
        <v>36454</v>
      </c>
      <c r="I2908" s="14">
        <f>DATE(2012,12,31)-682</f>
        <v>40592</v>
      </c>
      <c r="J2908" s="15" t="s">
        <v>30</v>
      </c>
      <c r="K2908" s="9">
        <v>8</v>
      </c>
      <c r="L2908" s="16" t="s">
        <v>26</v>
      </c>
      <c r="M2908" s="16">
        <f t="shared" si="273"/>
        <v>-1.2135000752884624</v>
      </c>
      <c r="N2908">
        <f t="shared" si="274"/>
        <v>0</v>
      </c>
      <c r="O2908">
        <f t="shared" si="275"/>
        <v>0</v>
      </c>
      <c r="P2908">
        <f t="shared" si="272"/>
        <v>3800</v>
      </c>
      <c r="Q2908">
        <f t="shared" si="276"/>
        <v>3800</v>
      </c>
      <c r="T2908" s="16">
        <f t="shared" si="277"/>
        <v>-1.2135000752884626</v>
      </c>
    </row>
    <row r="2909" spans="7:20" ht="14.4" x14ac:dyDescent="0.25">
      <c r="G2909" s="10">
        <v>5134</v>
      </c>
      <c r="H2909" s="9">
        <v>36609</v>
      </c>
      <c r="I2909" s="14">
        <f>DATE(2012,12,31)-1327</f>
        <v>39947</v>
      </c>
      <c r="J2909" s="15" t="s">
        <v>28</v>
      </c>
      <c r="K2909" s="9">
        <v>8</v>
      </c>
      <c r="L2909" s="16" t="s">
        <v>26</v>
      </c>
      <c r="M2909" s="16">
        <f t="shared" si="273"/>
        <v>-1.2135000752884624</v>
      </c>
      <c r="N2909">
        <f t="shared" si="274"/>
        <v>0</v>
      </c>
      <c r="O2909">
        <f t="shared" si="275"/>
        <v>0</v>
      </c>
      <c r="P2909">
        <f t="shared" si="272"/>
        <v>3800</v>
      </c>
      <c r="Q2909">
        <f t="shared" si="276"/>
        <v>3800</v>
      </c>
      <c r="T2909" s="16">
        <f t="shared" si="277"/>
        <v>-1.2135000752884626</v>
      </c>
    </row>
    <row r="2910" spans="7:20" ht="14.4" x14ac:dyDescent="0.25">
      <c r="G2910" s="10">
        <v>5170</v>
      </c>
      <c r="H2910" s="9">
        <v>36800</v>
      </c>
      <c r="I2910" s="14">
        <f>DATE(2012,12,31)-843</f>
        <v>40431</v>
      </c>
      <c r="J2910" s="15" t="s">
        <v>17</v>
      </c>
      <c r="K2910" s="9">
        <v>4</v>
      </c>
      <c r="L2910" s="16" t="s">
        <v>26</v>
      </c>
      <c r="M2910" s="16">
        <f t="shared" si="273"/>
        <v>-1.489739181765348</v>
      </c>
      <c r="N2910">
        <f t="shared" si="274"/>
        <v>0</v>
      </c>
      <c r="O2910">
        <f t="shared" si="275"/>
        <v>0</v>
      </c>
      <c r="P2910">
        <f t="shared" si="272"/>
        <v>3600</v>
      </c>
      <c r="Q2910">
        <f t="shared" si="276"/>
        <v>3600</v>
      </c>
      <c r="T2910" s="16">
        <f t="shared" si="277"/>
        <v>-1.4897391817653485</v>
      </c>
    </row>
    <row r="2911" spans="7:20" ht="14.4" x14ac:dyDescent="0.25">
      <c r="G2911" s="10">
        <v>5239</v>
      </c>
      <c r="H2911" s="9">
        <v>37287</v>
      </c>
      <c r="I2911" s="14">
        <f>DATE(2012,12,31)-60</f>
        <v>41214</v>
      </c>
      <c r="J2911" s="15" t="s">
        <v>25</v>
      </c>
      <c r="K2911" s="9">
        <v>18</v>
      </c>
      <c r="L2911" s="16" t="s">
        <v>29</v>
      </c>
      <c r="M2911" s="16">
        <f t="shared" si="273"/>
        <v>-0.52290230909624791</v>
      </c>
      <c r="N2911">
        <f t="shared" si="274"/>
        <v>0</v>
      </c>
      <c r="O2911">
        <f t="shared" si="275"/>
        <v>0</v>
      </c>
      <c r="P2911">
        <f t="shared" si="272"/>
        <v>4300</v>
      </c>
      <c r="Q2911">
        <f t="shared" si="276"/>
        <v>4300</v>
      </c>
      <c r="T2911" s="16">
        <f t="shared" si="277"/>
        <v>-0.52290230909624835</v>
      </c>
    </row>
    <row r="2912" spans="7:20" ht="14.4" x14ac:dyDescent="0.25">
      <c r="G2912" s="10">
        <v>5262</v>
      </c>
      <c r="H2912" s="9">
        <v>37443</v>
      </c>
      <c r="I2912" s="14">
        <f>DATE(2012,12,31)-991</f>
        <v>40283</v>
      </c>
      <c r="J2912" s="15" t="s">
        <v>28</v>
      </c>
      <c r="K2912" s="9">
        <v>50</v>
      </c>
      <c r="L2912" s="16" t="s">
        <v>26</v>
      </c>
      <c r="M2912" s="16">
        <f t="shared" si="273"/>
        <v>1.687010542718838</v>
      </c>
      <c r="N2912">
        <f t="shared" si="274"/>
        <v>0</v>
      </c>
      <c r="O2912">
        <f t="shared" si="275"/>
        <v>0</v>
      </c>
      <c r="P2912">
        <f t="shared" si="272"/>
        <v>5900</v>
      </c>
      <c r="Q2912">
        <f t="shared" si="276"/>
        <v>5900</v>
      </c>
      <c r="T2912" s="16">
        <f t="shared" si="277"/>
        <v>1.6870105427188375</v>
      </c>
    </row>
    <row r="2913" spans="7:20" ht="14.4" x14ac:dyDescent="0.25">
      <c r="G2913" s="10">
        <v>5311</v>
      </c>
      <c r="H2913" s="9">
        <v>37792</v>
      </c>
      <c r="I2913" s="14">
        <f>DATE(2012,12,31)-368</f>
        <v>40906</v>
      </c>
      <c r="J2913" s="15" t="s">
        <v>17</v>
      </c>
      <c r="K2913" s="9">
        <v>49</v>
      </c>
      <c r="L2913" s="16" t="s">
        <v>26</v>
      </c>
      <c r="M2913" s="16">
        <f t="shared" si="273"/>
        <v>1.6179507660996166</v>
      </c>
      <c r="N2913">
        <f t="shared" si="274"/>
        <v>0</v>
      </c>
      <c r="O2913">
        <f t="shared" si="275"/>
        <v>0</v>
      </c>
      <c r="P2913">
        <f t="shared" si="272"/>
        <v>5850</v>
      </c>
      <c r="Q2913">
        <f t="shared" si="276"/>
        <v>5850</v>
      </c>
      <c r="T2913" s="16">
        <f t="shared" si="277"/>
        <v>1.6179507660996162</v>
      </c>
    </row>
    <row r="2914" spans="7:20" ht="14.4" x14ac:dyDescent="0.25">
      <c r="G2914" s="10">
        <v>5321</v>
      </c>
      <c r="H2914" s="9">
        <v>37829</v>
      </c>
      <c r="I2914" s="14">
        <f>DATE(2012,12,31)-824</f>
        <v>40450</v>
      </c>
      <c r="J2914" s="15" t="s">
        <v>28</v>
      </c>
      <c r="K2914" s="9">
        <v>28</v>
      </c>
      <c r="L2914" s="16" t="s">
        <v>26</v>
      </c>
      <c r="M2914" s="16">
        <f t="shared" si="273"/>
        <v>0.16769545709596645</v>
      </c>
      <c r="N2914">
        <f t="shared" si="274"/>
        <v>0</v>
      </c>
      <c r="O2914">
        <f t="shared" si="275"/>
        <v>0</v>
      </c>
      <c r="P2914">
        <f t="shared" si="272"/>
        <v>4800</v>
      </c>
      <c r="Q2914">
        <f t="shared" si="276"/>
        <v>4800</v>
      </c>
      <c r="T2914" s="16">
        <f t="shared" si="277"/>
        <v>0.16769545709596606</v>
      </c>
    </row>
    <row r="2915" spans="7:20" ht="14.4" x14ac:dyDescent="0.25">
      <c r="G2915" s="10">
        <v>5361</v>
      </c>
      <c r="H2915" s="9">
        <v>38087</v>
      </c>
      <c r="I2915" s="14">
        <f>DATE(2012,12,31)-1409</f>
        <v>39865</v>
      </c>
      <c r="J2915" s="15" t="s">
        <v>30</v>
      </c>
      <c r="K2915" s="9">
        <v>18</v>
      </c>
      <c r="L2915" s="16" t="s">
        <v>27</v>
      </c>
      <c r="M2915" s="16">
        <f t="shared" si="273"/>
        <v>-0.52290230909624791</v>
      </c>
      <c r="N2915">
        <f t="shared" si="274"/>
        <v>0</v>
      </c>
      <c r="O2915">
        <f t="shared" si="275"/>
        <v>0</v>
      </c>
      <c r="P2915">
        <f t="shared" si="272"/>
        <v>4300</v>
      </c>
      <c r="Q2915">
        <f t="shared" si="276"/>
        <v>4300</v>
      </c>
      <c r="T2915" s="16">
        <f t="shared" si="277"/>
        <v>-0.52290230909624835</v>
      </c>
    </row>
    <row r="2916" spans="7:20" ht="14.4" x14ac:dyDescent="0.25">
      <c r="G2916" s="10">
        <v>5393</v>
      </c>
      <c r="H2916" s="9">
        <v>38341</v>
      </c>
      <c r="I2916" s="14">
        <f>DATE(2012,12,31)-1323</f>
        <v>39951</v>
      </c>
      <c r="J2916" s="15" t="s">
        <v>16</v>
      </c>
      <c r="K2916" s="9">
        <v>38</v>
      </c>
      <c r="L2916" s="16" t="s">
        <v>27</v>
      </c>
      <c r="M2916" s="16">
        <f t="shared" si="273"/>
        <v>0.85829322328818081</v>
      </c>
      <c r="N2916">
        <f t="shared" si="274"/>
        <v>0</v>
      </c>
      <c r="O2916">
        <f t="shared" si="275"/>
        <v>0</v>
      </c>
      <c r="P2916">
        <f t="shared" si="272"/>
        <v>5300</v>
      </c>
      <c r="Q2916">
        <f t="shared" si="276"/>
        <v>5300</v>
      </c>
      <c r="T2916" s="16">
        <f t="shared" si="277"/>
        <v>0.85829322328818036</v>
      </c>
    </row>
    <row r="2917" spans="7:20" ht="14.4" x14ac:dyDescent="0.25">
      <c r="G2917" s="10">
        <v>5436</v>
      </c>
      <c r="H2917" s="9">
        <v>38599</v>
      </c>
      <c r="I2917" s="14">
        <f>DATE(2012,12,31)-1162</f>
        <v>40112</v>
      </c>
      <c r="J2917" s="15" t="s">
        <v>17</v>
      </c>
      <c r="K2917" s="9">
        <v>27</v>
      </c>
      <c r="L2917" s="16" t="s">
        <v>26</v>
      </c>
      <c r="M2917" s="16">
        <f t="shared" si="273"/>
        <v>9.8635680476745008E-2</v>
      </c>
      <c r="N2917">
        <f t="shared" si="274"/>
        <v>0</v>
      </c>
      <c r="O2917">
        <f t="shared" si="275"/>
        <v>0</v>
      </c>
      <c r="P2917">
        <f t="shared" si="272"/>
        <v>4750</v>
      </c>
      <c r="Q2917">
        <f t="shared" si="276"/>
        <v>4750</v>
      </c>
      <c r="T2917" s="16">
        <f t="shared" si="277"/>
        <v>9.8635680476744619E-2</v>
      </c>
    </row>
    <row r="2918" spans="7:20" ht="14.4" x14ac:dyDescent="0.25">
      <c r="G2918" s="10">
        <v>5451</v>
      </c>
      <c r="H2918" s="9">
        <v>38721</v>
      </c>
      <c r="I2918" s="14">
        <f>DATE(2012,12,31)-1378</f>
        <v>39896</v>
      </c>
      <c r="J2918" s="15" t="s">
        <v>30</v>
      </c>
      <c r="K2918" s="9">
        <v>17</v>
      </c>
      <c r="L2918" s="16" t="s">
        <v>29</v>
      </c>
      <c r="M2918" s="16">
        <f t="shared" si="273"/>
        <v>-0.59196208571546938</v>
      </c>
      <c r="N2918">
        <f t="shared" si="274"/>
        <v>0</v>
      </c>
      <c r="O2918">
        <f t="shared" si="275"/>
        <v>0</v>
      </c>
      <c r="P2918">
        <f t="shared" si="272"/>
        <v>4250</v>
      </c>
      <c r="Q2918">
        <f t="shared" si="276"/>
        <v>4250</v>
      </c>
      <c r="T2918" s="16">
        <f t="shared" si="277"/>
        <v>-0.59196208571546971</v>
      </c>
    </row>
    <row r="2919" spans="7:20" ht="14.4" x14ac:dyDescent="0.25">
      <c r="G2919" s="10">
        <v>5452</v>
      </c>
      <c r="H2919" s="9">
        <v>38721</v>
      </c>
      <c r="I2919" s="14">
        <f>DATE(2012,12,31)-1378</f>
        <v>39896</v>
      </c>
      <c r="J2919" s="15" t="s">
        <v>30</v>
      </c>
      <c r="K2919" s="9">
        <v>15</v>
      </c>
      <c r="L2919" s="16" t="s">
        <v>26</v>
      </c>
      <c r="M2919" s="16">
        <f t="shared" si="273"/>
        <v>-0.7300816389539122</v>
      </c>
      <c r="N2919">
        <f t="shared" si="274"/>
        <v>0</v>
      </c>
      <c r="O2919">
        <f t="shared" si="275"/>
        <v>0</v>
      </c>
      <c r="P2919">
        <f t="shared" si="272"/>
        <v>4150</v>
      </c>
      <c r="Q2919">
        <f t="shared" si="276"/>
        <v>4150</v>
      </c>
      <c r="T2919" s="16">
        <f t="shared" si="277"/>
        <v>-0.73008163895391265</v>
      </c>
    </row>
    <row r="2920" spans="7:20" ht="14.4" x14ac:dyDescent="0.25">
      <c r="G2920" s="10">
        <v>5494</v>
      </c>
      <c r="H2920" s="9">
        <v>38976</v>
      </c>
      <c r="I2920" s="14">
        <f>DATE(2012,12,31)-737</f>
        <v>40537</v>
      </c>
      <c r="J2920" s="15" t="s">
        <v>30</v>
      </c>
      <c r="K2920" s="9">
        <v>16</v>
      </c>
      <c r="L2920" s="16" t="s">
        <v>27</v>
      </c>
      <c r="M2920" s="16">
        <f t="shared" si="273"/>
        <v>-0.66102186233469074</v>
      </c>
      <c r="N2920">
        <f t="shared" si="274"/>
        <v>0</v>
      </c>
      <c r="O2920">
        <f t="shared" si="275"/>
        <v>0</v>
      </c>
      <c r="P2920">
        <f t="shared" si="272"/>
        <v>4200</v>
      </c>
      <c r="Q2920">
        <f t="shared" si="276"/>
        <v>4200</v>
      </c>
      <c r="T2920" s="16">
        <f t="shared" si="277"/>
        <v>-0.66102186233469118</v>
      </c>
    </row>
    <row r="2921" spans="7:20" ht="14.4" x14ac:dyDescent="0.25">
      <c r="G2921" s="10">
        <v>5549</v>
      </c>
      <c r="H2921" s="9">
        <v>39300</v>
      </c>
      <c r="I2921" s="14">
        <f>DATE(2012,12,31)-253</f>
        <v>41021</v>
      </c>
      <c r="J2921" s="15" t="s">
        <v>17</v>
      </c>
      <c r="K2921" s="9">
        <v>9</v>
      </c>
      <c r="L2921" s="16" t="s">
        <v>26</v>
      </c>
      <c r="M2921" s="16">
        <f t="shared" si="273"/>
        <v>-1.1444402986692408</v>
      </c>
      <c r="N2921">
        <f t="shared" si="274"/>
        <v>0</v>
      </c>
      <c r="O2921">
        <f t="shared" si="275"/>
        <v>0</v>
      </c>
      <c r="P2921">
        <f t="shared" si="272"/>
        <v>3850</v>
      </c>
      <c r="Q2921">
        <f t="shared" si="276"/>
        <v>3850</v>
      </c>
      <c r="T2921" s="16">
        <f t="shared" si="277"/>
        <v>-1.1444402986692412</v>
      </c>
    </row>
    <row r="2922" spans="7:20" ht="14.4" x14ac:dyDescent="0.25">
      <c r="G2922" s="10">
        <v>5564</v>
      </c>
      <c r="H2922" s="9">
        <v>39393</v>
      </c>
      <c r="I2922" s="14">
        <f>DATE(2012,12,31)-775</f>
        <v>40499</v>
      </c>
      <c r="J2922" s="15" t="s">
        <v>28</v>
      </c>
      <c r="K2922" s="9">
        <v>23</v>
      </c>
      <c r="L2922" s="16" t="s">
        <v>27</v>
      </c>
      <c r="M2922" s="16">
        <f t="shared" si="273"/>
        <v>-0.17760342600014073</v>
      </c>
      <c r="N2922">
        <f t="shared" si="274"/>
        <v>0</v>
      </c>
      <c r="O2922">
        <f t="shared" si="275"/>
        <v>0</v>
      </c>
      <c r="P2922">
        <f t="shared" si="272"/>
        <v>4550</v>
      </c>
      <c r="Q2922">
        <f t="shared" si="276"/>
        <v>4550</v>
      </c>
      <c r="T2922" s="16">
        <f t="shared" si="277"/>
        <v>-0.17760342600014112</v>
      </c>
    </row>
    <row r="2923" spans="7:20" ht="14.4" x14ac:dyDescent="0.25">
      <c r="G2923" s="10">
        <v>5624</v>
      </c>
      <c r="H2923" s="9">
        <v>39842</v>
      </c>
      <c r="I2923" s="14">
        <f>DATE(2012,12,31)-743</f>
        <v>40531</v>
      </c>
      <c r="J2923" s="15" t="s">
        <v>16</v>
      </c>
      <c r="K2923" s="9">
        <v>38</v>
      </c>
      <c r="L2923" s="16" t="s">
        <v>29</v>
      </c>
      <c r="M2923" s="16">
        <f t="shared" si="273"/>
        <v>0.85829322328818081</v>
      </c>
      <c r="N2923">
        <f t="shared" si="274"/>
        <v>0</v>
      </c>
      <c r="O2923">
        <f t="shared" si="275"/>
        <v>0</v>
      </c>
      <c r="P2923">
        <f t="shared" si="272"/>
        <v>5300</v>
      </c>
      <c r="Q2923">
        <f t="shared" si="276"/>
        <v>5300</v>
      </c>
      <c r="T2923" s="16">
        <f t="shared" si="277"/>
        <v>0.85829322328818036</v>
      </c>
    </row>
    <row r="2924" spans="7:20" ht="14.4" x14ac:dyDescent="0.25">
      <c r="G2924" s="10">
        <v>5888</v>
      </c>
      <c r="H2924" s="9">
        <v>41766</v>
      </c>
      <c r="I2924" s="14">
        <f>DATE(2012,12,31)-111</f>
        <v>41163</v>
      </c>
      <c r="J2924" s="15" t="s">
        <v>30</v>
      </c>
      <c r="K2924" s="9">
        <v>7</v>
      </c>
      <c r="L2924" s="16" t="s">
        <v>26</v>
      </c>
      <c r="M2924" s="16">
        <f t="shared" si="273"/>
        <v>-1.2825598519076837</v>
      </c>
      <c r="N2924">
        <f t="shared" si="274"/>
        <v>0</v>
      </c>
      <c r="O2924">
        <f t="shared" si="275"/>
        <v>0</v>
      </c>
      <c r="P2924">
        <f t="shared" si="272"/>
        <v>3750</v>
      </c>
      <c r="Q2924">
        <f t="shared" si="276"/>
        <v>3750</v>
      </c>
      <c r="T2924" s="16">
        <f t="shared" si="277"/>
        <v>-1.2825598519076842</v>
      </c>
    </row>
    <row r="2925" spans="7:20" ht="14.4" x14ac:dyDescent="0.25">
      <c r="G2925" s="10">
        <v>5960</v>
      </c>
      <c r="H2925" s="9">
        <v>42306</v>
      </c>
      <c r="I2925" s="14">
        <f>DATE(2012,12,31)-108</f>
        <v>41166</v>
      </c>
      <c r="J2925" s="15" t="s">
        <v>17</v>
      </c>
      <c r="K2925" s="9">
        <v>19</v>
      </c>
      <c r="L2925" s="16" t="s">
        <v>26</v>
      </c>
      <c r="M2925" s="16">
        <f t="shared" si="273"/>
        <v>-0.45384253247702649</v>
      </c>
      <c r="N2925">
        <f t="shared" si="274"/>
        <v>0</v>
      </c>
      <c r="O2925">
        <f t="shared" si="275"/>
        <v>0</v>
      </c>
      <c r="P2925">
        <f t="shared" si="272"/>
        <v>4350</v>
      </c>
      <c r="Q2925">
        <f t="shared" si="276"/>
        <v>4350</v>
      </c>
      <c r="T2925" s="16">
        <f t="shared" si="277"/>
        <v>-0.45384253247702688</v>
      </c>
    </row>
    <row r="2926" spans="7:20" ht="14.4" x14ac:dyDescent="0.25">
      <c r="G2926" s="10">
        <v>5999</v>
      </c>
      <c r="H2926" s="9">
        <v>42528</v>
      </c>
      <c r="I2926" s="14">
        <f>DATE(2012,12,31)-1042</f>
        <v>40232</v>
      </c>
      <c r="J2926" s="15" t="s">
        <v>16</v>
      </c>
      <c r="K2926" s="9">
        <v>37</v>
      </c>
      <c r="L2926" s="16" t="s">
        <v>26</v>
      </c>
      <c r="M2926" s="16">
        <f t="shared" si="273"/>
        <v>0.78923344666895934</v>
      </c>
      <c r="N2926">
        <f t="shared" si="274"/>
        <v>0</v>
      </c>
      <c r="O2926">
        <f t="shared" si="275"/>
        <v>0</v>
      </c>
      <c r="P2926">
        <f t="shared" si="272"/>
        <v>5250</v>
      </c>
      <c r="Q2926">
        <f t="shared" si="276"/>
        <v>5250</v>
      </c>
      <c r="T2926" s="16">
        <f t="shared" si="277"/>
        <v>0.789233446668959</v>
      </c>
    </row>
    <row r="2927" spans="7:20" ht="14.4" x14ac:dyDescent="0.25">
      <c r="G2927" s="10">
        <v>6000</v>
      </c>
      <c r="H2927" s="9">
        <v>42528</v>
      </c>
      <c r="I2927" s="14">
        <f>DATE(2012,12,31)-1042</f>
        <v>40232</v>
      </c>
      <c r="J2927" s="15" t="s">
        <v>16</v>
      </c>
      <c r="K2927" s="9">
        <v>13</v>
      </c>
      <c r="L2927" s="16" t="s">
        <v>26</v>
      </c>
      <c r="M2927" s="16">
        <f t="shared" si="273"/>
        <v>-0.86820119219235514</v>
      </c>
      <c r="N2927">
        <f t="shared" si="274"/>
        <v>0</v>
      </c>
      <c r="O2927">
        <f t="shared" si="275"/>
        <v>0</v>
      </c>
      <c r="P2927">
        <f t="shared" si="272"/>
        <v>4050</v>
      </c>
      <c r="Q2927">
        <f t="shared" si="276"/>
        <v>4050</v>
      </c>
      <c r="T2927" s="16">
        <f t="shared" si="277"/>
        <v>-0.86820119219235548</v>
      </c>
    </row>
    <row r="2928" spans="7:20" ht="14.4" x14ac:dyDescent="0.25">
      <c r="G2928" s="10">
        <v>6001</v>
      </c>
      <c r="H2928" s="9">
        <v>42528</v>
      </c>
      <c r="I2928" s="14">
        <f>DATE(2012,12,31)-1042</f>
        <v>40232</v>
      </c>
      <c r="J2928" s="15" t="s">
        <v>16</v>
      </c>
      <c r="K2928" s="9">
        <v>31</v>
      </c>
      <c r="L2928" s="16" t="s">
        <v>27</v>
      </c>
      <c r="M2928" s="16">
        <f t="shared" si="273"/>
        <v>0.37487478695363075</v>
      </c>
      <c r="N2928">
        <f t="shared" si="274"/>
        <v>0</v>
      </c>
      <c r="O2928">
        <f t="shared" si="275"/>
        <v>0</v>
      </c>
      <c r="P2928">
        <f t="shared" si="272"/>
        <v>4950</v>
      </c>
      <c r="Q2928">
        <f t="shared" si="276"/>
        <v>4950</v>
      </c>
      <c r="T2928" s="16">
        <f t="shared" si="277"/>
        <v>0.37487478695363036</v>
      </c>
    </row>
    <row r="2929" spans="7:20" ht="14.4" x14ac:dyDescent="0.25">
      <c r="G2929" s="10">
        <v>6115</v>
      </c>
      <c r="H2929" s="9">
        <v>43302</v>
      </c>
      <c r="I2929" s="14">
        <f>DATE(2012,12,31)-496</f>
        <v>40778</v>
      </c>
      <c r="J2929" s="15" t="s">
        <v>25</v>
      </c>
      <c r="K2929" s="9">
        <v>39</v>
      </c>
      <c r="L2929" s="16" t="s">
        <v>27</v>
      </c>
      <c r="M2929" s="16">
        <f t="shared" si="273"/>
        <v>0.92735299990740228</v>
      </c>
      <c r="N2929">
        <f t="shared" si="274"/>
        <v>0</v>
      </c>
      <c r="O2929">
        <f t="shared" si="275"/>
        <v>0</v>
      </c>
      <c r="P2929">
        <f t="shared" si="272"/>
        <v>5350</v>
      </c>
      <c r="Q2929">
        <f t="shared" si="276"/>
        <v>5350</v>
      </c>
      <c r="T2929" s="16">
        <f t="shared" si="277"/>
        <v>0.92735299990740183</v>
      </c>
    </row>
    <row r="2930" spans="7:20" ht="14.4" x14ac:dyDescent="0.25">
      <c r="G2930" s="10">
        <v>6180</v>
      </c>
      <c r="H2930" s="9">
        <v>43813</v>
      </c>
      <c r="I2930" s="14">
        <f>DATE(2012,12,31)-1259</f>
        <v>40015</v>
      </c>
      <c r="J2930" s="15" t="s">
        <v>28</v>
      </c>
      <c r="K2930" s="9">
        <v>23</v>
      </c>
      <c r="L2930" s="16" t="s">
        <v>26</v>
      </c>
      <c r="M2930" s="16">
        <f t="shared" si="273"/>
        <v>-0.17760342600014073</v>
      </c>
      <c r="N2930">
        <f t="shared" si="274"/>
        <v>0</v>
      </c>
      <c r="O2930">
        <f t="shared" si="275"/>
        <v>0</v>
      </c>
      <c r="P2930">
        <f t="shared" si="272"/>
        <v>4550</v>
      </c>
      <c r="Q2930">
        <f t="shared" si="276"/>
        <v>4550</v>
      </c>
      <c r="T2930" s="16">
        <f t="shared" si="277"/>
        <v>-0.17760342600014112</v>
      </c>
    </row>
    <row r="2931" spans="7:20" ht="14.4" x14ac:dyDescent="0.25">
      <c r="G2931" s="10">
        <v>6256</v>
      </c>
      <c r="H2931" s="9">
        <v>44292</v>
      </c>
      <c r="I2931" s="14">
        <f>DATE(2012,12,31)-566</f>
        <v>40708</v>
      </c>
      <c r="J2931" s="15" t="s">
        <v>28</v>
      </c>
      <c r="K2931" s="9">
        <v>1</v>
      </c>
      <c r="L2931" s="16" t="s">
        <v>26</v>
      </c>
      <c r="M2931" s="16">
        <f t="shared" si="273"/>
        <v>-1.6969185116230123</v>
      </c>
      <c r="N2931">
        <f t="shared" si="274"/>
        <v>0</v>
      </c>
      <c r="O2931">
        <f t="shared" si="275"/>
        <v>0</v>
      </c>
      <c r="P2931">
        <f t="shared" si="272"/>
        <v>3450</v>
      </c>
      <c r="Q2931">
        <f t="shared" si="276"/>
        <v>3450</v>
      </c>
      <c r="T2931" s="16">
        <f t="shared" si="277"/>
        <v>-1.6969185116230128</v>
      </c>
    </row>
    <row r="2932" spans="7:20" ht="14.4" x14ac:dyDescent="0.25">
      <c r="G2932" s="10">
        <v>6298</v>
      </c>
      <c r="H2932" s="9">
        <v>44583</v>
      </c>
      <c r="I2932" s="14">
        <f>DATE(2012,12,31)-1184</f>
        <v>40090</v>
      </c>
      <c r="J2932" s="15" t="s">
        <v>25</v>
      </c>
      <c r="K2932" s="9">
        <v>6</v>
      </c>
      <c r="L2932" s="16" t="s">
        <v>26</v>
      </c>
      <c r="M2932" s="16">
        <f t="shared" si="273"/>
        <v>-1.3516196285269051</v>
      </c>
      <c r="N2932">
        <f t="shared" si="274"/>
        <v>0</v>
      </c>
      <c r="O2932">
        <f t="shared" si="275"/>
        <v>0</v>
      </c>
      <c r="P2932">
        <f t="shared" si="272"/>
        <v>3700</v>
      </c>
      <c r="Q2932">
        <f t="shared" si="276"/>
        <v>3700</v>
      </c>
      <c r="T2932" s="16">
        <f t="shared" si="277"/>
        <v>-1.3516196285269055</v>
      </c>
    </row>
    <row r="2933" spans="7:20" ht="14.4" x14ac:dyDescent="0.25">
      <c r="G2933" s="10">
        <v>6391</v>
      </c>
      <c r="H2933" s="9">
        <v>45381</v>
      </c>
      <c r="I2933" s="14">
        <f>DATE(2012,12,31)-498</f>
        <v>40776</v>
      </c>
      <c r="J2933" s="15" t="s">
        <v>16</v>
      </c>
      <c r="K2933" s="9">
        <v>1</v>
      </c>
      <c r="L2933" s="16" t="s">
        <v>29</v>
      </c>
      <c r="M2933" s="16">
        <f t="shared" si="273"/>
        <v>-1.6969185116230123</v>
      </c>
      <c r="N2933">
        <f t="shared" si="274"/>
        <v>0</v>
      </c>
      <c r="O2933">
        <f t="shared" si="275"/>
        <v>0</v>
      </c>
      <c r="P2933">
        <f t="shared" si="272"/>
        <v>3450</v>
      </c>
      <c r="Q2933">
        <f t="shared" si="276"/>
        <v>3450</v>
      </c>
      <c r="T2933" s="16">
        <f t="shared" si="277"/>
        <v>-1.6969185116230128</v>
      </c>
    </row>
    <row r="2934" spans="7:20" ht="14.4" x14ac:dyDescent="0.25">
      <c r="G2934" s="10">
        <v>6543</v>
      </c>
      <c r="H2934" s="9">
        <v>46531</v>
      </c>
      <c r="I2934" s="14">
        <f>DATE(2012,12,31)-498</f>
        <v>40776</v>
      </c>
      <c r="J2934" s="15" t="s">
        <v>25</v>
      </c>
      <c r="K2934" s="9">
        <v>39</v>
      </c>
      <c r="L2934" s="16" t="s">
        <v>29</v>
      </c>
      <c r="M2934" s="16">
        <f t="shared" si="273"/>
        <v>0.92735299990740228</v>
      </c>
      <c r="N2934">
        <f t="shared" si="274"/>
        <v>0</v>
      </c>
      <c r="O2934">
        <f t="shared" si="275"/>
        <v>0</v>
      </c>
      <c r="P2934">
        <f t="shared" si="272"/>
        <v>5350</v>
      </c>
      <c r="Q2934">
        <f t="shared" si="276"/>
        <v>5350</v>
      </c>
      <c r="T2934" s="16">
        <f t="shared" si="277"/>
        <v>0.92735299990740183</v>
      </c>
    </row>
    <row r="2935" spans="7:20" ht="14.4" x14ac:dyDescent="0.25">
      <c r="G2935" s="10">
        <v>6626</v>
      </c>
      <c r="H2935" s="9">
        <v>47136</v>
      </c>
      <c r="I2935" s="14">
        <f>DATE(2012,12,31)-707</f>
        <v>40567</v>
      </c>
      <c r="J2935" s="15" t="s">
        <v>16</v>
      </c>
      <c r="K2935" s="9">
        <v>18</v>
      </c>
      <c r="L2935" s="16" t="s">
        <v>26</v>
      </c>
      <c r="M2935" s="16">
        <f t="shared" si="273"/>
        <v>-0.52290230909624791</v>
      </c>
      <c r="N2935">
        <f t="shared" si="274"/>
        <v>0</v>
      </c>
      <c r="O2935">
        <f t="shared" si="275"/>
        <v>0</v>
      </c>
      <c r="P2935">
        <f t="shared" si="272"/>
        <v>4300</v>
      </c>
      <c r="Q2935">
        <f t="shared" si="276"/>
        <v>4300</v>
      </c>
      <c r="T2935" s="16">
        <f t="shared" si="277"/>
        <v>-0.52290230909624835</v>
      </c>
    </row>
    <row r="2936" spans="7:20" ht="14.4" x14ac:dyDescent="0.25">
      <c r="G2936" s="10">
        <v>6711</v>
      </c>
      <c r="H2936" s="9">
        <v>47813</v>
      </c>
      <c r="I2936" s="14">
        <f>DATE(2012,12,31)-1222</f>
        <v>40052</v>
      </c>
      <c r="J2936" s="15" t="s">
        <v>17</v>
      </c>
      <c r="K2936" s="9">
        <v>50</v>
      </c>
      <c r="L2936" s="16" t="s">
        <v>26</v>
      </c>
      <c r="M2936" s="16">
        <f t="shared" si="273"/>
        <v>1.687010542718838</v>
      </c>
      <c r="N2936">
        <f t="shared" si="274"/>
        <v>0</v>
      </c>
      <c r="O2936">
        <f t="shared" si="275"/>
        <v>0</v>
      </c>
      <c r="P2936">
        <f t="shared" si="272"/>
        <v>5900</v>
      </c>
      <c r="Q2936">
        <f t="shared" si="276"/>
        <v>5900</v>
      </c>
      <c r="T2936" s="16">
        <f t="shared" si="277"/>
        <v>1.6870105427188375</v>
      </c>
    </row>
    <row r="2937" spans="7:20" ht="14.4" x14ac:dyDescent="0.25">
      <c r="G2937" s="10">
        <v>6778</v>
      </c>
      <c r="H2937" s="9">
        <v>48263</v>
      </c>
      <c r="I2937" s="14">
        <f>DATE(2012,12,31)-1028</f>
        <v>40246</v>
      </c>
      <c r="J2937" s="15" t="s">
        <v>16</v>
      </c>
      <c r="K2937" s="9">
        <v>28</v>
      </c>
      <c r="L2937" s="16" t="s">
        <v>26</v>
      </c>
      <c r="M2937" s="16">
        <f t="shared" si="273"/>
        <v>0.16769545709596645</v>
      </c>
      <c r="N2937">
        <f t="shared" si="274"/>
        <v>0</v>
      </c>
      <c r="O2937">
        <f t="shared" si="275"/>
        <v>0</v>
      </c>
      <c r="P2937">
        <f t="shared" si="272"/>
        <v>4800</v>
      </c>
      <c r="Q2937">
        <f t="shared" si="276"/>
        <v>4800</v>
      </c>
      <c r="T2937" s="16">
        <f t="shared" si="277"/>
        <v>0.16769545709596606</v>
      </c>
    </row>
    <row r="2938" spans="7:20" ht="14.4" x14ac:dyDescent="0.25">
      <c r="G2938" s="10">
        <v>6805</v>
      </c>
      <c r="H2938" s="9">
        <v>48455</v>
      </c>
      <c r="I2938" s="14">
        <f>DATE(2012,12,31)-1308</f>
        <v>39966</v>
      </c>
      <c r="J2938" s="15" t="s">
        <v>30</v>
      </c>
      <c r="K2938" s="9">
        <v>17</v>
      </c>
      <c r="L2938" s="16" t="s">
        <v>26</v>
      </c>
      <c r="M2938" s="16">
        <f t="shared" si="273"/>
        <v>-0.59196208571546938</v>
      </c>
      <c r="N2938">
        <f t="shared" si="274"/>
        <v>0</v>
      </c>
      <c r="O2938">
        <f t="shared" si="275"/>
        <v>0</v>
      </c>
      <c r="P2938">
        <f t="shared" si="272"/>
        <v>4250</v>
      </c>
      <c r="Q2938">
        <f t="shared" si="276"/>
        <v>4250</v>
      </c>
      <c r="T2938" s="16">
        <f t="shared" si="277"/>
        <v>-0.59196208571546971</v>
      </c>
    </row>
    <row r="2939" spans="7:20" ht="14.4" x14ac:dyDescent="0.25">
      <c r="G2939" s="10">
        <v>6840</v>
      </c>
      <c r="H2939" s="9">
        <v>48706</v>
      </c>
      <c r="I2939" s="14">
        <f>DATE(2012,12,31)-62</f>
        <v>41212</v>
      </c>
      <c r="J2939" s="15" t="s">
        <v>25</v>
      </c>
      <c r="K2939" s="9">
        <v>18</v>
      </c>
      <c r="L2939" s="16" t="s">
        <v>26</v>
      </c>
      <c r="M2939" s="16">
        <f t="shared" si="273"/>
        <v>-0.52290230909624791</v>
      </c>
      <c r="N2939">
        <f t="shared" si="274"/>
        <v>0</v>
      </c>
      <c r="O2939">
        <f t="shared" si="275"/>
        <v>0</v>
      </c>
      <c r="P2939">
        <f t="shared" si="272"/>
        <v>4300</v>
      </c>
      <c r="Q2939">
        <f t="shared" si="276"/>
        <v>4300</v>
      </c>
      <c r="T2939" s="16">
        <f t="shared" si="277"/>
        <v>-0.52290230909624835</v>
      </c>
    </row>
    <row r="2940" spans="7:20" ht="14.4" x14ac:dyDescent="0.25">
      <c r="G2940" s="10">
        <v>6865</v>
      </c>
      <c r="H2940" s="9">
        <v>48929</v>
      </c>
      <c r="I2940" s="14">
        <f>DATE(2012,12,31)-1166</f>
        <v>40108</v>
      </c>
      <c r="J2940" s="15" t="s">
        <v>17</v>
      </c>
      <c r="K2940" s="9">
        <v>45</v>
      </c>
      <c r="L2940" s="16" t="s">
        <v>26</v>
      </c>
      <c r="M2940" s="16">
        <f t="shared" si="273"/>
        <v>1.3417116596227308</v>
      </c>
      <c r="N2940">
        <f t="shared" si="274"/>
        <v>0</v>
      </c>
      <c r="O2940">
        <f t="shared" si="275"/>
        <v>0</v>
      </c>
      <c r="P2940">
        <f t="shared" si="272"/>
        <v>5650</v>
      </c>
      <c r="Q2940">
        <f t="shared" si="276"/>
        <v>5650</v>
      </c>
      <c r="T2940" s="16">
        <f t="shared" si="277"/>
        <v>1.3417116596227305</v>
      </c>
    </row>
    <row r="2941" spans="7:20" ht="14.4" x14ac:dyDescent="0.25">
      <c r="G2941" s="10">
        <v>6873</v>
      </c>
      <c r="H2941" s="9">
        <v>48963</v>
      </c>
      <c r="I2941" s="14">
        <f>DATE(2012,12,31)-804</f>
        <v>40470</v>
      </c>
      <c r="J2941" s="15" t="s">
        <v>28</v>
      </c>
      <c r="K2941" s="9">
        <v>12</v>
      </c>
      <c r="L2941" s="16" t="s">
        <v>26</v>
      </c>
      <c r="M2941" s="16">
        <f t="shared" si="273"/>
        <v>-0.9372609688115765</v>
      </c>
      <c r="N2941">
        <f t="shared" si="274"/>
        <v>0</v>
      </c>
      <c r="O2941">
        <f t="shared" si="275"/>
        <v>0</v>
      </c>
      <c r="P2941">
        <f t="shared" si="272"/>
        <v>4000</v>
      </c>
      <c r="Q2941">
        <f t="shared" si="276"/>
        <v>4000</v>
      </c>
      <c r="T2941" s="16">
        <f t="shared" si="277"/>
        <v>-0.93726096881157694</v>
      </c>
    </row>
    <row r="2942" spans="7:20" ht="14.4" x14ac:dyDescent="0.25">
      <c r="G2942" s="10">
        <v>6909</v>
      </c>
      <c r="H2942" s="9">
        <v>49312</v>
      </c>
      <c r="I2942" s="14">
        <f>DATE(2012,12,31)-679</f>
        <v>40595</v>
      </c>
      <c r="J2942" s="15" t="s">
        <v>30</v>
      </c>
      <c r="K2942" s="9">
        <v>30</v>
      </c>
      <c r="L2942" s="16" t="s">
        <v>26</v>
      </c>
      <c r="M2942" s="16">
        <f t="shared" si="273"/>
        <v>0.30581501033440933</v>
      </c>
      <c r="N2942">
        <f t="shared" si="274"/>
        <v>0</v>
      </c>
      <c r="O2942">
        <f t="shared" si="275"/>
        <v>0</v>
      </c>
      <c r="P2942">
        <f t="shared" si="272"/>
        <v>4900</v>
      </c>
      <c r="Q2942">
        <f t="shared" si="276"/>
        <v>4900</v>
      </c>
      <c r="T2942" s="16">
        <f t="shared" si="277"/>
        <v>0.30581501033440894</v>
      </c>
    </row>
    <row r="2943" spans="7:20" ht="14.4" x14ac:dyDescent="0.25">
      <c r="G2943" s="10">
        <v>6931</v>
      </c>
      <c r="H2943" s="9">
        <v>49472</v>
      </c>
      <c r="I2943" s="14">
        <f>DATE(2012,12,31)-899</f>
        <v>40375</v>
      </c>
      <c r="J2943" s="15" t="s">
        <v>25</v>
      </c>
      <c r="K2943" s="9">
        <v>15</v>
      </c>
      <c r="L2943" s="16" t="s">
        <v>27</v>
      </c>
      <c r="M2943" s="16">
        <f t="shared" si="273"/>
        <v>-0.7300816389539122</v>
      </c>
      <c r="N2943">
        <f t="shared" si="274"/>
        <v>0</v>
      </c>
      <c r="O2943">
        <f t="shared" si="275"/>
        <v>0</v>
      </c>
      <c r="P2943">
        <f t="shared" si="272"/>
        <v>4150</v>
      </c>
      <c r="Q2943">
        <f t="shared" si="276"/>
        <v>4150</v>
      </c>
      <c r="T2943" s="16">
        <f t="shared" si="277"/>
        <v>-0.73008163895391265</v>
      </c>
    </row>
    <row r="2944" spans="7:20" ht="14.4" x14ac:dyDescent="0.25">
      <c r="G2944" s="10">
        <v>6932</v>
      </c>
      <c r="H2944" s="9">
        <v>49472</v>
      </c>
      <c r="I2944" s="14">
        <f>DATE(2012,12,31)-899</f>
        <v>40375</v>
      </c>
      <c r="J2944" s="15" t="s">
        <v>25</v>
      </c>
      <c r="K2944" s="9">
        <v>9</v>
      </c>
      <c r="L2944" s="16" t="s">
        <v>26</v>
      </c>
      <c r="M2944" s="16">
        <f t="shared" si="273"/>
        <v>-1.1444402986692408</v>
      </c>
      <c r="N2944">
        <f t="shared" si="274"/>
        <v>0</v>
      </c>
      <c r="O2944">
        <f t="shared" si="275"/>
        <v>0</v>
      </c>
      <c r="P2944">
        <f t="shared" si="272"/>
        <v>3850</v>
      </c>
      <c r="Q2944">
        <f t="shared" si="276"/>
        <v>3850</v>
      </c>
      <c r="T2944" s="16">
        <f t="shared" si="277"/>
        <v>-1.1444402986692412</v>
      </c>
    </row>
    <row r="2945" spans="7:20" ht="14.4" x14ac:dyDescent="0.25">
      <c r="G2945" s="10">
        <v>6981</v>
      </c>
      <c r="H2945" s="9">
        <v>49891</v>
      </c>
      <c r="I2945" s="14">
        <f>DATE(2012,12,31)-1206</f>
        <v>40068</v>
      </c>
      <c r="J2945" s="15" t="s">
        <v>28</v>
      </c>
      <c r="K2945" s="9">
        <v>40</v>
      </c>
      <c r="L2945" s="16" t="s">
        <v>26</v>
      </c>
      <c r="M2945" s="16">
        <f t="shared" si="273"/>
        <v>0.99641277652662363</v>
      </c>
      <c r="N2945">
        <f t="shared" si="274"/>
        <v>0</v>
      </c>
      <c r="O2945">
        <f t="shared" si="275"/>
        <v>0</v>
      </c>
      <c r="P2945">
        <f t="shared" si="272"/>
        <v>5400</v>
      </c>
      <c r="Q2945">
        <f t="shared" si="276"/>
        <v>5400</v>
      </c>
      <c r="T2945" s="16">
        <f t="shared" si="277"/>
        <v>0.9964127765266233</v>
      </c>
    </row>
    <row r="2946" spans="7:20" ht="14.4" x14ac:dyDescent="0.25">
      <c r="G2946" s="10">
        <v>6995</v>
      </c>
      <c r="H2946" s="9">
        <v>49984</v>
      </c>
      <c r="I2946" s="14">
        <f>DATE(2012,12,31)-1330</f>
        <v>39944</v>
      </c>
      <c r="J2946" s="15" t="s">
        <v>25</v>
      </c>
      <c r="K2946" s="9">
        <v>14</v>
      </c>
      <c r="L2946" s="16" t="s">
        <v>26</v>
      </c>
      <c r="M2946" s="16">
        <f t="shared" si="273"/>
        <v>-0.79914141557313367</v>
      </c>
      <c r="N2946">
        <f t="shared" si="274"/>
        <v>0</v>
      </c>
      <c r="O2946">
        <f t="shared" si="275"/>
        <v>0</v>
      </c>
      <c r="P2946">
        <f t="shared" si="272"/>
        <v>4100</v>
      </c>
      <c r="Q2946">
        <f t="shared" si="276"/>
        <v>4100</v>
      </c>
      <c r="T2946" s="16">
        <f t="shared" si="277"/>
        <v>-0.79914141557313401</v>
      </c>
    </row>
    <row r="2947" spans="7:20" ht="14.4" x14ac:dyDescent="0.25">
      <c r="G2947" s="10">
        <v>6996</v>
      </c>
      <c r="H2947" s="9">
        <v>49984</v>
      </c>
      <c r="I2947" s="14">
        <f>DATE(2012,12,31)-1330</f>
        <v>39944</v>
      </c>
      <c r="J2947" s="15" t="s">
        <v>25</v>
      </c>
      <c r="K2947" s="9">
        <v>32</v>
      </c>
      <c r="L2947" s="16" t="s">
        <v>26</v>
      </c>
      <c r="M2947" s="16">
        <f t="shared" si="273"/>
        <v>0.44393456357285216</v>
      </c>
      <c r="N2947">
        <f t="shared" si="274"/>
        <v>0</v>
      </c>
      <c r="O2947">
        <f t="shared" si="275"/>
        <v>0</v>
      </c>
      <c r="P2947">
        <f t="shared" si="272"/>
        <v>5000</v>
      </c>
      <c r="Q2947">
        <f t="shared" si="276"/>
        <v>5000</v>
      </c>
      <c r="T2947" s="16">
        <f t="shared" si="277"/>
        <v>0.44393456357285183</v>
      </c>
    </row>
    <row r="2948" spans="7:20" ht="14.4" x14ac:dyDescent="0.25">
      <c r="G2948" s="10">
        <v>7074</v>
      </c>
      <c r="H2948" s="9">
        <v>50471</v>
      </c>
      <c r="I2948" s="14">
        <f>DATE(2012,12,31)-363</f>
        <v>40911</v>
      </c>
      <c r="J2948" s="15" t="s">
        <v>25</v>
      </c>
      <c r="K2948" s="9">
        <v>25</v>
      </c>
      <c r="L2948" s="16" t="s">
        <v>29</v>
      </c>
      <c r="M2948" s="16">
        <f t="shared" si="273"/>
        <v>-3.9483872761697868E-2</v>
      </c>
      <c r="N2948">
        <f t="shared" si="274"/>
        <v>0</v>
      </c>
      <c r="O2948">
        <f t="shared" si="275"/>
        <v>0</v>
      </c>
      <c r="P2948">
        <f t="shared" si="272"/>
        <v>4650</v>
      </c>
      <c r="Q2948">
        <f t="shared" si="276"/>
        <v>4650</v>
      </c>
      <c r="T2948" s="16">
        <f t="shared" si="277"/>
        <v>-3.9483872761698249E-2</v>
      </c>
    </row>
    <row r="2949" spans="7:20" ht="14.4" x14ac:dyDescent="0.25">
      <c r="G2949" s="10">
        <v>7176</v>
      </c>
      <c r="H2949" s="9">
        <v>51203</v>
      </c>
      <c r="I2949" s="14">
        <f>DATE(2012,12,31)-376</f>
        <v>40898</v>
      </c>
      <c r="J2949" s="15" t="s">
        <v>17</v>
      </c>
      <c r="K2949" s="9">
        <v>49</v>
      </c>
      <c r="L2949" s="16" t="s">
        <v>29</v>
      </c>
      <c r="M2949" s="16">
        <f t="shared" si="273"/>
        <v>1.6179507660996166</v>
      </c>
      <c r="N2949">
        <f t="shared" si="274"/>
        <v>0</v>
      </c>
      <c r="O2949">
        <f t="shared" si="275"/>
        <v>0</v>
      </c>
      <c r="P2949">
        <f t="shared" si="272"/>
        <v>5850</v>
      </c>
      <c r="Q2949">
        <f t="shared" si="276"/>
        <v>5850</v>
      </c>
      <c r="T2949" s="16">
        <f t="shared" si="277"/>
        <v>1.6179507660996162</v>
      </c>
    </row>
    <row r="2950" spans="7:20" ht="14.4" x14ac:dyDescent="0.25">
      <c r="G2950" s="10">
        <v>7179</v>
      </c>
      <c r="H2950" s="9">
        <v>51233</v>
      </c>
      <c r="I2950" s="14">
        <f>DATE(2012,12,31)-1118</f>
        <v>40156</v>
      </c>
      <c r="J2950" s="15" t="s">
        <v>25</v>
      </c>
      <c r="K2950" s="9">
        <v>3</v>
      </c>
      <c r="L2950" s="16" t="s">
        <v>29</v>
      </c>
      <c r="M2950" s="16">
        <f t="shared" si="273"/>
        <v>-1.5587989583845694</v>
      </c>
      <c r="N2950">
        <f t="shared" si="274"/>
        <v>0</v>
      </c>
      <c r="O2950">
        <f t="shared" si="275"/>
        <v>0</v>
      </c>
      <c r="P2950">
        <f t="shared" si="272"/>
        <v>3550</v>
      </c>
      <c r="Q2950">
        <f t="shared" si="276"/>
        <v>3550</v>
      </c>
      <c r="T2950" s="16">
        <f t="shared" si="277"/>
        <v>-1.5587989583845698</v>
      </c>
    </row>
    <row r="2951" spans="7:20" ht="14.4" x14ac:dyDescent="0.25">
      <c r="G2951" s="10">
        <v>7322</v>
      </c>
      <c r="H2951" s="9">
        <v>52195</v>
      </c>
      <c r="I2951" s="14">
        <f>DATE(2012,12,31)-432</f>
        <v>40842</v>
      </c>
      <c r="J2951" s="15" t="s">
        <v>28</v>
      </c>
      <c r="K2951" s="9">
        <v>19</v>
      </c>
      <c r="L2951" s="16" t="s">
        <v>26</v>
      </c>
      <c r="M2951" s="16">
        <f t="shared" si="273"/>
        <v>-0.45384253247702649</v>
      </c>
      <c r="N2951">
        <f t="shared" si="274"/>
        <v>0</v>
      </c>
      <c r="O2951">
        <f t="shared" si="275"/>
        <v>0</v>
      </c>
      <c r="P2951">
        <f t="shared" si="272"/>
        <v>4350</v>
      </c>
      <c r="Q2951">
        <f t="shared" si="276"/>
        <v>4350</v>
      </c>
      <c r="T2951" s="16">
        <f t="shared" si="277"/>
        <v>-0.45384253247702688</v>
      </c>
    </row>
    <row r="2952" spans="7:20" ht="14.4" x14ac:dyDescent="0.25">
      <c r="G2952" s="10">
        <v>7445</v>
      </c>
      <c r="H2952" s="9">
        <v>53123</v>
      </c>
      <c r="I2952" s="14">
        <f>DATE(2012,12,31)-1218</f>
        <v>40056</v>
      </c>
      <c r="J2952" s="15" t="s">
        <v>28</v>
      </c>
      <c r="K2952" s="9">
        <v>25</v>
      </c>
      <c r="L2952" s="16" t="s">
        <v>26</v>
      </c>
      <c r="M2952" s="16">
        <f t="shared" si="273"/>
        <v>-3.9483872761697868E-2</v>
      </c>
      <c r="N2952">
        <f t="shared" si="274"/>
        <v>0</v>
      </c>
      <c r="O2952">
        <f t="shared" si="275"/>
        <v>0</v>
      </c>
      <c r="P2952">
        <f t="shared" si="272"/>
        <v>4650</v>
      </c>
      <c r="Q2952">
        <f t="shared" si="276"/>
        <v>4650</v>
      </c>
      <c r="T2952" s="16">
        <f t="shared" si="277"/>
        <v>-3.9483872761698249E-2</v>
      </c>
    </row>
    <row r="2953" spans="7:20" ht="14.4" x14ac:dyDescent="0.25">
      <c r="G2953" s="10">
        <v>7622</v>
      </c>
      <c r="H2953" s="9">
        <v>54533</v>
      </c>
      <c r="I2953" s="14">
        <f>DATE(2012,12,31)-379</f>
        <v>40895</v>
      </c>
      <c r="J2953" s="15" t="s">
        <v>16</v>
      </c>
      <c r="K2953" s="9">
        <v>21</v>
      </c>
      <c r="L2953" s="16" t="s">
        <v>26</v>
      </c>
      <c r="M2953" s="16">
        <f t="shared" si="273"/>
        <v>-0.31572297923858361</v>
      </c>
      <c r="N2953">
        <f t="shared" si="274"/>
        <v>0</v>
      </c>
      <c r="O2953">
        <f t="shared" si="275"/>
        <v>0</v>
      </c>
      <c r="P2953">
        <f t="shared" si="272"/>
        <v>4450</v>
      </c>
      <c r="Q2953">
        <f t="shared" si="276"/>
        <v>4450</v>
      </c>
      <c r="T2953" s="16">
        <f t="shared" si="277"/>
        <v>-0.315722979238584</v>
      </c>
    </row>
    <row r="2954" spans="7:20" ht="14.4" x14ac:dyDescent="0.25">
      <c r="G2954" s="10">
        <v>7691</v>
      </c>
      <c r="H2954" s="9">
        <v>55139</v>
      </c>
      <c r="I2954" s="14">
        <f>DATE(2012,12,31)-1079</f>
        <v>40195</v>
      </c>
      <c r="J2954" s="15" t="s">
        <v>28</v>
      </c>
      <c r="K2954" s="9">
        <v>26</v>
      </c>
      <c r="L2954" s="16" t="s">
        <v>26</v>
      </c>
      <c r="M2954" s="16">
        <f t="shared" si="273"/>
        <v>2.9575903857523567E-2</v>
      </c>
      <c r="N2954">
        <f t="shared" si="274"/>
        <v>0</v>
      </c>
      <c r="O2954">
        <f t="shared" si="275"/>
        <v>0</v>
      </c>
      <c r="P2954">
        <f t="shared" si="272"/>
        <v>4700</v>
      </c>
      <c r="Q2954">
        <f t="shared" si="276"/>
        <v>4700</v>
      </c>
      <c r="T2954" s="16">
        <f t="shared" si="277"/>
        <v>2.9575903857523185E-2</v>
      </c>
    </row>
    <row r="2955" spans="7:20" ht="14.4" x14ac:dyDescent="0.25">
      <c r="G2955" s="10">
        <v>7734</v>
      </c>
      <c r="H2955" s="9">
        <v>55392</v>
      </c>
      <c r="I2955" s="14">
        <f>DATE(2012,12,31)-1304</f>
        <v>39970</v>
      </c>
      <c r="J2955" s="15" t="s">
        <v>30</v>
      </c>
      <c r="K2955" s="9">
        <v>39</v>
      </c>
      <c r="L2955" s="16" t="s">
        <v>26</v>
      </c>
      <c r="M2955" s="16">
        <f t="shared" si="273"/>
        <v>0.92735299990740228</v>
      </c>
      <c r="N2955">
        <f t="shared" si="274"/>
        <v>0</v>
      </c>
      <c r="O2955">
        <f t="shared" si="275"/>
        <v>0</v>
      </c>
      <c r="P2955">
        <f t="shared" si="272"/>
        <v>5350</v>
      </c>
      <c r="Q2955">
        <f t="shared" si="276"/>
        <v>5350</v>
      </c>
      <c r="T2955" s="16">
        <f t="shared" si="277"/>
        <v>0.92735299990740183</v>
      </c>
    </row>
    <row r="2956" spans="7:20" ht="14.4" x14ac:dyDescent="0.25">
      <c r="G2956" s="10">
        <v>7768</v>
      </c>
      <c r="H2956" s="9">
        <v>55616</v>
      </c>
      <c r="I2956" s="14">
        <f>DATE(2012,12,31)-603</f>
        <v>40671</v>
      </c>
      <c r="J2956" s="15" t="s">
        <v>17</v>
      </c>
      <c r="K2956" s="9">
        <v>29</v>
      </c>
      <c r="L2956" s="16" t="s">
        <v>27</v>
      </c>
      <c r="M2956" s="16">
        <f t="shared" si="273"/>
        <v>0.23675523371518786</v>
      </c>
      <c r="N2956">
        <f t="shared" si="274"/>
        <v>0</v>
      </c>
      <c r="O2956">
        <f t="shared" si="275"/>
        <v>0</v>
      </c>
      <c r="P2956">
        <f t="shared" ref="P2956:P3019" si="278">50*K2956+$P$10</f>
        <v>4850</v>
      </c>
      <c r="Q2956">
        <f t="shared" si="276"/>
        <v>4850</v>
      </c>
      <c r="T2956" s="16">
        <f t="shared" si="277"/>
        <v>0.2367552337151875</v>
      </c>
    </row>
    <row r="2957" spans="7:20" ht="14.4" x14ac:dyDescent="0.25">
      <c r="G2957" s="10">
        <v>7822</v>
      </c>
      <c r="H2957" s="9">
        <v>55909</v>
      </c>
      <c r="I2957" s="14">
        <f>DATE(2012,12,31)-1322</f>
        <v>39952</v>
      </c>
      <c r="J2957" s="15" t="s">
        <v>25</v>
      </c>
      <c r="K2957" s="9">
        <v>3</v>
      </c>
      <c r="L2957" s="16" t="s">
        <v>26</v>
      </c>
      <c r="M2957" s="16">
        <f t="shared" ref="M2957:M3020" si="279">(K2957-$K$4)/$K$7</f>
        <v>-1.5587989583845694</v>
      </c>
      <c r="N2957">
        <f t="shared" ref="N2957:N3020" si="280">IF(MOD($B$20+G2957,1000)=0,1,0)</f>
        <v>0</v>
      </c>
      <c r="O2957">
        <f t="shared" ref="O2957:O3020" si="281">+ROUND(N2957*(IF(K2957&lt;$K$4,-4.5,10.5)*$P$5),-2)</f>
        <v>0</v>
      </c>
      <c r="P2957">
        <f t="shared" si="278"/>
        <v>3550</v>
      </c>
      <c r="Q2957">
        <f t="shared" ref="Q2957:Q3020" si="282">P2957+O2957</f>
        <v>3550</v>
      </c>
      <c r="T2957" s="16">
        <f t="shared" ref="T2957:T3020" si="283">(Q2957-$P$4)/$P$5</f>
        <v>-1.5587989583845698</v>
      </c>
    </row>
    <row r="2958" spans="7:20" ht="14.4" x14ac:dyDescent="0.25">
      <c r="G2958" s="10">
        <v>7826</v>
      </c>
      <c r="H2958" s="9">
        <v>55938</v>
      </c>
      <c r="I2958" s="14">
        <f>DATE(2012,12,31)-182</f>
        <v>41092</v>
      </c>
      <c r="J2958" s="15" t="s">
        <v>28</v>
      </c>
      <c r="K2958" s="9">
        <v>18</v>
      </c>
      <c r="L2958" s="16" t="s">
        <v>26</v>
      </c>
      <c r="M2958" s="16">
        <f t="shared" si="279"/>
        <v>-0.52290230909624791</v>
      </c>
      <c r="N2958">
        <f t="shared" si="280"/>
        <v>0</v>
      </c>
      <c r="O2958">
        <f t="shared" si="281"/>
        <v>0</v>
      </c>
      <c r="P2958">
        <f t="shared" si="278"/>
        <v>4300</v>
      </c>
      <c r="Q2958">
        <f t="shared" si="282"/>
        <v>4300</v>
      </c>
      <c r="T2958" s="16">
        <f t="shared" si="283"/>
        <v>-0.52290230909624835</v>
      </c>
    </row>
    <row r="2959" spans="7:20" ht="14.4" x14ac:dyDescent="0.25">
      <c r="G2959" s="10">
        <v>7857</v>
      </c>
      <c r="H2959" s="9">
        <v>56166</v>
      </c>
      <c r="I2959" s="14">
        <f>DATE(2012,12,31)-880</f>
        <v>40394</v>
      </c>
      <c r="J2959" s="15" t="s">
        <v>30</v>
      </c>
      <c r="K2959" s="9">
        <v>45</v>
      </c>
      <c r="L2959" s="16" t="s">
        <v>26</v>
      </c>
      <c r="M2959" s="16">
        <f t="shared" si="279"/>
        <v>1.3417116596227308</v>
      </c>
      <c r="N2959">
        <f t="shared" si="280"/>
        <v>0</v>
      </c>
      <c r="O2959">
        <f t="shared" si="281"/>
        <v>0</v>
      </c>
      <c r="P2959">
        <f t="shared" si="278"/>
        <v>5650</v>
      </c>
      <c r="Q2959">
        <f t="shared" si="282"/>
        <v>5650</v>
      </c>
      <c r="T2959" s="16">
        <f t="shared" si="283"/>
        <v>1.3417116596227305</v>
      </c>
    </row>
    <row r="2960" spans="7:20" ht="14.4" x14ac:dyDescent="0.25">
      <c r="G2960" s="10">
        <v>7902</v>
      </c>
      <c r="H2960" s="9">
        <v>56515</v>
      </c>
      <c r="I2960" s="14">
        <f>DATE(2012,12,31)-584</f>
        <v>40690</v>
      </c>
      <c r="J2960" s="15" t="s">
        <v>16</v>
      </c>
      <c r="K2960" s="9">
        <v>18</v>
      </c>
      <c r="L2960" s="16" t="s">
        <v>26</v>
      </c>
      <c r="M2960" s="16">
        <f t="shared" si="279"/>
        <v>-0.52290230909624791</v>
      </c>
      <c r="N2960">
        <f t="shared" si="280"/>
        <v>0</v>
      </c>
      <c r="O2960">
        <f t="shared" si="281"/>
        <v>0</v>
      </c>
      <c r="P2960">
        <f t="shared" si="278"/>
        <v>4300</v>
      </c>
      <c r="Q2960">
        <f t="shared" si="282"/>
        <v>4300</v>
      </c>
      <c r="T2960" s="16">
        <f t="shared" si="283"/>
        <v>-0.52290230909624835</v>
      </c>
    </row>
    <row r="2961" spans="7:20" ht="14.4" x14ac:dyDescent="0.25">
      <c r="G2961" s="10">
        <v>7945</v>
      </c>
      <c r="H2961" s="9">
        <v>56768</v>
      </c>
      <c r="I2961" s="14">
        <f>DATE(2012,12,31)-523</f>
        <v>40751</v>
      </c>
      <c r="J2961" s="15" t="s">
        <v>30</v>
      </c>
      <c r="K2961" s="9">
        <v>37</v>
      </c>
      <c r="L2961" s="16" t="s">
        <v>26</v>
      </c>
      <c r="M2961" s="16">
        <f t="shared" si="279"/>
        <v>0.78923344666895934</v>
      </c>
      <c r="N2961">
        <f t="shared" si="280"/>
        <v>0</v>
      </c>
      <c r="O2961">
        <f t="shared" si="281"/>
        <v>0</v>
      </c>
      <c r="P2961">
        <f t="shared" si="278"/>
        <v>5250</v>
      </c>
      <c r="Q2961">
        <f t="shared" si="282"/>
        <v>5250</v>
      </c>
      <c r="T2961" s="16">
        <f t="shared" si="283"/>
        <v>0.789233446668959</v>
      </c>
    </row>
    <row r="2962" spans="7:20" ht="14.4" x14ac:dyDescent="0.25">
      <c r="G2962" s="10">
        <v>7961</v>
      </c>
      <c r="H2962" s="9">
        <v>56900</v>
      </c>
      <c r="I2962" s="14">
        <f>DATE(2012,12,31)-401</f>
        <v>40873</v>
      </c>
      <c r="J2962" s="15" t="s">
        <v>28</v>
      </c>
      <c r="K2962" s="9">
        <v>16</v>
      </c>
      <c r="L2962" s="16" t="s">
        <v>26</v>
      </c>
      <c r="M2962" s="16">
        <f t="shared" si="279"/>
        <v>-0.66102186233469074</v>
      </c>
      <c r="N2962">
        <f t="shared" si="280"/>
        <v>0</v>
      </c>
      <c r="O2962">
        <f t="shared" si="281"/>
        <v>0</v>
      </c>
      <c r="P2962">
        <f t="shared" si="278"/>
        <v>4200</v>
      </c>
      <c r="Q2962">
        <f t="shared" si="282"/>
        <v>4200</v>
      </c>
      <c r="T2962" s="16">
        <f t="shared" si="283"/>
        <v>-0.66102186233469118</v>
      </c>
    </row>
    <row r="2963" spans="7:20" ht="14.4" x14ac:dyDescent="0.25">
      <c r="G2963" s="10">
        <v>7974</v>
      </c>
      <c r="H2963" s="9">
        <v>57056</v>
      </c>
      <c r="I2963" s="14">
        <f>DATE(2012,12,31)-53</f>
        <v>41221</v>
      </c>
      <c r="J2963" s="15" t="s">
        <v>25</v>
      </c>
      <c r="K2963" s="9">
        <v>29</v>
      </c>
      <c r="L2963" s="16" t="s">
        <v>29</v>
      </c>
      <c r="M2963" s="16">
        <f t="shared" si="279"/>
        <v>0.23675523371518786</v>
      </c>
      <c r="N2963">
        <f t="shared" si="280"/>
        <v>0</v>
      </c>
      <c r="O2963">
        <f t="shared" si="281"/>
        <v>0</v>
      </c>
      <c r="P2963">
        <f t="shared" si="278"/>
        <v>4850</v>
      </c>
      <c r="Q2963">
        <f t="shared" si="282"/>
        <v>4850</v>
      </c>
      <c r="T2963" s="16">
        <f t="shared" si="283"/>
        <v>0.2367552337151875</v>
      </c>
    </row>
    <row r="2964" spans="7:20" ht="14.4" x14ac:dyDescent="0.25">
      <c r="G2964" s="10">
        <v>8170</v>
      </c>
      <c r="H2964" s="9">
        <v>58372</v>
      </c>
      <c r="I2964" s="14">
        <f>DATE(2012,12,31)-639</f>
        <v>40635</v>
      </c>
      <c r="J2964" s="15" t="s">
        <v>25</v>
      </c>
      <c r="K2964" s="9">
        <v>48</v>
      </c>
      <c r="L2964" s="16" t="s">
        <v>26</v>
      </c>
      <c r="M2964" s="16">
        <f t="shared" si="279"/>
        <v>1.5488909894803951</v>
      </c>
      <c r="N2964">
        <f t="shared" si="280"/>
        <v>0</v>
      </c>
      <c r="O2964">
        <f t="shared" si="281"/>
        <v>0</v>
      </c>
      <c r="P2964">
        <f t="shared" si="278"/>
        <v>5800</v>
      </c>
      <c r="Q2964">
        <f t="shared" si="282"/>
        <v>5800</v>
      </c>
      <c r="T2964" s="16">
        <f t="shared" si="283"/>
        <v>1.5488909894803948</v>
      </c>
    </row>
    <row r="2965" spans="7:20" ht="14.4" x14ac:dyDescent="0.25">
      <c r="G2965" s="10">
        <v>8297</v>
      </c>
      <c r="H2965" s="9">
        <v>59270</v>
      </c>
      <c r="I2965" s="14">
        <f>DATE(2012,12,31)-1085</f>
        <v>40189</v>
      </c>
      <c r="J2965" s="15" t="s">
        <v>17</v>
      </c>
      <c r="K2965" s="9">
        <v>48</v>
      </c>
      <c r="L2965" s="16" t="s">
        <v>27</v>
      </c>
      <c r="M2965" s="16">
        <f t="shared" si="279"/>
        <v>1.5488909894803951</v>
      </c>
      <c r="N2965">
        <f t="shared" si="280"/>
        <v>0</v>
      </c>
      <c r="O2965">
        <f t="shared" si="281"/>
        <v>0</v>
      </c>
      <c r="P2965">
        <f t="shared" si="278"/>
        <v>5800</v>
      </c>
      <c r="Q2965">
        <f t="shared" si="282"/>
        <v>5800</v>
      </c>
      <c r="T2965" s="16">
        <f t="shared" si="283"/>
        <v>1.5488909894803948</v>
      </c>
    </row>
    <row r="2966" spans="7:20" ht="14.4" x14ac:dyDescent="0.25">
      <c r="G2966" s="10">
        <v>8298</v>
      </c>
      <c r="H2966" s="9">
        <v>59270</v>
      </c>
      <c r="I2966" s="14">
        <f>DATE(2012,12,31)-1085</f>
        <v>40189</v>
      </c>
      <c r="J2966" s="15" t="s">
        <v>17</v>
      </c>
      <c r="K2966" s="9">
        <v>14</v>
      </c>
      <c r="L2966" s="16" t="s">
        <v>26</v>
      </c>
      <c r="M2966" s="16">
        <f t="shared" si="279"/>
        <v>-0.79914141557313367</v>
      </c>
      <c r="N2966">
        <f t="shared" si="280"/>
        <v>0</v>
      </c>
      <c r="O2966">
        <f t="shared" si="281"/>
        <v>0</v>
      </c>
      <c r="P2966">
        <f t="shared" si="278"/>
        <v>4100</v>
      </c>
      <c r="Q2966">
        <f t="shared" si="282"/>
        <v>4100</v>
      </c>
      <c r="T2966" s="16">
        <f t="shared" si="283"/>
        <v>-0.79914141557313401</v>
      </c>
    </row>
    <row r="2967" spans="7:20" ht="14.4" x14ac:dyDescent="0.25">
      <c r="G2967" s="10">
        <v>8343</v>
      </c>
      <c r="H2967" s="9">
        <v>59619</v>
      </c>
      <c r="I2967" s="14">
        <f>DATE(2012,12,31)-1052</f>
        <v>40222</v>
      </c>
      <c r="J2967" s="15" t="s">
        <v>28</v>
      </c>
      <c r="K2967" s="9">
        <v>12</v>
      </c>
      <c r="L2967" s="16" t="s">
        <v>26</v>
      </c>
      <c r="M2967" s="16">
        <f t="shared" si="279"/>
        <v>-0.9372609688115765</v>
      </c>
      <c r="N2967">
        <f t="shared" si="280"/>
        <v>0</v>
      </c>
      <c r="O2967">
        <f t="shared" si="281"/>
        <v>0</v>
      </c>
      <c r="P2967">
        <f t="shared" si="278"/>
        <v>4000</v>
      </c>
      <c r="Q2967">
        <f t="shared" si="282"/>
        <v>4000</v>
      </c>
      <c r="T2967" s="16">
        <f t="shared" si="283"/>
        <v>-0.93726096881157694</v>
      </c>
    </row>
    <row r="2968" spans="7:20" ht="14.4" x14ac:dyDescent="0.25">
      <c r="G2968" s="10">
        <v>8367</v>
      </c>
      <c r="H2968" s="9">
        <v>59781</v>
      </c>
      <c r="I2968" s="14">
        <f>DATE(2012,12,31)-19</f>
        <v>41255</v>
      </c>
      <c r="J2968" s="15" t="s">
        <v>28</v>
      </c>
      <c r="K2968" s="9">
        <v>24</v>
      </c>
      <c r="L2968" s="16" t="s">
        <v>29</v>
      </c>
      <c r="M2968" s="16">
        <f t="shared" si="279"/>
        <v>-0.1085436493809193</v>
      </c>
      <c r="N2968">
        <f t="shared" si="280"/>
        <v>0</v>
      </c>
      <c r="O2968">
        <f t="shared" si="281"/>
        <v>0</v>
      </c>
      <c r="P2968">
        <f t="shared" si="278"/>
        <v>4600</v>
      </c>
      <c r="Q2968">
        <f t="shared" si="282"/>
        <v>4600</v>
      </c>
      <c r="T2968" s="16">
        <f t="shared" si="283"/>
        <v>-0.10854364938091969</v>
      </c>
    </row>
    <row r="2969" spans="7:20" ht="14.4" x14ac:dyDescent="0.25">
      <c r="G2969" s="10">
        <v>23</v>
      </c>
      <c r="H2969" s="9">
        <v>132</v>
      </c>
      <c r="I2969" s="14">
        <f>DATE(2012,12,31)-935</f>
        <v>40339</v>
      </c>
      <c r="J2969" s="15" t="s">
        <v>16</v>
      </c>
      <c r="K2969" s="9">
        <v>30</v>
      </c>
      <c r="L2969" s="16" t="s">
        <v>29</v>
      </c>
      <c r="M2969" s="16">
        <f t="shared" si="279"/>
        <v>0.30581501033440933</v>
      </c>
      <c r="N2969">
        <f t="shared" si="280"/>
        <v>0</v>
      </c>
      <c r="O2969">
        <f t="shared" si="281"/>
        <v>0</v>
      </c>
      <c r="P2969">
        <f t="shared" si="278"/>
        <v>4900</v>
      </c>
      <c r="Q2969">
        <f t="shared" si="282"/>
        <v>4900</v>
      </c>
      <c r="T2969" s="16">
        <f t="shared" si="283"/>
        <v>0.30581501033440894</v>
      </c>
    </row>
    <row r="2970" spans="7:20" ht="14.4" x14ac:dyDescent="0.25">
      <c r="G2970" s="10">
        <v>42</v>
      </c>
      <c r="H2970" s="9">
        <v>258</v>
      </c>
      <c r="I2970" s="14">
        <f>DATE(2012,12,31)-734</f>
        <v>40540</v>
      </c>
      <c r="J2970" s="15" t="s">
        <v>30</v>
      </c>
      <c r="K2970" s="9">
        <v>21</v>
      </c>
      <c r="L2970" s="16" t="s">
        <v>26</v>
      </c>
      <c r="M2970" s="16">
        <f t="shared" si="279"/>
        <v>-0.31572297923858361</v>
      </c>
      <c r="N2970">
        <f t="shared" si="280"/>
        <v>0</v>
      </c>
      <c r="O2970">
        <f t="shared" si="281"/>
        <v>0</v>
      </c>
      <c r="P2970">
        <f t="shared" si="278"/>
        <v>4450</v>
      </c>
      <c r="Q2970">
        <f t="shared" si="282"/>
        <v>4450</v>
      </c>
      <c r="T2970" s="16">
        <f t="shared" si="283"/>
        <v>-0.315722979238584</v>
      </c>
    </row>
    <row r="2971" spans="7:20" ht="14.4" x14ac:dyDescent="0.25">
      <c r="G2971" s="10">
        <v>43</v>
      </c>
      <c r="H2971" s="9">
        <v>258</v>
      </c>
      <c r="I2971" s="14">
        <f>DATE(2012,12,31)-734</f>
        <v>40540</v>
      </c>
      <c r="J2971" s="15" t="s">
        <v>30</v>
      </c>
      <c r="K2971" s="9">
        <v>7</v>
      </c>
      <c r="L2971" s="16" t="s">
        <v>26</v>
      </c>
      <c r="M2971" s="16">
        <f t="shared" si="279"/>
        <v>-1.2825598519076837</v>
      </c>
      <c r="N2971">
        <f t="shared" si="280"/>
        <v>0</v>
      </c>
      <c r="O2971">
        <f t="shared" si="281"/>
        <v>0</v>
      </c>
      <c r="P2971">
        <f t="shared" si="278"/>
        <v>3750</v>
      </c>
      <c r="Q2971">
        <f t="shared" si="282"/>
        <v>3750</v>
      </c>
      <c r="T2971" s="16">
        <f t="shared" si="283"/>
        <v>-1.2825598519076842</v>
      </c>
    </row>
    <row r="2972" spans="7:20" ht="14.4" x14ac:dyDescent="0.25">
      <c r="G2972" s="10">
        <v>57</v>
      </c>
      <c r="H2972" s="9">
        <v>325</v>
      </c>
      <c r="I2972" s="14">
        <f>DATE(2012,12,31)-807</f>
        <v>40467</v>
      </c>
      <c r="J2972" s="15" t="s">
        <v>25</v>
      </c>
      <c r="K2972" s="9">
        <v>9</v>
      </c>
      <c r="L2972" s="16" t="s">
        <v>27</v>
      </c>
      <c r="M2972" s="16">
        <f t="shared" si="279"/>
        <v>-1.1444402986692408</v>
      </c>
      <c r="N2972">
        <f t="shared" si="280"/>
        <v>0</v>
      </c>
      <c r="O2972">
        <f t="shared" si="281"/>
        <v>0</v>
      </c>
      <c r="P2972">
        <f t="shared" si="278"/>
        <v>3850</v>
      </c>
      <c r="Q2972">
        <f t="shared" si="282"/>
        <v>3850</v>
      </c>
      <c r="T2972" s="16">
        <f t="shared" si="283"/>
        <v>-1.1444402986692412</v>
      </c>
    </row>
    <row r="2973" spans="7:20" ht="14.4" x14ac:dyDescent="0.25">
      <c r="G2973" s="10">
        <v>217</v>
      </c>
      <c r="H2973" s="9">
        <v>1444</v>
      </c>
      <c r="I2973" s="14">
        <f>DATE(2012,12,31)-1122</f>
        <v>40152</v>
      </c>
      <c r="J2973" s="15" t="s">
        <v>16</v>
      </c>
      <c r="K2973" s="9">
        <v>32</v>
      </c>
      <c r="L2973" s="16" t="s">
        <v>27</v>
      </c>
      <c r="M2973" s="16">
        <f t="shared" si="279"/>
        <v>0.44393456357285216</v>
      </c>
      <c r="N2973">
        <f t="shared" si="280"/>
        <v>0</v>
      </c>
      <c r="O2973">
        <f t="shared" si="281"/>
        <v>0</v>
      </c>
      <c r="P2973">
        <f t="shared" si="278"/>
        <v>5000</v>
      </c>
      <c r="Q2973">
        <f t="shared" si="282"/>
        <v>5000</v>
      </c>
      <c r="T2973" s="16">
        <f t="shared" si="283"/>
        <v>0.44393456357285183</v>
      </c>
    </row>
    <row r="2974" spans="7:20" ht="14.4" x14ac:dyDescent="0.25">
      <c r="G2974" s="10">
        <v>302</v>
      </c>
      <c r="H2974" s="9">
        <v>2084</v>
      </c>
      <c r="I2974" s="14">
        <f>DATE(2012,12,31)-1021</f>
        <v>40253</v>
      </c>
      <c r="J2974" s="15" t="s">
        <v>17</v>
      </c>
      <c r="K2974" s="9">
        <v>16</v>
      </c>
      <c r="L2974" s="16" t="s">
        <v>26</v>
      </c>
      <c r="M2974" s="16">
        <f t="shared" si="279"/>
        <v>-0.66102186233469074</v>
      </c>
      <c r="N2974">
        <f t="shared" si="280"/>
        <v>0</v>
      </c>
      <c r="O2974">
        <f t="shared" si="281"/>
        <v>0</v>
      </c>
      <c r="P2974">
        <f t="shared" si="278"/>
        <v>4200</v>
      </c>
      <c r="Q2974">
        <f t="shared" si="282"/>
        <v>4200</v>
      </c>
      <c r="T2974" s="16">
        <f t="shared" si="283"/>
        <v>-0.66102186233469118</v>
      </c>
    </row>
    <row r="2975" spans="7:20" ht="14.4" x14ac:dyDescent="0.25">
      <c r="G2975" s="10">
        <v>480</v>
      </c>
      <c r="H2975" s="9">
        <v>3332</v>
      </c>
      <c r="I2975" s="14">
        <f>DATE(2012,12,31)-1153</f>
        <v>40121</v>
      </c>
      <c r="J2975" s="15" t="s">
        <v>30</v>
      </c>
      <c r="K2975" s="9">
        <v>6</v>
      </c>
      <c r="L2975" s="16" t="s">
        <v>26</v>
      </c>
      <c r="M2975" s="16">
        <f t="shared" si="279"/>
        <v>-1.3516196285269051</v>
      </c>
      <c r="N2975">
        <f t="shared" si="280"/>
        <v>0</v>
      </c>
      <c r="O2975">
        <f t="shared" si="281"/>
        <v>0</v>
      </c>
      <c r="P2975">
        <f t="shared" si="278"/>
        <v>3700</v>
      </c>
      <c r="Q2975">
        <f t="shared" si="282"/>
        <v>3700</v>
      </c>
      <c r="T2975" s="16">
        <f t="shared" si="283"/>
        <v>-1.3516196285269055</v>
      </c>
    </row>
    <row r="2976" spans="7:20" ht="14.4" x14ac:dyDescent="0.25">
      <c r="G2976" s="10">
        <v>494</v>
      </c>
      <c r="H2976" s="9">
        <v>3397</v>
      </c>
      <c r="I2976" s="14">
        <f>DATE(2012,12,31)-1288</f>
        <v>39986</v>
      </c>
      <c r="J2976" s="15" t="s">
        <v>16</v>
      </c>
      <c r="K2976" s="9">
        <v>43</v>
      </c>
      <c r="L2976" s="16" t="s">
        <v>27</v>
      </c>
      <c r="M2976" s="16">
        <f t="shared" si="279"/>
        <v>1.203592106384288</v>
      </c>
      <c r="N2976">
        <f t="shared" si="280"/>
        <v>0</v>
      </c>
      <c r="O2976">
        <f t="shared" si="281"/>
        <v>0</v>
      </c>
      <c r="P2976">
        <f t="shared" si="278"/>
        <v>5550</v>
      </c>
      <c r="Q2976">
        <f t="shared" si="282"/>
        <v>5550</v>
      </c>
      <c r="T2976" s="16">
        <f t="shared" si="283"/>
        <v>1.2035921063842876</v>
      </c>
    </row>
    <row r="2977" spans="7:20" ht="14.4" x14ac:dyDescent="0.25">
      <c r="G2977" s="10">
        <v>519</v>
      </c>
      <c r="H2977" s="9">
        <v>3556</v>
      </c>
      <c r="I2977" s="14">
        <f>DATE(2012,12,31)-100</f>
        <v>41174</v>
      </c>
      <c r="J2977" s="15" t="s">
        <v>28</v>
      </c>
      <c r="K2977" s="9">
        <v>41</v>
      </c>
      <c r="L2977" s="16" t="s">
        <v>29</v>
      </c>
      <c r="M2977" s="16">
        <f t="shared" si="279"/>
        <v>1.0654725531458451</v>
      </c>
      <c r="N2977">
        <f t="shared" si="280"/>
        <v>0</v>
      </c>
      <c r="O2977">
        <f t="shared" si="281"/>
        <v>0</v>
      </c>
      <c r="P2977">
        <f t="shared" si="278"/>
        <v>5450</v>
      </c>
      <c r="Q2977">
        <f t="shared" si="282"/>
        <v>5450</v>
      </c>
      <c r="T2977" s="16">
        <f t="shared" si="283"/>
        <v>1.0654725531458447</v>
      </c>
    </row>
    <row r="2978" spans="7:20" ht="14.4" x14ac:dyDescent="0.25">
      <c r="G2978" s="10">
        <v>529</v>
      </c>
      <c r="H2978" s="9">
        <v>3589</v>
      </c>
      <c r="I2978" s="14">
        <f>DATE(2012,12,31)-1316</f>
        <v>39958</v>
      </c>
      <c r="J2978" s="15" t="s">
        <v>17</v>
      </c>
      <c r="K2978" s="9">
        <v>23</v>
      </c>
      <c r="L2978" s="16" t="s">
        <v>26</v>
      </c>
      <c r="M2978" s="16">
        <f t="shared" si="279"/>
        <v>-0.17760342600014073</v>
      </c>
      <c r="N2978">
        <f t="shared" si="280"/>
        <v>0</v>
      </c>
      <c r="O2978">
        <f t="shared" si="281"/>
        <v>0</v>
      </c>
      <c r="P2978">
        <f t="shared" si="278"/>
        <v>4550</v>
      </c>
      <c r="Q2978">
        <f t="shared" si="282"/>
        <v>4550</v>
      </c>
      <c r="T2978" s="16">
        <f t="shared" si="283"/>
        <v>-0.17760342600014112</v>
      </c>
    </row>
    <row r="2979" spans="7:20" ht="14.4" x14ac:dyDescent="0.25">
      <c r="G2979" s="10">
        <v>573</v>
      </c>
      <c r="H2979" s="9">
        <v>3905</v>
      </c>
      <c r="I2979" s="14">
        <f>DATE(2012,12,31)-742</f>
        <v>40532</v>
      </c>
      <c r="J2979" s="15" t="s">
        <v>28</v>
      </c>
      <c r="K2979" s="9">
        <v>42</v>
      </c>
      <c r="L2979" s="16" t="s">
        <v>29</v>
      </c>
      <c r="M2979" s="16">
        <f t="shared" si="279"/>
        <v>1.1345323297650665</v>
      </c>
      <c r="N2979">
        <f t="shared" si="280"/>
        <v>0</v>
      </c>
      <c r="O2979">
        <f t="shared" si="281"/>
        <v>0</v>
      </c>
      <c r="P2979">
        <f t="shared" si="278"/>
        <v>5500</v>
      </c>
      <c r="Q2979">
        <f t="shared" si="282"/>
        <v>5500</v>
      </c>
      <c r="T2979" s="16">
        <f t="shared" si="283"/>
        <v>1.1345323297650662</v>
      </c>
    </row>
    <row r="2980" spans="7:20" ht="14.4" x14ac:dyDescent="0.25">
      <c r="G2980" s="10">
        <v>590</v>
      </c>
      <c r="H2980" s="9">
        <v>4033</v>
      </c>
      <c r="I2980" s="14">
        <f>DATE(2012,12,31)-944</f>
        <v>40330</v>
      </c>
      <c r="J2980" s="15" t="s">
        <v>25</v>
      </c>
      <c r="K2980" s="9">
        <v>38</v>
      </c>
      <c r="L2980" s="16" t="s">
        <v>29</v>
      </c>
      <c r="M2980" s="16">
        <f t="shared" si="279"/>
        <v>0.85829322328818081</v>
      </c>
      <c r="N2980">
        <f t="shared" si="280"/>
        <v>0</v>
      </c>
      <c r="O2980">
        <f t="shared" si="281"/>
        <v>0</v>
      </c>
      <c r="P2980">
        <f t="shared" si="278"/>
        <v>5300</v>
      </c>
      <c r="Q2980">
        <f t="shared" si="282"/>
        <v>5300</v>
      </c>
      <c r="T2980" s="16">
        <f t="shared" si="283"/>
        <v>0.85829322328818036</v>
      </c>
    </row>
    <row r="2981" spans="7:20" ht="14.4" x14ac:dyDescent="0.25">
      <c r="G2981" s="10">
        <v>662</v>
      </c>
      <c r="H2981" s="9">
        <v>4647</v>
      </c>
      <c r="I2981" s="14">
        <f>DATE(2012,12,31)-1328</f>
        <v>39946</v>
      </c>
      <c r="J2981" s="15" t="s">
        <v>16</v>
      </c>
      <c r="K2981" s="9">
        <v>33</v>
      </c>
      <c r="L2981" s="16" t="s">
        <v>27</v>
      </c>
      <c r="M2981" s="16">
        <f t="shared" si="279"/>
        <v>0.51299434019207357</v>
      </c>
      <c r="N2981">
        <f t="shared" si="280"/>
        <v>0</v>
      </c>
      <c r="O2981">
        <f t="shared" si="281"/>
        <v>0</v>
      </c>
      <c r="P2981">
        <f t="shared" si="278"/>
        <v>5050</v>
      </c>
      <c r="Q2981">
        <f t="shared" si="282"/>
        <v>5050</v>
      </c>
      <c r="T2981" s="16">
        <f t="shared" si="283"/>
        <v>0.51299434019207324</v>
      </c>
    </row>
    <row r="2982" spans="7:20" ht="14.4" x14ac:dyDescent="0.25">
      <c r="G2982" s="10">
        <v>686</v>
      </c>
      <c r="H2982" s="9">
        <v>4773</v>
      </c>
      <c r="I2982" s="14">
        <f>DATE(2012,12,31)-375</f>
        <v>40899</v>
      </c>
      <c r="J2982" s="15" t="s">
        <v>30</v>
      </c>
      <c r="K2982" s="9">
        <v>26</v>
      </c>
      <c r="L2982" s="16" t="s">
        <v>26</v>
      </c>
      <c r="M2982" s="16">
        <f t="shared" si="279"/>
        <v>2.9575903857523567E-2</v>
      </c>
      <c r="N2982">
        <f t="shared" si="280"/>
        <v>0</v>
      </c>
      <c r="O2982">
        <f t="shared" si="281"/>
        <v>0</v>
      </c>
      <c r="P2982">
        <f t="shared" si="278"/>
        <v>4700</v>
      </c>
      <c r="Q2982">
        <f t="shared" si="282"/>
        <v>4700</v>
      </c>
      <c r="T2982" s="16">
        <f t="shared" si="283"/>
        <v>2.9575903857523185E-2</v>
      </c>
    </row>
    <row r="2983" spans="7:20" ht="14.4" x14ac:dyDescent="0.25">
      <c r="G2983" s="10">
        <v>724</v>
      </c>
      <c r="H2983" s="9">
        <v>5189</v>
      </c>
      <c r="I2983" s="14">
        <f>DATE(2012,12,31)-767</f>
        <v>40507</v>
      </c>
      <c r="J2983" s="15" t="s">
        <v>25</v>
      </c>
      <c r="K2983" s="9">
        <v>8</v>
      </c>
      <c r="L2983" s="16" t="s">
        <v>26</v>
      </c>
      <c r="M2983" s="16">
        <f t="shared" si="279"/>
        <v>-1.2135000752884624</v>
      </c>
      <c r="N2983">
        <f t="shared" si="280"/>
        <v>0</v>
      </c>
      <c r="O2983">
        <f t="shared" si="281"/>
        <v>0</v>
      </c>
      <c r="P2983">
        <f t="shared" si="278"/>
        <v>3800</v>
      </c>
      <c r="Q2983">
        <f t="shared" si="282"/>
        <v>3800</v>
      </c>
      <c r="T2983" s="16">
        <f t="shared" si="283"/>
        <v>-1.2135000752884626</v>
      </c>
    </row>
    <row r="2984" spans="7:20" ht="14.4" x14ac:dyDescent="0.25">
      <c r="G2984" s="10">
        <v>772</v>
      </c>
      <c r="H2984" s="9">
        <v>5510</v>
      </c>
      <c r="I2984" s="14">
        <f>DATE(2012,12,31)-1089</f>
        <v>40185</v>
      </c>
      <c r="J2984" s="15" t="s">
        <v>16</v>
      </c>
      <c r="K2984" s="9">
        <v>12</v>
      </c>
      <c r="L2984" s="16" t="s">
        <v>26</v>
      </c>
      <c r="M2984" s="16">
        <f t="shared" si="279"/>
        <v>-0.9372609688115765</v>
      </c>
      <c r="N2984">
        <f t="shared" si="280"/>
        <v>0</v>
      </c>
      <c r="O2984">
        <f t="shared" si="281"/>
        <v>0</v>
      </c>
      <c r="P2984">
        <f t="shared" si="278"/>
        <v>4000</v>
      </c>
      <c r="Q2984">
        <f t="shared" si="282"/>
        <v>4000</v>
      </c>
      <c r="T2984" s="16">
        <f t="shared" si="283"/>
        <v>-0.93726096881157694</v>
      </c>
    </row>
    <row r="2985" spans="7:20" ht="14.4" x14ac:dyDescent="0.25">
      <c r="G2985" s="10">
        <v>886</v>
      </c>
      <c r="H2985" s="9">
        <v>6369</v>
      </c>
      <c r="I2985" s="14">
        <f>DATE(2012,12,31)-1108</f>
        <v>40166</v>
      </c>
      <c r="J2985" s="15" t="s">
        <v>17</v>
      </c>
      <c r="K2985" s="9">
        <v>30</v>
      </c>
      <c r="L2985" s="16" t="s">
        <v>29</v>
      </c>
      <c r="M2985" s="16">
        <f t="shared" si="279"/>
        <v>0.30581501033440933</v>
      </c>
      <c r="N2985">
        <f t="shared" si="280"/>
        <v>0</v>
      </c>
      <c r="O2985">
        <f t="shared" si="281"/>
        <v>0</v>
      </c>
      <c r="P2985">
        <f t="shared" si="278"/>
        <v>4900</v>
      </c>
      <c r="Q2985">
        <f t="shared" si="282"/>
        <v>4900</v>
      </c>
      <c r="T2985" s="16">
        <f t="shared" si="283"/>
        <v>0.30581501033440894</v>
      </c>
    </row>
    <row r="2986" spans="7:20" ht="14.4" x14ac:dyDescent="0.25">
      <c r="G2986" s="10">
        <v>887</v>
      </c>
      <c r="H2986" s="9">
        <v>6373</v>
      </c>
      <c r="I2986" s="14">
        <f>DATE(2012,12,31)-343</f>
        <v>40931</v>
      </c>
      <c r="J2986" s="15" t="s">
        <v>28</v>
      </c>
      <c r="K2986" s="9">
        <v>1</v>
      </c>
      <c r="L2986" s="16" t="s">
        <v>26</v>
      </c>
      <c r="M2986" s="16">
        <f t="shared" si="279"/>
        <v>-1.6969185116230123</v>
      </c>
      <c r="N2986">
        <f t="shared" si="280"/>
        <v>0</v>
      </c>
      <c r="O2986">
        <f t="shared" si="281"/>
        <v>0</v>
      </c>
      <c r="P2986">
        <f t="shared" si="278"/>
        <v>3450</v>
      </c>
      <c r="Q2986">
        <f t="shared" si="282"/>
        <v>3450</v>
      </c>
      <c r="T2986" s="16">
        <f t="shared" si="283"/>
        <v>-1.6969185116230128</v>
      </c>
    </row>
    <row r="2987" spans="7:20" ht="14.4" x14ac:dyDescent="0.25">
      <c r="G2987" s="10">
        <v>900</v>
      </c>
      <c r="H2987" s="9">
        <v>6465</v>
      </c>
      <c r="I2987" s="14">
        <f>DATE(2012,12,31)-507</f>
        <v>40767</v>
      </c>
      <c r="J2987" s="15" t="s">
        <v>25</v>
      </c>
      <c r="K2987" s="9">
        <v>36</v>
      </c>
      <c r="L2987" s="16" t="s">
        <v>26</v>
      </c>
      <c r="M2987" s="16">
        <f t="shared" si="279"/>
        <v>0.72017367004973787</v>
      </c>
      <c r="N2987">
        <f t="shared" si="280"/>
        <v>0</v>
      </c>
      <c r="O2987">
        <f t="shared" si="281"/>
        <v>0</v>
      </c>
      <c r="P2987">
        <f t="shared" si="278"/>
        <v>5200</v>
      </c>
      <c r="Q2987">
        <f t="shared" si="282"/>
        <v>5200</v>
      </c>
      <c r="T2987" s="16">
        <f t="shared" si="283"/>
        <v>0.72017367004973754</v>
      </c>
    </row>
    <row r="2988" spans="7:20" ht="14.4" x14ac:dyDescent="0.25">
      <c r="G2988" s="10">
        <v>953</v>
      </c>
      <c r="H2988" s="9">
        <v>6885</v>
      </c>
      <c r="I2988" s="14">
        <f>DATE(2012,12,31)-195</f>
        <v>41079</v>
      </c>
      <c r="J2988" s="15" t="s">
        <v>25</v>
      </c>
      <c r="K2988" s="9">
        <v>40</v>
      </c>
      <c r="L2988" s="16" t="s">
        <v>27</v>
      </c>
      <c r="M2988" s="16">
        <f t="shared" si="279"/>
        <v>0.99641277652662363</v>
      </c>
      <c r="N2988">
        <f t="shared" si="280"/>
        <v>0</v>
      </c>
      <c r="O2988">
        <f t="shared" si="281"/>
        <v>0</v>
      </c>
      <c r="P2988">
        <f t="shared" si="278"/>
        <v>5400</v>
      </c>
      <c r="Q2988">
        <f t="shared" si="282"/>
        <v>5400</v>
      </c>
      <c r="T2988" s="16">
        <f t="shared" si="283"/>
        <v>0.9964127765266233</v>
      </c>
    </row>
    <row r="2989" spans="7:20" ht="14.4" x14ac:dyDescent="0.25">
      <c r="G2989" s="10">
        <v>1004</v>
      </c>
      <c r="H2989" s="9">
        <v>7297</v>
      </c>
      <c r="I2989" s="14">
        <f>DATE(2012,12,31)-1204</f>
        <v>40070</v>
      </c>
      <c r="J2989" s="15" t="s">
        <v>17</v>
      </c>
      <c r="K2989" s="9">
        <v>4</v>
      </c>
      <c r="L2989" s="16" t="s">
        <v>29</v>
      </c>
      <c r="M2989" s="16">
        <f t="shared" si="279"/>
        <v>-1.489739181765348</v>
      </c>
      <c r="N2989">
        <f t="shared" si="280"/>
        <v>0</v>
      </c>
      <c r="O2989">
        <f t="shared" si="281"/>
        <v>0</v>
      </c>
      <c r="P2989">
        <f t="shared" si="278"/>
        <v>3600</v>
      </c>
      <c r="Q2989">
        <f t="shared" si="282"/>
        <v>3600</v>
      </c>
      <c r="T2989" s="16">
        <f t="shared" si="283"/>
        <v>-1.4897391817653485</v>
      </c>
    </row>
    <row r="2990" spans="7:20" ht="14.4" x14ac:dyDescent="0.25">
      <c r="G2990" s="10">
        <v>1009</v>
      </c>
      <c r="H2990" s="9">
        <v>7367</v>
      </c>
      <c r="I2990" s="14">
        <f>DATE(2012,12,31)-575</f>
        <v>40699</v>
      </c>
      <c r="J2990" s="15" t="s">
        <v>25</v>
      </c>
      <c r="K2990" s="9">
        <v>48</v>
      </c>
      <c r="L2990" s="16" t="s">
        <v>26</v>
      </c>
      <c r="M2990" s="16">
        <f t="shared" si="279"/>
        <v>1.5488909894803951</v>
      </c>
      <c r="N2990">
        <f t="shared" si="280"/>
        <v>0</v>
      </c>
      <c r="O2990">
        <f t="shared" si="281"/>
        <v>0</v>
      </c>
      <c r="P2990">
        <f t="shared" si="278"/>
        <v>5800</v>
      </c>
      <c r="Q2990">
        <f t="shared" si="282"/>
        <v>5800</v>
      </c>
      <c r="T2990" s="16">
        <f t="shared" si="283"/>
        <v>1.5488909894803948</v>
      </c>
    </row>
    <row r="2991" spans="7:20" ht="14.4" x14ac:dyDescent="0.25">
      <c r="G2991" s="10">
        <v>1051</v>
      </c>
      <c r="H2991" s="9">
        <v>7751</v>
      </c>
      <c r="I2991" s="14">
        <f>DATE(2012,12,31)-8</f>
        <v>41266</v>
      </c>
      <c r="J2991" s="15" t="s">
        <v>28</v>
      </c>
      <c r="K2991" s="9">
        <v>45</v>
      </c>
      <c r="L2991" s="16" t="s">
        <v>29</v>
      </c>
      <c r="M2991" s="16">
        <f t="shared" si="279"/>
        <v>1.3417116596227308</v>
      </c>
      <c r="N2991">
        <f t="shared" si="280"/>
        <v>0</v>
      </c>
      <c r="O2991">
        <f t="shared" si="281"/>
        <v>0</v>
      </c>
      <c r="P2991">
        <f t="shared" si="278"/>
        <v>5650</v>
      </c>
      <c r="Q2991">
        <f t="shared" si="282"/>
        <v>5650</v>
      </c>
      <c r="T2991" s="16">
        <f t="shared" si="283"/>
        <v>1.3417116596227305</v>
      </c>
    </row>
    <row r="2992" spans="7:20" ht="14.4" x14ac:dyDescent="0.25">
      <c r="G2992" s="10">
        <v>1159</v>
      </c>
      <c r="H2992" s="9">
        <v>8422</v>
      </c>
      <c r="I2992" s="14">
        <f>DATE(2012,12,31)-1357</f>
        <v>39917</v>
      </c>
      <c r="J2992" s="15" t="s">
        <v>16</v>
      </c>
      <c r="K2992" s="9">
        <v>18</v>
      </c>
      <c r="L2992" s="16" t="s">
        <v>29</v>
      </c>
      <c r="M2992" s="16">
        <f t="shared" si="279"/>
        <v>-0.52290230909624791</v>
      </c>
      <c r="N2992">
        <f t="shared" si="280"/>
        <v>0</v>
      </c>
      <c r="O2992">
        <f t="shared" si="281"/>
        <v>0</v>
      </c>
      <c r="P2992">
        <f t="shared" si="278"/>
        <v>4300</v>
      </c>
      <c r="Q2992">
        <f t="shared" si="282"/>
        <v>4300</v>
      </c>
      <c r="T2992" s="16">
        <f t="shared" si="283"/>
        <v>-0.52290230909624835</v>
      </c>
    </row>
    <row r="2993" spans="7:20" ht="14.4" x14ac:dyDescent="0.25">
      <c r="G2993" s="10">
        <v>1244</v>
      </c>
      <c r="H2993" s="9">
        <v>9062</v>
      </c>
      <c r="I2993" s="14">
        <f>DATE(2012,12,31)-652</f>
        <v>40622</v>
      </c>
      <c r="J2993" s="15" t="s">
        <v>17</v>
      </c>
      <c r="K2993" s="9">
        <v>32</v>
      </c>
      <c r="L2993" s="16" t="s">
        <v>26</v>
      </c>
      <c r="M2993" s="16">
        <f t="shared" si="279"/>
        <v>0.44393456357285216</v>
      </c>
      <c r="N2993">
        <f t="shared" si="280"/>
        <v>0</v>
      </c>
      <c r="O2993">
        <f t="shared" si="281"/>
        <v>0</v>
      </c>
      <c r="P2993">
        <f t="shared" si="278"/>
        <v>5000</v>
      </c>
      <c r="Q2993">
        <f t="shared" si="282"/>
        <v>5000</v>
      </c>
      <c r="T2993" s="16">
        <f t="shared" si="283"/>
        <v>0.44393456357285183</v>
      </c>
    </row>
    <row r="2994" spans="7:20" ht="14.4" x14ac:dyDescent="0.25">
      <c r="G2994" s="10">
        <v>1403</v>
      </c>
      <c r="H2994" s="9">
        <v>10209</v>
      </c>
      <c r="I2994" s="14">
        <f>DATE(2012,12,31)-763</f>
        <v>40511</v>
      </c>
      <c r="J2994" s="15" t="s">
        <v>16</v>
      </c>
      <c r="K2994" s="9">
        <v>48</v>
      </c>
      <c r="L2994" s="16" t="s">
        <v>26</v>
      </c>
      <c r="M2994" s="16">
        <f t="shared" si="279"/>
        <v>1.5488909894803951</v>
      </c>
      <c r="N2994">
        <f t="shared" si="280"/>
        <v>0</v>
      </c>
      <c r="O2994">
        <f t="shared" si="281"/>
        <v>0</v>
      </c>
      <c r="P2994">
        <f t="shared" si="278"/>
        <v>5800</v>
      </c>
      <c r="Q2994">
        <f t="shared" si="282"/>
        <v>5800</v>
      </c>
      <c r="T2994" s="16">
        <f t="shared" si="283"/>
        <v>1.5488909894803948</v>
      </c>
    </row>
    <row r="2995" spans="7:20" ht="14.4" x14ac:dyDescent="0.25">
      <c r="G2995" s="10">
        <v>1412</v>
      </c>
      <c r="H2995" s="9">
        <v>10245</v>
      </c>
      <c r="I2995" s="14">
        <f>DATE(2012,12,31)-687</f>
        <v>40587</v>
      </c>
      <c r="J2995" s="15" t="s">
        <v>16</v>
      </c>
      <c r="K2995" s="9">
        <v>23</v>
      </c>
      <c r="L2995" s="16" t="s">
        <v>26</v>
      </c>
      <c r="M2995" s="16">
        <f t="shared" si="279"/>
        <v>-0.17760342600014073</v>
      </c>
      <c r="N2995">
        <f t="shared" si="280"/>
        <v>0</v>
      </c>
      <c r="O2995">
        <f t="shared" si="281"/>
        <v>0</v>
      </c>
      <c r="P2995">
        <f t="shared" si="278"/>
        <v>4550</v>
      </c>
      <c r="Q2995">
        <f t="shared" si="282"/>
        <v>4550</v>
      </c>
      <c r="T2995" s="16">
        <f t="shared" si="283"/>
        <v>-0.17760342600014112</v>
      </c>
    </row>
    <row r="2996" spans="7:20" ht="14.4" x14ac:dyDescent="0.25">
      <c r="G2996" s="10">
        <v>1525</v>
      </c>
      <c r="H2996" s="9">
        <v>11008</v>
      </c>
      <c r="I2996" s="14">
        <f>DATE(2012,12,31)-1406</f>
        <v>39868</v>
      </c>
      <c r="J2996" s="15" t="s">
        <v>30</v>
      </c>
      <c r="K2996" s="9">
        <v>17</v>
      </c>
      <c r="L2996" s="16" t="s">
        <v>26</v>
      </c>
      <c r="M2996" s="16">
        <f t="shared" si="279"/>
        <v>-0.59196208571546938</v>
      </c>
      <c r="N2996">
        <f t="shared" si="280"/>
        <v>0</v>
      </c>
      <c r="O2996">
        <f t="shared" si="281"/>
        <v>0</v>
      </c>
      <c r="P2996">
        <f t="shared" si="278"/>
        <v>4250</v>
      </c>
      <c r="Q2996">
        <f t="shared" si="282"/>
        <v>4250</v>
      </c>
      <c r="T2996" s="16">
        <f t="shared" si="283"/>
        <v>-0.59196208571546971</v>
      </c>
    </row>
    <row r="2997" spans="7:20" ht="14.4" x14ac:dyDescent="0.25">
      <c r="G2997" s="10">
        <v>1600</v>
      </c>
      <c r="H2997" s="9">
        <v>11585</v>
      </c>
      <c r="I2997" s="14">
        <f>DATE(2012,12,31)-1387</f>
        <v>39887</v>
      </c>
      <c r="J2997" s="15" t="s">
        <v>16</v>
      </c>
      <c r="K2997" s="9">
        <v>17</v>
      </c>
      <c r="L2997" s="16" t="s">
        <v>27</v>
      </c>
      <c r="M2997" s="16">
        <f t="shared" si="279"/>
        <v>-0.59196208571546938</v>
      </c>
      <c r="N2997">
        <f t="shared" si="280"/>
        <v>0</v>
      </c>
      <c r="O2997">
        <f t="shared" si="281"/>
        <v>0</v>
      </c>
      <c r="P2997">
        <f t="shared" si="278"/>
        <v>4250</v>
      </c>
      <c r="Q2997">
        <f t="shared" si="282"/>
        <v>4250</v>
      </c>
      <c r="T2997" s="16">
        <f t="shared" si="283"/>
        <v>-0.59196208571546971</v>
      </c>
    </row>
    <row r="2998" spans="7:20" ht="14.4" x14ac:dyDescent="0.25">
      <c r="G2998" s="10">
        <v>1870</v>
      </c>
      <c r="H2998" s="9">
        <v>13472</v>
      </c>
      <c r="I2998" s="14">
        <f>DATE(2012,12,31)-432</f>
        <v>40842</v>
      </c>
      <c r="J2998" s="15" t="s">
        <v>30</v>
      </c>
      <c r="K2998" s="9">
        <v>26</v>
      </c>
      <c r="L2998" s="16" t="s">
        <v>26</v>
      </c>
      <c r="M2998" s="16">
        <f t="shared" si="279"/>
        <v>2.9575903857523567E-2</v>
      </c>
      <c r="N2998">
        <f t="shared" si="280"/>
        <v>0</v>
      </c>
      <c r="O2998">
        <f t="shared" si="281"/>
        <v>0</v>
      </c>
      <c r="P2998">
        <f t="shared" si="278"/>
        <v>4700</v>
      </c>
      <c r="Q2998">
        <f t="shared" si="282"/>
        <v>4700</v>
      </c>
      <c r="T2998" s="16">
        <f t="shared" si="283"/>
        <v>2.9575903857523185E-2</v>
      </c>
    </row>
    <row r="2999" spans="7:20" ht="14.4" x14ac:dyDescent="0.25">
      <c r="G2999" s="10">
        <v>1973</v>
      </c>
      <c r="H2999" s="9">
        <v>14114</v>
      </c>
      <c r="I2999" s="14">
        <f>DATE(2012,12,31)-1365</f>
        <v>39909</v>
      </c>
      <c r="J2999" s="15" t="s">
        <v>30</v>
      </c>
      <c r="K2999" s="9">
        <v>29</v>
      </c>
      <c r="L2999" s="16" t="s">
        <v>26</v>
      </c>
      <c r="M2999" s="16">
        <f t="shared" si="279"/>
        <v>0.23675523371518786</v>
      </c>
      <c r="N2999">
        <f t="shared" si="280"/>
        <v>0</v>
      </c>
      <c r="O2999">
        <f t="shared" si="281"/>
        <v>0</v>
      </c>
      <c r="P2999">
        <f t="shared" si="278"/>
        <v>4850</v>
      </c>
      <c r="Q2999">
        <f t="shared" si="282"/>
        <v>4850</v>
      </c>
      <c r="T2999" s="16">
        <f t="shared" si="283"/>
        <v>0.2367552337151875</v>
      </c>
    </row>
    <row r="3000" spans="7:20" ht="14.4" x14ac:dyDescent="0.25">
      <c r="G3000" s="10">
        <v>2060</v>
      </c>
      <c r="H3000" s="9">
        <v>14727</v>
      </c>
      <c r="I3000" s="14">
        <f>DATE(2012,12,31)-165</f>
        <v>41109</v>
      </c>
      <c r="J3000" s="15" t="s">
        <v>16</v>
      </c>
      <c r="K3000" s="9">
        <v>33</v>
      </c>
      <c r="L3000" s="16" t="s">
        <v>26</v>
      </c>
      <c r="M3000" s="16">
        <f t="shared" si="279"/>
        <v>0.51299434019207357</v>
      </c>
      <c r="N3000">
        <f t="shared" si="280"/>
        <v>0</v>
      </c>
      <c r="O3000">
        <f t="shared" si="281"/>
        <v>0</v>
      </c>
      <c r="P3000">
        <f t="shared" si="278"/>
        <v>5050</v>
      </c>
      <c r="Q3000">
        <f t="shared" si="282"/>
        <v>5050</v>
      </c>
      <c r="T3000" s="16">
        <f t="shared" si="283"/>
        <v>0.51299434019207324</v>
      </c>
    </row>
    <row r="3001" spans="7:20" ht="14.4" x14ac:dyDescent="0.25">
      <c r="G3001" s="10">
        <v>2153</v>
      </c>
      <c r="H3001" s="9">
        <v>15399</v>
      </c>
      <c r="I3001" s="14">
        <f>DATE(2012,12,31)-232</f>
        <v>41042</v>
      </c>
      <c r="J3001" s="15" t="s">
        <v>30</v>
      </c>
      <c r="K3001" s="9">
        <v>46</v>
      </c>
      <c r="L3001" s="16" t="s">
        <v>27</v>
      </c>
      <c r="M3001" s="16">
        <f t="shared" si="279"/>
        <v>1.4107714362419523</v>
      </c>
      <c r="N3001">
        <f t="shared" si="280"/>
        <v>0</v>
      </c>
      <c r="O3001">
        <f t="shared" si="281"/>
        <v>0</v>
      </c>
      <c r="P3001">
        <f t="shared" si="278"/>
        <v>5700</v>
      </c>
      <c r="Q3001">
        <f t="shared" si="282"/>
        <v>5700</v>
      </c>
      <c r="T3001" s="16">
        <f t="shared" si="283"/>
        <v>1.4107714362419519</v>
      </c>
    </row>
    <row r="3002" spans="7:20" ht="14.4" x14ac:dyDescent="0.25">
      <c r="G3002" s="10">
        <v>2168</v>
      </c>
      <c r="H3002" s="9">
        <v>15619</v>
      </c>
      <c r="I3002" s="14">
        <f>DATE(2012,12,31)-552</f>
        <v>40722</v>
      </c>
      <c r="J3002" s="15" t="s">
        <v>25</v>
      </c>
      <c r="K3002" s="9">
        <v>9</v>
      </c>
      <c r="L3002" s="16" t="s">
        <v>29</v>
      </c>
      <c r="M3002" s="16">
        <f t="shared" si="279"/>
        <v>-1.1444402986692408</v>
      </c>
      <c r="N3002">
        <f t="shared" si="280"/>
        <v>0</v>
      </c>
      <c r="O3002">
        <f t="shared" si="281"/>
        <v>0</v>
      </c>
      <c r="P3002">
        <f t="shared" si="278"/>
        <v>3850</v>
      </c>
      <c r="Q3002">
        <f t="shared" si="282"/>
        <v>3850</v>
      </c>
      <c r="T3002" s="16">
        <f t="shared" si="283"/>
        <v>-1.1444402986692412</v>
      </c>
    </row>
    <row r="3003" spans="7:20" ht="14.4" x14ac:dyDescent="0.25">
      <c r="G3003" s="10">
        <v>2248</v>
      </c>
      <c r="H3003" s="9">
        <v>16194</v>
      </c>
      <c r="I3003" s="14">
        <f>DATE(2012,12,31)-816</f>
        <v>40458</v>
      </c>
      <c r="J3003" s="15" t="s">
        <v>28</v>
      </c>
      <c r="K3003" s="9">
        <v>24</v>
      </c>
      <c r="L3003" s="16" t="s">
        <v>27</v>
      </c>
      <c r="M3003" s="16">
        <f t="shared" si="279"/>
        <v>-0.1085436493809193</v>
      </c>
      <c r="N3003">
        <f t="shared" si="280"/>
        <v>0</v>
      </c>
      <c r="O3003">
        <f t="shared" si="281"/>
        <v>0</v>
      </c>
      <c r="P3003">
        <f t="shared" si="278"/>
        <v>4600</v>
      </c>
      <c r="Q3003">
        <f t="shared" si="282"/>
        <v>4600</v>
      </c>
      <c r="T3003" s="16">
        <f t="shared" si="283"/>
        <v>-0.10854364938091969</v>
      </c>
    </row>
    <row r="3004" spans="7:20" ht="14.4" x14ac:dyDescent="0.25">
      <c r="G3004" s="10">
        <v>2255</v>
      </c>
      <c r="H3004" s="9">
        <v>16229</v>
      </c>
      <c r="I3004" s="14">
        <f>DATE(2012,12,31)-1373</f>
        <v>39901</v>
      </c>
      <c r="J3004" s="15" t="s">
        <v>17</v>
      </c>
      <c r="K3004" s="9">
        <v>19</v>
      </c>
      <c r="L3004" s="16" t="s">
        <v>27</v>
      </c>
      <c r="M3004" s="16">
        <f t="shared" si="279"/>
        <v>-0.45384253247702649</v>
      </c>
      <c r="N3004">
        <f t="shared" si="280"/>
        <v>0</v>
      </c>
      <c r="O3004">
        <f t="shared" si="281"/>
        <v>0</v>
      </c>
      <c r="P3004">
        <f t="shared" si="278"/>
        <v>4350</v>
      </c>
      <c r="Q3004">
        <f t="shared" si="282"/>
        <v>4350</v>
      </c>
      <c r="T3004" s="16">
        <f t="shared" si="283"/>
        <v>-0.45384253247702688</v>
      </c>
    </row>
    <row r="3005" spans="7:20" ht="14.4" x14ac:dyDescent="0.25">
      <c r="G3005" s="10">
        <v>2260</v>
      </c>
      <c r="H3005" s="9">
        <v>16231</v>
      </c>
      <c r="I3005" s="14">
        <f>DATE(2012,12,31)-118</f>
        <v>41156</v>
      </c>
      <c r="J3005" s="15" t="s">
        <v>25</v>
      </c>
      <c r="K3005" s="9">
        <v>20</v>
      </c>
      <c r="L3005" s="16" t="s">
        <v>29</v>
      </c>
      <c r="M3005" s="16">
        <f t="shared" si="279"/>
        <v>-0.38478275585780503</v>
      </c>
      <c r="N3005">
        <f t="shared" si="280"/>
        <v>0</v>
      </c>
      <c r="O3005">
        <f t="shared" si="281"/>
        <v>0</v>
      </c>
      <c r="P3005">
        <f t="shared" si="278"/>
        <v>4400</v>
      </c>
      <c r="Q3005">
        <f t="shared" si="282"/>
        <v>4400</v>
      </c>
      <c r="T3005" s="16">
        <f t="shared" si="283"/>
        <v>-0.38478275585780541</v>
      </c>
    </row>
    <row r="3006" spans="7:20" ht="14.4" x14ac:dyDescent="0.25">
      <c r="G3006" s="10">
        <v>2312</v>
      </c>
      <c r="H3006" s="9">
        <v>16674</v>
      </c>
      <c r="I3006" s="14">
        <f>DATE(2012,12,31)-612</f>
        <v>40662</v>
      </c>
      <c r="J3006" s="15" t="s">
        <v>25</v>
      </c>
      <c r="K3006" s="9">
        <v>49</v>
      </c>
      <c r="L3006" s="16" t="s">
        <v>26</v>
      </c>
      <c r="M3006" s="16">
        <f t="shared" si="279"/>
        <v>1.6179507660996166</v>
      </c>
      <c r="N3006">
        <f t="shared" si="280"/>
        <v>0</v>
      </c>
      <c r="O3006">
        <f t="shared" si="281"/>
        <v>0</v>
      </c>
      <c r="P3006">
        <f t="shared" si="278"/>
        <v>5850</v>
      </c>
      <c r="Q3006">
        <f t="shared" si="282"/>
        <v>5850</v>
      </c>
      <c r="T3006" s="16">
        <f t="shared" si="283"/>
        <v>1.6179507660996162</v>
      </c>
    </row>
    <row r="3007" spans="7:20" ht="14.4" x14ac:dyDescent="0.25">
      <c r="G3007" s="10">
        <v>2313</v>
      </c>
      <c r="H3007" s="9">
        <v>16674</v>
      </c>
      <c r="I3007" s="14">
        <f>DATE(2012,12,31)-612</f>
        <v>40662</v>
      </c>
      <c r="J3007" s="15" t="s">
        <v>25</v>
      </c>
      <c r="K3007" s="9">
        <v>39</v>
      </c>
      <c r="L3007" s="16" t="s">
        <v>29</v>
      </c>
      <c r="M3007" s="16">
        <f t="shared" si="279"/>
        <v>0.92735299990740228</v>
      </c>
      <c r="N3007">
        <f t="shared" si="280"/>
        <v>0</v>
      </c>
      <c r="O3007">
        <f t="shared" si="281"/>
        <v>0</v>
      </c>
      <c r="P3007">
        <f t="shared" si="278"/>
        <v>5350</v>
      </c>
      <c r="Q3007">
        <f t="shared" si="282"/>
        <v>5350</v>
      </c>
      <c r="T3007" s="16">
        <f t="shared" si="283"/>
        <v>0.92735299990740183</v>
      </c>
    </row>
    <row r="3008" spans="7:20" ht="14.4" x14ac:dyDescent="0.25">
      <c r="G3008" s="10">
        <v>2320</v>
      </c>
      <c r="H3008" s="9">
        <v>16710</v>
      </c>
      <c r="I3008" s="14">
        <f>DATE(2012,12,31)-617</f>
        <v>40657</v>
      </c>
      <c r="J3008" s="15" t="s">
        <v>17</v>
      </c>
      <c r="K3008" s="9">
        <v>47</v>
      </c>
      <c r="L3008" s="16" t="s">
        <v>27</v>
      </c>
      <c r="M3008" s="16">
        <f t="shared" si="279"/>
        <v>1.4798312128611737</v>
      </c>
      <c r="N3008">
        <f t="shared" si="280"/>
        <v>0</v>
      </c>
      <c r="O3008">
        <f t="shared" si="281"/>
        <v>0</v>
      </c>
      <c r="P3008">
        <f t="shared" si="278"/>
        <v>5750</v>
      </c>
      <c r="Q3008">
        <f t="shared" si="282"/>
        <v>5750</v>
      </c>
      <c r="T3008" s="16">
        <f t="shared" si="283"/>
        <v>1.4798312128611733</v>
      </c>
    </row>
    <row r="3009" spans="7:20" ht="14.4" x14ac:dyDescent="0.25">
      <c r="G3009" s="10">
        <v>2401</v>
      </c>
      <c r="H3009" s="9">
        <v>17408</v>
      </c>
      <c r="I3009" s="14">
        <f>DATE(2012,12,31)-1314</f>
        <v>39960</v>
      </c>
      <c r="J3009" s="15" t="s">
        <v>28</v>
      </c>
      <c r="K3009" s="9">
        <v>41</v>
      </c>
      <c r="L3009" s="16" t="s">
        <v>27</v>
      </c>
      <c r="M3009" s="16">
        <f t="shared" si="279"/>
        <v>1.0654725531458451</v>
      </c>
      <c r="N3009">
        <f t="shared" si="280"/>
        <v>0</v>
      </c>
      <c r="O3009">
        <f t="shared" si="281"/>
        <v>0</v>
      </c>
      <c r="P3009">
        <f t="shared" si="278"/>
        <v>5450</v>
      </c>
      <c r="Q3009">
        <f t="shared" si="282"/>
        <v>5450</v>
      </c>
      <c r="T3009" s="16">
        <f t="shared" si="283"/>
        <v>1.0654725531458447</v>
      </c>
    </row>
    <row r="3010" spans="7:20" ht="14.4" x14ac:dyDescent="0.25">
      <c r="G3010" s="10">
        <v>2437</v>
      </c>
      <c r="H3010" s="9">
        <v>17698</v>
      </c>
      <c r="I3010" s="14">
        <f>DATE(2012,12,31)-232</f>
        <v>41042</v>
      </c>
      <c r="J3010" s="15" t="s">
        <v>17</v>
      </c>
      <c r="K3010" s="9">
        <v>22</v>
      </c>
      <c r="L3010" s="16" t="s">
        <v>27</v>
      </c>
      <c r="M3010" s="16">
        <f t="shared" si="279"/>
        <v>-0.24666320261936217</v>
      </c>
      <c r="N3010">
        <f t="shared" si="280"/>
        <v>0</v>
      </c>
      <c r="O3010">
        <f t="shared" si="281"/>
        <v>0</v>
      </c>
      <c r="P3010">
        <f t="shared" si="278"/>
        <v>4500</v>
      </c>
      <c r="Q3010">
        <f t="shared" si="282"/>
        <v>4500</v>
      </c>
      <c r="T3010" s="16">
        <f t="shared" si="283"/>
        <v>-0.24666320261936256</v>
      </c>
    </row>
    <row r="3011" spans="7:20" ht="14.4" x14ac:dyDescent="0.25">
      <c r="G3011" s="10">
        <v>2438</v>
      </c>
      <c r="H3011" s="9">
        <v>17698</v>
      </c>
      <c r="I3011" s="14">
        <f>DATE(2012,12,31)-232</f>
        <v>41042</v>
      </c>
      <c r="J3011" s="15" t="s">
        <v>17</v>
      </c>
      <c r="K3011" s="9">
        <v>40</v>
      </c>
      <c r="L3011" s="16" t="s">
        <v>26</v>
      </c>
      <c r="M3011" s="16">
        <f t="shared" si="279"/>
        <v>0.99641277652662363</v>
      </c>
      <c r="N3011">
        <f t="shared" si="280"/>
        <v>0</v>
      </c>
      <c r="O3011">
        <f t="shared" si="281"/>
        <v>0</v>
      </c>
      <c r="P3011">
        <f t="shared" si="278"/>
        <v>5400</v>
      </c>
      <c r="Q3011">
        <f t="shared" si="282"/>
        <v>5400</v>
      </c>
      <c r="T3011" s="16">
        <f t="shared" si="283"/>
        <v>0.9964127765266233</v>
      </c>
    </row>
    <row r="3012" spans="7:20" ht="14.4" x14ac:dyDescent="0.25">
      <c r="G3012" s="10">
        <v>2570</v>
      </c>
      <c r="H3012" s="9">
        <v>18534</v>
      </c>
      <c r="I3012" s="14">
        <f>DATE(2012,12,31)-367</f>
        <v>40907</v>
      </c>
      <c r="J3012" s="15" t="s">
        <v>25</v>
      </c>
      <c r="K3012" s="9">
        <v>36</v>
      </c>
      <c r="L3012" s="16" t="s">
        <v>27</v>
      </c>
      <c r="M3012" s="16">
        <f t="shared" si="279"/>
        <v>0.72017367004973787</v>
      </c>
      <c r="N3012">
        <f t="shared" si="280"/>
        <v>0</v>
      </c>
      <c r="O3012">
        <f t="shared" si="281"/>
        <v>0</v>
      </c>
      <c r="P3012">
        <f t="shared" si="278"/>
        <v>5200</v>
      </c>
      <c r="Q3012">
        <f t="shared" si="282"/>
        <v>5200</v>
      </c>
      <c r="T3012" s="16">
        <f t="shared" si="283"/>
        <v>0.72017367004973754</v>
      </c>
    </row>
    <row r="3013" spans="7:20" ht="14.4" x14ac:dyDescent="0.25">
      <c r="G3013" s="10">
        <v>2622</v>
      </c>
      <c r="H3013" s="9">
        <v>18951</v>
      </c>
      <c r="I3013" s="14">
        <f>DATE(2012,12,31)-551</f>
        <v>40723</v>
      </c>
      <c r="J3013" s="15" t="s">
        <v>30</v>
      </c>
      <c r="K3013" s="9">
        <v>16</v>
      </c>
      <c r="L3013" s="16" t="s">
        <v>26</v>
      </c>
      <c r="M3013" s="16">
        <f t="shared" si="279"/>
        <v>-0.66102186233469074</v>
      </c>
      <c r="N3013">
        <f t="shared" si="280"/>
        <v>0</v>
      </c>
      <c r="O3013">
        <f t="shared" si="281"/>
        <v>0</v>
      </c>
      <c r="P3013">
        <f t="shared" si="278"/>
        <v>4200</v>
      </c>
      <c r="Q3013">
        <f t="shared" si="282"/>
        <v>4200</v>
      </c>
      <c r="T3013" s="16">
        <f t="shared" si="283"/>
        <v>-0.66102186233469118</v>
      </c>
    </row>
    <row r="3014" spans="7:20" ht="14.4" x14ac:dyDescent="0.25">
      <c r="G3014" s="10">
        <v>2623</v>
      </c>
      <c r="H3014" s="9">
        <v>18951</v>
      </c>
      <c r="I3014" s="14">
        <f>DATE(2012,12,31)-551</f>
        <v>40723</v>
      </c>
      <c r="J3014" s="15" t="s">
        <v>30</v>
      </c>
      <c r="K3014" s="9">
        <v>10</v>
      </c>
      <c r="L3014" s="16" t="s">
        <v>27</v>
      </c>
      <c r="M3014" s="16">
        <f t="shared" si="279"/>
        <v>-1.0753805220500194</v>
      </c>
      <c r="N3014">
        <f t="shared" si="280"/>
        <v>0</v>
      </c>
      <c r="O3014">
        <f t="shared" si="281"/>
        <v>0</v>
      </c>
      <c r="P3014">
        <f t="shared" si="278"/>
        <v>3900</v>
      </c>
      <c r="Q3014">
        <f t="shared" si="282"/>
        <v>3900</v>
      </c>
      <c r="T3014" s="16">
        <f t="shared" si="283"/>
        <v>-1.0753805220500199</v>
      </c>
    </row>
    <row r="3015" spans="7:20" ht="14.4" x14ac:dyDescent="0.25">
      <c r="G3015" s="10">
        <v>2648</v>
      </c>
      <c r="H3015" s="9">
        <v>19174</v>
      </c>
      <c r="I3015" s="14">
        <f>DATE(2012,12,31)-899</f>
        <v>40375</v>
      </c>
      <c r="J3015" s="15" t="s">
        <v>16</v>
      </c>
      <c r="K3015" s="9">
        <v>49</v>
      </c>
      <c r="L3015" s="16" t="s">
        <v>26</v>
      </c>
      <c r="M3015" s="16">
        <f t="shared" si="279"/>
        <v>1.6179507660996166</v>
      </c>
      <c r="N3015">
        <f t="shared" si="280"/>
        <v>0</v>
      </c>
      <c r="O3015">
        <f t="shared" si="281"/>
        <v>0</v>
      </c>
      <c r="P3015">
        <f t="shared" si="278"/>
        <v>5850</v>
      </c>
      <c r="Q3015">
        <f t="shared" si="282"/>
        <v>5850</v>
      </c>
      <c r="T3015" s="16">
        <f t="shared" si="283"/>
        <v>1.6179507660996162</v>
      </c>
    </row>
    <row r="3016" spans="7:20" ht="14.4" x14ac:dyDescent="0.25">
      <c r="G3016" s="10">
        <v>2785</v>
      </c>
      <c r="H3016" s="9">
        <v>20098</v>
      </c>
      <c r="I3016" s="14">
        <f>DATE(2012,12,31)-389</f>
        <v>40885</v>
      </c>
      <c r="J3016" s="15" t="s">
        <v>16</v>
      </c>
      <c r="K3016" s="9">
        <v>8</v>
      </c>
      <c r="L3016" s="16" t="s">
        <v>29</v>
      </c>
      <c r="M3016" s="16">
        <f t="shared" si="279"/>
        <v>-1.2135000752884624</v>
      </c>
      <c r="N3016">
        <f t="shared" si="280"/>
        <v>0</v>
      </c>
      <c r="O3016">
        <f t="shared" si="281"/>
        <v>0</v>
      </c>
      <c r="P3016">
        <f t="shared" si="278"/>
        <v>3800</v>
      </c>
      <c r="Q3016">
        <f t="shared" si="282"/>
        <v>3800</v>
      </c>
      <c r="T3016" s="16">
        <f t="shared" si="283"/>
        <v>-1.2135000752884626</v>
      </c>
    </row>
    <row r="3017" spans="7:20" ht="14.4" x14ac:dyDescent="0.25">
      <c r="G3017" s="10">
        <v>2942</v>
      </c>
      <c r="H3017" s="9">
        <v>21319</v>
      </c>
      <c r="I3017" s="14">
        <f>DATE(2012,12,31)-977</f>
        <v>40297</v>
      </c>
      <c r="J3017" s="15" t="s">
        <v>16</v>
      </c>
      <c r="K3017" s="9">
        <v>11</v>
      </c>
      <c r="L3017" s="16" t="s">
        <v>26</v>
      </c>
      <c r="M3017" s="16">
        <f t="shared" si="279"/>
        <v>-1.0063207454307979</v>
      </c>
      <c r="N3017">
        <f t="shared" si="280"/>
        <v>0</v>
      </c>
      <c r="O3017">
        <f t="shared" si="281"/>
        <v>0</v>
      </c>
      <c r="P3017">
        <f t="shared" si="278"/>
        <v>3950</v>
      </c>
      <c r="Q3017">
        <f t="shared" si="282"/>
        <v>3950</v>
      </c>
      <c r="T3017" s="16">
        <f t="shared" si="283"/>
        <v>-1.0063207454307983</v>
      </c>
    </row>
    <row r="3018" spans="7:20" ht="14.4" x14ac:dyDescent="0.25">
      <c r="G3018" s="10">
        <v>2944</v>
      </c>
      <c r="H3018" s="9">
        <v>21319</v>
      </c>
      <c r="I3018" s="14">
        <f>DATE(2012,12,31)-977</f>
        <v>40297</v>
      </c>
      <c r="J3018" s="15" t="s">
        <v>16</v>
      </c>
      <c r="K3018" s="9">
        <v>42</v>
      </c>
      <c r="L3018" s="16" t="s">
        <v>29</v>
      </c>
      <c r="M3018" s="16">
        <f t="shared" si="279"/>
        <v>1.1345323297650665</v>
      </c>
      <c r="N3018">
        <f t="shared" si="280"/>
        <v>0</v>
      </c>
      <c r="O3018">
        <f t="shared" si="281"/>
        <v>0</v>
      </c>
      <c r="P3018">
        <f t="shared" si="278"/>
        <v>5500</v>
      </c>
      <c r="Q3018">
        <f t="shared" si="282"/>
        <v>5500</v>
      </c>
      <c r="T3018" s="16">
        <f t="shared" si="283"/>
        <v>1.1345323297650662</v>
      </c>
    </row>
    <row r="3019" spans="7:20" ht="14.4" x14ac:dyDescent="0.25">
      <c r="G3019" s="10">
        <v>3081</v>
      </c>
      <c r="H3019" s="9">
        <v>22115</v>
      </c>
      <c r="I3019" s="14">
        <f>DATE(2012,12,31)-930</f>
        <v>40344</v>
      </c>
      <c r="J3019" s="15" t="s">
        <v>25</v>
      </c>
      <c r="K3019" s="9">
        <v>5</v>
      </c>
      <c r="L3019" s="16" t="s">
        <v>27</v>
      </c>
      <c r="M3019" s="16">
        <f t="shared" si="279"/>
        <v>-1.4206794051461267</v>
      </c>
      <c r="N3019">
        <f t="shared" si="280"/>
        <v>0</v>
      </c>
      <c r="O3019">
        <f t="shared" si="281"/>
        <v>0</v>
      </c>
      <c r="P3019">
        <f t="shared" si="278"/>
        <v>3650</v>
      </c>
      <c r="Q3019">
        <f t="shared" si="282"/>
        <v>3650</v>
      </c>
      <c r="T3019" s="16">
        <f t="shared" si="283"/>
        <v>-1.4206794051461269</v>
      </c>
    </row>
    <row r="3020" spans="7:20" ht="14.4" x14ac:dyDescent="0.25">
      <c r="G3020" s="10">
        <v>3088</v>
      </c>
      <c r="H3020" s="9">
        <v>22149</v>
      </c>
      <c r="I3020" s="14">
        <f>DATE(2012,12,31)-465</f>
        <v>40809</v>
      </c>
      <c r="J3020" s="15" t="s">
        <v>25</v>
      </c>
      <c r="K3020" s="9">
        <v>17</v>
      </c>
      <c r="L3020" s="16" t="s">
        <v>26</v>
      </c>
      <c r="M3020" s="16">
        <f t="shared" si="279"/>
        <v>-0.59196208571546938</v>
      </c>
      <c r="N3020">
        <f t="shared" si="280"/>
        <v>0</v>
      </c>
      <c r="O3020">
        <f t="shared" si="281"/>
        <v>0</v>
      </c>
      <c r="P3020">
        <f t="shared" ref="P3020:P3083" si="284">50*K3020+$P$10</f>
        <v>4250</v>
      </c>
      <c r="Q3020">
        <f t="shared" si="282"/>
        <v>4250</v>
      </c>
      <c r="T3020" s="16">
        <f t="shared" si="283"/>
        <v>-0.59196208571546971</v>
      </c>
    </row>
    <row r="3021" spans="7:20" ht="14.4" x14ac:dyDescent="0.25">
      <c r="G3021" s="10">
        <v>3108</v>
      </c>
      <c r="H3021" s="9">
        <v>22338</v>
      </c>
      <c r="I3021" s="14">
        <f>DATE(2012,12,31)-962</f>
        <v>40312</v>
      </c>
      <c r="J3021" s="15" t="s">
        <v>16</v>
      </c>
      <c r="K3021" s="9">
        <v>36</v>
      </c>
      <c r="L3021" s="16" t="s">
        <v>26</v>
      </c>
      <c r="M3021" s="16">
        <f t="shared" ref="M3021:M3084" si="285">(K3021-$K$4)/$K$7</f>
        <v>0.72017367004973787</v>
      </c>
      <c r="N3021">
        <f t="shared" ref="N3021:N3084" si="286">IF(MOD($B$20+G3021,1000)=0,1,0)</f>
        <v>0</v>
      </c>
      <c r="O3021">
        <f t="shared" ref="O3021:O3084" si="287">+ROUND(N3021*(IF(K3021&lt;$K$4,-4.5,10.5)*$P$5),-2)</f>
        <v>0</v>
      </c>
      <c r="P3021">
        <f t="shared" si="284"/>
        <v>5200</v>
      </c>
      <c r="Q3021">
        <f t="shared" ref="Q3021:Q3084" si="288">P3021+O3021</f>
        <v>5200</v>
      </c>
      <c r="T3021" s="16">
        <f t="shared" ref="T3021:T3084" si="289">(Q3021-$P$4)/$P$5</f>
        <v>0.72017367004973754</v>
      </c>
    </row>
    <row r="3022" spans="7:20" ht="14.4" x14ac:dyDescent="0.25">
      <c r="G3022" s="10">
        <v>3151</v>
      </c>
      <c r="H3022" s="9">
        <v>22627</v>
      </c>
      <c r="I3022" s="14">
        <f>DATE(2012,12,31)-1003</f>
        <v>40271</v>
      </c>
      <c r="J3022" s="15" t="s">
        <v>25</v>
      </c>
      <c r="K3022" s="9">
        <v>33</v>
      </c>
      <c r="L3022" s="16" t="s">
        <v>29</v>
      </c>
      <c r="M3022" s="16">
        <f t="shared" si="285"/>
        <v>0.51299434019207357</v>
      </c>
      <c r="N3022">
        <f t="shared" si="286"/>
        <v>0</v>
      </c>
      <c r="O3022">
        <f t="shared" si="287"/>
        <v>0</v>
      </c>
      <c r="P3022">
        <f t="shared" si="284"/>
        <v>5050</v>
      </c>
      <c r="Q3022">
        <f t="shared" si="288"/>
        <v>5050</v>
      </c>
      <c r="T3022" s="16">
        <f t="shared" si="289"/>
        <v>0.51299434019207324</v>
      </c>
    </row>
    <row r="3023" spans="7:20" ht="14.4" x14ac:dyDescent="0.25">
      <c r="G3023" s="10">
        <v>3175</v>
      </c>
      <c r="H3023" s="9">
        <v>22820</v>
      </c>
      <c r="I3023" s="14">
        <f>DATE(2012,12,31)-867</f>
        <v>40407</v>
      </c>
      <c r="J3023" s="15" t="s">
        <v>17</v>
      </c>
      <c r="K3023" s="9">
        <v>18</v>
      </c>
      <c r="L3023" s="16" t="s">
        <v>26</v>
      </c>
      <c r="M3023" s="16">
        <f t="shared" si="285"/>
        <v>-0.52290230909624791</v>
      </c>
      <c r="N3023">
        <f t="shared" si="286"/>
        <v>0</v>
      </c>
      <c r="O3023">
        <f t="shared" si="287"/>
        <v>0</v>
      </c>
      <c r="P3023">
        <f t="shared" si="284"/>
        <v>4300</v>
      </c>
      <c r="Q3023">
        <f t="shared" si="288"/>
        <v>4300</v>
      </c>
      <c r="T3023" s="16">
        <f t="shared" si="289"/>
        <v>-0.52290230909624835</v>
      </c>
    </row>
    <row r="3024" spans="7:20" ht="14.4" x14ac:dyDescent="0.25">
      <c r="G3024" s="10">
        <v>3187</v>
      </c>
      <c r="H3024" s="9">
        <v>22880</v>
      </c>
      <c r="I3024" s="14">
        <f>DATE(2012,12,31)-946</f>
        <v>40328</v>
      </c>
      <c r="J3024" s="15" t="s">
        <v>16</v>
      </c>
      <c r="K3024" s="9">
        <v>13</v>
      </c>
      <c r="L3024" s="16" t="s">
        <v>27</v>
      </c>
      <c r="M3024" s="16">
        <f t="shared" si="285"/>
        <v>-0.86820119219235514</v>
      </c>
      <c r="N3024">
        <f t="shared" si="286"/>
        <v>0</v>
      </c>
      <c r="O3024">
        <f t="shared" si="287"/>
        <v>0</v>
      </c>
      <c r="P3024">
        <f t="shared" si="284"/>
        <v>4050</v>
      </c>
      <c r="Q3024">
        <f t="shared" si="288"/>
        <v>4050</v>
      </c>
      <c r="T3024" s="16">
        <f t="shared" si="289"/>
        <v>-0.86820119219235548</v>
      </c>
    </row>
    <row r="3025" spans="7:20" ht="14.4" x14ac:dyDescent="0.25">
      <c r="G3025" s="10">
        <v>3217</v>
      </c>
      <c r="H3025" s="9">
        <v>23078</v>
      </c>
      <c r="I3025" s="14">
        <f>DATE(2012,12,31)-473</f>
        <v>40801</v>
      </c>
      <c r="J3025" s="15" t="s">
        <v>16</v>
      </c>
      <c r="K3025" s="9">
        <v>39</v>
      </c>
      <c r="L3025" s="16" t="s">
        <v>26</v>
      </c>
      <c r="M3025" s="16">
        <f t="shared" si="285"/>
        <v>0.92735299990740228</v>
      </c>
      <c r="N3025">
        <f t="shared" si="286"/>
        <v>0</v>
      </c>
      <c r="O3025">
        <f t="shared" si="287"/>
        <v>0</v>
      </c>
      <c r="P3025">
        <f t="shared" si="284"/>
        <v>5350</v>
      </c>
      <c r="Q3025">
        <f t="shared" si="288"/>
        <v>5350</v>
      </c>
      <c r="T3025" s="16">
        <f t="shared" si="289"/>
        <v>0.92735299990740183</v>
      </c>
    </row>
    <row r="3026" spans="7:20" ht="14.4" x14ac:dyDescent="0.25">
      <c r="G3026" s="10">
        <v>3246</v>
      </c>
      <c r="H3026" s="9">
        <v>23268</v>
      </c>
      <c r="I3026" s="14">
        <f>DATE(2012,12,31)-350</f>
        <v>40924</v>
      </c>
      <c r="J3026" s="15" t="s">
        <v>17</v>
      </c>
      <c r="K3026" s="9">
        <v>5</v>
      </c>
      <c r="L3026" s="16" t="s">
        <v>26</v>
      </c>
      <c r="M3026" s="16">
        <f t="shared" si="285"/>
        <v>-1.4206794051461267</v>
      </c>
      <c r="N3026">
        <f t="shared" si="286"/>
        <v>0</v>
      </c>
      <c r="O3026">
        <f t="shared" si="287"/>
        <v>0</v>
      </c>
      <c r="P3026">
        <f t="shared" si="284"/>
        <v>3650</v>
      </c>
      <c r="Q3026">
        <f t="shared" si="288"/>
        <v>3650</v>
      </c>
      <c r="T3026" s="16">
        <f t="shared" si="289"/>
        <v>-1.4206794051461269</v>
      </c>
    </row>
    <row r="3027" spans="7:20" ht="14.4" x14ac:dyDescent="0.25">
      <c r="G3027" s="10">
        <v>3354</v>
      </c>
      <c r="H3027" s="9">
        <v>24003</v>
      </c>
      <c r="I3027" s="14">
        <f>DATE(2012,12,31)-1157</f>
        <v>40117</v>
      </c>
      <c r="J3027" s="15" t="s">
        <v>30</v>
      </c>
      <c r="K3027" s="9">
        <v>4</v>
      </c>
      <c r="L3027" s="16" t="s">
        <v>27</v>
      </c>
      <c r="M3027" s="16">
        <f t="shared" si="285"/>
        <v>-1.489739181765348</v>
      </c>
      <c r="N3027">
        <f t="shared" si="286"/>
        <v>0</v>
      </c>
      <c r="O3027">
        <f t="shared" si="287"/>
        <v>0</v>
      </c>
      <c r="P3027">
        <f t="shared" si="284"/>
        <v>3600</v>
      </c>
      <c r="Q3027">
        <f t="shared" si="288"/>
        <v>3600</v>
      </c>
      <c r="T3027" s="16">
        <f t="shared" si="289"/>
        <v>-1.4897391817653485</v>
      </c>
    </row>
    <row r="3028" spans="7:20" ht="14.4" x14ac:dyDescent="0.25">
      <c r="G3028" s="10">
        <v>3379</v>
      </c>
      <c r="H3028" s="9">
        <v>24102</v>
      </c>
      <c r="I3028" s="14">
        <f>DATE(2012,12,31)-762</f>
        <v>40512</v>
      </c>
      <c r="J3028" s="15" t="s">
        <v>30</v>
      </c>
      <c r="K3028" s="9">
        <v>50</v>
      </c>
      <c r="L3028" s="16" t="s">
        <v>26</v>
      </c>
      <c r="M3028" s="16">
        <f t="shared" si="285"/>
        <v>1.687010542718838</v>
      </c>
      <c r="N3028">
        <f t="shared" si="286"/>
        <v>0</v>
      </c>
      <c r="O3028">
        <f t="shared" si="287"/>
        <v>0</v>
      </c>
      <c r="P3028">
        <f t="shared" si="284"/>
        <v>5900</v>
      </c>
      <c r="Q3028">
        <f t="shared" si="288"/>
        <v>5900</v>
      </c>
      <c r="T3028" s="16">
        <f t="shared" si="289"/>
        <v>1.6870105427188375</v>
      </c>
    </row>
    <row r="3029" spans="7:20" ht="14.4" x14ac:dyDescent="0.25">
      <c r="G3029" s="10">
        <v>3423</v>
      </c>
      <c r="H3029" s="9">
        <v>24422</v>
      </c>
      <c r="I3029" s="14">
        <f>DATE(2012,12,31)-368</f>
        <v>40906</v>
      </c>
      <c r="J3029" s="15" t="s">
        <v>30</v>
      </c>
      <c r="K3029" s="9">
        <v>20</v>
      </c>
      <c r="L3029" s="16" t="s">
        <v>29</v>
      </c>
      <c r="M3029" s="16">
        <f t="shared" si="285"/>
        <v>-0.38478275585780503</v>
      </c>
      <c r="N3029">
        <f t="shared" si="286"/>
        <v>0</v>
      </c>
      <c r="O3029">
        <f t="shared" si="287"/>
        <v>0</v>
      </c>
      <c r="P3029">
        <f t="shared" si="284"/>
        <v>4400</v>
      </c>
      <c r="Q3029">
        <f t="shared" si="288"/>
        <v>4400</v>
      </c>
      <c r="T3029" s="16">
        <f t="shared" si="289"/>
        <v>-0.38478275585780541</v>
      </c>
    </row>
    <row r="3030" spans="7:20" ht="14.4" x14ac:dyDescent="0.25">
      <c r="G3030" s="10">
        <v>3459</v>
      </c>
      <c r="H3030" s="9">
        <v>24644</v>
      </c>
      <c r="I3030" s="14">
        <f>DATE(2012,12,31)-1252</f>
        <v>40022</v>
      </c>
      <c r="J3030" s="15" t="s">
        <v>30</v>
      </c>
      <c r="K3030" s="9">
        <v>46</v>
      </c>
      <c r="L3030" s="16" t="s">
        <v>29</v>
      </c>
      <c r="M3030" s="16">
        <f t="shared" si="285"/>
        <v>1.4107714362419523</v>
      </c>
      <c r="N3030">
        <f t="shared" si="286"/>
        <v>0</v>
      </c>
      <c r="O3030">
        <f t="shared" si="287"/>
        <v>0</v>
      </c>
      <c r="P3030">
        <f t="shared" si="284"/>
        <v>5700</v>
      </c>
      <c r="Q3030">
        <f t="shared" si="288"/>
        <v>5700</v>
      </c>
      <c r="T3030" s="16">
        <f t="shared" si="289"/>
        <v>1.4107714362419519</v>
      </c>
    </row>
    <row r="3031" spans="7:20" ht="14.4" x14ac:dyDescent="0.25">
      <c r="G3031" s="10">
        <v>3693</v>
      </c>
      <c r="H3031" s="9">
        <v>26401</v>
      </c>
      <c r="I3031" s="14">
        <f>DATE(2012,12,31)-810</f>
        <v>40464</v>
      </c>
      <c r="J3031" s="15" t="s">
        <v>16</v>
      </c>
      <c r="K3031" s="9">
        <v>1</v>
      </c>
      <c r="L3031" s="16" t="s">
        <v>26</v>
      </c>
      <c r="M3031" s="16">
        <f t="shared" si="285"/>
        <v>-1.6969185116230123</v>
      </c>
      <c r="N3031">
        <f t="shared" si="286"/>
        <v>0</v>
      </c>
      <c r="O3031">
        <f t="shared" si="287"/>
        <v>0</v>
      </c>
      <c r="P3031">
        <f t="shared" si="284"/>
        <v>3450</v>
      </c>
      <c r="Q3031">
        <f t="shared" si="288"/>
        <v>3450</v>
      </c>
      <c r="T3031" s="16">
        <f t="shared" si="289"/>
        <v>-1.6969185116230128</v>
      </c>
    </row>
    <row r="3032" spans="7:20" ht="14.4" x14ac:dyDescent="0.25">
      <c r="G3032" s="10">
        <v>3918</v>
      </c>
      <c r="H3032" s="9">
        <v>27938</v>
      </c>
      <c r="I3032" s="14">
        <f>DATE(2012,12,31)-1336</f>
        <v>39938</v>
      </c>
      <c r="J3032" s="15" t="s">
        <v>16</v>
      </c>
      <c r="K3032" s="9">
        <v>40</v>
      </c>
      <c r="L3032" s="16" t="s">
        <v>26</v>
      </c>
      <c r="M3032" s="16">
        <f t="shared" si="285"/>
        <v>0.99641277652662363</v>
      </c>
      <c r="N3032">
        <f t="shared" si="286"/>
        <v>0</v>
      </c>
      <c r="O3032">
        <f t="shared" si="287"/>
        <v>0</v>
      </c>
      <c r="P3032">
        <f t="shared" si="284"/>
        <v>5400</v>
      </c>
      <c r="Q3032">
        <f t="shared" si="288"/>
        <v>5400</v>
      </c>
      <c r="T3032" s="16">
        <f t="shared" si="289"/>
        <v>0.9964127765266233</v>
      </c>
    </row>
    <row r="3033" spans="7:20" ht="14.4" x14ac:dyDescent="0.25">
      <c r="G3033" s="10">
        <v>3996</v>
      </c>
      <c r="H3033" s="9">
        <v>28515</v>
      </c>
      <c r="I3033" s="14">
        <f>DATE(2012,12,31)-915</f>
        <v>40359</v>
      </c>
      <c r="J3033" s="15" t="s">
        <v>17</v>
      </c>
      <c r="K3033" s="9">
        <v>48</v>
      </c>
      <c r="L3033" s="16" t="s">
        <v>27</v>
      </c>
      <c r="M3033" s="16">
        <f t="shared" si="285"/>
        <v>1.5488909894803951</v>
      </c>
      <c r="N3033">
        <f t="shared" si="286"/>
        <v>0</v>
      </c>
      <c r="O3033">
        <f t="shared" si="287"/>
        <v>0</v>
      </c>
      <c r="P3033">
        <f t="shared" si="284"/>
        <v>5800</v>
      </c>
      <c r="Q3033">
        <f t="shared" si="288"/>
        <v>5800</v>
      </c>
      <c r="T3033" s="16">
        <f t="shared" si="289"/>
        <v>1.5488909894803948</v>
      </c>
    </row>
    <row r="3034" spans="7:20" ht="14.4" x14ac:dyDescent="0.25">
      <c r="G3034" s="10">
        <v>4114</v>
      </c>
      <c r="H3034" s="9">
        <v>29280</v>
      </c>
      <c r="I3034" s="14">
        <f>DATE(2012,12,31)-278</f>
        <v>40996</v>
      </c>
      <c r="J3034" s="15" t="s">
        <v>16</v>
      </c>
      <c r="K3034" s="9">
        <v>30</v>
      </c>
      <c r="L3034" s="16" t="s">
        <v>27</v>
      </c>
      <c r="M3034" s="16">
        <f t="shared" si="285"/>
        <v>0.30581501033440933</v>
      </c>
      <c r="N3034">
        <f t="shared" si="286"/>
        <v>0</v>
      </c>
      <c r="O3034">
        <f t="shared" si="287"/>
        <v>0</v>
      </c>
      <c r="P3034">
        <f t="shared" si="284"/>
        <v>4900</v>
      </c>
      <c r="Q3034">
        <f t="shared" si="288"/>
        <v>4900</v>
      </c>
      <c r="T3034" s="16">
        <f t="shared" si="289"/>
        <v>0.30581501033440894</v>
      </c>
    </row>
    <row r="3035" spans="7:20" ht="14.4" x14ac:dyDescent="0.25">
      <c r="G3035" s="10">
        <v>4127</v>
      </c>
      <c r="H3035" s="9">
        <v>29346</v>
      </c>
      <c r="I3035" s="14">
        <f>DATE(2012,12,31)-1233</f>
        <v>40041</v>
      </c>
      <c r="J3035" s="15" t="s">
        <v>25</v>
      </c>
      <c r="K3035" s="9">
        <v>2</v>
      </c>
      <c r="L3035" s="16" t="s">
        <v>26</v>
      </c>
      <c r="M3035" s="16">
        <f t="shared" si="285"/>
        <v>-1.627858735003791</v>
      </c>
      <c r="N3035">
        <f t="shared" si="286"/>
        <v>0</v>
      </c>
      <c r="O3035">
        <f t="shared" si="287"/>
        <v>0</v>
      </c>
      <c r="P3035">
        <f t="shared" si="284"/>
        <v>3500</v>
      </c>
      <c r="Q3035">
        <f t="shared" si="288"/>
        <v>3500</v>
      </c>
      <c r="T3035" s="16">
        <f t="shared" si="289"/>
        <v>-1.6278587350037912</v>
      </c>
    </row>
    <row r="3036" spans="7:20" ht="14.4" x14ac:dyDescent="0.25">
      <c r="G3036" s="10">
        <v>4129</v>
      </c>
      <c r="H3036" s="9">
        <v>29349</v>
      </c>
      <c r="I3036" s="14">
        <f>DATE(2012,12,31)-935</f>
        <v>40339</v>
      </c>
      <c r="J3036" s="15" t="s">
        <v>17</v>
      </c>
      <c r="K3036" s="9">
        <v>46</v>
      </c>
      <c r="L3036" s="16" t="s">
        <v>27</v>
      </c>
      <c r="M3036" s="16">
        <f t="shared" si="285"/>
        <v>1.4107714362419523</v>
      </c>
      <c r="N3036">
        <f t="shared" si="286"/>
        <v>0</v>
      </c>
      <c r="O3036">
        <f t="shared" si="287"/>
        <v>0</v>
      </c>
      <c r="P3036">
        <f t="shared" si="284"/>
        <v>5700</v>
      </c>
      <c r="Q3036">
        <f t="shared" si="288"/>
        <v>5700</v>
      </c>
      <c r="T3036" s="16">
        <f t="shared" si="289"/>
        <v>1.4107714362419519</v>
      </c>
    </row>
    <row r="3037" spans="7:20" ht="14.4" x14ac:dyDescent="0.25">
      <c r="G3037" s="10">
        <v>4153</v>
      </c>
      <c r="H3037" s="9">
        <v>29473</v>
      </c>
      <c r="I3037" s="14">
        <f>DATE(2012,12,31)-320</f>
        <v>40954</v>
      </c>
      <c r="J3037" s="15" t="s">
        <v>16</v>
      </c>
      <c r="K3037" s="9">
        <v>31</v>
      </c>
      <c r="L3037" s="16" t="s">
        <v>27</v>
      </c>
      <c r="M3037" s="16">
        <f t="shared" si="285"/>
        <v>0.37487478695363075</v>
      </c>
      <c r="N3037">
        <f t="shared" si="286"/>
        <v>0</v>
      </c>
      <c r="O3037">
        <f t="shared" si="287"/>
        <v>0</v>
      </c>
      <c r="P3037">
        <f t="shared" si="284"/>
        <v>4950</v>
      </c>
      <c r="Q3037">
        <f t="shared" si="288"/>
        <v>4950</v>
      </c>
      <c r="T3037" s="16">
        <f t="shared" si="289"/>
        <v>0.37487478695363036</v>
      </c>
    </row>
    <row r="3038" spans="7:20" ht="14.4" x14ac:dyDescent="0.25">
      <c r="G3038" s="10">
        <v>4205</v>
      </c>
      <c r="H3038" s="9">
        <v>29893</v>
      </c>
      <c r="I3038" s="14">
        <f>DATE(2012,12,31)-198</f>
        <v>41076</v>
      </c>
      <c r="J3038" s="15" t="s">
        <v>16</v>
      </c>
      <c r="K3038" s="9">
        <v>24</v>
      </c>
      <c r="L3038" s="16" t="s">
        <v>26</v>
      </c>
      <c r="M3038" s="16">
        <f t="shared" si="285"/>
        <v>-0.1085436493809193</v>
      </c>
      <c r="N3038">
        <f t="shared" si="286"/>
        <v>0</v>
      </c>
      <c r="O3038">
        <f t="shared" si="287"/>
        <v>0</v>
      </c>
      <c r="P3038">
        <f t="shared" si="284"/>
        <v>4600</v>
      </c>
      <c r="Q3038">
        <f t="shared" si="288"/>
        <v>4600</v>
      </c>
      <c r="T3038" s="16">
        <f t="shared" si="289"/>
        <v>-0.10854364938091969</v>
      </c>
    </row>
    <row r="3039" spans="7:20" ht="14.4" x14ac:dyDescent="0.25">
      <c r="G3039" s="10">
        <v>4228</v>
      </c>
      <c r="H3039" s="9">
        <v>30023</v>
      </c>
      <c r="I3039" s="14">
        <f>DATE(2012,12,31)-808</f>
        <v>40466</v>
      </c>
      <c r="J3039" s="15" t="s">
        <v>25</v>
      </c>
      <c r="K3039" s="9">
        <v>36</v>
      </c>
      <c r="L3039" s="16" t="s">
        <v>26</v>
      </c>
      <c r="M3039" s="16">
        <f t="shared" si="285"/>
        <v>0.72017367004973787</v>
      </c>
      <c r="N3039">
        <f t="shared" si="286"/>
        <v>0</v>
      </c>
      <c r="O3039">
        <f t="shared" si="287"/>
        <v>0</v>
      </c>
      <c r="P3039">
        <f t="shared" si="284"/>
        <v>5200</v>
      </c>
      <c r="Q3039">
        <f t="shared" si="288"/>
        <v>5200</v>
      </c>
      <c r="T3039" s="16">
        <f t="shared" si="289"/>
        <v>0.72017367004973754</v>
      </c>
    </row>
    <row r="3040" spans="7:20" ht="14.4" x14ac:dyDescent="0.25">
      <c r="G3040" s="10">
        <v>4247</v>
      </c>
      <c r="H3040" s="9">
        <v>30215</v>
      </c>
      <c r="I3040" s="14">
        <f>DATE(2012,12,31)-1404</f>
        <v>39870</v>
      </c>
      <c r="J3040" s="15" t="s">
        <v>16</v>
      </c>
      <c r="K3040" s="9">
        <v>23</v>
      </c>
      <c r="L3040" s="16" t="s">
        <v>27</v>
      </c>
      <c r="M3040" s="16">
        <f t="shared" si="285"/>
        <v>-0.17760342600014073</v>
      </c>
      <c r="N3040">
        <f t="shared" si="286"/>
        <v>0</v>
      </c>
      <c r="O3040">
        <f t="shared" si="287"/>
        <v>0</v>
      </c>
      <c r="P3040">
        <f t="shared" si="284"/>
        <v>4550</v>
      </c>
      <c r="Q3040">
        <f t="shared" si="288"/>
        <v>4550</v>
      </c>
      <c r="T3040" s="16">
        <f t="shared" si="289"/>
        <v>-0.17760342600014112</v>
      </c>
    </row>
    <row r="3041" spans="7:20" ht="14.4" x14ac:dyDescent="0.25">
      <c r="G3041" s="10">
        <v>4311</v>
      </c>
      <c r="H3041" s="9">
        <v>30720</v>
      </c>
      <c r="I3041" s="14">
        <f>DATE(2012,12,31)-95</f>
        <v>41179</v>
      </c>
      <c r="J3041" s="15" t="s">
        <v>25</v>
      </c>
      <c r="K3041" s="9">
        <v>27</v>
      </c>
      <c r="L3041" s="16" t="s">
        <v>29</v>
      </c>
      <c r="M3041" s="16">
        <f t="shared" si="285"/>
        <v>9.8635680476745008E-2</v>
      </c>
      <c r="N3041">
        <f t="shared" si="286"/>
        <v>0</v>
      </c>
      <c r="O3041">
        <f t="shared" si="287"/>
        <v>0</v>
      </c>
      <c r="P3041">
        <f t="shared" si="284"/>
        <v>4750</v>
      </c>
      <c r="Q3041">
        <f t="shared" si="288"/>
        <v>4750</v>
      </c>
      <c r="T3041" s="16">
        <f t="shared" si="289"/>
        <v>9.8635680476744619E-2</v>
      </c>
    </row>
    <row r="3042" spans="7:20" ht="14.4" x14ac:dyDescent="0.25">
      <c r="G3042" s="10">
        <v>4333</v>
      </c>
      <c r="H3042" s="9">
        <v>30884</v>
      </c>
      <c r="I3042" s="14">
        <f>DATE(2012,12,31)-827</f>
        <v>40447</v>
      </c>
      <c r="J3042" s="15" t="s">
        <v>25</v>
      </c>
      <c r="K3042" s="9">
        <v>6</v>
      </c>
      <c r="L3042" s="16" t="s">
        <v>29</v>
      </c>
      <c r="M3042" s="16">
        <f t="shared" si="285"/>
        <v>-1.3516196285269051</v>
      </c>
      <c r="N3042">
        <f t="shared" si="286"/>
        <v>0</v>
      </c>
      <c r="O3042">
        <f t="shared" si="287"/>
        <v>0</v>
      </c>
      <c r="P3042">
        <f t="shared" si="284"/>
        <v>3700</v>
      </c>
      <c r="Q3042">
        <f t="shared" si="288"/>
        <v>3700</v>
      </c>
      <c r="T3042" s="16">
        <f t="shared" si="289"/>
        <v>-1.3516196285269055</v>
      </c>
    </row>
    <row r="3043" spans="7:20" ht="14.4" x14ac:dyDescent="0.25">
      <c r="G3043" s="10">
        <v>4398</v>
      </c>
      <c r="H3043" s="9">
        <v>31303</v>
      </c>
      <c r="I3043" s="14">
        <f>DATE(2012,12,31)-652</f>
        <v>40622</v>
      </c>
      <c r="J3043" s="15" t="s">
        <v>25</v>
      </c>
      <c r="K3043" s="9">
        <v>50</v>
      </c>
      <c r="L3043" s="16" t="s">
        <v>26</v>
      </c>
      <c r="M3043" s="16">
        <f t="shared" si="285"/>
        <v>1.687010542718838</v>
      </c>
      <c r="N3043">
        <f t="shared" si="286"/>
        <v>0</v>
      </c>
      <c r="O3043">
        <f t="shared" si="287"/>
        <v>0</v>
      </c>
      <c r="P3043">
        <f t="shared" si="284"/>
        <v>5900</v>
      </c>
      <c r="Q3043">
        <f t="shared" si="288"/>
        <v>5900</v>
      </c>
      <c r="T3043" s="16">
        <f t="shared" si="289"/>
        <v>1.6870105427188375</v>
      </c>
    </row>
    <row r="3044" spans="7:20" ht="14.4" x14ac:dyDescent="0.25">
      <c r="G3044" s="10">
        <v>4402</v>
      </c>
      <c r="H3044" s="9">
        <v>31392</v>
      </c>
      <c r="I3044" s="14">
        <f>DATE(2012,12,31)-970</f>
        <v>40304</v>
      </c>
      <c r="J3044" s="15" t="s">
        <v>25</v>
      </c>
      <c r="K3044" s="9">
        <v>21</v>
      </c>
      <c r="L3044" s="16" t="s">
        <v>26</v>
      </c>
      <c r="M3044" s="16">
        <f t="shared" si="285"/>
        <v>-0.31572297923858361</v>
      </c>
      <c r="N3044">
        <f t="shared" si="286"/>
        <v>0</v>
      </c>
      <c r="O3044">
        <f t="shared" si="287"/>
        <v>0</v>
      </c>
      <c r="P3044">
        <f t="shared" si="284"/>
        <v>4450</v>
      </c>
      <c r="Q3044">
        <f t="shared" si="288"/>
        <v>4450</v>
      </c>
      <c r="T3044" s="16">
        <f t="shared" si="289"/>
        <v>-0.315722979238584</v>
      </c>
    </row>
    <row r="3045" spans="7:20" ht="14.4" x14ac:dyDescent="0.25">
      <c r="G3045" s="10">
        <v>4449</v>
      </c>
      <c r="H3045" s="9">
        <v>31715</v>
      </c>
      <c r="I3045" s="14">
        <f>DATE(2012,12,31)-1452</f>
        <v>39822</v>
      </c>
      <c r="J3045" s="15" t="s">
        <v>28</v>
      </c>
      <c r="K3045" s="9">
        <v>24</v>
      </c>
      <c r="L3045" s="16" t="s">
        <v>26</v>
      </c>
      <c r="M3045" s="16">
        <f t="shared" si="285"/>
        <v>-0.1085436493809193</v>
      </c>
      <c r="N3045">
        <f t="shared" si="286"/>
        <v>0</v>
      </c>
      <c r="O3045">
        <f t="shared" si="287"/>
        <v>0</v>
      </c>
      <c r="P3045">
        <f t="shared" si="284"/>
        <v>4600</v>
      </c>
      <c r="Q3045">
        <f t="shared" si="288"/>
        <v>4600</v>
      </c>
      <c r="T3045" s="16">
        <f t="shared" si="289"/>
        <v>-0.10854364938091969</v>
      </c>
    </row>
    <row r="3046" spans="7:20" ht="14.4" x14ac:dyDescent="0.25">
      <c r="G3046" s="10">
        <v>4557</v>
      </c>
      <c r="H3046" s="9">
        <v>32420</v>
      </c>
      <c r="I3046" s="14">
        <f>DATE(2012,12,31)-1251</f>
        <v>40023</v>
      </c>
      <c r="J3046" s="15" t="s">
        <v>16</v>
      </c>
      <c r="K3046" s="9">
        <v>19</v>
      </c>
      <c r="L3046" s="16" t="s">
        <v>29</v>
      </c>
      <c r="M3046" s="16">
        <f t="shared" si="285"/>
        <v>-0.45384253247702649</v>
      </c>
      <c r="N3046">
        <f t="shared" si="286"/>
        <v>0</v>
      </c>
      <c r="O3046">
        <f t="shared" si="287"/>
        <v>0</v>
      </c>
      <c r="P3046">
        <f t="shared" si="284"/>
        <v>4350</v>
      </c>
      <c r="Q3046">
        <f t="shared" si="288"/>
        <v>4350</v>
      </c>
      <c r="T3046" s="16">
        <f t="shared" si="289"/>
        <v>-0.45384253247702688</v>
      </c>
    </row>
    <row r="3047" spans="7:20" ht="14.4" x14ac:dyDescent="0.25">
      <c r="G3047" s="10">
        <v>4630</v>
      </c>
      <c r="H3047" s="9">
        <v>32965</v>
      </c>
      <c r="I3047" s="14">
        <f>DATE(2012,12,31)-676</f>
        <v>40598</v>
      </c>
      <c r="J3047" s="15" t="s">
        <v>17</v>
      </c>
      <c r="K3047" s="9">
        <v>2</v>
      </c>
      <c r="L3047" s="16" t="s">
        <v>26</v>
      </c>
      <c r="M3047" s="16">
        <f t="shared" si="285"/>
        <v>-1.627858735003791</v>
      </c>
      <c r="N3047">
        <f t="shared" si="286"/>
        <v>0</v>
      </c>
      <c r="O3047">
        <f t="shared" si="287"/>
        <v>0</v>
      </c>
      <c r="P3047">
        <f t="shared" si="284"/>
        <v>3500</v>
      </c>
      <c r="Q3047">
        <f t="shared" si="288"/>
        <v>3500</v>
      </c>
      <c r="T3047" s="16">
        <f t="shared" si="289"/>
        <v>-1.6278587350037912</v>
      </c>
    </row>
    <row r="3048" spans="7:20" ht="14.4" x14ac:dyDescent="0.25">
      <c r="G3048" s="10">
        <v>4674</v>
      </c>
      <c r="H3048" s="9">
        <v>33253</v>
      </c>
      <c r="I3048" s="14">
        <f>DATE(2012,12,31)-397</f>
        <v>40877</v>
      </c>
      <c r="J3048" s="15" t="s">
        <v>28</v>
      </c>
      <c r="K3048" s="9">
        <v>17</v>
      </c>
      <c r="L3048" s="16" t="s">
        <v>27</v>
      </c>
      <c r="M3048" s="16">
        <f t="shared" si="285"/>
        <v>-0.59196208571546938</v>
      </c>
      <c r="N3048">
        <f t="shared" si="286"/>
        <v>0</v>
      </c>
      <c r="O3048">
        <f t="shared" si="287"/>
        <v>0</v>
      </c>
      <c r="P3048">
        <f t="shared" si="284"/>
        <v>4250</v>
      </c>
      <c r="Q3048">
        <f t="shared" si="288"/>
        <v>4250</v>
      </c>
      <c r="T3048" s="16">
        <f t="shared" si="289"/>
        <v>-0.59196208571546971</v>
      </c>
    </row>
    <row r="3049" spans="7:20" ht="14.4" x14ac:dyDescent="0.25">
      <c r="G3049" s="10">
        <v>4784</v>
      </c>
      <c r="H3049" s="9">
        <v>33959</v>
      </c>
      <c r="I3049" s="14">
        <f>DATE(2012,12,31)-1249</f>
        <v>40025</v>
      </c>
      <c r="J3049" s="15" t="s">
        <v>30</v>
      </c>
      <c r="K3049" s="9">
        <v>23</v>
      </c>
      <c r="L3049" s="16" t="s">
        <v>29</v>
      </c>
      <c r="M3049" s="16">
        <f t="shared" si="285"/>
        <v>-0.17760342600014073</v>
      </c>
      <c r="N3049">
        <f t="shared" si="286"/>
        <v>0</v>
      </c>
      <c r="O3049">
        <f t="shared" si="287"/>
        <v>0</v>
      </c>
      <c r="P3049">
        <f t="shared" si="284"/>
        <v>4550</v>
      </c>
      <c r="Q3049">
        <f t="shared" si="288"/>
        <v>4550</v>
      </c>
      <c r="T3049" s="16">
        <f t="shared" si="289"/>
        <v>-0.17760342600014112</v>
      </c>
    </row>
    <row r="3050" spans="7:20" ht="14.4" x14ac:dyDescent="0.25">
      <c r="G3050" s="10">
        <v>4959</v>
      </c>
      <c r="H3050" s="9">
        <v>35271</v>
      </c>
      <c r="I3050" s="14">
        <f>DATE(2012,12,31)-889</f>
        <v>40385</v>
      </c>
      <c r="J3050" s="15" t="s">
        <v>17</v>
      </c>
      <c r="K3050" s="9">
        <v>19</v>
      </c>
      <c r="L3050" s="16" t="s">
        <v>27</v>
      </c>
      <c r="M3050" s="16">
        <f t="shared" si="285"/>
        <v>-0.45384253247702649</v>
      </c>
      <c r="N3050">
        <f t="shared" si="286"/>
        <v>0</v>
      </c>
      <c r="O3050">
        <f t="shared" si="287"/>
        <v>0</v>
      </c>
      <c r="P3050">
        <f t="shared" si="284"/>
        <v>4350</v>
      </c>
      <c r="Q3050">
        <f t="shared" si="288"/>
        <v>4350</v>
      </c>
      <c r="T3050" s="16">
        <f t="shared" si="289"/>
        <v>-0.45384253247702688</v>
      </c>
    </row>
    <row r="3051" spans="7:20" ht="14.4" x14ac:dyDescent="0.25">
      <c r="G3051" s="10">
        <v>5108</v>
      </c>
      <c r="H3051" s="9">
        <v>36390</v>
      </c>
      <c r="I3051" s="14">
        <f>DATE(2012,12,31)-80</f>
        <v>41194</v>
      </c>
      <c r="J3051" s="15" t="s">
        <v>17</v>
      </c>
      <c r="K3051" s="9">
        <v>3</v>
      </c>
      <c r="L3051" s="16" t="s">
        <v>27</v>
      </c>
      <c r="M3051" s="16">
        <f t="shared" si="285"/>
        <v>-1.5587989583845694</v>
      </c>
      <c r="N3051">
        <f t="shared" si="286"/>
        <v>0</v>
      </c>
      <c r="O3051">
        <f t="shared" si="287"/>
        <v>0</v>
      </c>
      <c r="P3051">
        <f t="shared" si="284"/>
        <v>3550</v>
      </c>
      <c r="Q3051">
        <f t="shared" si="288"/>
        <v>3550</v>
      </c>
      <c r="T3051" s="16">
        <f t="shared" si="289"/>
        <v>-1.5587989583845698</v>
      </c>
    </row>
    <row r="3052" spans="7:20" ht="14.4" x14ac:dyDescent="0.25">
      <c r="G3052" s="10">
        <v>5265</v>
      </c>
      <c r="H3052" s="9">
        <v>37447</v>
      </c>
      <c r="I3052" s="14">
        <f>DATE(2012,12,31)-1272</f>
        <v>40002</v>
      </c>
      <c r="J3052" s="15" t="s">
        <v>25</v>
      </c>
      <c r="K3052" s="9">
        <v>23</v>
      </c>
      <c r="L3052" s="16" t="s">
        <v>26</v>
      </c>
      <c r="M3052" s="16">
        <f t="shared" si="285"/>
        <v>-0.17760342600014073</v>
      </c>
      <c r="N3052">
        <f t="shared" si="286"/>
        <v>0</v>
      </c>
      <c r="O3052">
        <f t="shared" si="287"/>
        <v>0</v>
      </c>
      <c r="P3052">
        <f t="shared" si="284"/>
        <v>4550</v>
      </c>
      <c r="Q3052">
        <f t="shared" si="288"/>
        <v>4550</v>
      </c>
      <c r="T3052" s="16">
        <f t="shared" si="289"/>
        <v>-0.17760342600014112</v>
      </c>
    </row>
    <row r="3053" spans="7:20" ht="14.4" x14ac:dyDescent="0.25">
      <c r="G3053" s="10">
        <v>5394</v>
      </c>
      <c r="H3053" s="9">
        <v>38341</v>
      </c>
      <c r="I3053" s="14">
        <f>DATE(2012,12,31)-1323</f>
        <v>39951</v>
      </c>
      <c r="J3053" s="15" t="s">
        <v>16</v>
      </c>
      <c r="K3053" s="9">
        <v>15</v>
      </c>
      <c r="L3053" s="16" t="s">
        <v>26</v>
      </c>
      <c r="M3053" s="16">
        <f t="shared" si="285"/>
        <v>-0.7300816389539122</v>
      </c>
      <c r="N3053">
        <f t="shared" si="286"/>
        <v>0</v>
      </c>
      <c r="O3053">
        <f t="shared" si="287"/>
        <v>0</v>
      </c>
      <c r="P3053">
        <f t="shared" si="284"/>
        <v>4150</v>
      </c>
      <c r="Q3053">
        <f t="shared" si="288"/>
        <v>4150</v>
      </c>
      <c r="T3053" s="16">
        <f t="shared" si="289"/>
        <v>-0.73008163895391265</v>
      </c>
    </row>
    <row r="3054" spans="7:20" ht="14.4" x14ac:dyDescent="0.25">
      <c r="G3054" s="10">
        <v>5395</v>
      </c>
      <c r="H3054" s="9">
        <v>38341</v>
      </c>
      <c r="I3054" s="14">
        <f>DATE(2012,12,31)-1323</f>
        <v>39951</v>
      </c>
      <c r="J3054" s="15" t="s">
        <v>16</v>
      </c>
      <c r="K3054" s="9">
        <v>5</v>
      </c>
      <c r="L3054" s="16" t="s">
        <v>26</v>
      </c>
      <c r="M3054" s="16">
        <f t="shared" si="285"/>
        <v>-1.4206794051461267</v>
      </c>
      <c r="N3054">
        <f t="shared" si="286"/>
        <v>0</v>
      </c>
      <c r="O3054">
        <f t="shared" si="287"/>
        <v>0</v>
      </c>
      <c r="P3054">
        <f t="shared" si="284"/>
        <v>3650</v>
      </c>
      <c r="Q3054">
        <f t="shared" si="288"/>
        <v>3650</v>
      </c>
      <c r="T3054" s="16">
        <f t="shared" si="289"/>
        <v>-1.4206794051461269</v>
      </c>
    </row>
    <row r="3055" spans="7:20" ht="14.4" x14ac:dyDescent="0.25">
      <c r="G3055" s="10">
        <v>5453</v>
      </c>
      <c r="H3055" s="9">
        <v>38723</v>
      </c>
      <c r="I3055" s="14">
        <f>DATE(2012,12,31)-102</f>
        <v>41172</v>
      </c>
      <c r="J3055" s="15" t="s">
        <v>30</v>
      </c>
      <c r="K3055" s="9">
        <v>39</v>
      </c>
      <c r="L3055" s="16" t="s">
        <v>26</v>
      </c>
      <c r="M3055" s="16">
        <f t="shared" si="285"/>
        <v>0.92735299990740228</v>
      </c>
      <c r="N3055">
        <f t="shared" si="286"/>
        <v>0</v>
      </c>
      <c r="O3055">
        <f t="shared" si="287"/>
        <v>0</v>
      </c>
      <c r="P3055">
        <f t="shared" si="284"/>
        <v>5350</v>
      </c>
      <c r="Q3055">
        <f t="shared" si="288"/>
        <v>5350</v>
      </c>
      <c r="T3055" s="16">
        <f t="shared" si="289"/>
        <v>0.92735299990740183</v>
      </c>
    </row>
    <row r="3056" spans="7:20" ht="14.4" x14ac:dyDescent="0.25">
      <c r="G3056" s="10">
        <v>5467</v>
      </c>
      <c r="H3056" s="9">
        <v>38851</v>
      </c>
      <c r="I3056" s="14">
        <f>DATE(2012,12,31)-204</f>
        <v>41070</v>
      </c>
      <c r="J3056" s="15" t="s">
        <v>30</v>
      </c>
      <c r="K3056" s="9">
        <v>1</v>
      </c>
      <c r="L3056" s="16" t="s">
        <v>26</v>
      </c>
      <c r="M3056" s="16">
        <f t="shared" si="285"/>
        <v>-1.6969185116230123</v>
      </c>
      <c r="N3056">
        <f t="shared" si="286"/>
        <v>0</v>
      </c>
      <c r="O3056">
        <f t="shared" si="287"/>
        <v>0</v>
      </c>
      <c r="P3056">
        <f t="shared" si="284"/>
        <v>3450</v>
      </c>
      <c r="Q3056">
        <f t="shared" si="288"/>
        <v>3450</v>
      </c>
      <c r="T3056" s="16">
        <f t="shared" si="289"/>
        <v>-1.6969185116230128</v>
      </c>
    </row>
    <row r="3057" spans="7:20" ht="14.4" x14ac:dyDescent="0.25">
      <c r="G3057" s="10">
        <v>5470</v>
      </c>
      <c r="H3057" s="9">
        <v>38882</v>
      </c>
      <c r="I3057" s="14">
        <f>DATE(2012,12,31)-1113</f>
        <v>40161</v>
      </c>
      <c r="J3057" s="15" t="s">
        <v>30</v>
      </c>
      <c r="K3057" s="9">
        <v>40</v>
      </c>
      <c r="L3057" s="16" t="s">
        <v>26</v>
      </c>
      <c r="M3057" s="16">
        <f t="shared" si="285"/>
        <v>0.99641277652662363</v>
      </c>
      <c r="N3057">
        <f t="shared" si="286"/>
        <v>0</v>
      </c>
      <c r="O3057">
        <f t="shared" si="287"/>
        <v>0</v>
      </c>
      <c r="P3057">
        <f t="shared" si="284"/>
        <v>5400</v>
      </c>
      <c r="Q3057">
        <f t="shared" si="288"/>
        <v>5400</v>
      </c>
      <c r="T3057" s="16">
        <f t="shared" si="289"/>
        <v>0.9964127765266233</v>
      </c>
    </row>
    <row r="3058" spans="7:20" ht="14.4" x14ac:dyDescent="0.25">
      <c r="G3058" s="10">
        <v>5540</v>
      </c>
      <c r="H3058" s="9">
        <v>39266</v>
      </c>
      <c r="I3058" s="14">
        <f>DATE(2012,12,31)-126</f>
        <v>41148</v>
      </c>
      <c r="J3058" s="15" t="s">
        <v>17</v>
      </c>
      <c r="K3058" s="9">
        <v>4</v>
      </c>
      <c r="L3058" s="16" t="s">
        <v>26</v>
      </c>
      <c r="M3058" s="16">
        <f t="shared" si="285"/>
        <v>-1.489739181765348</v>
      </c>
      <c r="N3058">
        <f t="shared" si="286"/>
        <v>0</v>
      </c>
      <c r="O3058">
        <f t="shared" si="287"/>
        <v>0</v>
      </c>
      <c r="P3058">
        <f t="shared" si="284"/>
        <v>3600</v>
      </c>
      <c r="Q3058">
        <f t="shared" si="288"/>
        <v>3600</v>
      </c>
      <c r="T3058" s="16">
        <f t="shared" si="289"/>
        <v>-1.4897391817653485</v>
      </c>
    </row>
    <row r="3059" spans="7:20" ht="14.4" x14ac:dyDescent="0.25">
      <c r="G3059" s="10">
        <v>5614</v>
      </c>
      <c r="H3059" s="9">
        <v>39780</v>
      </c>
      <c r="I3059" s="14">
        <f>DATE(2012,12,31)-1303</f>
        <v>39971</v>
      </c>
      <c r="J3059" s="15" t="s">
        <v>25</v>
      </c>
      <c r="K3059" s="9">
        <v>48</v>
      </c>
      <c r="L3059" s="16" t="s">
        <v>29</v>
      </c>
      <c r="M3059" s="16">
        <f t="shared" si="285"/>
        <v>1.5488909894803951</v>
      </c>
      <c r="N3059">
        <f t="shared" si="286"/>
        <v>0</v>
      </c>
      <c r="O3059">
        <f t="shared" si="287"/>
        <v>0</v>
      </c>
      <c r="P3059">
        <f t="shared" si="284"/>
        <v>5800</v>
      </c>
      <c r="Q3059">
        <f t="shared" si="288"/>
        <v>5800</v>
      </c>
      <c r="T3059" s="16">
        <f t="shared" si="289"/>
        <v>1.5488909894803948</v>
      </c>
    </row>
    <row r="3060" spans="7:20" ht="14.4" x14ac:dyDescent="0.25">
      <c r="G3060" s="10">
        <v>5625</v>
      </c>
      <c r="H3060" s="9">
        <v>39842</v>
      </c>
      <c r="I3060" s="14">
        <f>DATE(2012,12,31)-743</f>
        <v>40531</v>
      </c>
      <c r="J3060" s="15" t="s">
        <v>16</v>
      </c>
      <c r="K3060" s="9">
        <v>22</v>
      </c>
      <c r="L3060" s="16" t="s">
        <v>27</v>
      </c>
      <c r="M3060" s="16">
        <f t="shared" si="285"/>
        <v>-0.24666320261936217</v>
      </c>
      <c r="N3060">
        <f t="shared" si="286"/>
        <v>0</v>
      </c>
      <c r="O3060">
        <f t="shared" si="287"/>
        <v>0</v>
      </c>
      <c r="P3060">
        <f t="shared" si="284"/>
        <v>4500</v>
      </c>
      <c r="Q3060">
        <f t="shared" si="288"/>
        <v>4500</v>
      </c>
      <c r="T3060" s="16">
        <f t="shared" si="289"/>
        <v>-0.24666320261936256</v>
      </c>
    </row>
    <row r="3061" spans="7:20" ht="14.4" x14ac:dyDescent="0.25">
      <c r="G3061" s="10">
        <v>5652</v>
      </c>
      <c r="H3061" s="9">
        <v>40005</v>
      </c>
      <c r="I3061" s="14">
        <f>DATE(2012,12,31)-890</f>
        <v>40384</v>
      </c>
      <c r="J3061" s="15" t="s">
        <v>17</v>
      </c>
      <c r="K3061" s="9">
        <v>20</v>
      </c>
      <c r="L3061" s="16" t="s">
        <v>29</v>
      </c>
      <c r="M3061" s="16">
        <f t="shared" si="285"/>
        <v>-0.38478275585780503</v>
      </c>
      <c r="N3061">
        <f t="shared" si="286"/>
        <v>0</v>
      </c>
      <c r="O3061">
        <f t="shared" si="287"/>
        <v>0</v>
      </c>
      <c r="P3061">
        <f t="shared" si="284"/>
        <v>4400</v>
      </c>
      <c r="Q3061">
        <f t="shared" si="288"/>
        <v>4400</v>
      </c>
      <c r="T3061" s="16">
        <f t="shared" si="289"/>
        <v>-0.38478275585780541</v>
      </c>
    </row>
    <row r="3062" spans="7:20" ht="14.4" x14ac:dyDescent="0.25">
      <c r="G3062" s="10">
        <v>5733</v>
      </c>
      <c r="H3062" s="9">
        <v>40704</v>
      </c>
      <c r="I3062" s="14">
        <f>DATE(2012,12,31)-1454</f>
        <v>39820</v>
      </c>
      <c r="J3062" s="15" t="s">
        <v>25</v>
      </c>
      <c r="K3062" s="9">
        <v>6</v>
      </c>
      <c r="L3062" s="16" t="s">
        <v>26</v>
      </c>
      <c r="M3062" s="16">
        <f t="shared" si="285"/>
        <v>-1.3516196285269051</v>
      </c>
      <c r="N3062">
        <f t="shared" si="286"/>
        <v>0</v>
      </c>
      <c r="O3062">
        <f t="shared" si="287"/>
        <v>0</v>
      </c>
      <c r="P3062">
        <f t="shared" si="284"/>
        <v>3700</v>
      </c>
      <c r="Q3062">
        <f t="shared" si="288"/>
        <v>3700</v>
      </c>
      <c r="T3062" s="16">
        <f t="shared" si="289"/>
        <v>-1.3516196285269055</v>
      </c>
    </row>
    <row r="3063" spans="7:20" ht="14.4" x14ac:dyDescent="0.25">
      <c r="G3063" s="10">
        <v>5833</v>
      </c>
      <c r="H3063" s="9">
        <v>41383</v>
      </c>
      <c r="I3063" s="14">
        <f>DATE(2012,12,31)-964</f>
        <v>40310</v>
      </c>
      <c r="J3063" s="15" t="s">
        <v>25</v>
      </c>
      <c r="K3063" s="9">
        <v>36</v>
      </c>
      <c r="L3063" s="16" t="s">
        <v>26</v>
      </c>
      <c r="M3063" s="16">
        <f t="shared" si="285"/>
        <v>0.72017367004973787</v>
      </c>
      <c r="N3063">
        <f t="shared" si="286"/>
        <v>0</v>
      </c>
      <c r="O3063">
        <f t="shared" si="287"/>
        <v>0</v>
      </c>
      <c r="P3063">
        <f t="shared" si="284"/>
        <v>5200</v>
      </c>
      <c r="Q3063">
        <f t="shared" si="288"/>
        <v>5200</v>
      </c>
      <c r="T3063" s="16">
        <f t="shared" si="289"/>
        <v>0.72017367004973754</v>
      </c>
    </row>
    <row r="3064" spans="7:20" ht="14.4" x14ac:dyDescent="0.25">
      <c r="G3064" s="10">
        <v>5840</v>
      </c>
      <c r="H3064" s="9">
        <v>41415</v>
      </c>
      <c r="I3064" s="14">
        <f>DATE(2012,12,31)-1147</f>
        <v>40127</v>
      </c>
      <c r="J3064" s="15" t="s">
        <v>25</v>
      </c>
      <c r="K3064" s="9">
        <v>10</v>
      </c>
      <c r="L3064" s="16" t="s">
        <v>26</v>
      </c>
      <c r="M3064" s="16">
        <f t="shared" si="285"/>
        <v>-1.0753805220500194</v>
      </c>
      <c r="N3064">
        <f t="shared" si="286"/>
        <v>0</v>
      </c>
      <c r="O3064">
        <f t="shared" si="287"/>
        <v>0</v>
      </c>
      <c r="P3064">
        <f t="shared" si="284"/>
        <v>3900</v>
      </c>
      <c r="Q3064">
        <f t="shared" si="288"/>
        <v>3900</v>
      </c>
      <c r="T3064" s="16">
        <f t="shared" si="289"/>
        <v>-1.0753805220500199</v>
      </c>
    </row>
    <row r="3065" spans="7:20" ht="14.4" x14ac:dyDescent="0.25">
      <c r="G3065" s="10">
        <v>5898</v>
      </c>
      <c r="H3065" s="9">
        <v>41825</v>
      </c>
      <c r="I3065" s="14">
        <f>DATE(2012,12,31)-1227</f>
        <v>40047</v>
      </c>
      <c r="J3065" s="15" t="s">
        <v>30</v>
      </c>
      <c r="K3065" s="9">
        <v>50</v>
      </c>
      <c r="L3065" s="16" t="s">
        <v>29</v>
      </c>
      <c r="M3065" s="16">
        <f t="shared" si="285"/>
        <v>1.687010542718838</v>
      </c>
      <c r="N3065">
        <f t="shared" si="286"/>
        <v>0</v>
      </c>
      <c r="O3065">
        <f t="shared" si="287"/>
        <v>0</v>
      </c>
      <c r="P3065">
        <f t="shared" si="284"/>
        <v>5900</v>
      </c>
      <c r="Q3065">
        <f t="shared" si="288"/>
        <v>5900</v>
      </c>
      <c r="T3065" s="16">
        <f t="shared" si="289"/>
        <v>1.6870105427188375</v>
      </c>
    </row>
    <row r="3066" spans="7:20" ht="14.4" x14ac:dyDescent="0.25">
      <c r="G3066" s="10">
        <v>5899</v>
      </c>
      <c r="H3066" s="9">
        <v>41826</v>
      </c>
      <c r="I3066" s="14">
        <f>DATE(2012,12,31)-807</f>
        <v>40467</v>
      </c>
      <c r="J3066" s="15" t="s">
        <v>16</v>
      </c>
      <c r="K3066" s="9">
        <v>4</v>
      </c>
      <c r="L3066" s="16" t="s">
        <v>29</v>
      </c>
      <c r="M3066" s="16">
        <f t="shared" si="285"/>
        <v>-1.489739181765348</v>
      </c>
      <c r="N3066">
        <f t="shared" si="286"/>
        <v>0</v>
      </c>
      <c r="O3066">
        <f t="shared" si="287"/>
        <v>0</v>
      </c>
      <c r="P3066">
        <f t="shared" si="284"/>
        <v>3600</v>
      </c>
      <c r="Q3066">
        <f t="shared" si="288"/>
        <v>3600</v>
      </c>
      <c r="T3066" s="16">
        <f t="shared" si="289"/>
        <v>-1.4897391817653485</v>
      </c>
    </row>
    <row r="3067" spans="7:20" ht="14.4" x14ac:dyDescent="0.25">
      <c r="G3067" s="10">
        <v>5946</v>
      </c>
      <c r="H3067" s="9">
        <v>42213</v>
      </c>
      <c r="I3067" s="14">
        <f>DATE(2012,12,31)-651</f>
        <v>40623</v>
      </c>
      <c r="J3067" s="15" t="s">
        <v>30</v>
      </c>
      <c r="K3067" s="9">
        <v>46</v>
      </c>
      <c r="L3067" s="16" t="s">
        <v>26</v>
      </c>
      <c r="M3067" s="16">
        <f t="shared" si="285"/>
        <v>1.4107714362419523</v>
      </c>
      <c r="N3067">
        <f t="shared" si="286"/>
        <v>0</v>
      </c>
      <c r="O3067">
        <f t="shared" si="287"/>
        <v>0</v>
      </c>
      <c r="P3067">
        <f t="shared" si="284"/>
        <v>5700</v>
      </c>
      <c r="Q3067">
        <f t="shared" si="288"/>
        <v>5700</v>
      </c>
      <c r="T3067" s="16">
        <f t="shared" si="289"/>
        <v>1.4107714362419519</v>
      </c>
    </row>
    <row r="3068" spans="7:20" ht="14.4" x14ac:dyDescent="0.25">
      <c r="G3068" s="10">
        <v>5995</v>
      </c>
      <c r="H3068" s="9">
        <v>42469</v>
      </c>
      <c r="I3068" s="14">
        <f>DATE(2012,12,31)-53</f>
        <v>41221</v>
      </c>
      <c r="J3068" s="15" t="s">
        <v>28</v>
      </c>
      <c r="K3068" s="9">
        <v>18</v>
      </c>
      <c r="L3068" s="16" t="s">
        <v>26</v>
      </c>
      <c r="M3068" s="16">
        <f t="shared" si="285"/>
        <v>-0.52290230909624791</v>
      </c>
      <c r="N3068">
        <f t="shared" si="286"/>
        <v>0</v>
      </c>
      <c r="O3068">
        <f t="shared" si="287"/>
        <v>0</v>
      </c>
      <c r="P3068">
        <f t="shared" si="284"/>
        <v>4300</v>
      </c>
      <c r="Q3068">
        <f t="shared" si="288"/>
        <v>4300</v>
      </c>
      <c r="T3068" s="16">
        <f t="shared" si="289"/>
        <v>-0.52290230909624835</v>
      </c>
    </row>
    <row r="3069" spans="7:20" ht="14.4" x14ac:dyDescent="0.25">
      <c r="G3069" s="10">
        <v>6117</v>
      </c>
      <c r="H3069" s="9">
        <v>43302</v>
      </c>
      <c r="I3069" s="14">
        <f>DATE(2012,12,31)-496</f>
        <v>40778</v>
      </c>
      <c r="J3069" s="15" t="s">
        <v>25</v>
      </c>
      <c r="K3069" s="9">
        <v>43</v>
      </c>
      <c r="L3069" s="16" t="s">
        <v>27</v>
      </c>
      <c r="M3069" s="16">
        <f t="shared" si="285"/>
        <v>1.203592106384288</v>
      </c>
      <c r="N3069">
        <f t="shared" si="286"/>
        <v>0</v>
      </c>
      <c r="O3069">
        <f t="shared" si="287"/>
        <v>0</v>
      </c>
      <c r="P3069">
        <f t="shared" si="284"/>
        <v>5550</v>
      </c>
      <c r="Q3069">
        <f t="shared" si="288"/>
        <v>5550</v>
      </c>
      <c r="T3069" s="16">
        <f t="shared" si="289"/>
        <v>1.2035921063842876</v>
      </c>
    </row>
    <row r="3070" spans="7:20" ht="14.4" x14ac:dyDescent="0.25">
      <c r="G3070" s="10">
        <v>6156</v>
      </c>
      <c r="H3070" s="9">
        <v>43588</v>
      </c>
      <c r="I3070" s="14">
        <f>DATE(2012,12,31)-121</f>
        <v>41153</v>
      </c>
      <c r="J3070" s="15" t="s">
        <v>16</v>
      </c>
      <c r="K3070" s="9">
        <v>16</v>
      </c>
      <c r="L3070" s="16" t="s">
        <v>29</v>
      </c>
      <c r="M3070" s="16">
        <f t="shared" si="285"/>
        <v>-0.66102186233469074</v>
      </c>
      <c r="N3070">
        <f t="shared" si="286"/>
        <v>0</v>
      </c>
      <c r="O3070">
        <f t="shared" si="287"/>
        <v>0</v>
      </c>
      <c r="P3070">
        <f t="shared" si="284"/>
        <v>4200</v>
      </c>
      <c r="Q3070">
        <f t="shared" si="288"/>
        <v>4200</v>
      </c>
      <c r="T3070" s="16">
        <f t="shared" si="289"/>
        <v>-0.66102186233469118</v>
      </c>
    </row>
    <row r="3071" spans="7:20" ht="14.4" x14ac:dyDescent="0.25">
      <c r="G3071" s="10">
        <v>6208</v>
      </c>
      <c r="H3071" s="9">
        <v>44000</v>
      </c>
      <c r="I3071" s="14">
        <f>DATE(2012,12,31)-88</f>
        <v>41186</v>
      </c>
      <c r="J3071" s="15" t="s">
        <v>28</v>
      </c>
      <c r="K3071" s="9">
        <v>18</v>
      </c>
      <c r="L3071" s="16" t="s">
        <v>26</v>
      </c>
      <c r="M3071" s="16">
        <f t="shared" si="285"/>
        <v>-0.52290230909624791</v>
      </c>
      <c r="N3071">
        <f t="shared" si="286"/>
        <v>0</v>
      </c>
      <c r="O3071">
        <f t="shared" si="287"/>
        <v>0</v>
      </c>
      <c r="P3071">
        <f t="shared" si="284"/>
        <v>4300</v>
      </c>
      <c r="Q3071">
        <f t="shared" si="288"/>
        <v>4300</v>
      </c>
      <c r="T3071" s="16">
        <f t="shared" si="289"/>
        <v>-0.52290230909624835</v>
      </c>
    </row>
    <row r="3072" spans="7:20" ht="14.4" x14ac:dyDescent="0.25">
      <c r="G3072" s="10">
        <v>6389</v>
      </c>
      <c r="H3072" s="9">
        <v>45381</v>
      </c>
      <c r="I3072" s="14">
        <f>DATE(2012,12,31)-498</f>
        <v>40776</v>
      </c>
      <c r="J3072" s="15" t="s">
        <v>16</v>
      </c>
      <c r="K3072" s="9">
        <v>26</v>
      </c>
      <c r="L3072" s="16" t="s">
        <v>26</v>
      </c>
      <c r="M3072" s="16">
        <f t="shared" si="285"/>
        <v>2.9575903857523567E-2</v>
      </c>
      <c r="N3072">
        <f t="shared" si="286"/>
        <v>0</v>
      </c>
      <c r="O3072">
        <f t="shared" si="287"/>
        <v>0</v>
      </c>
      <c r="P3072">
        <f t="shared" si="284"/>
        <v>4700</v>
      </c>
      <c r="Q3072">
        <f t="shared" si="288"/>
        <v>4700</v>
      </c>
      <c r="T3072" s="16">
        <f t="shared" si="289"/>
        <v>2.9575903857523185E-2</v>
      </c>
    </row>
    <row r="3073" spans="7:20" ht="14.4" x14ac:dyDescent="0.25">
      <c r="G3073" s="10">
        <v>6390</v>
      </c>
      <c r="H3073" s="9">
        <v>45381</v>
      </c>
      <c r="I3073" s="14">
        <f>DATE(2012,12,31)-498</f>
        <v>40776</v>
      </c>
      <c r="J3073" s="15" t="s">
        <v>16</v>
      </c>
      <c r="K3073" s="9">
        <v>23</v>
      </c>
      <c r="L3073" s="16" t="s">
        <v>27</v>
      </c>
      <c r="M3073" s="16">
        <f t="shared" si="285"/>
        <v>-0.17760342600014073</v>
      </c>
      <c r="N3073">
        <f t="shared" si="286"/>
        <v>0</v>
      </c>
      <c r="O3073">
        <f t="shared" si="287"/>
        <v>0</v>
      </c>
      <c r="P3073">
        <f t="shared" si="284"/>
        <v>4550</v>
      </c>
      <c r="Q3073">
        <f t="shared" si="288"/>
        <v>4550</v>
      </c>
      <c r="T3073" s="16">
        <f t="shared" si="289"/>
        <v>-0.17760342600014112</v>
      </c>
    </row>
    <row r="3074" spans="7:20" ht="14.4" x14ac:dyDescent="0.25">
      <c r="G3074" s="10">
        <v>6431</v>
      </c>
      <c r="H3074" s="9">
        <v>45728</v>
      </c>
      <c r="I3074" s="14">
        <f>DATE(2012,12,31)-924</f>
        <v>40350</v>
      </c>
      <c r="J3074" s="15" t="s">
        <v>17</v>
      </c>
      <c r="K3074" s="9">
        <v>11</v>
      </c>
      <c r="L3074" s="16" t="s">
        <v>26</v>
      </c>
      <c r="M3074" s="16">
        <f t="shared" si="285"/>
        <v>-1.0063207454307979</v>
      </c>
      <c r="N3074">
        <f t="shared" si="286"/>
        <v>0</v>
      </c>
      <c r="O3074">
        <f t="shared" si="287"/>
        <v>0</v>
      </c>
      <c r="P3074">
        <f t="shared" si="284"/>
        <v>3950</v>
      </c>
      <c r="Q3074">
        <f t="shared" si="288"/>
        <v>3950</v>
      </c>
      <c r="T3074" s="16">
        <f t="shared" si="289"/>
        <v>-1.0063207454307983</v>
      </c>
    </row>
    <row r="3075" spans="7:20" ht="14.4" x14ac:dyDescent="0.25">
      <c r="G3075" s="10">
        <v>6456</v>
      </c>
      <c r="H3075" s="9">
        <v>45984</v>
      </c>
      <c r="I3075" s="14">
        <f>DATE(2012,12,31)-339</f>
        <v>40935</v>
      </c>
      <c r="J3075" s="15" t="s">
        <v>16</v>
      </c>
      <c r="K3075" s="9">
        <v>27</v>
      </c>
      <c r="L3075" s="16" t="s">
        <v>26</v>
      </c>
      <c r="M3075" s="16">
        <f t="shared" si="285"/>
        <v>9.8635680476745008E-2</v>
      </c>
      <c r="N3075">
        <f t="shared" si="286"/>
        <v>0</v>
      </c>
      <c r="O3075">
        <f t="shared" si="287"/>
        <v>0</v>
      </c>
      <c r="P3075">
        <f t="shared" si="284"/>
        <v>4750</v>
      </c>
      <c r="Q3075">
        <f t="shared" si="288"/>
        <v>4750</v>
      </c>
      <c r="T3075" s="16">
        <f t="shared" si="289"/>
        <v>9.8635680476744619E-2</v>
      </c>
    </row>
    <row r="3076" spans="7:20" ht="14.4" x14ac:dyDescent="0.25">
      <c r="G3076" s="10">
        <v>6459</v>
      </c>
      <c r="H3076" s="9">
        <v>45988</v>
      </c>
      <c r="I3076" s="14">
        <f>DATE(2012,12,31)-1217</f>
        <v>40057</v>
      </c>
      <c r="J3076" s="15" t="s">
        <v>30</v>
      </c>
      <c r="K3076" s="9">
        <v>43</v>
      </c>
      <c r="L3076" s="16" t="s">
        <v>29</v>
      </c>
      <c r="M3076" s="16">
        <f t="shared" si="285"/>
        <v>1.203592106384288</v>
      </c>
      <c r="N3076">
        <f t="shared" si="286"/>
        <v>0</v>
      </c>
      <c r="O3076">
        <f t="shared" si="287"/>
        <v>0</v>
      </c>
      <c r="P3076">
        <f t="shared" si="284"/>
        <v>5550</v>
      </c>
      <c r="Q3076">
        <f t="shared" si="288"/>
        <v>5550</v>
      </c>
      <c r="T3076" s="16">
        <f t="shared" si="289"/>
        <v>1.2035921063842876</v>
      </c>
    </row>
    <row r="3077" spans="7:20" ht="14.4" x14ac:dyDescent="0.25">
      <c r="G3077" s="10">
        <v>6489</v>
      </c>
      <c r="H3077" s="9">
        <v>46177</v>
      </c>
      <c r="I3077" s="14">
        <f>DATE(2012,12,31)-757</f>
        <v>40517</v>
      </c>
      <c r="J3077" s="15" t="s">
        <v>25</v>
      </c>
      <c r="K3077" s="9">
        <v>48</v>
      </c>
      <c r="L3077" s="16" t="s">
        <v>29</v>
      </c>
      <c r="M3077" s="16">
        <f t="shared" si="285"/>
        <v>1.5488909894803951</v>
      </c>
      <c r="N3077">
        <f t="shared" si="286"/>
        <v>0</v>
      </c>
      <c r="O3077">
        <f t="shared" si="287"/>
        <v>0</v>
      </c>
      <c r="P3077">
        <f t="shared" si="284"/>
        <v>5800</v>
      </c>
      <c r="Q3077">
        <f t="shared" si="288"/>
        <v>5800</v>
      </c>
      <c r="T3077" s="16">
        <f t="shared" si="289"/>
        <v>1.5488909894803948</v>
      </c>
    </row>
    <row r="3078" spans="7:20" ht="14.4" x14ac:dyDescent="0.25">
      <c r="G3078" s="10">
        <v>6620</v>
      </c>
      <c r="H3078" s="9">
        <v>47106</v>
      </c>
      <c r="I3078" s="14">
        <f>DATE(2012,12,31)-433</f>
        <v>40841</v>
      </c>
      <c r="J3078" s="15" t="s">
        <v>16</v>
      </c>
      <c r="K3078" s="9">
        <v>40</v>
      </c>
      <c r="L3078" s="16" t="s">
        <v>27</v>
      </c>
      <c r="M3078" s="16">
        <f t="shared" si="285"/>
        <v>0.99641277652662363</v>
      </c>
      <c r="N3078">
        <f t="shared" si="286"/>
        <v>0</v>
      </c>
      <c r="O3078">
        <f t="shared" si="287"/>
        <v>0</v>
      </c>
      <c r="P3078">
        <f t="shared" si="284"/>
        <v>5400</v>
      </c>
      <c r="Q3078">
        <f t="shared" si="288"/>
        <v>5400</v>
      </c>
      <c r="T3078" s="16">
        <f t="shared" si="289"/>
        <v>0.9964127765266233</v>
      </c>
    </row>
    <row r="3079" spans="7:20" ht="14.4" x14ac:dyDescent="0.25">
      <c r="G3079" s="10">
        <v>6630</v>
      </c>
      <c r="H3079" s="9">
        <v>47169</v>
      </c>
      <c r="I3079" s="14">
        <f>DATE(2012,12,31)-1034</f>
        <v>40240</v>
      </c>
      <c r="J3079" s="15" t="s">
        <v>16</v>
      </c>
      <c r="K3079" s="9">
        <v>15</v>
      </c>
      <c r="L3079" s="16" t="s">
        <v>27</v>
      </c>
      <c r="M3079" s="16">
        <f t="shared" si="285"/>
        <v>-0.7300816389539122</v>
      </c>
      <c r="N3079">
        <f t="shared" si="286"/>
        <v>0</v>
      </c>
      <c r="O3079">
        <f t="shared" si="287"/>
        <v>0</v>
      </c>
      <c r="P3079">
        <f t="shared" si="284"/>
        <v>4150</v>
      </c>
      <c r="Q3079">
        <f t="shared" si="288"/>
        <v>4150</v>
      </c>
      <c r="T3079" s="16">
        <f t="shared" si="289"/>
        <v>-0.73008163895391265</v>
      </c>
    </row>
    <row r="3080" spans="7:20" ht="14.4" x14ac:dyDescent="0.25">
      <c r="G3080" s="10">
        <v>6751</v>
      </c>
      <c r="H3080" s="9">
        <v>48071</v>
      </c>
      <c r="I3080" s="14">
        <f>DATE(2012,12,31)-669</f>
        <v>40605</v>
      </c>
      <c r="J3080" s="15" t="s">
        <v>25</v>
      </c>
      <c r="K3080" s="9">
        <v>1</v>
      </c>
      <c r="L3080" s="16" t="s">
        <v>29</v>
      </c>
      <c r="M3080" s="16">
        <f t="shared" si="285"/>
        <v>-1.6969185116230123</v>
      </c>
      <c r="N3080">
        <f t="shared" si="286"/>
        <v>0</v>
      </c>
      <c r="O3080">
        <f t="shared" si="287"/>
        <v>0</v>
      </c>
      <c r="P3080">
        <f t="shared" si="284"/>
        <v>3450</v>
      </c>
      <c r="Q3080">
        <f t="shared" si="288"/>
        <v>3450</v>
      </c>
      <c r="T3080" s="16">
        <f t="shared" si="289"/>
        <v>-1.6969185116230128</v>
      </c>
    </row>
    <row r="3081" spans="7:20" ht="14.4" x14ac:dyDescent="0.25">
      <c r="G3081" s="10">
        <v>6910</v>
      </c>
      <c r="H3081" s="9">
        <v>49312</v>
      </c>
      <c r="I3081" s="14">
        <f>DATE(2012,12,31)-679</f>
        <v>40595</v>
      </c>
      <c r="J3081" s="15" t="s">
        <v>30</v>
      </c>
      <c r="K3081" s="9">
        <v>19</v>
      </c>
      <c r="L3081" s="16" t="s">
        <v>29</v>
      </c>
      <c r="M3081" s="16">
        <f t="shared" si="285"/>
        <v>-0.45384253247702649</v>
      </c>
      <c r="N3081">
        <f t="shared" si="286"/>
        <v>0</v>
      </c>
      <c r="O3081">
        <f t="shared" si="287"/>
        <v>0</v>
      </c>
      <c r="P3081">
        <f t="shared" si="284"/>
        <v>4350</v>
      </c>
      <c r="Q3081">
        <f t="shared" si="288"/>
        <v>4350</v>
      </c>
      <c r="T3081" s="16">
        <f t="shared" si="289"/>
        <v>-0.45384253247702688</v>
      </c>
    </row>
    <row r="3082" spans="7:20" ht="14.4" x14ac:dyDescent="0.25">
      <c r="G3082" s="10">
        <v>6930</v>
      </c>
      <c r="H3082" s="9">
        <v>49472</v>
      </c>
      <c r="I3082" s="14">
        <f>DATE(2012,12,31)-899</f>
        <v>40375</v>
      </c>
      <c r="J3082" s="15" t="s">
        <v>25</v>
      </c>
      <c r="K3082" s="9">
        <v>23</v>
      </c>
      <c r="L3082" s="16" t="s">
        <v>26</v>
      </c>
      <c r="M3082" s="16">
        <f t="shared" si="285"/>
        <v>-0.17760342600014073</v>
      </c>
      <c r="N3082">
        <f t="shared" si="286"/>
        <v>0</v>
      </c>
      <c r="O3082">
        <f t="shared" si="287"/>
        <v>0</v>
      </c>
      <c r="P3082">
        <f t="shared" si="284"/>
        <v>4550</v>
      </c>
      <c r="Q3082">
        <f t="shared" si="288"/>
        <v>4550</v>
      </c>
      <c r="T3082" s="16">
        <f t="shared" si="289"/>
        <v>-0.17760342600014112</v>
      </c>
    </row>
    <row r="3083" spans="7:20" ht="14.4" x14ac:dyDescent="0.25">
      <c r="G3083" s="10">
        <v>6980</v>
      </c>
      <c r="H3083" s="9">
        <v>49891</v>
      </c>
      <c r="I3083" s="14">
        <f>DATE(2012,12,31)-1206</f>
        <v>40068</v>
      </c>
      <c r="J3083" s="15" t="s">
        <v>28</v>
      </c>
      <c r="K3083" s="9">
        <v>19</v>
      </c>
      <c r="L3083" s="16" t="s">
        <v>26</v>
      </c>
      <c r="M3083" s="16">
        <f t="shared" si="285"/>
        <v>-0.45384253247702649</v>
      </c>
      <c r="N3083">
        <f t="shared" si="286"/>
        <v>0</v>
      </c>
      <c r="O3083">
        <f t="shared" si="287"/>
        <v>0</v>
      </c>
      <c r="P3083">
        <f t="shared" si="284"/>
        <v>4350</v>
      </c>
      <c r="Q3083">
        <f t="shared" si="288"/>
        <v>4350</v>
      </c>
      <c r="T3083" s="16">
        <f t="shared" si="289"/>
        <v>-0.45384253247702688</v>
      </c>
    </row>
    <row r="3084" spans="7:20" ht="14.4" x14ac:dyDescent="0.25">
      <c r="G3084" s="10">
        <v>7041</v>
      </c>
      <c r="H3084" s="9">
        <v>50276</v>
      </c>
      <c r="I3084" s="14">
        <f>DATE(2012,12,31)-686</f>
        <v>40588</v>
      </c>
      <c r="J3084" s="15" t="s">
        <v>28</v>
      </c>
      <c r="K3084" s="9">
        <v>34</v>
      </c>
      <c r="L3084" s="16" t="s">
        <v>26</v>
      </c>
      <c r="M3084" s="16">
        <f t="shared" si="285"/>
        <v>0.58205411681129504</v>
      </c>
      <c r="N3084">
        <f t="shared" si="286"/>
        <v>0</v>
      </c>
      <c r="O3084">
        <f t="shared" si="287"/>
        <v>0</v>
      </c>
      <c r="P3084">
        <f t="shared" ref="P3084:P3147" si="290">50*K3084+$P$10</f>
        <v>5100</v>
      </c>
      <c r="Q3084">
        <f t="shared" si="288"/>
        <v>5100</v>
      </c>
      <c r="T3084" s="16">
        <f t="shared" si="289"/>
        <v>0.58205411681129471</v>
      </c>
    </row>
    <row r="3085" spans="7:20" ht="14.4" x14ac:dyDescent="0.25">
      <c r="G3085" s="10">
        <v>7162</v>
      </c>
      <c r="H3085" s="9">
        <v>51107</v>
      </c>
      <c r="I3085" s="14">
        <f>DATE(2012,12,31)-97</f>
        <v>41177</v>
      </c>
      <c r="J3085" s="15" t="s">
        <v>28</v>
      </c>
      <c r="K3085" s="9">
        <v>36</v>
      </c>
      <c r="L3085" s="16" t="s">
        <v>26</v>
      </c>
      <c r="M3085" s="16">
        <f t="shared" ref="M3085:M3148" si="291">(K3085-$K$4)/$K$7</f>
        <v>0.72017367004973787</v>
      </c>
      <c r="N3085">
        <f t="shared" ref="N3085:N3148" si="292">IF(MOD($B$20+G3085,1000)=0,1,0)</f>
        <v>0</v>
      </c>
      <c r="O3085">
        <f t="shared" ref="O3085:O3148" si="293">+ROUND(N3085*(IF(K3085&lt;$K$4,-4.5,10.5)*$P$5),-2)</f>
        <v>0</v>
      </c>
      <c r="P3085">
        <f t="shared" si="290"/>
        <v>5200</v>
      </c>
      <c r="Q3085">
        <f t="shared" ref="Q3085:Q3148" si="294">P3085+O3085</f>
        <v>5200</v>
      </c>
      <c r="T3085" s="16">
        <f t="shared" ref="T3085:T3148" si="295">(Q3085-$P$4)/$P$5</f>
        <v>0.72017367004973754</v>
      </c>
    </row>
    <row r="3086" spans="7:20" ht="14.4" x14ac:dyDescent="0.25">
      <c r="G3086" s="10">
        <v>7260</v>
      </c>
      <c r="H3086" s="9">
        <v>51783</v>
      </c>
      <c r="I3086" s="14">
        <f>DATE(2012,12,31)-416</f>
        <v>40858</v>
      </c>
      <c r="J3086" s="15" t="s">
        <v>16</v>
      </c>
      <c r="K3086" s="9">
        <v>10</v>
      </c>
      <c r="L3086" s="16" t="s">
        <v>29</v>
      </c>
      <c r="M3086" s="16">
        <f t="shared" si="291"/>
        <v>-1.0753805220500194</v>
      </c>
      <c r="N3086">
        <f t="shared" si="292"/>
        <v>0</v>
      </c>
      <c r="O3086">
        <f t="shared" si="293"/>
        <v>0</v>
      </c>
      <c r="P3086">
        <f t="shared" si="290"/>
        <v>3900</v>
      </c>
      <c r="Q3086">
        <f t="shared" si="294"/>
        <v>3900</v>
      </c>
      <c r="T3086" s="16">
        <f t="shared" si="295"/>
        <v>-1.0753805220500199</v>
      </c>
    </row>
    <row r="3087" spans="7:20" ht="14.4" x14ac:dyDescent="0.25">
      <c r="G3087" s="10">
        <v>7295</v>
      </c>
      <c r="H3087" s="9">
        <v>52006</v>
      </c>
      <c r="I3087" s="14">
        <f>DATE(2012,12,31)-1286</f>
        <v>39988</v>
      </c>
      <c r="J3087" s="15" t="s">
        <v>16</v>
      </c>
      <c r="K3087" s="9">
        <v>42</v>
      </c>
      <c r="L3087" s="16" t="s">
        <v>29</v>
      </c>
      <c r="M3087" s="16">
        <f t="shared" si="291"/>
        <v>1.1345323297650665</v>
      </c>
      <c r="N3087">
        <f t="shared" si="292"/>
        <v>0</v>
      </c>
      <c r="O3087">
        <f t="shared" si="293"/>
        <v>0</v>
      </c>
      <c r="P3087">
        <f t="shared" si="290"/>
        <v>5500</v>
      </c>
      <c r="Q3087">
        <f t="shared" si="294"/>
        <v>5500</v>
      </c>
      <c r="T3087" s="16">
        <f t="shared" si="295"/>
        <v>1.1345323297650662</v>
      </c>
    </row>
    <row r="3088" spans="7:20" ht="14.4" x14ac:dyDescent="0.25">
      <c r="G3088" s="10">
        <v>7429</v>
      </c>
      <c r="H3088" s="9">
        <v>52934</v>
      </c>
      <c r="I3088" s="14">
        <f>DATE(2012,12,31)-523</f>
        <v>40751</v>
      </c>
      <c r="J3088" s="15" t="s">
        <v>30</v>
      </c>
      <c r="K3088" s="9">
        <v>20</v>
      </c>
      <c r="L3088" s="16" t="s">
        <v>26</v>
      </c>
      <c r="M3088" s="16">
        <f t="shared" si="291"/>
        <v>-0.38478275585780503</v>
      </c>
      <c r="N3088">
        <f t="shared" si="292"/>
        <v>0</v>
      </c>
      <c r="O3088">
        <f t="shared" si="293"/>
        <v>0</v>
      </c>
      <c r="P3088">
        <f t="shared" si="290"/>
        <v>4400</v>
      </c>
      <c r="Q3088">
        <f t="shared" si="294"/>
        <v>4400</v>
      </c>
      <c r="T3088" s="16">
        <f t="shared" si="295"/>
        <v>-0.38478275585780541</v>
      </c>
    </row>
    <row r="3089" spans="7:20" ht="14.4" x14ac:dyDescent="0.25">
      <c r="G3089" s="10">
        <v>7555</v>
      </c>
      <c r="H3089" s="9">
        <v>54053</v>
      </c>
      <c r="I3089" s="14">
        <f>DATE(2012,12,31)-321</f>
        <v>40953</v>
      </c>
      <c r="J3089" s="15" t="s">
        <v>17</v>
      </c>
      <c r="K3089" s="9">
        <v>18</v>
      </c>
      <c r="L3089" s="16" t="s">
        <v>27</v>
      </c>
      <c r="M3089" s="16">
        <f t="shared" si="291"/>
        <v>-0.52290230909624791</v>
      </c>
      <c r="N3089">
        <f t="shared" si="292"/>
        <v>0</v>
      </c>
      <c r="O3089">
        <f t="shared" si="293"/>
        <v>0</v>
      </c>
      <c r="P3089">
        <f t="shared" si="290"/>
        <v>4300</v>
      </c>
      <c r="Q3089">
        <f t="shared" si="294"/>
        <v>4300</v>
      </c>
      <c r="T3089" s="16">
        <f t="shared" si="295"/>
        <v>-0.52290230909624835</v>
      </c>
    </row>
    <row r="3090" spans="7:20" ht="14.4" x14ac:dyDescent="0.25">
      <c r="G3090" s="10">
        <v>7708</v>
      </c>
      <c r="H3090" s="9">
        <v>55239</v>
      </c>
      <c r="I3090" s="14">
        <f>DATE(2012,12,31)-28</f>
        <v>41246</v>
      </c>
      <c r="J3090" s="15" t="s">
        <v>30</v>
      </c>
      <c r="K3090" s="9">
        <v>13</v>
      </c>
      <c r="L3090" s="16" t="s">
        <v>26</v>
      </c>
      <c r="M3090" s="16">
        <f t="shared" si="291"/>
        <v>-0.86820119219235514</v>
      </c>
      <c r="N3090">
        <f t="shared" si="292"/>
        <v>0</v>
      </c>
      <c r="O3090">
        <f t="shared" si="293"/>
        <v>0</v>
      </c>
      <c r="P3090">
        <f t="shared" si="290"/>
        <v>4050</v>
      </c>
      <c r="Q3090">
        <f t="shared" si="294"/>
        <v>4050</v>
      </c>
      <c r="T3090" s="16">
        <f t="shared" si="295"/>
        <v>-0.86820119219235548</v>
      </c>
    </row>
    <row r="3091" spans="7:20" ht="14.4" x14ac:dyDescent="0.25">
      <c r="G3091" s="10">
        <v>7739</v>
      </c>
      <c r="H3091" s="9">
        <v>55425</v>
      </c>
      <c r="I3091" s="14">
        <f>DATE(2012,12,31)-426</f>
        <v>40848</v>
      </c>
      <c r="J3091" s="15" t="s">
        <v>30</v>
      </c>
      <c r="K3091" s="9">
        <v>7</v>
      </c>
      <c r="L3091" s="16" t="s">
        <v>26</v>
      </c>
      <c r="M3091" s="16">
        <f t="shared" si="291"/>
        <v>-1.2825598519076837</v>
      </c>
      <c r="N3091">
        <f t="shared" si="292"/>
        <v>0</v>
      </c>
      <c r="O3091">
        <f t="shared" si="293"/>
        <v>0</v>
      </c>
      <c r="P3091">
        <f t="shared" si="290"/>
        <v>3750</v>
      </c>
      <c r="Q3091">
        <f t="shared" si="294"/>
        <v>3750</v>
      </c>
      <c r="T3091" s="16">
        <f t="shared" si="295"/>
        <v>-1.2825598519076842</v>
      </c>
    </row>
    <row r="3092" spans="7:20" ht="14.4" x14ac:dyDescent="0.25">
      <c r="G3092" s="10">
        <v>7901</v>
      </c>
      <c r="H3092" s="9">
        <v>56515</v>
      </c>
      <c r="I3092" s="14">
        <f>DATE(2012,12,31)-584</f>
        <v>40690</v>
      </c>
      <c r="J3092" s="15" t="s">
        <v>16</v>
      </c>
      <c r="K3092" s="9">
        <v>17</v>
      </c>
      <c r="L3092" s="16" t="s">
        <v>29</v>
      </c>
      <c r="M3092" s="16">
        <f t="shared" si="291"/>
        <v>-0.59196208571546938</v>
      </c>
      <c r="N3092">
        <f t="shared" si="292"/>
        <v>0</v>
      </c>
      <c r="O3092">
        <f t="shared" si="293"/>
        <v>0</v>
      </c>
      <c r="P3092">
        <f t="shared" si="290"/>
        <v>4250</v>
      </c>
      <c r="Q3092">
        <f t="shared" si="294"/>
        <v>4250</v>
      </c>
      <c r="T3092" s="16">
        <f t="shared" si="295"/>
        <v>-0.59196208571546971</v>
      </c>
    </row>
    <row r="3093" spans="7:20" ht="14.4" x14ac:dyDescent="0.25">
      <c r="G3093" s="10">
        <v>8079</v>
      </c>
      <c r="H3093" s="9">
        <v>57638</v>
      </c>
      <c r="I3093" s="14">
        <f>DATE(2012,12,31)-253</f>
        <v>41021</v>
      </c>
      <c r="J3093" s="15" t="s">
        <v>25</v>
      </c>
      <c r="K3093" s="9">
        <v>35</v>
      </c>
      <c r="L3093" s="16" t="s">
        <v>29</v>
      </c>
      <c r="M3093" s="16">
        <f t="shared" si="291"/>
        <v>0.65111389343051651</v>
      </c>
      <c r="N3093">
        <f t="shared" si="292"/>
        <v>0</v>
      </c>
      <c r="O3093">
        <f t="shared" si="293"/>
        <v>0</v>
      </c>
      <c r="P3093">
        <f t="shared" si="290"/>
        <v>5150</v>
      </c>
      <c r="Q3093">
        <f t="shared" si="294"/>
        <v>5150</v>
      </c>
      <c r="T3093" s="16">
        <f t="shared" si="295"/>
        <v>0.65111389343051607</v>
      </c>
    </row>
    <row r="3094" spans="7:20" ht="14.4" x14ac:dyDescent="0.25">
      <c r="G3094" s="10">
        <v>8195</v>
      </c>
      <c r="H3094" s="9">
        <v>58599</v>
      </c>
      <c r="I3094" s="14">
        <f>DATE(2012,12,31)-1082</f>
        <v>40192</v>
      </c>
      <c r="J3094" s="15" t="s">
        <v>30</v>
      </c>
      <c r="K3094" s="9">
        <v>49</v>
      </c>
      <c r="L3094" s="16" t="s">
        <v>29</v>
      </c>
      <c r="M3094" s="16">
        <f t="shared" si="291"/>
        <v>1.6179507660996166</v>
      </c>
      <c r="N3094">
        <f t="shared" si="292"/>
        <v>0</v>
      </c>
      <c r="O3094">
        <f t="shared" si="293"/>
        <v>0</v>
      </c>
      <c r="P3094">
        <f t="shared" si="290"/>
        <v>5850</v>
      </c>
      <c r="Q3094">
        <f t="shared" si="294"/>
        <v>5850</v>
      </c>
      <c r="T3094" s="16">
        <f t="shared" si="295"/>
        <v>1.6179507660996162</v>
      </c>
    </row>
    <row r="3095" spans="7:20" ht="14.4" x14ac:dyDescent="0.25">
      <c r="G3095" s="10">
        <v>8265</v>
      </c>
      <c r="H3095" s="9">
        <v>59075</v>
      </c>
      <c r="I3095" s="14">
        <f>DATE(2012,12,31)-309</f>
        <v>40965</v>
      </c>
      <c r="J3095" s="15" t="s">
        <v>25</v>
      </c>
      <c r="K3095" s="9">
        <v>4</v>
      </c>
      <c r="L3095" s="16" t="s">
        <v>27</v>
      </c>
      <c r="M3095" s="16">
        <f t="shared" si="291"/>
        <v>-1.489739181765348</v>
      </c>
      <c r="N3095">
        <f t="shared" si="292"/>
        <v>0</v>
      </c>
      <c r="O3095">
        <f t="shared" si="293"/>
        <v>0</v>
      </c>
      <c r="P3095">
        <f t="shared" si="290"/>
        <v>3600</v>
      </c>
      <c r="Q3095">
        <f t="shared" si="294"/>
        <v>3600</v>
      </c>
      <c r="T3095" s="16">
        <f t="shared" si="295"/>
        <v>-1.4897391817653485</v>
      </c>
    </row>
    <row r="3096" spans="7:20" ht="14.4" x14ac:dyDescent="0.25">
      <c r="G3096" s="10">
        <v>8300</v>
      </c>
      <c r="H3096" s="9">
        <v>59270</v>
      </c>
      <c r="I3096" s="14">
        <f>DATE(2012,12,31)-1085</f>
        <v>40189</v>
      </c>
      <c r="J3096" s="15" t="s">
        <v>17</v>
      </c>
      <c r="K3096" s="9">
        <v>47</v>
      </c>
      <c r="L3096" s="16" t="s">
        <v>27</v>
      </c>
      <c r="M3096" s="16">
        <f t="shared" si="291"/>
        <v>1.4798312128611737</v>
      </c>
      <c r="N3096">
        <f t="shared" si="292"/>
        <v>0</v>
      </c>
      <c r="O3096">
        <f t="shared" si="293"/>
        <v>0</v>
      </c>
      <c r="P3096">
        <f t="shared" si="290"/>
        <v>5750</v>
      </c>
      <c r="Q3096">
        <f t="shared" si="294"/>
        <v>5750</v>
      </c>
      <c r="T3096" s="16">
        <f t="shared" si="295"/>
        <v>1.4798312128611733</v>
      </c>
    </row>
    <row r="3097" spans="7:20" ht="14.4" x14ac:dyDescent="0.25">
      <c r="G3097" s="10">
        <v>58</v>
      </c>
      <c r="H3097" s="9">
        <v>326</v>
      </c>
      <c r="I3097" s="14">
        <f>DATE(2012,12,31)-577</f>
        <v>40697</v>
      </c>
      <c r="J3097" s="15" t="s">
        <v>17</v>
      </c>
      <c r="K3097" s="9">
        <v>34</v>
      </c>
      <c r="L3097" s="16" t="s">
        <v>26</v>
      </c>
      <c r="M3097" s="16">
        <f t="shared" si="291"/>
        <v>0.58205411681129504</v>
      </c>
      <c r="N3097">
        <f t="shared" si="292"/>
        <v>0</v>
      </c>
      <c r="O3097">
        <f t="shared" si="293"/>
        <v>0</v>
      </c>
      <c r="P3097">
        <f t="shared" si="290"/>
        <v>5100</v>
      </c>
      <c r="Q3097">
        <f t="shared" si="294"/>
        <v>5100</v>
      </c>
      <c r="T3097" s="16">
        <f t="shared" si="295"/>
        <v>0.58205411681129471</v>
      </c>
    </row>
    <row r="3098" spans="7:20" ht="14.4" x14ac:dyDescent="0.25">
      <c r="G3098" s="10">
        <v>59</v>
      </c>
      <c r="H3098" s="9">
        <v>326</v>
      </c>
      <c r="I3098" s="14">
        <f>DATE(2012,12,31)-577</f>
        <v>40697</v>
      </c>
      <c r="J3098" s="15" t="s">
        <v>17</v>
      </c>
      <c r="K3098" s="9">
        <v>17</v>
      </c>
      <c r="L3098" s="16" t="s">
        <v>26</v>
      </c>
      <c r="M3098" s="16">
        <f t="shared" si="291"/>
        <v>-0.59196208571546938</v>
      </c>
      <c r="N3098">
        <f t="shared" si="292"/>
        <v>0</v>
      </c>
      <c r="O3098">
        <f t="shared" si="293"/>
        <v>0</v>
      </c>
      <c r="P3098">
        <f t="shared" si="290"/>
        <v>4250</v>
      </c>
      <c r="Q3098">
        <f t="shared" si="294"/>
        <v>4250</v>
      </c>
      <c r="T3098" s="16">
        <f t="shared" si="295"/>
        <v>-0.59196208571546971</v>
      </c>
    </row>
    <row r="3099" spans="7:20" ht="14.4" x14ac:dyDescent="0.25">
      <c r="G3099" s="10">
        <v>99</v>
      </c>
      <c r="H3099" s="9">
        <v>614</v>
      </c>
      <c r="I3099" s="14">
        <f>DATE(2012,12,31)-31</f>
        <v>41243</v>
      </c>
      <c r="J3099" s="15" t="s">
        <v>17</v>
      </c>
      <c r="K3099" s="9">
        <v>41</v>
      </c>
      <c r="L3099" s="16" t="s">
        <v>29</v>
      </c>
      <c r="M3099" s="16">
        <f t="shared" si="291"/>
        <v>1.0654725531458451</v>
      </c>
      <c r="N3099">
        <f t="shared" si="292"/>
        <v>0</v>
      </c>
      <c r="O3099">
        <f t="shared" si="293"/>
        <v>0</v>
      </c>
      <c r="P3099">
        <f t="shared" si="290"/>
        <v>5450</v>
      </c>
      <c r="Q3099">
        <f t="shared" si="294"/>
        <v>5450</v>
      </c>
      <c r="T3099" s="16">
        <f t="shared" si="295"/>
        <v>1.0654725531458447</v>
      </c>
    </row>
    <row r="3100" spans="7:20" ht="14.4" x14ac:dyDescent="0.25">
      <c r="G3100" s="10">
        <v>100</v>
      </c>
      <c r="H3100" s="9">
        <v>614</v>
      </c>
      <c r="I3100" s="14">
        <f>DATE(2012,12,31)-31</f>
        <v>41243</v>
      </c>
      <c r="J3100" s="15" t="s">
        <v>17</v>
      </c>
      <c r="K3100" s="9">
        <v>24</v>
      </c>
      <c r="L3100" s="16" t="s">
        <v>29</v>
      </c>
      <c r="M3100" s="16">
        <f t="shared" si="291"/>
        <v>-0.1085436493809193</v>
      </c>
      <c r="N3100">
        <f t="shared" si="292"/>
        <v>0</v>
      </c>
      <c r="O3100">
        <f t="shared" si="293"/>
        <v>0</v>
      </c>
      <c r="P3100">
        <f t="shared" si="290"/>
        <v>4600</v>
      </c>
      <c r="Q3100">
        <f t="shared" si="294"/>
        <v>4600</v>
      </c>
      <c r="T3100" s="16">
        <f t="shared" si="295"/>
        <v>-0.10854364938091969</v>
      </c>
    </row>
    <row r="3101" spans="7:20" ht="14.4" x14ac:dyDescent="0.25">
      <c r="G3101" s="10">
        <v>139</v>
      </c>
      <c r="H3101" s="9">
        <v>898</v>
      </c>
      <c r="I3101" s="14">
        <f>DATE(2012,12,31)-943</f>
        <v>40331</v>
      </c>
      <c r="J3101" s="15" t="s">
        <v>17</v>
      </c>
      <c r="K3101" s="9">
        <v>40</v>
      </c>
      <c r="L3101" s="16" t="s">
        <v>27</v>
      </c>
      <c r="M3101" s="16">
        <f t="shared" si="291"/>
        <v>0.99641277652662363</v>
      </c>
      <c r="N3101">
        <f t="shared" si="292"/>
        <v>0</v>
      </c>
      <c r="O3101">
        <f t="shared" si="293"/>
        <v>0</v>
      </c>
      <c r="P3101">
        <f t="shared" si="290"/>
        <v>5400</v>
      </c>
      <c r="Q3101">
        <f t="shared" si="294"/>
        <v>5400</v>
      </c>
      <c r="T3101" s="16">
        <f t="shared" si="295"/>
        <v>0.9964127765266233</v>
      </c>
    </row>
    <row r="3102" spans="7:20" ht="14.4" x14ac:dyDescent="0.25">
      <c r="G3102" s="10">
        <v>140</v>
      </c>
      <c r="H3102" s="9">
        <v>898</v>
      </c>
      <c r="I3102" s="14">
        <f>DATE(2012,12,31)-943</f>
        <v>40331</v>
      </c>
      <c r="J3102" s="15" t="s">
        <v>17</v>
      </c>
      <c r="K3102" s="9">
        <v>26</v>
      </c>
      <c r="L3102" s="16" t="s">
        <v>29</v>
      </c>
      <c r="M3102" s="16">
        <f t="shared" si="291"/>
        <v>2.9575903857523567E-2</v>
      </c>
      <c r="N3102">
        <f t="shared" si="292"/>
        <v>0</v>
      </c>
      <c r="O3102">
        <f t="shared" si="293"/>
        <v>0</v>
      </c>
      <c r="P3102">
        <f t="shared" si="290"/>
        <v>4700</v>
      </c>
      <c r="Q3102">
        <f t="shared" si="294"/>
        <v>4700</v>
      </c>
      <c r="T3102" s="16">
        <f t="shared" si="295"/>
        <v>2.9575903857523185E-2</v>
      </c>
    </row>
    <row r="3103" spans="7:20" ht="14.4" x14ac:dyDescent="0.25">
      <c r="G3103" s="10">
        <v>166</v>
      </c>
      <c r="H3103" s="9">
        <v>1031</v>
      </c>
      <c r="I3103" s="14">
        <f>DATE(2012,12,31)-1218</f>
        <v>40056</v>
      </c>
      <c r="J3103" s="15" t="s">
        <v>16</v>
      </c>
      <c r="K3103" s="9">
        <v>34</v>
      </c>
      <c r="L3103" s="16" t="s">
        <v>26</v>
      </c>
      <c r="M3103" s="16">
        <f t="shared" si="291"/>
        <v>0.58205411681129504</v>
      </c>
      <c r="N3103">
        <f t="shared" si="292"/>
        <v>0</v>
      </c>
      <c r="O3103">
        <f t="shared" si="293"/>
        <v>0</v>
      </c>
      <c r="P3103">
        <f t="shared" si="290"/>
        <v>5100</v>
      </c>
      <c r="Q3103">
        <f t="shared" si="294"/>
        <v>5100</v>
      </c>
      <c r="T3103" s="16">
        <f t="shared" si="295"/>
        <v>0.58205411681129471</v>
      </c>
    </row>
    <row r="3104" spans="7:20" ht="14.4" x14ac:dyDescent="0.25">
      <c r="G3104" s="10">
        <v>224</v>
      </c>
      <c r="H3104" s="9">
        <v>1447</v>
      </c>
      <c r="I3104" s="14">
        <f>DATE(2012,12,31)-78</f>
        <v>41196</v>
      </c>
      <c r="J3104" s="15" t="s">
        <v>17</v>
      </c>
      <c r="K3104" s="9">
        <v>40</v>
      </c>
      <c r="L3104" s="16" t="s">
        <v>27</v>
      </c>
      <c r="M3104" s="16">
        <f t="shared" si="291"/>
        <v>0.99641277652662363</v>
      </c>
      <c r="N3104">
        <f t="shared" si="292"/>
        <v>0</v>
      </c>
      <c r="O3104">
        <f t="shared" si="293"/>
        <v>0</v>
      </c>
      <c r="P3104">
        <f t="shared" si="290"/>
        <v>5400</v>
      </c>
      <c r="Q3104">
        <f t="shared" si="294"/>
        <v>5400</v>
      </c>
      <c r="T3104" s="16">
        <f t="shared" si="295"/>
        <v>0.9964127765266233</v>
      </c>
    </row>
    <row r="3105" spans="7:20" ht="14.4" x14ac:dyDescent="0.25">
      <c r="G3105" s="10">
        <v>311</v>
      </c>
      <c r="H3105" s="9">
        <v>2150</v>
      </c>
      <c r="I3105" s="14">
        <f>DATE(2012,12,31)-1308</f>
        <v>39966</v>
      </c>
      <c r="J3105" s="15" t="s">
        <v>16</v>
      </c>
      <c r="K3105" s="9">
        <v>21</v>
      </c>
      <c r="L3105" s="16" t="s">
        <v>29</v>
      </c>
      <c r="M3105" s="16">
        <f t="shared" si="291"/>
        <v>-0.31572297923858361</v>
      </c>
      <c r="N3105">
        <f t="shared" si="292"/>
        <v>0</v>
      </c>
      <c r="O3105">
        <f t="shared" si="293"/>
        <v>0</v>
      </c>
      <c r="P3105">
        <f t="shared" si="290"/>
        <v>4450</v>
      </c>
      <c r="Q3105">
        <f t="shared" si="294"/>
        <v>4450</v>
      </c>
      <c r="T3105" s="16">
        <f t="shared" si="295"/>
        <v>-0.315722979238584</v>
      </c>
    </row>
    <row r="3106" spans="7:20" ht="14.4" x14ac:dyDescent="0.25">
      <c r="G3106" s="10">
        <v>320</v>
      </c>
      <c r="H3106" s="9">
        <v>2211</v>
      </c>
      <c r="I3106" s="14">
        <f>DATE(2012,12,31)-1281</f>
        <v>39993</v>
      </c>
      <c r="J3106" s="15" t="s">
        <v>17</v>
      </c>
      <c r="K3106" s="9">
        <v>22</v>
      </c>
      <c r="L3106" s="16" t="s">
        <v>27</v>
      </c>
      <c r="M3106" s="16">
        <f t="shared" si="291"/>
        <v>-0.24666320261936217</v>
      </c>
      <c r="N3106">
        <f t="shared" si="292"/>
        <v>0</v>
      </c>
      <c r="O3106">
        <f t="shared" si="293"/>
        <v>0</v>
      </c>
      <c r="P3106">
        <f t="shared" si="290"/>
        <v>4500</v>
      </c>
      <c r="Q3106">
        <f t="shared" si="294"/>
        <v>4500</v>
      </c>
      <c r="T3106" s="16">
        <f t="shared" si="295"/>
        <v>-0.24666320261936256</v>
      </c>
    </row>
    <row r="3107" spans="7:20" ht="14.4" x14ac:dyDescent="0.25">
      <c r="G3107" s="10">
        <v>321</v>
      </c>
      <c r="H3107" s="9">
        <v>2211</v>
      </c>
      <c r="I3107" s="14">
        <f>DATE(2012,12,31)-1281</f>
        <v>39993</v>
      </c>
      <c r="J3107" s="15" t="s">
        <v>17</v>
      </c>
      <c r="K3107" s="9">
        <v>14</v>
      </c>
      <c r="L3107" s="16" t="s">
        <v>26</v>
      </c>
      <c r="M3107" s="16">
        <f t="shared" si="291"/>
        <v>-0.79914141557313367</v>
      </c>
      <c r="N3107">
        <f t="shared" si="292"/>
        <v>0</v>
      </c>
      <c r="O3107">
        <f t="shared" si="293"/>
        <v>0</v>
      </c>
      <c r="P3107">
        <f t="shared" si="290"/>
        <v>4100</v>
      </c>
      <c r="Q3107">
        <f t="shared" si="294"/>
        <v>4100</v>
      </c>
      <c r="T3107" s="16">
        <f t="shared" si="295"/>
        <v>-0.79914141557313401</v>
      </c>
    </row>
    <row r="3108" spans="7:20" ht="14.4" x14ac:dyDescent="0.25">
      <c r="G3108" s="10">
        <v>322</v>
      </c>
      <c r="H3108" s="9">
        <v>2211</v>
      </c>
      <c r="I3108" s="14">
        <f>DATE(2012,12,31)-1281</f>
        <v>39993</v>
      </c>
      <c r="J3108" s="15" t="s">
        <v>17</v>
      </c>
      <c r="K3108" s="9">
        <v>23</v>
      </c>
      <c r="L3108" s="16" t="s">
        <v>26</v>
      </c>
      <c r="M3108" s="16">
        <f t="shared" si="291"/>
        <v>-0.17760342600014073</v>
      </c>
      <c r="N3108">
        <f t="shared" si="292"/>
        <v>0</v>
      </c>
      <c r="O3108">
        <f t="shared" si="293"/>
        <v>0</v>
      </c>
      <c r="P3108">
        <f t="shared" si="290"/>
        <v>4550</v>
      </c>
      <c r="Q3108">
        <f t="shared" si="294"/>
        <v>4550</v>
      </c>
      <c r="T3108" s="16">
        <f t="shared" si="295"/>
        <v>-0.17760342600014112</v>
      </c>
    </row>
    <row r="3109" spans="7:20" ht="14.4" x14ac:dyDescent="0.25">
      <c r="G3109" s="10">
        <v>339</v>
      </c>
      <c r="H3109" s="9">
        <v>2307</v>
      </c>
      <c r="I3109" s="14">
        <f>DATE(2012,12,31)-917</f>
        <v>40357</v>
      </c>
      <c r="J3109" s="15" t="s">
        <v>25</v>
      </c>
      <c r="K3109" s="9">
        <v>32</v>
      </c>
      <c r="L3109" s="16" t="s">
        <v>26</v>
      </c>
      <c r="M3109" s="16">
        <f t="shared" si="291"/>
        <v>0.44393456357285216</v>
      </c>
      <c r="N3109">
        <f t="shared" si="292"/>
        <v>0</v>
      </c>
      <c r="O3109">
        <f t="shared" si="293"/>
        <v>0</v>
      </c>
      <c r="P3109">
        <f t="shared" si="290"/>
        <v>5000</v>
      </c>
      <c r="Q3109">
        <f t="shared" si="294"/>
        <v>5000</v>
      </c>
      <c r="T3109" s="16">
        <f t="shared" si="295"/>
        <v>0.44393456357285183</v>
      </c>
    </row>
    <row r="3110" spans="7:20" ht="14.4" x14ac:dyDescent="0.25">
      <c r="G3110" s="10">
        <v>345</v>
      </c>
      <c r="H3110" s="9">
        <v>2370</v>
      </c>
      <c r="I3110" s="14">
        <f>DATE(2012,12,31)-1445</f>
        <v>39829</v>
      </c>
      <c r="J3110" s="15" t="s">
        <v>30</v>
      </c>
      <c r="K3110" s="9">
        <v>6</v>
      </c>
      <c r="L3110" s="16" t="s">
        <v>29</v>
      </c>
      <c r="M3110" s="16">
        <f t="shared" si="291"/>
        <v>-1.3516196285269051</v>
      </c>
      <c r="N3110">
        <f t="shared" si="292"/>
        <v>0</v>
      </c>
      <c r="O3110">
        <f t="shared" si="293"/>
        <v>0</v>
      </c>
      <c r="P3110">
        <f t="shared" si="290"/>
        <v>3700</v>
      </c>
      <c r="Q3110">
        <f t="shared" si="294"/>
        <v>3700</v>
      </c>
      <c r="T3110" s="16">
        <f t="shared" si="295"/>
        <v>-1.3516196285269055</v>
      </c>
    </row>
    <row r="3111" spans="7:20" ht="14.4" x14ac:dyDescent="0.25">
      <c r="G3111" s="10">
        <v>346</v>
      </c>
      <c r="H3111" s="9">
        <v>2370</v>
      </c>
      <c r="I3111" s="14">
        <f>DATE(2012,12,31)-1445</f>
        <v>39829</v>
      </c>
      <c r="J3111" s="15" t="s">
        <v>30</v>
      </c>
      <c r="K3111" s="9">
        <v>30</v>
      </c>
      <c r="L3111" s="16" t="s">
        <v>26</v>
      </c>
      <c r="M3111" s="16">
        <f t="shared" si="291"/>
        <v>0.30581501033440933</v>
      </c>
      <c r="N3111">
        <f t="shared" si="292"/>
        <v>0</v>
      </c>
      <c r="O3111">
        <f t="shared" si="293"/>
        <v>0</v>
      </c>
      <c r="P3111">
        <f t="shared" si="290"/>
        <v>4900</v>
      </c>
      <c r="Q3111">
        <f t="shared" si="294"/>
        <v>4900</v>
      </c>
      <c r="T3111" s="16">
        <f t="shared" si="295"/>
        <v>0.30581501033440894</v>
      </c>
    </row>
    <row r="3112" spans="7:20" ht="14.4" x14ac:dyDescent="0.25">
      <c r="G3112" s="10">
        <v>348</v>
      </c>
      <c r="H3112" s="9">
        <v>2374</v>
      </c>
      <c r="I3112" s="14">
        <f>DATE(2012,12,31)-795</f>
        <v>40479</v>
      </c>
      <c r="J3112" s="15" t="s">
        <v>28</v>
      </c>
      <c r="K3112" s="9">
        <v>21</v>
      </c>
      <c r="L3112" s="16" t="s">
        <v>26</v>
      </c>
      <c r="M3112" s="16">
        <f t="shared" si="291"/>
        <v>-0.31572297923858361</v>
      </c>
      <c r="N3112">
        <f t="shared" si="292"/>
        <v>0</v>
      </c>
      <c r="O3112">
        <f t="shared" si="293"/>
        <v>0</v>
      </c>
      <c r="P3112">
        <f t="shared" si="290"/>
        <v>4450</v>
      </c>
      <c r="Q3112">
        <f t="shared" si="294"/>
        <v>4450</v>
      </c>
      <c r="T3112" s="16">
        <f t="shared" si="295"/>
        <v>-0.315722979238584</v>
      </c>
    </row>
    <row r="3113" spans="7:20" ht="14.4" x14ac:dyDescent="0.25">
      <c r="G3113" s="10">
        <v>462</v>
      </c>
      <c r="H3113" s="9">
        <v>3138</v>
      </c>
      <c r="I3113" s="14">
        <f>DATE(2012,12,31)-1422</f>
        <v>39852</v>
      </c>
      <c r="J3113" s="15" t="s">
        <v>28</v>
      </c>
      <c r="K3113" s="9">
        <v>4</v>
      </c>
      <c r="L3113" s="16" t="s">
        <v>27</v>
      </c>
      <c r="M3113" s="16">
        <f t="shared" si="291"/>
        <v>-1.489739181765348</v>
      </c>
      <c r="N3113">
        <f t="shared" si="292"/>
        <v>0</v>
      </c>
      <c r="O3113">
        <f t="shared" si="293"/>
        <v>0</v>
      </c>
      <c r="P3113">
        <f t="shared" si="290"/>
        <v>3600</v>
      </c>
      <c r="Q3113">
        <f t="shared" si="294"/>
        <v>3600</v>
      </c>
      <c r="T3113" s="16">
        <f t="shared" si="295"/>
        <v>-1.4897391817653485</v>
      </c>
    </row>
    <row r="3114" spans="7:20" ht="14.4" x14ac:dyDescent="0.25">
      <c r="G3114" s="10">
        <v>463</v>
      </c>
      <c r="H3114" s="9">
        <v>3141</v>
      </c>
      <c r="I3114" s="14">
        <f>DATE(2012,12,31)-418</f>
        <v>40856</v>
      </c>
      <c r="J3114" s="15" t="s">
        <v>30</v>
      </c>
      <c r="K3114" s="9">
        <v>30</v>
      </c>
      <c r="L3114" s="16" t="s">
        <v>27</v>
      </c>
      <c r="M3114" s="16">
        <f t="shared" si="291"/>
        <v>0.30581501033440933</v>
      </c>
      <c r="N3114">
        <f t="shared" si="292"/>
        <v>0</v>
      </c>
      <c r="O3114">
        <f t="shared" si="293"/>
        <v>0</v>
      </c>
      <c r="P3114">
        <f t="shared" si="290"/>
        <v>4900</v>
      </c>
      <c r="Q3114">
        <f t="shared" si="294"/>
        <v>4900</v>
      </c>
      <c r="T3114" s="16">
        <f t="shared" si="295"/>
        <v>0.30581501033440894</v>
      </c>
    </row>
    <row r="3115" spans="7:20" ht="14.4" x14ac:dyDescent="0.25">
      <c r="G3115" s="10">
        <v>641</v>
      </c>
      <c r="H3115" s="9">
        <v>4515</v>
      </c>
      <c r="I3115" s="14">
        <f>DATE(2012,12,31)-290</f>
        <v>40984</v>
      </c>
      <c r="J3115" s="15" t="s">
        <v>30</v>
      </c>
      <c r="K3115" s="9">
        <v>7</v>
      </c>
      <c r="L3115" s="16" t="s">
        <v>27</v>
      </c>
      <c r="M3115" s="16">
        <f t="shared" si="291"/>
        <v>-1.2825598519076837</v>
      </c>
      <c r="N3115">
        <f t="shared" si="292"/>
        <v>0</v>
      </c>
      <c r="O3115">
        <f t="shared" si="293"/>
        <v>0</v>
      </c>
      <c r="P3115">
        <f t="shared" si="290"/>
        <v>3750</v>
      </c>
      <c r="Q3115">
        <f t="shared" si="294"/>
        <v>3750</v>
      </c>
      <c r="T3115" s="16">
        <f t="shared" si="295"/>
        <v>-1.2825598519076842</v>
      </c>
    </row>
    <row r="3116" spans="7:20" ht="14.4" x14ac:dyDescent="0.25">
      <c r="G3116" s="10">
        <v>675</v>
      </c>
      <c r="H3116" s="9">
        <v>4708</v>
      </c>
      <c r="I3116" s="14">
        <f>DATE(2012,12,31)-1188</f>
        <v>40086</v>
      </c>
      <c r="J3116" s="15" t="s">
        <v>30</v>
      </c>
      <c r="K3116" s="9">
        <v>29</v>
      </c>
      <c r="L3116" s="16" t="s">
        <v>26</v>
      </c>
      <c r="M3116" s="16">
        <f t="shared" si="291"/>
        <v>0.23675523371518786</v>
      </c>
      <c r="N3116">
        <f t="shared" si="292"/>
        <v>0</v>
      </c>
      <c r="O3116">
        <f t="shared" si="293"/>
        <v>0</v>
      </c>
      <c r="P3116">
        <f t="shared" si="290"/>
        <v>4850</v>
      </c>
      <c r="Q3116">
        <f t="shared" si="294"/>
        <v>4850</v>
      </c>
      <c r="T3116" s="16">
        <f t="shared" si="295"/>
        <v>0.2367552337151875</v>
      </c>
    </row>
    <row r="3117" spans="7:20" ht="14.4" x14ac:dyDescent="0.25">
      <c r="G3117" s="10">
        <v>720</v>
      </c>
      <c r="H3117" s="9">
        <v>5155</v>
      </c>
      <c r="I3117" s="14">
        <f>DATE(2012,12,31)-1299</f>
        <v>39975</v>
      </c>
      <c r="J3117" s="15" t="s">
        <v>17</v>
      </c>
      <c r="K3117" s="9">
        <v>14</v>
      </c>
      <c r="L3117" s="16" t="s">
        <v>27</v>
      </c>
      <c r="M3117" s="16">
        <f t="shared" si="291"/>
        <v>-0.79914141557313367</v>
      </c>
      <c r="N3117">
        <f t="shared" si="292"/>
        <v>0</v>
      </c>
      <c r="O3117">
        <f t="shared" si="293"/>
        <v>0</v>
      </c>
      <c r="P3117">
        <f t="shared" si="290"/>
        <v>4100</v>
      </c>
      <c r="Q3117">
        <f t="shared" si="294"/>
        <v>4100</v>
      </c>
      <c r="T3117" s="16">
        <f t="shared" si="295"/>
        <v>-0.79914141557313401</v>
      </c>
    </row>
    <row r="3118" spans="7:20" ht="14.4" x14ac:dyDescent="0.25">
      <c r="G3118" s="10">
        <v>752</v>
      </c>
      <c r="H3118" s="9">
        <v>5382</v>
      </c>
      <c r="I3118" s="14">
        <f>DATE(2012,12,31)-354</f>
        <v>40920</v>
      </c>
      <c r="J3118" s="15" t="s">
        <v>25</v>
      </c>
      <c r="K3118" s="9">
        <v>30</v>
      </c>
      <c r="L3118" s="16" t="s">
        <v>29</v>
      </c>
      <c r="M3118" s="16">
        <f t="shared" si="291"/>
        <v>0.30581501033440933</v>
      </c>
      <c r="N3118">
        <f t="shared" si="292"/>
        <v>0</v>
      </c>
      <c r="O3118">
        <f t="shared" si="293"/>
        <v>0</v>
      </c>
      <c r="P3118">
        <f t="shared" si="290"/>
        <v>4900</v>
      </c>
      <c r="Q3118">
        <f t="shared" si="294"/>
        <v>4900</v>
      </c>
      <c r="T3118" s="16">
        <f t="shared" si="295"/>
        <v>0.30581501033440894</v>
      </c>
    </row>
    <row r="3119" spans="7:20" ht="14.4" x14ac:dyDescent="0.25">
      <c r="G3119" s="10">
        <v>756</v>
      </c>
      <c r="H3119" s="9">
        <v>5414</v>
      </c>
      <c r="I3119" s="14">
        <f>DATE(2012,12,31)-1013</f>
        <v>40261</v>
      </c>
      <c r="J3119" s="15" t="s">
        <v>28</v>
      </c>
      <c r="K3119" s="9">
        <v>14</v>
      </c>
      <c r="L3119" s="16" t="s">
        <v>26</v>
      </c>
      <c r="M3119" s="16">
        <f t="shared" si="291"/>
        <v>-0.79914141557313367</v>
      </c>
      <c r="N3119">
        <f t="shared" si="292"/>
        <v>0</v>
      </c>
      <c r="O3119">
        <f t="shared" si="293"/>
        <v>0</v>
      </c>
      <c r="P3119">
        <f t="shared" si="290"/>
        <v>4100</v>
      </c>
      <c r="Q3119">
        <f t="shared" si="294"/>
        <v>4100</v>
      </c>
      <c r="T3119" s="16">
        <f t="shared" si="295"/>
        <v>-0.79914141557313401</v>
      </c>
    </row>
    <row r="3120" spans="7:20" ht="14.4" x14ac:dyDescent="0.25">
      <c r="G3120" s="10">
        <v>894</v>
      </c>
      <c r="H3120" s="9">
        <v>6433</v>
      </c>
      <c r="I3120" s="14">
        <f>DATE(2012,12,31)-405</f>
        <v>40869</v>
      </c>
      <c r="J3120" s="15" t="s">
        <v>16</v>
      </c>
      <c r="K3120" s="9">
        <v>41</v>
      </c>
      <c r="L3120" s="16" t="s">
        <v>26</v>
      </c>
      <c r="M3120" s="16">
        <f t="shared" si="291"/>
        <v>1.0654725531458451</v>
      </c>
      <c r="N3120">
        <f t="shared" si="292"/>
        <v>0</v>
      </c>
      <c r="O3120">
        <f t="shared" si="293"/>
        <v>0</v>
      </c>
      <c r="P3120">
        <f t="shared" si="290"/>
        <v>5450</v>
      </c>
      <c r="Q3120">
        <f t="shared" si="294"/>
        <v>5450</v>
      </c>
      <c r="T3120" s="16">
        <f t="shared" si="295"/>
        <v>1.0654725531458447</v>
      </c>
    </row>
    <row r="3121" spans="7:20" ht="14.4" x14ac:dyDescent="0.25">
      <c r="G3121" s="10">
        <v>898</v>
      </c>
      <c r="H3121" s="9">
        <v>6464</v>
      </c>
      <c r="I3121" s="14">
        <f>DATE(2012,12,31)-1313</f>
        <v>39961</v>
      </c>
      <c r="J3121" s="15" t="s">
        <v>16</v>
      </c>
      <c r="K3121" s="9">
        <v>1</v>
      </c>
      <c r="L3121" s="16" t="s">
        <v>26</v>
      </c>
      <c r="M3121" s="16">
        <f t="shared" si="291"/>
        <v>-1.6969185116230123</v>
      </c>
      <c r="N3121">
        <f t="shared" si="292"/>
        <v>0</v>
      </c>
      <c r="O3121">
        <f t="shared" si="293"/>
        <v>0</v>
      </c>
      <c r="P3121">
        <f t="shared" si="290"/>
        <v>3450</v>
      </c>
      <c r="Q3121">
        <f t="shared" si="294"/>
        <v>3450</v>
      </c>
      <c r="T3121" s="16">
        <f t="shared" si="295"/>
        <v>-1.6969185116230128</v>
      </c>
    </row>
    <row r="3122" spans="7:20" ht="14.4" x14ac:dyDescent="0.25">
      <c r="G3122" s="10">
        <v>899</v>
      </c>
      <c r="H3122" s="9">
        <v>6464</v>
      </c>
      <c r="I3122" s="14">
        <f>DATE(2012,12,31)-1313</f>
        <v>39961</v>
      </c>
      <c r="J3122" s="15" t="s">
        <v>16</v>
      </c>
      <c r="K3122" s="9">
        <v>42</v>
      </c>
      <c r="L3122" s="16" t="s">
        <v>29</v>
      </c>
      <c r="M3122" s="16">
        <f t="shared" si="291"/>
        <v>1.1345323297650665</v>
      </c>
      <c r="N3122">
        <f t="shared" si="292"/>
        <v>0</v>
      </c>
      <c r="O3122">
        <f t="shared" si="293"/>
        <v>0</v>
      </c>
      <c r="P3122">
        <f t="shared" si="290"/>
        <v>5500</v>
      </c>
      <c r="Q3122">
        <f t="shared" si="294"/>
        <v>5500</v>
      </c>
      <c r="T3122" s="16">
        <f t="shared" si="295"/>
        <v>1.1345323297650662</v>
      </c>
    </row>
    <row r="3123" spans="7:20" ht="14.4" x14ac:dyDescent="0.25">
      <c r="G3123" s="10">
        <v>1064</v>
      </c>
      <c r="H3123" s="9">
        <v>7846</v>
      </c>
      <c r="I3123" s="14">
        <f>DATE(2012,12,31)-555</f>
        <v>40719</v>
      </c>
      <c r="J3123" s="15" t="s">
        <v>25</v>
      </c>
      <c r="K3123" s="9">
        <v>47</v>
      </c>
      <c r="L3123" s="16" t="s">
        <v>26</v>
      </c>
      <c r="M3123" s="16">
        <f t="shared" si="291"/>
        <v>1.4798312128611737</v>
      </c>
      <c r="N3123">
        <f t="shared" si="292"/>
        <v>0</v>
      </c>
      <c r="O3123">
        <f t="shared" si="293"/>
        <v>0</v>
      </c>
      <c r="P3123">
        <f t="shared" si="290"/>
        <v>5750</v>
      </c>
      <c r="Q3123">
        <f t="shared" si="294"/>
        <v>5750</v>
      </c>
      <c r="T3123" s="16">
        <f t="shared" si="295"/>
        <v>1.4798312128611733</v>
      </c>
    </row>
    <row r="3124" spans="7:20" ht="14.4" x14ac:dyDescent="0.25">
      <c r="G3124" s="10">
        <v>1065</v>
      </c>
      <c r="H3124" s="9">
        <v>7846</v>
      </c>
      <c r="I3124" s="14">
        <f>DATE(2012,12,31)-555</f>
        <v>40719</v>
      </c>
      <c r="J3124" s="15" t="s">
        <v>25</v>
      </c>
      <c r="K3124" s="9">
        <v>20</v>
      </c>
      <c r="L3124" s="16" t="s">
        <v>26</v>
      </c>
      <c r="M3124" s="16">
        <f t="shared" si="291"/>
        <v>-0.38478275585780503</v>
      </c>
      <c r="N3124">
        <f t="shared" si="292"/>
        <v>0</v>
      </c>
      <c r="O3124">
        <f t="shared" si="293"/>
        <v>0</v>
      </c>
      <c r="P3124">
        <f t="shared" si="290"/>
        <v>4400</v>
      </c>
      <c r="Q3124">
        <f t="shared" si="294"/>
        <v>4400</v>
      </c>
      <c r="T3124" s="16">
        <f t="shared" si="295"/>
        <v>-0.38478275585780541</v>
      </c>
    </row>
    <row r="3125" spans="7:20" ht="14.4" x14ac:dyDescent="0.25">
      <c r="G3125" s="10">
        <v>1066</v>
      </c>
      <c r="H3125" s="9">
        <v>7846</v>
      </c>
      <c r="I3125" s="14">
        <f>DATE(2012,12,31)-555</f>
        <v>40719</v>
      </c>
      <c r="J3125" s="15" t="s">
        <v>25</v>
      </c>
      <c r="K3125" s="9">
        <v>20</v>
      </c>
      <c r="L3125" s="16" t="s">
        <v>27</v>
      </c>
      <c r="M3125" s="16">
        <f t="shared" si="291"/>
        <v>-0.38478275585780503</v>
      </c>
      <c r="N3125">
        <f t="shared" si="292"/>
        <v>0</v>
      </c>
      <c r="O3125">
        <f t="shared" si="293"/>
        <v>0</v>
      </c>
      <c r="P3125">
        <f t="shared" si="290"/>
        <v>4400</v>
      </c>
      <c r="Q3125">
        <f t="shared" si="294"/>
        <v>4400</v>
      </c>
      <c r="T3125" s="16">
        <f t="shared" si="295"/>
        <v>-0.38478275585780541</v>
      </c>
    </row>
    <row r="3126" spans="7:20" ht="14.4" x14ac:dyDescent="0.25">
      <c r="G3126" s="10">
        <v>1067</v>
      </c>
      <c r="H3126" s="9">
        <v>7846</v>
      </c>
      <c r="I3126" s="14">
        <f>DATE(2012,12,31)-555</f>
        <v>40719</v>
      </c>
      <c r="J3126" s="15" t="s">
        <v>25</v>
      </c>
      <c r="K3126" s="9">
        <v>12</v>
      </c>
      <c r="L3126" s="16" t="s">
        <v>29</v>
      </c>
      <c r="M3126" s="16">
        <f t="shared" si="291"/>
        <v>-0.9372609688115765</v>
      </c>
      <c r="N3126">
        <f t="shared" si="292"/>
        <v>0</v>
      </c>
      <c r="O3126">
        <f t="shared" si="293"/>
        <v>0</v>
      </c>
      <c r="P3126">
        <f t="shared" si="290"/>
        <v>4000</v>
      </c>
      <c r="Q3126">
        <f t="shared" si="294"/>
        <v>4000</v>
      </c>
      <c r="T3126" s="16">
        <f t="shared" si="295"/>
        <v>-0.93726096881157694</v>
      </c>
    </row>
    <row r="3127" spans="7:20" ht="14.4" x14ac:dyDescent="0.25">
      <c r="G3127" s="10">
        <v>1077</v>
      </c>
      <c r="H3127" s="9">
        <v>7936</v>
      </c>
      <c r="I3127" s="14">
        <f>DATE(2012,12,31)-1001</f>
        <v>40273</v>
      </c>
      <c r="J3127" s="15" t="s">
        <v>25</v>
      </c>
      <c r="K3127" s="9">
        <v>50</v>
      </c>
      <c r="L3127" s="16" t="s">
        <v>29</v>
      </c>
      <c r="M3127" s="16">
        <f t="shared" si="291"/>
        <v>1.687010542718838</v>
      </c>
      <c r="N3127">
        <f t="shared" si="292"/>
        <v>0</v>
      </c>
      <c r="O3127">
        <f t="shared" si="293"/>
        <v>0</v>
      </c>
      <c r="P3127">
        <f t="shared" si="290"/>
        <v>5900</v>
      </c>
      <c r="Q3127">
        <f t="shared" si="294"/>
        <v>5900</v>
      </c>
      <c r="T3127" s="16">
        <f t="shared" si="295"/>
        <v>1.6870105427188375</v>
      </c>
    </row>
    <row r="3128" spans="7:20" ht="14.4" x14ac:dyDescent="0.25">
      <c r="G3128" s="10">
        <v>1078</v>
      </c>
      <c r="H3128" s="9">
        <v>7936</v>
      </c>
      <c r="I3128" s="14">
        <f>DATE(2012,12,31)-1001</f>
        <v>40273</v>
      </c>
      <c r="J3128" s="15" t="s">
        <v>25</v>
      </c>
      <c r="K3128" s="9">
        <v>15</v>
      </c>
      <c r="L3128" s="16" t="s">
        <v>26</v>
      </c>
      <c r="M3128" s="16">
        <f t="shared" si="291"/>
        <v>-0.7300816389539122</v>
      </c>
      <c r="N3128">
        <f t="shared" si="292"/>
        <v>0</v>
      </c>
      <c r="O3128">
        <f t="shared" si="293"/>
        <v>0</v>
      </c>
      <c r="P3128">
        <f t="shared" si="290"/>
        <v>4150</v>
      </c>
      <c r="Q3128">
        <f t="shared" si="294"/>
        <v>4150</v>
      </c>
      <c r="T3128" s="16">
        <f t="shared" si="295"/>
        <v>-0.73008163895391265</v>
      </c>
    </row>
    <row r="3129" spans="7:20" ht="14.4" x14ac:dyDescent="0.25">
      <c r="G3129" s="10">
        <v>1118</v>
      </c>
      <c r="H3129" s="9">
        <v>8195</v>
      </c>
      <c r="I3129" s="14">
        <f>DATE(2012,12,31)-725</f>
        <v>40549</v>
      </c>
      <c r="J3129" s="15" t="s">
        <v>16</v>
      </c>
      <c r="K3129" s="9">
        <v>5</v>
      </c>
      <c r="L3129" s="16" t="s">
        <v>26</v>
      </c>
      <c r="M3129" s="16">
        <f t="shared" si="291"/>
        <v>-1.4206794051461267</v>
      </c>
      <c r="N3129">
        <f t="shared" si="292"/>
        <v>0</v>
      </c>
      <c r="O3129">
        <f t="shared" si="293"/>
        <v>0</v>
      </c>
      <c r="P3129">
        <f t="shared" si="290"/>
        <v>3650</v>
      </c>
      <c r="Q3129">
        <f t="shared" si="294"/>
        <v>3650</v>
      </c>
      <c r="T3129" s="16">
        <f t="shared" si="295"/>
        <v>-1.4206794051461269</v>
      </c>
    </row>
    <row r="3130" spans="7:20" ht="14.4" x14ac:dyDescent="0.25">
      <c r="G3130" s="10">
        <v>1119</v>
      </c>
      <c r="H3130" s="9">
        <v>8195</v>
      </c>
      <c r="I3130" s="14">
        <f>DATE(2012,12,31)-725</f>
        <v>40549</v>
      </c>
      <c r="J3130" s="15" t="s">
        <v>16</v>
      </c>
      <c r="K3130" s="9">
        <v>1</v>
      </c>
      <c r="L3130" s="16" t="s">
        <v>29</v>
      </c>
      <c r="M3130" s="16">
        <f t="shared" si="291"/>
        <v>-1.6969185116230123</v>
      </c>
      <c r="N3130">
        <f t="shared" si="292"/>
        <v>0</v>
      </c>
      <c r="O3130">
        <f t="shared" si="293"/>
        <v>0</v>
      </c>
      <c r="P3130">
        <f t="shared" si="290"/>
        <v>3450</v>
      </c>
      <c r="Q3130">
        <f t="shared" si="294"/>
        <v>3450</v>
      </c>
      <c r="T3130" s="16">
        <f t="shared" si="295"/>
        <v>-1.6969185116230128</v>
      </c>
    </row>
    <row r="3131" spans="7:20" ht="14.4" x14ac:dyDescent="0.25">
      <c r="G3131" s="10">
        <v>1120</v>
      </c>
      <c r="H3131" s="9">
        <v>8195</v>
      </c>
      <c r="I3131" s="14">
        <f>DATE(2012,12,31)-725</f>
        <v>40549</v>
      </c>
      <c r="J3131" s="15" t="s">
        <v>16</v>
      </c>
      <c r="K3131" s="9">
        <v>26</v>
      </c>
      <c r="L3131" s="16" t="s">
        <v>26</v>
      </c>
      <c r="M3131" s="16">
        <f t="shared" si="291"/>
        <v>2.9575903857523567E-2</v>
      </c>
      <c r="N3131">
        <f t="shared" si="292"/>
        <v>0</v>
      </c>
      <c r="O3131">
        <f t="shared" si="293"/>
        <v>0</v>
      </c>
      <c r="P3131">
        <f t="shared" si="290"/>
        <v>4700</v>
      </c>
      <c r="Q3131">
        <f t="shared" si="294"/>
        <v>4700</v>
      </c>
      <c r="T3131" s="16">
        <f t="shared" si="295"/>
        <v>2.9575903857523185E-2</v>
      </c>
    </row>
    <row r="3132" spans="7:20" ht="14.4" x14ac:dyDescent="0.25">
      <c r="G3132" s="10">
        <v>1137</v>
      </c>
      <c r="H3132" s="9">
        <v>8293</v>
      </c>
      <c r="I3132" s="14">
        <f>DATE(2012,12,31)-143</f>
        <v>41131</v>
      </c>
      <c r="J3132" s="15" t="s">
        <v>25</v>
      </c>
      <c r="K3132" s="9">
        <v>50</v>
      </c>
      <c r="L3132" s="16" t="s">
        <v>27</v>
      </c>
      <c r="M3132" s="16">
        <f t="shared" si="291"/>
        <v>1.687010542718838</v>
      </c>
      <c r="N3132">
        <f t="shared" si="292"/>
        <v>0</v>
      </c>
      <c r="O3132">
        <f t="shared" si="293"/>
        <v>0</v>
      </c>
      <c r="P3132">
        <f t="shared" si="290"/>
        <v>5900</v>
      </c>
      <c r="Q3132">
        <f t="shared" si="294"/>
        <v>5900</v>
      </c>
      <c r="T3132" s="16">
        <f t="shared" si="295"/>
        <v>1.6870105427188375</v>
      </c>
    </row>
    <row r="3133" spans="7:20" ht="14.4" x14ac:dyDescent="0.25">
      <c r="G3133" s="10">
        <v>1270</v>
      </c>
      <c r="H3133" s="9">
        <v>9248</v>
      </c>
      <c r="I3133" s="14">
        <f>DATE(2012,12,31)-1104</f>
        <v>40170</v>
      </c>
      <c r="J3133" s="15" t="s">
        <v>28</v>
      </c>
      <c r="K3133" s="9">
        <v>41</v>
      </c>
      <c r="L3133" s="16" t="s">
        <v>29</v>
      </c>
      <c r="M3133" s="16">
        <f t="shared" si="291"/>
        <v>1.0654725531458451</v>
      </c>
      <c r="N3133">
        <f t="shared" si="292"/>
        <v>0</v>
      </c>
      <c r="O3133">
        <f t="shared" si="293"/>
        <v>0</v>
      </c>
      <c r="P3133">
        <f t="shared" si="290"/>
        <v>5450</v>
      </c>
      <c r="Q3133">
        <f t="shared" si="294"/>
        <v>5450</v>
      </c>
      <c r="T3133" s="16">
        <f t="shared" si="295"/>
        <v>1.0654725531458447</v>
      </c>
    </row>
    <row r="3134" spans="7:20" ht="14.4" x14ac:dyDescent="0.25">
      <c r="G3134" s="10">
        <v>1284</v>
      </c>
      <c r="H3134" s="9">
        <v>9347</v>
      </c>
      <c r="I3134" s="14">
        <f>DATE(2012,12,31)-144</f>
        <v>41130</v>
      </c>
      <c r="J3134" s="15" t="s">
        <v>25</v>
      </c>
      <c r="K3134" s="9">
        <v>31</v>
      </c>
      <c r="L3134" s="16" t="s">
        <v>26</v>
      </c>
      <c r="M3134" s="16">
        <f t="shared" si="291"/>
        <v>0.37487478695363075</v>
      </c>
      <c r="N3134">
        <f t="shared" si="292"/>
        <v>0</v>
      </c>
      <c r="O3134">
        <f t="shared" si="293"/>
        <v>0</v>
      </c>
      <c r="P3134">
        <f t="shared" si="290"/>
        <v>4950</v>
      </c>
      <c r="Q3134">
        <f t="shared" si="294"/>
        <v>4950</v>
      </c>
      <c r="T3134" s="16">
        <f t="shared" si="295"/>
        <v>0.37487478695363036</v>
      </c>
    </row>
    <row r="3135" spans="7:20" ht="14.4" x14ac:dyDescent="0.25">
      <c r="G3135" s="10">
        <v>1289</v>
      </c>
      <c r="H3135" s="9">
        <v>9472</v>
      </c>
      <c r="I3135" s="14">
        <f>DATE(2012,12,31)-564</f>
        <v>40710</v>
      </c>
      <c r="J3135" s="15" t="s">
        <v>30</v>
      </c>
      <c r="K3135" s="9">
        <v>17</v>
      </c>
      <c r="L3135" s="16" t="s">
        <v>26</v>
      </c>
      <c r="M3135" s="16">
        <f t="shared" si="291"/>
        <v>-0.59196208571546938</v>
      </c>
      <c r="N3135">
        <f t="shared" si="292"/>
        <v>0</v>
      </c>
      <c r="O3135">
        <f t="shared" si="293"/>
        <v>0</v>
      </c>
      <c r="P3135">
        <f t="shared" si="290"/>
        <v>4250</v>
      </c>
      <c r="Q3135">
        <f t="shared" si="294"/>
        <v>4250</v>
      </c>
      <c r="T3135" s="16">
        <f t="shared" si="295"/>
        <v>-0.59196208571546971</v>
      </c>
    </row>
    <row r="3136" spans="7:20" ht="14.4" x14ac:dyDescent="0.25">
      <c r="G3136" s="10">
        <v>1333</v>
      </c>
      <c r="H3136" s="9">
        <v>9733</v>
      </c>
      <c r="I3136" s="14">
        <f>DATE(2012,12,31)-1385</f>
        <v>39889</v>
      </c>
      <c r="J3136" s="15" t="s">
        <v>28</v>
      </c>
      <c r="K3136" s="9">
        <v>39</v>
      </c>
      <c r="L3136" s="16" t="s">
        <v>26</v>
      </c>
      <c r="M3136" s="16">
        <f t="shared" si="291"/>
        <v>0.92735299990740228</v>
      </c>
      <c r="N3136">
        <f t="shared" si="292"/>
        <v>0</v>
      </c>
      <c r="O3136">
        <f t="shared" si="293"/>
        <v>0</v>
      </c>
      <c r="P3136">
        <f t="shared" si="290"/>
        <v>5350</v>
      </c>
      <c r="Q3136">
        <f t="shared" si="294"/>
        <v>5350</v>
      </c>
      <c r="T3136" s="16">
        <f t="shared" si="295"/>
        <v>0.92735299990740183</v>
      </c>
    </row>
    <row r="3137" spans="7:20" ht="14.4" x14ac:dyDescent="0.25">
      <c r="G3137" s="10">
        <v>1388</v>
      </c>
      <c r="H3137" s="9">
        <v>10054</v>
      </c>
      <c r="I3137" s="14">
        <f>DATE(2012,12,31)-613</f>
        <v>40661</v>
      </c>
      <c r="J3137" s="15" t="s">
        <v>17</v>
      </c>
      <c r="K3137" s="9">
        <v>2</v>
      </c>
      <c r="L3137" s="16" t="s">
        <v>29</v>
      </c>
      <c r="M3137" s="16">
        <f t="shared" si="291"/>
        <v>-1.627858735003791</v>
      </c>
      <c r="N3137">
        <f t="shared" si="292"/>
        <v>0</v>
      </c>
      <c r="O3137">
        <f t="shared" si="293"/>
        <v>0</v>
      </c>
      <c r="P3137">
        <f t="shared" si="290"/>
        <v>3500</v>
      </c>
      <c r="Q3137">
        <f t="shared" si="294"/>
        <v>3500</v>
      </c>
      <c r="T3137" s="16">
        <f t="shared" si="295"/>
        <v>-1.6278587350037912</v>
      </c>
    </row>
    <row r="3138" spans="7:20" ht="14.4" x14ac:dyDescent="0.25">
      <c r="G3138" s="10">
        <v>1389</v>
      </c>
      <c r="H3138" s="9">
        <v>10054</v>
      </c>
      <c r="I3138" s="14">
        <f>DATE(2012,12,31)-613</f>
        <v>40661</v>
      </c>
      <c r="J3138" s="15" t="s">
        <v>17</v>
      </c>
      <c r="K3138" s="9">
        <v>2</v>
      </c>
      <c r="L3138" s="16" t="s">
        <v>27</v>
      </c>
      <c r="M3138" s="16">
        <f t="shared" si="291"/>
        <v>-1.627858735003791</v>
      </c>
      <c r="N3138">
        <f t="shared" si="292"/>
        <v>0</v>
      </c>
      <c r="O3138">
        <f t="shared" si="293"/>
        <v>0</v>
      </c>
      <c r="P3138">
        <f t="shared" si="290"/>
        <v>3500</v>
      </c>
      <c r="Q3138">
        <f t="shared" si="294"/>
        <v>3500</v>
      </c>
      <c r="T3138" s="16">
        <f t="shared" si="295"/>
        <v>-1.6278587350037912</v>
      </c>
    </row>
    <row r="3139" spans="7:20" ht="14.4" x14ac:dyDescent="0.25">
      <c r="G3139" s="10">
        <v>1471</v>
      </c>
      <c r="H3139" s="9">
        <v>10627</v>
      </c>
      <c r="I3139" s="14">
        <f>DATE(2012,12,31)-1041</f>
        <v>40233</v>
      </c>
      <c r="J3139" s="15" t="s">
        <v>25</v>
      </c>
      <c r="K3139" s="9">
        <v>4</v>
      </c>
      <c r="L3139" s="16" t="s">
        <v>26</v>
      </c>
      <c r="M3139" s="16">
        <f t="shared" si="291"/>
        <v>-1.489739181765348</v>
      </c>
      <c r="N3139">
        <f t="shared" si="292"/>
        <v>0</v>
      </c>
      <c r="O3139">
        <f t="shared" si="293"/>
        <v>0</v>
      </c>
      <c r="P3139">
        <f t="shared" si="290"/>
        <v>3600</v>
      </c>
      <c r="Q3139">
        <f t="shared" si="294"/>
        <v>3600</v>
      </c>
      <c r="T3139" s="16">
        <f t="shared" si="295"/>
        <v>-1.4897391817653485</v>
      </c>
    </row>
    <row r="3140" spans="7:20" ht="14.4" x14ac:dyDescent="0.25">
      <c r="G3140" s="10">
        <v>1472</v>
      </c>
      <c r="H3140" s="9">
        <v>10629</v>
      </c>
      <c r="I3140" s="14">
        <f>DATE(2012,12,31)-1207</f>
        <v>40067</v>
      </c>
      <c r="J3140" s="15" t="s">
        <v>30</v>
      </c>
      <c r="K3140" s="9">
        <v>39</v>
      </c>
      <c r="L3140" s="16" t="s">
        <v>29</v>
      </c>
      <c r="M3140" s="16">
        <f t="shared" si="291"/>
        <v>0.92735299990740228</v>
      </c>
      <c r="N3140">
        <f t="shared" si="292"/>
        <v>0</v>
      </c>
      <c r="O3140">
        <f t="shared" si="293"/>
        <v>0</v>
      </c>
      <c r="P3140">
        <f t="shared" si="290"/>
        <v>5350</v>
      </c>
      <c r="Q3140">
        <f t="shared" si="294"/>
        <v>5350</v>
      </c>
      <c r="T3140" s="16">
        <f t="shared" si="295"/>
        <v>0.92735299990740183</v>
      </c>
    </row>
    <row r="3141" spans="7:20" ht="14.4" x14ac:dyDescent="0.25">
      <c r="G3141" s="10">
        <v>1473</v>
      </c>
      <c r="H3141" s="9">
        <v>10629</v>
      </c>
      <c r="I3141" s="14">
        <f>DATE(2012,12,31)-1207</f>
        <v>40067</v>
      </c>
      <c r="J3141" s="15" t="s">
        <v>30</v>
      </c>
      <c r="K3141" s="9">
        <v>14</v>
      </c>
      <c r="L3141" s="16" t="s">
        <v>26</v>
      </c>
      <c r="M3141" s="16">
        <f t="shared" si="291"/>
        <v>-0.79914141557313367</v>
      </c>
      <c r="N3141">
        <f t="shared" si="292"/>
        <v>0</v>
      </c>
      <c r="O3141">
        <f t="shared" si="293"/>
        <v>0</v>
      </c>
      <c r="P3141">
        <f t="shared" si="290"/>
        <v>4100</v>
      </c>
      <c r="Q3141">
        <f t="shared" si="294"/>
        <v>4100</v>
      </c>
      <c r="T3141" s="16">
        <f t="shared" si="295"/>
        <v>-0.79914141557313401</v>
      </c>
    </row>
    <row r="3142" spans="7:20" ht="14.4" x14ac:dyDescent="0.25">
      <c r="G3142" s="10">
        <v>1493</v>
      </c>
      <c r="H3142" s="9">
        <v>10784</v>
      </c>
      <c r="I3142" s="14">
        <f>DATE(2012,12,31)-910</f>
        <v>40364</v>
      </c>
      <c r="J3142" s="15" t="s">
        <v>28</v>
      </c>
      <c r="K3142" s="9">
        <v>2</v>
      </c>
      <c r="L3142" s="16" t="s">
        <v>26</v>
      </c>
      <c r="M3142" s="16">
        <f t="shared" si="291"/>
        <v>-1.627858735003791</v>
      </c>
      <c r="N3142">
        <f t="shared" si="292"/>
        <v>0</v>
      </c>
      <c r="O3142">
        <f t="shared" si="293"/>
        <v>0</v>
      </c>
      <c r="P3142">
        <f t="shared" si="290"/>
        <v>3500</v>
      </c>
      <c r="Q3142">
        <f t="shared" si="294"/>
        <v>3500</v>
      </c>
      <c r="T3142" s="16">
        <f t="shared" si="295"/>
        <v>-1.6278587350037912</v>
      </c>
    </row>
    <row r="3143" spans="7:20" ht="14.4" x14ac:dyDescent="0.25">
      <c r="G3143" s="10">
        <v>1494</v>
      </c>
      <c r="H3143" s="9">
        <v>10784</v>
      </c>
      <c r="I3143" s="14">
        <f>DATE(2012,12,31)-910</f>
        <v>40364</v>
      </c>
      <c r="J3143" s="15" t="s">
        <v>28</v>
      </c>
      <c r="K3143" s="9">
        <v>30</v>
      </c>
      <c r="L3143" s="16" t="s">
        <v>26</v>
      </c>
      <c r="M3143" s="16">
        <f t="shared" si="291"/>
        <v>0.30581501033440933</v>
      </c>
      <c r="N3143">
        <f t="shared" si="292"/>
        <v>0</v>
      </c>
      <c r="O3143">
        <f t="shared" si="293"/>
        <v>0</v>
      </c>
      <c r="P3143">
        <f t="shared" si="290"/>
        <v>4900</v>
      </c>
      <c r="Q3143">
        <f t="shared" si="294"/>
        <v>4900</v>
      </c>
      <c r="T3143" s="16">
        <f t="shared" si="295"/>
        <v>0.30581501033440894</v>
      </c>
    </row>
    <row r="3144" spans="7:20" ht="14.4" x14ac:dyDescent="0.25">
      <c r="G3144" s="10">
        <v>1500</v>
      </c>
      <c r="H3144" s="9">
        <v>10823</v>
      </c>
      <c r="I3144" s="14">
        <f>DATE(2012,12,31)-202</f>
        <v>41072</v>
      </c>
      <c r="J3144" s="15" t="s">
        <v>25</v>
      </c>
      <c r="K3144" s="9">
        <v>3</v>
      </c>
      <c r="L3144" s="16" t="s">
        <v>26</v>
      </c>
      <c r="M3144" s="16">
        <f t="shared" si="291"/>
        <v>-1.5587989583845694</v>
      </c>
      <c r="N3144">
        <f t="shared" si="292"/>
        <v>0</v>
      </c>
      <c r="O3144">
        <f t="shared" si="293"/>
        <v>0</v>
      </c>
      <c r="P3144">
        <f t="shared" si="290"/>
        <v>3550</v>
      </c>
      <c r="Q3144">
        <f t="shared" si="294"/>
        <v>3550</v>
      </c>
      <c r="T3144" s="16">
        <f t="shared" si="295"/>
        <v>-1.5587989583845698</v>
      </c>
    </row>
    <row r="3145" spans="7:20" ht="14.4" x14ac:dyDescent="0.25">
      <c r="G3145" s="10">
        <v>1511</v>
      </c>
      <c r="H3145" s="9">
        <v>10919</v>
      </c>
      <c r="I3145" s="14">
        <f>DATE(2012,12,31)-1010</f>
        <v>40264</v>
      </c>
      <c r="J3145" s="15" t="s">
        <v>17</v>
      </c>
      <c r="K3145" s="9">
        <v>42</v>
      </c>
      <c r="L3145" s="16" t="s">
        <v>26</v>
      </c>
      <c r="M3145" s="16">
        <f t="shared" si="291"/>
        <v>1.1345323297650665</v>
      </c>
      <c r="N3145">
        <f t="shared" si="292"/>
        <v>0</v>
      </c>
      <c r="O3145">
        <f t="shared" si="293"/>
        <v>0</v>
      </c>
      <c r="P3145">
        <f t="shared" si="290"/>
        <v>5500</v>
      </c>
      <c r="Q3145">
        <f t="shared" si="294"/>
        <v>5500</v>
      </c>
      <c r="T3145" s="16">
        <f t="shared" si="295"/>
        <v>1.1345323297650662</v>
      </c>
    </row>
    <row r="3146" spans="7:20" ht="14.4" x14ac:dyDescent="0.25">
      <c r="G3146" s="10">
        <v>1585</v>
      </c>
      <c r="H3146" s="9">
        <v>11429</v>
      </c>
      <c r="I3146" s="14">
        <f>DATE(2012,12,31)-1034</f>
        <v>40240</v>
      </c>
      <c r="J3146" s="15" t="s">
        <v>25</v>
      </c>
      <c r="K3146" s="9">
        <v>39</v>
      </c>
      <c r="L3146" s="16" t="s">
        <v>26</v>
      </c>
      <c r="M3146" s="16">
        <f t="shared" si="291"/>
        <v>0.92735299990740228</v>
      </c>
      <c r="N3146">
        <f t="shared" si="292"/>
        <v>0</v>
      </c>
      <c r="O3146">
        <f t="shared" si="293"/>
        <v>0</v>
      </c>
      <c r="P3146">
        <f t="shared" si="290"/>
        <v>5350</v>
      </c>
      <c r="Q3146">
        <f t="shared" si="294"/>
        <v>5350</v>
      </c>
      <c r="T3146" s="16">
        <f t="shared" si="295"/>
        <v>0.92735299990740183</v>
      </c>
    </row>
    <row r="3147" spans="7:20" ht="14.4" x14ac:dyDescent="0.25">
      <c r="G3147" s="10">
        <v>1586</v>
      </c>
      <c r="H3147" s="9">
        <v>11429</v>
      </c>
      <c r="I3147" s="14">
        <f>DATE(2012,12,31)-1034</f>
        <v>40240</v>
      </c>
      <c r="J3147" s="15" t="s">
        <v>25</v>
      </c>
      <c r="K3147" s="9">
        <v>46</v>
      </c>
      <c r="L3147" s="16" t="s">
        <v>29</v>
      </c>
      <c r="M3147" s="16">
        <f t="shared" si="291"/>
        <v>1.4107714362419523</v>
      </c>
      <c r="N3147">
        <f t="shared" si="292"/>
        <v>0</v>
      </c>
      <c r="O3147">
        <f t="shared" si="293"/>
        <v>0</v>
      </c>
      <c r="P3147">
        <f t="shared" si="290"/>
        <v>5700</v>
      </c>
      <c r="Q3147">
        <f t="shared" si="294"/>
        <v>5700</v>
      </c>
      <c r="T3147" s="16">
        <f t="shared" si="295"/>
        <v>1.4107714362419519</v>
      </c>
    </row>
    <row r="3148" spans="7:20" ht="14.4" x14ac:dyDescent="0.25">
      <c r="G3148" s="10">
        <v>1605</v>
      </c>
      <c r="H3148" s="9">
        <v>11650</v>
      </c>
      <c r="I3148" s="14">
        <f>DATE(2012,12,31)-98</f>
        <v>41176</v>
      </c>
      <c r="J3148" s="15" t="s">
        <v>28</v>
      </c>
      <c r="K3148" s="9">
        <v>26</v>
      </c>
      <c r="L3148" s="16" t="s">
        <v>26</v>
      </c>
      <c r="M3148" s="16">
        <f t="shared" si="291"/>
        <v>2.9575903857523567E-2</v>
      </c>
      <c r="N3148">
        <f t="shared" si="292"/>
        <v>0</v>
      </c>
      <c r="O3148">
        <f t="shared" si="293"/>
        <v>0</v>
      </c>
      <c r="P3148">
        <f t="shared" ref="P3148:P3211" si="296">50*K3148+$P$10</f>
        <v>4700</v>
      </c>
      <c r="Q3148">
        <f t="shared" si="294"/>
        <v>4700</v>
      </c>
      <c r="T3148" s="16">
        <f t="shared" si="295"/>
        <v>2.9575903857523185E-2</v>
      </c>
    </row>
    <row r="3149" spans="7:20" ht="14.4" x14ac:dyDescent="0.25">
      <c r="G3149" s="10">
        <v>1793</v>
      </c>
      <c r="H3149" s="9">
        <v>12837</v>
      </c>
      <c r="I3149" s="14">
        <f>DATE(2012,12,31)-29</f>
        <v>41245</v>
      </c>
      <c r="J3149" s="15" t="s">
        <v>16</v>
      </c>
      <c r="K3149" s="9">
        <v>50</v>
      </c>
      <c r="L3149" s="16" t="s">
        <v>27</v>
      </c>
      <c r="M3149" s="16">
        <f t="shared" ref="M3149:M3212" si="297">(K3149-$K$4)/$K$7</f>
        <v>1.687010542718838</v>
      </c>
      <c r="N3149">
        <f t="shared" ref="N3149:N3212" si="298">IF(MOD($B$20+G3149,1000)=0,1,0)</f>
        <v>0</v>
      </c>
      <c r="O3149">
        <f t="shared" ref="O3149:O3212" si="299">+ROUND(N3149*(IF(K3149&lt;$K$4,-4.5,10.5)*$P$5),-2)</f>
        <v>0</v>
      </c>
      <c r="P3149">
        <f t="shared" si="296"/>
        <v>5900</v>
      </c>
      <c r="Q3149">
        <f t="shared" ref="Q3149:Q3212" si="300">P3149+O3149</f>
        <v>5900</v>
      </c>
      <c r="T3149" s="16">
        <f t="shared" ref="T3149:T3212" si="301">(Q3149-$P$4)/$P$5</f>
        <v>1.6870105427188375</v>
      </c>
    </row>
    <row r="3150" spans="7:20" ht="14.4" x14ac:dyDescent="0.25">
      <c r="G3150" s="10">
        <v>1856</v>
      </c>
      <c r="H3150" s="9">
        <v>13347</v>
      </c>
      <c r="I3150" s="14">
        <f>DATE(2012,12,31)-983</f>
        <v>40291</v>
      </c>
      <c r="J3150" s="15" t="s">
        <v>28</v>
      </c>
      <c r="K3150" s="9">
        <v>24</v>
      </c>
      <c r="L3150" s="16" t="s">
        <v>26</v>
      </c>
      <c r="M3150" s="16">
        <f t="shared" si="297"/>
        <v>-0.1085436493809193</v>
      </c>
      <c r="N3150">
        <f t="shared" si="298"/>
        <v>0</v>
      </c>
      <c r="O3150">
        <f t="shared" si="299"/>
        <v>0</v>
      </c>
      <c r="P3150">
        <f t="shared" si="296"/>
        <v>4600</v>
      </c>
      <c r="Q3150">
        <f t="shared" si="300"/>
        <v>4600</v>
      </c>
      <c r="T3150" s="16">
        <f t="shared" si="301"/>
        <v>-0.10854364938091969</v>
      </c>
    </row>
    <row r="3151" spans="7:20" ht="14.4" x14ac:dyDescent="0.25">
      <c r="G3151" s="10">
        <v>1861</v>
      </c>
      <c r="H3151" s="9">
        <v>13381</v>
      </c>
      <c r="I3151" s="14">
        <f>DATE(2012,12,31)-502</f>
        <v>40772</v>
      </c>
      <c r="J3151" s="15" t="s">
        <v>16</v>
      </c>
      <c r="K3151" s="9">
        <v>41</v>
      </c>
      <c r="L3151" s="16" t="s">
        <v>29</v>
      </c>
      <c r="M3151" s="16">
        <f t="shared" si="297"/>
        <v>1.0654725531458451</v>
      </c>
      <c r="N3151">
        <f t="shared" si="298"/>
        <v>0</v>
      </c>
      <c r="O3151">
        <f t="shared" si="299"/>
        <v>0</v>
      </c>
      <c r="P3151">
        <f t="shared" si="296"/>
        <v>5450</v>
      </c>
      <c r="Q3151">
        <f t="shared" si="300"/>
        <v>5450</v>
      </c>
      <c r="T3151" s="16">
        <f t="shared" si="301"/>
        <v>1.0654725531458447</v>
      </c>
    </row>
    <row r="3152" spans="7:20" ht="14.4" x14ac:dyDescent="0.25">
      <c r="G3152" s="10">
        <v>1905</v>
      </c>
      <c r="H3152" s="9">
        <v>13634</v>
      </c>
      <c r="I3152" s="14">
        <f>DATE(2012,12,31)-623</f>
        <v>40651</v>
      </c>
      <c r="J3152" s="15" t="s">
        <v>17</v>
      </c>
      <c r="K3152" s="9">
        <v>46</v>
      </c>
      <c r="L3152" s="16" t="s">
        <v>27</v>
      </c>
      <c r="M3152" s="16">
        <f t="shared" si="297"/>
        <v>1.4107714362419523</v>
      </c>
      <c r="N3152">
        <f t="shared" si="298"/>
        <v>0</v>
      </c>
      <c r="O3152">
        <f t="shared" si="299"/>
        <v>0</v>
      </c>
      <c r="P3152">
        <f t="shared" si="296"/>
        <v>5700</v>
      </c>
      <c r="Q3152">
        <f t="shared" si="300"/>
        <v>5700</v>
      </c>
      <c r="T3152" s="16">
        <f t="shared" si="301"/>
        <v>1.4107714362419519</v>
      </c>
    </row>
    <row r="3153" spans="7:20" ht="14.4" x14ac:dyDescent="0.25">
      <c r="G3153" s="10">
        <v>1906</v>
      </c>
      <c r="H3153" s="9">
        <v>13634</v>
      </c>
      <c r="I3153" s="14">
        <f>DATE(2012,12,31)-623</f>
        <v>40651</v>
      </c>
      <c r="J3153" s="15" t="s">
        <v>17</v>
      </c>
      <c r="K3153" s="9">
        <v>27</v>
      </c>
      <c r="L3153" s="16" t="s">
        <v>26</v>
      </c>
      <c r="M3153" s="16">
        <f t="shared" si="297"/>
        <v>9.8635680476745008E-2</v>
      </c>
      <c r="N3153">
        <f t="shared" si="298"/>
        <v>0</v>
      </c>
      <c r="O3153">
        <f t="shared" si="299"/>
        <v>0</v>
      </c>
      <c r="P3153">
        <f t="shared" si="296"/>
        <v>4750</v>
      </c>
      <c r="Q3153">
        <f t="shared" si="300"/>
        <v>4750</v>
      </c>
      <c r="T3153" s="16">
        <f t="shared" si="301"/>
        <v>9.8635680476744619E-2</v>
      </c>
    </row>
    <row r="3154" spans="7:20" ht="14.4" x14ac:dyDescent="0.25">
      <c r="G3154" s="10">
        <v>1914</v>
      </c>
      <c r="H3154" s="9">
        <v>13729</v>
      </c>
      <c r="I3154" s="14">
        <f>DATE(2012,12,31)-1460</f>
        <v>39814</v>
      </c>
      <c r="J3154" s="15" t="s">
        <v>28</v>
      </c>
      <c r="K3154" s="9">
        <v>9</v>
      </c>
      <c r="L3154" s="16" t="s">
        <v>26</v>
      </c>
      <c r="M3154" s="16">
        <f t="shared" si="297"/>
        <v>-1.1444402986692408</v>
      </c>
      <c r="N3154">
        <f t="shared" si="298"/>
        <v>0</v>
      </c>
      <c r="O3154">
        <f t="shared" si="299"/>
        <v>0</v>
      </c>
      <c r="P3154">
        <f t="shared" si="296"/>
        <v>3850</v>
      </c>
      <c r="Q3154">
        <f t="shared" si="300"/>
        <v>3850</v>
      </c>
      <c r="T3154" s="16">
        <f t="shared" si="301"/>
        <v>-1.1444402986692412</v>
      </c>
    </row>
    <row r="3155" spans="7:20" ht="14.4" x14ac:dyDescent="0.25">
      <c r="G3155" s="10">
        <v>1915</v>
      </c>
      <c r="H3155" s="9">
        <v>13730</v>
      </c>
      <c r="I3155" s="14">
        <f>DATE(2012,12,31)-602</f>
        <v>40672</v>
      </c>
      <c r="J3155" s="15" t="s">
        <v>17</v>
      </c>
      <c r="K3155" s="9">
        <v>26</v>
      </c>
      <c r="L3155" s="16" t="s">
        <v>29</v>
      </c>
      <c r="M3155" s="16">
        <f t="shared" si="297"/>
        <v>2.9575903857523567E-2</v>
      </c>
      <c r="N3155">
        <f t="shared" si="298"/>
        <v>0</v>
      </c>
      <c r="O3155">
        <f t="shared" si="299"/>
        <v>0</v>
      </c>
      <c r="P3155">
        <f t="shared" si="296"/>
        <v>4700</v>
      </c>
      <c r="Q3155">
        <f t="shared" si="300"/>
        <v>4700</v>
      </c>
      <c r="T3155" s="16">
        <f t="shared" si="301"/>
        <v>2.9575903857523185E-2</v>
      </c>
    </row>
    <row r="3156" spans="7:20" ht="14.4" x14ac:dyDescent="0.25">
      <c r="G3156" s="10">
        <v>1972</v>
      </c>
      <c r="H3156" s="9">
        <v>14113</v>
      </c>
      <c r="I3156" s="14">
        <f>DATE(2012,12,31)-515</f>
        <v>40759</v>
      </c>
      <c r="J3156" s="15" t="s">
        <v>17</v>
      </c>
      <c r="K3156" s="9">
        <v>22</v>
      </c>
      <c r="L3156" s="16" t="s">
        <v>29</v>
      </c>
      <c r="M3156" s="16">
        <f t="shared" si="297"/>
        <v>-0.24666320261936217</v>
      </c>
      <c r="N3156">
        <f t="shared" si="298"/>
        <v>0</v>
      </c>
      <c r="O3156">
        <f t="shared" si="299"/>
        <v>0</v>
      </c>
      <c r="P3156">
        <f t="shared" si="296"/>
        <v>4500</v>
      </c>
      <c r="Q3156">
        <f t="shared" si="300"/>
        <v>4500</v>
      </c>
      <c r="T3156" s="16">
        <f t="shared" si="301"/>
        <v>-0.24666320261936256</v>
      </c>
    </row>
    <row r="3157" spans="7:20" ht="14.4" x14ac:dyDescent="0.25">
      <c r="G3157" s="10">
        <v>1989</v>
      </c>
      <c r="H3157" s="9">
        <v>14210</v>
      </c>
      <c r="I3157" s="14">
        <f>DATE(2012,12,31)-188</f>
        <v>41086</v>
      </c>
      <c r="J3157" s="15" t="s">
        <v>28</v>
      </c>
      <c r="K3157" s="9">
        <v>19</v>
      </c>
      <c r="L3157" s="16" t="s">
        <v>27</v>
      </c>
      <c r="M3157" s="16">
        <f t="shared" si="297"/>
        <v>-0.45384253247702649</v>
      </c>
      <c r="N3157">
        <f t="shared" si="298"/>
        <v>0</v>
      </c>
      <c r="O3157">
        <f t="shared" si="299"/>
        <v>0</v>
      </c>
      <c r="P3157">
        <f t="shared" si="296"/>
        <v>4350</v>
      </c>
      <c r="Q3157">
        <f t="shared" si="300"/>
        <v>4350</v>
      </c>
      <c r="T3157" s="16">
        <f t="shared" si="301"/>
        <v>-0.45384253247702688</v>
      </c>
    </row>
    <row r="3158" spans="7:20" ht="14.4" x14ac:dyDescent="0.25">
      <c r="G3158" s="10">
        <v>2000</v>
      </c>
      <c r="H3158" s="9">
        <v>14272</v>
      </c>
      <c r="I3158" s="14">
        <f>DATE(2012,12,31)-323</f>
        <v>40951</v>
      </c>
      <c r="J3158" s="15" t="s">
        <v>16</v>
      </c>
      <c r="K3158" s="9">
        <v>32</v>
      </c>
      <c r="L3158" s="16" t="s">
        <v>26</v>
      </c>
      <c r="M3158" s="16">
        <f t="shared" si="297"/>
        <v>0.44393456357285216</v>
      </c>
      <c r="N3158">
        <f t="shared" si="298"/>
        <v>0</v>
      </c>
      <c r="O3158">
        <f t="shared" si="299"/>
        <v>0</v>
      </c>
      <c r="P3158">
        <f t="shared" si="296"/>
        <v>5000</v>
      </c>
      <c r="Q3158">
        <f t="shared" si="300"/>
        <v>5000</v>
      </c>
      <c r="T3158" s="16">
        <f t="shared" si="301"/>
        <v>0.44393456357285183</v>
      </c>
    </row>
    <row r="3159" spans="7:20" ht="14.4" x14ac:dyDescent="0.25">
      <c r="G3159" s="10">
        <v>2019</v>
      </c>
      <c r="H3159" s="9">
        <v>14401</v>
      </c>
      <c r="I3159" s="14">
        <f>DATE(2012,12,31)-515</f>
        <v>40759</v>
      </c>
      <c r="J3159" s="15" t="s">
        <v>28</v>
      </c>
      <c r="K3159" s="9">
        <v>10</v>
      </c>
      <c r="L3159" s="16" t="s">
        <v>27</v>
      </c>
      <c r="M3159" s="16">
        <f t="shared" si="297"/>
        <v>-1.0753805220500194</v>
      </c>
      <c r="N3159">
        <f t="shared" si="298"/>
        <v>0</v>
      </c>
      <c r="O3159">
        <f t="shared" si="299"/>
        <v>0</v>
      </c>
      <c r="P3159">
        <f t="shared" si="296"/>
        <v>3900</v>
      </c>
      <c r="Q3159">
        <f t="shared" si="300"/>
        <v>3900</v>
      </c>
      <c r="T3159" s="16">
        <f t="shared" si="301"/>
        <v>-1.0753805220500199</v>
      </c>
    </row>
    <row r="3160" spans="7:20" ht="14.4" x14ac:dyDescent="0.25">
      <c r="G3160" s="10">
        <v>2211</v>
      </c>
      <c r="H3160" s="9">
        <v>15941</v>
      </c>
      <c r="I3160" s="14">
        <f>DATE(2012,12,31)-387</f>
        <v>40887</v>
      </c>
      <c r="J3160" s="15" t="s">
        <v>28</v>
      </c>
      <c r="K3160" s="9">
        <v>15</v>
      </c>
      <c r="L3160" s="16" t="s">
        <v>29</v>
      </c>
      <c r="M3160" s="16">
        <f t="shared" si="297"/>
        <v>-0.7300816389539122</v>
      </c>
      <c r="N3160">
        <f t="shared" si="298"/>
        <v>0</v>
      </c>
      <c r="O3160">
        <f t="shared" si="299"/>
        <v>0</v>
      </c>
      <c r="P3160">
        <f t="shared" si="296"/>
        <v>4150</v>
      </c>
      <c r="Q3160">
        <f t="shared" si="300"/>
        <v>4150</v>
      </c>
      <c r="T3160" s="16">
        <f t="shared" si="301"/>
        <v>-0.73008163895391265</v>
      </c>
    </row>
    <row r="3161" spans="7:20" ht="14.4" x14ac:dyDescent="0.25">
      <c r="G3161" s="10">
        <v>2479</v>
      </c>
      <c r="H3161" s="9">
        <v>18023</v>
      </c>
      <c r="I3161" s="14">
        <f>DATE(2012,12,31)-676</f>
        <v>40598</v>
      </c>
      <c r="J3161" s="15" t="s">
        <v>16</v>
      </c>
      <c r="K3161" s="9">
        <v>38</v>
      </c>
      <c r="L3161" s="16" t="s">
        <v>27</v>
      </c>
      <c r="M3161" s="16">
        <f t="shared" si="297"/>
        <v>0.85829322328818081</v>
      </c>
      <c r="N3161">
        <f t="shared" si="298"/>
        <v>0</v>
      </c>
      <c r="O3161">
        <f t="shared" si="299"/>
        <v>0</v>
      </c>
      <c r="P3161">
        <f t="shared" si="296"/>
        <v>5300</v>
      </c>
      <c r="Q3161">
        <f t="shared" si="300"/>
        <v>5300</v>
      </c>
      <c r="T3161" s="16">
        <f t="shared" si="301"/>
        <v>0.85829322328818036</v>
      </c>
    </row>
    <row r="3162" spans="7:20" ht="14.4" x14ac:dyDescent="0.25">
      <c r="G3162" s="10">
        <v>2480</v>
      </c>
      <c r="H3162" s="9">
        <v>18023</v>
      </c>
      <c r="I3162" s="14">
        <f>DATE(2012,12,31)-676</f>
        <v>40598</v>
      </c>
      <c r="J3162" s="15" t="s">
        <v>16</v>
      </c>
      <c r="K3162" s="9">
        <v>34</v>
      </c>
      <c r="L3162" s="16" t="s">
        <v>26</v>
      </c>
      <c r="M3162" s="16">
        <f t="shared" si="297"/>
        <v>0.58205411681129504</v>
      </c>
      <c r="N3162">
        <f t="shared" si="298"/>
        <v>0</v>
      </c>
      <c r="O3162">
        <f t="shared" si="299"/>
        <v>0</v>
      </c>
      <c r="P3162">
        <f t="shared" si="296"/>
        <v>5100</v>
      </c>
      <c r="Q3162">
        <f t="shared" si="300"/>
        <v>5100</v>
      </c>
      <c r="T3162" s="16">
        <f t="shared" si="301"/>
        <v>0.58205411681129471</v>
      </c>
    </row>
    <row r="3163" spans="7:20" ht="14.4" x14ac:dyDescent="0.25">
      <c r="G3163" s="10">
        <v>2526</v>
      </c>
      <c r="H3163" s="9">
        <v>18341</v>
      </c>
      <c r="I3163" s="14">
        <f>DATE(2012,12,31)-897</f>
        <v>40377</v>
      </c>
      <c r="J3163" s="15" t="s">
        <v>30</v>
      </c>
      <c r="K3163" s="9">
        <v>39</v>
      </c>
      <c r="L3163" s="16" t="s">
        <v>26</v>
      </c>
      <c r="M3163" s="16">
        <f t="shared" si="297"/>
        <v>0.92735299990740228</v>
      </c>
      <c r="N3163">
        <f t="shared" si="298"/>
        <v>0</v>
      </c>
      <c r="O3163">
        <f t="shared" si="299"/>
        <v>0</v>
      </c>
      <c r="P3163">
        <f t="shared" si="296"/>
        <v>5350</v>
      </c>
      <c r="Q3163">
        <f t="shared" si="300"/>
        <v>5350</v>
      </c>
      <c r="T3163" s="16">
        <f t="shared" si="301"/>
        <v>0.92735299990740183</v>
      </c>
    </row>
    <row r="3164" spans="7:20" ht="14.4" x14ac:dyDescent="0.25">
      <c r="G3164" s="10">
        <v>2535</v>
      </c>
      <c r="H3164" s="9">
        <v>18400</v>
      </c>
      <c r="I3164" s="14">
        <f>DATE(2012,12,31)-391</f>
        <v>40883</v>
      </c>
      <c r="J3164" s="15" t="s">
        <v>28</v>
      </c>
      <c r="K3164" s="9">
        <v>29</v>
      </c>
      <c r="L3164" s="16" t="s">
        <v>27</v>
      </c>
      <c r="M3164" s="16">
        <f t="shared" si="297"/>
        <v>0.23675523371518786</v>
      </c>
      <c r="N3164">
        <f t="shared" si="298"/>
        <v>0</v>
      </c>
      <c r="O3164">
        <f t="shared" si="299"/>
        <v>0</v>
      </c>
      <c r="P3164">
        <f t="shared" si="296"/>
        <v>4850</v>
      </c>
      <c r="Q3164">
        <f t="shared" si="300"/>
        <v>4850</v>
      </c>
      <c r="T3164" s="16">
        <f t="shared" si="301"/>
        <v>0.2367552337151875</v>
      </c>
    </row>
    <row r="3165" spans="7:20" ht="14.4" x14ac:dyDescent="0.25">
      <c r="G3165" s="10">
        <v>2621</v>
      </c>
      <c r="H3165" s="9">
        <v>18950</v>
      </c>
      <c r="I3165" s="14">
        <f>DATE(2012,12,31)-308</f>
        <v>40966</v>
      </c>
      <c r="J3165" s="15" t="s">
        <v>25</v>
      </c>
      <c r="K3165" s="9">
        <v>33</v>
      </c>
      <c r="L3165" s="16" t="s">
        <v>27</v>
      </c>
      <c r="M3165" s="16">
        <f t="shared" si="297"/>
        <v>0.51299434019207357</v>
      </c>
      <c r="N3165">
        <f t="shared" si="298"/>
        <v>0</v>
      </c>
      <c r="O3165">
        <f t="shared" si="299"/>
        <v>0</v>
      </c>
      <c r="P3165">
        <f t="shared" si="296"/>
        <v>5050</v>
      </c>
      <c r="Q3165">
        <f t="shared" si="300"/>
        <v>5050</v>
      </c>
      <c r="T3165" s="16">
        <f t="shared" si="301"/>
        <v>0.51299434019207324</v>
      </c>
    </row>
    <row r="3166" spans="7:20" ht="14.4" x14ac:dyDescent="0.25">
      <c r="G3166" s="10">
        <v>2641</v>
      </c>
      <c r="H3166" s="9">
        <v>19111</v>
      </c>
      <c r="I3166" s="14">
        <f>DATE(2012,12,31)-1184</f>
        <v>40090</v>
      </c>
      <c r="J3166" s="15" t="s">
        <v>25</v>
      </c>
      <c r="K3166" s="9">
        <v>24</v>
      </c>
      <c r="L3166" s="16" t="s">
        <v>27</v>
      </c>
      <c r="M3166" s="16">
        <f t="shared" si="297"/>
        <v>-0.1085436493809193</v>
      </c>
      <c r="N3166">
        <f t="shared" si="298"/>
        <v>0</v>
      </c>
      <c r="O3166">
        <f t="shared" si="299"/>
        <v>0</v>
      </c>
      <c r="P3166">
        <f t="shared" si="296"/>
        <v>4600</v>
      </c>
      <c r="Q3166">
        <f t="shared" si="300"/>
        <v>4600</v>
      </c>
      <c r="T3166" s="16">
        <f t="shared" si="301"/>
        <v>-0.10854364938091969</v>
      </c>
    </row>
    <row r="3167" spans="7:20" ht="14.4" x14ac:dyDescent="0.25">
      <c r="G3167" s="10">
        <v>2644</v>
      </c>
      <c r="H3167" s="9">
        <v>19139</v>
      </c>
      <c r="I3167" s="14">
        <f>DATE(2012,12,31)-759</f>
        <v>40515</v>
      </c>
      <c r="J3167" s="15" t="s">
        <v>28</v>
      </c>
      <c r="K3167" s="9">
        <v>15</v>
      </c>
      <c r="L3167" s="16" t="s">
        <v>26</v>
      </c>
      <c r="M3167" s="16">
        <f t="shared" si="297"/>
        <v>-0.7300816389539122</v>
      </c>
      <c r="N3167">
        <f t="shared" si="298"/>
        <v>0</v>
      </c>
      <c r="O3167">
        <f t="shared" si="299"/>
        <v>0</v>
      </c>
      <c r="P3167">
        <f t="shared" si="296"/>
        <v>4150</v>
      </c>
      <c r="Q3167">
        <f t="shared" si="300"/>
        <v>4150</v>
      </c>
      <c r="T3167" s="16">
        <f t="shared" si="301"/>
        <v>-0.73008163895391265</v>
      </c>
    </row>
    <row r="3168" spans="7:20" ht="14.4" x14ac:dyDescent="0.25">
      <c r="G3168" s="10">
        <v>2672</v>
      </c>
      <c r="H3168" s="9">
        <v>19332</v>
      </c>
      <c r="I3168" s="14">
        <f>DATE(2012,12,31)-308</f>
        <v>40966</v>
      </c>
      <c r="J3168" s="15" t="s">
        <v>17</v>
      </c>
      <c r="K3168" s="9">
        <v>46</v>
      </c>
      <c r="L3168" s="16" t="s">
        <v>29</v>
      </c>
      <c r="M3168" s="16">
        <f t="shared" si="297"/>
        <v>1.4107714362419523</v>
      </c>
      <c r="N3168">
        <f t="shared" si="298"/>
        <v>0</v>
      </c>
      <c r="O3168">
        <f t="shared" si="299"/>
        <v>0</v>
      </c>
      <c r="P3168">
        <f t="shared" si="296"/>
        <v>5700</v>
      </c>
      <c r="Q3168">
        <f t="shared" si="300"/>
        <v>5700</v>
      </c>
      <c r="T3168" s="16">
        <f t="shared" si="301"/>
        <v>1.4107714362419519</v>
      </c>
    </row>
    <row r="3169" spans="7:20" ht="14.4" x14ac:dyDescent="0.25">
      <c r="G3169" s="10">
        <v>2904</v>
      </c>
      <c r="H3169" s="9">
        <v>20965</v>
      </c>
      <c r="I3169" s="14">
        <f>DATE(2012,12,31)-1107</f>
        <v>40167</v>
      </c>
      <c r="J3169" s="15" t="s">
        <v>30</v>
      </c>
      <c r="K3169" s="9">
        <v>38</v>
      </c>
      <c r="L3169" s="16" t="s">
        <v>26</v>
      </c>
      <c r="M3169" s="16">
        <f t="shared" si="297"/>
        <v>0.85829322328818081</v>
      </c>
      <c r="N3169">
        <f t="shared" si="298"/>
        <v>0</v>
      </c>
      <c r="O3169">
        <f t="shared" si="299"/>
        <v>0</v>
      </c>
      <c r="P3169">
        <f t="shared" si="296"/>
        <v>5300</v>
      </c>
      <c r="Q3169">
        <f t="shared" si="300"/>
        <v>5300</v>
      </c>
      <c r="T3169" s="16">
        <f t="shared" si="301"/>
        <v>0.85829322328818036</v>
      </c>
    </row>
    <row r="3170" spans="7:20" ht="14.4" x14ac:dyDescent="0.25">
      <c r="G3170" s="10">
        <v>2905</v>
      </c>
      <c r="H3170" s="9">
        <v>20965</v>
      </c>
      <c r="I3170" s="14">
        <f>DATE(2012,12,31)-1107</f>
        <v>40167</v>
      </c>
      <c r="J3170" s="15" t="s">
        <v>30</v>
      </c>
      <c r="K3170" s="9">
        <v>8</v>
      </c>
      <c r="L3170" s="16" t="s">
        <v>27</v>
      </c>
      <c r="M3170" s="16">
        <f t="shared" si="297"/>
        <v>-1.2135000752884624</v>
      </c>
      <c r="N3170">
        <f t="shared" si="298"/>
        <v>0</v>
      </c>
      <c r="O3170">
        <f t="shared" si="299"/>
        <v>0</v>
      </c>
      <c r="P3170">
        <f t="shared" si="296"/>
        <v>3800</v>
      </c>
      <c r="Q3170">
        <f t="shared" si="300"/>
        <v>3800</v>
      </c>
      <c r="T3170" s="16">
        <f t="shared" si="301"/>
        <v>-1.2135000752884626</v>
      </c>
    </row>
    <row r="3171" spans="7:20" ht="14.4" x14ac:dyDescent="0.25">
      <c r="G3171" s="10">
        <v>2932</v>
      </c>
      <c r="H3171" s="9">
        <v>21249</v>
      </c>
      <c r="I3171" s="14">
        <f>DATE(2012,12,31)-834</f>
        <v>40440</v>
      </c>
      <c r="J3171" s="15" t="s">
        <v>25</v>
      </c>
      <c r="K3171" s="9">
        <v>22</v>
      </c>
      <c r="L3171" s="16" t="s">
        <v>26</v>
      </c>
      <c r="M3171" s="16">
        <f t="shared" si="297"/>
        <v>-0.24666320261936217</v>
      </c>
      <c r="N3171">
        <f t="shared" si="298"/>
        <v>0</v>
      </c>
      <c r="O3171">
        <f t="shared" si="299"/>
        <v>0</v>
      </c>
      <c r="P3171">
        <f t="shared" si="296"/>
        <v>4500</v>
      </c>
      <c r="Q3171">
        <f t="shared" si="300"/>
        <v>4500</v>
      </c>
      <c r="T3171" s="16">
        <f t="shared" si="301"/>
        <v>-0.24666320261936256</v>
      </c>
    </row>
    <row r="3172" spans="7:20" ht="14.4" x14ac:dyDescent="0.25">
      <c r="G3172" s="10">
        <v>2933</v>
      </c>
      <c r="H3172" s="9">
        <v>21249</v>
      </c>
      <c r="I3172" s="14">
        <f>DATE(2012,12,31)-834</f>
        <v>40440</v>
      </c>
      <c r="J3172" s="15" t="s">
        <v>25</v>
      </c>
      <c r="K3172" s="9">
        <v>7</v>
      </c>
      <c r="L3172" s="16" t="s">
        <v>27</v>
      </c>
      <c r="M3172" s="16">
        <f t="shared" si="297"/>
        <v>-1.2825598519076837</v>
      </c>
      <c r="N3172">
        <f t="shared" si="298"/>
        <v>0</v>
      </c>
      <c r="O3172">
        <f t="shared" si="299"/>
        <v>0</v>
      </c>
      <c r="P3172">
        <f t="shared" si="296"/>
        <v>3750</v>
      </c>
      <c r="Q3172">
        <f t="shared" si="300"/>
        <v>3750</v>
      </c>
      <c r="T3172" s="16">
        <f t="shared" si="301"/>
        <v>-1.2825598519076842</v>
      </c>
    </row>
    <row r="3173" spans="7:20" ht="14.4" x14ac:dyDescent="0.25">
      <c r="G3173" s="10">
        <v>3139</v>
      </c>
      <c r="H3173" s="9">
        <v>22529</v>
      </c>
      <c r="I3173" s="14">
        <f>DATE(2012,12,31)-969</f>
        <v>40305</v>
      </c>
      <c r="J3173" s="15" t="s">
        <v>16</v>
      </c>
      <c r="K3173" s="9">
        <v>28</v>
      </c>
      <c r="L3173" s="16" t="s">
        <v>26</v>
      </c>
      <c r="M3173" s="16">
        <f t="shared" si="297"/>
        <v>0.16769545709596645</v>
      </c>
      <c r="N3173">
        <f t="shared" si="298"/>
        <v>0</v>
      </c>
      <c r="O3173">
        <f t="shared" si="299"/>
        <v>0</v>
      </c>
      <c r="P3173">
        <f t="shared" si="296"/>
        <v>4800</v>
      </c>
      <c r="Q3173">
        <f t="shared" si="300"/>
        <v>4800</v>
      </c>
      <c r="T3173" s="16">
        <f t="shared" si="301"/>
        <v>0.16769545709596606</v>
      </c>
    </row>
    <row r="3174" spans="7:20" ht="14.4" x14ac:dyDescent="0.25">
      <c r="G3174" s="10">
        <v>3255</v>
      </c>
      <c r="H3174" s="9">
        <v>23303</v>
      </c>
      <c r="I3174" s="14">
        <f>DATE(2012,12,31)-1290</f>
        <v>39984</v>
      </c>
      <c r="J3174" s="15" t="s">
        <v>28</v>
      </c>
      <c r="K3174" s="9">
        <v>39</v>
      </c>
      <c r="L3174" s="16" t="s">
        <v>26</v>
      </c>
      <c r="M3174" s="16">
        <f t="shared" si="297"/>
        <v>0.92735299990740228</v>
      </c>
      <c r="N3174">
        <f t="shared" si="298"/>
        <v>0</v>
      </c>
      <c r="O3174">
        <f t="shared" si="299"/>
        <v>0</v>
      </c>
      <c r="P3174">
        <f t="shared" si="296"/>
        <v>5350</v>
      </c>
      <c r="Q3174">
        <f t="shared" si="300"/>
        <v>5350</v>
      </c>
      <c r="T3174" s="16">
        <f t="shared" si="301"/>
        <v>0.92735299990740183</v>
      </c>
    </row>
    <row r="3175" spans="7:20" ht="14.4" x14ac:dyDescent="0.25">
      <c r="G3175" s="10">
        <v>3274</v>
      </c>
      <c r="H3175" s="9">
        <v>23398</v>
      </c>
      <c r="I3175" s="14">
        <f>DATE(2012,12,31)-1389</f>
        <v>39885</v>
      </c>
      <c r="J3175" s="15" t="s">
        <v>16</v>
      </c>
      <c r="K3175" s="9">
        <v>19</v>
      </c>
      <c r="L3175" s="16" t="s">
        <v>26</v>
      </c>
      <c r="M3175" s="16">
        <f t="shared" si="297"/>
        <v>-0.45384253247702649</v>
      </c>
      <c r="N3175">
        <f t="shared" si="298"/>
        <v>0</v>
      </c>
      <c r="O3175">
        <f t="shared" si="299"/>
        <v>0</v>
      </c>
      <c r="P3175">
        <f t="shared" si="296"/>
        <v>4350</v>
      </c>
      <c r="Q3175">
        <f t="shared" si="300"/>
        <v>4350</v>
      </c>
      <c r="T3175" s="16">
        <f t="shared" si="301"/>
        <v>-0.45384253247702688</v>
      </c>
    </row>
    <row r="3176" spans="7:20" ht="14.4" x14ac:dyDescent="0.25">
      <c r="G3176" s="10">
        <v>3410</v>
      </c>
      <c r="H3176" s="9">
        <v>24356</v>
      </c>
      <c r="I3176" s="14">
        <f>DATE(2012,12,31)-965</f>
        <v>40309</v>
      </c>
      <c r="J3176" s="15" t="s">
        <v>16</v>
      </c>
      <c r="K3176" s="9">
        <v>37</v>
      </c>
      <c r="L3176" s="16" t="s">
        <v>29</v>
      </c>
      <c r="M3176" s="16">
        <f t="shared" si="297"/>
        <v>0.78923344666895934</v>
      </c>
      <c r="N3176">
        <f t="shared" si="298"/>
        <v>0</v>
      </c>
      <c r="O3176">
        <f t="shared" si="299"/>
        <v>0</v>
      </c>
      <c r="P3176">
        <f t="shared" si="296"/>
        <v>5250</v>
      </c>
      <c r="Q3176">
        <f t="shared" si="300"/>
        <v>5250</v>
      </c>
      <c r="T3176" s="16">
        <f t="shared" si="301"/>
        <v>0.789233446668959</v>
      </c>
    </row>
    <row r="3177" spans="7:20" ht="14.4" x14ac:dyDescent="0.25">
      <c r="G3177" s="10">
        <v>3539</v>
      </c>
      <c r="H3177" s="9">
        <v>25188</v>
      </c>
      <c r="I3177" s="14">
        <f>DATE(2012,12,31)-728</f>
        <v>40546</v>
      </c>
      <c r="J3177" s="15" t="s">
        <v>16</v>
      </c>
      <c r="K3177" s="9">
        <v>20</v>
      </c>
      <c r="L3177" s="16" t="s">
        <v>27</v>
      </c>
      <c r="M3177" s="16">
        <f t="shared" si="297"/>
        <v>-0.38478275585780503</v>
      </c>
      <c r="N3177">
        <f t="shared" si="298"/>
        <v>0</v>
      </c>
      <c r="O3177">
        <f t="shared" si="299"/>
        <v>0</v>
      </c>
      <c r="P3177">
        <f t="shared" si="296"/>
        <v>4400</v>
      </c>
      <c r="Q3177">
        <f t="shared" si="300"/>
        <v>4400</v>
      </c>
      <c r="T3177" s="16">
        <f t="shared" si="301"/>
        <v>-0.38478275585780541</v>
      </c>
    </row>
    <row r="3178" spans="7:20" ht="14.4" x14ac:dyDescent="0.25">
      <c r="G3178" s="10">
        <v>3543</v>
      </c>
      <c r="H3178" s="9">
        <v>25249</v>
      </c>
      <c r="I3178" s="14">
        <f>DATE(2012,12,31)-55</f>
        <v>41219</v>
      </c>
      <c r="J3178" s="15" t="s">
        <v>16</v>
      </c>
      <c r="K3178" s="9">
        <v>34</v>
      </c>
      <c r="L3178" s="16" t="s">
        <v>26</v>
      </c>
      <c r="M3178" s="16">
        <f t="shared" si="297"/>
        <v>0.58205411681129504</v>
      </c>
      <c r="N3178">
        <f t="shared" si="298"/>
        <v>0</v>
      </c>
      <c r="O3178">
        <f t="shared" si="299"/>
        <v>0</v>
      </c>
      <c r="P3178">
        <f t="shared" si="296"/>
        <v>5100</v>
      </c>
      <c r="Q3178">
        <f t="shared" si="300"/>
        <v>5100</v>
      </c>
      <c r="T3178" s="16">
        <f t="shared" si="301"/>
        <v>0.58205411681129471</v>
      </c>
    </row>
    <row r="3179" spans="7:20" ht="14.4" x14ac:dyDescent="0.25">
      <c r="G3179" s="10">
        <v>3774</v>
      </c>
      <c r="H3179" s="9">
        <v>26948</v>
      </c>
      <c r="I3179" s="14">
        <f>DATE(2012,12,31)-405</f>
        <v>40869</v>
      </c>
      <c r="J3179" s="15" t="s">
        <v>17</v>
      </c>
      <c r="K3179" s="9">
        <v>21</v>
      </c>
      <c r="L3179" s="16" t="s">
        <v>26</v>
      </c>
      <c r="M3179" s="16">
        <f t="shared" si="297"/>
        <v>-0.31572297923858361</v>
      </c>
      <c r="N3179">
        <f t="shared" si="298"/>
        <v>0</v>
      </c>
      <c r="O3179">
        <f t="shared" si="299"/>
        <v>0</v>
      </c>
      <c r="P3179">
        <f t="shared" si="296"/>
        <v>4450</v>
      </c>
      <c r="Q3179">
        <f t="shared" si="300"/>
        <v>4450</v>
      </c>
      <c r="T3179" s="16">
        <f t="shared" si="301"/>
        <v>-0.315722979238584</v>
      </c>
    </row>
    <row r="3180" spans="7:20" ht="14.4" x14ac:dyDescent="0.25">
      <c r="G3180" s="10">
        <v>3819</v>
      </c>
      <c r="H3180" s="9">
        <v>27232</v>
      </c>
      <c r="I3180" s="14">
        <f>DATE(2012,12,31)-866</f>
        <v>40408</v>
      </c>
      <c r="J3180" s="15" t="s">
        <v>28</v>
      </c>
      <c r="K3180" s="9">
        <v>19</v>
      </c>
      <c r="L3180" s="16" t="s">
        <v>26</v>
      </c>
      <c r="M3180" s="16">
        <f t="shared" si="297"/>
        <v>-0.45384253247702649</v>
      </c>
      <c r="N3180">
        <f t="shared" si="298"/>
        <v>0</v>
      </c>
      <c r="O3180">
        <f t="shared" si="299"/>
        <v>0</v>
      </c>
      <c r="P3180">
        <f t="shared" si="296"/>
        <v>4350</v>
      </c>
      <c r="Q3180">
        <f t="shared" si="300"/>
        <v>4350</v>
      </c>
      <c r="T3180" s="16">
        <f t="shared" si="301"/>
        <v>-0.45384253247702688</v>
      </c>
    </row>
    <row r="3181" spans="7:20" ht="14.4" x14ac:dyDescent="0.25">
      <c r="G3181" s="10">
        <v>3871</v>
      </c>
      <c r="H3181" s="9">
        <v>27622</v>
      </c>
      <c r="I3181" s="14">
        <f>DATE(2012,12,31)-694</f>
        <v>40580</v>
      </c>
      <c r="J3181" s="15" t="s">
        <v>16</v>
      </c>
      <c r="K3181" s="9">
        <v>4</v>
      </c>
      <c r="L3181" s="16" t="s">
        <v>29</v>
      </c>
      <c r="M3181" s="16">
        <f t="shared" si="297"/>
        <v>-1.489739181765348</v>
      </c>
      <c r="N3181">
        <f t="shared" si="298"/>
        <v>0</v>
      </c>
      <c r="O3181">
        <f t="shared" si="299"/>
        <v>0</v>
      </c>
      <c r="P3181">
        <f t="shared" si="296"/>
        <v>3600</v>
      </c>
      <c r="Q3181">
        <f t="shared" si="300"/>
        <v>3600</v>
      </c>
      <c r="T3181" s="16">
        <f t="shared" si="301"/>
        <v>-1.4897391817653485</v>
      </c>
    </row>
    <row r="3182" spans="7:20" ht="14.4" x14ac:dyDescent="0.25">
      <c r="G3182" s="10">
        <v>3928</v>
      </c>
      <c r="H3182" s="9">
        <v>28002</v>
      </c>
      <c r="I3182" s="14">
        <f>DATE(2012,12,31)-1178</f>
        <v>40096</v>
      </c>
      <c r="J3182" s="15" t="s">
        <v>30</v>
      </c>
      <c r="K3182" s="9">
        <v>5</v>
      </c>
      <c r="L3182" s="16" t="s">
        <v>26</v>
      </c>
      <c r="M3182" s="16">
        <f t="shared" si="297"/>
        <v>-1.4206794051461267</v>
      </c>
      <c r="N3182">
        <f t="shared" si="298"/>
        <v>0</v>
      </c>
      <c r="O3182">
        <f t="shared" si="299"/>
        <v>0</v>
      </c>
      <c r="P3182">
        <f t="shared" si="296"/>
        <v>3650</v>
      </c>
      <c r="Q3182">
        <f t="shared" si="300"/>
        <v>3650</v>
      </c>
      <c r="T3182" s="16">
        <f t="shared" si="301"/>
        <v>-1.4206794051461269</v>
      </c>
    </row>
    <row r="3183" spans="7:20" ht="14.4" x14ac:dyDescent="0.25">
      <c r="G3183" s="10">
        <v>3978</v>
      </c>
      <c r="H3183" s="9">
        <v>28390</v>
      </c>
      <c r="I3183" s="14">
        <f>DATE(2012,12,31)-328</f>
        <v>40946</v>
      </c>
      <c r="J3183" s="15" t="s">
        <v>17</v>
      </c>
      <c r="K3183" s="9">
        <v>44</v>
      </c>
      <c r="L3183" s="16" t="s">
        <v>29</v>
      </c>
      <c r="M3183" s="16">
        <f t="shared" si="297"/>
        <v>1.2726518830035094</v>
      </c>
      <c r="N3183">
        <f t="shared" si="298"/>
        <v>0</v>
      </c>
      <c r="O3183">
        <f t="shared" si="299"/>
        <v>0</v>
      </c>
      <c r="P3183">
        <f t="shared" si="296"/>
        <v>5600</v>
      </c>
      <c r="Q3183">
        <f t="shared" si="300"/>
        <v>5600</v>
      </c>
      <c r="T3183" s="16">
        <f t="shared" si="301"/>
        <v>1.272651883003509</v>
      </c>
    </row>
    <row r="3184" spans="7:20" ht="14.4" x14ac:dyDescent="0.25">
      <c r="G3184" s="10">
        <v>4108</v>
      </c>
      <c r="H3184" s="9">
        <v>29223</v>
      </c>
      <c r="I3184" s="14">
        <f>DATE(2012,12,31)-346</f>
        <v>40928</v>
      </c>
      <c r="J3184" s="15" t="s">
        <v>17</v>
      </c>
      <c r="K3184" s="9">
        <v>48</v>
      </c>
      <c r="L3184" s="16" t="s">
        <v>29</v>
      </c>
      <c r="M3184" s="16">
        <f t="shared" si="297"/>
        <v>1.5488909894803951</v>
      </c>
      <c r="N3184">
        <f t="shared" si="298"/>
        <v>0</v>
      </c>
      <c r="O3184">
        <f t="shared" si="299"/>
        <v>0</v>
      </c>
      <c r="P3184">
        <f t="shared" si="296"/>
        <v>5800</v>
      </c>
      <c r="Q3184">
        <f t="shared" si="300"/>
        <v>5800</v>
      </c>
      <c r="T3184" s="16">
        <f t="shared" si="301"/>
        <v>1.5488909894803948</v>
      </c>
    </row>
    <row r="3185" spans="7:20" ht="14.4" x14ac:dyDescent="0.25">
      <c r="G3185" s="10">
        <v>4134</v>
      </c>
      <c r="H3185" s="9">
        <v>29351</v>
      </c>
      <c r="I3185" s="14">
        <f>DATE(2012,12,31)-455</f>
        <v>40819</v>
      </c>
      <c r="J3185" s="15" t="s">
        <v>16</v>
      </c>
      <c r="K3185" s="9">
        <v>17</v>
      </c>
      <c r="L3185" s="16" t="s">
        <v>26</v>
      </c>
      <c r="M3185" s="16">
        <f t="shared" si="297"/>
        <v>-0.59196208571546938</v>
      </c>
      <c r="N3185">
        <f t="shared" si="298"/>
        <v>0</v>
      </c>
      <c r="O3185">
        <f t="shared" si="299"/>
        <v>0</v>
      </c>
      <c r="P3185">
        <f t="shared" si="296"/>
        <v>4250</v>
      </c>
      <c r="Q3185">
        <f t="shared" si="300"/>
        <v>4250</v>
      </c>
      <c r="T3185" s="16">
        <f t="shared" si="301"/>
        <v>-0.59196208571546971</v>
      </c>
    </row>
    <row r="3186" spans="7:20" ht="14.4" x14ac:dyDescent="0.25">
      <c r="G3186" s="10">
        <v>4160</v>
      </c>
      <c r="H3186" s="9">
        <v>29506</v>
      </c>
      <c r="I3186" s="14">
        <f>DATE(2012,12,31)-566</f>
        <v>40708</v>
      </c>
      <c r="J3186" s="15" t="s">
        <v>30</v>
      </c>
      <c r="K3186" s="9">
        <v>46</v>
      </c>
      <c r="L3186" s="16" t="s">
        <v>26</v>
      </c>
      <c r="M3186" s="16">
        <f t="shared" si="297"/>
        <v>1.4107714362419523</v>
      </c>
      <c r="N3186">
        <f t="shared" si="298"/>
        <v>0</v>
      </c>
      <c r="O3186">
        <f t="shared" si="299"/>
        <v>0</v>
      </c>
      <c r="P3186">
        <f t="shared" si="296"/>
        <v>5700</v>
      </c>
      <c r="Q3186">
        <f t="shared" si="300"/>
        <v>5700</v>
      </c>
      <c r="T3186" s="16">
        <f t="shared" si="301"/>
        <v>1.4107714362419519</v>
      </c>
    </row>
    <row r="3187" spans="7:20" ht="14.4" x14ac:dyDescent="0.25">
      <c r="G3187" s="10">
        <v>4161</v>
      </c>
      <c r="H3187" s="9">
        <v>29506</v>
      </c>
      <c r="I3187" s="14">
        <f>DATE(2012,12,31)-566</f>
        <v>40708</v>
      </c>
      <c r="J3187" s="15" t="s">
        <v>30</v>
      </c>
      <c r="K3187" s="9">
        <v>8</v>
      </c>
      <c r="L3187" s="16" t="s">
        <v>26</v>
      </c>
      <c r="M3187" s="16">
        <f t="shared" si="297"/>
        <v>-1.2135000752884624</v>
      </c>
      <c r="N3187">
        <f t="shared" si="298"/>
        <v>0</v>
      </c>
      <c r="O3187">
        <f t="shared" si="299"/>
        <v>0</v>
      </c>
      <c r="P3187">
        <f t="shared" si="296"/>
        <v>3800</v>
      </c>
      <c r="Q3187">
        <f t="shared" si="300"/>
        <v>3800</v>
      </c>
      <c r="T3187" s="16">
        <f t="shared" si="301"/>
        <v>-1.2135000752884626</v>
      </c>
    </row>
    <row r="3188" spans="7:20" ht="14.4" x14ac:dyDescent="0.25">
      <c r="G3188" s="10">
        <v>4175</v>
      </c>
      <c r="H3188" s="9">
        <v>29633</v>
      </c>
      <c r="I3188" s="14">
        <f>DATE(2012,12,31)-1288</f>
        <v>39986</v>
      </c>
      <c r="J3188" s="15" t="s">
        <v>30</v>
      </c>
      <c r="K3188" s="9">
        <v>11</v>
      </c>
      <c r="L3188" s="16" t="s">
        <v>26</v>
      </c>
      <c r="M3188" s="16">
        <f t="shared" si="297"/>
        <v>-1.0063207454307979</v>
      </c>
      <c r="N3188">
        <f t="shared" si="298"/>
        <v>0</v>
      </c>
      <c r="O3188">
        <f t="shared" si="299"/>
        <v>0</v>
      </c>
      <c r="P3188">
        <f t="shared" si="296"/>
        <v>3950</v>
      </c>
      <c r="Q3188">
        <f t="shared" si="300"/>
        <v>3950</v>
      </c>
      <c r="T3188" s="16">
        <f t="shared" si="301"/>
        <v>-1.0063207454307983</v>
      </c>
    </row>
    <row r="3189" spans="7:20" ht="14.4" x14ac:dyDescent="0.25">
      <c r="G3189" s="10">
        <v>4189</v>
      </c>
      <c r="H3189" s="9">
        <v>29764</v>
      </c>
      <c r="I3189" s="14">
        <f>DATE(2012,12,31)-162</f>
        <v>41112</v>
      </c>
      <c r="J3189" s="15" t="s">
        <v>30</v>
      </c>
      <c r="K3189" s="9">
        <v>10</v>
      </c>
      <c r="L3189" s="16" t="s">
        <v>26</v>
      </c>
      <c r="M3189" s="16">
        <f t="shared" si="297"/>
        <v>-1.0753805220500194</v>
      </c>
      <c r="N3189">
        <f t="shared" si="298"/>
        <v>0</v>
      </c>
      <c r="O3189">
        <f t="shared" si="299"/>
        <v>0</v>
      </c>
      <c r="P3189">
        <f t="shared" si="296"/>
        <v>3900</v>
      </c>
      <c r="Q3189">
        <f t="shared" si="300"/>
        <v>3900</v>
      </c>
      <c r="T3189" s="16">
        <f t="shared" si="301"/>
        <v>-1.0753805220500199</v>
      </c>
    </row>
    <row r="3190" spans="7:20" ht="14.4" x14ac:dyDescent="0.25">
      <c r="G3190" s="10">
        <v>4216</v>
      </c>
      <c r="H3190" s="9">
        <v>29958</v>
      </c>
      <c r="I3190" s="14">
        <f>DATE(2012,12,31)-725</f>
        <v>40549</v>
      </c>
      <c r="J3190" s="15" t="s">
        <v>17</v>
      </c>
      <c r="K3190" s="9">
        <v>47</v>
      </c>
      <c r="L3190" s="16" t="s">
        <v>26</v>
      </c>
      <c r="M3190" s="16">
        <f t="shared" si="297"/>
        <v>1.4798312128611737</v>
      </c>
      <c r="N3190">
        <f t="shared" si="298"/>
        <v>0</v>
      </c>
      <c r="O3190">
        <f t="shared" si="299"/>
        <v>0</v>
      </c>
      <c r="P3190">
        <f t="shared" si="296"/>
        <v>5750</v>
      </c>
      <c r="Q3190">
        <f t="shared" si="300"/>
        <v>5750</v>
      </c>
      <c r="T3190" s="16">
        <f t="shared" si="301"/>
        <v>1.4798312128611733</v>
      </c>
    </row>
    <row r="3191" spans="7:20" ht="14.4" x14ac:dyDescent="0.25">
      <c r="G3191" s="10">
        <v>4217</v>
      </c>
      <c r="H3191" s="9">
        <v>29958</v>
      </c>
      <c r="I3191" s="14">
        <f>DATE(2012,12,31)-725</f>
        <v>40549</v>
      </c>
      <c r="J3191" s="15" t="s">
        <v>17</v>
      </c>
      <c r="K3191" s="9">
        <v>32</v>
      </c>
      <c r="L3191" s="16" t="s">
        <v>29</v>
      </c>
      <c r="M3191" s="16">
        <f t="shared" si="297"/>
        <v>0.44393456357285216</v>
      </c>
      <c r="N3191">
        <f t="shared" si="298"/>
        <v>0</v>
      </c>
      <c r="O3191">
        <f t="shared" si="299"/>
        <v>0</v>
      </c>
      <c r="P3191">
        <f t="shared" si="296"/>
        <v>5000</v>
      </c>
      <c r="Q3191">
        <f t="shared" si="300"/>
        <v>5000</v>
      </c>
      <c r="T3191" s="16">
        <f t="shared" si="301"/>
        <v>0.44393456357285183</v>
      </c>
    </row>
    <row r="3192" spans="7:20" ht="14.4" x14ac:dyDescent="0.25">
      <c r="G3192" s="10">
        <v>4435</v>
      </c>
      <c r="H3192" s="9">
        <v>31616</v>
      </c>
      <c r="I3192" s="14">
        <f>DATE(2012,12,31)-856</f>
        <v>40418</v>
      </c>
      <c r="J3192" s="15" t="s">
        <v>30</v>
      </c>
      <c r="K3192" s="9">
        <v>45</v>
      </c>
      <c r="L3192" s="16" t="s">
        <v>26</v>
      </c>
      <c r="M3192" s="16">
        <f t="shared" si="297"/>
        <v>1.3417116596227308</v>
      </c>
      <c r="N3192">
        <f t="shared" si="298"/>
        <v>0</v>
      </c>
      <c r="O3192">
        <f t="shared" si="299"/>
        <v>0</v>
      </c>
      <c r="P3192">
        <f t="shared" si="296"/>
        <v>5650</v>
      </c>
      <c r="Q3192">
        <f t="shared" si="300"/>
        <v>5650</v>
      </c>
      <c r="T3192" s="16">
        <f t="shared" si="301"/>
        <v>1.3417116596227305</v>
      </c>
    </row>
    <row r="3193" spans="7:20" ht="14.4" x14ac:dyDescent="0.25">
      <c r="G3193" s="10">
        <v>4436</v>
      </c>
      <c r="H3193" s="9">
        <v>31616</v>
      </c>
      <c r="I3193" s="14">
        <f>DATE(2012,12,31)-856</f>
        <v>40418</v>
      </c>
      <c r="J3193" s="15" t="s">
        <v>30</v>
      </c>
      <c r="K3193" s="9">
        <v>46</v>
      </c>
      <c r="L3193" s="16" t="s">
        <v>26</v>
      </c>
      <c r="M3193" s="16">
        <f t="shared" si="297"/>
        <v>1.4107714362419523</v>
      </c>
      <c r="N3193">
        <f t="shared" si="298"/>
        <v>0</v>
      </c>
      <c r="O3193">
        <f t="shared" si="299"/>
        <v>0</v>
      </c>
      <c r="P3193">
        <f t="shared" si="296"/>
        <v>5700</v>
      </c>
      <c r="Q3193">
        <f t="shared" si="300"/>
        <v>5700</v>
      </c>
      <c r="T3193" s="16">
        <f t="shared" si="301"/>
        <v>1.4107714362419519</v>
      </c>
    </row>
    <row r="3194" spans="7:20" ht="14.4" x14ac:dyDescent="0.25">
      <c r="G3194" s="10">
        <v>4483</v>
      </c>
      <c r="H3194" s="9">
        <v>31907</v>
      </c>
      <c r="I3194" s="14">
        <f>DATE(2012,12,31)-958</f>
        <v>40316</v>
      </c>
      <c r="J3194" s="15" t="s">
        <v>25</v>
      </c>
      <c r="K3194" s="9">
        <v>38</v>
      </c>
      <c r="L3194" s="16" t="s">
        <v>27</v>
      </c>
      <c r="M3194" s="16">
        <f t="shared" si="297"/>
        <v>0.85829322328818081</v>
      </c>
      <c r="N3194">
        <f t="shared" si="298"/>
        <v>0</v>
      </c>
      <c r="O3194">
        <f t="shared" si="299"/>
        <v>0</v>
      </c>
      <c r="P3194">
        <f t="shared" si="296"/>
        <v>5300</v>
      </c>
      <c r="Q3194">
        <f t="shared" si="300"/>
        <v>5300</v>
      </c>
      <c r="T3194" s="16">
        <f t="shared" si="301"/>
        <v>0.85829322328818036</v>
      </c>
    </row>
    <row r="3195" spans="7:20" ht="14.4" x14ac:dyDescent="0.25">
      <c r="G3195" s="10">
        <v>4494</v>
      </c>
      <c r="H3195" s="9">
        <v>32001</v>
      </c>
      <c r="I3195" s="14">
        <f>DATE(2012,12,31)-430</f>
        <v>40844</v>
      </c>
      <c r="J3195" s="15" t="s">
        <v>25</v>
      </c>
      <c r="K3195" s="9">
        <v>22</v>
      </c>
      <c r="L3195" s="16" t="s">
        <v>29</v>
      </c>
      <c r="M3195" s="16">
        <f t="shared" si="297"/>
        <v>-0.24666320261936217</v>
      </c>
      <c r="N3195">
        <f t="shared" si="298"/>
        <v>0</v>
      </c>
      <c r="O3195">
        <f t="shared" si="299"/>
        <v>0</v>
      </c>
      <c r="P3195">
        <f t="shared" si="296"/>
        <v>4500</v>
      </c>
      <c r="Q3195">
        <f t="shared" si="300"/>
        <v>4500</v>
      </c>
      <c r="T3195" s="16">
        <f t="shared" si="301"/>
        <v>-0.24666320261936256</v>
      </c>
    </row>
    <row r="3196" spans="7:20" ht="14.4" x14ac:dyDescent="0.25">
      <c r="G3196" s="10">
        <v>4495</v>
      </c>
      <c r="H3196" s="9">
        <v>32001</v>
      </c>
      <c r="I3196" s="14">
        <f>DATE(2012,12,31)-430</f>
        <v>40844</v>
      </c>
      <c r="J3196" s="15" t="s">
        <v>25</v>
      </c>
      <c r="K3196" s="9">
        <v>11</v>
      </c>
      <c r="L3196" s="16" t="s">
        <v>27</v>
      </c>
      <c r="M3196" s="16">
        <f t="shared" si="297"/>
        <v>-1.0063207454307979</v>
      </c>
      <c r="N3196">
        <f t="shared" si="298"/>
        <v>0</v>
      </c>
      <c r="O3196">
        <f t="shared" si="299"/>
        <v>0</v>
      </c>
      <c r="P3196">
        <f t="shared" si="296"/>
        <v>3950</v>
      </c>
      <c r="Q3196">
        <f t="shared" si="300"/>
        <v>3950</v>
      </c>
      <c r="T3196" s="16">
        <f t="shared" si="301"/>
        <v>-1.0063207454307983</v>
      </c>
    </row>
    <row r="3197" spans="7:20" ht="14.4" x14ac:dyDescent="0.25">
      <c r="G3197" s="10">
        <v>4506</v>
      </c>
      <c r="H3197" s="9">
        <v>32069</v>
      </c>
      <c r="I3197" s="14">
        <f>DATE(2012,12,31)-408</f>
        <v>40866</v>
      </c>
      <c r="J3197" s="15" t="s">
        <v>28</v>
      </c>
      <c r="K3197" s="9">
        <v>8</v>
      </c>
      <c r="L3197" s="16" t="s">
        <v>27</v>
      </c>
      <c r="M3197" s="16">
        <f t="shared" si="297"/>
        <v>-1.2135000752884624</v>
      </c>
      <c r="N3197">
        <f t="shared" si="298"/>
        <v>0</v>
      </c>
      <c r="O3197">
        <f t="shared" si="299"/>
        <v>0</v>
      </c>
      <c r="P3197">
        <f t="shared" si="296"/>
        <v>3800</v>
      </c>
      <c r="Q3197">
        <f t="shared" si="300"/>
        <v>3800</v>
      </c>
      <c r="T3197" s="16">
        <f t="shared" si="301"/>
        <v>-1.2135000752884626</v>
      </c>
    </row>
    <row r="3198" spans="7:20" ht="14.4" x14ac:dyDescent="0.25">
      <c r="G3198" s="10">
        <v>4512</v>
      </c>
      <c r="H3198" s="9">
        <v>32102</v>
      </c>
      <c r="I3198" s="14">
        <f>DATE(2012,12,31)-17</f>
        <v>41257</v>
      </c>
      <c r="J3198" s="15" t="s">
        <v>16</v>
      </c>
      <c r="K3198" s="9">
        <v>2</v>
      </c>
      <c r="L3198" s="16" t="s">
        <v>26</v>
      </c>
      <c r="M3198" s="16">
        <f t="shared" si="297"/>
        <v>-1.627858735003791</v>
      </c>
      <c r="N3198">
        <f t="shared" si="298"/>
        <v>0</v>
      </c>
      <c r="O3198">
        <f t="shared" si="299"/>
        <v>0</v>
      </c>
      <c r="P3198">
        <f t="shared" si="296"/>
        <v>3500</v>
      </c>
      <c r="Q3198">
        <f t="shared" si="300"/>
        <v>3500</v>
      </c>
      <c r="T3198" s="16">
        <f t="shared" si="301"/>
        <v>-1.6278587350037912</v>
      </c>
    </row>
    <row r="3199" spans="7:20" ht="14.4" x14ac:dyDescent="0.25">
      <c r="G3199" s="10">
        <v>4561</v>
      </c>
      <c r="H3199" s="9">
        <v>32450</v>
      </c>
      <c r="I3199" s="14">
        <f>DATE(2012,12,31)-378</f>
        <v>40896</v>
      </c>
      <c r="J3199" s="15" t="s">
        <v>16</v>
      </c>
      <c r="K3199" s="9">
        <v>37</v>
      </c>
      <c r="L3199" s="16" t="s">
        <v>29</v>
      </c>
      <c r="M3199" s="16">
        <f t="shared" si="297"/>
        <v>0.78923344666895934</v>
      </c>
      <c r="N3199">
        <f t="shared" si="298"/>
        <v>0</v>
      </c>
      <c r="O3199">
        <f t="shared" si="299"/>
        <v>0</v>
      </c>
      <c r="P3199">
        <f t="shared" si="296"/>
        <v>5250</v>
      </c>
      <c r="Q3199">
        <f t="shared" si="300"/>
        <v>5250</v>
      </c>
      <c r="T3199" s="16">
        <f t="shared" si="301"/>
        <v>0.789233446668959</v>
      </c>
    </row>
    <row r="3200" spans="7:20" ht="14.4" x14ac:dyDescent="0.25">
      <c r="G3200" s="10">
        <v>4572</v>
      </c>
      <c r="H3200" s="9">
        <v>32546</v>
      </c>
      <c r="I3200" s="14">
        <f>DATE(2012,12,31)-654</f>
        <v>40620</v>
      </c>
      <c r="J3200" s="15" t="s">
        <v>30</v>
      </c>
      <c r="K3200" s="9">
        <v>6</v>
      </c>
      <c r="L3200" s="16" t="s">
        <v>26</v>
      </c>
      <c r="M3200" s="16">
        <f t="shared" si="297"/>
        <v>-1.3516196285269051</v>
      </c>
      <c r="N3200">
        <f t="shared" si="298"/>
        <v>0</v>
      </c>
      <c r="O3200">
        <f t="shared" si="299"/>
        <v>0</v>
      </c>
      <c r="P3200">
        <f t="shared" si="296"/>
        <v>3700</v>
      </c>
      <c r="Q3200">
        <f t="shared" si="300"/>
        <v>3700</v>
      </c>
      <c r="T3200" s="16">
        <f t="shared" si="301"/>
        <v>-1.3516196285269055</v>
      </c>
    </row>
    <row r="3201" spans="7:20" ht="14.4" x14ac:dyDescent="0.25">
      <c r="G3201" s="10">
        <v>4573</v>
      </c>
      <c r="H3201" s="9">
        <v>32546</v>
      </c>
      <c r="I3201" s="14">
        <f>DATE(2012,12,31)-654</f>
        <v>40620</v>
      </c>
      <c r="J3201" s="15" t="s">
        <v>30</v>
      </c>
      <c r="K3201" s="9">
        <v>47</v>
      </c>
      <c r="L3201" s="16" t="s">
        <v>27</v>
      </c>
      <c r="M3201" s="16">
        <f t="shared" si="297"/>
        <v>1.4798312128611737</v>
      </c>
      <c r="N3201">
        <f t="shared" si="298"/>
        <v>0</v>
      </c>
      <c r="O3201">
        <f t="shared" si="299"/>
        <v>0</v>
      </c>
      <c r="P3201">
        <f t="shared" si="296"/>
        <v>5750</v>
      </c>
      <c r="Q3201">
        <f t="shared" si="300"/>
        <v>5750</v>
      </c>
      <c r="T3201" s="16">
        <f t="shared" si="301"/>
        <v>1.4798312128611733</v>
      </c>
    </row>
    <row r="3202" spans="7:20" ht="14.4" x14ac:dyDescent="0.25">
      <c r="G3202" s="10">
        <v>4640</v>
      </c>
      <c r="H3202" s="9">
        <v>33029</v>
      </c>
      <c r="I3202" s="14">
        <f>DATE(2012,12,31)-214</f>
        <v>41060</v>
      </c>
      <c r="J3202" s="15" t="s">
        <v>17</v>
      </c>
      <c r="K3202" s="9">
        <v>39</v>
      </c>
      <c r="L3202" s="16" t="s">
        <v>29</v>
      </c>
      <c r="M3202" s="16">
        <f t="shared" si="297"/>
        <v>0.92735299990740228</v>
      </c>
      <c r="N3202">
        <f t="shared" si="298"/>
        <v>0</v>
      </c>
      <c r="O3202">
        <f t="shared" si="299"/>
        <v>0</v>
      </c>
      <c r="P3202">
        <f t="shared" si="296"/>
        <v>5350</v>
      </c>
      <c r="Q3202">
        <f t="shared" si="300"/>
        <v>5350</v>
      </c>
      <c r="T3202" s="16">
        <f t="shared" si="301"/>
        <v>0.92735299990740183</v>
      </c>
    </row>
    <row r="3203" spans="7:20" ht="14.4" x14ac:dyDescent="0.25">
      <c r="G3203" s="10">
        <v>4641</v>
      </c>
      <c r="H3203" s="9">
        <v>33029</v>
      </c>
      <c r="I3203" s="14">
        <f>DATE(2012,12,31)-214</f>
        <v>41060</v>
      </c>
      <c r="J3203" s="15" t="s">
        <v>17</v>
      </c>
      <c r="K3203" s="9">
        <v>8</v>
      </c>
      <c r="L3203" s="16" t="s">
        <v>27</v>
      </c>
      <c r="M3203" s="16">
        <f t="shared" si="297"/>
        <v>-1.2135000752884624</v>
      </c>
      <c r="N3203">
        <f t="shared" si="298"/>
        <v>0</v>
      </c>
      <c r="O3203">
        <f t="shared" si="299"/>
        <v>0</v>
      </c>
      <c r="P3203">
        <f t="shared" si="296"/>
        <v>3800</v>
      </c>
      <c r="Q3203">
        <f t="shared" si="300"/>
        <v>3800</v>
      </c>
      <c r="T3203" s="16">
        <f t="shared" si="301"/>
        <v>-1.2135000752884626</v>
      </c>
    </row>
    <row r="3204" spans="7:20" ht="14.4" x14ac:dyDescent="0.25">
      <c r="G3204" s="10">
        <v>4645</v>
      </c>
      <c r="H3204" s="9">
        <v>33061</v>
      </c>
      <c r="I3204" s="14">
        <f>DATE(2012,12,31)-535</f>
        <v>40739</v>
      </c>
      <c r="J3204" s="15" t="s">
        <v>17</v>
      </c>
      <c r="K3204" s="9">
        <v>48</v>
      </c>
      <c r="L3204" s="16" t="s">
        <v>26</v>
      </c>
      <c r="M3204" s="16">
        <f t="shared" si="297"/>
        <v>1.5488909894803951</v>
      </c>
      <c r="N3204">
        <f t="shared" si="298"/>
        <v>0</v>
      </c>
      <c r="O3204">
        <f t="shared" si="299"/>
        <v>0</v>
      </c>
      <c r="P3204">
        <f t="shared" si="296"/>
        <v>5800</v>
      </c>
      <c r="Q3204">
        <f t="shared" si="300"/>
        <v>5800</v>
      </c>
      <c r="T3204" s="16">
        <f t="shared" si="301"/>
        <v>1.5488909894803948</v>
      </c>
    </row>
    <row r="3205" spans="7:20" ht="14.4" x14ac:dyDescent="0.25">
      <c r="G3205" s="10">
        <v>4698</v>
      </c>
      <c r="H3205" s="9">
        <v>33478</v>
      </c>
      <c r="I3205" s="14">
        <f>DATE(2012,12,31)-931</f>
        <v>40343</v>
      </c>
      <c r="J3205" s="15" t="s">
        <v>17</v>
      </c>
      <c r="K3205" s="9">
        <v>21</v>
      </c>
      <c r="L3205" s="16" t="s">
        <v>26</v>
      </c>
      <c r="M3205" s="16">
        <f t="shared" si="297"/>
        <v>-0.31572297923858361</v>
      </c>
      <c r="N3205">
        <f t="shared" si="298"/>
        <v>0</v>
      </c>
      <c r="O3205">
        <f t="shared" si="299"/>
        <v>0</v>
      </c>
      <c r="P3205">
        <f t="shared" si="296"/>
        <v>4450</v>
      </c>
      <c r="Q3205">
        <f t="shared" si="300"/>
        <v>4450</v>
      </c>
      <c r="T3205" s="16">
        <f t="shared" si="301"/>
        <v>-0.315722979238584</v>
      </c>
    </row>
    <row r="3206" spans="7:20" ht="14.4" x14ac:dyDescent="0.25">
      <c r="G3206" s="10">
        <v>4708</v>
      </c>
      <c r="H3206" s="9">
        <v>33540</v>
      </c>
      <c r="I3206" s="14">
        <f>DATE(2012,12,31)-574</f>
        <v>40700</v>
      </c>
      <c r="J3206" s="15" t="s">
        <v>25</v>
      </c>
      <c r="K3206" s="9">
        <v>21</v>
      </c>
      <c r="L3206" s="16" t="s">
        <v>26</v>
      </c>
      <c r="M3206" s="16">
        <f t="shared" si="297"/>
        <v>-0.31572297923858361</v>
      </c>
      <c r="N3206">
        <f t="shared" si="298"/>
        <v>0</v>
      </c>
      <c r="O3206">
        <f t="shared" si="299"/>
        <v>0</v>
      </c>
      <c r="P3206">
        <f t="shared" si="296"/>
        <v>4450</v>
      </c>
      <c r="Q3206">
        <f t="shared" si="300"/>
        <v>4450</v>
      </c>
      <c r="T3206" s="16">
        <f t="shared" si="301"/>
        <v>-0.315722979238584</v>
      </c>
    </row>
    <row r="3207" spans="7:20" ht="14.4" x14ac:dyDescent="0.25">
      <c r="G3207" s="10">
        <v>4762</v>
      </c>
      <c r="H3207" s="9">
        <v>33862</v>
      </c>
      <c r="I3207" s="14">
        <f>DATE(2012,12,31)-923</f>
        <v>40351</v>
      </c>
      <c r="J3207" s="15" t="s">
        <v>28</v>
      </c>
      <c r="K3207" s="9">
        <v>22</v>
      </c>
      <c r="L3207" s="16" t="s">
        <v>26</v>
      </c>
      <c r="M3207" s="16">
        <f t="shared" si="297"/>
        <v>-0.24666320261936217</v>
      </c>
      <c r="N3207">
        <f t="shared" si="298"/>
        <v>0</v>
      </c>
      <c r="O3207">
        <f t="shared" si="299"/>
        <v>0</v>
      </c>
      <c r="P3207">
        <f t="shared" si="296"/>
        <v>4500</v>
      </c>
      <c r="Q3207">
        <f t="shared" si="300"/>
        <v>4500</v>
      </c>
      <c r="T3207" s="16">
        <f t="shared" si="301"/>
        <v>-0.24666320261936256</v>
      </c>
    </row>
    <row r="3208" spans="7:20" ht="14.4" x14ac:dyDescent="0.25">
      <c r="G3208" s="10">
        <v>4845</v>
      </c>
      <c r="H3208" s="9">
        <v>34470</v>
      </c>
      <c r="I3208" s="14">
        <f>DATE(2012,12,31)-334</f>
        <v>40940</v>
      </c>
      <c r="J3208" s="15" t="s">
        <v>30</v>
      </c>
      <c r="K3208" s="9">
        <v>31</v>
      </c>
      <c r="L3208" s="16" t="s">
        <v>29</v>
      </c>
      <c r="M3208" s="16">
        <f t="shared" si="297"/>
        <v>0.37487478695363075</v>
      </c>
      <c r="N3208">
        <f t="shared" si="298"/>
        <v>0</v>
      </c>
      <c r="O3208">
        <f t="shared" si="299"/>
        <v>0</v>
      </c>
      <c r="P3208">
        <f t="shared" si="296"/>
        <v>4950</v>
      </c>
      <c r="Q3208">
        <f t="shared" si="300"/>
        <v>4950</v>
      </c>
      <c r="T3208" s="16">
        <f t="shared" si="301"/>
        <v>0.37487478695363036</v>
      </c>
    </row>
    <row r="3209" spans="7:20" ht="14.4" x14ac:dyDescent="0.25">
      <c r="G3209" s="10">
        <v>5077</v>
      </c>
      <c r="H3209" s="9">
        <v>36161</v>
      </c>
      <c r="I3209" s="14">
        <f>DATE(2012,12,31)-1080</f>
        <v>40194</v>
      </c>
      <c r="J3209" s="15" t="s">
        <v>30</v>
      </c>
      <c r="K3209" s="9">
        <v>6</v>
      </c>
      <c r="L3209" s="16" t="s">
        <v>26</v>
      </c>
      <c r="M3209" s="16">
        <f t="shared" si="297"/>
        <v>-1.3516196285269051</v>
      </c>
      <c r="N3209">
        <f t="shared" si="298"/>
        <v>0</v>
      </c>
      <c r="O3209">
        <f t="shared" si="299"/>
        <v>0</v>
      </c>
      <c r="P3209">
        <f t="shared" si="296"/>
        <v>3700</v>
      </c>
      <c r="Q3209">
        <f t="shared" si="300"/>
        <v>3700</v>
      </c>
      <c r="T3209" s="16">
        <f t="shared" si="301"/>
        <v>-1.3516196285269055</v>
      </c>
    </row>
    <row r="3210" spans="7:20" ht="14.4" x14ac:dyDescent="0.25">
      <c r="G3210" s="10">
        <v>5302</v>
      </c>
      <c r="H3210" s="9">
        <v>37760</v>
      </c>
      <c r="I3210" s="14">
        <f>DATE(2012,12,31)-1235</f>
        <v>40039</v>
      </c>
      <c r="J3210" s="15" t="s">
        <v>17</v>
      </c>
      <c r="K3210" s="9">
        <v>18</v>
      </c>
      <c r="L3210" s="16" t="s">
        <v>27</v>
      </c>
      <c r="M3210" s="16">
        <f t="shared" si="297"/>
        <v>-0.52290230909624791</v>
      </c>
      <c r="N3210">
        <f t="shared" si="298"/>
        <v>0</v>
      </c>
      <c r="O3210">
        <f t="shared" si="299"/>
        <v>0</v>
      </c>
      <c r="P3210">
        <f t="shared" si="296"/>
        <v>4300</v>
      </c>
      <c r="Q3210">
        <f t="shared" si="300"/>
        <v>4300</v>
      </c>
      <c r="T3210" s="16">
        <f t="shared" si="301"/>
        <v>-0.52290230909624835</v>
      </c>
    </row>
    <row r="3211" spans="7:20" ht="14.4" x14ac:dyDescent="0.25">
      <c r="G3211" s="10">
        <v>5303</v>
      </c>
      <c r="H3211" s="9">
        <v>37760</v>
      </c>
      <c r="I3211" s="14">
        <f>DATE(2012,12,31)-1235</f>
        <v>40039</v>
      </c>
      <c r="J3211" s="15" t="s">
        <v>17</v>
      </c>
      <c r="K3211" s="9">
        <v>38</v>
      </c>
      <c r="L3211" s="16" t="s">
        <v>27</v>
      </c>
      <c r="M3211" s="16">
        <f t="shared" si="297"/>
        <v>0.85829322328818081</v>
      </c>
      <c r="N3211">
        <f t="shared" si="298"/>
        <v>0</v>
      </c>
      <c r="O3211">
        <f t="shared" si="299"/>
        <v>0</v>
      </c>
      <c r="P3211">
        <f t="shared" si="296"/>
        <v>5300</v>
      </c>
      <c r="Q3211">
        <f t="shared" si="300"/>
        <v>5300</v>
      </c>
      <c r="T3211" s="16">
        <f t="shared" si="301"/>
        <v>0.85829322328818036</v>
      </c>
    </row>
    <row r="3212" spans="7:20" ht="14.4" x14ac:dyDescent="0.25">
      <c r="G3212" s="10">
        <v>5335</v>
      </c>
      <c r="H3212" s="9">
        <v>37895</v>
      </c>
      <c r="I3212" s="14">
        <f>DATE(2012,12,31)-276</f>
        <v>40998</v>
      </c>
      <c r="J3212" s="15" t="s">
        <v>30</v>
      </c>
      <c r="K3212" s="9">
        <v>14</v>
      </c>
      <c r="L3212" s="16" t="s">
        <v>26</v>
      </c>
      <c r="M3212" s="16">
        <f t="shared" si="297"/>
        <v>-0.79914141557313367</v>
      </c>
      <c r="N3212">
        <f t="shared" si="298"/>
        <v>0</v>
      </c>
      <c r="O3212">
        <f t="shared" si="299"/>
        <v>0</v>
      </c>
      <c r="P3212">
        <f t="shared" ref="P3212:P3275" si="302">50*K3212+$P$10</f>
        <v>4100</v>
      </c>
      <c r="Q3212">
        <f t="shared" si="300"/>
        <v>4100</v>
      </c>
      <c r="T3212" s="16">
        <f t="shared" si="301"/>
        <v>-0.79914141557313401</v>
      </c>
    </row>
    <row r="3213" spans="7:20" ht="14.4" x14ac:dyDescent="0.25">
      <c r="G3213" s="10">
        <v>5402</v>
      </c>
      <c r="H3213" s="9">
        <v>38403</v>
      </c>
      <c r="I3213" s="14">
        <f>DATE(2012,12,31)-590</f>
        <v>40684</v>
      </c>
      <c r="J3213" s="15" t="s">
        <v>25</v>
      </c>
      <c r="K3213" s="9">
        <v>49</v>
      </c>
      <c r="L3213" s="16" t="s">
        <v>26</v>
      </c>
      <c r="M3213" s="16">
        <f t="shared" ref="M3213:M3276" si="303">(K3213-$K$4)/$K$7</f>
        <v>1.6179507660996166</v>
      </c>
      <c r="N3213">
        <f t="shared" ref="N3213:N3276" si="304">IF(MOD($B$20+G3213,1000)=0,1,0)</f>
        <v>0</v>
      </c>
      <c r="O3213">
        <f t="shared" ref="O3213:O3276" si="305">+ROUND(N3213*(IF(K3213&lt;$K$4,-4.5,10.5)*$P$5),-2)</f>
        <v>0</v>
      </c>
      <c r="P3213">
        <f t="shared" si="302"/>
        <v>5850</v>
      </c>
      <c r="Q3213">
        <f t="shared" ref="Q3213:Q3276" si="306">P3213+O3213</f>
        <v>5850</v>
      </c>
      <c r="T3213" s="16">
        <f t="shared" ref="T3213:T3276" si="307">(Q3213-$P$4)/$P$5</f>
        <v>1.6179507660996162</v>
      </c>
    </row>
    <row r="3214" spans="7:20" ht="14.4" x14ac:dyDescent="0.25">
      <c r="G3214" s="10">
        <v>5440</v>
      </c>
      <c r="H3214" s="9">
        <v>38630</v>
      </c>
      <c r="I3214" s="14">
        <f>DATE(2012,12,31)-989</f>
        <v>40285</v>
      </c>
      <c r="J3214" s="15" t="s">
        <v>16</v>
      </c>
      <c r="K3214" s="9">
        <v>13</v>
      </c>
      <c r="L3214" s="16" t="s">
        <v>27</v>
      </c>
      <c r="M3214" s="16">
        <f t="shared" si="303"/>
        <v>-0.86820119219235514</v>
      </c>
      <c r="N3214">
        <f t="shared" si="304"/>
        <v>0</v>
      </c>
      <c r="O3214">
        <f t="shared" si="305"/>
        <v>0</v>
      </c>
      <c r="P3214">
        <f t="shared" si="302"/>
        <v>4050</v>
      </c>
      <c r="Q3214">
        <f t="shared" si="306"/>
        <v>4050</v>
      </c>
      <c r="T3214" s="16">
        <f t="shared" si="307"/>
        <v>-0.86820119219235548</v>
      </c>
    </row>
    <row r="3215" spans="7:20" ht="14.4" x14ac:dyDescent="0.25">
      <c r="G3215" s="10">
        <v>5684</v>
      </c>
      <c r="H3215" s="9">
        <v>40165</v>
      </c>
      <c r="I3215" s="14">
        <f>DATE(2012,12,31)-670</f>
        <v>40604</v>
      </c>
      <c r="J3215" s="15" t="s">
        <v>17</v>
      </c>
      <c r="K3215" s="9">
        <v>50</v>
      </c>
      <c r="L3215" s="16" t="s">
        <v>26</v>
      </c>
      <c r="M3215" s="16">
        <f t="shared" si="303"/>
        <v>1.687010542718838</v>
      </c>
      <c r="N3215">
        <f t="shared" si="304"/>
        <v>0</v>
      </c>
      <c r="O3215">
        <f t="shared" si="305"/>
        <v>0</v>
      </c>
      <c r="P3215">
        <f t="shared" si="302"/>
        <v>5900</v>
      </c>
      <c r="Q3215">
        <f t="shared" si="306"/>
        <v>5900</v>
      </c>
      <c r="T3215" s="16">
        <f t="shared" si="307"/>
        <v>1.6870105427188375</v>
      </c>
    </row>
    <row r="3216" spans="7:20" ht="14.4" x14ac:dyDescent="0.25">
      <c r="G3216" s="10">
        <v>5686</v>
      </c>
      <c r="H3216" s="9">
        <v>40194</v>
      </c>
      <c r="I3216" s="14">
        <f>DATE(2012,12,31)-817</f>
        <v>40457</v>
      </c>
      <c r="J3216" s="15" t="s">
        <v>28</v>
      </c>
      <c r="K3216" s="9">
        <v>30</v>
      </c>
      <c r="L3216" s="16" t="s">
        <v>29</v>
      </c>
      <c r="M3216" s="16">
        <f t="shared" si="303"/>
        <v>0.30581501033440933</v>
      </c>
      <c r="N3216">
        <f t="shared" si="304"/>
        <v>0</v>
      </c>
      <c r="O3216">
        <f t="shared" si="305"/>
        <v>0</v>
      </c>
      <c r="P3216">
        <f t="shared" si="302"/>
        <v>4900</v>
      </c>
      <c r="Q3216">
        <f t="shared" si="306"/>
        <v>4900</v>
      </c>
      <c r="T3216" s="16">
        <f t="shared" si="307"/>
        <v>0.30581501033440894</v>
      </c>
    </row>
    <row r="3217" spans="7:20" ht="14.4" x14ac:dyDescent="0.25">
      <c r="G3217" s="10">
        <v>5687</v>
      </c>
      <c r="H3217" s="9">
        <v>40194</v>
      </c>
      <c r="I3217" s="14">
        <f>DATE(2012,12,31)-817</f>
        <v>40457</v>
      </c>
      <c r="J3217" s="15" t="s">
        <v>28</v>
      </c>
      <c r="K3217" s="9">
        <v>16</v>
      </c>
      <c r="L3217" s="16" t="s">
        <v>27</v>
      </c>
      <c r="M3217" s="16">
        <f t="shared" si="303"/>
        <v>-0.66102186233469074</v>
      </c>
      <c r="N3217">
        <f t="shared" si="304"/>
        <v>0</v>
      </c>
      <c r="O3217">
        <f t="shared" si="305"/>
        <v>0</v>
      </c>
      <c r="P3217">
        <f t="shared" si="302"/>
        <v>4200</v>
      </c>
      <c r="Q3217">
        <f t="shared" si="306"/>
        <v>4200</v>
      </c>
      <c r="T3217" s="16">
        <f t="shared" si="307"/>
        <v>-0.66102186233469118</v>
      </c>
    </row>
    <row r="3218" spans="7:20" ht="14.4" x14ac:dyDescent="0.25">
      <c r="G3218" s="10">
        <v>5688</v>
      </c>
      <c r="H3218" s="9">
        <v>40194</v>
      </c>
      <c r="I3218" s="14">
        <f>DATE(2012,12,31)-817</f>
        <v>40457</v>
      </c>
      <c r="J3218" s="15" t="s">
        <v>28</v>
      </c>
      <c r="K3218" s="9">
        <v>34</v>
      </c>
      <c r="L3218" s="16" t="s">
        <v>27</v>
      </c>
      <c r="M3218" s="16">
        <f t="shared" si="303"/>
        <v>0.58205411681129504</v>
      </c>
      <c r="N3218">
        <f t="shared" si="304"/>
        <v>0</v>
      </c>
      <c r="O3218">
        <f t="shared" si="305"/>
        <v>0</v>
      </c>
      <c r="P3218">
        <f t="shared" si="302"/>
        <v>5100</v>
      </c>
      <c r="Q3218">
        <f t="shared" si="306"/>
        <v>5100</v>
      </c>
      <c r="T3218" s="16">
        <f t="shared" si="307"/>
        <v>0.58205411681129471</v>
      </c>
    </row>
    <row r="3219" spans="7:20" ht="14.4" x14ac:dyDescent="0.25">
      <c r="G3219" s="10">
        <v>5713</v>
      </c>
      <c r="H3219" s="9">
        <v>40454</v>
      </c>
      <c r="I3219" s="14">
        <f>DATE(2012,12,31)-620</f>
        <v>40654</v>
      </c>
      <c r="J3219" s="15" t="s">
        <v>28</v>
      </c>
      <c r="K3219" s="9">
        <v>43</v>
      </c>
      <c r="L3219" s="16" t="s">
        <v>26</v>
      </c>
      <c r="M3219" s="16">
        <f t="shared" si="303"/>
        <v>1.203592106384288</v>
      </c>
      <c r="N3219">
        <f t="shared" si="304"/>
        <v>0</v>
      </c>
      <c r="O3219">
        <f t="shared" si="305"/>
        <v>0</v>
      </c>
      <c r="P3219">
        <f t="shared" si="302"/>
        <v>5550</v>
      </c>
      <c r="Q3219">
        <f t="shared" si="306"/>
        <v>5550</v>
      </c>
      <c r="T3219" s="16">
        <f t="shared" si="307"/>
        <v>1.2035921063842876</v>
      </c>
    </row>
    <row r="3220" spans="7:20" ht="14.4" x14ac:dyDescent="0.25">
      <c r="G3220" s="10">
        <v>5730</v>
      </c>
      <c r="H3220" s="9">
        <v>40672</v>
      </c>
      <c r="I3220" s="14">
        <f>DATE(2012,12,31)-63</f>
        <v>41211</v>
      </c>
      <c r="J3220" s="15" t="s">
        <v>25</v>
      </c>
      <c r="K3220" s="9">
        <v>16</v>
      </c>
      <c r="L3220" s="16" t="s">
        <v>29</v>
      </c>
      <c r="M3220" s="16">
        <f t="shared" si="303"/>
        <v>-0.66102186233469074</v>
      </c>
      <c r="N3220">
        <f t="shared" si="304"/>
        <v>0</v>
      </c>
      <c r="O3220">
        <f t="shared" si="305"/>
        <v>0</v>
      </c>
      <c r="P3220">
        <f t="shared" si="302"/>
        <v>4200</v>
      </c>
      <c r="Q3220">
        <f t="shared" si="306"/>
        <v>4200</v>
      </c>
      <c r="T3220" s="16">
        <f t="shared" si="307"/>
        <v>-0.66102186233469118</v>
      </c>
    </row>
    <row r="3221" spans="7:20" ht="14.4" x14ac:dyDescent="0.25">
      <c r="G3221" s="10">
        <v>5749</v>
      </c>
      <c r="H3221" s="9">
        <v>40833</v>
      </c>
      <c r="I3221" s="14">
        <f>DATE(2012,12,31)-900</f>
        <v>40374</v>
      </c>
      <c r="J3221" s="15" t="s">
        <v>25</v>
      </c>
      <c r="K3221" s="9">
        <v>48</v>
      </c>
      <c r="L3221" s="16" t="s">
        <v>27</v>
      </c>
      <c r="M3221" s="16">
        <f t="shared" si="303"/>
        <v>1.5488909894803951</v>
      </c>
      <c r="N3221">
        <f t="shared" si="304"/>
        <v>0</v>
      </c>
      <c r="O3221">
        <f t="shared" si="305"/>
        <v>0</v>
      </c>
      <c r="P3221">
        <f t="shared" si="302"/>
        <v>5800</v>
      </c>
      <c r="Q3221">
        <f t="shared" si="306"/>
        <v>5800</v>
      </c>
      <c r="T3221" s="16">
        <f t="shared" si="307"/>
        <v>1.5488909894803948</v>
      </c>
    </row>
    <row r="3222" spans="7:20" ht="14.4" x14ac:dyDescent="0.25">
      <c r="G3222" s="10">
        <v>5843</v>
      </c>
      <c r="H3222" s="9">
        <v>41441</v>
      </c>
      <c r="I3222" s="14">
        <f>DATE(2012,12,31)-343</f>
        <v>40931</v>
      </c>
      <c r="J3222" s="15" t="s">
        <v>16</v>
      </c>
      <c r="K3222" s="9">
        <v>41</v>
      </c>
      <c r="L3222" s="16" t="s">
        <v>26</v>
      </c>
      <c r="M3222" s="16">
        <f t="shared" si="303"/>
        <v>1.0654725531458451</v>
      </c>
      <c r="N3222">
        <f t="shared" si="304"/>
        <v>0</v>
      </c>
      <c r="O3222">
        <f t="shared" si="305"/>
        <v>0</v>
      </c>
      <c r="P3222">
        <f t="shared" si="302"/>
        <v>5450</v>
      </c>
      <c r="Q3222">
        <f t="shared" si="306"/>
        <v>5450</v>
      </c>
      <c r="T3222" s="16">
        <f t="shared" si="307"/>
        <v>1.0654725531458447</v>
      </c>
    </row>
    <row r="3223" spans="7:20" ht="14.4" x14ac:dyDescent="0.25">
      <c r="G3223" s="10">
        <v>6079</v>
      </c>
      <c r="H3223" s="9">
        <v>43076</v>
      </c>
      <c r="I3223" s="14">
        <f>DATE(2012,12,31)-929</f>
        <v>40345</v>
      </c>
      <c r="J3223" s="15" t="s">
        <v>28</v>
      </c>
      <c r="K3223" s="9">
        <v>33</v>
      </c>
      <c r="L3223" s="16" t="s">
        <v>29</v>
      </c>
      <c r="M3223" s="16">
        <f t="shared" si="303"/>
        <v>0.51299434019207357</v>
      </c>
      <c r="N3223">
        <f t="shared" si="304"/>
        <v>0</v>
      </c>
      <c r="O3223">
        <f t="shared" si="305"/>
        <v>0</v>
      </c>
      <c r="P3223">
        <f t="shared" si="302"/>
        <v>5050</v>
      </c>
      <c r="Q3223">
        <f t="shared" si="306"/>
        <v>5050</v>
      </c>
      <c r="T3223" s="16">
        <f t="shared" si="307"/>
        <v>0.51299434019207324</v>
      </c>
    </row>
    <row r="3224" spans="7:20" ht="14.4" x14ac:dyDescent="0.25">
      <c r="G3224" s="10">
        <v>6102</v>
      </c>
      <c r="H3224" s="9">
        <v>43233</v>
      </c>
      <c r="I3224" s="14">
        <f>DATE(2012,12,31)-926</f>
        <v>40348</v>
      </c>
      <c r="J3224" s="15" t="s">
        <v>30</v>
      </c>
      <c r="K3224" s="9">
        <v>30</v>
      </c>
      <c r="L3224" s="16" t="s">
        <v>26</v>
      </c>
      <c r="M3224" s="16">
        <f t="shared" si="303"/>
        <v>0.30581501033440933</v>
      </c>
      <c r="N3224">
        <f t="shared" si="304"/>
        <v>0</v>
      </c>
      <c r="O3224">
        <f t="shared" si="305"/>
        <v>0</v>
      </c>
      <c r="P3224">
        <f t="shared" si="302"/>
        <v>4900</v>
      </c>
      <c r="Q3224">
        <f t="shared" si="306"/>
        <v>4900</v>
      </c>
      <c r="T3224" s="16">
        <f t="shared" si="307"/>
        <v>0.30581501033440894</v>
      </c>
    </row>
    <row r="3225" spans="7:20" ht="14.4" x14ac:dyDescent="0.25">
      <c r="G3225" s="10">
        <v>6120</v>
      </c>
      <c r="H3225" s="9">
        <v>43332</v>
      </c>
      <c r="I3225" s="14">
        <f>DATE(2012,12,31)-112</f>
        <v>41162</v>
      </c>
      <c r="J3225" s="15" t="s">
        <v>17</v>
      </c>
      <c r="K3225" s="9">
        <v>31</v>
      </c>
      <c r="L3225" s="16" t="s">
        <v>26</v>
      </c>
      <c r="M3225" s="16">
        <f t="shared" si="303"/>
        <v>0.37487478695363075</v>
      </c>
      <c r="N3225">
        <f t="shared" si="304"/>
        <v>0</v>
      </c>
      <c r="O3225">
        <f t="shared" si="305"/>
        <v>0</v>
      </c>
      <c r="P3225">
        <f t="shared" si="302"/>
        <v>4950</v>
      </c>
      <c r="Q3225">
        <f t="shared" si="306"/>
        <v>4950</v>
      </c>
      <c r="T3225" s="16">
        <f t="shared" si="307"/>
        <v>0.37487478695363036</v>
      </c>
    </row>
    <row r="3226" spans="7:20" ht="14.4" x14ac:dyDescent="0.25">
      <c r="G3226" s="10">
        <v>6122</v>
      </c>
      <c r="H3226" s="9">
        <v>43362</v>
      </c>
      <c r="I3226" s="14">
        <f>DATE(2012,12,31)-1449</f>
        <v>39825</v>
      </c>
      <c r="J3226" s="15" t="s">
        <v>30</v>
      </c>
      <c r="K3226" s="9">
        <v>45</v>
      </c>
      <c r="L3226" s="16" t="s">
        <v>29</v>
      </c>
      <c r="M3226" s="16">
        <f t="shared" si="303"/>
        <v>1.3417116596227308</v>
      </c>
      <c r="N3226">
        <f t="shared" si="304"/>
        <v>0</v>
      </c>
      <c r="O3226">
        <f t="shared" si="305"/>
        <v>0</v>
      </c>
      <c r="P3226">
        <f t="shared" si="302"/>
        <v>5650</v>
      </c>
      <c r="Q3226">
        <f t="shared" si="306"/>
        <v>5650</v>
      </c>
      <c r="T3226" s="16">
        <f t="shared" si="307"/>
        <v>1.3417116596227305</v>
      </c>
    </row>
    <row r="3227" spans="7:20" ht="14.4" x14ac:dyDescent="0.25">
      <c r="G3227" s="10">
        <v>6123</v>
      </c>
      <c r="H3227" s="9">
        <v>43362</v>
      </c>
      <c r="I3227" s="14">
        <f>DATE(2012,12,31)-1449</f>
        <v>39825</v>
      </c>
      <c r="J3227" s="15" t="s">
        <v>30</v>
      </c>
      <c r="K3227" s="9">
        <v>33</v>
      </c>
      <c r="L3227" s="16" t="s">
        <v>26</v>
      </c>
      <c r="M3227" s="16">
        <f t="shared" si="303"/>
        <v>0.51299434019207357</v>
      </c>
      <c r="N3227">
        <f t="shared" si="304"/>
        <v>0</v>
      </c>
      <c r="O3227">
        <f t="shared" si="305"/>
        <v>0</v>
      </c>
      <c r="P3227">
        <f t="shared" si="302"/>
        <v>5050</v>
      </c>
      <c r="Q3227">
        <f t="shared" si="306"/>
        <v>5050</v>
      </c>
      <c r="T3227" s="16">
        <f t="shared" si="307"/>
        <v>0.51299434019207324</v>
      </c>
    </row>
    <row r="3228" spans="7:20" ht="14.4" x14ac:dyDescent="0.25">
      <c r="G3228" s="10">
        <v>6138</v>
      </c>
      <c r="H3228" s="9">
        <v>43488</v>
      </c>
      <c r="I3228" s="14">
        <f>DATE(2012,12,31)-196</f>
        <v>41078</v>
      </c>
      <c r="J3228" s="15" t="s">
        <v>30</v>
      </c>
      <c r="K3228" s="9">
        <v>46</v>
      </c>
      <c r="L3228" s="16" t="s">
        <v>26</v>
      </c>
      <c r="M3228" s="16">
        <f t="shared" si="303"/>
        <v>1.4107714362419523</v>
      </c>
      <c r="N3228">
        <f t="shared" si="304"/>
        <v>0</v>
      </c>
      <c r="O3228">
        <f t="shared" si="305"/>
        <v>0</v>
      </c>
      <c r="P3228">
        <f t="shared" si="302"/>
        <v>5700</v>
      </c>
      <c r="Q3228">
        <f t="shared" si="306"/>
        <v>5700</v>
      </c>
      <c r="T3228" s="16">
        <f t="shared" si="307"/>
        <v>1.4107714362419519</v>
      </c>
    </row>
    <row r="3229" spans="7:20" ht="14.4" x14ac:dyDescent="0.25">
      <c r="G3229" s="10">
        <v>6139</v>
      </c>
      <c r="H3229" s="9">
        <v>43488</v>
      </c>
      <c r="I3229" s="14">
        <f>DATE(2012,12,31)-196</f>
        <v>41078</v>
      </c>
      <c r="J3229" s="15" t="s">
        <v>30</v>
      </c>
      <c r="K3229" s="9">
        <v>46</v>
      </c>
      <c r="L3229" s="16" t="s">
        <v>26</v>
      </c>
      <c r="M3229" s="16">
        <f t="shared" si="303"/>
        <v>1.4107714362419523</v>
      </c>
      <c r="N3229">
        <f t="shared" si="304"/>
        <v>0</v>
      </c>
      <c r="O3229">
        <f t="shared" si="305"/>
        <v>0</v>
      </c>
      <c r="P3229">
        <f t="shared" si="302"/>
        <v>5700</v>
      </c>
      <c r="Q3229">
        <f t="shared" si="306"/>
        <v>5700</v>
      </c>
      <c r="T3229" s="16">
        <f t="shared" si="307"/>
        <v>1.4107714362419519</v>
      </c>
    </row>
    <row r="3230" spans="7:20" ht="14.4" x14ac:dyDescent="0.25">
      <c r="G3230" s="10">
        <v>6140</v>
      </c>
      <c r="H3230" s="9">
        <v>43488</v>
      </c>
      <c r="I3230" s="14">
        <f>DATE(2012,12,31)-196</f>
        <v>41078</v>
      </c>
      <c r="J3230" s="15" t="s">
        <v>30</v>
      </c>
      <c r="K3230" s="9">
        <v>28</v>
      </c>
      <c r="L3230" s="16" t="s">
        <v>29</v>
      </c>
      <c r="M3230" s="16">
        <f t="shared" si="303"/>
        <v>0.16769545709596645</v>
      </c>
      <c r="N3230">
        <f t="shared" si="304"/>
        <v>0</v>
      </c>
      <c r="O3230">
        <f t="shared" si="305"/>
        <v>0</v>
      </c>
      <c r="P3230">
        <f t="shared" si="302"/>
        <v>4800</v>
      </c>
      <c r="Q3230">
        <f t="shared" si="306"/>
        <v>4800</v>
      </c>
      <c r="T3230" s="16">
        <f t="shared" si="307"/>
        <v>0.16769545709596606</v>
      </c>
    </row>
    <row r="3231" spans="7:20" ht="14.4" x14ac:dyDescent="0.25">
      <c r="G3231" s="10">
        <v>6141</v>
      </c>
      <c r="H3231" s="9">
        <v>43488</v>
      </c>
      <c r="I3231" s="14">
        <f>DATE(2012,12,31)-196</f>
        <v>41078</v>
      </c>
      <c r="J3231" s="15" t="s">
        <v>30</v>
      </c>
      <c r="K3231" s="9">
        <v>13</v>
      </c>
      <c r="L3231" s="16" t="s">
        <v>26</v>
      </c>
      <c r="M3231" s="16">
        <f t="shared" si="303"/>
        <v>-0.86820119219235514</v>
      </c>
      <c r="N3231">
        <f t="shared" si="304"/>
        <v>0</v>
      </c>
      <c r="O3231">
        <f t="shared" si="305"/>
        <v>0</v>
      </c>
      <c r="P3231">
        <f t="shared" si="302"/>
        <v>4050</v>
      </c>
      <c r="Q3231">
        <f t="shared" si="306"/>
        <v>4050</v>
      </c>
      <c r="T3231" s="16">
        <f t="shared" si="307"/>
        <v>-0.86820119219235548</v>
      </c>
    </row>
    <row r="3232" spans="7:20" ht="14.4" x14ac:dyDescent="0.25">
      <c r="G3232" s="10">
        <v>6142</v>
      </c>
      <c r="H3232" s="9">
        <v>43488</v>
      </c>
      <c r="I3232" s="14">
        <f>DATE(2012,12,31)-196</f>
        <v>41078</v>
      </c>
      <c r="J3232" s="15" t="s">
        <v>30</v>
      </c>
      <c r="K3232" s="9">
        <v>3</v>
      </c>
      <c r="L3232" s="16" t="s">
        <v>27</v>
      </c>
      <c r="M3232" s="16">
        <f t="shared" si="303"/>
        <v>-1.5587989583845694</v>
      </c>
      <c r="N3232">
        <f t="shared" si="304"/>
        <v>0</v>
      </c>
      <c r="O3232">
        <f t="shared" si="305"/>
        <v>0</v>
      </c>
      <c r="P3232">
        <f t="shared" si="302"/>
        <v>3550</v>
      </c>
      <c r="Q3232">
        <f t="shared" si="306"/>
        <v>3550</v>
      </c>
      <c r="T3232" s="16">
        <f t="shared" si="307"/>
        <v>-1.5587989583845698</v>
      </c>
    </row>
    <row r="3233" spans="7:20" ht="14.4" x14ac:dyDescent="0.25">
      <c r="G3233" s="10">
        <v>6148</v>
      </c>
      <c r="H3233" s="9">
        <v>43526</v>
      </c>
      <c r="I3233" s="14">
        <f>DATE(2012,12,31)-950</f>
        <v>40324</v>
      </c>
      <c r="J3233" s="15" t="s">
        <v>17</v>
      </c>
      <c r="K3233" s="9">
        <v>49</v>
      </c>
      <c r="L3233" s="16" t="s">
        <v>26</v>
      </c>
      <c r="M3233" s="16">
        <f t="shared" si="303"/>
        <v>1.6179507660996166</v>
      </c>
      <c r="N3233">
        <f t="shared" si="304"/>
        <v>0</v>
      </c>
      <c r="O3233">
        <f t="shared" si="305"/>
        <v>0</v>
      </c>
      <c r="P3233">
        <f t="shared" si="302"/>
        <v>5850</v>
      </c>
      <c r="Q3233">
        <f t="shared" si="306"/>
        <v>5850</v>
      </c>
      <c r="T3233" s="16">
        <f t="shared" si="307"/>
        <v>1.6179507660996162</v>
      </c>
    </row>
    <row r="3234" spans="7:20" ht="14.4" x14ac:dyDescent="0.25">
      <c r="G3234" s="10">
        <v>6149</v>
      </c>
      <c r="H3234" s="9">
        <v>43526</v>
      </c>
      <c r="I3234" s="14">
        <f>DATE(2012,12,31)-950</f>
        <v>40324</v>
      </c>
      <c r="J3234" s="15" t="s">
        <v>17</v>
      </c>
      <c r="K3234" s="9">
        <v>19</v>
      </c>
      <c r="L3234" s="16" t="s">
        <v>26</v>
      </c>
      <c r="M3234" s="16">
        <f t="shared" si="303"/>
        <v>-0.45384253247702649</v>
      </c>
      <c r="N3234">
        <f t="shared" si="304"/>
        <v>0</v>
      </c>
      <c r="O3234">
        <f t="shared" si="305"/>
        <v>0</v>
      </c>
      <c r="P3234">
        <f t="shared" si="302"/>
        <v>4350</v>
      </c>
      <c r="Q3234">
        <f t="shared" si="306"/>
        <v>4350</v>
      </c>
      <c r="T3234" s="16">
        <f t="shared" si="307"/>
        <v>-0.45384253247702688</v>
      </c>
    </row>
    <row r="3235" spans="7:20" ht="14.4" x14ac:dyDescent="0.25">
      <c r="G3235" s="10">
        <v>6232</v>
      </c>
      <c r="H3235" s="9">
        <v>44134</v>
      </c>
      <c r="I3235" s="14">
        <f>DATE(2012,12,31)-1158</f>
        <v>40116</v>
      </c>
      <c r="J3235" s="15" t="s">
        <v>17</v>
      </c>
      <c r="K3235" s="9">
        <v>35</v>
      </c>
      <c r="L3235" s="16" t="s">
        <v>29</v>
      </c>
      <c r="M3235" s="16">
        <f t="shared" si="303"/>
        <v>0.65111389343051651</v>
      </c>
      <c r="N3235">
        <f t="shared" si="304"/>
        <v>0</v>
      </c>
      <c r="O3235">
        <f t="shared" si="305"/>
        <v>0</v>
      </c>
      <c r="P3235">
        <f t="shared" si="302"/>
        <v>5150</v>
      </c>
      <c r="Q3235">
        <f t="shared" si="306"/>
        <v>5150</v>
      </c>
      <c r="T3235" s="16">
        <f t="shared" si="307"/>
        <v>0.65111389343051607</v>
      </c>
    </row>
    <row r="3236" spans="7:20" ht="14.4" x14ac:dyDescent="0.25">
      <c r="G3236" s="10">
        <v>6235</v>
      </c>
      <c r="H3236" s="9">
        <v>44196</v>
      </c>
      <c r="I3236" s="14">
        <f>DATE(2012,12,31)-1227</f>
        <v>40047</v>
      </c>
      <c r="J3236" s="15" t="s">
        <v>28</v>
      </c>
      <c r="K3236" s="9">
        <v>12</v>
      </c>
      <c r="L3236" s="16" t="s">
        <v>27</v>
      </c>
      <c r="M3236" s="16">
        <f t="shared" si="303"/>
        <v>-0.9372609688115765</v>
      </c>
      <c r="N3236">
        <f t="shared" si="304"/>
        <v>0</v>
      </c>
      <c r="O3236">
        <f t="shared" si="305"/>
        <v>0</v>
      </c>
      <c r="P3236">
        <f t="shared" si="302"/>
        <v>4000</v>
      </c>
      <c r="Q3236">
        <f t="shared" si="306"/>
        <v>4000</v>
      </c>
      <c r="T3236" s="16">
        <f t="shared" si="307"/>
        <v>-0.93726096881157694</v>
      </c>
    </row>
    <row r="3237" spans="7:20" ht="14.4" x14ac:dyDescent="0.25">
      <c r="G3237" s="10">
        <v>6266</v>
      </c>
      <c r="H3237" s="9">
        <v>44358</v>
      </c>
      <c r="I3237" s="14">
        <f>DATE(2012,12,31)-1005</f>
        <v>40269</v>
      </c>
      <c r="J3237" s="15" t="s">
        <v>17</v>
      </c>
      <c r="K3237" s="9">
        <v>22</v>
      </c>
      <c r="L3237" s="16" t="s">
        <v>29</v>
      </c>
      <c r="M3237" s="16">
        <f t="shared" si="303"/>
        <v>-0.24666320261936217</v>
      </c>
      <c r="N3237">
        <f t="shared" si="304"/>
        <v>0</v>
      </c>
      <c r="O3237">
        <f t="shared" si="305"/>
        <v>0</v>
      </c>
      <c r="P3237">
        <f t="shared" si="302"/>
        <v>4500</v>
      </c>
      <c r="Q3237">
        <f t="shared" si="306"/>
        <v>4500</v>
      </c>
      <c r="T3237" s="16">
        <f t="shared" si="307"/>
        <v>-0.24666320261936256</v>
      </c>
    </row>
    <row r="3238" spans="7:20" ht="14.4" x14ac:dyDescent="0.25">
      <c r="G3238" s="10">
        <v>6284</v>
      </c>
      <c r="H3238" s="9">
        <v>44480</v>
      </c>
      <c r="I3238" s="14">
        <f>DATE(2012,12,31)-964</f>
        <v>40310</v>
      </c>
      <c r="J3238" s="15" t="s">
        <v>16</v>
      </c>
      <c r="K3238" s="9">
        <v>25</v>
      </c>
      <c r="L3238" s="16" t="s">
        <v>26</v>
      </c>
      <c r="M3238" s="16">
        <f t="shared" si="303"/>
        <v>-3.9483872761697868E-2</v>
      </c>
      <c r="N3238">
        <f t="shared" si="304"/>
        <v>0</v>
      </c>
      <c r="O3238">
        <f t="shared" si="305"/>
        <v>0</v>
      </c>
      <c r="P3238">
        <f t="shared" si="302"/>
        <v>4650</v>
      </c>
      <c r="Q3238">
        <f t="shared" si="306"/>
        <v>4650</v>
      </c>
      <c r="T3238" s="16">
        <f t="shared" si="307"/>
        <v>-3.9483872761698249E-2</v>
      </c>
    </row>
    <row r="3239" spans="7:20" ht="14.4" x14ac:dyDescent="0.25">
      <c r="G3239" s="10">
        <v>6293</v>
      </c>
      <c r="H3239" s="9">
        <v>44546</v>
      </c>
      <c r="I3239" s="14">
        <f>DATE(2012,12,31)-1013</f>
        <v>40261</v>
      </c>
      <c r="J3239" s="15" t="s">
        <v>30</v>
      </c>
      <c r="K3239" s="9">
        <v>15</v>
      </c>
      <c r="L3239" s="16" t="s">
        <v>26</v>
      </c>
      <c r="M3239" s="16">
        <f t="shared" si="303"/>
        <v>-0.7300816389539122</v>
      </c>
      <c r="N3239">
        <f t="shared" si="304"/>
        <v>0</v>
      </c>
      <c r="O3239">
        <f t="shared" si="305"/>
        <v>0</v>
      </c>
      <c r="P3239">
        <f t="shared" si="302"/>
        <v>4150</v>
      </c>
      <c r="Q3239">
        <f t="shared" si="306"/>
        <v>4150</v>
      </c>
      <c r="T3239" s="16">
        <f t="shared" si="307"/>
        <v>-0.73008163895391265</v>
      </c>
    </row>
    <row r="3240" spans="7:20" ht="14.4" x14ac:dyDescent="0.25">
      <c r="G3240" s="10">
        <v>6311</v>
      </c>
      <c r="H3240" s="9">
        <v>44647</v>
      </c>
      <c r="I3240" s="14">
        <f>DATE(2012,12,31)-342</f>
        <v>40932</v>
      </c>
      <c r="J3240" s="15" t="s">
        <v>25</v>
      </c>
      <c r="K3240" s="9">
        <v>47</v>
      </c>
      <c r="L3240" s="16" t="s">
        <v>29</v>
      </c>
      <c r="M3240" s="16">
        <f t="shared" si="303"/>
        <v>1.4798312128611737</v>
      </c>
      <c r="N3240">
        <f t="shared" si="304"/>
        <v>0</v>
      </c>
      <c r="O3240">
        <f t="shared" si="305"/>
        <v>0</v>
      </c>
      <c r="P3240">
        <f t="shared" si="302"/>
        <v>5750</v>
      </c>
      <c r="Q3240">
        <f t="shared" si="306"/>
        <v>5750</v>
      </c>
      <c r="T3240" s="16">
        <f t="shared" si="307"/>
        <v>1.4798312128611733</v>
      </c>
    </row>
    <row r="3241" spans="7:20" ht="14.4" x14ac:dyDescent="0.25">
      <c r="G3241" s="10">
        <v>6312</v>
      </c>
      <c r="H3241" s="9">
        <v>44647</v>
      </c>
      <c r="I3241" s="14">
        <f>DATE(2012,12,31)-342</f>
        <v>40932</v>
      </c>
      <c r="J3241" s="15" t="s">
        <v>25</v>
      </c>
      <c r="K3241" s="9">
        <v>24</v>
      </c>
      <c r="L3241" s="16" t="s">
        <v>26</v>
      </c>
      <c r="M3241" s="16">
        <f t="shared" si="303"/>
        <v>-0.1085436493809193</v>
      </c>
      <c r="N3241">
        <f t="shared" si="304"/>
        <v>0</v>
      </c>
      <c r="O3241">
        <f t="shared" si="305"/>
        <v>0</v>
      </c>
      <c r="P3241">
        <f t="shared" si="302"/>
        <v>4600</v>
      </c>
      <c r="Q3241">
        <f t="shared" si="306"/>
        <v>4600</v>
      </c>
      <c r="T3241" s="16">
        <f t="shared" si="307"/>
        <v>-0.10854364938091969</v>
      </c>
    </row>
    <row r="3242" spans="7:20" ht="14.4" x14ac:dyDescent="0.25">
      <c r="G3242" s="10">
        <v>6385</v>
      </c>
      <c r="H3242" s="9">
        <v>45376</v>
      </c>
      <c r="I3242" s="14">
        <f>DATE(2012,12,31)-395</f>
        <v>40879</v>
      </c>
      <c r="J3242" s="15" t="s">
        <v>30</v>
      </c>
      <c r="K3242" s="9">
        <v>19</v>
      </c>
      <c r="L3242" s="16" t="s">
        <v>26</v>
      </c>
      <c r="M3242" s="16">
        <f t="shared" si="303"/>
        <v>-0.45384253247702649</v>
      </c>
      <c r="N3242">
        <f t="shared" si="304"/>
        <v>0</v>
      </c>
      <c r="O3242">
        <f t="shared" si="305"/>
        <v>0</v>
      </c>
      <c r="P3242">
        <f t="shared" si="302"/>
        <v>4350</v>
      </c>
      <c r="Q3242">
        <f t="shared" si="306"/>
        <v>4350</v>
      </c>
      <c r="T3242" s="16">
        <f t="shared" si="307"/>
        <v>-0.45384253247702688</v>
      </c>
    </row>
    <row r="3243" spans="7:20" ht="14.4" x14ac:dyDescent="0.25">
      <c r="G3243" s="10">
        <v>6477</v>
      </c>
      <c r="H3243" s="9">
        <v>46115</v>
      </c>
      <c r="I3243" s="14">
        <f>DATE(2012,12,31)-670</f>
        <v>40604</v>
      </c>
      <c r="J3243" s="15" t="s">
        <v>30</v>
      </c>
      <c r="K3243" s="9">
        <v>35</v>
      </c>
      <c r="L3243" s="16" t="s">
        <v>27</v>
      </c>
      <c r="M3243" s="16">
        <f t="shared" si="303"/>
        <v>0.65111389343051651</v>
      </c>
      <c r="N3243">
        <f t="shared" si="304"/>
        <v>0</v>
      </c>
      <c r="O3243">
        <f t="shared" si="305"/>
        <v>0</v>
      </c>
      <c r="P3243">
        <f t="shared" si="302"/>
        <v>5150</v>
      </c>
      <c r="Q3243">
        <f t="shared" si="306"/>
        <v>5150</v>
      </c>
      <c r="T3243" s="16">
        <f t="shared" si="307"/>
        <v>0.65111389343051607</v>
      </c>
    </row>
    <row r="3244" spans="7:20" ht="14.4" x14ac:dyDescent="0.25">
      <c r="G3244" s="10">
        <v>6478</v>
      </c>
      <c r="H3244" s="9">
        <v>46115</v>
      </c>
      <c r="I3244" s="14">
        <f>DATE(2012,12,31)-670</f>
        <v>40604</v>
      </c>
      <c r="J3244" s="15" t="s">
        <v>30</v>
      </c>
      <c r="K3244" s="9">
        <v>38</v>
      </c>
      <c r="L3244" s="16" t="s">
        <v>26</v>
      </c>
      <c r="M3244" s="16">
        <f t="shared" si="303"/>
        <v>0.85829322328818081</v>
      </c>
      <c r="N3244">
        <f t="shared" si="304"/>
        <v>0</v>
      </c>
      <c r="O3244">
        <f t="shared" si="305"/>
        <v>0</v>
      </c>
      <c r="P3244">
        <f t="shared" si="302"/>
        <v>5300</v>
      </c>
      <c r="Q3244">
        <f t="shared" si="306"/>
        <v>5300</v>
      </c>
      <c r="T3244" s="16">
        <f t="shared" si="307"/>
        <v>0.85829322328818036</v>
      </c>
    </row>
    <row r="3245" spans="7:20" ht="14.4" x14ac:dyDescent="0.25">
      <c r="G3245" s="10">
        <v>6625</v>
      </c>
      <c r="H3245" s="9">
        <v>47109</v>
      </c>
      <c r="I3245" s="14">
        <f>DATE(2012,12,31)-477</f>
        <v>40797</v>
      </c>
      <c r="J3245" s="15" t="s">
        <v>17</v>
      </c>
      <c r="K3245" s="9">
        <v>47</v>
      </c>
      <c r="L3245" s="16" t="s">
        <v>29</v>
      </c>
      <c r="M3245" s="16">
        <f t="shared" si="303"/>
        <v>1.4798312128611737</v>
      </c>
      <c r="N3245">
        <f t="shared" si="304"/>
        <v>0</v>
      </c>
      <c r="O3245">
        <f t="shared" si="305"/>
        <v>0</v>
      </c>
      <c r="P3245">
        <f t="shared" si="302"/>
        <v>5750</v>
      </c>
      <c r="Q3245">
        <f t="shared" si="306"/>
        <v>5750</v>
      </c>
      <c r="T3245" s="16">
        <f t="shared" si="307"/>
        <v>1.4798312128611733</v>
      </c>
    </row>
    <row r="3246" spans="7:20" ht="14.4" x14ac:dyDescent="0.25">
      <c r="G3246" s="10">
        <v>6687</v>
      </c>
      <c r="H3246" s="9">
        <v>47556</v>
      </c>
      <c r="I3246" s="14">
        <f>DATE(2012,12,31)-890</f>
        <v>40384</v>
      </c>
      <c r="J3246" s="15" t="s">
        <v>25</v>
      </c>
      <c r="K3246" s="9">
        <v>29</v>
      </c>
      <c r="L3246" s="16" t="s">
        <v>27</v>
      </c>
      <c r="M3246" s="16">
        <f t="shared" si="303"/>
        <v>0.23675523371518786</v>
      </c>
      <c r="N3246">
        <f t="shared" si="304"/>
        <v>0</v>
      </c>
      <c r="O3246">
        <f t="shared" si="305"/>
        <v>0</v>
      </c>
      <c r="P3246">
        <f t="shared" si="302"/>
        <v>4850</v>
      </c>
      <c r="Q3246">
        <f t="shared" si="306"/>
        <v>4850</v>
      </c>
      <c r="T3246" s="16">
        <f t="shared" si="307"/>
        <v>0.2367552337151875</v>
      </c>
    </row>
    <row r="3247" spans="7:20" ht="14.4" x14ac:dyDescent="0.25">
      <c r="G3247" s="10">
        <v>6698</v>
      </c>
      <c r="H3247" s="9">
        <v>47712</v>
      </c>
      <c r="I3247" s="14">
        <f>DATE(2012,12,31)-902</f>
        <v>40372</v>
      </c>
      <c r="J3247" s="15" t="s">
        <v>25</v>
      </c>
      <c r="K3247" s="9">
        <v>50</v>
      </c>
      <c r="L3247" s="16" t="s">
        <v>26</v>
      </c>
      <c r="M3247" s="16">
        <f t="shared" si="303"/>
        <v>1.687010542718838</v>
      </c>
      <c r="N3247">
        <f t="shared" si="304"/>
        <v>0</v>
      </c>
      <c r="O3247">
        <f t="shared" si="305"/>
        <v>0</v>
      </c>
      <c r="P3247">
        <f t="shared" si="302"/>
        <v>5900</v>
      </c>
      <c r="Q3247">
        <f t="shared" si="306"/>
        <v>5900</v>
      </c>
      <c r="T3247" s="16">
        <f t="shared" si="307"/>
        <v>1.6870105427188375</v>
      </c>
    </row>
    <row r="3248" spans="7:20" ht="14.4" x14ac:dyDescent="0.25">
      <c r="G3248" s="10">
        <v>6756</v>
      </c>
      <c r="H3248" s="9">
        <v>48135</v>
      </c>
      <c r="I3248" s="14">
        <f>DATE(2012,12,31)-1352</f>
        <v>39922</v>
      </c>
      <c r="J3248" s="15" t="s">
        <v>17</v>
      </c>
      <c r="K3248" s="9">
        <v>20</v>
      </c>
      <c r="L3248" s="16" t="s">
        <v>27</v>
      </c>
      <c r="M3248" s="16">
        <f t="shared" si="303"/>
        <v>-0.38478275585780503</v>
      </c>
      <c r="N3248">
        <f t="shared" si="304"/>
        <v>0</v>
      </c>
      <c r="O3248">
        <f t="shared" si="305"/>
        <v>0</v>
      </c>
      <c r="P3248">
        <f t="shared" si="302"/>
        <v>4400</v>
      </c>
      <c r="Q3248">
        <f t="shared" si="306"/>
        <v>4400</v>
      </c>
      <c r="T3248" s="16">
        <f t="shared" si="307"/>
        <v>-0.38478275585780541</v>
      </c>
    </row>
    <row r="3249" spans="7:20" ht="14.4" x14ac:dyDescent="0.25">
      <c r="G3249" s="10">
        <v>6758</v>
      </c>
      <c r="H3249" s="9">
        <v>48161</v>
      </c>
      <c r="I3249" s="14">
        <f>DATE(2012,12,31)-588</f>
        <v>40686</v>
      </c>
      <c r="J3249" s="15" t="s">
        <v>28</v>
      </c>
      <c r="K3249" s="9">
        <v>16</v>
      </c>
      <c r="L3249" s="16" t="s">
        <v>26</v>
      </c>
      <c r="M3249" s="16">
        <f t="shared" si="303"/>
        <v>-0.66102186233469074</v>
      </c>
      <c r="N3249">
        <f t="shared" si="304"/>
        <v>0</v>
      </c>
      <c r="O3249">
        <f t="shared" si="305"/>
        <v>0</v>
      </c>
      <c r="P3249">
        <f t="shared" si="302"/>
        <v>4200</v>
      </c>
      <c r="Q3249">
        <f t="shared" si="306"/>
        <v>4200</v>
      </c>
      <c r="T3249" s="16">
        <f t="shared" si="307"/>
        <v>-0.66102186233469118</v>
      </c>
    </row>
    <row r="3250" spans="7:20" ht="14.4" x14ac:dyDescent="0.25">
      <c r="G3250" s="10">
        <v>6759</v>
      </c>
      <c r="H3250" s="9">
        <v>48161</v>
      </c>
      <c r="I3250" s="14">
        <f>DATE(2012,12,31)-588</f>
        <v>40686</v>
      </c>
      <c r="J3250" s="15" t="s">
        <v>28</v>
      </c>
      <c r="K3250" s="9">
        <v>39</v>
      </c>
      <c r="L3250" s="16" t="s">
        <v>27</v>
      </c>
      <c r="M3250" s="16">
        <f t="shared" si="303"/>
        <v>0.92735299990740228</v>
      </c>
      <c r="N3250">
        <f t="shared" si="304"/>
        <v>0</v>
      </c>
      <c r="O3250">
        <f t="shared" si="305"/>
        <v>0</v>
      </c>
      <c r="P3250">
        <f t="shared" si="302"/>
        <v>5350</v>
      </c>
      <c r="Q3250">
        <f t="shared" si="306"/>
        <v>5350</v>
      </c>
      <c r="T3250" s="16">
        <f t="shared" si="307"/>
        <v>0.92735299990740183</v>
      </c>
    </row>
    <row r="3251" spans="7:20" ht="14.4" x14ac:dyDescent="0.25">
      <c r="G3251" s="10">
        <v>6816</v>
      </c>
      <c r="H3251" s="9">
        <v>48515</v>
      </c>
      <c r="I3251" s="14">
        <f>DATE(2012,12,31)-377</f>
        <v>40897</v>
      </c>
      <c r="J3251" s="15" t="s">
        <v>30</v>
      </c>
      <c r="K3251" s="9">
        <v>47</v>
      </c>
      <c r="L3251" s="16" t="s">
        <v>26</v>
      </c>
      <c r="M3251" s="16">
        <f t="shared" si="303"/>
        <v>1.4798312128611737</v>
      </c>
      <c r="N3251">
        <f t="shared" si="304"/>
        <v>0</v>
      </c>
      <c r="O3251">
        <f t="shared" si="305"/>
        <v>0</v>
      </c>
      <c r="P3251">
        <f t="shared" si="302"/>
        <v>5750</v>
      </c>
      <c r="Q3251">
        <f t="shared" si="306"/>
        <v>5750</v>
      </c>
      <c r="T3251" s="16">
        <f t="shared" si="307"/>
        <v>1.4798312128611733</v>
      </c>
    </row>
    <row r="3252" spans="7:20" ht="14.4" x14ac:dyDescent="0.25">
      <c r="G3252" s="10">
        <v>6829</v>
      </c>
      <c r="H3252" s="9">
        <v>48642</v>
      </c>
      <c r="I3252" s="14">
        <f>DATE(2012,12,31)-1064</f>
        <v>40210</v>
      </c>
      <c r="J3252" s="15" t="s">
        <v>17</v>
      </c>
      <c r="K3252" s="9">
        <v>36</v>
      </c>
      <c r="L3252" s="16" t="s">
        <v>26</v>
      </c>
      <c r="M3252" s="16">
        <f t="shared" si="303"/>
        <v>0.72017367004973787</v>
      </c>
      <c r="N3252">
        <f t="shared" si="304"/>
        <v>0</v>
      </c>
      <c r="O3252">
        <f t="shared" si="305"/>
        <v>0</v>
      </c>
      <c r="P3252">
        <f t="shared" si="302"/>
        <v>5200</v>
      </c>
      <c r="Q3252">
        <f t="shared" si="306"/>
        <v>5200</v>
      </c>
      <c r="T3252" s="16">
        <f t="shared" si="307"/>
        <v>0.72017367004973754</v>
      </c>
    </row>
    <row r="3253" spans="7:20" ht="14.4" x14ac:dyDescent="0.25">
      <c r="G3253" s="10">
        <v>6830</v>
      </c>
      <c r="H3253" s="9">
        <v>48642</v>
      </c>
      <c r="I3253" s="14">
        <f>DATE(2012,12,31)-1064</f>
        <v>40210</v>
      </c>
      <c r="J3253" s="15" t="s">
        <v>17</v>
      </c>
      <c r="K3253" s="9">
        <v>50</v>
      </c>
      <c r="L3253" s="16" t="s">
        <v>27</v>
      </c>
      <c r="M3253" s="16">
        <f t="shared" si="303"/>
        <v>1.687010542718838</v>
      </c>
      <c r="N3253">
        <f t="shared" si="304"/>
        <v>0</v>
      </c>
      <c r="O3253">
        <f t="shared" si="305"/>
        <v>0</v>
      </c>
      <c r="P3253">
        <f t="shared" si="302"/>
        <v>5900</v>
      </c>
      <c r="Q3253">
        <f t="shared" si="306"/>
        <v>5900</v>
      </c>
      <c r="T3253" s="16">
        <f t="shared" si="307"/>
        <v>1.6870105427188375</v>
      </c>
    </row>
    <row r="3254" spans="7:20" ht="14.4" x14ac:dyDescent="0.25">
      <c r="G3254" s="10">
        <v>7089</v>
      </c>
      <c r="H3254" s="9">
        <v>50567</v>
      </c>
      <c r="I3254" s="14">
        <f>DATE(2012,12,31)-330</f>
        <v>40944</v>
      </c>
      <c r="J3254" s="15" t="s">
        <v>16</v>
      </c>
      <c r="K3254" s="9">
        <v>22</v>
      </c>
      <c r="L3254" s="16" t="s">
        <v>29</v>
      </c>
      <c r="M3254" s="16">
        <f t="shared" si="303"/>
        <v>-0.24666320261936217</v>
      </c>
      <c r="N3254">
        <f t="shared" si="304"/>
        <v>0</v>
      </c>
      <c r="O3254">
        <f t="shared" si="305"/>
        <v>0</v>
      </c>
      <c r="P3254">
        <f t="shared" si="302"/>
        <v>4500</v>
      </c>
      <c r="Q3254">
        <f t="shared" si="306"/>
        <v>4500</v>
      </c>
      <c r="T3254" s="16">
        <f t="shared" si="307"/>
        <v>-0.24666320261936256</v>
      </c>
    </row>
    <row r="3255" spans="7:20" ht="14.4" x14ac:dyDescent="0.25">
      <c r="G3255" s="10">
        <v>7241</v>
      </c>
      <c r="H3255" s="9">
        <v>51623</v>
      </c>
      <c r="I3255" s="14">
        <f>DATE(2012,12,31)-1448</f>
        <v>39826</v>
      </c>
      <c r="J3255" s="15" t="s">
        <v>30</v>
      </c>
      <c r="K3255" s="9">
        <v>17</v>
      </c>
      <c r="L3255" s="16" t="s">
        <v>29</v>
      </c>
      <c r="M3255" s="16">
        <f t="shared" si="303"/>
        <v>-0.59196208571546938</v>
      </c>
      <c r="N3255">
        <f t="shared" si="304"/>
        <v>0</v>
      </c>
      <c r="O3255">
        <f t="shared" si="305"/>
        <v>0</v>
      </c>
      <c r="P3255">
        <f t="shared" si="302"/>
        <v>4250</v>
      </c>
      <c r="Q3255">
        <f t="shared" si="306"/>
        <v>4250</v>
      </c>
      <c r="T3255" s="16">
        <f t="shared" si="307"/>
        <v>-0.59196208571546971</v>
      </c>
    </row>
    <row r="3256" spans="7:20" ht="14.4" x14ac:dyDescent="0.25">
      <c r="G3256" s="10">
        <v>7320</v>
      </c>
      <c r="H3256" s="9">
        <v>52194</v>
      </c>
      <c r="I3256" s="14">
        <f>DATE(2012,12,31)-751</f>
        <v>40523</v>
      </c>
      <c r="J3256" s="15" t="s">
        <v>30</v>
      </c>
      <c r="K3256" s="9">
        <v>25</v>
      </c>
      <c r="L3256" s="16" t="s">
        <v>26</v>
      </c>
      <c r="M3256" s="16">
        <f t="shared" si="303"/>
        <v>-3.9483872761697868E-2</v>
      </c>
      <c r="N3256">
        <f t="shared" si="304"/>
        <v>0</v>
      </c>
      <c r="O3256">
        <f t="shared" si="305"/>
        <v>0</v>
      </c>
      <c r="P3256">
        <f t="shared" si="302"/>
        <v>4650</v>
      </c>
      <c r="Q3256">
        <f t="shared" si="306"/>
        <v>4650</v>
      </c>
      <c r="T3256" s="16">
        <f t="shared" si="307"/>
        <v>-3.9483872761698249E-2</v>
      </c>
    </row>
    <row r="3257" spans="7:20" ht="14.4" x14ac:dyDescent="0.25">
      <c r="G3257" s="10">
        <v>7321</v>
      </c>
      <c r="H3257" s="9">
        <v>52194</v>
      </c>
      <c r="I3257" s="14">
        <f>DATE(2012,12,31)-751</f>
        <v>40523</v>
      </c>
      <c r="J3257" s="15" t="s">
        <v>30</v>
      </c>
      <c r="K3257" s="9">
        <v>12</v>
      </c>
      <c r="L3257" s="16" t="s">
        <v>29</v>
      </c>
      <c r="M3257" s="16">
        <f t="shared" si="303"/>
        <v>-0.9372609688115765</v>
      </c>
      <c r="N3257">
        <f t="shared" si="304"/>
        <v>0</v>
      </c>
      <c r="O3257">
        <f t="shared" si="305"/>
        <v>0</v>
      </c>
      <c r="P3257">
        <f t="shared" si="302"/>
        <v>4000</v>
      </c>
      <c r="Q3257">
        <f t="shared" si="306"/>
        <v>4000</v>
      </c>
      <c r="T3257" s="16">
        <f t="shared" si="307"/>
        <v>-0.93726096881157694</v>
      </c>
    </row>
    <row r="3258" spans="7:20" ht="14.4" x14ac:dyDescent="0.25">
      <c r="G3258" s="10">
        <v>7338</v>
      </c>
      <c r="H3258" s="9">
        <v>52291</v>
      </c>
      <c r="I3258" s="14">
        <f>DATE(2012,12,31)-1159</f>
        <v>40115</v>
      </c>
      <c r="J3258" s="15" t="s">
        <v>30</v>
      </c>
      <c r="K3258" s="9">
        <v>48</v>
      </c>
      <c r="L3258" s="16" t="s">
        <v>26</v>
      </c>
      <c r="M3258" s="16">
        <f t="shared" si="303"/>
        <v>1.5488909894803951</v>
      </c>
      <c r="N3258">
        <f t="shared" si="304"/>
        <v>0</v>
      </c>
      <c r="O3258">
        <f t="shared" si="305"/>
        <v>0</v>
      </c>
      <c r="P3258">
        <f t="shared" si="302"/>
        <v>5800</v>
      </c>
      <c r="Q3258">
        <f t="shared" si="306"/>
        <v>5800</v>
      </c>
      <c r="T3258" s="16">
        <f t="shared" si="307"/>
        <v>1.5488909894803948</v>
      </c>
    </row>
    <row r="3259" spans="7:20" ht="14.4" x14ac:dyDescent="0.25">
      <c r="G3259" s="10">
        <v>7339</v>
      </c>
      <c r="H3259" s="9">
        <v>52291</v>
      </c>
      <c r="I3259" s="14">
        <f>DATE(2012,12,31)-1159</f>
        <v>40115</v>
      </c>
      <c r="J3259" s="15" t="s">
        <v>30</v>
      </c>
      <c r="K3259" s="9">
        <v>5</v>
      </c>
      <c r="L3259" s="16" t="s">
        <v>27</v>
      </c>
      <c r="M3259" s="16">
        <f t="shared" si="303"/>
        <v>-1.4206794051461267</v>
      </c>
      <c r="N3259">
        <f t="shared" si="304"/>
        <v>0</v>
      </c>
      <c r="O3259">
        <f t="shared" si="305"/>
        <v>0</v>
      </c>
      <c r="P3259">
        <f t="shared" si="302"/>
        <v>3650</v>
      </c>
      <c r="Q3259">
        <f t="shared" si="306"/>
        <v>3650</v>
      </c>
      <c r="T3259" s="16">
        <f t="shared" si="307"/>
        <v>-1.4206794051461269</v>
      </c>
    </row>
    <row r="3260" spans="7:20" ht="14.4" x14ac:dyDescent="0.25">
      <c r="G3260" s="10">
        <v>7600</v>
      </c>
      <c r="H3260" s="9">
        <v>54370</v>
      </c>
      <c r="I3260" s="14">
        <f>DATE(2012,12,31)-267</f>
        <v>41007</v>
      </c>
      <c r="J3260" s="15" t="s">
        <v>28</v>
      </c>
      <c r="K3260" s="9">
        <v>49</v>
      </c>
      <c r="L3260" s="16" t="s">
        <v>27</v>
      </c>
      <c r="M3260" s="16">
        <f t="shared" si="303"/>
        <v>1.6179507660996166</v>
      </c>
      <c r="N3260">
        <f t="shared" si="304"/>
        <v>0</v>
      </c>
      <c r="O3260">
        <f t="shared" si="305"/>
        <v>0</v>
      </c>
      <c r="P3260">
        <f t="shared" si="302"/>
        <v>5850</v>
      </c>
      <c r="Q3260">
        <f t="shared" si="306"/>
        <v>5850</v>
      </c>
      <c r="T3260" s="16">
        <f t="shared" si="307"/>
        <v>1.6179507660996162</v>
      </c>
    </row>
    <row r="3261" spans="7:20" ht="14.4" x14ac:dyDescent="0.25">
      <c r="G3261" s="10">
        <v>7619</v>
      </c>
      <c r="H3261" s="9">
        <v>54528</v>
      </c>
      <c r="I3261" s="14">
        <f>DATE(2012,12,31)-727</f>
        <v>40547</v>
      </c>
      <c r="J3261" s="15" t="s">
        <v>16</v>
      </c>
      <c r="K3261" s="9">
        <v>15</v>
      </c>
      <c r="L3261" s="16" t="s">
        <v>26</v>
      </c>
      <c r="M3261" s="16">
        <f t="shared" si="303"/>
        <v>-0.7300816389539122</v>
      </c>
      <c r="N3261">
        <f t="shared" si="304"/>
        <v>0</v>
      </c>
      <c r="O3261">
        <f t="shared" si="305"/>
        <v>0</v>
      </c>
      <c r="P3261">
        <f t="shared" si="302"/>
        <v>4150</v>
      </c>
      <c r="Q3261">
        <f t="shared" si="306"/>
        <v>4150</v>
      </c>
      <c r="T3261" s="16">
        <f t="shared" si="307"/>
        <v>-0.73008163895391265</v>
      </c>
    </row>
    <row r="3262" spans="7:20" ht="14.4" x14ac:dyDescent="0.25">
      <c r="G3262" s="10">
        <v>7636</v>
      </c>
      <c r="H3262" s="9">
        <v>54659</v>
      </c>
      <c r="I3262" s="14">
        <f>DATE(2012,12,31)-504</f>
        <v>40770</v>
      </c>
      <c r="J3262" s="15" t="s">
        <v>17</v>
      </c>
      <c r="K3262" s="9">
        <v>38</v>
      </c>
      <c r="L3262" s="16" t="s">
        <v>26</v>
      </c>
      <c r="M3262" s="16">
        <f t="shared" si="303"/>
        <v>0.85829322328818081</v>
      </c>
      <c r="N3262">
        <f t="shared" si="304"/>
        <v>0</v>
      </c>
      <c r="O3262">
        <f t="shared" si="305"/>
        <v>0</v>
      </c>
      <c r="P3262">
        <f t="shared" si="302"/>
        <v>5300</v>
      </c>
      <c r="Q3262">
        <f t="shared" si="306"/>
        <v>5300</v>
      </c>
      <c r="T3262" s="16">
        <f t="shared" si="307"/>
        <v>0.85829322328818036</v>
      </c>
    </row>
    <row r="3263" spans="7:20" ht="14.4" x14ac:dyDescent="0.25">
      <c r="G3263" s="10">
        <v>7670</v>
      </c>
      <c r="H3263" s="9">
        <v>54981</v>
      </c>
      <c r="I3263" s="14">
        <f>DATE(2012,12,31)-324</f>
        <v>40950</v>
      </c>
      <c r="J3263" s="15" t="s">
        <v>17</v>
      </c>
      <c r="K3263" s="9">
        <v>31</v>
      </c>
      <c r="L3263" s="16" t="s">
        <v>26</v>
      </c>
      <c r="M3263" s="16">
        <f t="shared" si="303"/>
        <v>0.37487478695363075</v>
      </c>
      <c r="N3263">
        <f t="shared" si="304"/>
        <v>0</v>
      </c>
      <c r="O3263">
        <f t="shared" si="305"/>
        <v>0</v>
      </c>
      <c r="P3263">
        <f t="shared" si="302"/>
        <v>4950</v>
      </c>
      <c r="Q3263">
        <f t="shared" si="306"/>
        <v>4950</v>
      </c>
      <c r="T3263" s="16">
        <f t="shared" si="307"/>
        <v>0.37487478695363036</v>
      </c>
    </row>
    <row r="3264" spans="7:20" ht="14.4" x14ac:dyDescent="0.25">
      <c r="G3264" s="10">
        <v>7726</v>
      </c>
      <c r="H3264" s="9">
        <v>55361</v>
      </c>
      <c r="I3264" s="14">
        <f>DATE(2012,12,31)-649</f>
        <v>40625</v>
      </c>
      <c r="J3264" s="15" t="s">
        <v>28</v>
      </c>
      <c r="K3264" s="9">
        <v>22</v>
      </c>
      <c r="L3264" s="16" t="s">
        <v>29</v>
      </c>
      <c r="M3264" s="16">
        <f t="shared" si="303"/>
        <v>-0.24666320261936217</v>
      </c>
      <c r="N3264">
        <f t="shared" si="304"/>
        <v>0</v>
      </c>
      <c r="O3264">
        <f t="shared" si="305"/>
        <v>0</v>
      </c>
      <c r="P3264">
        <f t="shared" si="302"/>
        <v>4500</v>
      </c>
      <c r="Q3264">
        <f t="shared" si="306"/>
        <v>4500</v>
      </c>
      <c r="T3264" s="16">
        <f t="shared" si="307"/>
        <v>-0.24666320261936256</v>
      </c>
    </row>
    <row r="3265" spans="7:20" ht="14.4" x14ac:dyDescent="0.25">
      <c r="G3265" s="10">
        <v>7727</v>
      </c>
      <c r="H3265" s="9">
        <v>55361</v>
      </c>
      <c r="I3265" s="14">
        <f>DATE(2012,12,31)-649</f>
        <v>40625</v>
      </c>
      <c r="J3265" s="15" t="s">
        <v>28</v>
      </c>
      <c r="K3265" s="9">
        <v>31</v>
      </c>
      <c r="L3265" s="16" t="s">
        <v>26</v>
      </c>
      <c r="M3265" s="16">
        <f t="shared" si="303"/>
        <v>0.37487478695363075</v>
      </c>
      <c r="N3265">
        <f t="shared" si="304"/>
        <v>0</v>
      </c>
      <c r="O3265">
        <f t="shared" si="305"/>
        <v>0</v>
      </c>
      <c r="P3265">
        <f t="shared" si="302"/>
        <v>4950</v>
      </c>
      <c r="Q3265">
        <f t="shared" si="306"/>
        <v>4950</v>
      </c>
      <c r="T3265" s="16">
        <f t="shared" si="307"/>
        <v>0.37487478695363036</v>
      </c>
    </row>
    <row r="3266" spans="7:20" ht="14.4" x14ac:dyDescent="0.25">
      <c r="G3266" s="10">
        <v>7820</v>
      </c>
      <c r="H3266" s="9">
        <v>55908</v>
      </c>
      <c r="I3266" s="14">
        <f>DATE(2012,12,31)-1318</f>
        <v>39956</v>
      </c>
      <c r="J3266" s="15" t="s">
        <v>17</v>
      </c>
      <c r="K3266" s="9">
        <v>44</v>
      </c>
      <c r="L3266" s="16" t="s">
        <v>26</v>
      </c>
      <c r="M3266" s="16">
        <f t="shared" si="303"/>
        <v>1.2726518830035094</v>
      </c>
      <c r="N3266">
        <f t="shared" si="304"/>
        <v>0</v>
      </c>
      <c r="O3266">
        <f t="shared" si="305"/>
        <v>0</v>
      </c>
      <c r="P3266">
        <f t="shared" si="302"/>
        <v>5600</v>
      </c>
      <c r="Q3266">
        <f t="shared" si="306"/>
        <v>5600</v>
      </c>
      <c r="T3266" s="16">
        <f t="shared" si="307"/>
        <v>1.272651883003509</v>
      </c>
    </row>
    <row r="3267" spans="7:20" ht="14.4" x14ac:dyDescent="0.25">
      <c r="G3267" s="10">
        <v>7865</v>
      </c>
      <c r="H3267" s="9">
        <v>56257</v>
      </c>
      <c r="I3267" s="14">
        <f>DATE(2012,12,31)-479</f>
        <v>40795</v>
      </c>
      <c r="J3267" s="15" t="s">
        <v>16</v>
      </c>
      <c r="K3267" s="9">
        <v>49</v>
      </c>
      <c r="L3267" s="16" t="s">
        <v>29</v>
      </c>
      <c r="M3267" s="16">
        <f t="shared" si="303"/>
        <v>1.6179507660996166</v>
      </c>
      <c r="N3267">
        <f t="shared" si="304"/>
        <v>0</v>
      </c>
      <c r="O3267">
        <f t="shared" si="305"/>
        <v>0</v>
      </c>
      <c r="P3267">
        <f t="shared" si="302"/>
        <v>5850</v>
      </c>
      <c r="Q3267">
        <f t="shared" si="306"/>
        <v>5850</v>
      </c>
      <c r="T3267" s="16">
        <f t="shared" si="307"/>
        <v>1.6179507660996162</v>
      </c>
    </row>
    <row r="3268" spans="7:20" ht="14.4" x14ac:dyDescent="0.25">
      <c r="G3268" s="10">
        <v>7972</v>
      </c>
      <c r="H3268" s="9">
        <v>57029</v>
      </c>
      <c r="I3268" s="14">
        <f>DATE(2012,12,31)-664</f>
        <v>40610</v>
      </c>
      <c r="J3268" s="15" t="s">
        <v>30</v>
      </c>
      <c r="K3268" s="9">
        <v>17</v>
      </c>
      <c r="L3268" s="16" t="s">
        <v>26</v>
      </c>
      <c r="M3268" s="16">
        <f t="shared" si="303"/>
        <v>-0.59196208571546938</v>
      </c>
      <c r="N3268">
        <f t="shared" si="304"/>
        <v>0</v>
      </c>
      <c r="O3268">
        <f t="shared" si="305"/>
        <v>0</v>
      </c>
      <c r="P3268">
        <f t="shared" si="302"/>
        <v>4250</v>
      </c>
      <c r="Q3268">
        <f t="shared" si="306"/>
        <v>4250</v>
      </c>
      <c r="T3268" s="16">
        <f t="shared" si="307"/>
        <v>-0.59196208571546971</v>
      </c>
    </row>
    <row r="3269" spans="7:20" ht="14.4" x14ac:dyDescent="0.25">
      <c r="G3269" s="10">
        <v>7973</v>
      </c>
      <c r="H3269" s="9">
        <v>57029</v>
      </c>
      <c r="I3269" s="14">
        <f>DATE(2012,12,31)-664</f>
        <v>40610</v>
      </c>
      <c r="J3269" s="15" t="s">
        <v>30</v>
      </c>
      <c r="K3269" s="9">
        <v>4</v>
      </c>
      <c r="L3269" s="16" t="s">
        <v>26</v>
      </c>
      <c r="M3269" s="16">
        <f t="shared" si="303"/>
        <v>-1.489739181765348</v>
      </c>
      <c r="N3269">
        <f t="shared" si="304"/>
        <v>0</v>
      </c>
      <c r="O3269">
        <f t="shared" si="305"/>
        <v>0</v>
      </c>
      <c r="P3269">
        <f t="shared" si="302"/>
        <v>3600</v>
      </c>
      <c r="Q3269">
        <f t="shared" si="306"/>
        <v>3600</v>
      </c>
      <c r="T3269" s="16">
        <f t="shared" si="307"/>
        <v>-1.4897391817653485</v>
      </c>
    </row>
    <row r="3270" spans="7:20" ht="14.4" x14ac:dyDescent="0.25">
      <c r="G3270" s="10">
        <v>8134</v>
      </c>
      <c r="H3270" s="9">
        <v>58145</v>
      </c>
      <c r="I3270" s="14">
        <f>DATE(2012,12,31)-229</f>
        <v>41045</v>
      </c>
      <c r="J3270" s="15" t="s">
        <v>16</v>
      </c>
      <c r="K3270" s="9">
        <v>33</v>
      </c>
      <c r="L3270" s="16" t="s">
        <v>29</v>
      </c>
      <c r="M3270" s="16">
        <f t="shared" si="303"/>
        <v>0.51299434019207357</v>
      </c>
      <c r="N3270">
        <f t="shared" si="304"/>
        <v>0</v>
      </c>
      <c r="O3270">
        <f t="shared" si="305"/>
        <v>0</v>
      </c>
      <c r="P3270">
        <f t="shared" si="302"/>
        <v>5050</v>
      </c>
      <c r="Q3270">
        <f t="shared" si="306"/>
        <v>5050</v>
      </c>
      <c r="T3270" s="16">
        <f t="shared" si="307"/>
        <v>0.51299434019207324</v>
      </c>
    </row>
    <row r="3271" spans="7:20" ht="14.4" x14ac:dyDescent="0.25">
      <c r="G3271" s="10">
        <v>8137</v>
      </c>
      <c r="H3271" s="9">
        <v>58151</v>
      </c>
      <c r="I3271" s="14">
        <f>DATE(2012,12,31)-1189</f>
        <v>40085</v>
      </c>
      <c r="J3271" s="15" t="s">
        <v>17</v>
      </c>
      <c r="K3271" s="9">
        <v>33</v>
      </c>
      <c r="L3271" s="16" t="s">
        <v>26</v>
      </c>
      <c r="M3271" s="16">
        <f t="shared" si="303"/>
        <v>0.51299434019207357</v>
      </c>
      <c r="N3271">
        <f t="shared" si="304"/>
        <v>0</v>
      </c>
      <c r="O3271">
        <f t="shared" si="305"/>
        <v>0</v>
      </c>
      <c r="P3271">
        <f t="shared" si="302"/>
        <v>5050</v>
      </c>
      <c r="Q3271">
        <f t="shared" si="306"/>
        <v>5050</v>
      </c>
      <c r="T3271" s="16">
        <f t="shared" si="307"/>
        <v>0.51299434019207324</v>
      </c>
    </row>
    <row r="3272" spans="7:20" ht="14.4" x14ac:dyDescent="0.25">
      <c r="G3272" s="10">
        <v>8138</v>
      </c>
      <c r="H3272" s="9">
        <v>58151</v>
      </c>
      <c r="I3272" s="14">
        <f>DATE(2012,12,31)-1189</f>
        <v>40085</v>
      </c>
      <c r="J3272" s="15" t="s">
        <v>17</v>
      </c>
      <c r="K3272" s="9">
        <v>38</v>
      </c>
      <c r="L3272" s="16" t="s">
        <v>26</v>
      </c>
      <c r="M3272" s="16">
        <f t="shared" si="303"/>
        <v>0.85829322328818081</v>
      </c>
      <c r="N3272">
        <f t="shared" si="304"/>
        <v>0</v>
      </c>
      <c r="O3272">
        <f t="shared" si="305"/>
        <v>0</v>
      </c>
      <c r="P3272">
        <f t="shared" si="302"/>
        <v>5300</v>
      </c>
      <c r="Q3272">
        <f t="shared" si="306"/>
        <v>5300</v>
      </c>
      <c r="T3272" s="16">
        <f t="shared" si="307"/>
        <v>0.85829322328818036</v>
      </c>
    </row>
    <row r="3273" spans="7:20" ht="14.4" x14ac:dyDescent="0.25">
      <c r="G3273" s="10">
        <v>8207</v>
      </c>
      <c r="H3273" s="9">
        <v>58659</v>
      </c>
      <c r="I3273" s="14">
        <f>DATE(2012,12,31)-799</f>
        <v>40475</v>
      </c>
      <c r="J3273" s="15" t="s">
        <v>17</v>
      </c>
      <c r="K3273" s="9">
        <v>2</v>
      </c>
      <c r="L3273" s="16" t="s">
        <v>26</v>
      </c>
      <c r="M3273" s="16">
        <f t="shared" si="303"/>
        <v>-1.627858735003791</v>
      </c>
      <c r="N3273">
        <f t="shared" si="304"/>
        <v>0</v>
      </c>
      <c r="O3273">
        <f t="shared" si="305"/>
        <v>0</v>
      </c>
      <c r="P3273">
        <f t="shared" si="302"/>
        <v>3500</v>
      </c>
      <c r="Q3273">
        <f t="shared" si="306"/>
        <v>3500</v>
      </c>
      <c r="T3273" s="16">
        <f t="shared" si="307"/>
        <v>-1.6278587350037912</v>
      </c>
    </row>
    <row r="3274" spans="7:20" ht="14.4" x14ac:dyDescent="0.25">
      <c r="G3274" s="10">
        <v>8216</v>
      </c>
      <c r="H3274" s="9">
        <v>58727</v>
      </c>
      <c r="I3274" s="14">
        <f>DATE(2012,12,31)-1274</f>
        <v>40000</v>
      </c>
      <c r="J3274" s="15" t="s">
        <v>16</v>
      </c>
      <c r="K3274" s="9">
        <v>20</v>
      </c>
      <c r="L3274" s="16" t="s">
        <v>29</v>
      </c>
      <c r="M3274" s="16">
        <f t="shared" si="303"/>
        <v>-0.38478275585780503</v>
      </c>
      <c r="N3274">
        <f t="shared" si="304"/>
        <v>0</v>
      </c>
      <c r="O3274">
        <f t="shared" si="305"/>
        <v>0</v>
      </c>
      <c r="P3274">
        <f t="shared" si="302"/>
        <v>4400</v>
      </c>
      <c r="Q3274">
        <f t="shared" si="306"/>
        <v>4400</v>
      </c>
      <c r="T3274" s="16">
        <f t="shared" si="307"/>
        <v>-0.38478275585780541</v>
      </c>
    </row>
    <row r="3275" spans="7:20" ht="14.4" x14ac:dyDescent="0.25">
      <c r="G3275" s="10">
        <v>44</v>
      </c>
      <c r="H3275" s="9">
        <v>258</v>
      </c>
      <c r="I3275" s="14">
        <f>DATE(2012,12,31)-734</f>
        <v>40540</v>
      </c>
      <c r="J3275" s="15" t="s">
        <v>30</v>
      </c>
      <c r="K3275" s="9">
        <v>33</v>
      </c>
      <c r="L3275" s="16" t="s">
        <v>26</v>
      </c>
      <c r="M3275" s="16">
        <f t="shared" si="303"/>
        <v>0.51299434019207357</v>
      </c>
      <c r="N3275">
        <f t="shared" si="304"/>
        <v>0</v>
      </c>
      <c r="O3275">
        <f t="shared" si="305"/>
        <v>0</v>
      </c>
      <c r="P3275">
        <f t="shared" si="302"/>
        <v>5050</v>
      </c>
      <c r="Q3275">
        <f t="shared" si="306"/>
        <v>5050</v>
      </c>
      <c r="T3275" s="16">
        <f t="shared" si="307"/>
        <v>0.51299434019207324</v>
      </c>
    </row>
    <row r="3276" spans="7:20" ht="14.4" x14ac:dyDescent="0.25">
      <c r="G3276" s="10">
        <v>153</v>
      </c>
      <c r="H3276" s="9">
        <v>964</v>
      </c>
      <c r="I3276" s="14">
        <f>DATE(2012,12,31)-592</f>
        <v>40682</v>
      </c>
      <c r="J3276" s="15" t="s">
        <v>16</v>
      </c>
      <c r="K3276" s="9">
        <v>50</v>
      </c>
      <c r="L3276" s="16" t="s">
        <v>26</v>
      </c>
      <c r="M3276" s="16">
        <f t="shared" si="303"/>
        <v>1.687010542718838</v>
      </c>
      <c r="N3276">
        <f t="shared" si="304"/>
        <v>0</v>
      </c>
      <c r="O3276">
        <f t="shared" si="305"/>
        <v>0</v>
      </c>
      <c r="P3276">
        <f t="shared" ref="P3276:P3339" si="308">50*K3276+$P$10</f>
        <v>5900</v>
      </c>
      <c r="Q3276">
        <f t="shared" si="306"/>
        <v>5900</v>
      </c>
      <c r="T3276" s="16">
        <f t="shared" si="307"/>
        <v>1.6870105427188375</v>
      </c>
    </row>
    <row r="3277" spans="7:20" ht="14.4" x14ac:dyDescent="0.25">
      <c r="G3277" s="10">
        <v>177</v>
      </c>
      <c r="H3277" s="9">
        <v>1154</v>
      </c>
      <c r="I3277" s="14">
        <f>DATE(2012,12,31)-321</f>
        <v>40953</v>
      </c>
      <c r="J3277" s="15" t="s">
        <v>30</v>
      </c>
      <c r="K3277" s="9">
        <v>23</v>
      </c>
      <c r="L3277" s="16" t="s">
        <v>26</v>
      </c>
      <c r="M3277" s="16">
        <f t="shared" ref="M3277:M3340" si="309">(K3277-$K$4)/$K$7</f>
        <v>-0.17760342600014073</v>
      </c>
      <c r="N3277">
        <f t="shared" ref="N3277:N3340" si="310">IF(MOD($B$20+G3277,1000)=0,1,0)</f>
        <v>0</v>
      </c>
      <c r="O3277">
        <f t="shared" ref="O3277:O3340" si="311">+ROUND(N3277*(IF(K3277&lt;$K$4,-4.5,10.5)*$P$5),-2)</f>
        <v>0</v>
      </c>
      <c r="P3277">
        <f t="shared" si="308"/>
        <v>4550</v>
      </c>
      <c r="Q3277">
        <f t="shared" ref="Q3277:Q3340" si="312">P3277+O3277</f>
        <v>4550</v>
      </c>
      <c r="T3277" s="16">
        <f t="shared" ref="T3277:T3340" si="313">(Q3277-$P$4)/$P$5</f>
        <v>-0.17760342600014112</v>
      </c>
    </row>
    <row r="3278" spans="7:20" ht="14.4" x14ac:dyDescent="0.25">
      <c r="G3278" s="10">
        <v>227</v>
      </c>
      <c r="H3278" s="9">
        <v>1537</v>
      </c>
      <c r="I3278" s="14">
        <f>DATE(2012,12,31)-321</f>
        <v>40953</v>
      </c>
      <c r="J3278" s="15" t="s">
        <v>28</v>
      </c>
      <c r="K3278" s="9">
        <v>5</v>
      </c>
      <c r="L3278" s="16" t="s">
        <v>26</v>
      </c>
      <c r="M3278" s="16">
        <f t="shared" si="309"/>
        <v>-1.4206794051461267</v>
      </c>
      <c r="N3278">
        <f t="shared" si="310"/>
        <v>0</v>
      </c>
      <c r="O3278">
        <f t="shared" si="311"/>
        <v>0</v>
      </c>
      <c r="P3278">
        <f t="shared" si="308"/>
        <v>3650</v>
      </c>
      <c r="Q3278">
        <f t="shared" si="312"/>
        <v>3650</v>
      </c>
      <c r="T3278" s="16">
        <f t="shared" si="313"/>
        <v>-1.4206794051461269</v>
      </c>
    </row>
    <row r="3279" spans="7:20" ht="14.4" x14ac:dyDescent="0.25">
      <c r="G3279" s="10">
        <v>650</v>
      </c>
      <c r="H3279" s="9">
        <v>4580</v>
      </c>
      <c r="I3279" s="14">
        <f>DATE(2012,12,31)-778</f>
        <v>40496</v>
      </c>
      <c r="J3279" s="15" t="s">
        <v>28</v>
      </c>
      <c r="K3279" s="9">
        <v>28</v>
      </c>
      <c r="L3279" s="16" t="s">
        <v>29</v>
      </c>
      <c r="M3279" s="16">
        <f t="shared" si="309"/>
        <v>0.16769545709596645</v>
      </c>
      <c r="N3279">
        <f t="shared" si="310"/>
        <v>0</v>
      </c>
      <c r="O3279">
        <f t="shared" si="311"/>
        <v>0</v>
      </c>
      <c r="P3279">
        <f t="shared" si="308"/>
        <v>4800</v>
      </c>
      <c r="Q3279">
        <f t="shared" si="312"/>
        <v>4800</v>
      </c>
      <c r="T3279" s="16">
        <f t="shared" si="313"/>
        <v>0.16769545709596606</v>
      </c>
    </row>
    <row r="3280" spans="7:20" ht="14.4" x14ac:dyDescent="0.25">
      <c r="G3280" s="10">
        <v>663</v>
      </c>
      <c r="H3280" s="9">
        <v>4647</v>
      </c>
      <c r="I3280" s="14">
        <f>DATE(2012,12,31)-1328</f>
        <v>39946</v>
      </c>
      <c r="J3280" s="15" t="s">
        <v>16</v>
      </c>
      <c r="K3280" s="9">
        <v>34</v>
      </c>
      <c r="L3280" s="16" t="s">
        <v>26</v>
      </c>
      <c r="M3280" s="16">
        <f t="shared" si="309"/>
        <v>0.58205411681129504</v>
      </c>
      <c r="N3280">
        <f t="shared" si="310"/>
        <v>0</v>
      </c>
      <c r="O3280">
        <f t="shared" si="311"/>
        <v>0</v>
      </c>
      <c r="P3280">
        <f t="shared" si="308"/>
        <v>5100</v>
      </c>
      <c r="Q3280">
        <f t="shared" si="312"/>
        <v>5100</v>
      </c>
      <c r="T3280" s="16">
        <f t="shared" si="313"/>
        <v>0.58205411681129471</v>
      </c>
    </row>
    <row r="3281" spans="7:20" ht="14.4" x14ac:dyDescent="0.25">
      <c r="G3281" s="10">
        <v>1101</v>
      </c>
      <c r="H3281" s="9">
        <v>8097</v>
      </c>
      <c r="I3281" s="14">
        <f>DATE(2012,12,31)-753</f>
        <v>40521</v>
      </c>
      <c r="J3281" s="15" t="s">
        <v>16</v>
      </c>
      <c r="K3281" s="9">
        <v>48</v>
      </c>
      <c r="L3281" s="16" t="s">
        <v>26</v>
      </c>
      <c r="M3281" s="16">
        <f t="shared" si="309"/>
        <v>1.5488909894803951</v>
      </c>
      <c r="N3281">
        <f t="shared" si="310"/>
        <v>0</v>
      </c>
      <c r="O3281">
        <f t="shared" si="311"/>
        <v>0</v>
      </c>
      <c r="P3281">
        <f t="shared" si="308"/>
        <v>5800</v>
      </c>
      <c r="Q3281">
        <f t="shared" si="312"/>
        <v>5800</v>
      </c>
      <c r="T3281" s="16">
        <f t="shared" si="313"/>
        <v>1.5488909894803948</v>
      </c>
    </row>
    <row r="3282" spans="7:20" ht="14.4" x14ac:dyDescent="0.25">
      <c r="G3282" s="10">
        <v>1158</v>
      </c>
      <c r="H3282" s="9">
        <v>8422</v>
      </c>
      <c r="I3282" s="14">
        <f>DATE(2012,12,31)-1357</f>
        <v>39917</v>
      </c>
      <c r="J3282" s="15" t="s">
        <v>16</v>
      </c>
      <c r="K3282" s="9">
        <v>33</v>
      </c>
      <c r="L3282" s="16" t="s">
        <v>27</v>
      </c>
      <c r="M3282" s="16">
        <f t="shared" si="309"/>
        <v>0.51299434019207357</v>
      </c>
      <c r="N3282">
        <f t="shared" si="310"/>
        <v>0</v>
      </c>
      <c r="O3282">
        <f t="shared" si="311"/>
        <v>0</v>
      </c>
      <c r="P3282">
        <f t="shared" si="308"/>
        <v>5050</v>
      </c>
      <c r="Q3282">
        <f t="shared" si="312"/>
        <v>5050</v>
      </c>
      <c r="T3282" s="16">
        <f t="shared" si="313"/>
        <v>0.51299434019207324</v>
      </c>
    </row>
    <row r="3283" spans="7:20" ht="14.4" x14ac:dyDescent="0.25">
      <c r="G3283" s="10">
        <v>1186</v>
      </c>
      <c r="H3283" s="9">
        <v>8677</v>
      </c>
      <c r="I3283" s="14">
        <f>DATE(2012,12,31)-85</f>
        <v>41189</v>
      </c>
      <c r="J3283" s="15" t="s">
        <v>17</v>
      </c>
      <c r="K3283" s="9">
        <v>38</v>
      </c>
      <c r="L3283" s="16" t="s">
        <v>26</v>
      </c>
      <c r="M3283" s="16">
        <f t="shared" si="309"/>
        <v>0.85829322328818081</v>
      </c>
      <c r="N3283">
        <f t="shared" si="310"/>
        <v>0</v>
      </c>
      <c r="O3283">
        <f t="shared" si="311"/>
        <v>0</v>
      </c>
      <c r="P3283">
        <f t="shared" si="308"/>
        <v>5300</v>
      </c>
      <c r="Q3283">
        <f t="shared" si="312"/>
        <v>5300</v>
      </c>
      <c r="T3283" s="16">
        <f t="shared" si="313"/>
        <v>0.85829322328818036</v>
      </c>
    </row>
    <row r="3284" spans="7:20" ht="14.4" x14ac:dyDescent="0.25">
      <c r="G3284" s="10">
        <v>1238</v>
      </c>
      <c r="H3284" s="9">
        <v>9024</v>
      </c>
      <c r="I3284" s="14">
        <f>DATE(2012,12,31)-212</f>
        <v>41062</v>
      </c>
      <c r="J3284" s="15" t="s">
        <v>16</v>
      </c>
      <c r="K3284" s="9">
        <v>2</v>
      </c>
      <c r="L3284" s="16" t="s">
        <v>26</v>
      </c>
      <c r="M3284" s="16">
        <f t="shared" si="309"/>
        <v>-1.627858735003791</v>
      </c>
      <c r="N3284">
        <f t="shared" si="310"/>
        <v>0</v>
      </c>
      <c r="O3284">
        <f t="shared" si="311"/>
        <v>0</v>
      </c>
      <c r="P3284">
        <f t="shared" si="308"/>
        <v>3500</v>
      </c>
      <c r="Q3284">
        <f t="shared" si="312"/>
        <v>3500</v>
      </c>
      <c r="T3284" s="16">
        <f t="shared" si="313"/>
        <v>-1.6278587350037912</v>
      </c>
    </row>
    <row r="3285" spans="7:20" ht="14.4" x14ac:dyDescent="0.25">
      <c r="G3285" s="10">
        <v>1392</v>
      </c>
      <c r="H3285" s="9">
        <v>10114</v>
      </c>
      <c r="I3285" s="14">
        <f>DATE(2012,12,31)-1057</f>
        <v>40217</v>
      </c>
      <c r="J3285" s="15" t="s">
        <v>30</v>
      </c>
      <c r="K3285" s="9">
        <v>39</v>
      </c>
      <c r="L3285" s="16" t="s">
        <v>26</v>
      </c>
      <c r="M3285" s="16">
        <f t="shared" si="309"/>
        <v>0.92735299990740228</v>
      </c>
      <c r="N3285">
        <f t="shared" si="310"/>
        <v>0</v>
      </c>
      <c r="O3285">
        <f t="shared" si="311"/>
        <v>0</v>
      </c>
      <c r="P3285">
        <f t="shared" si="308"/>
        <v>5350</v>
      </c>
      <c r="Q3285">
        <f t="shared" si="312"/>
        <v>5350</v>
      </c>
      <c r="T3285" s="16">
        <f t="shared" si="313"/>
        <v>0.92735299990740183</v>
      </c>
    </row>
    <row r="3286" spans="7:20" ht="14.4" x14ac:dyDescent="0.25">
      <c r="G3286" s="10">
        <v>1557</v>
      </c>
      <c r="H3286" s="9">
        <v>11236</v>
      </c>
      <c r="I3286" s="14">
        <f>DATE(2012,12,31)-793</f>
        <v>40481</v>
      </c>
      <c r="J3286" s="15" t="s">
        <v>17</v>
      </c>
      <c r="K3286" s="9">
        <v>4</v>
      </c>
      <c r="L3286" s="16" t="s">
        <v>26</v>
      </c>
      <c r="M3286" s="16">
        <f t="shared" si="309"/>
        <v>-1.489739181765348</v>
      </c>
      <c r="N3286">
        <f t="shared" si="310"/>
        <v>0</v>
      </c>
      <c r="O3286">
        <f t="shared" si="311"/>
        <v>0</v>
      </c>
      <c r="P3286">
        <f t="shared" si="308"/>
        <v>3600</v>
      </c>
      <c r="Q3286">
        <f t="shared" si="312"/>
        <v>3600</v>
      </c>
      <c r="T3286" s="16">
        <f t="shared" si="313"/>
        <v>-1.4897391817653485</v>
      </c>
    </row>
    <row r="3287" spans="7:20" ht="14.4" x14ac:dyDescent="0.25">
      <c r="G3287" s="10">
        <v>1616</v>
      </c>
      <c r="H3287" s="9">
        <v>11687</v>
      </c>
      <c r="I3287" s="14">
        <f>DATE(2012,12,31)-372</f>
        <v>40902</v>
      </c>
      <c r="J3287" s="15" t="s">
        <v>17</v>
      </c>
      <c r="K3287" s="9">
        <v>26</v>
      </c>
      <c r="L3287" s="16" t="s">
        <v>26</v>
      </c>
      <c r="M3287" s="16">
        <f t="shared" si="309"/>
        <v>2.9575903857523567E-2</v>
      </c>
      <c r="N3287">
        <f t="shared" si="310"/>
        <v>0</v>
      </c>
      <c r="O3287">
        <f t="shared" si="311"/>
        <v>0</v>
      </c>
      <c r="P3287">
        <f t="shared" si="308"/>
        <v>4700</v>
      </c>
      <c r="Q3287">
        <f t="shared" si="312"/>
        <v>4700</v>
      </c>
      <c r="T3287" s="16">
        <f t="shared" si="313"/>
        <v>2.9575903857523185E-2</v>
      </c>
    </row>
    <row r="3288" spans="7:20" ht="14.4" x14ac:dyDescent="0.25">
      <c r="G3288" s="10">
        <v>1768</v>
      </c>
      <c r="H3288" s="9">
        <v>12643</v>
      </c>
      <c r="I3288" s="14">
        <f>DATE(2012,12,31)-1018</f>
        <v>40256</v>
      </c>
      <c r="J3288" s="15" t="s">
        <v>25</v>
      </c>
      <c r="K3288" s="9">
        <v>22</v>
      </c>
      <c r="L3288" s="16" t="s">
        <v>26</v>
      </c>
      <c r="M3288" s="16">
        <f t="shared" si="309"/>
        <v>-0.24666320261936217</v>
      </c>
      <c r="N3288">
        <f t="shared" si="310"/>
        <v>0</v>
      </c>
      <c r="O3288">
        <f t="shared" si="311"/>
        <v>0</v>
      </c>
      <c r="P3288">
        <f t="shared" si="308"/>
        <v>4500</v>
      </c>
      <c r="Q3288">
        <f t="shared" si="312"/>
        <v>4500</v>
      </c>
      <c r="T3288" s="16">
        <f t="shared" si="313"/>
        <v>-0.24666320261936256</v>
      </c>
    </row>
    <row r="3289" spans="7:20" ht="14.4" x14ac:dyDescent="0.25">
      <c r="G3289" s="10">
        <v>1821</v>
      </c>
      <c r="H3289" s="9">
        <v>13089</v>
      </c>
      <c r="I3289" s="14">
        <f>DATE(2012,12,31)-383</f>
        <v>40891</v>
      </c>
      <c r="J3289" s="15" t="s">
        <v>28</v>
      </c>
      <c r="K3289" s="9">
        <v>34</v>
      </c>
      <c r="L3289" s="16" t="s">
        <v>29</v>
      </c>
      <c r="M3289" s="16">
        <f t="shared" si="309"/>
        <v>0.58205411681129504</v>
      </c>
      <c r="N3289">
        <f t="shared" si="310"/>
        <v>0</v>
      </c>
      <c r="O3289">
        <f t="shared" si="311"/>
        <v>0</v>
      </c>
      <c r="P3289">
        <f t="shared" si="308"/>
        <v>5100</v>
      </c>
      <c r="Q3289">
        <f t="shared" si="312"/>
        <v>5100</v>
      </c>
      <c r="T3289" s="16">
        <f t="shared" si="313"/>
        <v>0.58205411681129471</v>
      </c>
    </row>
    <row r="3290" spans="7:20" ht="14.4" x14ac:dyDescent="0.25">
      <c r="G3290" s="10">
        <v>1859</v>
      </c>
      <c r="H3290" s="9">
        <v>13378</v>
      </c>
      <c r="I3290" s="14">
        <f>DATE(2012,12,31)-1197</f>
        <v>40077</v>
      </c>
      <c r="J3290" s="15" t="s">
        <v>25</v>
      </c>
      <c r="K3290" s="9">
        <v>16</v>
      </c>
      <c r="L3290" s="16" t="s">
        <v>26</v>
      </c>
      <c r="M3290" s="16">
        <f t="shared" si="309"/>
        <v>-0.66102186233469074</v>
      </c>
      <c r="N3290">
        <f t="shared" si="310"/>
        <v>0</v>
      </c>
      <c r="O3290">
        <f t="shared" si="311"/>
        <v>0</v>
      </c>
      <c r="P3290">
        <f t="shared" si="308"/>
        <v>4200</v>
      </c>
      <c r="Q3290">
        <f t="shared" si="312"/>
        <v>4200</v>
      </c>
      <c r="T3290" s="16">
        <f t="shared" si="313"/>
        <v>-0.66102186233469118</v>
      </c>
    </row>
    <row r="3291" spans="7:20" ht="14.4" x14ac:dyDescent="0.25">
      <c r="G3291" s="10">
        <v>1932</v>
      </c>
      <c r="H3291" s="9">
        <v>13824</v>
      </c>
      <c r="I3291" s="14">
        <f>DATE(2012,12,31)-1100</f>
        <v>40174</v>
      </c>
      <c r="J3291" s="15" t="s">
        <v>25</v>
      </c>
      <c r="K3291" s="9">
        <v>19</v>
      </c>
      <c r="L3291" s="16" t="s">
        <v>26</v>
      </c>
      <c r="M3291" s="16">
        <f t="shared" si="309"/>
        <v>-0.45384253247702649</v>
      </c>
      <c r="N3291">
        <f t="shared" si="310"/>
        <v>0</v>
      </c>
      <c r="O3291">
        <f t="shared" si="311"/>
        <v>0</v>
      </c>
      <c r="P3291">
        <f t="shared" si="308"/>
        <v>4350</v>
      </c>
      <c r="Q3291">
        <f t="shared" si="312"/>
        <v>4350</v>
      </c>
      <c r="T3291" s="16">
        <f t="shared" si="313"/>
        <v>-0.45384253247702688</v>
      </c>
    </row>
    <row r="3292" spans="7:20" ht="14.4" x14ac:dyDescent="0.25">
      <c r="G3292" s="10">
        <v>2572</v>
      </c>
      <c r="H3292" s="9">
        <v>18562</v>
      </c>
      <c r="I3292" s="14">
        <f>DATE(2012,12,31)-377</f>
        <v>40897</v>
      </c>
      <c r="J3292" s="15" t="s">
        <v>30</v>
      </c>
      <c r="K3292" s="9">
        <v>41</v>
      </c>
      <c r="L3292" s="16" t="s">
        <v>26</v>
      </c>
      <c r="M3292" s="16">
        <f t="shared" si="309"/>
        <v>1.0654725531458451</v>
      </c>
      <c r="N3292">
        <f t="shared" si="310"/>
        <v>0</v>
      </c>
      <c r="O3292">
        <f t="shared" si="311"/>
        <v>0</v>
      </c>
      <c r="P3292">
        <f t="shared" si="308"/>
        <v>5450</v>
      </c>
      <c r="Q3292">
        <f t="shared" si="312"/>
        <v>5450</v>
      </c>
      <c r="T3292" s="16">
        <f t="shared" si="313"/>
        <v>1.0654725531458447</v>
      </c>
    </row>
    <row r="3293" spans="7:20" ht="14.4" x14ac:dyDescent="0.25">
      <c r="G3293" s="10">
        <v>2876</v>
      </c>
      <c r="H3293" s="9">
        <v>20737</v>
      </c>
      <c r="I3293" s="14">
        <f>DATE(2012,12,31)-372</f>
        <v>40902</v>
      </c>
      <c r="J3293" s="15" t="s">
        <v>16</v>
      </c>
      <c r="K3293" s="9">
        <v>10</v>
      </c>
      <c r="L3293" s="16" t="s">
        <v>29</v>
      </c>
      <c r="M3293" s="16">
        <f t="shared" si="309"/>
        <v>-1.0753805220500194</v>
      </c>
      <c r="N3293">
        <f t="shared" si="310"/>
        <v>0</v>
      </c>
      <c r="O3293">
        <f t="shared" si="311"/>
        <v>0</v>
      </c>
      <c r="P3293">
        <f t="shared" si="308"/>
        <v>3900</v>
      </c>
      <c r="Q3293">
        <f t="shared" si="312"/>
        <v>3900</v>
      </c>
      <c r="T3293" s="16">
        <f t="shared" si="313"/>
        <v>-1.0753805220500199</v>
      </c>
    </row>
    <row r="3294" spans="7:20" ht="14.4" x14ac:dyDescent="0.25">
      <c r="G3294" s="10">
        <v>2896</v>
      </c>
      <c r="H3294" s="9">
        <v>20900</v>
      </c>
      <c r="I3294" s="14">
        <f>DATE(2012,12,31)-768</f>
        <v>40506</v>
      </c>
      <c r="J3294" s="15" t="s">
        <v>25</v>
      </c>
      <c r="K3294" s="9">
        <v>50</v>
      </c>
      <c r="L3294" s="16" t="s">
        <v>27</v>
      </c>
      <c r="M3294" s="16">
        <f t="shared" si="309"/>
        <v>1.687010542718838</v>
      </c>
      <c r="N3294">
        <f t="shared" si="310"/>
        <v>0</v>
      </c>
      <c r="O3294">
        <f t="shared" si="311"/>
        <v>0</v>
      </c>
      <c r="P3294">
        <f t="shared" si="308"/>
        <v>5900</v>
      </c>
      <c r="Q3294">
        <f t="shared" si="312"/>
        <v>5900</v>
      </c>
      <c r="T3294" s="16">
        <f t="shared" si="313"/>
        <v>1.6870105427188375</v>
      </c>
    </row>
    <row r="3295" spans="7:20" ht="14.4" x14ac:dyDescent="0.25">
      <c r="G3295" s="10">
        <v>3729</v>
      </c>
      <c r="H3295" s="9">
        <v>26658</v>
      </c>
      <c r="I3295" s="14">
        <f>DATE(2012,12,31)-375</f>
        <v>40899</v>
      </c>
      <c r="J3295" s="15" t="s">
        <v>17</v>
      </c>
      <c r="K3295" s="9">
        <v>17</v>
      </c>
      <c r="L3295" s="16" t="s">
        <v>26</v>
      </c>
      <c r="M3295" s="16">
        <f t="shared" si="309"/>
        <v>-0.59196208571546938</v>
      </c>
      <c r="N3295">
        <f t="shared" si="310"/>
        <v>0</v>
      </c>
      <c r="O3295">
        <f t="shared" si="311"/>
        <v>0</v>
      </c>
      <c r="P3295">
        <f t="shared" si="308"/>
        <v>4250</v>
      </c>
      <c r="Q3295">
        <f t="shared" si="312"/>
        <v>4250</v>
      </c>
      <c r="T3295" s="16">
        <f t="shared" si="313"/>
        <v>-0.59196208571546971</v>
      </c>
    </row>
    <row r="3296" spans="7:20" ht="14.4" x14ac:dyDescent="0.25">
      <c r="G3296" s="10">
        <v>3826</v>
      </c>
      <c r="H3296" s="9">
        <v>27271</v>
      </c>
      <c r="I3296" s="14">
        <f>DATE(2012,12,31)-474</f>
        <v>40800</v>
      </c>
      <c r="J3296" s="15" t="s">
        <v>28</v>
      </c>
      <c r="K3296" s="9">
        <v>8</v>
      </c>
      <c r="L3296" s="16" t="s">
        <v>29</v>
      </c>
      <c r="M3296" s="16">
        <f t="shared" si="309"/>
        <v>-1.2135000752884624</v>
      </c>
      <c r="N3296">
        <f t="shared" si="310"/>
        <v>0</v>
      </c>
      <c r="O3296">
        <f t="shared" si="311"/>
        <v>0</v>
      </c>
      <c r="P3296">
        <f t="shared" si="308"/>
        <v>3800</v>
      </c>
      <c r="Q3296">
        <f t="shared" si="312"/>
        <v>3800</v>
      </c>
      <c r="T3296" s="16">
        <f t="shared" si="313"/>
        <v>-1.2135000752884626</v>
      </c>
    </row>
    <row r="3297" spans="7:20" ht="14.4" x14ac:dyDescent="0.25">
      <c r="G3297" s="10">
        <v>3927</v>
      </c>
      <c r="H3297" s="9">
        <v>28001</v>
      </c>
      <c r="I3297" s="14">
        <f>DATE(2012,12,31)-1296</f>
        <v>39978</v>
      </c>
      <c r="J3297" s="15" t="s">
        <v>30</v>
      </c>
      <c r="K3297" s="9">
        <v>21</v>
      </c>
      <c r="L3297" s="16" t="s">
        <v>29</v>
      </c>
      <c r="M3297" s="16">
        <f t="shared" si="309"/>
        <v>-0.31572297923858361</v>
      </c>
      <c r="N3297">
        <f t="shared" si="310"/>
        <v>0</v>
      </c>
      <c r="O3297">
        <f t="shared" si="311"/>
        <v>0</v>
      </c>
      <c r="P3297">
        <f t="shared" si="308"/>
        <v>4450</v>
      </c>
      <c r="Q3297">
        <f t="shared" si="312"/>
        <v>4450</v>
      </c>
      <c r="T3297" s="16">
        <f t="shared" si="313"/>
        <v>-0.315722979238584</v>
      </c>
    </row>
    <row r="3298" spans="7:20" ht="14.4" x14ac:dyDescent="0.25">
      <c r="G3298" s="10">
        <v>3950</v>
      </c>
      <c r="H3298" s="9">
        <v>28161</v>
      </c>
      <c r="I3298" s="14">
        <f>DATE(2012,12,31)-1295</f>
        <v>39979</v>
      </c>
      <c r="J3298" s="15" t="s">
        <v>28</v>
      </c>
      <c r="K3298" s="9">
        <v>15</v>
      </c>
      <c r="L3298" s="16" t="s">
        <v>29</v>
      </c>
      <c r="M3298" s="16">
        <f t="shared" si="309"/>
        <v>-0.7300816389539122</v>
      </c>
      <c r="N3298">
        <f t="shared" si="310"/>
        <v>0</v>
      </c>
      <c r="O3298">
        <f t="shared" si="311"/>
        <v>0</v>
      </c>
      <c r="P3298">
        <f t="shared" si="308"/>
        <v>4150</v>
      </c>
      <c r="Q3298">
        <f t="shared" si="312"/>
        <v>4150</v>
      </c>
      <c r="T3298" s="16">
        <f t="shared" si="313"/>
        <v>-0.73008163895391265</v>
      </c>
    </row>
    <row r="3299" spans="7:20" ht="14.4" x14ac:dyDescent="0.25">
      <c r="G3299" s="10">
        <v>4113</v>
      </c>
      <c r="H3299" s="9">
        <v>29280</v>
      </c>
      <c r="I3299" s="14">
        <f>DATE(2012,12,31)-278</f>
        <v>40996</v>
      </c>
      <c r="J3299" s="15" t="s">
        <v>16</v>
      </c>
      <c r="K3299" s="9">
        <v>19</v>
      </c>
      <c r="L3299" s="16" t="s">
        <v>26</v>
      </c>
      <c r="M3299" s="16">
        <f t="shared" si="309"/>
        <v>-0.45384253247702649</v>
      </c>
      <c r="N3299">
        <f t="shared" si="310"/>
        <v>0</v>
      </c>
      <c r="O3299">
        <f t="shared" si="311"/>
        <v>0</v>
      </c>
      <c r="P3299">
        <f t="shared" si="308"/>
        <v>4350</v>
      </c>
      <c r="Q3299">
        <f t="shared" si="312"/>
        <v>4350</v>
      </c>
      <c r="T3299" s="16">
        <f t="shared" si="313"/>
        <v>-0.45384253247702688</v>
      </c>
    </row>
    <row r="3300" spans="7:20" ht="14.4" x14ac:dyDescent="0.25">
      <c r="G3300" s="10">
        <v>4132</v>
      </c>
      <c r="H3300" s="9">
        <v>29350</v>
      </c>
      <c r="I3300" s="14">
        <f>DATE(2012,12,31)-1224</f>
        <v>40050</v>
      </c>
      <c r="J3300" s="15" t="s">
        <v>17</v>
      </c>
      <c r="K3300" s="9">
        <v>10</v>
      </c>
      <c r="L3300" s="16" t="s">
        <v>26</v>
      </c>
      <c r="M3300" s="16">
        <f t="shared" si="309"/>
        <v>-1.0753805220500194</v>
      </c>
      <c r="N3300">
        <f t="shared" si="310"/>
        <v>0</v>
      </c>
      <c r="O3300">
        <f t="shared" si="311"/>
        <v>0</v>
      </c>
      <c r="P3300">
        <f t="shared" si="308"/>
        <v>3900</v>
      </c>
      <c r="Q3300">
        <f t="shared" si="312"/>
        <v>3900</v>
      </c>
      <c r="T3300" s="16">
        <f t="shared" si="313"/>
        <v>-1.0753805220500199</v>
      </c>
    </row>
    <row r="3301" spans="7:20" ht="14.4" x14ac:dyDescent="0.25">
      <c r="G3301" s="10">
        <v>4179</v>
      </c>
      <c r="H3301" s="9">
        <v>29666</v>
      </c>
      <c r="I3301" s="14">
        <f>DATE(2012,12,31)-367</f>
        <v>40907</v>
      </c>
      <c r="J3301" s="15" t="s">
        <v>28</v>
      </c>
      <c r="K3301" s="9">
        <v>29</v>
      </c>
      <c r="L3301" s="16" t="s">
        <v>26</v>
      </c>
      <c r="M3301" s="16">
        <f t="shared" si="309"/>
        <v>0.23675523371518786</v>
      </c>
      <c r="N3301">
        <f t="shared" si="310"/>
        <v>0</v>
      </c>
      <c r="O3301">
        <f t="shared" si="311"/>
        <v>0</v>
      </c>
      <c r="P3301">
        <f t="shared" si="308"/>
        <v>4850</v>
      </c>
      <c r="Q3301">
        <f t="shared" si="312"/>
        <v>4850</v>
      </c>
      <c r="T3301" s="16">
        <f t="shared" si="313"/>
        <v>0.2367552337151875</v>
      </c>
    </row>
    <row r="3302" spans="7:20" ht="14.4" x14ac:dyDescent="0.25">
      <c r="G3302" s="10">
        <v>4182</v>
      </c>
      <c r="H3302" s="9">
        <v>29700</v>
      </c>
      <c r="I3302" s="14">
        <f>DATE(2012,12,31)-1000</f>
        <v>40274</v>
      </c>
      <c r="J3302" s="15" t="s">
        <v>16</v>
      </c>
      <c r="K3302" s="9">
        <v>9</v>
      </c>
      <c r="L3302" s="16" t="s">
        <v>26</v>
      </c>
      <c r="M3302" s="16">
        <f t="shared" si="309"/>
        <v>-1.1444402986692408</v>
      </c>
      <c r="N3302">
        <f t="shared" si="310"/>
        <v>0</v>
      </c>
      <c r="O3302">
        <f t="shared" si="311"/>
        <v>0</v>
      </c>
      <c r="P3302">
        <f t="shared" si="308"/>
        <v>3850</v>
      </c>
      <c r="Q3302">
        <f t="shared" si="312"/>
        <v>3850</v>
      </c>
      <c r="T3302" s="16">
        <f t="shared" si="313"/>
        <v>-1.1444402986692412</v>
      </c>
    </row>
    <row r="3303" spans="7:20" ht="14.4" x14ac:dyDescent="0.25">
      <c r="G3303" s="10">
        <v>4315</v>
      </c>
      <c r="H3303" s="9">
        <v>30754</v>
      </c>
      <c r="I3303" s="14">
        <f>DATE(2012,12,31)-767</f>
        <v>40507</v>
      </c>
      <c r="J3303" s="15" t="s">
        <v>25</v>
      </c>
      <c r="K3303" s="9">
        <v>20</v>
      </c>
      <c r="L3303" s="16" t="s">
        <v>29</v>
      </c>
      <c r="M3303" s="16">
        <f t="shared" si="309"/>
        <v>-0.38478275585780503</v>
      </c>
      <c r="N3303">
        <f t="shared" si="310"/>
        <v>0</v>
      </c>
      <c r="O3303">
        <f t="shared" si="311"/>
        <v>0</v>
      </c>
      <c r="P3303">
        <f t="shared" si="308"/>
        <v>4400</v>
      </c>
      <c r="Q3303">
        <f t="shared" si="312"/>
        <v>4400</v>
      </c>
      <c r="T3303" s="16">
        <f t="shared" si="313"/>
        <v>-0.38478275585780541</v>
      </c>
    </row>
    <row r="3304" spans="7:20" ht="14.4" x14ac:dyDescent="0.25">
      <c r="G3304" s="10">
        <v>4443</v>
      </c>
      <c r="H3304" s="9">
        <v>31650</v>
      </c>
      <c r="I3304" s="14">
        <f>DATE(2012,12,31)-873</f>
        <v>40401</v>
      </c>
      <c r="J3304" s="15" t="s">
        <v>28</v>
      </c>
      <c r="K3304" s="9">
        <v>19</v>
      </c>
      <c r="L3304" s="16" t="s">
        <v>27</v>
      </c>
      <c r="M3304" s="16">
        <f t="shared" si="309"/>
        <v>-0.45384253247702649</v>
      </c>
      <c r="N3304">
        <f t="shared" si="310"/>
        <v>0</v>
      </c>
      <c r="O3304">
        <f t="shared" si="311"/>
        <v>0</v>
      </c>
      <c r="P3304">
        <f t="shared" si="308"/>
        <v>4350</v>
      </c>
      <c r="Q3304">
        <f t="shared" si="312"/>
        <v>4350</v>
      </c>
      <c r="T3304" s="16">
        <f t="shared" si="313"/>
        <v>-0.45384253247702688</v>
      </c>
    </row>
    <row r="3305" spans="7:20" ht="14.4" x14ac:dyDescent="0.25">
      <c r="G3305" s="10">
        <v>4538</v>
      </c>
      <c r="H3305" s="9">
        <v>32292</v>
      </c>
      <c r="I3305" s="14">
        <f>DATE(2012,12,31)-320</f>
        <v>40954</v>
      </c>
      <c r="J3305" s="15" t="s">
        <v>25</v>
      </c>
      <c r="K3305" s="9">
        <v>49</v>
      </c>
      <c r="L3305" s="16" t="s">
        <v>27</v>
      </c>
      <c r="M3305" s="16">
        <f t="shared" si="309"/>
        <v>1.6179507660996166</v>
      </c>
      <c r="N3305">
        <f t="shared" si="310"/>
        <v>0</v>
      </c>
      <c r="O3305">
        <f t="shared" si="311"/>
        <v>0</v>
      </c>
      <c r="P3305">
        <f t="shared" si="308"/>
        <v>5850</v>
      </c>
      <c r="Q3305">
        <f t="shared" si="312"/>
        <v>5850</v>
      </c>
      <c r="T3305" s="16">
        <f t="shared" si="313"/>
        <v>1.6179507660996162</v>
      </c>
    </row>
    <row r="3306" spans="7:20" ht="14.4" x14ac:dyDescent="0.25">
      <c r="G3306" s="10">
        <v>4950</v>
      </c>
      <c r="H3306" s="9">
        <v>35201</v>
      </c>
      <c r="I3306" s="14">
        <f>DATE(2012,12,31)-941</f>
        <v>40333</v>
      </c>
      <c r="J3306" s="15" t="s">
        <v>25</v>
      </c>
      <c r="K3306" s="9">
        <v>18</v>
      </c>
      <c r="L3306" s="16" t="s">
        <v>27</v>
      </c>
      <c r="M3306" s="16">
        <f t="shared" si="309"/>
        <v>-0.52290230909624791</v>
      </c>
      <c r="N3306">
        <f t="shared" si="310"/>
        <v>0</v>
      </c>
      <c r="O3306">
        <f t="shared" si="311"/>
        <v>0</v>
      </c>
      <c r="P3306">
        <f t="shared" si="308"/>
        <v>4300</v>
      </c>
      <c r="Q3306">
        <f t="shared" si="312"/>
        <v>4300</v>
      </c>
      <c r="T3306" s="16">
        <f t="shared" si="313"/>
        <v>-0.52290230909624835</v>
      </c>
    </row>
    <row r="3307" spans="7:20" ht="14.4" x14ac:dyDescent="0.25">
      <c r="G3307" s="10">
        <v>4967</v>
      </c>
      <c r="H3307" s="9">
        <v>35360</v>
      </c>
      <c r="I3307" s="14">
        <f>DATE(2012,12,31)-623</f>
        <v>40651</v>
      </c>
      <c r="J3307" s="15" t="s">
        <v>30</v>
      </c>
      <c r="K3307" s="9">
        <v>4</v>
      </c>
      <c r="L3307" s="16" t="s">
        <v>26</v>
      </c>
      <c r="M3307" s="16">
        <f t="shared" si="309"/>
        <v>-1.489739181765348</v>
      </c>
      <c r="N3307">
        <f t="shared" si="310"/>
        <v>0</v>
      </c>
      <c r="O3307">
        <f t="shared" si="311"/>
        <v>0</v>
      </c>
      <c r="P3307">
        <f t="shared" si="308"/>
        <v>3600</v>
      </c>
      <c r="Q3307">
        <f t="shared" si="312"/>
        <v>3600</v>
      </c>
      <c r="T3307" s="16">
        <f t="shared" si="313"/>
        <v>-1.4897391817653485</v>
      </c>
    </row>
    <row r="3308" spans="7:20" ht="14.4" x14ac:dyDescent="0.25">
      <c r="G3308" s="10">
        <v>4989</v>
      </c>
      <c r="H3308" s="9">
        <v>35492</v>
      </c>
      <c r="I3308" s="14">
        <f>DATE(2012,12,31)-325</f>
        <v>40949</v>
      </c>
      <c r="J3308" s="15" t="s">
        <v>16</v>
      </c>
      <c r="K3308" s="9">
        <v>36</v>
      </c>
      <c r="L3308" s="16" t="s">
        <v>29</v>
      </c>
      <c r="M3308" s="16">
        <f t="shared" si="309"/>
        <v>0.72017367004973787</v>
      </c>
      <c r="N3308">
        <f t="shared" si="310"/>
        <v>0</v>
      </c>
      <c r="O3308">
        <f t="shared" si="311"/>
        <v>0</v>
      </c>
      <c r="P3308">
        <f t="shared" si="308"/>
        <v>5200</v>
      </c>
      <c r="Q3308">
        <f t="shared" si="312"/>
        <v>5200</v>
      </c>
      <c r="T3308" s="16">
        <f t="shared" si="313"/>
        <v>0.72017367004973754</v>
      </c>
    </row>
    <row r="3309" spans="7:20" ht="14.4" x14ac:dyDescent="0.25">
      <c r="G3309" s="10">
        <v>5267</v>
      </c>
      <c r="H3309" s="9">
        <v>37473</v>
      </c>
      <c r="I3309" s="14">
        <f>DATE(2012,12,31)-1187</f>
        <v>40087</v>
      </c>
      <c r="J3309" s="15" t="s">
        <v>25</v>
      </c>
      <c r="K3309" s="9">
        <v>8</v>
      </c>
      <c r="L3309" s="16" t="s">
        <v>26</v>
      </c>
      <c r="M3309" s="16">
        <f t="shared" si="309"/>
        <v>-1.2135000752884624</v>
      </c>
      <c r="N3309">
        <f t="shared" si="310"/>
        <v>0</v>
      </c>
      <c r="O3309">
        <f t="shared" si="311"/>
        <v>0</v>
      </c>
      <c r="P3309">
        <f t="shared" si="308"/>
        <v>3800</v>
      </c>
      <c r="Q3309">
        <f t="shared" si="312"/>
        <v>3800</v>
      </c>
      <c r="T3309" s="16">
        <f t="shared" si="313"/>
        <v>-1.2135000752884626</v>
      </c>
    </row>
    <row r="3310" spans="7:20" ht="14.4" x14ac:dyDescent="0.25">
      <c r="G3310" s="10">
        <v>5515</v>
      </c>
      <c r="H3310" s="9">
        <v>39079</v>
      </c>
      <c r="I3310" s="14">
        <f>DATE(2012,12,31)-481</f>
        <v>40793</v>
      </c>
      <c r="J3310" s="15" t="s">
        <v>17</v>
      </c>
      <c r="K3310" s="9">
        <v>46</v>
      </c>
      <c r="L3310" s="16" t="s">
        <v>26</v>
      </c>
      <c r="M3310" s="16">
        <f t="shared" si="309"/>
        <v>1.4107714362419523</v>
      </c>
      <c r="N3310">
        <f t="shared" si="310"/>
        <v>0</v>
      </c>
      <c r="O3310">
        <f t="shared" si="311"/>
        <v>0</v>
      </c>
      <c r="P3310">
        <f t="shared" si="308"/>
        <v>5700</v>
      </c>
      <c r="Q3310">
        <f t="shared" si="312"/>
        <v>5700</v>
      </c>
      <c r="T3310" s="16">
        <f t="shared" si="313"/>
        <v>1.4107714362419519</v>
      </c>
    </row>
    <row r="3311" spans="7:20" ht="14.4" x14ac:dyDescent="0.25">
      <c r="G3311" s="10">
        <v>5541</v>
      </c>
      <c r="H3311" s="9">
        <v>39266</v>
      </c>
      <c r="I3311" s="14">
        <f>DATE(2012,12,31)-126</f>
        <v>41148</v>
      </c>
      <c r="J3311" s="15" t="s">
        <v>17</v>
      </c>
      <c r="K3311" s="9">
        <v>14</v>
      </c>
      <c r="L3311" s="16" t="s">
        <v>26</v>
      </c>
      <c r="M3311" s="16">
        <f t="shared" si="309"/>
        <v>-0.79914141557313367</v>
      </c>
      <c r="N3311">
        <f t="shared" si="310"/>
        <v>0</v>
      </c>
      <c r="O3311">
        <f t="shared" si="311"/>
        <v>0</v>
      </c>
      <c r="P3311">
        <f t="shared" si="308"/>
        <v>4100</v>
      </c>
      <c r="Q3311">
        <f t="shared" si="312"/>
        <v>4100</v>
      </c>
      <c r="T3311" s="16">
        <f t="shared" si="313"/>
        <v>-0.79914141557313401</v>
      </c>
    </row>
    <row r="3312" spans="7:20" ht="14.4" x14ac:dyDescent="0.25">
      <c r="G3312" s="10">
        <v>5706</v>
      </c>
      <c r="H3312" s="9">
        <v>40356</v>
      </c>
      <c r="I3312" s="14">
        <f>DATE(2012,12,31)-1108</f>
        <v>40166</v>
      </c>
      <c r="J3312" s="15" t="s">
        <v>28</v>
      </c>
      <c r="K3312" s="9">
        <v>48</v>
      </c>
      <c r="L3312" s="16" t="s">
        <v>26</v>
      </c>
      <c r="M3312" s="16">
        <f t="shared" si="309"/>
        <v>1.5488909894803951</v>
      </c>
      <c r="N3312">
        <f t="shared" si="310"/>
        <v>0</v>
      </c>
      <c r="O3312">
        <f t="shared" si="311"/>
        <v>0</v>
      </c>
      <c r="P3312">
        <f t="shared" si="308"/>
        <v>5800</v>
      </c>
      <c r="Q3312">
        <f t="shared" si="312"/>
        <v>5800</v>
      </c>
      <c r="T3312" s="16">
        <f t="shared" si="313"/>
        <v>1.5488909894803948</v>
      </c>
    </row>
    <row r="3313" spans="7:20" ht="14.4" x14ac:dyDescent="0.25">
      <c r="G3313" s="10">
        <v>6014</v>
      </c>
      <c r="H3313" s="9">
        <v>42599</v>
      </c>
      <c r="I3313" s="14">
        <f>DATE(2012,12,31)-1365</f>
        <v>39909</v>
      </c>
      <c r="J3313" s="15" t="s">
        <v>16</v>
      </c>
      <c r="K3313" s="9">
        <v>31</v>
      </c>
      <c r="L3313" s="16" t="s">
        <v>29</v>
      </c>
      <c r="M3313" s="16">
        <f t="shared" si="309"/>
        <v>0.37487478695363075</v>
      </c>
      <c r="N3313">
        <f t="shared" si="310"/>
        <v>0</v>
      </c>
      <c r="O3313">
        <f t="shared" si="311"/>
        <v>0</v>
      </c>
      <c r="P3313">
        <f t="shared" si="308"/>
        <v>4950</v>
      </c>
      <c r="Q3313">
        <f t="shared" si="312"/>
        <v>4950</v>
      </c>
      <c r="T3313" s="16">
        <f t="shared" si="313"/>
        <v>0.37487478695363036</v>
      </c>
    </row>
    <row r="3314" spans="7:20" ht="14.4" x14ac:dyDescent="0.25">
      <c r="G3314" s="10">
        <v>6425</v>
      </c>
      <c r="H3314" s="9">
        <v>45670</v>
      </c>
      <c r="I3314" s="14">
        <f>DATE(2012,12,31)-146</f>
        <v>41128</v>
      </c>
      <c r="J3314" s="15" t="s">
        <v>25</v>
      </c>
      <c r="K3314" s="9">
        <v>2</v>
      </c>
      <c r="L3314" s="16" t="s">
        <v>26</v>
      </c>
      <c r="M3314" s="16">
        <f t="shared" si="309"/>
        <v>-1.627858735003791</v>
      </c>
      <c r="N3314">
        <f t="shared" si="310"/>
        <v>0</v>
      </c>
      <c r="O3314">
        <f t="shared" si="311"/>
        <v>0</v>
      </c>
      <c r="P3314">
        <f t="shared" si="308"/>
        <v>3500</v>
      </c>
      <c r="Q3314">
        <f t="shared" si="312"/>
        <v>3500</v>
      </c>
      <c r="T3314" s="16">
        <f t="shared" si="313"/>
        <v>-1.6278587350037912</v>
      </c>
    </row>
    <row r="3315" spans="7:20" ht="14.4" x14ac:dyDescent="0.25">
      <c r="G3315" s="10">
        <v>6542</v>
      </c>
      <c r="H3315" s="9">
        <v>46531</v>
      </c>
      <c r="I3315" s="14">
        <f>DATE(2012,12,31)-498</f>
        <v>40776</v>
      </c>
      <c r="J3315" s="15" t="s">
        <v>25</v>
      </c>
      <c r="K3315" s="9">
        <v>23</v>
      </c>
      <c r="L3315" s="16" t="s">
        <v>26</v>
      </c>
      <c r="M3315" s="16">
        <f t="shared" si="309"/>
        <v>-0.17760342600014073</v>
      </c>
      <c r="N3315">
        <f t="shared" si="310"/>
        <v>0</v>
      </c>
      <c r="O3315">
        <f t="shared" si="311"/>
        <v>0</v>
      </c>
      <c r="P3315">
        <f t="shared" si="308"/>
        <v>4550</v>
      </c>
      <c r="Q3315">
        <f t="shared" si="312"/>
        <v>4550</v>
      </c>
      <c r="T3315" s="16">
        <f t="shared" si="313"/>
        <v>-0.17760342600014112</v>
      </c>
    </row>
    <row r="3316" spans="7:20" ht="14.4" x14ac:dyDescent="0.25">
      <c r="G3316" s="10">
        <v>6691</v>
      </c>
      <c r="H3316" s="9">
        <v>47617</v>
      </c>
      <c r="I3316" s="14">
        <f>DATE(2012,12,31)-1119</f>
        <v>40155</v>
      </c>
      <c r="J3316" s="15" t="s">
        <v>28</v>
      </c>
      <c r="K3316" s="9">
        <v>17</v>
      </c>
      <c r="L3316" s="16" t="s">
        <v>26</v>
      </c>
      <c r="M3316" s="16">
        <f t="shared" si="309"/>
        <v>-0.59196208571546938</v>
      </c>
      <c r="N3316">
        <f t="shared" si="310"/>
        <v>0</v>
      </c>
      <c r="O3316">
        <f t="shared" si="311"/>
        <v>0</v>
      </c>
      <c r="P3316">
        <f t="shared" si="308"/>
        <v>4250</v>
      </c>
      <c r="Q3316">
        <f t="shared" si="312"/>
        <v>4250</v>
      </c>
      <c r="T3316" s="16">
        <f t="shared" si="313"/>
        <v>-0.59196208571546971</v>
      </c>
    </row>
    <row r="3317" spans="7:20" ht="14.4" x14ac:dyDescent="0.25">
      <c r="G3317" s="10">
        <v>6713</v>
      </c>
      <c r="H3317" s="9">
        <v>47842</v>
      </c>
      <c r="I3317" s="14">
        <f>DATE(2012,12,31)-964</f>
        <v>40310</v>
      </c>
      <c r="J3317" s="15" t="s">
        <v>16</v>
      </c>
      <c r="K3317" s="9">
        <v>50</v>
      </c>
      <c r="L3317" s="16" t="s">
        <v>26</v>
      </c>
      <c r="M3317" s="16">
        <f t="shared" si="309"/>
        <v>1.687010542718838</v>
      </c>
      <c r="N3317">
        <f t="shared" si="310"/>
        <v>0</v>
      </c>
      <c r="O3317">
        <f t="shared" si="311"/>
        <v>0</v>
      </c>
      <c r="P3317">
        <f t="shared" si="308"/>
        <v>5900</v>
      </c>
      <c r="Q3317">
        <f t="shared" si="312"/>
        <v>5900</v>
      </c>
      <c r="T3317" s="16">
        <f t="shared" si="313"/>
        <v>1.6870105427188375</v>
      </c>
    </row>
    <row r="3318" spans="7:20" ht="14.4" x14ac:dyDescent="0.25">
      <c r="G3318" s="10">
        <v>6819</v>
      </c>
      <c r="H3318" s="9">
        <v>48548</v>
      </c>
      <c r="I3318" s="14">
        <f>DATE(2012,12,31)-646</f>
        <v>40628</v>
      </c>
      <c r="J3318" s="15" t="s">
        <v>30</v>
      </c>
      <c r="K3318" s="9">
        <v>3</v>
      </c>
      <c r="L3318" s="16" t="s">
        <v>26</v>
      </c>
      <c r="M3318" s="16">
        <f t="shared" si="309"/>
        <v>-1.5587989583845694</v>
      </c>
      <c r="N3318">
        <f t="shared" si="310"/>
        <v>0</v>
      </c>
      <c r="O3318">
        <f t="shared" si="311"/>
        <v>0</v>
      </c>
      <c r="P3318">
        <f t="shared" si="308"/>
        <v>3550</v>
      </c>
      <c r="Q3318">
        <f t="shared" si="312"/>
        <v>3550</v>
      </c>
      <c r="T3318" s="16">
        <f t="shared" si="313"/>
        <v>-1.5587989583845698</v>
      </c>
    </row>
    <row r="3319" spans="7:20" ht="14.4" x14ac:dyDescent="0.25">
      <c r="G3319" s="10">
        <v>6880</v>
      </c>
      <c r="H3319" s="9">
        <v>49056</v>
      </c>
      <c r="I3319" s="14">
        <f>DATE(2012,12,31)-1187</f>
        <v>40087</v>
      </c>
      <c r="J3319" s="15" t="s">
        <v>17</v>
      </c>
      <c r="K3319" s="9">
        <v>46</v>
      </c>
      <c r="L3319" s="16" t="s">
        <v>26</v>
      </c>
      <c r="M3319" s="16">
        <f t="shared" si="309"/>
        <v>1.4107714362419523</v>
      </c>
      <c r="N3319">
        <f t="shared" si="310"/>
        <v>0</v>
      </c>
      <c r="O3319">
        <f t="shared" si="311"/>
        <v>0</v>
      </c>
      <c r="P3319">
        <f t="shared" si="308"/>
        <v>5700</v>
      </c>
      <c r="Q3319">
        <f t="shared" si="312"/>
        <v>5700</v>
      </c>
      <c r="T3319" s="16">
        <f t="shared" si="313"/>
        <v>1.4107714362419519</v>
      </c>
    </row>
    <row r="3320" spans="7:20" ht="14.4" x14ac:dyDescent="0.25">
      <c r="G3320" s="10">
        <v>7115</v>
      </c>
      <c r="H3320" s="9">
        <v>50759</v>
      </c>
      <c r="I3320" s="14">
        <f>DATE(2012,12,31)-1018</f>
        <v>40256</v>
      </c>
      <c r="J3320" s="15" t="s">
        <v>25</v>
      </c>
      <c r="K3320" s="9">
        <v>46</v>
      </c>
      <c r="L3320" s="16" t="s">
        <v>27</v>
      </c>
      <c r="M3320" s="16">
        <f t="shared" si="309"/>
        <v>1.4107714362419523</v>
      </c>
      <c r="N3320">
        <f t="shared" si="310"/>
        <v>0</v>
      </c>
      <c r="O3320">
        <f t="shared" si="311"/>
        <v>0</v>
      </c>
      <c r="P3320">
        <f t="shared" si="308"/>
        <v>5700</v>
      </c>
      <c r="Q3320">
        <f t="shared" si="312"/>
        <v>5700</v>
      </c>
      <c r="T3320" s="16">
        <f t="shared" si="313"/>
        <v>1.4107714362419519</v>
      </c>
    </row>
    <row r="3321" spans="7:20" ht="14.4" x14ac:dyDescent="0.25">
      <c r="G3321" s="10">
        <v>7229</v>
      </c>
      <c r="H3321" s="9">
        <v>51556</v>
      </c>
      <c r="I3321" s="14">
        <f>DATE(2012,12,31)-65</f>
        <v>41209</v>
      </c>
      <c r="J3321" s="15" t="s">
        <v>17</v>
      </c>
      <c r="K3321" s="9">
        <v>10</v>
      </c>
      <c r="L3321" s="16" t="s">
        <v>26</v>
      </c>
      <c r="M3321" s="16">
        <f t="shared" si="309"/>
        <v>-1.0753805220500194</v>
      </c>
      <c r="N3321">
        <f t="shared" si="310"/>
        <v>0</v>
      </c>
      <c r="O3321">
        <f t="shared" si="311"/>
        <v>0</v>
      </c>
      <c r="P3321">
        <f t="shared" si="308"/>
        <v>3900</v>
      </c>
      <c r="Q3321">
        <f t="shared" si="312"/>
        <v>3900</v>
      </c>
      <c r="T3321" s="16">
        <f t="shared" si="313"/>
        <v>-1.0753805220500199</v>
      </c>
    </row>
    <row r="3322" spans="7:20" ht="14.4" x14ac:dyDescent="0.25">
      <c r="G3322" s="10">
        <v>7240</v>
      </c>
      <c r="H3322" s="9">
        <v>51620</v>
      </c>
      <c r="I3322" s="14">
        <f>DATE(2012,12,31)-298</f>
        <v>40976</v>
      </c>
      <c r="J3322" s="15" t="s">
        <v>16</v>
      </c>
      <c r="K3322" s="9">
        <v>12</v>
      </c>
      <c r="L3322" s="16" t="s">
        <v>26</v>
      </c>
      <c r="M3322" s="16">
        <f t="shared" si="309"/>
        <v>-0.9372609688115765</v>
      </c>
      <c r="N3322">
        <f t="shared" si="310"/>
        <v>0</v>
      </c>
      <c r="O3322">
        <f t="shared" si="311"/>
        <v>0</v>
      </c>
      <c r="P3322">
        <f t="shared" si="308"/>
        <v>4000</v>
      </c>
      <c r="Q3322">
        <f t="shared" si="312"/>
        <v>4000</v>
      </c>
      <c r="T3322" s="16">
        <f t="shared" si="313"/>
        <v>-0.93726096881157694</v>
      </c>
    </row>
    <row r="3323" spans="7:20" ht="14.4" x14ac:dyDescent="0.25">
      <c r="G3323" s="10">
        <v>7406</v>
      </c>
      <c r="H3323" s="9">
        <v>52837</v>
      </c>
      <c r="I3323" s="14">
        <f>DATE(2012,12,31)-348</f>
        <v>40926</v>
      </c>
      <c r="J3323" s="15" t="s">
        <v>30</v>
      </c>
      <c r="K3323" s="9">
        <v>32</v>
      </c>
      <c r="L3323" s="16" t="s">
        <v>26</v>
      </c>
      <c r="M3323" s="16">
        <f t="shared" si="309"/>
        <v>0.44393456357285216</v>
      </c>
      <c r="N3323">
        <f t="shared" si="310"/>
        <v>0</v>
      </c>
      <c r="O3323">
        <f t="shared" si="311"/>
        <v>0</v>
      </c>
      <c r="P3323">
        <f t="shared" si="308"/>
        <v>5000</v>
      </c>
      <c r="Q3323">
        <f t="shared" si="312"/>
        <v>5000</v>
      </c>
      <c r="T3323" s="16">
        <f t="shared" si="313"/>
        <v>0.44393456357285183</v>
      </c>
    </row>
    <row r="3324" spans="7:20" ht="14.4" x14ac:dyDescent="0.25">
      <c r="G3324" s="10">
        <v>7629</v>
      </c>
      <c r="H3324" s="9">
        <v>54592</v>
      </c>
      <c r="I3324" s="14">
        <f>DATE(2012,12,31)-568</f>
        <v>40706</v>
      </c>
      <c r="J3324" s="15" t="s">
        <v>25</v>
      </c>
      <c r="K3324" s="9">
        <v>28</v>
      </c>
      <c r="L3324" s="16" t="s">
        <v>29</v>
      </c>
      <c r="M3324" s="16">
        <f t="shared" si="309"/>
        <v>0.16769545709596645</v>
      </c>
      <c r="N3324">
        <f t="shared" si="310"/>
        <v>0</v>
      </c>
      <c r="O3324">
        <f t="shared" si="311"/>
        <v>0</v>
      </c>
      <c r="P3324">
        <f t="shared" si="308"/>
        <v>4800</v>
      </c>
      <c r="Q3324">
        <f t="shared" si="312"/>
        <v>4800</v>
      </c>
      <c r="T3324" s="16">
        <f t="shared" si="313"/>
        <v>0.16769545709596606</v>
      </c>
    </row>
    <row r="3325" spans="7:20" ht="14.4" x14ac:dyDescent="0.25">
      <c r="G3325" s="10">
        <v>7700</v>
      </c>
      <c r="H3325" s="9">
        <v>55202</v>
      </c>
      <c r="I3325" s="14">
        <f>DATE(2012,12,31)-495</f>
        <v>40779</v>
      </c>
      <c r="J3325" s="15" t="s">
        <v>25</v>
      </c>
      <c r="K3325" s="9">
        <v>33</v>
      </c>
      <c r="L3325" s="16" t="s">
        <v>26</v>
      </c>
      <c r="M3325" s="16">
        <f t="shared" si="309"/>
        <v>0.51299434019207357</v>
      </c>
      <c r="N3325">
        <f t="shared" si="310"/>
        <v>0</v>
      </c>
      <c r="O3325">
        <f t="shared" si="311"/>
        <v>0</v>
      </c>
      <c r="P3325">
        <f t="shared" si="308"/>
        <v>5050</v>
      </c>
      <c r="Q3325">
        <f t="shared" si="312"/>
        <v>5050</v>
      </c>
      <c r="T3325" s="16">
        <f t="shared" si="313"/>
        <v>0.51299434019207324</v>
      </c>
    </row>
    <row r="3326" spans="7:20" ht="14.4" x14ac:dyDescent="0.25">
      <c r="G3326" s="10">
        <v>7707</v>
      </c>
      <c r="H3326" s="9">
        <v>55239</v>
      </c>
      <c r="I3326" s="14">
        <f>DATE(2012,12,31)-28</f>
        <v>41246</v>
      </c>
      <c r="J3326" s="15" t="s">
        <v>30</v>
      </c>
      <c r="K3326" s="9">
        <v>6</v>
      </c>
      <c r="L3326" s="16" t="s">
        <v>29</v>
      </c>
      <c r="M3326" s="16">
        <f t="shared" si="309"/>
        <v>-1.3516196285269051</v>
      </c>
      <c r="N3326">
        <f t="shared" si="310"/>
        <v>0</v>
      </c>
      <c r="O3326">
        <f t="shared" si="311"/>
        <v>0</v>
      </c>
      <c r="P3326">
        <f t="shared" si="308"/>
        <v>3700</v>
      </c>
      <c r="Q3326">
        <f t="shared" si="312"/>
        <v>3700</v>
      </c>
      <c r="T3326" s="16">
        <f t="shared" si="313"/>
        <v>-1.3516196285269055</v>
      </c>
    </row>
    <row r="3327" spans="7:20" ht="14.4" x14ac:dyDescent="0.25">
      <c r="G3327" s="10">
        <v>8111</v>
      </c>
      <c r="H3327" s="9">
        <v>57894</v>
      </c>
      <c r="I3327" s="14">
        <f>DATE(2012,12,31)-272</f>
        <v>41002</v>
      </c>
      <c r="J3327" s="15" t="s">
        <v>25</v>
      </c>
      <c r="K3327" s="9">
        <v>47</v>
      </c>
      <c r="L3327" s="16" t="s">
        <v>27</v>
      </c>
      <c r="M3327" s="16">
        <f t="shared" si="309"/>
        <v>1.4798312128611737</v>
      </c>
      <c r="N3327">
        <f t="shared" si="310"/>
        <v>0</v>
      </c>
      <c r="O3327">
        <f t="shared" si="311"/>
        <v>0</v>
      </c>
      <c r="P3327">
        <f t="shared" si="308"/>
        <v>5750</v>
      </c>
      <c r="Q3327">
        <f t="shared" si="312"/>
        <v>5750</v>
      </c>
      <c r="T3327" s="16">
        <f t="shared" si="313"/>
        <v>1.4798312128611733</v>
      </c>
    </row>
    <row r="3328" spans="7:20" ht="14.4" x14ac:dyDescent="0.25">
      <c r="G3328" s="10">
        <v>8196</v>
      </c>
      <c r="H3328" s="9">
        <v>58599</v>
      </c>
      <c r="I3328" s="14">
        <f>DATE(2012,12,31)-1082</f>
        <v>40192</v>
      </c>
      <c r="J3328" s="15" t="s">
        <v>30</v>
      </c>
      <c r="K3328" s="9">
        <v>19</v>
      </c>
      <c r="L3328" s="16" t="s">
        <v>29</v>
      </c>
      <c r="M3328" s="16">
        <f t="shared" si="309"/>
        <v>-0.45384253247702649</v>
      </c>
      <c r="N3328">
        <f t="shared" si="310"/>
        <v>0</v>
      </c>
      <c r="O3328">
        <f t="shared" si="311"/>
        <v>0</v>
      </c>
      <c r="P3328">
        <f t="shared" si="308"/>
        <v>4350</v>
      </c>
      <c r="Q3328">
        <f t="shared" si="312"/>
        <v>4350</v>
      </c>
      <c r="T3328" s="16">
        <f t="shared" si="313"/>
        <v>-0.45384253247702688</v>
      </c>
    </row>
    <row r="3329" spans="7:20" ht="14.4" x14ac:dyDescent="0.25">
      <c r="G3329" s="10">
        <v>22</v>
      </c>
      <c r="H3329" s="9">
        <v>132</v>
      </c>
      <c r="I3329" s="14">
        <f>DATE(2012,12,31)-935</f>
        <v>40339</v>
      </c>
      <c r="J3329" s="15" t="s">
        <v>16</v>
      </c>
      <c r="K3329" s="9">
        <v>27</v>
      </c>
      <c r="L3329" s="16" t="s">
        <v>27</v>
      </c>
      <c r="M3329" s="16">
        <f t="shared" si="309"/>
        <v>9.8635680476745008E-2</v>
      </c>
      <c r="N3329">
        <f t="shared" si="310"/>
        <v>0</v>
      </c>
      <c r="O3329">
        <f t="shared" si="311"/>
        <v>0</v>
      </c>
      <c r="P3329">
        <f t="shared" si="308"/>
        <v>4750</v>
      </c>
      <c r="Q3329">
        <f t="shared" si="312"/>
        <v>4750</v>
      </c>
      <c r="T3329" s="16">
        <f t="shared" si="313"/>
        <v>9.8635680476744619E-2</v>
      </c>
    </row>
    <row r="3330" spans="7:20" ht="14.4" x14ac:dyDescent="0.25">
      <c r="G3330" s="10">
        <v>182</v>
      </c>
      <c r="H3330" s="9">
        <v>1191</v>
      </c>
      <c r="I3330" s="14">
        <f>DATE(2012,12,31)-421</f>
        <v>40853</v>
      </c>
      <c r="J3330" s="15" t="s">
        <v>16</v>
      </c>
      <c r="K3330" s="9">
        <v>35</v>
      </c>
      <c r="L3330" s="16" t="s">
        <v>29</v>
      </c>
      <c r="M3330" s="16">
        <f t="shared" si="309"/>
        <v>0.65111389343051651</v>
      </c>
      <c r="N3330">
        <f t="shared" si="310"/>
        <v>0</v>
      </c>
      <c r="O3330">
        <f t="shared" si="311"/>
        <v>0</v>
      </c>
      <c r="P3330">
        <f t="shared" si="308"/>
        <v>5150</v>
      </c>
      <c r="Q3330">
        <f t="shared" si="312"/>
        <v>5150</v>
      </c>
      <c r="T3330" s="16">
        <f t="shared" si="313"/>
        <v>0.65111389343051607</v>
      </c>
    </row>
    <row r="3331" spans="7:20" ht="14.4" x14ac:dyDescent="0.25">
      <c r="G3331" s="10">
        <v>220</v>
      </c>
      <c r="H3331" s="9">
        <v>1444</v>
      </c>
      <c r="I3331" s="14">
        <f>DATE(2012,12,31)-1122</f>
        <v>40152</v>
      </c>
      <c r="J3331" s="15" t="s">
        <v>16</v>
      </c>
      <c r="K3331" s="9">
        <v>24</v>
      </c>
      <c r="L3331" s="16" t="s">
        <v>26</v>
      </c>
      <c r="M3331" s="16">
        <f t="shared" si="309"/>
        <v>-0.1085436493809193</v>
      </c>
      <c r="N3331">
        <f t="shared" si="310"/>
        <v>0</v>
      </c>
      <c r="O3331">
        <f t="shared" si="311"/>
        <v>0</v>
      </c>
      <c r="P3331">
        <f t="shared" si="308"/>
        <v>4600</v>
      </c>
      <c r="Q3331">
        <f t="shared" si="312"/>
        <v>4600</v>
      </c>
      <c r="T3331" s="16">
        <f t="shared" si="313"/>
        <v>-0.10854364938091969</v>
      </c>
    </row>
    <row r="3332" spans="7:20" ht="14.4" x14ac:dyDescent="0.25">
      <c r="G3332" s="10">
        <v>284</v>
      </c>
      <c r="H3332" s="9">
        <v>1985</v>
      </c>
      <c r="I3332" s="14">
        <f>DATE(2012,12,31)-1217</f>
        <v>40057</v>
      </c>
      <c r="J3332" s="15" t="s">
        <v>28</v>
      </c>
      <c r="K3332" s="9">
        <v>1</v>
      </c>
      <c r="L3332" s="16" t="s">
        <v>26</v>
      </c>
      <c r="M3332" s="16">
        <f t="shared" si="309"/>
        <v>-1.6969185116230123</v>
      </c>
      <c r="N3332">
        <f t="shared" si="310"/>
        <v>0</v>
      </c>
      <c r="O3332">
        <f t="shared" si="311"/>
        <v>0</v>
      </c>
      <c r="P3332">
        <f t="shared" si="308"/>
        <v>3450</v>
      </c>
      <c r="Q3332">
        <f t="shared" si="312"/>
        <v>3450</v>
      </c>
      <c r="T3332" s="16">
        <f t="shared" si="313"/>
        <v>-1.6969185116230128</v>
      </c>
    </row>
    <row r="3333" spans="7:20" ht="14.4" x14ac:dyDescent="0.25">
      <c r="G3333" s="10">
        <v>285</v>
      </c>
      <c r="H3333" s="9">
        <v>1988</v>
      </c>
      <c r="I3333" s="14">
        <f>DATE(2012,12,31)-453</f>
        <v>40821</v>
      </c>
      <c r="J3333" s="15" t="s">
        <v>28</v>
      </c>
      <c r="K3333" s="9">
        <v>9</v>
      </c>
      <c r="L3333" s="16" t="s">
        <v>26</v>
      </c>
      <c r="M3333" s="16">
        <f t="shared" si="309"/>
        <v>-1.1444402986692408</v>
      </c>
      <c r="N3333">
        <f t="shared" si="310"/>
        <v>0</v>
      </c>
      <c r="O3333">
        <f t="shared" si="311"/>
        <v>0</v>
      </c>
      <c r="P3333">
        <f t="shared" si="308"/>
        <v>3850</v>
      </c>
      <c r="Q3333">
        <f t="shared" si="312"/>
        <v>3850</v>
      </c>
      <c r="T3333" s="16">
        <f t="shared" si="313"/>
        <v>-1.1444402986692412</v>
      </c>
    </row>
    <row r="3334" spans="7:20" ht="14.4" x14ac:dyDescent="0.25">
      <c r="G3334" s="10">
        <v>337</v>
      </c>
      <c r="H3334" s="9">
        <v>2305</v>
      </c>
      <c r="I3334" s="14">
        <f>DATE(2012,12,31)-1071</f>
        <v>40203</v>
      </c>
      <c r="J3334" s="15" t="s">
        <v>17</v>
      </c>
      <c r="K3334" s="9">
        <v>11</v>
      </c>
      <c r="L3334" s="16" t="s">
        <v>26</v>
      </c>
      <c r="M3334" s="16">
        <f t="shared" si="309"/>
        <v>-1.0063207454307979</v>
      </c>
      <c r="N3334">
        <f t="shared" si="310"/>
        <v>0</v>
      </c>
      <c r="O3334">
        <f t="shared" si="311"/>
        <v>0</v>
      </c>
      <c r="P3334">
        <f t="shared" si="308"/>
        <v>3950</v>
      </c>
      <c r="Q3334">
        <f t="shared" si="312"/>
        <v>3950</v>
      </c>
      <c r="T3334" s="16">
        <f t="shared" si="313"/>
        <v>-1.0063207454307983</v>
      </c>
    </row>
    <row r="3335" spans="7:20" ht="14.4" x14ac:dyDescent="0.25">
      <c r="G3335" s="10">
        <v>495</v>
      </c>
      <c r="H3335" s="9">
        <v>3397</v>
      </c>
      <c r="I3335" s="14">
        <f>DATE(2012,12,31)-1288</f>
        <v>39986</v>
      </c>
      <c r="J3335" s="15" t="s">
        <v>16</v>
      </c>
      <c r="K3335" s="9">
        <v>11</v>
      </c>
      <c r="L3335" s="16" t="s">
        <v>26</v>
      </c>
      <c r="M3335" s="16">
        <f t="shared" si="309"/>
        <v>-1.0063207454307979</v>
      </c>
      <c r="N3335">
        <f t="shared" si="310"/>
        <v>0</v>
      </c>
      <c r="O3335">
        <f t="shared" si="311"/>
        <v>0</v>
      </c>
      <c r="P3335">
        <f t="shared" si="308"/>
        <v>3950</v>
      </c>
      <c r="Q3335">
        <f t="shared" si="312"/>
        <v>3950</v>
      </c>
      <c r="T3335" s="16">
        <f t="shared" si="313"/>
        <v>-1.0063207454307983</v>
      </c>
    </row>
    <row r="3336" spans="7:20" ht="14.4" x14ac:dyDescent="0.25">
      <c r="G3336" s="10">
        <v>547</v>
      </c>
      <c r="H3336" s="9">
        <v>3680</v>
      </c>
      <c r="I3336" s="14">
        <f>DATE(2012,12,31)-22</f>
        <v>41252</v>
      </c>
      <c r="J3336" s="15" t="s">
        <v>28</v>
      </c>
      <c r="K3336" s="9">
        <v>24</v>
      </c>
      <c r="L3336" s="16" t="s">
        <v>26</v>
      </c>
      <c r="M3336" s="16">
        <f t="shared" si="309"/>
        <v>-0.1085436493809193</v>
      </c>
      <c r="N3336">
        <f t="shared" si="310"/>
        <v>0</v>
      </c>
      <c r="O3336">
        <f t="shared" si="311"/>
        <v>0</v>
      </c>
      <c r="P3336">
        <f t="shared" si="308"/>
        <v>4600</v>
      </c>
      <c r="Q3336">
        <f t="shared" si="312"/>
        <v>4600</v>
      </c>
      <c r="T3336" s="16">
        <f t="shared" si="313"/>
        <v>-0.10854364938091969</v>
      </c>
    </row>
    <row r="3337" spans="7:20" ht="14.4" x14ac:dyDescent="0.25">
      <c r="G3337" s="10">
        <v>572</v>
      </c>
      <c r="H3337" s="9">
        <v>3877</v>
      </c>
      <c r="I3337" s="14">
        <f>DATE(2012,12,31)-956</f>
        <v>40318</v>
      </c>
      <c r="J3337" s="15" t="s">
        <v>25</v>
      </c>
      <c r="K3337" s="9">
        <v>14</v>
      </c>
      <c r="L3337" s="16" t="s">
        <v>26</v>
      </c>
      <c r="M3337" s="16">
        <f t="shared" si="309"/>
        <v>-0.79914141557313367</v>
      </c>
      <c r="N3337">
        <f t="shared" si="310"/>
        <v>0</v>
      </c>
      <c r="O3337">
        <f t="shared" si="311"/>
        <v>0</v>
      </c>
      <c r="P3337">
        <f t="shared" si="308"/>
        <v>4100</v>
      </c>
      <c r="Q3337">
        <f t="shared" si="312"/>
        <v>4100</v>
      </c>
      <c r="T3337" s="16">
        <f t="shared" si="313"/>
        <v>-0.79914141557313401</v>
      </c>
    </row>
    <row r="3338" spans="7:20" ht="14.4" x14ac:dyDescent="0.25">
      <c r="G3338" s="10">
        <v>589</v>
      </c>
      <c r="H3338" s="9">
        <v>4033</v>
      </c>
      <c r="I3338" s="14">
        <f>DATE(2012,12,31)-944</f>
        <v>40330</v>
      </c>
      <c r="J3338" s="15" t="s">
        <v>25</v>
      </c>
      <c r="K3338" s="9">
        <v>21</v>
      </c>
      <c r="L3338" s="16" t="s">
        <v>26</v>
      </c>
      <c r="M3338" s="16">
        <f t="shared" si="309"/>
        <v>-0.31572297923858361</v>
      </c>
      <c r="N3338">
        <f t="shared" si="310"/>
        <v>0</v>
      </c>
      <c r="O3338">
        <f t="shared" si="311"/>
        <v>0</v>
      </c>
      <c r="P3338">
        <f t="shared" si="308"/>
        <v>4450</v>
      </c>
      <c r="Q3338">
        <f t="shared" si="312"/>
        <v>4450</v>
      </c>
      <c r="T3338" s="16">
        <f t="shared" si="313"/>
        <v>-0.315722979238584</v>
      </c>
    </row>
    <row r="3339" spans="7:20" ht="14.4" x14ac:dyDescent="0.25">
      <c r="G3339" s="10">
        <v>604</v>
      </c>
      <c r="H3339" s="9">
        <v>4103</v>
      </c>
      <c r="I3339" s="14">
        <f>DATE(2012,12,31)-182</f>
        <v>41092</v>
      </c>
      <c r="J3339" s="15" t="s">
        <v>25</v>
      </c>
      <c r="K3339" s="9">
        <v>3</v>
      </c>
      <c r="L3339" s="16" t="s">
        <v>26</v>
      </c>
      <c r="M3339" s="16">
        <f t="shared" si="309"/>
        <v>-1.5587989583845694</v>
      </c>
      <c r="N3339">
        <f t="shared" si="310"/>
        <v>0</v>
      </c>
      <c r="O3339">
        <f t="shared" si="311"/>
        <v>0</v>
      </c>
      <c r="P3339">
        <f t="shared" si="308"/>
        <v>3550</v>
      </c>
      <c r="Q3339">
        <f t="shared" si="312"/>
        <v>3550</v>
      </c>
      <c r="T3339" s="16">
        <f t="shared" si="313"/>
        <v>-1.5587989583845698</v>
      </c>
    </row>
    <row r="3340" spans="7:20" ht="14.4" x14ac:dyDescent="0.25">
      <c r="G3340" s="10">
        <v>637</v>
      </c>
      <c r="H3340" s="9">
        <v>4455</v>
      </c>
      <c r="I3340" s="14">
        <f>DATE(2012,12,31)-813</f>
        <v>40461</v>
      </c>
      <c r="J3340" s="15" t="s">
        <v>16</v>
      </c>
      <c r="K3340" s="9">
        <v>39</v>
      </c>
      <c r="L3340" s="16" t="s">
        <v>29</v>
      </c>
      <c r="M3340" s="16">
        <f t="shared" si="309"/>
        <v>0.92735299990740228</v>
      </c>
      <c r="N3340">
        <f t="shared" si="310"/>
        <v>0</v>
      </c>
      <c r="O3340">
        <f t="shared" si="311"/>
        <v>0</v>
      </c>
      <c r="P3340">
        <f t="shared" ref="P3340:P3403" si="314">50*K3340+$P$10</f>
        <v>5350</v>
      </c>
      <c r="Q3340">
        <f t="shared" si="312"/>
        <v>5350</v>
      </c>
      <c r="T3340" s="16">
        <f t="shared" si="313"/>
        <v>0.92735299990740183</v>
      </c>
    </row>
    <row r="3341" spans="7:20" ht="14.4" x14ac:dyDescent="0.25">
      <c r="G3341" s="10">
        <v>701</v>
      </c>
      <c r="H3341" s="9">
        <v>4896</v>
      </c>
      <c r="I3341" s="14">
        <f>DATE(2012,12,31)-132</f>
        <v>41142</v>
      </c>
      <c r="J3341" s="15" t="s">
        <v>30</v>
      </c>
      <c r="K3341" s="9">
        <v>21</v>
      </c>
      <c r="L3341" s="16" t="s">
        <v>26</v>
      </c>
      <c r="M3341" s="16">
        <f t="shared" ref="M3341:M3404" si="315">(K3341-$K$4)/$K$7</f>
        <v>-0.31572297923858361</v>
      </c>
      <c r="N3341">
        <f t="shared" ref="N3341:N3404" si="316">IF(MOD($B$20+G3341,1000)=0,1,0)</f>
        <v>0</v>
      </c>
      <c r="O3341">
        <f t="shared" ref="O3341:O3404" si="317">+ROUND(N3341*(IF(K3341&lt;$K$4,-4.5,10.5)*$P$5),-2)</f>
        <v>0</v>
      </c>
      <c r="P3341">
        <f t="shared" si="314"/>
        <v>4450</v>
      </c>
      <c r="Q3341">
        <f t="shared" ref="Q3341:Q3404" si="318">P3341+O3341</f>
        <v>4450</v>
      </c>
      <c r="T3341" s="16">
        <f t="shared" ref="T3341:T3404" si="319">(Q3341-$P$4)/$P$5</f>
        <v>-0.315722979238584</v>
      </c>
    </row>
    <row r="3342" spans="7:20" ht="14.4" x14ac:dyDescent="0.25">
      <c r="G3342" s="10">
        <v>706</v>
      </c>
      <c r="H3342" s="9">
        <v>4960</v>
      </c>
      <c r="I3342" s="14">
        <f>DATE(2012,12,31)-675</f>
        <v>40599</v>
      </c>
      <c r="J3342" s="15" t="s">
        <v>25</v>
      </c>
      <c r="K3342" s="9">
        <v>4</v>
      </c>
      <c r="L3342" s="16" t="s">
        <v>26</v>
      </c>
      <c r="M3342" s="16">
        <f t="shared" si="315"/>
        <v>-1.489739181765348</v>
      </c>
      <c r="N3342">
        <f t="shared" si="316"/>
        <v>0</v>
      </c>
      <c r="O3342">
        <f t="shared" si="317"/>
        <v>0</v>
      </c>
      <c r="P3342">
        <f t="shared" si="314"/>
        <v>3600</v>
      </c>
      <c r="Q3342">
        <f t="shared" si="318"/>
        <v>3600</v>
      </c>
      <c r="T3342" s="16">
        <f t="shared" si="319"/>
        <v>-1.4897391817653485</v>
      </c>
    </row>
    <row r="3343" spans="7:20" ht="14.4" x14ac:dyDescent="0.25">
      <c r="G3343" s="10">
        <v>723</v>
      </c>
      <c r="H3343" s="9">
        <v>5189</v>
      </c>
      <c r="I3343" s="14">
        <f>DATE(2012,12,31)-767</f>
        <v>40507</v>
      </c>
      <c r="J3343" s="15" t="s">
        <v>25</v>
      </c>
      <c r="K3343" s="9">
        <v>14</v>
      </c>
      <c r="L3343" s="16" t="s">
        <v>26</v>
      </c>
      <c r="M3343" s="16">
        <f t="shared" si="315"/>
        <v>-0.79914141557313367</v>
      </c>
      <c r="N3343">
        <f t="shared" si="316"/>
        <v>0</v>
      </c>
      <c r="O3343">
        <f t="shared" si="317"/>
        <v>0</v>
      </c>
      <c r="P3343">
        <f t="shared" si="314"/>
        <v>4100</v>
      </c>
      <c r="Q3343">
        <f t="shared" si="318"/>
        <v>4100</v>
      </c>
      <c r="T3343" s="16">
        <f t="shared" si="319"/>
        <v>-0.79914141557313401</v>
      </c>
    </row>
    <row r="3344" spans="7:20" ht="14.4" x14ac:dyDescent="0.25">
      <c r="G3344" s="10">
        <v>848</v>
      </c>
      <c r="H3344" s="9">
        <v>6086</v>
      </c>
      <c r="I3344" s="14">
        <f>DATE(2012,12,31)-466</f>
        <v>40808</v>
      </c>
      <c r="J3344" s="15" t="s">
        <v>30</v>
      </c>
      <c r="K3344" s="9">
        <v>48</v>
      </c>
      <c r="L3344" s="16" t="s">
        <v>26</v>
      </c>
      <c r="M3344" s="16">
        <f t="shared" si="315"/>
        <v>1.5488909894803951</v>
      </c>
      <c r="N3344">
        <f t="shared" si="316"/>
        <v>0</v>
      </c>
      <c r="O3344">
        <f t="shared" si="317"/>
        <v>0</v>
      </c>
      <c r="P3344">
        <f t="shared" si="314"/>
        <v>5800</v>
      </c>
      <c r="Q3344">
        <f t="shared" si="318"/>
        <v>5800</v>
      </c>
      <c r="T3344" s="16">
        <f t="shared" si="319"/>
        <v>1.5488909894803948</v>
      </c>
    </row>
    <row r="3345" spans="7:20" ht="14.4" x14ac:dyDescent="0.25">
      <c r="G3345" s="10">
        <v>955</v>
      </c>
      <c r="H3345" s="9">
        <v>6912</v>
      </c>
      <c r="I3345" s="14">
        <f>DATE(2012,12,31)-387</f>
        <v>40887</v>
      </c>
      <c r="J3345" s="15" t="s">
        <v>28</v>
      </c>
      <c r="K3345" s="9">
        <v>14</v>
      </c>
      <c r="L3345" s="16" t="s">
        <v>26</v>
      </c>
      <c r="M3345" s="16">
        <f t="shared" si="315"/>
        <v>-0.79914141557313367</v>
      </c>
      <c r="N3345">
        <f t="shared" si="316"/>
        <v>0</v>
      </c>
      <c r="O3345">
        <f t="shared" si="317"/>
        <v>0</v>
      </c>
      <c r="P3345">
        <f t="shared" si="314"/>
        <v>4100</v>
      </c>
      <c r="Q3345">
        <f t="shared" si="318"/>
        <v>4100</v>
      </c>
      <c r="T3345" s="16">
        <f t="shared" si="319"/>
        <v>-0.79914141557313401</v>
      </c>
    </row>
    <row r="3346" spans="7:20" ht="14.4" x14ac:dyDescent="0.25">
      <c r="G3346" s="10">
        <v>960</v>
      </c>
      <c r="H3346" s="9">
        <v>6950</v>
      </c>
      <c r="I3346" s="14">
        <f>DATE(2012,12,31)-280</f>
        <v>40994</v>
      </c>
      <c r="J3346" s="15" t="s">
        <v>25</v>
      </c>
      <c r="K3346" s="9">
        <v>4</v>
      </c>
      <c r="L3346" s="16" t="s">
        <v>27</v>
      </c>
      <c r="M3346" s="16">
        <f t="shared" si="315"/>
        <v>-1.489739181765348</v>
      </c>
      <c r="N3346">
        <f t="shared" si="316"/>
        <v>0</v>
      </c>
      <c r="O3346">
        <f t="shared" si="317"/>
        <v>0</v>
      </c>
      <c r="P3346">
        <f t="shared" si="314"/>
        <v>3600</v>
      </c>
      <c r="Q3346">
        <f t="shared" si="318"/>
        <v>3600</v>
      </c>
      <c r="T3346" s="16">
        <f t="shared" si="319"/>
        <v>-1.4897391817653485</v>
      </c>
    </row>
    <row r="3347" spans="7:20" ht="14.4" x14ac:dyDescent="0.25">
      <c r="G3347" s="10">
        <v>972</v>
      </c>
      <c r="H3347" s="9">
        <v>7075</v>
      </c>
      <c r="I3347" s="14">
        <f>DATE(2012,12,31)-448</f>
        <v>40826</v>
      </c>
      <c r="J3347" s="15" t="s">
        <v>25</v>
      </c>
      <c r="K3347" s="9">
        <v>15</v>
      </c>
      <c r="L3347" s="16" t="s">
        <v>26</v>
      </c>
      <c r="M3347" s="16">
        <f t="shared" si="315"/>
        <v>-0.7300816389539122</v>
      </c>
      <c r="N3347">
        <f t="shared" si="316"/>
        <v>0</v>
      </c>
      <c r="O3347">
        <f t="shared" si="317"/>
        <v>0</v>
      </c>
      <c r="P3347">
        <f t="shared" si="314"/>
        <v>4150</v>
      </c>
      <c r="Q3347">
        <f t="shared" si="318"/>
        <v>4150</v>
      </c>
      <c r="T3347" s="16">
        <f t="shared" si="319"/>
        <v>-0.73008163895391265</v>
      </c>
    </row>
    <row r="3348" spans="7:20" ht="14.4" x14ac:dyDescent="0.25">
      <c r="G3348" s="10">
        <v>973</v>
      </c>
      <c r="H3348" s="9">
        <v>7075</v>
      </c>
      <c r="I3348" s="14">
        <f>DATE(2012,12,31)-448</f>
        <v>40826</v>
      </c>
      <c r="J3348" s="15" t="s">
        <v>25</v>
      </c>
      <c r="K3348" s="9">
        <v>43</v>
      </c>
      <c r="L3348" s="16" t="s">
        <v>26</v>
      </c>
      <c r="M3348" s="16">
        <f t="shared" si="315"/>
        <v>1.203592106384288</v>
      </c>
      <c r="N3348">
        <f t="shared" si="316"/>
        <v>0</v>
      </c>
      <c r="O3348">
        <f t="shared" si="317"/>
        <v>0</v>
      </c>
      <c r="P3348">
        <f t="shared" si="314"/>
        <v>5550</v>
      </c>
      <c r="Q3348">
        <f t="shared" si="318"/>
        <v>5550</v>
      </c>
      <c r="T3348" s="16">
        <f t="shared" si="319"/>
        <v>1.2035921063842876</v>
      </c>
    </row>
    <row r="3349" spans="7:20" ht="14.4" x14ac:dyDescent="0.25">
      <c r="G3349" s="10">
        <v>1003</v>
      </c>
      <c r="H3349" s="9">
        <v>7297</v>
      </c>
      <c r="I3349" s="14">
        <f>DATE(2012,12,31)-1204</f>
        <v>40070</v>
      </c>
      <c r="J3349" s="15" t="s">
        <v>17</v>
      </c>
      <c r="K3349" s="9">
        <v>7</v>
      </c>
      <c r="L3349" s="16" t="s">
        <v>27</v>
      </c>
      <c r="M3349" s="16">
        <f t="shared" si="315"/>
        <v>-1.2825598519076837</v>
      </c>
      <c r="N3349">
        <f t="shared" si="316"/>
        <v>0</v>
      </c>
      <c r="O3349">
        <f t="shared" si="317"/>
        <v>0</v>
      </c>
      <c r="P3349">
        <f t="shared" si="314"/>
        <v>3750</v>
      </c>
      <c r="Q3349">
        <f t="shared" si="318"/>
        <v>3750</v>
      </c>
      <c r="T3349" s="16">
        <f t="shared" si="319"/>
        <v>-1.2825598519076842</v>
      </c>
    </row>
    <row r="3350" spans="7:20" ht="14.4" x14ac:dyDescent="0.25">
      <c r="G3350" s="10">
        <v>1080</v>
      </c>
      <c r="H3350" s="9">
        <v>7938</v>
      </c>
      <c r="I3350" s="14">
        <f>DATE(2012,12,31)-1024</f>
        <v>40250</v>
      </c>
      <c r="J3350" s="15" t="s">
        <v>16</v>
      </c>
      <c r="K3350" s="9">
        <v>23</v>
      </c>
      <c r="L3350" s="16" t="s">
        <v>26</v>
      </c>
      <c r="M3350" s="16">
        <f t="shared" si="315"/>
        <v>-0.17760342600014073</v>
      </c>
      <c r="N3350">
        <f t="shared" si="316"/>
        <v>0</v>
      </c>
      <c r="O3350">
        <f t="shared" si="317"/>
        <v>0</v>
      </c>
      <c r="P3350">
        <f t="shared" si="314"/>
        <v>4550</v>
      </c>
      <c r="Q3350">
        <f t="shared" si="318"/>
        <v>4550</v>
      </c>
      <c r="T3350" s="16">
        <f t="shared" si="319"/>
        <v>-0.17760342600014112</v>
      </c>
    </row>
    <row r="3351" spans="7:20" ht="14.4" x14ac:dyDescent="0.25">
      <c r="G3351" s="10">
        <v>1099</v>
      </c>
      <c r="H3351" s="9">
        <v>8065</v>
      </c>
      <c r="I3351" s="14">
        <f>DATE(2012,12,31)-71</f>
        <v>41203</v>
      </c>
      <c r="J3351" s="15" t="s">
        <v>16</v>
      </c>
      <c r="K3351" s="9">
        <v>17</v>
      </c>
      <c r="L3351" s="16" t="s">
        <v>29</v>
      </c>
      <c r="M3351" s="16">
        <f t="shared" si="315"/>
        <v>-0.59196208571546938</v>
      </c>
      <c r="N3351">
        <f t="shared" si="316"/>
        <v>0</v>
      </c>
      <c r="O3351">
        <f t="shared" si="317"/>
        <v>0</v>
      </c>
      <c r="P3351">
        <f t="shared" si="314"/>
        <v>4250</v>
      </c>
      <c r="Q3351">
        <f t="shared" si="318"/>
        <v>4250</v>
      </c>
      <c r="T3351" s="16">
        <f t="shared" si="319"/>
        <v>-0.59196208571546971</v>
      </c>
    </row>
    <row r="3352" spans="7:20" ht="14.4" x14ac:dyDescent="0.25">
      <c r="G3352" s="10">
        <v>1135</v>
      </c>
      <c r="H3352" s="9">
        <v>8292</v>
      </c>
      <c r="I3352" s="14">
        <f>DATE(2012,12,31)-1064</f>
        <v>40210</v>
      </c>
      <c r="J3352" s="15" t="s">
        <v>28</v>
      </c>
      <c r="K3352" s="9">
        <v>18</v>
      </c>
      <c r="L3352" s="16" t="s">
        <v>26</v>
      </c>
      <c r="M3352" s="16">
        <f t="shared" si="315"/>
        <v>-0.52290230909624791</v>
      </c>
      <c r="N3352">
        <f t="shared" si="316"/>
        <v>0</v>
      </c>
      <c r="O3352">
        <f t="shared" si="317"/>
        <v>0</v>
      </c>
      <c r="P3352">
        <f t="shared" si="314"/>
        <v>4300</v>
      </c>
      <c r="Q3352">
        <f t="shared" si="318"/>
        <v>4300</v>
      </c>
      <c r="T3352" s="16">
        <f t="shared" si="319"/>
        <v>-0.52290230909624835</v>
      </c>
    </row>
    <row r="3353" spans="7:20" ht="14.4" x14ac:dyDescent="0.25">
      <c r="G3353" s="10">
        <v>1166</v>
      </c>
      <c r="H3353" s="9">
        <v>8513</v>
      </c>
      <c r="I3353" s="14">
        <f>DATE(2012,12,31)-535</f>
        <v>40739</v>
      </c>
      <c r="J3353" s="15" t="s">
        <v>25</v>
      </c>
      <c r="K3353" s="9">
        <v>8</v>
      </c>
      <c r="L3353" s="16" t="s">
        <v>26</v>
      </c>
      <c r="M3353" s="16">
        <f t="shared" si="315"/>
        <v>-1.2135000752884624</v>
      </c>
      <c r="N3353">
        <f t="shared" si="316"/>
        <v>0</v>
      </c>
      <c r="O3353">
        <f t="shared" si="317"/>
        <v>0</v>
      </c>
      <c r="P3353">
        <f t="shared" si="314"/>
        <v>3800</v>
      </c>
      <c r="Q3353">
        <f t="shared" si="318"/>
        <v>3800</v>
      </c>
      <c r="T3353" s="16">
        <f t="shared" si="319"/>
        <v>-1.2135000752884626</v>
      </c>
    </row>
    <row r="3354" spans="7:20" ht="14.4" x14ac:dyDescent="0.25">
      <c r="G3354" s="10">
        <v>1240</v>
      </c>
      <c r="H3354" s="9">
        <v>9024</v>
      </c>
      <c r="I3354" s="14">
        <f>DATE(2012,12,31)-212</f>
        <v>41062</v>
      </c>
      <c r="J3354" s="15" t="s">
        <v>16</v>
      </c>
      <c r="K3354" s="9">
        <v>30</v>
      </c>
      <c r="L3354" s="16" t="s">
        <v>27</v>
      </c>
      <c r="M3354" s="16">
        <f t="shared" si="315"/>
        <v>0.30581501033440933</v>
      </c>
      <c r="N3354">
        <f t="shared" si="316"/>
        <v>0</v>
      </c>
      <c r="O3354">
        <f t="shared" si="317"/>
        <v>0</v>
      </c>
      <c r="P3354">
        <f t="shared" si="314"/>
        <v>4900</v>
      </c>
      <c r="Q3354">
        <f t="shared" si="318"/>
        <v>4900</v>
      </c>
      <c r="T3354" s="16">
        <f t="shared" si="319"/>
        <v>0.30581501033440894</v>
      </c>
    </row>
    <row r="3355" spans="7:20" ht="14.4" x14ac:dyDescent="0.25">
      <c r="G3355" s="10">
        <v>1314</v>
      </c>
      <c r="H3355" s="9">
        <v>9635</v>
      </c>
      <c r="I3355" s="14">
        <f>DATE(2012,12,31)-1358</f>
        <v>39916</v>
      </c>
      <c r="J3355" s="15" t="s">
        <v>30</v>
      </c>
      <c r="K3355" s="9">
        <v>1</v>
      </c>
      <c r="L3355" s="16" t="s">
        <v>26</v>
      </c>
      <c r="M3355" s="16">
        <f t="shared" si="315"/>
        <v>-1.6969185116230123</v>
      </c>
      <c r="N3355">
        <f t="shared" si="316"/>
        <v>0</v>
      </c>
      <c r="O3355">
        <f t="shared" si="317"/>
        <v>0</v>
      </c>
      <c r="P3355">
        <f t="shared" si="314"/>
        <v>3450</v>
      </c>
      <c r="Q3355">
        <f t="shared" si="318"/>
        <v>3450</v>
      </c>
      <c r="T3355" s="16">
        <f t="shared" si="319"/>
        <v>-1.6969185116230128</v>
      </c>
    </row>
    <row r="3356" spans="7:20" ht="14.4" x14ac:dyDescent="0.25">
      <c r="G3356" s="10">
        <v>1444</v>
      </c>
      <c r="H3356" s="9">
        <v>10436</v>
      </c>
      <c r="I3356" s="14">
        <f>DATE(2012,12,31)-729</f>
        <v>40545</v>
      </c>
      <c r="J3356" s="15" t="s">
        <v>25</v>
      </c>
      <c r="K3356" s="9">
        <v>24</v>
      </c>
      <c r="L3356" s="16" t="s">
        <v>26</v>
      </c>
      <c r="M3356" s="16">
        <f t="shared" si="315"/>
        <v>-0.1085436493809193</v>
      </c>
      <c r="N3356">
        <f t="shared" si="316"/>
        <v>0</v>
      </c>
      <c r="O3356">
        <f t="shared" si="317"/>
        <v>0</v>
      </c>
      <c r="P3356">
        <f t="shared" si="314"/>
        <v>4600</v>
      </c>
      <c r="Q3356">
        <f t="shared" si="318"/>
        <v>4600</v>
      </c>
      <c r="T3356" s="16">
        <f t="shared" si="319"/>
        <v>-0.10854364938091969</v>
      </c>
    </row>
    <row r="3357" spans="7:20" ht="14.4" x14ac:dyDescent="0.25">
      <c r="G3357" s="10">
        <v>1491</v>
      </c>
      <c r="H3357" s="9">
        <v>10752</v>
      </c>
      <c r="I3357" s="14">
        <f>DATE(2012,12,31)-478</f>
        <v>40796</v>
      </c>
      <c r="J3357" s="15" t="s">
        <v>30</v>
      </c>
      <c r="K3357" s="9">
        <v>5</v>
      </c>
      <c r="L3357" s="16" t="s">
        <v>26</v>
      </c>
      <c r="M3357" s="16">
        <f t="shared" si="315"/>
        <v>-1.4206794051461267</v>
      </c>
      <c r="N3357">
        <f t="shared" si="316"/>
        <v>0</v>
      </c>
      <c r="O3357">
        <f t="shared" si="317"/>
        <v>0</v>
      </c>
      <c r="P3357">
        <f t="shared" si="314"/>
        <v>3650</v>
      </c>
      <c r="Q3357">
        <f t="shared" si="318"/>
        <v>3650</v>
      </c>
      <c r="T3357" s="16">
        <f t="shared" si="319"/>
        <v>-1.4206794051461269</v>
      </c>
    </row>
    <row r="3358" spans="7:20" ht="14.4" x14ac:dyDescent="0.25">
      <c r="G3358" s="10">
        <v>1527</v>
      </c>
      <c r="H3358" s="9">
        <v>11011</v>
      </c>
      <c r="I3358" s="14">
        <f>DATE(2012,12,31)-232</f>
        <v>41042</v>
      </c>
      <c r="J3358" s="15" t="s">
        <v>17</v>
      </c>
      <c r="K3358" s="9">
        <v>36</v>
      </c>
      <c r="L3358" s="16" t="s">
        <v>26</v>
      </c>
      <c r="M3358" s="16">
        <f t="shared" si="315"/>
        <v>0.72017367004973787</v>
      </c>
      <c r="N3358">
        <f t="shared" si="316"/>
        <v>0</v>
      </c>
      <c r="O3358">
        <f t="shared" si="317"/>
        <v>0</v>
      </c>
      <c r="P3358">
        <f t="shared" si="314"/>
        <v>5200</v>
      </c>
      <c r="Q3358">
        <f t="shared" si="318"/>
        <v>5200</v>
      </c>
      <c r="T3358" s="16">
        <f t="shared" si="319"/>
        <v>0.72017367004973754</v>
      </c>
    </row>
    <row r="3359" spans="7:20" ht="14.4" x14ac:dyDescent="0.25">
      <c r="G3359" s="10">
        <v>1558</v>
      </c>
      <c r="H3359" s="9">
        <v>11236</v>
      </c>
      <c r="I3359" s="14">
        <f>DATE(2012,12,31)-793</f>
        <v>40481</v>
      </c>
      <c r="J3359" s="15" t="s">
        <v>17</v>
      </c>
      <c r="K3359" s="9">
        <v>49</v>
      </c>
      <c r="L3359" s="16" t="s">
        <v>26</v>
      </c>
      <c r="M3359" s="16">
        <f t="shared" si="315"/>
        <v>1.6179507660996166</v>
      </c>
      <c r="N3359">
        <f t="shared" si="316"/>
        <v>0</v>
      </c>
      <c r="O3359">
        <f t="shared" si="317"/>
        <v>0</v>
      </c>
      <c r="P3359">
        <f t="shared" si="314"/>
        <v>5850</v>
      </c>
      <c r="Q3359">
        <f t="shared" si="318"/>
        <v>5850</v>
      </c>
      <c r="T3359" s="16">
        <f t="shared" si="319"/>
        <v>1.6179507660996162</v>
      </c>
    </row>
    <row r="3360" spans="7:20" ht="14.4" x14ac:dyDescent="0.25">
      <c r="G3360" s="10">
        <v>1604</v>
      </c>
      <c r="H3360" s="9">
        <v>11650</v>
      </c>
      <c r="I3360" s="14">
        <f>DATE(2012,12,31)-98</f>
        <v>41176</v>
      </c>
      <c r="J3360" s="15" t="s">
        <v>28</v>
      </c>
      <c r="K3360" s="9">
        <v>30</v>
      </c>
      <c r="L3360" s="16" t="s">
        <v>27</v>
      </c>
      <c r="M3360" s="16">
        <f t="shared" si="315"/>
        <v>0.30581501033440933</v>
      </c>
      <c r="N3360">
        <f t="shared" si="316"/>
        <v>0</v>
      </c>
      <c r="O3360">
        <f t="shared" si="317"/>
        <v>0</v>
      </c>
      <c r="P3360">
        <f t="shared" si="314"/>
        <v>4900</v>
      </c>
      <c r="Q3360">
        <f t="shared" si="318"/>
        <v>4900</v>
      </c>
      <c r="T3360" s="16">
        <f t="shared" si="319"/>
        <v>0.30581501033440894</v>
      </c>
    </row>
    <row r="3361" spans="7:20" ht="14.4" x14ac:dyDescent="0.25">
      <c r="G3361" s="10">
        <v>1628</v>
      </c>
      <c r="H3361" s="9">
        <v>11779</v>
      </c>
      <c r="I3361" s="14">
        <f>DATE(2012,12,31)-916</f>
        <v>40358</v>
      </c>
      <c r="J3361" s="15" t="s">
        <v>28</v>
      </c>
      <c r="K3361" s="9">
        <v>45</v>
      </c>
      <c r="L3361" s="16" t="s">
        <v>26</v>
      </c>
      <c r="M3361" s="16">
        <f t="shared" si="315"/>
        <v>1.3417116596227308</v>
      </c>
      <c r="N3361">
        <f t="shared" si="316"/>
        <v>0</v>
      </c>
      <c r="O3361">
        <f t="shared" si="317"/>
        <v>0</v>
      </c>
      <c r="P3361">
        <f t="shared" si="314"/>
        <v>5650</v>
      </c>
      <c r="Q3361">
        <f t="shared" si="318"/>
        <v>5650</v>
      </c>
      <c r="T3361" s="16">
        <f t="shared" si="319"/>
        <v>1.3417116596227305</v>
      </c>
    </row>
    <row r="3362" spans="7:20" ht="14.4" x14ac:dyDescent="0.25">
      <c r="G3362" s="10">
        <v>1629</v>
      </c>
      <c r="H3362" s="9">
        <v>11779</v>
      </c>
      <c r="I3362" s="14">
        <f>DATE(2012,12,31)-916</f>
        <v>40358</v>
      </c>
      <c r="J3362" s="15" t="s">
        <v>28</v>
      </c>
      <c r="K3362" s="9">
        <v>43</v>
      </c>
      <c r="L3362" s="16" t="s">
        <v>27</v>
      </c>
      <c r="M3362" s="16">
        <f t="shared" si="315"/>
        <v>1.203592106384288</v>
      </c>
      <c r="N3362">
        <f t="shared" si="316"/>
        <v>0</v>
      </c>
      <c r="O3362">
        <f t="shared" si="317"/>
        <v>0</v>
      </c>
      <c r="P3362">
        <f t="shared" si="314"/>
        <v>5550</v>
      </c>
      <c r="Q3362">
        <f t="shared" si="318"/>
        <v>5550</v>
      </c>
      <c r="T3362" s="16">
        <f t="shared" si="319"/>
        <v>1.2035921063842876</v>
      </c>
    </row>
    <row r="3363" spans="7:20" ht="14.4" x14ac:dyDescent="0.25">
      <c r="G3363" s="10">
        <v>1748</v>
      </c>
      <c r="H3363" s="9">
        <v>12515</v>
      </c>
      <c r="I3363" s="14">
        <f>DATE(2012,12,31)-963</f>
        <v>40311</v>
      </c>
      <c r="J3363" s="15" t="s">
        <v>16</v>
      </c>
      <c r="K3363" s="9">
        <v>16</v>
      </c>
      <c r="L3363" s="16" t="s">
        <v>27</v>
      </c>
      <c r="M3363" s="16">
        <f t="shared" si="315"/>
        <v>-0.66102186233469074</v>
      </c>
      <c r="N3363">
        <f t="shared" si="316"/>
        <v>0</v>
      </c>
      <c r="O3363">
        <f t="shared" si="317"/>
        <v>0</v>
      </c>
      <c r="P3363">
        <f t="shared" si="314"/>
        <v>4200</v>
      </c>
      <c r="Q3363">
        <f t="shared" si="318"/>
        <v>4200</v>
      </c>
      <c r="T3363" s="16">
        <f t="shared" si="319"/>
        <v>-0.66102186233469118</v>
      </c>
    </row>
    <row r="3364" spans="7:20" ht="14.4" x14ac:dyDescent="0.25">
      <c r="G3364" s="10">
        <v>1754</v>
      </c>
      <c r="H3364" s="9">
        <v>12580</v>
      </c>
      <c r="I3364" s="14">
        <f>DATE(2012,12,31)-1083</f>
        <v>40191</v>
      </c>
      <c r="J3364" s="15" t="s">
        <v>25</v>
      </c>
      <c r="K3364" s="9">
        <v>43</v>
      </c>
      <c r="L3364" s="16" t="s">
        <v>26</v>
      </c>
      <c r="M3364" s="16">
        <f t="shared" si="315"/>
        <v>1.203592106384288</v>
      </c>
      <c r="N3364">
        <f t="shared" si="316"/>
        <v>0</v>
      </c>
      <c r="O3364">
        <f t="shared" si="317"/>
        <v>0</v>
      </c>
      <c r="P3364">
        <f t="shared" si="314"/>
        <v>5550</v>
      </c>
      <c r="Q3364">
        <f t="shared" si="318"/>
        <v>5550</v>
      </c>
      <c r="T3364" s="16">
        <f t="shared" si="319"/>
        <v>1.2035921063842876</v>
      </c>
    </row>
    <row r="3365" spans="7:20" ht="14.4" x14ac:dyDescent="0.25">
      <c r="G3365" s="10">
        <v>1795</v>
      </c>
      <c r="H3365" s="9">
        <v>12868</v>
      </c>
      <c r="I3365" s="14">
        <f>DATE(2012,12,31)-671</f>
        <v>40603</v>
      </c>
      <c r="J3365" s="15" t="s">
        <v>30</v>
      </c>
      <c r="K3365" s="9">
        <v>31</v>
      </c>
      <c r="L3365" s="16" t="s">
        <v>26</v>
      </c>
      <c r="M3365" s="16">
        <f t="shared" si="315"/>
        <v>0.37487478695363075</v>
      </c>
      <c r="N3365">
        <f t="shared" si="316"/>
        <v>0</v>
      </c>
      <c r="O3365">
        <f t="shared" si="317"/>
        <v>0</v>
      </c>
      <c r="P3365">
        <f t="shared" si="314"/>
        <v>4950</v>
      </c>
      <c r="Q3365">
        <f t="shared" si="318"/>
        <v>4950</v>
      </c>
      <c r="T3365" s="16">
        <f t="shared" si="319"/>
        <v>0.37487478695363036</v>
      </c>
    </row>
    <row r="3366" spans="7:20" ht="14.4" x14ac:dyDescent="0.25">
      <c r="G3366" s="10">
        <v>1809</v>
      </c>
      <c r="H3366" s="9">
        <v>12931</v>
      </c>
      <c r="I3366" s="14">
        <f>DATE(2012,12,31)-251</f>
        <v>41023</v>
      </c>
      <c r="J3366" s="15" t="s">
        <v>16</v>
      </c>
      <c r="K3366" s="9">
        <v>11</v>
      </c>
      <c r="L3366" s="16" t="s">
        <v>26</v>
      </c>
      <c r="M3366" s="16">
        <f t="shared" si="315"/>
        <v>-1.0063207454307979</v>
      </c>
      <c r="N3366">
        <f t="shared" si="316"/>
        <v>0</v>
      </c>
      <c r="O3366">
        <f t="shared" si="317"/>
        <v>0</v>
      </c>
      <c r="P3366">
        <f t="shared" si="314"/>
        <v>3950</v>
      </c>
      <c r="Q3366">
        <f t="shared" si="318"/>
        <v>3950</v>
      </c>
      <c r="T3366" s="16">
        <f t="shared" si="319"/>
        <v>-1.0063207454307983</v>
      </c>
    </row>
    <row r="3367" spans="7:20" ht="14.4" x14ac:dyDescent="0.25">
      <c r="G3367" s="10">
        <v>1815</v>
      </c>
      <c r="H3367" s="9">
        <v>13027</v>
      </c>
      <c r="I3367" s="14">
        <f>DATE(2012,12,31)-351</f>
        <v>40923</v>
      </c>
      <c r="J3367" s="15" t="s">
        <v>30</v>
      </c>
      <c r="K3367" s="9">
        <v>42</v>
      </c>
      <c r="L3367" s="16" t="s">
        <v>26</v>
      </c>
      <c r="M3367" s="16">
        <f t="shared" si="315"/>
        <v>1.1345323297650665</v>
      </c>
      <c r="N3367">
        <f t="shared" si="316"/>
        <v>0</v>
      </c>
      <c r="O3367">
        <f t="shared" si="317"/>
        <v>0</v>
      </c>
      <c r="P3367">
        <f t="shared" si="314"/>
        <v>5500</v>
      </c>
      <c r="Q3367">
        <f t="shared" si="318"/>
        <v>5500</v>
      </c>
      <c r="T3367" s="16">
        <f t="shared" si="319"/>
        <v>1.1345323297650662</v>
      </c>
    </row>
    <row r="3368" spans="7:20" ht="14.4" x14ac:dyDescent="0.25">
      <c r="G3368" s="10">
        <v>1873</v>
      </c>
      <c r="H3368" s="9">
        <v>13476</v>
      </c>
      <c r="I3368" s="14">
        <f>DATE(2012,12,31)-807</f>
        <v>40467</v>
      </c>
      <c r="J3368" s="15" t="s">
        <v>28</v>
      </c>
      <c r="K3368" s="9">
        <v>47</v>
      </c>
      <c r="L3368" s="16" t="s">
        <v>26</v>
      </c>
      <c r="M3368" s="16">
        <f t="shared" si="315"/>
        <v>1.4798312128611737</v>
      </c>
      <c r="N3368">
        <f t="shared" si="316"/>
        <v>0</v>
      </c>
      <c r="O3368">
        <f t="shared" si="317"/>
        <v>0</v>
      </c>
      <c r="P3368">
        <f t="shared" si="314"/>
        <v>5750</v>
      </c>
      <c r="Q3368">
        <f t="shared" si="318"/>
        <v>5750</v>
      </c>
      <c r="T3368" s="16">
        <f t="shared" si="319"/>
        <v>1.4798312128611733</v>
      </c>
    </row>
    <row r="3369" spans="7:20" ht="14.4" x14ac:dyDescent="0.25">
      <c r="G3369" s="10">
        <v>1891</v>
      </c>
      <c r="H3369" s="9">
        <v>13572</v>
      </c>
      <c r="I3369" s="14">
        <f>DATE(2012,12,31)-228</f>
        <v>41046</v>
      </c>
      <c r="J3369" s="15" t="s">
        <v>30</v>
      </c>
      <c r="K3369" s="9">
        <v>7</v>
      </c>
      <c r="L3369" s="16" t="s">
        <v>27</v>
      </c>
      <c r="M3369" s="16">
        <f t="shared" si="315"/>
        <v>-1.2825598519076837</v>
      </c>
      <c r="N3369">
        <f t="shared" si="316"/>
        <v>0</v>
      </c>
      <c r="O3369">
        <f t="shared" si="317"/>
        <v>0</v>
      </c>
      <c r="P3369">
        <f t="shared" si="314"/>
        <v>3750</v>
      </c>
      <c r="Q3369">
        <f t="shared" si="318"/>
        <v>3750</v>
      </c>
      <c r="T3369" s="16">
        <f t="shared" si="319"/>
        <v>-1.2825598519076842</v>
      </c>
    </row>
    <row r="3370" spans="7:20" ht="14.4" x14ac:dyDescent="0.25">
      <c r="G3370" s="10">
        <v>1916</v>
      </c>
      <c r="H3370" s="9">
        <v>13731</v>
      </c>
      <c r="I3370" s="14">
        <f>DATE(2012,12,31)-967</f>
        <v>40307</v>
      </c>
      <c r="J3370" s="15" t="s">
        <v>28</v>
      </c>
      <c r="K3370" s="9">
        <v>10</v>
      </c>
      <c r="L3370" s="16" t="s">
        <v>26</v>
      </c>
      <c r="M3370" s="16">
        <f t="shared" si="315"/>
        <v>-1.0753805220500194</v>
      </c>
      <c r="N3370">
        <f t="shared" si="316"/>
        <v>0</v>
      </c>
      <c r="O3370">
        <f t="shared" si="317"/>
        <v>0</v>
      </c>
      <c r="P3370">
        <f t="shared" si="314"/>
        <v>3900</v>
      </c>
      <c r="Q3370">
        <f t="shared" si="318"/>
        <v>3900</v>
      </c>
      <c r="T3370" s="16">
        <f t="shared" si="319"/>
        <v>-1.0753805220500199</v>
      </c>
    </row>
    <row r="3371" spans="7:20" ht="14.4" x14ac:dyDescent="0.25">
      <c r="G3371" s="10">
        <v>1971</v>
      </c>
      <c r="H3371" s="9">
        <v>14112</v>
      </c>
      <c r="I3371" s="14">
        <f>DATE(2012,12,31)-1256</f>
        <v>40018</v>
      </c>
      <c r="J3371" s="15" t="s">
        <v>25</v>
      </c>
      <c r="K3371" s="9">
        <v>1</v>
      </c>
      <c r="L3371" s="16" t="s">
        <v>26</v>
      </c>
      <c r="M3371" s="16">
        <f t="shared" si="315"/>
        <v>-1.6969185116230123</v>
      </c>
      <c r="N3371">
        <f t="shared" si="316"/>
        <v>0</v>
      </c>
      <c r="O3371">
        <f t="shared" si="317"/>
        <v>0</v>
      </c>
      <c r="P3371">
        <f t="shared" si="314"/>
        <v>3450</v>
      </c>
      <c r="Q3371">
        <f t="shared" si="318"/>
        <v>3450</v>
      </c>
      <c r="T3371" s="16">
        <f t="shared" si="319"/>
        <v>-1.6969185116230128</v>
      </c>
    </row>
    <row r="3372" spans="7:20" ht="14.4" x14ac:dyDescent="0.25">
      <c r="G3372" s="10">
        <v>1974</v>
      </c>
      <c r="H3372" s="9">
        <v>14114</v>
      </c>
      <c r="I3372" s="14">
        <f>DATE(2012,12,31)-1365</f>
        <v>39909</v>
      </c>
      <c r="J3372" s="15" t="s">
        <v>30</v>
      </c>
      <c r="K3372" s="9">
        <v>38</v>
      </c>
      <c r="L3372" s="16" t="s">
        <v>29</v>
      </c>
      <c r="M3372" s="16">
        <f t="shared" si="315"/>
        <v>0.85829322328818081</v>
      </c>
      <c r="N3372">
        <f t="shared" si="316"/>
        <v>0</v>
      </c>
      <c r="O3372">
        <f t="shared" si="317"/>
        <v>0</v>
      </c>
      <c r="P3372">
        <f t="shared" si="314"/>
        <v>5300</v>
      </c>
      <c r="Q3372">
        <f t="shared" si="318"/>
        <v>5300</v>
      </c>
      <c r="T3372" s="16">
        <f t="shared" si="319"/>
        <v>0.85829322328818036</v>
      </c>
    </row>
    <row r="3373" spans="7:20" ht="14.4" x14ac:dyDescent="0.25">
      <c r="G3373" s="10">
        <v>1975</v>
      </c>
      <c r="H3373" s="9">
        <v>14114</v>
      </c>
      <c r="I3373" s="14">
        <f>DATE(2012,12,31)-1365</f>
        <v>39909</v>
      </c>
      <c r="J3373" s="15" t="s">
        <v>30</v>
      </c>
      <c r="K3373" s="9">
        <v>41</v>
      </c>
      <c r="L3373" s="16" t="s">
        <v>29</v>
      </c>
      <c r="M3373" s="16">
        <f t="shared" si="315"/>
        <v>1.0654725531458451</v>
      </c>
      <c r="N3373">
        <f t="shared" si="316"/>
        <v>0</v>
      </c>
      <c r="O3373">
        <f t="shared" si="317"/>
        <v>0</v>
      </c>
      <c r="P3373">
        <f t="shared" si="314"/>
        <v>5450</v>
      </c>
      <c r="Q3373">
        <f t="shared" si="318"/>
        <v>5450</v>
      </c>
      <c r="T3373" s="16">
        <f t="shared" si="319"/>
        <v>1.0654725531458447</v>
      </c>
    </row>
    <row r="3374" spans="7:20" ht="14.4" x14ac:dyDescent="0.25">
      <c r="G3374" s="10">
        <v>2099</v>
      </c>
      <c r="H3374" s="9">
        <v>15009</v>
      </c>
      <c r="I3374" s="14">
        <f>DATE(2012,12,31)-376</f>
        <v>40898</v>
      </c>
      <c r="J3374" s="15" t="s">
        <v>28</v>
      </c>
      <c r="K3374" s="9">
        <v>46</v>
      </c>
      <c r="L3374" s="16" t="s">
        <v>26</v>
      </c>
      <c r="M3374" s="16">
        <f t="shared" si="315"/>
        <v>1.4107714362419523</v>
      </c>
      <c r="N3374">
        <f t="shared" si="316"/>
        <v>0</v>
      </c>
      <c r="O3374">
        <f t="shared" si="317"/>
        <v>0</v>
      </c>
      <c r="P3374">
        <f t="shared" si="314"/>
        <v>5700</v>
      </c>
      <c r="Q3374">
        <f t="shared" si="318"/>
        <v>5700</v>
      </c>
      <c r="T3374" s="16">
        <f t="shared" si="319"/>
        <v>1.4107714362419519</v>
      </c>
    </row>
    <row r="3375" spans="7:20" ht="14.4" x14ac:dyDescent="0.25">
      <c r="G3375" s="10">
        <v>2152</v>
      </c>
      <c r="H3375" s="9">
        <v>15399</v>
      </c>
      <c r="I3375" s="14">
        <f>DATE(2012,12,31)-232</f>
        <v>41042</v>
      </c>
      <c r="J3375" s="15" t="s">
        <v>30</v>
      </c>
      <c r="K3375" s="9">
        <v>7</v>
      </c>
      <c r="L3375" s="16" t="s">
        <v>29</v>
      </c>
      <c r="M3375" s="16">
        <f t="shared" si="315"/>
        <v>-1.2825598519076837</v>
      </c>
      <c r="N3375">
        <f t="shared" si="316"/>
        <v>0</v>
      </c>
      <c r="O3375">
        <f t="shared" si="317"/>
        <v>0</v>
      </c>
      <c r="P3375">
        <f t="shared" si="314"/>
        <v>3750</v>
      </c>
      <c r="Q3375">
        <f t="shared" si="318"/>
        <v>3750</v>
      </c>
      <c r="T3375" s="16">
        <f t="shared" si="319"/>
        <v>-1.2825598519076842</v>
      </c>
    </row>
    <row r="3376" spans="7:20" ht="14.4" x14ac:dyDescent="0.25">
      <c r="G3376" s="10">
        <v>2218</v>
      </c>
      <c r="H3376" s="9">
        <v>16036</v>
      </c>
      <c r="I3376" s="14">
        <f>DATE(2012,12,31)-361</f>
        <v>40913</v>
      </c>
      <c r="J3376" s="15" t="s">
        <v>16</v>
      </c>
      <c r="K3376" s="9">
        <v>28</v>
      </c>
      <c r="L3376" s="16" t="s">
        <v>26</v>
      </c>
      <c r="M3376" s="16">
        <f t="shared" si="315"/>
        <v>0.16769545709596645</v>
      </c>
      <c r="N3376">
        <f t="shared" si="316"/>
        <v>0</v>
      </c>
      <c r="O3376">
        <f t="shared" si="317"/>
        <v>0</v>
      </c>
      <c r="P3376">
        <f t="shared" si="314"/>
        <v>4800</v>
      </c>
      <c r="Q3376">
        <f t="shared" si="318"/>
        <v>4800</v>
      </c>
      <c r="T3376" s="16">
        <f t="shared" si="319"/>
        <v>0.16769545709596606</v>
      </c>
    </row>
    <row r="3377" spans="7:20" ht="14.4" x14ac:dyDescent="0.25">
      <c r="G3377" s="10">
        <v>2219</v>
      </c>
      <c r="H3377" s="9">
        <v>16036</v>
      </c>
      <c r="I3377" s="14">
        <f>DATE(2012,12,31)-361</f>
        <v>40913</v>
      </c>
      <c r="J3377" s="15" t="s">
        <v>16</v>
      </c>
      <c r="K3377" s="9">
        <v>10</v>
      </c>
      <c r="L3377" s="16" t="s">
        <v>27</v>
      </c>
      <c r="M3377" s="16">
        <f t="shared" si="315"/>
        <v>-1.0753805220500194</v>
      </c>
      <c r="N3377">
        <f t="shared" si="316"/>
        <v>0</v>
      </c>
      <c r="O3377">
        <f t="shared" si="317"/>
        <v>0</v>
      </c>
      <c r="P3377">
        <f t="shared" si="314"/>
        <v>3900</v>
      </c>
      <c r="Q3377">
        <f t="shared" si="318"/>
        <v>3900</v>
      </c>
      <c r="T3377" s="16">
        <f t="shared" si="319"/>
        <v>-1.0753805220500199</v>
      </c>
    </row>
    <row r="3378" spans="7:20" ht="14.4" x14ac:dyDescent="0.25">
      <c r="G3378" s="10">
        <v>2220</v>
      </c>
      <c r="H3378" s="9">
        <v>16036</v>
      </c>
      <c r="I3378" s="14">
        <f>DATE(2012,12,31)-361</f>
        <v>40913</v>
      </c>
      <c r="J3378" s="15" t="s">
        <v>16</v>
      </c>
      <c r="K3378" s="9">
        <v>33</v>
      </c>
      <c r="L3378" s="16" t="s">
        <v>26</v>
      </c>
      <c r="M3378" s="16">
        <f t="shared" si="315"/>
        <v>0.51299434019207357</v>
      </c>
      <c r="N3378">
        <f t="shared" si="316"/>
        <v>0</v>
      </c>
      <c r="O3378">
        <f t="shared" si="317"/>
        <v>0</v>
      </c>
      <c r="P3378">
        <f t="shared" si="314"/>
        <v>5050</v>
      </c>
      <c r="Q3378">
        <f t="shared" si="318"/>
        <v>5050</v>
      </c>
      <c r="T3378" s="16">
        <f t="shared" si="319"/>
        <v>0.51299434019207324</v>
      </c>
    </row>
    <row r="3379" spans="7:20" ht="14.4" x14ac:dyDescent="0.25">
      <c r="G3379" s="10">
        <v>2374</v>
      </c>
      <c r="H3379" s="9">
        <v>17216</v>
      </c>
      <c r="I3379" s="14">
        <f>DATE(2012,12,31)-218</f>
        <v>41056</v>
      </c>
      <c r="J3379" s="15" t="s">
        <v>16</v>
      </c>
      <c r="K3379" s="9">
        <v>7</v>
      </c>
      <c r="L3379" s="16" t="s">
        <v>29</v>
      </c>
      <c r="M3379" s="16">
        <f t="shared" si="315"/>
        <v>-1.2825598519076837</v>
      </c>
      <c r="N3379">
        <f t="shared" si="316"/>
        <v>0</v>
      </c>
      <c r="O3379">
        <f t="shared" si="317"/>
        <v>0</v>
      </c>
      <c r="P3379">
        <f t="shared" si="314"/>
        <v>3750</v>
      </c>
      <c r="Q3379">
        <f t="shared" si="318"/>
        <v>3750</v>
      </c>
      <c r="T3379" s="16">
        <f t="shared" si="319"/>
        <v>-1.2825598519076842</v>
      </c>
    </row>
    <row r="3380" spans="7:20" ht="14.4" x14ac:dyDescent="0.25">
      <c r="G3380" s="10">
        <v>2436</v>
      </c>
      <c r="H3380" s="9">
        <v>17698</v>
      </c>
      <c r="I3380" s="14">
        <f>DATE(2012,12,31)-232</f>
        <v>41042</v>
      </c>
      <c r="J3380" s="15" t="s">
        <v>17</v>
      </c>
      <c r="K3380" s="9">
        <v>43</v>
      </c>
      <c r="L3380" s="16" t="s">
        <v>26</v>
      </c>
      <c r="M3380" s="16">
        <f t="shared" si="315"/>
        <v>1.203592106384288</v>
      </c>
      <c r="N3380">
        <f t="shared" si="316"/>
        <v>0</v>
      </c>
      <c r="O3380">
        <f t="shared" si="317"/>
        <v>0</v>
      </c>
      <c r="P3380">
        <f t="shared" si="314"/>
        <v>5550</v>
      </c>
      <c r="Q3380">
        <f t="shared" si="318"/>
        <v>5550</v>
      </c>
      <c r="T3380" s="16">
        <f t="shared" si="319"/>
        <v>1.2035921063842876</v>
      </c>
    </row>
    <row r="3381" spans="7:20" ht="14.4" x14ac:dyDescent="0.25">
      <c r="G3381" s="10">
        <v>2467</v>
      </c>
      <c r="H3381" s="9">
        <v>17953</v>
      </c>
      <c r="I3381" s="14">
        <f>DATE(2012,12,31)-133</f>
        <v>41141</v>
      </c>
      <c r="J3381" s="15" t="s">
        <v>17</v>
      </c>
      <c r="K3381" s="9">
        <v>21</v>
      </c>
      <c r="L3381" s="16" t="s">
        <v>26</v>
      </c>
      <c r="M3381" s="16">
        <f t="shared" si="315"/>
        <v>-0.31572297923858361</v>
      </c>
      <c r="N3381">
        <f t="shared" si="316"/>
        <v>0</v>
      </c>
      <c r="O3381">
        <f t="shared" si="317"/>
        <v>0</v>
      </c>
      <c r="P3381">
        <f t="shared" si="314"/>
        <v>4450</v>
      </c>
      <c r="Q3381">
        <f t="shared" si="318"/>
        <v>4450</v>
      </c>
      <c r="T3381" s="16">
        <f t="shared" si="319"/>
        <v>-0.315722979238584</v>
      </c>
    </row>
    <row r="3382" spans="7:20" ht="14.4" x14ac:dyDescent="0.25">
      <c r="G3382" s="10">
        <v>2468</v>
      </c>
      <c r="H3382" s="9">
        <v>17953</v>
      </c>
      <c r="I3382" s="14">
        <f>DATE(2012,12,31)-133</f>
        <v>41141</v>
      </c>
      <c r="J3382" s="15" t="s">
        <v>17</v>
      </c>
      <c r="K3382" s="9">
        <v>17</v>
      </c>
      <c r="L3382" s="16" t="s">
        <v>26</v>
      </c>
      <c r="M3382" s="16">
        <f t="shared" si="315"/>
        <v>-0.59196208571546938</v>
      </c>
      <c r="N3382">
        <f t="shared" si="316"/>
        <v>0</v>
      </c>
      <c r="O3382">
        <f t="shared" si="317"/>
        <v>0</v>
      </c>
      <c r="P3382">
        <f t="shared" si="314"/>
        <v>4250</v>
      </c>
      <c r="Q3382">
        <f t="shared" si="318"/>
        <v>4250</v>
      </c>
      <c r="T3382" s="16">
        <f t="shared" si="319"/>
        <v>-0.59196208571546971</v>
      </c>
    </row>
    <row r="3383" spans="7:20" ht="14.4" x14ac:dyDescent="0.25">
      <c r="G3383" s="10">
        <v>2472</v>
      </c>
      <c r="H3383" s="9">
        <v>17959</v>
      </c>
      <c r="I3383" s="14">
        <f>DATE(2012,12,31)-113</f>
        <v>41161</v>
      </c>
      <c r="J3383" s="15" t="s">
        <v>16</v>
      </c>
      <c r="K3383" s="9">
        <v>28</v>
      </c>
      <c r="L3383" s="16" t="s">
        <v>26</v>
      </c>
      <c r="M3383" s="16">
        <f t="shared" si="315"/>
        <v>0.16769545709596645</v>
      </c>
      <c r="N3383">
        <f t="shared" si="316"/>
        <v>0</v>
      </c>
      <c r="O3383">
        <f t="shared" si="317"/>
        <v>0</v>
      </c>
      <c r="P3383">
        <f t="shared" si="314"/>
        <v>4800</v>
      </c>
      <c r="Q3383">
        <f t="shared" si="318"/>
        <v>4800</v>
      </c>
      <c r="T3383" s="16">
        <f t="shared" si="319"/>
        <v>0.16769545709596606</v>
      </c>
    </row>
    <row r="3384" spans="7:20" ht="14.4" x14ac:dyDescent="0.25">
      <c r="G3384" s="10">
        <v>2473</v>
      </c>
      <c r="H3384" s="9">
        <v>17959</v>
      </c>
      <c r="I3384" s="14">
        <f>DATE(2012,12,31)-113</f>
        <v>41161</v>
      </c>
      <c r="J3384" s="15" t="s">
        <v>16</v>
      </c>
      <c r="K3384" s="9">
        <v>21</v>
      </c>
      <c r="L3384" s="16" t="s">
        <v>29</v>
      </c>
      <c r="M3384" s="16">
        <f t="shared" si="315"/>
        <v>-0.31572297923858361</v>
      </c>
      <c r="N3384">
        <f t="shared" si="316"/>
        <v>0</v>
      </c>
      <c r="O3384">
        <f t="shared" si="317"/>
        <v>0</v>
      </c>
      <c r="P3384">
        <f t="shared" si="314"/>
        <v>4450</v>
      </c>
      <c r="Q3384">
        <f t="shared" si="318"/>
        <v>4450</v>
      </c>
      <c r="T3384" s="16">
        <f t="shared" si="319"/>
        <v>-0.315722979238584</v>
      </c>
    </row>
    <row r="3385" spans="7:20" ht="14.4" x14ac:dyDescent="0.25">
      <c r="G3385" s="10">
        <v>2478</v>
      </c>
      <c r="H3385" s="9">
        <v>18017</v>
      </c>
      <c r="I3385" s="14">
        <f>DATE(2012,12,31)-1012</f>
        <v>40262</v>
      </c>
      <c r="J3385" s="15" t="s">
        <v>30</v>
      </c>
      <c r="K3385" s="9">
        <v>22</v>
      </c>
      <c r="L3385" s="16" t="s">
        <v>29</v>
      </c>
      <c r="M3385" s="16">
        <f t="shared" si="315"/>
        <v>-0.24666320261936217</v>
      </c>
      <c r="N3385">
        <f t="shared" si="316"/>
        <v>0</v>
      </c>
      <c r="O3385">
        <f t="shared" si="317"/>
        <v>0</v>
      </c>
      <c r="P3385">
        <f t="shared" si="314"/>
        <v>4500</v>
      </c>
      <c r="Q3385">
        <f t="shared" si="318"/>
        <v>4500</v>
      </c>
      <c r="T3385" s="16">
        <f t="shared" si="319"/>
        <v>-0.24666320261936256</v>
      </c>
    </row>
    <row r="3386" spans="7:20" ht="14.4" x14ac:dyDescent="0.25">
      <c r="G3386" s="10">
        <v>2532</v>
      </c>
      <c r="H3386" s="9">
        <v>18373</v>
      </c>
      <c r="I3386" s="14">
        <f>DATE(2012,12,31)-263</f>
        <v>41011</v>
      </c>
      <c r="J3386" s="15" t="s">
        <v>30</v>
      </c>
      <c r="K3386" s="9">
        <v>35</v>
      </c>
      <c r="L3386" s="16" t="s">
        <v>26</v>
      </c>
      <c r="M3386" s="16">
        <f t="shared" si="315"/>
        <v>0.65111389343051651</v>
      </c>
      <c r="N3386">
        <f t="shared" si="316"/>
        <v>0</v>
      </c>
      <c r="O3386">
        <f t="shared" si="317"/>
        <v>0</v>
      </c>
      <c r="P3386">
        <f t="shared" si="314"/>
        <v>5150</v>
      </c>
      <c r="Q3386">
        <f t="shared" si="318"/>
        <v>5150</v>
      </c>
      <c r="T3386" s="16">
        <f t="shared" si="319"/>
        <v>0.65111389343051607</v>
      </c>
    </row>
    <row r="3387" spans="7:20" ht="14.4" x14ac:dyDescent="0.25">
      <c r="G3387" s="10">
        <v>2708</v>
      </c>
      <c r="H3387" s="9">
        <v>19558</v>
      </c>
      <c r="I3387" s="14">
        <f>DATE(2012,12,31)-675</f>
        <v>40599</v>
      </c>
      <c r="J3387" s="15" t="s">
        <v>25</v>
      </c>
      <c r="K3387" s="9">
        <v>2</v>
      </c>
      <c r="L3387" s="16" t="s">
        <v>26</v>
      </c>
      <c r="M3387" s="16">
        <f t="shared" si="315"/>
        <v>-1.627858735003791</v>
      </c>
      <c r="N3387">
        <f t="shared" si="316"/>
        <v>0</v>
      </c>
      <c r="O3387">
        <f t="shared" si="317"/>
        <v>0</v>
      </c>
      <c r="P3387">
        <f t="shared" si="314"/>
        <v>3500</v>
      </c>
      <c r="Q3387">
        <f t="shared" si="318"/>
        <v>3500</v>
      </c>
      <c r="T3387" s="16">
        <f t="shared" si="319"/>
        <v>-1.6278587350037912</v>
      </c>
    </row>
    <row r="3388" spans="7:20" ht="14.4" x14ac:dyDescent="0.25">
      <c r="G3388" s="10">
        <v>2849</v>
      </c>
      <c r="H3388" s="9">
        <v>20518</v>
      </c>
      <c r="I3388" s="14">
        <f>DATE(2012,12,31)-1183</f>
        <v>40091</v>
      </c>
      <c r="J3388" s="15" t="s">
        <v>30</v>
      </c>
      <c r="K3388" s="9">
        <v>49</v>
      </c>
      <c r="L3388" s="16" t="s">
        <v>27</v>
      </c>
      <c r="M3388" s="16">
        <f t="shared" si="315"/>
        <v>1.6179507660996166</v>
      </c>
      <c r="N3388">
        <f t="shared" si="316"/>
        <v>0</v>
      </c>
      <c r="O3388">
        <f t="shared" si="317"/>
        <v>0</v>
      </c>
      <c r="P3388">
        <f t="shared" si="314"/>
        <v>5850</v>
      </c>
      <c r="Q3388">
        <f t="shared" si="318"/>
        <v>5850</v>
      </c>
      <c r="T3388" s="16">
        <f t="shared" si="319"/>
        <v>1.6179507660996162</v>
      </c>
    </row>
    <row r="3389" spans="7:20" ht="14.4" x14ac:dyDescent="0.25">
      <c r="G3389" s="10">
        <v>2850</v>
      </c>
      <c r="H3389" s="9">
        <v>20518</v>
      </c>
      <c r="I3389" s="14">
        <f>DATE(2012,12,31)-1183</f>
        <v>40091</v>
      </c>
      <c r="J3389" s="15" t="s">
        <v>30</v>
      </c>
      <c r="K3389" s="9">
        <v>7</v>
      </c>
      <c r="L3389" s="16" t="s">
        <v>27</v>
      </c>
      <c r="M3389" s="16">
        <f t="shared" si="315"/>
        <v>-1.2825598519076837</v>
      </c>
      <c r="N3389">
        <f t="shared" si="316"/>
        <v>0</v>
      </c>
      <c r="O3389">
        <f t="shared" si="317"/>
        <v>0</v>
      </c>
      <c r="P3389">
        <f t="shared" si="314"/>
        <v>3750</v>
      </c>
      <c r="Q3389">
        <f t="shared" si="318"/>
        <v>3750</v>
      </c>
      <c r="T3389" s="16">
        <f t="shared" si="319"/>
        <v>-1.2825598519076842</v>
      </c>
    </row>
    <row r="3390" spans="7:20" ht="14.4" x14ac:dyDescent="0.25">
      <c r="G3390" s="10">
        <v>2877</v>
      </c>
      <c r="H3390" s="9">
        <v>20737</v>
      </c>
      <c r="I3390" s="14">
        <f>DATE(2012,12,31)-372</f>
        <v>40902</v>
      </c>
      <c r="J3390" s="15" t="s">
        <v>16</v>
      </c>
      <c r="K3390" s="9">
        <v>15</v>
      </c>
      <c r="L3390" s="16" t="s">
        <v>29</v>
      </c>
      <c r="M3390" s="16">
        <f t="shared" si="315"/>
        <v>-0.7300816389539122</v>
      </c>
      <c r="N3390">
        <f t="shared" si="316"/>
        <v>0</v>
      </c>
      <c r="O3390">
        <f t="shared" si="317"/>
        <v>0</v>
      </c>
      <c r="P3390">
        <f t="shared" si="314"/>
        <v>4150</v>
      </c>
      <c r="Q3390">
        <f t="shared" si="318"/>
        <v>4150</v>
      </c>
      <c r="T3390" s="16">
        <f t="shared" si="319"/>
        <v>-0.73008163895391265</v>
      </c>
    </row>
    <row r="3391" spans="7:20" ht="14.4" x14ac:dyDescent="0.25">
      <c r="G3391" s="10">
        <v>2897</v>
      </c>
      <c r="H3391" s="9">
        <v>20903</v>
      </c>
      <c r="I3391" s="14">
        <f>DATE(2012,12,31)-1321</f>
        <v>39953</v>
      </c>
      <c r="J3391" s="15" t="s">
        <v>17</v>
      </c>
      <c r="K3391" s="9">
        <v>4</v>
      </c>
      <c r="L3391" s="16" t="s">
        <v>29</v>
      </c>
      <c r="M3391" s="16">
        <f t="shared" si="315"/>
        <v>-1.489739181765348</v>
      </c>
      <c r="N3391">
        <f t="shared" si="316"/>
        <v>0</v>
      </c>
      <c r="O3391">
        <f t="shared" si="317"/>
        <v>0</v>
      </c>
      <c r="P3391">
        <f t="shared" si="314"/>
        <v>3600</v>
      </c>
      <c r="Q3391">
        <f t="shared" si="318"/>
        <v>3600</v>
      </c>
      <c r="T3391" s="16">
        <f t="shared" si="319"/>
        <v>-1.4897391817653485</v>
      </c>
    </row>
    <row r="3392" spans="7:20" ht="14.4" x14ac:dyDescent="0.25">
      <c r="G3392" s="10">
        <v>2945</v>
      </c>
      <c r="H3392" s="9">
        <v>21344</v>
      </c>
      <c r="I3392" s="14">
        <f>DATE(2012,12,31)-22</f>
        <v>41252</v>
      </c>
      <c r="J3392" s="15" t="s">
        <v>25</v>
      </c>
      <c r="K3392" s="9">
        <v>29</v>
      </c>
      <c r="L3392" s="16" t="s">
        <v>27</v>
      </c>
      <c r="M3392" s="16">
        <f t="shared" si="315"/>
        <v>0.23675523371518786</v>
      </c>
      <c r="N3392">
        <f t="shared" si="316"/>
        <v>0</v>
      </c>
      <c r="O3392">
        <f t="shared" si="317"/>
        <v>0</v>
      </c>
      <c r="P3392">
        <f t="shared" si="314"/>
        <v>4850</v>
      </c>
      <c r="Q3392">
        <f t="shared" si="318"/>
        <v>4850</v>
      </c>
      <c r="T3392" s="16">
        <f t="shared" si="319"/>
        <v>0.2367552337151875</v>
      </c>
    </row>
    <row r="3393" spans="7:20" ht="14.4" x14ac:dyDescent="0.25">
      <c r="G3393" s="10">
        <v>2946</v>
      </c>
      <c r="H3393" s="9">
        <v>21344</v>
      </c>
      <c r="I3393" s="14">
        <f>DATE(2012,12,31)-22</f>
        <v>41252</v>
      </c>
      <c r="J3393" s="15" t="s">
        <v>25</v>
      </c>
      <c r="K3393" s="9">
        <v>39</v>
      </c>
      <c r="L3393" s="16" t="s">
        <v>26</v>
      </c>
      <c r="M3393" s="16">
        <f t="shared" si="315"/>
        <v>0.92735299990740228</v>
      </c>
      <c r="N3393">
        <f t="shared" si="316"/>
        <v>0</v>
      </c>
      <c r="O3393">
        <f t="shared" si="317"/>
        <v>0</v>
      </c>
      <c r="P3393">
        <f t="shared" si="314"/>
        <v>5350</v>
      </c>
      <c r="Q3393">
        <f t="shared" si="318"/>
        <v>5350</v>
      </c>
      <c r="T3393" s="16">
        <f t="shared" si="319"/>
        <v>0.92735299990740183</v>
      </c>
    </row>
    <row r="3394" spans="7:20" ht="14.4" x14ac:dyDescent="0.25">
      <c r="G3394" s="10">
        <v>2998</v>
      </c>
      <c r="H3394" s="9">
        <v>21606</v>
      </c>
      <c r="I3394" s="14">
        <f>DATE(2012,12,31)-709</f>
        <v>40565</v>
      </c>
      <c r="J3394" s="15" t="s">
        <v>28</v>
      </c>
      <c r="K3394" s="9">
        <v>29</v>
      </c>
      <c r="L3394" s="16" t="s">
        <v>27</v>
      </c>
      <c r="M3394" s="16">
        <f t="shared" si="315"/>
        <v>0.23675523371518786</v>
      </c>
      <c r="N3394">
        <f t="shared" si="316"/>
        <v>0</v>
      </c>
      <c r="O3394">
        <f t="shared" si="317"/>
        <v>0</v>
      </c>
      <c r="P3394">
        <f t="shared" si="314"/>
        <v>4850</v>
      </c>
      <c r="Q3394">
        <f t="shared" si="318"/>
        <v>4850</v>
      </c>
      <c r="T3394" s="16">
        <f t="shared" si="319"/>
        <v>0.2367552337151875</v>
      </c>
    </row>
    <row r="3395" spans="7:20" ht="14.4" x14ac:dyDescent="0.25">
      <c r="G3395" s="10">
        <v>3095</v>
      </c>
      <c r="H3395" s="9">
        <v>22183</v>
      </c>
      <c r="I3395" s="14">
        <f>DATE(2012,12,31)-252</f>
        <v>41022</v>
      </c>
      <c r="J3395" s="15" t="s">
        <v>16</v>
      </c>
      <c r="K3395" s="9">
        <v>30</v>
      </c>
      <c r="L3395" s="16" t="s">
        <v>26</v>
      </c>
      <c r="M3395" s="16">
        <f t="shared" si="315"/>
        <v>0.30581501033440933</v>
      </c>
      <c r="N3395">
        <f t="shared" si="316"/>
        <v>0</v>
      </c>
      <c r="O3395">
        <f t="shared" si="317"/>
        <v>0</v>
      </c>
      <c r="P3395">
        <f t="shared" si="314"/>
        <v>4900</v>
      </c>
      <c r="Q3395">
        <f t="shared" si="318"/>
        <v>4900</v>
      </c>
      <c r="T3395" s="16">
        <f t="shared" si="319"/>
        <v>0.30581501033440894</v>
      </c>
    </row>
    <row r="3396" spans="7:20" ht="14.4" x14ac:dyDescent="0.25">
      <c r="G3396" s="10">
        <v>3109</v>
      </c>
      <c r="H3396" s="9">
        <v>22338</v>
      </c>
      <c r="I3396" s="14">
        <f>DATE(2012,12,31)-962</f>
        <v>40312</v>
      </c>
      <c r="J3396" s="15" t="s">
        <v>16</v>
      </c>
      <c r="K3396" s="9">
        <v>24</v>
      </c>
      <c r="L3396" s="16" t="s">
        <v>27</v>
      </c>
      <c r="M3396" s="16">
        <f t="shared" si="315"/>
        <v>-0.1085436493809193</v>
      </c>
      <c r="N3396">
        <f t="shared" si="316"/>
        <v>0</v>
      </c>
      <c r="O3396">
        <f t="shared" si="317"/>
        <v>0</v>
      </c>
      <c r="P3396">
        <f t="shared" si="314"/>
        <v>4600</v>
      </c>
      <c r="Q3396">
        <f t="shared" si="318"/>
        <v>4600</v>
      </c>
      <c r="T3396" s="16">
        <f t="shared" si="319"/>
        <v>-0.10854364938091969</v>
      </c>
    </row>
    <row r="3397" spans="7:20" ht="14.4" x14ac:dyDescent="0.25">
      <c r="G3397" s="10">
        <v>3247</v>
      </c>
      <c r="H3397" s="9">
        <v>23268</v>
      </c>
      <c r="I3397" s="14">
        <f>DATE(2012,12,31)-350</f>
        <v>40924</v>
      </c>
      <c r="J3397" s="15" t="s">
        <v>17</v>
      </c>
      <c r="K3397" s="9">
        <v>14</v>
      </c>
      <c r="L3397" s="16" t="s">
        <v>26</v>
      </c>
      <c r="M3397" s="16">
        <f t="shared" si="315"/>
        <v>-0.79914141557313367</v>
      </c>
      <c r="N3397">
        <f t="shared" si="316"/>
        <v>0</v>
      </c>
      <c r="O3397">
        <f t="shared" si="317"/>
        <v>0</v>
      </c>
      <c r="P3397">
        <f t="shared" si="314"/>
        <v>4100</v>
      </c>
      <c r="Q3397">
        <f t="shared" si="318"/>
        <v>4100</v>
      </c>
      <c r="T3397" s="16">
        <f t="shared" si="319"/>
        <v>-0.79914141557313401</v>
      </c>
    </row>
    <row r="3398" spans="7:20" ht="14.4" x14ac:dyDescent="0.25">
      <c r="G3398" s="10">
        <v>3287</v>
      </c>
      <c r="H3398" s="9">
        <v>23522</v>
      </c>
      <c r="I3398" s="14">
        <f>DATE(2012,12,31)-630</f>
        <v>40644</v>
      </c>
      <c r="J3398" s="15" t="s">
        <v>30</v>
      </c>
      <c r="K3398" s="9">
        <v>20</v>
      </c>
      <c r="L3398" s="16" t="s">
        <v>27</v>
      </c>
      <c r="M3398" s="16">
        <f t="shared" si="315"/>
        <v>-0.38478275585780503</v>
      </c>
      <c r="N3398">
        <f t="shared" si="316"/>
        <v>0</v>
      </c>
      <c r="O3398">
        <f t="shared" si="317"/>
        <v>0</v>
      </c>
      <c r="P3398">
        <f t="shared" si="314"/>
        <v>4400</v>
      </c>
      <c r="Q3398">
        <f t="shared" si="318"/>
        <v>4400</v>
      </c>
      <c r="T3398" s="16">
        <f t="shared" si="319"/>
        <v>-0.38478275585780541</v>
      </c>
    </row>
    <row r="3399" spans="7:20" ht="14.4" x14ac:dyDescent="0.25">
      <c r="G3399" s="10">
        <v>3288</v>
      </c>
      <c r="H3399" s="9">
        <v>23522</v>
      </c>
      <c r="I3399" s="14">
        <f>DATE(2012,12,31)-630</f>
        <v>40644</v>
      </c>
      <c r="J3399" s="15" t="s">
        <v>30</v>
      </c>
      <c r="K3399" s="9">
        <v>19</v>
      </c>
      <c r="L3399" s="16" t="s">
        <v>27</v>
      </c>
      <c r="M3399" s="16">
        <f t="shared" si="315"/>
        <v>-0.45384253247702649</v>
      </c>
      <c r="N3399">
        <f t="shared" si="316"/>
        <v>0</v>
      </c>
      <c r="O3399">
        <f t="shared" si="317"/>
        <v>0</v>
      </c>
      <c r="P3399">
        <f t="shared" si="314"/>
        <v>4350</v>
      </c>
      <c r="Q3399">
        <f t="shared" si="318"/>
        <v>4350</v>
      </c>
      <c r="T3399" s="16">
        <f t="shared" si="319"/>
        <v>-0.45384253247702688</v>
      </c>
    </row>
    <row r="3400" spans="7:20" ht="14.4" x14ac:dyDescent="0.25">
      <c r="G3400" s="10">
        <v>3289</v>
      </c>
      <c r="H3400" s="9">
        <v>23522</v>
      </c>
      <c r="I3400" s="14">
        <f>DATE(2012,12,31)-630</f>
        <v>40644</v>
      </c>
      <c r="J3400" s="15" t="s">
        <v>30</v>
      </c>
      <c r="K3400" s="9">
        <v>36</v>
      </c>
      <c r="L3400" s="16" t="s">
        <v>26</v>
      </c>
      <c r="M3400" s="16">
        <f t="shared" si="315"/>
        <v>0.72017367004973787</v>
      </c>
      <c r="N3400">
        <f t="shared" si="316"/>
        <v>0</v>
      </c>
      <c r="O3400">
        <f t="shared" si="317"/>
        <v>0</v>
      </c>
      <c r="P3400">
        <f t="shared" si="314"/>
        <v>5200</v>
      </c>
      <c r="Q3400">
        <f t="shared" si="318"/>
        <v>5200</v>
      </c>
      <c r="T3400" s="16">
        <f t="shared" si="319"/>
        <v>0.72017367004973754</v>
      </c>
    </row>
    <row r="3401" spans="7:20" ht="14.4" x14ac:dyDescent="0.25">
      <c r="G3401" s="10">
        <v>3349</v>
      </c>
      <c r="H3401" s="9">
        <v>23968</v>
      </c>
      <c r="I3401" s="14">
        <f>DATE(2012,12,31)-668</f>
        <v>40606</v>
      </c>
      <c r="J3401" s="15" t="s">
        <v>30</v>
      </c>
      <c r="K3401" s="9">
        <v>19</v>
      </c>
      <c r="L3401" s="16" t="s">
        <v>26</v>
      </c>
      <c r="M3401" s="16">
        <f t="shared" si="315"/>
        <v>-0.45384253247702649</v>
      </c>
      <c r="N3401">
        <f t="shared" si="316"/>
        <v>0</v>
      </c>
      <c r="O3401">
        <f t="shared" si="317"/>
        <v>0</v>
      </c>
      <c r="P3401">
        <f t="shared" si="314"/>
        <v>4350</v>
      </c>
      <c r="Q3401">
        <f t="shared" si="318"/>
        <v>4350</v>
      </c>
      <c r="T3401" s="16">
        <f t="shared" si="319"/>
        <v>-0.45384253247702688</v>
      </c>
    </row>
    <row r="3402" spans="7:20" ht="14.4" x14ac:dyDescent="0.25">
      <c r="G3402" s="10">
        <v>3458</v>
      </c>
      <c r="H3402" s="9">
        <v>24644</v>
      </c>
      <c r="I3402" s="14">
        <f>DATE(2012,12,31)-1252</f>
        <v>40022</v>
      </c>
      <c r="J3402" s="15" t="s">
        <v>30</v>
      </c>
      <c r="K3402" s="9">
        <v>40</v>
      </c>
      <c r="L3402" s="16" t="s">
        <v>26</v>
      </c>
      <c r="M3402" s="16">
        <f t="shared" si="315"/>
        <v>0.99641277652662363</v>
      </c>
      <c r="N3402">
        <f t="shared" si="316"/>
        <v>0</v>
      </c>
      <c r="O3402">
        <f t="shared" si="317"/>
        <v>0</v>
      </c>
      <c r="P3402">
        <f t="shared" si="314"/>
        <v>5400</v>
      </c>
      <c r="Q3402">
        <f t="shared" si="318"/>
        <v>5400</v>
      </c>
      <c r="T3402" s="16">
        <f t="shared" si="319"/>
        <v>0.9964127765266233</v>
      </c>
    </row>
    <row r="3403" spans="7:20" ht="14.4" x14ac:dyDescent="0.25">
      <c r="G3403" s="10">
        <v>3570</v>
      </c>
      <c r="H3403" s="9">
        <v>25472</v>
      </c>
      <c r="I3403" s="14">
        <f>DATE(2012,12,31)-1320</f>
        <v>39954</v>
      </c>
      <c r="J3403" s="15" t="s">
        <v>17</v>
      </c>
      <c r="K3403" s="9">
        <v>40</v>
      </c>
      <c r="L3403" s="16" t="s">
        <v>26</v>
      </c>
      <c r="M3403" s="16">
        <f t="shared" si="315"/>
        <v>0.99641277652662363</v>
      </c>
      <c r="N3403">
        <f t="shared" si="316"/>
        <v>0</v>
      </c>
      <c r="O3403">
        <f t="shared" si="317"/>
        <v>0</v>
      </c>
      <c r="P3403">
        <f t="shared" si="314"/>
        <v>5400</v>
      </c>
      <c r="Q3403">
        <f t="shared" si="318"/>
        <v>5400</v>
      </c>
      <c r="T3403" s="16">
        <f t="shared" si="319"/>
        <v>0.9964127765266233</v>
      </c>
    </row>
    <row r="3404" spans="7:20" ht="14.4" x14ac:dyDescent="0.25">
      <c r="G3404" s="10">
        <v>3629</v>
      </c>
      <c r="H3404" s="9">
        <v>25927</v>
      </c>
      <c r="I3404" s="14">
        <f>DATE(2012,12,31)-1349</f>
        <v>39925</v>
      </c>
      <c r="J3404" s="15" t="s">
        <v>16</v>
      </c>
      <c r="K3404" s="9">
        <v>14</v>
      </c>
      <c r="L3404" s="16" t="s">
        <v>26</v>
      </c>
      <c r="M3404" s="16">
        <f t="shared" si="315"/>
        <v>-0.79914141557313367</v>
      </c>
      <c r="N3404">
        <f t="shared" si="316"/>
        <v>0</v>
      </c>
      <c r="O3404">
        <f t="shared" si="317"/>
        <v>0</v>
      </c>
      <c r="P3404">
        <f t="shared" ref="P3404:P3467" si="320">50*K3404+$P$10</f>
        <v>4100</v>
      </c>
      <c r="Q3404">
        <f t="shared" si="318"/>
        <v>4100</v>
      </c>
      <c r="T3404" s="16">
        <f t="shared" si="319"/>
        <v>-0.79914141557313401</v>
      </c>
    </row>
    <row r="3405" spans="7:20" ht="14.4" x14ac:dyDescent="0.25">
      <c r="G3405" s="10">
        <v>3634</v>
      </c>
      <c r="H3405" s="9">
        <v>25955</v>
      </c>
      <c r="I3405" s="14">
        <f>DATE(2012,12,31)-607</f>
        <v>40667</v>
      </c>
      <c r="J3405" s="15" t="s">
        <v>28</v>
      </c>
      <c r="K3405" s="9">
        <v>10</v>
      </c>
      <c r="L3405" s="16" t="s">
        <v>26</v>
      </c>
      <c r="M3405" s="16">
        <f t="shared" ref="M3405:M3468" si="321">(K3405-$K$4)/$K$7</f>
        <v>-1.0753805220500194</v>
      </c>
      <c r="N3405">
        <f t="shared" ref="N3405:N3468" si="322">IF(MOD($B$20+G3405,1000)=0,1,0)</f>
        <v>0</v>
      </c>
      <c r="O3405">
        <f t="shared" ref="O3405:O3468" si="323">+ROUND(N3405*(IF(K3405&lt;$K$4,-4.5,10.5)*$P$5),-2)</f>
        <v>0</v>
      </c>
      <c r="P3405">
        <f t="shared" si="320"/>
        <v>3900</v>
      </c>
      <c r="Q3405">
        <f t="shared" ref="Q3405:Q3468" si="324">P3405+O3405</f>
        <v>3900</v>
      </c>
      <c r="T3405" s="16">
        <f t="shared" ref="T3405:T3468" si="325">(Q3405-$P$4)/$P$5</f>
        <v>-1.0753805220500199</v>
      </c>
    </row>
    <row r="3406" spans="7:20" ht="14.4" x14ac:dyDescent="0.25">
      <c r="G3406" s="10">
        <v>3668</v>
      </c>
      <c r="H3406" s="9">
        <v>26276</v>
      </c>
      <c r="I3406" s="14">
        <f>DATE(2012,12,31)-841</f>
        <v>40433</v>
      </c>
      <c r="J3406" s="15" t="s">
        <v>25</v>
      </c>
      <c r="K3406" s="9">
        <v>19</v>
      </c>
      <c r="L3406" s="16" t="s">
        <v>27</v>
      </c>
      <c r="M3406" s="16">
        <f t="shared" si="321"/>
        <v>-0.45384253247702649</v>
      </c>
      <c r="N3406">
        <f t="shared" si="322"/>
        <v>0</v>
      </c>
      <c r="O3406">
        <f t="shared" si="323"/>
        <v>0</v>
      </c>
      <c r="P3406">
        <f t="shared" si="320"/>
        <v>4350</v>
      </c>
      <c r="Q3406">
        <f t="shared" si="324"/>
        <v>4350</v>
      </c>
      <c r="T3406" s="16">
        <f t="shared" si="325"/>
        <v>-0.45384253247702688</v>
      </c>
    </row>
    <row r="3407" spans="7:20" ht="14.4" x14ac:dyDescent="0.25">
      <c r="G3407" s="10">
        <v>3676</v>
      </c>
      <c r="H3407" s="9">
        <v>26306</v>
      </c>
      <c r="I3407" s="14">
        <f>DATE(2012,12,31)-62</f>
        <v>41212</v>
      </c>
      <c r="J3407" s="15" t="s">
        <v>25</v>
      </c>
      <c r="K3407" s="9">
        <v>15</v>
      </c>
      <c r="L3407" s="16" t="s">
        <v>29</v>
      </c>
      <c r="M3407" s="16">
        <f t="shared" si="321"/>
        <v>-0.7300816389539122</v>
      </c>
      <c r="N3407">
        <f t="shared" si="322"/>
        <v>0</v>
      </c>
      <c r="O3407">
        <f t="shared" si="323"/>
        <v>0</v>
      </c>
      <c r="P3407">
        <f t="shared" si="320"/>
        <v>4150</v>
      </c>
      <c r="Q3407">
        <f t="shared" si="324"/>
        <v>4150</v>
      </c>
      <c r="T3407" s="16">
        <f t="shared" si="325"/>
        <v>-0.73008163895391265</v>
      </c>
    </row>
    <row r="3408" spans="7:20" ht="14.4" x14ac:dyDescent="0.25">
      <c r="G3408" s="10">
        <v>3739</v>
      </c>
      <c r="H3408" s="9">
        <v>26724</v>
      </c>
      <c r="I3408" s="14">
        <f>DATE(2012,12,31)-1424</f>
        <v>39850</v>
      </c>
      <c r="J3408" s="15" t="s">
        <v>30</v>
      </c>
      <c r="K3408" s="9">
        <v>2</v>
      </c>
      <c r="L3408" s="16" t="s">
        <v>27</v>
      </c>
      <c r="M3408" s="16">
        <f t="shared" si="321"/>
        <v>-1.627858735003791</v>
      </c>
      <c r="N3408">
        <f t="shared" si="322"/>
        <v>0</v>
      </c>
      <c r="O3408">
        <f t="shared" si="323"/>
        <v>0</v>
      </c>
      <c r="P3408">
        <f t="shared" si="320"/>
        <v>3500</v>
      </c>
      <c r="Q3408">
        <f t="shared" si="324"/>
        <v>3500</v>
      </c>
      <c r="T3408" s="16">
        <f t="shared" si="325"/>
        <v>-1.6278587350037912</v>
      </c>
    </row>
    <row r="3409" spans="7:20" ht="14.4" x14ac:dyDescent="0.25">
      <c r="G3409" s="10">
        <v>3749</v>
      </c>
      <c r="H3409" s="9">
        <v>26784</v>
      </c>
      <c r="I3409" s="14">
        <f>DATE(2012,12,31)-892</f>
        <v>40382</v>
      </c>
      <c r="J3409" s="15" t="s">
        <v>30</v>
      </c>
      <c r="K3409" s="9">
        <v>12</v>
      </c>
      <c r="L3409" s="16" t="s">
        <v>29</v>
      </c>
      <c r="M3409" s="16">
        <f t="shared" si="321"/>
        <v>-0.9372609688115765</v>
      </c>
      <c r="N3409">
        <f t="shared" si="322"/>
        <v>0</v>
      </c>
      <c r="O3409">
        <f t="shared" si="323"/>
        <v>0</v>
      </c>
      <c r="P3409">
        <f t="shared" si="320"/>
        <v>4000</v>
      </c>
      <c r="Q3409">
        <f t="shared" si="324"/>
        <v>4000</v>
      </c>
      <c r="T3409" s="16">
        <f t="shared" si="325"/>
        <v>-0.93726096881157694</v>
      </c>
    </row>
    <row r="3410" spans="7:20" ht="14.4" x14ac:dyDescent="0.25">
      <c r="G3410" s="10">
        <v>3750</v>
      </c>
      <c r="H3410" s="9">
        <v>26784</v>
      </c>
      <c r="I3410" s="14">
        <f>DATE(2012,12,31)-892</f>
        <v>40382</v>
      </c>
      <c r="J3410" s="15" t="s">
        <v>30</v>
      </c>
      <c r="K3410" s="9">
        <v>33</v>
      </c>
      <c r="L3410" s="16" t="s">
        <v>27</v>
      </c>
      <c r="M3410" s="16">
        <f t="shared" si="321"/>
        <v>0.51299434019207357</v>
      </c>
      <c r="N3410">
        <f t="shared" si="322"/>
        <v>0</v>
      </c>
      <c r="O3410">
        <f t="shared" si="323"/>
        <v>0</v>
      </c>
      <c r="P3410">
        <f t="shared" si="320"/>
        <v>5050</v>
      </c>
      <c r="Q3410">
        <f t="shared" si="324"/>
        <v>5050</v>
      </c>
      <c r="T3410" s="16">
        <f t="shared" si="325"/>
        <v>0.51299434019207324</v>
      </c>
    </row>
    <row r="3411" spans="7:20" ht="14.4" x14ac:dyDescent="0.25">
      <c r="G3411" s="10">
        <v>3765</v>
      </c>
      <c r="H3411" s="9">
        <v>26912</v>
      </c>
      <c r="I3411" s="14">
        <f>DATE(2012,12,31)-248</f>
        <v>41026</v>
      </c>
      <c r="J3411" s="15" t="s">
        <v>25</v>
      </c>
      <c r="K3411" s="9">
        <v>18</v>
      </c>
      <c r="L3411" s="16" t="s">
        <v>27</v>
      </c>
      <c r="M3411" s="16">
        <f t="shared" si="321"/>
        <v>-0.52290230909624791</v>
      </c>
      <c r="N3411">
        <f t="shared" si="322"/>
        <v>0</v>
      </c>
      <c r="O3411">
        <f t="shared" si="323"/>
        <v>0</v>
      </c>
      <c r="P3411">
        <f t="shared" si="320"/>
        <v>4300</v>
      </c>
      <c r="Q3411">
        <f t="shared" si="324"/>
        <v>4300</v>
      </c>
      <c r="T3411" s="16">
        <f t="shared" si="325"/>
        <v>-0.52290230909624835</v>
      </c>
    </row>
    <row r="3412" spans="7:20" ht="14.4" x14ac:dyDescent="0.25">
      <c r="G3412" s="10">
        <v>3776</v>
      </c>
      <c r="H3412" s="9">
        <v>26949</v>
      </c>
      <c r="I3412" s="14">
        <f>DATE(2012,12,31)-1234</f>
        <v>40040</v>
      </c>
      <c r="J3412" s="15" t="s">
        <v>30</v>
      </c>
      <c r="K3412" s="9">
        <v>48</v>
      </c>
      <c r="L3412" s="16" t="s">
        <v>29</v>
      </c>
      <c r="M3412" s="16">
        <f t="shared" si="321"/>
        <v>1.5488909894803951</v>
      </c>
      <c r="N3412">
        <f t="shared" si="322"/>
        <v>0</v>
      </c>
      <c r="O3412">
        <f t="shared" si="323"/>
        <v>0</v>
      </c>
      <c r="P3412">
        <f t="shared" si="320"/>
        <v>5800</v>
      </c>
      <c r="Q3412">
        <f t="shared" si="324"/>
        <v>5800</v>
      </c>
      <c r="T3412" s="16">
        <f t="shared" si="325"/>
        <v>1.5488909894803948</v>
      </c>
    </row>
    <row r="3413" spans="7:20" ht="14.4" x14ac:dyDescent="0.25">
      <c r="G3413" s="10">
        <v>3845</v>
      </c>
      <c r="H3413" s="9">
        <v>27430</v>
      </c>
      <c r="I3413" s="14">
        <f>DATE(2012,12,31)-700</f>
        <v>40574</v>
      </c>
      <c r="J3413" s="15" t="s">
        <v>17</v>
      </c>
      <c r="K3413" s="9">
        <v>12</v>
      </c>
      <c r="L3413" s="16" t="s">
        <v>26</v>
      </c>
      <c r="M3413" s="16">
        <f t="shared" si="321"/>
        <v>-0.9372609688115765</v>
      </c>
      <c r="N3413">
        <f t="shared" si="322"/>
        <v>0</v>
      </c>
      <c r="O3413">
        <f t="shared" si="323"/>
        <v>0</v>
      </c>
      <c r="P3413">
        <f t="shared" si="320"/>
        <v>4000</v>
      </c>
      <c r="Q3413">
        <f t="shared" si="324"/>
        <v>4000</v>
      </c>
      <c r="T3413" s="16">
        <f t="shared" si="325"/>
        <v>-0.93726096881157694</v>
      </c>
    </row>
    <row r="3414" spans="7:20" ht="14.4" x14ac:dyDescent="0.25">
      <c r="G3414" s="10">
        <v>3949</v>
      </c>
      <c r="H3414" s="9">
        <v>28161</v>
      </c>
      <c r="I3414" s="14">
        <f>DATE(2012,12,31)-1295</f>
        <v>39979</v>
      </c>
      <c r="J3414" s="15" t="s">
        <v>28</v>
      </c>
      <c r="K3414" s="9">
        <v>10</v>
      </c>
      <c r="L3414" s="16" t="s">
        <v>29</v>
      </c>
      <c r="M3414" s="16">
        <f t="shared" si="321"/>
        <v>-1.0753805220500194</v>
      </c>
      <c r="N3414">
        <f t="shared" si="322"/>
        <v>0</v>
      </c>
      <c r="O3414">
        <f t="shared" si="323"/>
        <v>0</v>
      </c>
      <c r="P3414">
        <f t="shared" si="320"/>
        <v>3900</v>
      </c>
      <c r="Q3414">
        <f t="shared" si="324"/>
        <v>3900</v>
      </c>
      <c r="T3414" s="16">
        <f t="shared" si="325"/>
        <v>-1.0753805220500199</v>
      </c>
    </row>
    <row r="3415" spans="7:20" ht="14.4" x14ac:dyDescent="0.25">
      <c r="G3415" s="10">
        <v>3951</v>
      </c>
      <c r="H3415" s="9">
        <v>28161</v>
      </c>
      <c r="I3415" s="14">
        <f>DATE(2012,12,31)-1295</f>
        <v>39979</v>
      </c>
      <c r="J3415" s="15" t="s">
        <v>28</v>
      </c>
      <c r="K3415" s="9">
        <v>41</v>
      </c>
      <c r="L3415" s="16" t="s">
        <v>27</v>
      </c>
      <c r="M3415" s="16">
        <f t="shared" si="321"/>
        <v>1.0654725531458451</v>
      </c>
      <c r="N3415">
        <f t="shared" si="322"/>
        <v>0</v>
      </c>
      <c r="O3415">
        <f t="shared" si="323"/>
        <v>0</v>
      </c>
      <c r="P3415">
        <f t="shared" si="320"/>
        <v>5450</v>
      </c>
      <c r="Q3415">
        <f t="shared" si="324"/>
        <v>5450</v>
      </c>
      <c r="T3415" s="16">
        <f t="shared" si="325"/>
        <v>1.0654725531458447</v>
      </c>
    </row>
    <row r="3416" spans="7:20" ht="14.4" x14ac:dyDescent="0.25">
      <c r="G3416" s="10">
        <v>4070</v>
      </c>
      <c r="H3416" s="9">
        <v>28992</v>
      </c>
      <c r="I3416" s="14">
        <f>DATE(2012,12,31)-469</f>
        <v>40805</v>
      </c>
      <c r="J3416" s="15" t="s">
        <v>30</v>
      </c>
      <c r="K3416" s="9">
        <v>41</v>
      </c>
      <c r="L3416" s="16" t="s">
        <v>26</v>
      </c>
      <c r="M3416" s="16">
        <f t="shared" si="321"/>
        <v>1.0654725531458451</v>
      </c>
      <c r="N3416">
        <f t="shared" si="322"/>
        <v>0</v>
      </c>
      <c r="O3416">
        <f t="shared" si="323"/>
        <v>0</v>
      </c>
      <c r="P3416">
        <f t="shared" si="320"/>
        <v>5450</v>
      </c>
      <c r="Q3416">
        <f t="shared" si="324"/>
        <v>5450</v>
      </c>
      <c r="T3416" s="16">
        <f t="shared" si="325"/>
        <v>1.0654725531458447</v>
      </c>
    </row>
    <row r="3417" spans="7:20" ht="14.4" x14ac:dyDescent="0.25">
      <c r="G3417" s="10">
        <v>4130</v>
      </c>
      <c r="H3417" s="9">
        <v>29349</v>
      </c>
      <c r="I3417" s="14">
        <f>DATE(2012,12,31)-935</f>
        <v>40339</v>
      </c>
      <c r="J3417" s="15" t="s">
        <v>17</v>
      </c>
      <c r="K3417" s="9">
        <v>33</v>
      </c>
      <c r="L3417" s="16" t="s">
        <v>26</v>
      </c>
      <c r="M3417" s="16">
        <f t="shared" si="321"/>
        <v>0.51299434019207357</v>
      </c>
      <c r="N3417">
        <f t="shared" si="322"/>
        <v>0</v>
      </c>
      <c r="O3417">
        <f t="shared" si="323"/>
        <v>0</v>
      </c>
      <c r="P3417">
        <f t="shared" si="320"/>
        <v>5050</v>
      </c>
      <c r="Q3417">
        <f t="shared" si="324"/>
        <v>5050</v>
      </c>
      <c r="T3417" s="16">
        <f t="shared" si="325"/>
        <v>0.51299434019207324</v>
      </c>
    </row>
    <row r="3418" spans="7:20" ht="14.4" x14ac:dyDescent="0.25">
      <c r="G3418" s="10">
        <v>4131</v>
      </c>
      <c r="H3418" s="9">
        <v>29350</v>
      </c>
      <c r="I3418" s="14">
        <f>DATE(2012,12,31)-1224</f>
        <v>40050</v>
      </c>
      <c r="J3418" s="15" t="s">
        <v>17</v>
      </c>
      <c r="K3418" s="9">
        <v>47</v>
      </c>
      <c r="L3418" s="16" t="s">
        <v>26</v>
      </c>
      <c r="M3418" s="16">
        <f t="shared" si="321"/>
        <v>1.4798312128611737</v>
      </c>
      <c r="N3418">
        <f t="shared" si="322"/>
        <v>0</v>
      </c>
      <c r="O3418">
        <f t="shared" si="323"/>
        <v>0</v>
      </c>
      <c r="P3418">
        <f t="shared" si="320"/>
        <v>5750</v>
      </c>
      <c r="Q3418">
        <f t="shared" si="324"/>
        <v>5750</v>
      </c>
      <c r="T3418" s="16">
        <f t="shared" si="325"/>
        <v>1.4798312128611733</v>
      </c>
    </row>
    <row r="3419" spans="7:20" ht="14.4" x14ac:dyDescent="0.25">
      <c r="G3419" s="10">
        <v>4133</v>
      </c>
      <c r="H3419" s="9">
        <v>29350</v>
      </c>
      <c r="I3419" s="14">
        <f>DATE(2012,12,31)-1224</f>
        <v>40050</v>
      </c>
      <c r="J3419" s="15" t="s">
        <v>17</v>
      </c>
      <c r="K3419" s="9">
        <v>46</v>
      </c>
      <c r="L3419" s="16" t="s">
        <v>26</v>
      </c>
      <c r="M3419" s="16">
        <f t="shared" si="321"/>
        <v>1.4107714362419523</v>
      </c>
      <c r="N3419">
        <f t="shared" si="322"/>
        <v>0</v>
      </c>
      <c r="O3419">
        <f t="shared" si="323"/>
        <v>0</v>
      </c>
      <c r="P3419">
        <f t="shared" si="320"/>
        <v>5700</v>
      </c>
      <c r="Q3419">
        <f t="shared" si="324"/>
        <v>5700</v>
      </c>
      <c r="T3419" s="16">
        <f t="shared" si="325"/>
        <v>1.4107714362419519</v>
      </c>
    </row>
    <row r="3420" spans="7:20" ht="14.4" x14ac:dyDescent="0.25">
      <c r="G3420" s="10">
        <v>4152</v>
      </c>
      <c r="H3420" s="9">
        <v>29473</v>
      </c>
      <c r="I3420" s="14">
        <f>DATE(2012,12,31)-320</f>
        <v>40954</v>
      </c>
      <c r="J3420" s="15" t="s">
        <v>16</v>
      </c>
      <c r="K3420" s="9">
        <v>40</v>
      </c>
      <c r="L3420" s="16" t="s">
        <v>29</v>
      </c>
      <c r="M3420" s="16">
        <f t="shared" si="321"/>
        <v>0.99641277652662363</v>
      </c>
      <c r="N3420">
        <f t="shared" si="322"/>
        <v>0</v>
      </c>
      <c r="O3420">
        <f t="shared" si="323"/>
        <v>0</v>
      </c>
      <c r="P3420">
        <f t="shared" si="320"/>
        <v>5400</v>
      </c>
      <c r="Q3420">
        <f t="shared" si="324"/>
        <v>5400</v>
      </c>
      <c r="T3420" s="16">
        <f t="shared" si="325"/>
        <v>0.9964127765266233</v>
      </c>
    </row>
    <row r="3421" spans="7:20" ht="14.4" x14ac:dyDescent="0.25">
      <c r="G3421" s="10">
        <v>4225</v>
      </c>
      <c r="H3421" s="9">
        <v>30023</v>
      </c>
      <c r="I3421" s="14">
        <f>DATE(2012,12,31)-808</f>
        <v>40466</v>
      </c>
      <c r="J3421" s="15" t="s">
        <v>25</v>
      </c>
      <c r="K3421" s="9">
        <v>34</v>
      </c>
      <c r="L3421" s="16" t="s">
        <v>27</v>
      </c>
      <c r="M3421" s="16">
        <f t="shared" si="321"/>
        <v>0.58205411681129504</v>
      </c>
      <c r="N3421">
        <f t="shared" si="322"/>
        <v>0</v>
      </c>
      <c r="O3421">
        <f t="shared" si="323"/>
        <v>0</v>
      </c>
      <c r="P3421">
        <f t="shared" si="320"/>
        <v>5100</v>
      </c>
      <c r="Q3421">
        <f t="shared" si="324"/>
        <v>5100</v>
      </c>
      <c r="T3421" s="16">
        <f t="shared" si="325"/>
        <v>0.58205411681129471</v>
      </c>
    </row>
    <row r="3422" spans="7:20" ht="14.4" x14ac:dyDescent="0.25">
      <c r="G3422" s="10">
        <v>4241</v>
      </c>
      <c r="H3422" s="9">
        <v>30150</v>
      </c>
      <c r="I3422" s="14">
        <f>DATE(2012,12,31)-819</f>
        <v>40455</v>
      </c>
      <c r="J3422" s="15" t="s">
        <v>30</v>
      </c>
      <c r="K3422" s="9">
        <v>30</v>
      </c>
      <c r="L3422" s="16" t="s">
        <v>26</v>
      </c>
      <c r="M3422" s="16">
        <f t="shared" si="321"/>
        <v>0.30581501033440933</v>
      </c>
      <c r="N3422">
        <f t="shared" si="322"/>
        <v>0</v>
      </c>
      <c r="O3422">
        <f t="shared" si="323"/>
        <v>0</v>
      </c>
      <c r="P3422">
        <f t="shared" si="320"/>
        <v>4900</v>
      </c>
      <c r="Q3422">
        <f t="shared" si="324"/>
        <v>4900</v>
      </c>
      <c r="T3422" s="16">
        <f t="shared" si="325"/>
        <v>0.30581501033440894</v>
      </c>
    </row>
    <row r="3423" spans="7:20" ht="14.4" x14ac:dyDescent="0.25">
      <c r="G3423" s="10">
        <v>4242</v>
      </c>
      <c r="H3423" s="9">
        <v>30151</v>
      </c>
      <c r="I3423" s="14">
        <f>DATE(2012,12,31)-702</f>
        <v>40572</v>
      </c>
      <c r="J3423" s="15" t="s">
        <v>28</v>
      </c>
      <c r="K3423" s="9">
        <v>31</v>
      </c>
      <c r="L3423" s="16" t="s">
        <v>26</v>
      </c>
      <c r="M3423" s="16">
        <f t="shared" si="321"/>
        <v>0.37487478695363075</v>
      </c>
      <c r="N3423">
        <f t="shared" si="322"/>
        <v>0</v>
      </c>
      <c r="O3423">
        <f t="shared" si="323"/>
        <v>0</v>
      </c>
      <c r="P3423">
        <f t="shared" si="320"/>
        <v>4950</v>
      </c>
      <c r="Q3423">
        <f t="shared" si="324"/>
        <v>4950</v>
      </c>
      <c r="T3423" s="16">
        <f t="shared" si="325"/>
        <v>0.37487478695363036</v>
      </c>
    </row>
    <row r="3424" spans="7:20" ht="14.4" x14ac:dyDescent="0.25">
      <c r="G3424" s="10">
        <v>4251</v>
      </c>
      <c r="H3424" s="9">
        <v>30276</v>
      </c>
      <c r="I3424" s="14">
        <f>DATE(2012,12,31)-493</f>
        <v>40781</v>
      </c>
      <c r="J3424" s="15" t="s">
        <v>25</v>
      </c>
      <c r="K3424" s="9">
        <v>44</v>
      </c>
      <c r="L3424" s="16" t="s">
        <v>27</v>
      </c>
      <c r="M3424" s="16">
        <f t="shared" si="321"/>
        <v>1.2726518830035094</v>
      </c>
      <c r="N3424">
        <f t="shared" si="322"/>
        <v>0</v>
      </c>
      <c r="O3424">
        <f t="shared" si="323"/>
        <v>0</v>
      </c>
      <c r="P3424">
        <f t="shared" si="320"/>
        <v>5600</v>
      </c>
      <c r="Q3424">
        <f t="shared" si="324"/>
        <v>5600</v>
      </c>
      <c r="T3424" s="16">
        <f t="shared" si="325"/>
        <v>1.272651883003509</v>
      </c>
    </row>
    <row r="3425" spans="7:20" ht="14.4" x14ac:dyDescent="0.25">
      <c r="G3425" s="10">
        <v>4252</v>
      </c>
      <c r="H3425" s="9">
        <v>30276</v>
      </c>
      <c r="I3425" s="14">
        <f>DATE(2012,12,31)-493</f>
        <v>40781</v>
      </c>
      <c r="J3425" s="15" t="s">
        <v>25</v>
      </c>
      <c r="K3425" s="9">
        <v>34</v>
      </c>
      <c r="L3425" s="16" t="s">
        <v>29</v>
      </c>
      <c r="M3425" s="16">
        <f t="shared" si="321"/>
        <v>0.58205411681129504</v>
      </c>
      <c r="N3425">
        <f t="shared" si="322"/>
        <v>0</v>
      </c>
      <c r="O3425">
        <f t="shared" si="323"/>
        <v>0</v>
      </c>
      <c r="P3425">
        <f t="shared" si="320"/>
        <v>5100</v>
      </c>
      <c r="Q3425">
        <f t="shared" si="324"/>
        <v>5100</v>
      </c>
      <c r="T3425" s="16">
        <f t="shared" si="325"/>
        <v>0.58205411681129471</v>
      </c>
    </row>
    <row r="3426" spans="7:20" ht="14.4" x14ac:dyDescent="0.25">
      <c r="G3426" s="10">
        <v>4254</v>
      </c>
      <c r="H3426" s="9">
        <v>30279</v>
      </c>
      <c r="I3426" s="14">
        <f>DATE(2012,12,31)-390</f>
        <v>40884</v>
      </c>
      <c r="J3426" s="15" t="s">
        <v>30</v>
      </c>
      <c r="K3426" s="9">
        <v>25</v>
      </c>
      <c r="L3426" s="16" t="s">
        <v>26</v>
      </c>
      <c r="M3426" s="16">
        <f t="shared" si="321"/>
        <v>-3.9483872761697868E-2</v>
      </c>
      <c r="N3426">
        <f t="shared" si="322"/>
        <v>0</v>
      </c>
      <c r="O3426">
        <f t="shared" si="323"/>
        <v>0</v>
      </c>
      <c r="P3426">
        <f t="shared" si="320"/>
        <v>4650</v>
      </c>
      <c r="Q3426">
        <f t="shared" si="324"/>
        <v>4650</v>
      </c>
      <c r="T3426" s="16">
        <f t="shared" si="325"/>
        <v>-3.9483872761698249E-2</v>
      </c>
    </row>
    <row r="3427" spans="7:20" ht="14.4" x14ac:dyDescent="0.25">
      <c r="G3427" s="10">
        <v>4255</v>
      </c>
      <c r="H3427" s="9">
        <v>30279</v>
      </c>
      <c r="I3427" s="14">
        <f>DATE(2012,12,31)-390</f>
        <v>40884</v>
      </c>
      <c r="J3427" s="15" t="s">
        <v>30</v>
      </c>
      <c r="K3427" s="9">
        <v>39</v>
      </c>
      <c r="L3427" s="16" t="s">
        <v>27</v>
      </c>
      <c r="M3427" s="16">
        <f t="shared" si="321"/>
        <v>0.92735299990740228</v>
      </c>
      <c r="N3427">
        <f t="shared" si="322"/>
        <v>0</v>
      </c>
      <c r="O3427">
        <f t="shared" si="323"/>
        <v>0</v>
      </c>
      <c r="P3427">
        <f t="shared" si="320"/>
        <v>5350</v>
      </c>
      <c r="Q3427">
        <f t="shared" si="324"/>
        <v>5350</v>
      </c>
      <c r="T3427" s="16">
        <f t="shared" si="325"/>
        <v>0.92735299990740183</v>
      </c>
    </row>
    <row r="3428" spans="7:20" ht="14.4" x14ac:dyDescent="0.25">
      <c r="G3428" s="10">
        <v>4587</v>
      </c>
      <c r="H3428" s="9">
        <v>32640</v>
      </c>
      <c r="I3428" s="14">
        <f>DATE(2012,12,31)-107</f>
        <v>41167</v>
      </c>
      <c r="J3428" s="15" t="s">
        <v>17</v>
      </c>
      <c r="K3428" s="9">
        <v>18</v>
      </c>
      <c r="L3428" s="16" t="s">
        <v>26</v>
      </c>
      <c r="M3428" s="16">
        <f t="shared" si="321"/>
        <v>-0.52290230909624791</v>
      </c>
      <c r="N3428">
        <f t="shared" si="322"/>
        <v>0</v>
      </c>
      <c r="O3428">
        <f t="shared" si="323"/>
        <v>0</v>
      </c>
      <c r="P3428">
        <f t="shared" si="320"/>
        <v>4300</v>
      </c>
      <c r="Q3428">
        <f t="shared" si="324"/>
        <v>4300</v>
      </c>
      <c r="T3428" s="16">
        <f t="shared" si="325"/>
        <v>-0.52290230909624835</v>
      </c>
    </row>
    <row r="3429" spans="7:20" ht="14.4" x14ac:dyDescent="0.25">
      <c r="G3429" s="10">
        <v>4588</v>
      </c>
      <c r="H3429" s="9">
        <v>32640</v>
      </c>
      <c r="I3429" s="14">
        <f>DATE(2012,12,31)-107</f>
        <v>41167</v>
      </c>
      <c r="J3429" s="15" t="s">
        <v>17</v>
      </c>
      <c r="K3429" s="9">
        <v>12</v>
      </c>
      <c r="L3429" s="16" t="s">
        <v>26</v>
      </c>
      <c r="M3429" s="16">
        <f t="shared" si="321"/>
        <v>-0.9372609688115765</v>
      </c>
      <c r="N3429">
        <f t="shared" si="322"/>
        <v>0</v>
      </c>
      <c r="O3429">
        <f t="shared" si="323"/>
        <v>0</v>
      </c>
      <c r="P3429">
        <f t="shared" si="320"/>
        <v>4000</v>
      </c>
      <c r="Q3429">
        <f t="shared" si="324"/>
        <v>4000</v>
      </c>
      <c r="T3429" s="16">
        <f t="shared" si="325"/>
        <v>-0.93726096881157694</v>
      </c>
    </row>
    <row r="3430" spans="7:20" ht="14.4" x14ac:dyDescent="0.25">
      <c r="G3430" s="10">
        <v>4621</v>
      </c>
      <c r="H3430" s="9">
        <v>32902</v>
      </c>
      <c r="I3430" s="14">
        <f>DATE(2012,12,31)-303</f>
        <v>40971</v>
      </c>
      <c r="J3430" s="15" t="s">
        <v>17</v>
      </c>
      <c r="K3430" s="9">
        <v>34</v>
      </c>
      <c r="L3430" s="16" t="s">
        <v>26</v>
      </c>
      <c r="M3430" s="16">
        <f t="shared" si="321"/>
        <v>0.58205411681129504</v>
      </c>
      <c r="N3430">
        <f t="shared" si="322"/>
        <v>0</v>
      </c>
      <c r="O3430">
        <f t="shared" si="323"/>
        <v>0</v>
      </c>
      <c r="P3430">
        <f t="shared" si="320"/>
        <v>5100</v>
      </c>
      <c r="Q3430">
        <f t="shared" si="324"/>
        <v>5100</v>
      </c>
      <c r="T3430" s="16">
        <f t="shared" si="325"/>
        <v>0.58205411681129471</v>
      </c>
    </row>
    <row r="3431" spans="7:20" ht="14.4" x14ac:dyDescent="0.25">
      <c r="G3431" s="10">
        <v>4631</v>
      </c>
      <c r="H3431" s="9">
        <v>32965</v>
      </c>
      <c r="I3431" s="14">
        <f>DATE(2012,12,31)-676</f>
        <v>40598</v>
      </c>
      <c r="J3431" s="15" t="s">
        <v>17</v>
      </c>
      <c r="K3431" s="9">
        <v>25</v>
      </c>
      <c r="L3431" s="16" t="s">
        <v>27</v>
      </c>
      <c r="M3431" s="16">
        <f t="shared" si="321"/>
        <v>-3.9483872761697868E-2</v>
      </c>
      <c r="N3431">
        <f t="shared" si="322"/>
        <v>0</v>
      </c>
      <c r="O3431">
        <f t="shared" si="323"/>
        <v>0</v>
      </c>
      <c r="P3431">
        <f t="shared" si="320"/>
        <v>4650</v>
      </c>
      <c r="Q3431">
        <f t="shared" si="324"/>
        <v>4650</v>
      </c>
      <c r="T3431" s="16">
        <f t="shared" si="325"/>
        <v>-3.9483872761698249E-2</v>
      </c>
    </row>
    <row r="3432" spans="7:20" ht="14.4" x14ac:dyDescent="0.25">
      <c r="G3432" s="10">
        <v>4639</v>
      </c>
      <c r="H3432" s="9">
        <v>33025</v>
      </c>
      <c r="I3432" s="14">
        <f>DATE(2012,12,31)-1437</f>
        <v>39837</v>
      </c>
      <c r="J3432" s="15" t="s">
        <v>25</v>
      </c>
      <c r="K3432" s="9">
        <v>5</v>
      </c>
      <c r="L3432" s="16" t="s">
        <v>26</v>
      </c>
      <c r="M3432" s="16">
        <f t="shared" si="321"/>
        <v>-1.4206794051461267</v>
      </c>
      <c r="N3432">
        <f t="shared" si="322"/>
        <v>0</v>
      </c>
      <c r="O3432">
        <f t="shared" si="323"/>
        <v>0</v>
      </c>
      <c r="P3432">
        <f t="shared" si="320"/>
        <v>3650</v>
      </c>
      <c r="Q3432">
        <f t="shared" si="324"/>
        <v>3650</v>
      </c>
      <c r="T3432" s="16">
        <f t="shared" si="325"/>
        <v>-1.4206794051461269</v>
      </c>
    </row>
    <row r="3433" spans="7:20" ht="14.4" x14ac:dyDescent="0.25">
      <c r="G3433" s="10">
        <v>4655</v>
      </c>
      <c r="H3433" s="9">
        <v>33154</v>
      </c>
      <c r="I3433" s="14">
        <f>DATE(2012,12,31)-881</f>
        <v>40393</v>
      </c>
      <c r="J3433" s="15" t="s">
        <v>30</v>
      </c>
      <c r="K3433" s="9">
        <v>7</v>
      </c>
      <c r="L3433" s="16" t="s">
        <v>27</v>
      </c>
      <c r="M3433" s="16">
        <f t="shared" si="321"/>
        <v>-1.2825598519076837</v>
      </c>
      <c r="N3433">
        <f t="shared" si="322"/>
        <v>0</v>
      </c>
      <c r="O3433">
        <f t="shared" si="323"/>
        <v>0</v>
      </c>
      <c r="P3433">
        <f t="shared" si="320"/>
        <v>3750</v>
      </c>
      <c r="Q3433">
        <f t="shared" si="324"/>
        <v>3750</v>
      </c>
      <c r="T3433" s="16">
        <f t="shared" si="325"/>
        <v>-1.2825598519076842</v>
      </c>
    </row>
    <row r="3434" spans="7:20" ht="14.4" x14ac:dyDescent="0.25">
      <c r="G3434" s="10">
        <v>4673</v>
      </c>
      <c r="H3434" s="9">
        <v>33253</v>
      </c>
      <c r="I3434" s="14">
        <f>DATE(2012,12,31)-397</f>
        <v>40877</v>
      </c>
      <c r="J3434" s="15" t="s">
        <v>28</v>
      </c>
      <c r="K3434" s="9">
        <v>6</v>
      </c>
      <c r="L3434" s="16" t="s">
        <v>26</v>
      </c>
      <c r="M3434" s="16">
        <f t="shared" si="321"/>
        <v>-1.3516196285269051</v>
      </c>
      <c r="N3434">
        <f t="shared" si="322"/>
        <v>0</v>
      </c>
      <c r="O3434">
        <f t="shared" si="323"/>
        <v>0</v>
      </c>
      <c r="P3434">
        <f t="shared" si="320"/>
        <v>3700</v>
      </c>
      <c r="Q3434">
        <f t="shared" si="324"/>
        <v>3700</v>
      </c>
      <c r="T3434" s="16">
        <f t="shared" si="325"/>
        <v>-1.3516196285269055</v>
      </c>
    </row>
    <row r="3435" spans="7:20" ht="14.4" x14ac:dyDescent="0.25">
      <c r="G3435" s="10">
        <v>4733</v>
      </c>
      <c r="H3435" s="9">
        <v>33699</v>
      </c>
      <c r="I3435" s="14">
        <f>DATE(2012,12,31)-1254</f>
        <v>40020</v>
      </c>
      <c r="J3435" s="15" t="s">
        <v>25</v>
      </c>
      <c r="K3435" s="9">
        <v>13</v>
      </c>
      <c r="L3435" s="16" t="s">
        <v>29</v>
      </c>
      <c r="M3435" s="16">
        <f t="shared" si="321"/>
        <v>-0.86820119219235514</v>
      </c>
      <c r="N3435">
        <f t="shared" si="322"/>
        <v>0</v>
      </c>
      <c r="O3435">
        <f t="shared" si="323"/>
        <v>0</v>
      </c>
      <c r="P3435">
        <f t="shared" si="320"/>
        <v>4050</v>
      </c>
      <c r="Q3435">
        <f t="shared" si="324"/>
        <v>4050</v>
      </c>
      <c r="T3435" s="16">
        <f t="shared" si="325"/>
        <v>-0.86820119219235548</v>
      </c>
    </row>
    <row r="3436" spans="7:20" ht="14.4" x14ac:dyDescent="0.25">
      <c r="G3436" s="10">
        <v>4747</v>
      </c>
      <c r="H3436" s="9">
        <v>33761</v>
      </c>
      <c r="I3436" s="14">
        <f>DATE(2012,12,31)-149</f>
        <v>41125</v>
      </c>
      <c r="J3436" s="15" t="s">
        <v>17</v>
      </c>
      <c r="K3436" s="9">
        <v>45</v>
      </c>
      <c r="L3436" s="16" t="s">
        <v>26</v>
      </c>
      <c r="M3436" s="16">
        <f t="shared" si="321"/>
        <v>1.3417116596227308</v>
      </c>
      <c r="N3436">
        <f t="shared" si="322"/>
        <v>0</v>
      </c>
      <c r="O3436">
        <f t="shared" si="323"/>
        <v>0</v>
      </c>
      <c r="P3436">
        <f t="shared" si="320"/>
        <v>5650</v>
      </c>
      <c r="Q3436">
        <f t="shared" si="324"/>
        <v>5650</v>
      </c>
      <c r="T3436" s="16">
        <f t="shared" si="325"/>
        <v>1.3417116596227305</v>
      </c>
    </row>
    <row r="3437" spans="7:20" ht="14.4" x14ac:dyDescent="0.25">
      <c r="G3437" s="10">
        <v>4757</v>
      </c>
      <c r="H3437" s="9">
        <v>33797</v>
      </c>
      <c r="I3437" s="14">
        <f>DATE(2012,12,31)-1450</f>
        <v>39824</v>
      </c>
      <c r="J3437" s="15" t="s">
        <v>28</v>
      </c>
      <c r="K3437" s="9">
        <v>29</v>
      </c>
      <c r="L3437" s="16" t="s">
        <v>29</v>
      </c>
      <c r="M3437" s="16">
        <f t="shared" si="321"/>
        <v>0.23675523371518786</v>
      </c>
      <c r="N3437">
        <f t="shared" si="322"/>
        <v>0</v>
      </c>
      <c r="O3437">
        <f t="shared" si="323"/>
        <v>0</v>
      </c>
      <c r="P3437">
        <f t="shared" si="320"/>
        <v>4850</v>
      </c>
      <c r="Q3437">
        <f t="shared" si="324"/>
        <v>4850</v>
      </c>
      <c r="T3437" s="16">
        <f t="shared" si="325"/>
        <v>0.2367552337151875</v>
      </c>
    </row>
    <row r="3438" spans="7:20" ht="14.4" x14ac:dyDescent="0.25">
      <c r="G3438" s="10">
        <v>4758</v>
      </c>
      <c r="H3438" s="9">
        <v>33797</v>
      </c>
      <c r="I3438" s="14">
        <f>DATE(2012,12,31)-1450</f>
        <v>39824</v>
      </c>
      <c r="J3438" s="15" t="s">
        <v>28</v>
      </c>
      <c r="K3438" s="9">
        <v>18</v>
      </c>
      <c r="L3438" s="16" t="s">
        <v>26</v>
      </c>
      <c r="M3438" s="16">
        <f t="shared" si="321"/>
        <v>-0.52290230909624791</v>
      </c>
      <c r="N3438">
        <f t="shared" si="322"/>
        <v>0</v>
      </c>
      <c r="O3438">
        <f t="shared" si="323"/>
        <v>0</v>
      </c>
      <c r="P3438">
        <f t="shared" si="320"/>
        <v>4300</v>
      </c>
      <c r="Q3438">
        <f t="shared" si="324"/>
        <v>4300</v>
      </c>
      <c r="T3438" s="16">
        <f t="shared" si="325"/>
        <v>-0.52290230909624835</v>
      </c>
    </row>
    <row r="3439" spans="7:20" ht="14.4" x14ac:dyDescent="0.25">
      <c r="G3439" s="10">
        <v>4826</v>
      </c>
      <c r="H3439" s="9">
        <v>34309</v>
      </c>
      <c r="I3439" s="14">
        <f>DATE(2012,12,31)-116</f>
        <v>41158</v>
      </c>
      <c r="J3439" s="15" t="s">
        <v>17</v>
      </c>
      <c r="K3439" s="9">
        <v>16</v>
      </c>
      <c r="L3439" s="16" t="s">
        <v>26</v>
      </c>
      <c r="M3439" s="16">
        <f t="shared" si="321"/>
        <v>-0.66102186233469074</v>
      </c>
      <c r="N3439">
        <f t="shared" si="322"/>
        <v>0</v>
      </c>
      <c r="O3439">
        <f t="shared" si="323"/>
        <v>0</v>
      </c>
      <c r="P3439">
        <f t="shared" si="320"/>
        <v>4200</v>
      </c>
      <c r="Q3439">
        <f t="shared" si="324"/>
        <v>4200</v>
      </c>
      <c r="T3439" s="16">
        <f t="shared" si="325"/>
        <v>-0.66102186233469118</v>
      </c>
    </row>
    <row r="3440" spans="7:20" ht="14.4" x14ac:dyDescent="0.25">
      <c r="G3440" s="10">
        <v>4859</v>
      </c>
      <c r="H3440" s="9">
        <v>34595</v>
      </c>
      <c r="I3440" s="14">
        <f>DATE(2012,12,31)-165</f>
        <v>41109</v>
      </c>
      <c r="J3440" s="15" t="s">
        <v>16</v>
      </c>
      <c r="K3440" s="9">
        <v>12</v>
      </c>
      <c r="L3440" s="16" t="s">
        <v>26</v>
      </c>
      <c r="M3440" s="16">
        <f t="shared" si="321"/>
        <v>-0.9372609688115765</v>
      </c>
      <c r="N3440">
        <f t="shared" si="322"/>
        <v>0</v>
      </c>
      <c r="O3440">
        <f t="shared" si="323"/>
        <v>0</v>
      </c>
      <c r="P3440">
        <f t="shared" si="320"/>
        <v>4000</v>
      </c>
      <c r="Q3440">
        <f t="shared" si="324"/>
        <v>4000</v>
      </c>
      <c r="T3440" s="16">
        <f t="shared" si="325"/>
        <v>-0.93726096881157694</v>
      </c>
    </row>
    <row r="3441" spans="7:20" ht="14.4" x14ac:dyDescent="0.25">
      <c r="G3441" s="10">
        <v>4872</v>
      </c>
      <c r="H3441" s="9">
        <v>34662</v>
      </c>
      <c r="I3441" s="14">
        <f>DATE(2012,12,31)-356</f>
        <v>40918</v>
      </c>
      <c r="J3441" s="15" t="s">
        <v>30</v>
      </c>
      <c r="K3441" s="9">
        <v>35</v>
      </c>
      <c r="L3441" s="16" t="s">
        <v>26</v>
      </c>
      <c r="M3441" s="16">
        <f t="shared" si="321"/>
        <v>0.65111389343051651</v>
      </c>
      <c r="N3441">
        <f t="shared" si="322"/>
        <v>0</v>
      </c>
      <c r="O3441">
        <f t="shared" si="323"/>
        <v>0</v>
      </c>
      <c r="P3441">
        <f t="shared" si="320"/>
        <v>5150</v>
      </c>
      <c r="Q3441">
        <f t="shared" si="324"/>
        <v>5150</v>
      </c>
      <c r="T3441" s="16">
        <f t="shared" si="325"/>
        <v>0.65111389343051607</v>
      </c>
    </row>
    <row r="3442" spans="7:20" ht="14.4" x14ac:dyDescent="0.25">
      <c r="G3442" s="10">
        <v>4874</v>
      </c>
      <c r="H3442" s="9">
        <v>34689</v>
      </c>
      <c r="I3442" s="14">
        <f>DATE(2012,12,31)-1134</f>
        <v>40140</v>
      </c>
      <c r="J3442" s="15" t="s">
        <v>25</v>
      </c>
      <c r="K3442" s="9">
        <v>36</v>
      </c>
      <c r="L3442" s="16" t="s">
        <v>26</v>
      </c>
      <c r="M3442" s="16">
        <f t="shared" si="321"/>
        <v>0.72017367004973787</v>
      </c>
      <c r="N3442">
        <f t="shared" si="322"/>
        <v>0</v>
      </c>
      <c r="O3442">
        <f t="shared" si="323"/>
        <v>0</v>
      </c>
      <c r="P3442">
        <f t="shared" si="320"/>
        <v>5200</v>
      </c>
      <c r="Q3442">
        <f t="shared" si="324"/>
        <v>5200</v>
      </c>
      <c r="T3442" s="16">
        <f t="shared" si="325"/>
        <v>0.72017367004973754</v>
      </c>
    </row>
    <row r="3443" spans="7:20" ht="14.4" x14ac:dyDescent="0.25">
      <c r="G3443" s="10">
        <v>4878</v>
      </c>
      <c r="H3443" s="9">
        <v>34694</v>
      </c>
      <c r="I3443" s="14">
        <f>DATE(2012,12,31)-613</f>
        <v>40661</v>
      </c>
      <c r="J3443" s="15" t="s">
        <v>25</v>
      </c>
      <c r="K3443" s="9">
        <v>11</v>
      </c>
      <c r="L3443" s="16" t="s">
        <v>29</v>
      </c>
      <c r="M3443" s="16">
        <f t="shared" si="321"/>
        <v>-1.0063207454307979</v>
      </c>
      <c r="N3443">
        <f t="shared" si="322"/>
        <v>0</v>
      </c>
      <c r="O3443">
        <f t="shared" si="323"/>
        <v>0</v>
      </c>
      <c r="P3443">
        <f t="shared" si="320"/>
        <v>3950</v>
      </c>
      <c r="Q3443">
        <f t="shared" si="324"/>
        <v>3950</v>
      </c>
      <c r="T3443" s="16">
        <f t="shared" si="325"/>
        <v>-1.0063207454307983</v>
      </c>
    </row>
    <row r="3444" spans="7:20" ht="14.4" x14ac:dyDescent="0.25">
      <c r="G3444" s="10">
        <v>4883</v>
      </c>
      <c r="H3444" s="9">
        <v>34725</v>
      </c>
      <c r="I3444" s="14">
        <f>DATE(2012,12,31)-523</f>
        <v>40751</v>
      </c>
      <c r="J3444" s="15" t="s">
        <v>25</v>
      </c>
      <c r="K3444" s="9">
        <v>14</v>
      </c>
      <c r="L3444" s="16" t="s">
        <v>26</v>
      </c>
      <c r="M3444" s="16">
        <f t="shared" si="321"/>
        <v>-0.79914141557313367</v>
      </c>
      <c r="N3444">
        <f t="shared" si="322"/>
        <v>0</v>
      </c>
      <c r="O3444">
        <f t="shared" si="323"/>
        <v>0</v>
      </c>
      <c r="P3444">
        <f t="shared" si="320"/>
        <v>4100</v>
      </c>
      <c r="Q3444">
        <f t="shared" si="324"/>
        <v>4100</v>
      </c>
      <c r="T3444" s="16">
        <f t="shared" si="325"/>
        <v>-0.79914141557313401</v>
      </c>
    </row>
    <row r="3445" spans="7:20" ht="14.4" x14ac:dyDescent="0.25">
      <c r="G3445" s="10">
        <v>4960</v>
      </c>
      <c r="H3445" s="9">
        <v>35296</v>
      </c>
      <c r="I3445" s="14">
        <f>DATE(2012,12,31)-651</f>
        <v>40623</v>
      </c>
      <c r="J3445" s="15" t="s">
        <v>25</v>
      </c>
      <c r="K3445" s="9">
        <v>7</v>
      </c>
      <c r="L3445" s="16" t="s">
        <v>27</v>
      </c>
      <c r="M3445" s="16">
        <f t="shared" si="321"/>
        <v>-1.2825598519076837</v>
      </c>
      <c r="N3445">
        <f t="shared" si="322"/>
        <v>0</v>
      </c>
      <c r="O3445">
        <f t="shared" si="323"/>
        <v>0</v>
      </c>
      <c r="P3445">
        <f t="shared" si="320"/>
        <v>3750</v>
      </c>
      <c r="Q3445">
        <f t="shared" si="324"/>
        <v>3750</v>
      </c>
      <c r="T3445" s="16">
        <f t="shared" si="325"/>
        <v>-1.2825598519076842</v>
      </c>
    </row>
    <row r="3446" spans="7:20" ht="14.4" x14ac:dyDescent="0.25">
      <c r="G3446" s="10">
        <v>4990</v>
      </c>
      <c r="H3446" s="9">
        <v>35494</v>
      </c>
      <c r="I3446" s="14">
        <f>DATE(2012,12,31)-686</f>
        <v>40588</v>
      </c>
      <c r="J3446" s="15" t="s">
        <v>16</v>
      </c>
      <c r="K3446" s="9">
        <v>18</v>
      </c>
      <c r="L3446" s="16" t="s">
        <v>29</v>
      </c>
      <c r="M3446" s="16">
        <f t="shared" si="321"/>
        <v>-0.52290230909624791</v>
      </c>
      <c r="N3446">
        <f t="shared" si="322"/>
        <v>0</v>
      </c>
      <c r="O3446">
        <f t="shared" si="323"/>
        <v>0</v>
      </c>
      <c r="P3446">
        <f t="shared" si="320"/>
        <v>4300</v>
      </c>
      <c r="Q3446">
        <f t="shared" si="324"/>
        <v>4300</v>
      </c>
      <c r="T3446" s="16">
        <f t="shared" si="325"/>
        <v>-0.52290230909624835</v>
      </c>
    </row>
    <row r="3447" spans="7:20" ht="14.4" x14ac:dyDescent="0.25">
      <c r="G3447" s="10">
        <v>5030</v>
      </c>
      <c r="H3447" s="9">
        <v>35845</v>
      </c>
      <c r="I3447" s="14">
        <f>DATE(2012,12,31)-725</f>
        <v>40549</v>
      </c>
      <c r="J3447" s="15" t="s">
        <v>17</v>
      </c>
      <c r="K3447" s="9">
        <v>15</v>
      </c>
      <c r="L3447" s="16" t="s">
        <v>29</v>
      </c>
      <c r="M3447" s="16">
        <f t="shared" si="321"/>
        <v>-0.7300816389539122</v>
      </c>
      <c r="N3447">
        <f t="shared" si="322"/>
        <v>0</v>
      </c>
      <c r="O3447">
        <f t="shared" si="323"/>
        <v>0</v>
      </c>
      <c r="P3447">
        <f t="shared" si="320"/>
        <v>4150</v>
      </c>
      <c r="Q3447">
        <f t="shared" si="324"/>
        <v>4150</v>
      </c>
      <c r="T3447" s="16">
        <f t="shared" si="325"/>
        <v>-0.73008163895391265</v>
      </c>
    </row>
    <row r="3448" spans="7:20" ht="14.4" x14ac:dyDescent="0.25">
      <c r="G3448" s="10">
        <v>5036</v>
      </c>
      <c r="H3448" s="9">
        <v>35905</v>
      </c>
      <c r="I3448" s="14">
        <f>DATE(2012,12,31)-316</f>
        <v>40958</v>
      </c>
      <c r="J3448" s="15" t="s">
        <v>25</v>
      </c>
      <c r="K3448" s="9">
        <v>20</v>
      </c>
      <c r="L3448" s="16" t="s">
        <v>26</v>
      </c>
      <c r="M3448" s="16">
        <f t="shared" si="321"/>
        <v>-0.38478275585780503</v>
      </c>
      <c r="N3448">
        <f t="shared" si="322"/>
        <v>0</v>
      </c>
      <c r="O3448">
        <f t="shared" si="323"/>
        <v>0</v>
      </c>
      <c r="P3448">
        <f t="shared" si="320"/>
        <v>4400</v>
      </c>
      <c r="Q3448">
        <f t="shared" si="324"/>
        <v>4400</v>
      </c>
      <c r="T3448" s="16">
        <f t="shared" si="325"/>
        <v>-0.38478275585780541</v>
      </c>
    </row>
    <row r="3449" spans="7:20" ht="14.4" x14ac:dyDescent="0.25">
      <c r="G3449" s="10">
        <v>5240</v>
      </c>
      <c r="H3449" s="9">
        <v>37287</v>
      </c>
      <c r="I3449" s="14">
        <f>DATE(2012,12,31)-60</f>
        <v>41214</v>
      </c>
      <c r="J3449" s="15" t="s">
        <v>25</v>
      </c>
      <c r="K3449" s="9">
        <v>22</v>
      </c>
      <c r="L3449" s="16" t="s">
        <v>27</v>
      </c>
      <c r="M3449" s="16">
        <f t="shared" si="321"/>
        <v>-0.24666320261936217</v>
      </c>
      <c r="N3449">
        <f t="shared" si="322"/>
        <v>0</v>
      </c>
      <c r="O3449">
        <f t="shared" si="323"/>
        <v>0</v>
      </c>
      <c r="P3449">
        <f t="shared" si="320"/>
        <v>4500</v>
      </c>
      <c r="Q3449">
        <f t="shared" si="324"/>
        <v>4500</v>
      </c>
      <c r="T3449" s="16">
        <f t="shared" si="325"/>
        <v>-0.24666320261936256</v>
      </c>
    </row>
    <row r="3450" spans="7:20" ht="14.4" x14ac:dyDescent="0.25">
      <c r="G3450" s="10">
        <v>5263</v>
      </c>
      <c r="H3450" s="9">
        <v>37443</v>
      </c>
      <c r="I3450" s="14">
        <f>DATE(2012,12,31)-991</f>
        <v>40283</v>
      </c>
      <c r="J3450" s="15" t="s">
        <v>28</v>
      </c>
      <c r="K3450" s="9">
        <v>21</v>
      </c>
      <c r="L3450" s="16" t="s">
        <v>27</v>
      </c>
      <c r="M3450" s="16">
        <f t="shared" si="321"/>
        <v>-0.31572297923858361</v>
      </c>
      <c r="N3450">
        <f t="shared" si="322"/>
        <v>0</v>
      </c>
      <c r="O3450">
        <f t="shared" si="323"/>
        <v>0</v>
      </c>
      <c r="P3450">
        <f t="shared" si="320"/>
        <v>4450</v>
      </c>
      <c r="Q3450">
        <f t="shared" si="324"/>
        <v>4450</v>
      </c>
      <c r="T3450" s="16">
        <f t="shared" si="325"/>
        <v>-0.315722979238584</v>
      </c>
    </row>
    <row r="3451" spans="7:20" ht="14.4" x14ac:dyDescent="0.25">
      <c r="G3451" s="10">
        <v>5299</v>
      </c>
      <c r="H3451" s="9">
        <v>37731</v>
      </c>
      <c r="I3451" s="14">
        <f>DATE(2012,12,31)-1153</f>
        <v>40121</v>
      </c>
      <c r="J3451" s="15" t="s">
        <v>30</v>
      </c>
      <c r="K3451" s="9">
        <v>25</v>
      </c>
      <c r="L3451" s="16" t="s">
        <v>26</v>
      </c>
      <c r="M3451" s="16">
        <f t="shared" si="321"/>
        <v>-3.9483872761697868E-2</v>
      </c>
      <c r="N3451">
        <f t="shared" si="322"/>
        <v>0</v>
      </c>
      <c r="O3451">
        <f t="shared" si="323"/>
        <v>0</v>
      </c>
      <c r="P3451">
        <f t="shared" si="320"/>
        <v>4650</v>
      </c>
      <c r="Q3451">
        <f t="shared" si="324"/>
        <v>4650</v>
      </c>
      <c r="T3451" s="16">
        <f t="shared" si="325"/>
        <v>-3.9483872761698249E-2</v>
      </c>
    </row>
    <row r="3452" spans="7:20" ht="14.4" x14ac:dyDescent="0.25">
      <c r="G3452" s="10">
        <v>5310</v>
      </c>
      <c r="H3452" s="9">
        <v>37792</v>
      </c>
      <c r="I3452" s="14">
        <f>DATE(2012,12,31)-368</f>
        <v>40906</v>
      </c>
      <c r="J3452" s="15" t="s">
        <v>17</v>
      </c>
      <c r="K3452" s="9">
        <v>14</v>
      </c>
      <c r="L3452" s="16" t="s">
        <v>26</v>
      </c>
      <c r="M3452" s="16">
        <f t="shared" si="321"/>
        <v>-0.79914141557313367</v>
      </c>
      <c r="N3452">
        <f t="shared" si="322"/>
        <v>0</v>
      </c>
      <c r="O3452">
        <f t="shared" si="323"/>
        <v>0</v>
      </c>
      <c r="P3452">
        <f t="shared" si="320"/>
        <v>4100</v>
      </c>
      <c r="Q3452">
        <f t="shared" si="324"/>
        <v>4100</v>
      </c>
      <c r="T3452" s="16">
        <f t="shared" si="325"/>
        <v>-0.79914141557313401</v>
      </c>
    </row>
    <row r="3453" spans="7:20" ht="14.4" x14ac:dyDescent="0.25">
      <c r="G3453" s="10">
        <v>5334</v>
      </c>
      <c r="H3453" s="9">
        <v>37893</v>
      </c>
      <c r="I3453" s="14">
        <f>DATE(2012,12,31)-403</f>
        <v>40871</v>
      </c>
      <c r="J3453" s="15" t="s">
        <v>28</v>
      </c>
      <c r="K3453" s="9">
        <v>14</v>
      </c>
      <c r="L3453" s="16" t="s">
        <v>27</v>
      </c>
      <c r="M3453" s="16">
        <f t="shared" si="321"/>
        <v>-0.79914141557313367</v>
      </c>
      <c r="N3453">
        <f t="shared" si="322"/>
        <v>0</v>
      </c>
      <c r="O3453">
        <f t="shared" si="323"/>
        <v>0</v>
      </c>
      <c r="P3453">
        <f t="shared" si="320"/>
        <v>4100</v>
      </c>
      <c r="Q3453">
        <f t="shared" si="324"/>
        <v>4100</v>
      </c>
      <c r="T3453" s="16">
        <f t="shared" si="325"/>
        <v>-0.79914141557313401</v>
      </c>
    </row>
    <row r="3454" spans="7:20" ht="14.4" x14ac:dyDescent="0.25">
      <c r="G3454" s="10">
        <v>5399</v>
      </c>
      <c r="H3454" s="9">
        <v>38372</v>
      </c>
      <c r="I3454" s="14">
        <f>DATE(2012,12,31)-961</f>
        <v>40313</v>
      </c>
      <c r="J3454" s="15" t="s">
        <v>17</v>
      </c>
      <c r="K3454" s="9">
        <v>46</v>
      </c>
      <c r="L3454" s="16" t="s">
        <v>29</v>
      </c>
      <c r="M3454" s="16">
        <f t="shared" si="321"/>
        <v>1.4107714362419523</v>
      </c>
      <c r="N3454">
        <f t="shared" si="322"/>
        <v>0</v>
      </c>
      <c r="O3454">
        <f t="shared" si="323"/>
        <v>0</v>
      </c>
      <c r="P3454">
        <f t="shared" si="320"/>
        <v>5700</v>
      </c>
      <c r="Q3454">
        <f t="shared" si="324"/>
        <v>5700</v>
      </c>
      <c r="T3454" s="16">
        <f t="shared" si="325"/>
        <v>1.4107714362419519</v>
      </c>
    </row>
    <row r="3455" spans="7:20" ht="14.4" x14ac:dyDescent="0.25">
      <c r="G3455" s="10">
        <v>5427</v>
      </c>
      <c r="H3455" s="9">
        <v>38564</v>
      </c>
      <c r="I3455" s="14">
        <f>DATE(2012,12,31)-1155</f>
        <v>40119</v>
      </c>
      <c r="J3455" s="15" t="s">
        <v>30</v>
      </c>
      <c r="K3455" s="9">
        <v>37</v>
      </c>
      <c r="L3455" s="16" t="s">
        <v>29</v>
      </c>
      <c r="M3455" s="16">
        <f t="shared" si="321"/>
        <v>0.78923344666895934</v>
      </c>
      <c r="N3455">
        <f t="shared" si="322"/>
        <v>0</v>
      </c>
      <c r="O3455">
        <f t="shared" si="323"/>
        <v>0</v>
      </c>
      <c r="P3455">
        <f t="shared" si="320"/>
        <v>5250</v>
      </c>
      <c r="Q3455">
        <f t="shared" si="324"/>
        <v>5250</v>
      </c>
      <c r="T3455" s="16">
        <f t="shared" si="325"/>
        <v>0.789233446668959</v>
      </c>
    </row>
    <row r="3456" spans="7:20" ht="14.4" x14ac:dyDescent="0.25">
      <c r="G3456" s="10">
        <v>5477</v>
      </c>
      <c r="H3456" s="9">
        <v>38912</v>
      </c>
      <c r="I3456" s="14">
        <f>DATE(2012,12,31)-64</f>
        <v>41210</v>
      </c>
      <c r="J3456" s="15" t="s">
        <v>25</v>
      </c>
      <c r="K3456" s="9">
        <v>46</v>
      </c>
      <c r="L3456" s="16" t="s">
        <v>27</v>
      </c>
      <c r="M3456" s="16">
        <f t="shared" si="321"/>
        <v>1.4107714362419523</v>
      </c>
      <c r="N3456">
        <f t="shared" si="322"/>
        <v>0</v>
      </c>
      <c r="O3456">
        <f t="shared" si="323"/>
        <v>0</v>
      </c>
      <c r="P3456">
        <f t="shared" si="320"/>
        <v>5700</v>
      </c>
      <c r="Q3456">
        <f t="shared" si="324"/>
        <v>5700</v>
      </c>
      <c r="T3456" s="16">
        <f t="shared" si="325"/>
        <v>1.4107714362419519</v>
      </c>
    </row>
    <row r="3457" spans="7:20" ht="14.4" x14ac:dyDescent="0.25">
      <c r="G3457" s="10">
        <v>5493</v>
      </c>
      <c r="H3457" s="9">
        <v>38976</v>
      </c>
      <c r="I3457" s="14">
        <f>DATE(2012,12,31)-737</f>
        <v>40537</v>
      </c>
      <c r="J3457" s="15" t="s">
        <v>30</v>
      </c>
      <c r="K3457" s="9">
        <v>46</v>
      </c>
      <c r="L3457" s="16" t="s">
        <v>26</v>
      </c>
      <c r="M3457" s="16">
        <f t="shared" si="321"/>
        <v>1.4107714362419523</v>
      </c>
      <c r="N3457">
        <f t="shared" si="322"/>
        <v>0</v>
      </c>
      <c r="O3457">
        <f t="shared" si="323"/>
        <v>0</v>
      </c>
      <c r="P3457">
        <f t="shared" si="320"/>
        <v>5700</v>
      </c>
      <c r="Q3457">
        <f t="shared" si="324"/>
        <v>5700</v>
      </c>
      <c r="T3457" s="16">
        <f t="shared" si="325"/>
        <v>1.4107714362419519</v>
      </c>
    </row>
    <row r="3458" spans="7:20" ht="14.4" x14ac:dyDescent="0.25">
      <c r="G3458" s="10">
        <v>5503</v>
      </c>
      <c r="H3458" s="9">
        <v>39040</v>
      </c>
      <c r="I3458" s="14">
        <f>DATE(2012,12,31)-1320</f>
        <v>39954</v>
      </c>
      <c r="J3458" s="15" t="s">
        <v>30</v>
      </c>
      <c r="K3458" s="9">
        <v>26</v>
      </c>
      <c r="L3458" s="16" t="s">
        <v>27</v>
      </c>
      <c r="M3458" s="16">
        <f t="shared" si="321"/>
        <v>2.9575903857523567E-2</v>
      </c>
      <c r="N3458">
        <f t="shared" si="322"/>
        <v>0</v>
      </c>
      <c r="O3458">
        <f t="shared" si="323"/>
        <v>0</v>
      </c>
      <c r="P3458">
        <f t="shared" si="320"/>
        <v>4700</v>
      </c>
      <c r="Q3458">
        <f t="shared" si="324"/>
        <v>4700</v>
      </c>
      <c r="T3458" s="16">
        <f t="shared" si="325"/>
        <v>2.9575903857523185E-2</v>
      </c>
    </row>
    <row r="3459" spans="7:20" ht="14.4" x14ac:dyDescent="0.25">
      <c r="G3459" s="10">
        <v>5530</v>
      </c>
      <c r="H3459" s="9">
        <v>39169</v>
      </c>
      <c r="I3459" s="14">
        <f>DATE(2012,12,31)-493</f>
        <v>40781</v>
      </c>
      <c r="J3459" s="15" t="s">
        <v>16</v>
      </c>
      <c r="K3459" s="9">
        <v>5</v>
      </c>
      <c r="L3459" s="16" t="s">
        <v>26</v>
      </c>
      <c r="M3459" s="16">
        <f t="shared" si="321"/>
        <v>-1.4206794051461267</v>
      </c>
      <c r="N3459">
        <f t="shared" si="322"/>
        <v>0</v>
      </c>
      <c r="O3459">
        <f t="shared" si="323"/>
        <v>0</v>
      </c>
      <c r="P3459">
        <f t="shared" si="320"/>
        <v>3650</v>
      </c>
      <c r="Q3459">
        <f t="shared" si="324"/>
        <v>3650</v>
      </c>
      <c r="T3459" s="16">
        <f t="shared" si="325"/>
        <v>-1.4206794051461269</v>
      </c>
    </row>
    <row r="3460" spans="7:20" ht="14.4" x14ac:dyDescent="0.25">
      <c r="G3460" s="10">
        <v>5538</v>
      </c>
      <c r="H3460" s="9">
        <v>39238</v>
      </c>
      <c r="I3460" s="14">
        <f>DATE(2012,12,31)-827</f>
        <v>40447</v>
      </c>
      <c r="J3460" s="15" t="s">
        <v>30</v>
      </c>
      <c r="K3460" s="9">
        <v>9</v>
      </c>
      <c r="L3460" s="16" t="s">
        <v>26</v>
      </c>
      <c r="M3460" s="16">
        <f t="shared" si="321"/>
        <v>-1.1444402986692408</v>
      </c>
      <c r="N3460">
        <f t="shared" si="322"/>
        <v>0</v>
      </c>
      <c r="O3460">
        <f t="shared" si="323"/>
        <v>0</v>
      </c>
      <c r="P3460">
        <f t="shared" si="320"/>
        <v>3850</v>
      </c>
      <c r="Q3460">
        <f t="shared" si="324"/>
        <v>3850</v>
      </c>
      <c r="T3460" s="16">
        <f t="shared" si="325"/>
        <v>-1.1444402986692412</v>
      </c>
    </row>
    <row r="3461" spans="7:20" ht="14.4" x14ac:dyDescent="0.25">
      <c r="G3461" s="10">
        <v>5567</v>
      </c>
      <c r="H3461" s="9">
        <v>39426</v>
      </c>
      <c r="I3461" s="14">
        <f>DATE(2012,12,31)-1315</f>
        <v>39959</v>
      </c>
      <c r="J3461" s="15" t="s">
        <v>30</v>
      </c>
      <c r="K3461" s="9">
        <v>21</v>
      </c>
      <c r="L3461" s="16" t="s">
        <v>26</v>
      </c>
      <c r="M3461" s="16">
        <f t="shared" si="321"/>
        <v>-0.31572297923858361</v>
      </c>
      <c r="N3461">
        <f t="shared" si="322"/>
        <v>0</v>
      </c>
      <c r="O3461">
        <f t="shared" si="323"/>
        <v>0</v>
      </c>
      <c r="P3461">
        <f t="shared" si="320"/>
        <v>4450</v>
      </c>
      <c r="Q3461">
        <f t="shared" si="324"/>
        <v>4450</v>
      </c>
      <c r="T3461" s="16">
        <f t="shared" si="325"/>
        <v>-0.315722979238584</v>
      </c>
    </row>
    <row r="3462" spans="7:20" ht="14.4" x14ac:dyDescent="0.25">
      <c r="G3462" s="10">
        <v>5613</v>
      </c>
      <c r="H3462" s="9">
        <v>39780</v>
      </c>
      <c r="I3462" s="14">
        <f>DATE(2012,12,31)-1303</f>
        <v>39971</v>
      </c>
      <c r="J3462" s="15" t="s">
        <v>25</v>
      </c>
      <c r="K3462" s="9">
        <v>33</v>
      </c>
      <c r="L3462" s="16" t="s">
        <v>26</v>
      </c>
      <c r="M3462" s="16">
        <f t="shared" si="321"/>
        <v>0.51299434019207357</v>
      </c>
      <c r="N3462">
        <f t="shared" si="322"/>
        <v>0</v>
      </c>
      <c r="O3462">
        <f t="shared" si="323"/>
        <v>0</v>
      </c>
      <c r="P3462">
        <f t="shared" si="320"/>
        <v>5050</v>
      </c>
      <c r="Q3462">
        <f t="shared" si="324"/>
        <v>5050</v>
      </c>
      <c r="T3462" s="16">
        <f t="shared" si="325"/>
        <v>0.51299434019207324</v>
      </c>
    </row>
    <row r="3463" spans="7:20" ht="14.4" x14ac:dyDescent="0.25">
      <c r="G3463" s="10">
        <v>5653</v>
      </c>
      <c r="H3463" s="9">
        <v>40005</v>
      </c>
      <c r="I3463" s="14">
        <f>DATE(2012,12,31)-890</f>
        <v>40384</v>
      </c>
      <c r="J3463" s="15" t="s">
        <v>17</v>
      </c>
      <c r="K3463" s="9">
        <v>9</v>
      </c>
      <c r="L3463" s="16" t="s">
        <v>26</v>
      </c>
      <c r="M3463" s="16">
        <f t="shared" si="321"/>
        <v>-1.1444402986692408</v>
      </c>
      <c r="N3463">
        <f t="shared" si="322"/>
        <v>0</v>
      </c>
      <c r="O3463">
        <f t="shared" si="323"/>
        <v>0</v>
      </c>
      <c r="P3463">
        <f t="shared" si="320"/>
        <v>3850</v>
      </c>
      <c r="Q3463">
        <f t="shared" si="324"/>
        <v>3850</v>
      </c>
      <c r="T3463" s="16">
        <f t="shared" si="325"/>
        <v>-1.1444402986692412</v>
      </c>
    </row>
    <row r="3464" spans="7:20" ht="14.4" x14ac:dyDescent="0.25">
      <c r="G3464" s="10">
        <v>5829</v>
      </c>
      <c r="H3464" s="9">
        <v>41350</v>
      </c>
      <c r="I3464" s="14">
        <f>DATE(2012,12,31)-968</f>
        <v>40306</v>
      </c>
      <c r="J3464" s="15" t="s">
        <v>16</v>
      </c>
      <c r="K3464" s="9">
        <v>1</v>
      </c>
      <c r="L3464" s="16" t="s">
        <v>26</v>
      </c>
      <c r="M3464" s="16">
        <f t="shared" si="321"/>
        <v>-1.6969185116230123</v>
      </c>
      <c r="N3464">
        <f t="shared" si="322"/>
        <v>0</v>
      </c>
      <c r="O3464">
        <f t="shared" si="323"/>
        <v>0</v>
      </c>
      <c r="P3464">
        <f t="shared" si="320"/>
        <v>3450</v>
      </c>
      <c r="Q3464">
        <f t="shared" si="324"/>
        <v>3450</v>
      </c>
      <c r="T3464" s="16">
        <f t="shared" si="325"/>
        <v>-1.6969185116230128</v>
      </c>
    </row>
    <row r="3465" spans="7:20" ht="14.4" x14ac:dyDescent="0.25">
      <c r="G3465" s="10">
        <v>5834</v>
      </c>
      <c r="H3465" s="9">
        <v>41383</v>
      </c>
      <c r="I3465" s="14">
        <f>DATE(2012,12,31)-964</f>
        <v>40310</v>
      </c>
      <c r="J3465" s="15" t="s">
        <v>25</v>
      </c>
      <c r="K3465" s="9">
        <v>38</v>
      </c>
      <c r="L3465" s="16" t="s">
        <v>29</v>
      </c>
      <c r="M3465" s="16">
        <f t="shared" si="321"/>
        <v>0.85829322328818081</v>
      </c>
      <c r="N3465">
        <f t="shared" si="322"/>
        <v>0</v>
      </c>
      <c r="O3465">
        <f t="shared" si="323"/>
        <v>0</v>
      </c>
      <c r="P3465">
        <f t="shared" si="320"/>
        <v>5300</v>
      </c>
      <c r="Q3465">
        <f t="shared" si="324"/>
        <v>5300</v>
      </c>
      <c r="T3465" s="16">
        <f t="shared" si="325"/>
        <v>0.85829322328818036</v>
      </c>
    </row>
    <row r="3466" spans="7:20" ht="14.4" x14ac:dyDescent="0.25">
      <c r="G3466" s="10">
        <v>5900</v>
      </c>
      <c r="H3466" s="9">
        <v>41826</v>
      </c>
      <c r="I3466" s="14">
        <f>DATE(2012,12,31)-807</f>
        <v>40467</v>
      </c>
      <c r="J3466" s="15" t="s">
        <v>16</v>
      </c>
      <c r="K3466" s="9">
        <v>2</v>
      </c>
      <c r="L3466" s="16" t="s">
        <v>29</v>
      </c>
      <c r="M3466" s="16">
        <f t="shared" si="321"/>
        <v>-1.627858735003791</v>
      </c>
      <c r="N3466">
        <f t="shared" si="322"/>
        <v>0</v>
      </c>
      <c r="O3466">
        <f t="shared" si="323"/>
        <v>0</v>
      </c>
      <c r="P3466">
        <f t="shared" si="320"/>
        <v>3500</v>
      </c>
      <c r="Q3466">
        <f t="shared" si="324"/>
        <v>3500</v>
      </c>
      <c r="T3466" s="16">
        <f t="shared" si="325"/>
        <v>-1.6278587350037912</v>
      </c>
    </row>
    <row r="3467" spans="7:20" ht="14.4" x14ac:dyDescent="0.25">
      <c r="G3467" s="10">
        <v>5996</v>
      </c>
      <c r="H3467" s="9">
        <v>42471</v>
      </c>
      <c r="I3467" s="14">
        <f>DATE(2012,12,31)-297</f>
        <v>40977</v>
      </c>
      <c r="J3467" s="15" t="s">
        <v>25</v>
      </c>
      <c r="K3467" s="9">
        <v>23</v>
      </c>
      <c r="L3467" s="16" t="s">
        <v>26</v>
      </c>
      <c r="M3467" s="16">
        <f t="shared" si="321"/>
        <v>-0.17760342600014073</v>
      </c>
      <c r="N3467">
        <f t="shared" si="322"/>
        <v>0</v>
      </c>
      <c r="O3467">
        <f t="shared" si="323"/>
        <v>0</v>
      </c>
      <c r="P3467">
        <f t="shared" si="320"/>
        <v>4550</v>
      </c>
      <c r="Q3467">
        <f t="shared" si="324"/>
        <v>4550</v>
      </c>
      <c r="T3467" s="16">
        <f t="shared" si="325"/>
        <v>-0.17760342600014112</v>
      </c>
    </row>
    <row r="3468" spans="7:20" ht="14.4" x14ac:dyDescent="0.25">
      <c r="G3468" s="10">
        <v>6003</v>
      </c>
      <c r="H3468" s="9">
        <v>42528</v>
      </c>
      <c r="I3468" s="14">
        <f>DATE(2012,12,31)-1042</f>
        <v>40232</v>
      </c>
      <c r="J3468" s="15" t="s">
        <v>16</v>
      </c>
      <c r="K3468" s="9">
        <v>29</v>
      </c>
      <c r="L3468" s="16" t="s">
        <v>26</v>
      </c>
      <c r="M3468" s="16">
        <f t="shared" si="321"/>
        <v>0.23675523371518786</v>
      </c>
      <c r="N3468">
        <f t="shared" si="322"/>
        <v>0</v>
      </c>
      <c r="O3468">
        <f t="shared" si="323"/>
        <v>0</v>
      </c>
      <c r="P3468">
        <f t="shared" ref="P3468:P3531" si="326">50*K3468+$P$10</f>
        <v>4850</v>
      </c>
      <c r="Q3468">
        <f t="shared" si="324"/>
        <v>4850</v>
      </c>
      <c r="T3468" s="16">
        <f t="shared" si="325"/>
        <v>0.2367552337151875</v>
      </c>
    </row>
    <row r="3469" spans="7:20" ht="14.4" x14ac:dyDescent="0.25">
      <c r="G3469" s="10">
        <v>6004</v>
      </c>
      <c r="H3469" s="9">
        <v>42529</v>
      </c>
      <c r="I3469" s="14">
        <f>DATE(2012,12,31)-813</f>
        <v>40461</v>
      </c>
      <c r="J3469" s="15" t="s">
        <v>25</v>
      </c>
      <c r="K3469" s="9">
        <v>2</v>
      </c>
      <c r="L3469" s="16" t="s">
        <v>26</v>
      </c>
      <c r="M3469" s="16">
        <f t="shared" ref="M3469:M3532" si="327">(K3469-$K$4)/$K$7</f>
        <v>-1.627858735003791</v>
      </c>
      <c r="N3469">
        <f t="shared" ref="N3469:N3532" si="328">IF(MOD($B$20+G3469,1000)=0,1,0)</f>
        <v>0</v>
      </c>
      <c r="O3469">
        <f t="shared" ref="O3469:O3532" si="329">+ROUND(N3469*(IF(K3469&lt;$K$4,-4.5,10.5)*$P$5),-2)</f>
        <v>0</v>
      </c>
      <c r="P3469">
        <f t="shared" si="326"/>
        <v>3500</v>
      </c>
      <c r="Q3469">
        <f t="shared" ref="Q3469:Q3532" si="330">P3469+O3469</f>
        <v>3500</v>
      </c>
      <c r="T3469" s="16">
        <f t="shared" ref="T3469:T3532" si="331">(Q3469-$P$4)/$P$5</f>
        <v>-1.6278587350037912</v>
      </c>
    </row>
    <row r="3470" spans="7:20" ht="14.4" x14ac:dyDescent="0.25">
      <c r="G3470" s="10">
        <v>6006</v>
      </c>
      <c r="H3470" s="9">
        <v>42529</v>
      </c>
      <c r="I3470" s="14">
        <f>DATE(2012,12,31)-813</f>
        <v>40461</v>
      </c>
      <c r="J3470" s="15" t="s">
        <v>25</v>
      </c>
      <c r="K3470" s="9">
        <v>48</v>
      </c>
      <c r="L3470" s="16" t="s">
        <v>26</v>
      </c>
      <c r="M3470" s="16">
        <f t="shared" si="327"/>
        <v>1.5488909894803951</v>
      </c>
      <c r="N3470">
        <f t="shared" si="328"/>
        <v>0</v>
      </c>
      <c r="O3470">
        <f t="shared" si="329"/>
        <v>0</v>
      </c>
      <c r="P3470">
        <f t="shared" si="326"/>
        <v>5800</v>
      </c>
      <c r="Q3470">
        <f t="shared" si="330"/>
        <v>5800</v>
      </c>
      <c r="T3470" s="16">
        <f t="shared" si="331"/>
        <v>1.5488909894803948</v>
      </c>
    </row>
    <row r="3471" spans="7:20" ht="14.4" x14ac:dyDescent="0.25">
      <c r="G3471" s="10">
        <v>6095</v>
      </c>
      <c r="H3471" s="9">
        <v>43200</v>
      </c>
      <c r="I3471" s="14">
        <f>DATE(2012,12,31)-884</f>
        <v>40390</v>
      </c>
      <c r="J3471" s="15" t="s">
        <v>28</v>
      </c>
      <c r="K3471" s="9">
        <v>3</v>
      </c>
      <c r="L3471" s="16" t="s">
        <v>26</v>
      </c>
      <c r="M3471" s="16">
        <f t="shared" si="327"/>
        <v>-1.5587989583845694</v>
      </c>
      <c r="N3471">
        <f t="shared" si="328"/>
        <v>0</v>
      </c>
      <c r="O3471">
        <f t="shared" si="329"/>
        <v>0</v>
      </c>
      <c r="P3471">
        <f t="shared" si="326"/>
        <v>3550</v>
      </c>
      <c r="Q3471">
        <f t="shared" si="330"/>
        <v>3550</v>
      </c>
      <c r="T3471" s="16">
        <f t="shared" si="331"/>
        <v>-1.5587989583845698</v>
      </c>
    </row>
    <row r="3472" spans="7:20" ht="14.4" x14ac:dyDescent="0.25">
      <c r="G3472" s="10">
        <v>6096</v>
      </c>
      <c r="H3472" s="9">
        <v>43200</v>
      </c>
      <c r="I3472" s="14">
        <f>DATE(2012,12,31)-884</f>
        <v>40390</v>
      </c>
      <c r="J3472" s="15" t="s">
        <v>28</v>
      </c>
      <c r="K3472" s="9">
        <v>15</v>
      </c>
      <c r="L3472" s="16" t="s">
        <v>27</v>
      </c>
      <c r="M3472" s="16">
        <f t="shared" si="327"/>
        <v>-0.7300816389539122</v>
      </c>
      <c r="N3472">
        <f t="shared" si="328"/>
        <v>0</v>
      </c>
      <c r="O3472">
        <f t="shared" si="329"/>
        <v>0</v>
      </c>
      <c r="P3472">
        <f t="shared" si="326"/>
        <v>4150</v>
      </c>
      <c r="Q3472">
        <f t="shared" si="330"/>
        <v>4150</v>
      </c>
      <c r="T3472" s="16">
        <f t="shared" si="331"/>
        <v>-0.73008163895391265</v>
      </c>
    </row>
    <row r="3473" spans="7:20" ht="14.4" x14ac:dyDescent="0.25">
      <c r="G3473" s="10">
        <v>6150</v>
      </c>
      <c r="H3473" s="9">
        <v>43553</v>
      </c>
      <c r="I3473" s="14">
        <f>DATE(2012,12,31)-1327</f>
        <v>39947</v>
      </c>
      <c r="J3473" s="15" t="s">
        <v>28</v>
      </c>
      <c r="K3473" s="9">
        <v>29</v>
      </c>
      <c r="L3473" s="16" t="s">
        <v>26</v>
      </c>
      <c r="M3473" s="16">
        <f t="shared" si="327"/>
        <v>0.23675523371518786</v>
      </c>
      <c r="N3473">
        <f t="shared" si="328"/>
        <v>0</v>
      </c>
      <c r="O3473">
        <f t="shared" si="329"/>
        <v>0</v>
      </c>
      <c r="P3473">
        <f t="shared" si="326"/>
        <v>4850</v>
      </c>
      <c r="Q3473">
        <f t="shared" si="330"/>
        <v>4850</v>
      </c>
      <c r="T3473" s="16">
        <f t="shared" si="331"/>
        <v>0.2367552337151875</v>
      </c>
    </row>
    <row r="3474" spans="7:20" ht="14.4" x14ac:dyDescent="0.25">
      <c r="G3474" s="10">
        <v>6217</v>
      </c>
      <c r="H3474" s="9">
        <v>44033</v>
      </c>
      <c r="I3474" s="14">
        <f>DATE(2012,12,31)-356</f>
        <v>40918</v>
      </c>
      <c r="J3474" s="15" t="s">
        <v>30</v>
      </c>
      <c r="K3474" s="9">
        <v>45</v>
      </c>
      <c r="L3474" s="16" t="s">
        <v>29</v>
      </c>
      <c r="M3474" s="16">
        <f t="shared" si="327"/>
        <v>1.3417116596227308</v>
      </c>
      <c r="N3474">
        <f t="shared" si="328"/>
        <v>0</v>
      </c>
      <c r="O3474">
        <f t="shared" si="329"/>
        <v>0</v>
      </c>
      <c r="P3474">
        <f t="shared" si="326"/>
        <v>5650</v>
      </c>
      <c r="Q3474">
        <f t="shared" si="330"/>
        <v>5650</v>
      </c>
      <c r="T3474" s="16">
        <f t="shared" si="331"/>
        <v>1.3417116596227305</v>
      </c>
    </row>
    <row r="3475" spans="7:20" ht="14.4" x14ac:dyDescent="0.25">
      <c r="G3475" s="10">
        <v>6223</v>
      </c>
      <c r="H3475" s="9">
        <v>44065</v>
      </c>
      <c r="I3475" s="14">
        <f>DATE(2012,12,31)-912</f>
        <v>40362</v>
      </c>
      <c r="J3475" s="15" t="s">
        <v>25</v>
      </c>
      <c r="K3475" s="9">
        <v>23</v>
      </c>
      <c r="L3475" s="16" t="s">
        <v>27</v>
      </c>
      <c r="M3475" s="16">
        <f t="shared" si="327"/>
        <v>-0.17760342600014073</v>
      </c>
      <c r="N3475">
        <f t="shared" si="328"/>
        <v>0</v>
      </c>
      <c r="O3475">
        <f t="shared" si="329"/>
        <v>0</v>
      </c>
      <c r="P3475">
        <f t="shared" si="326"/>
        <v>4550</v>
      </c>
      <c r="Q3475">
        <f t="shared" si="330"/>
        <v>4550</v>
      </c>
      <c r="T3475" s="16">
        <f t="shared" si="331"/>
        <v>-0.17760342600014112</v>
      </c>
    </row>
    <row r="3476" spans="7:20" ht="14.4" x14ac:dyDescent="0.25">
      <c r="G3476" s="10">
        <v>6299</v>
      </c>
      <c r="H3476" s="9">
        <v>44583</v>
      </c>
      <c r="I3476" s="14">
        <f>DATE(2012,12,31)-1184</f>
        <v>40090</v>
      </c>
      <c r="J3476" s="15" t="s">
        <v>25</v>
      </c>
      <c r="K3476" s="9">
        <v>21</v>
      </c>
      <c r="L3476" s="16" t="s">
        <v>29</v>
      </c>
      <c r="M3476" s="16">
        <f t="shared" si="327"/>
        <v>-0.31572297923858361</v>
      </c>
      <c r="N3476">
        <f t="shared" si="328"/>
        <v>0</v>
      </c>
      <c r="O3476">
        <f t="shared" si="329"/>
        <v>0</v>
      </c>
      <c r="P3476">
        <f t="shared" si="326"/>
        <v>4450</v>
      </c>
      <c r="Q3476">
        <f t="shared" si="330"/>
        <v>4450</v>
      </c>
      <c r="T3476" s="16">
        <f t="shared" si="331"/>
        <v>-0.315722979238584</v>
      </c>
    </row>
    <row r="3477" spans="7:20" ht="14.4" x14ac:dyDescent="0.25">
      <c r="G3477" s="10">
        <v>6353</v>
      </c>
      <c r="H3477" s="9">
        <v>45030</v>
      </c>
      <c r="I3477" s="14">
        <f>DATE(2012,12,31)-891</f>
        <v>40383</v>
      </c>
      <c r="J3477" s="15" t="s">
        <v>17</v>
      </c>
      <c r="K3477" s="9">
        <v>1</v>
      </c>
      <c r="L3477" s="16" t="s">
        <v>26</v>
      </c>
      <c r="M3477" s="16">
        <f t="shared" si="327"/>
        <v>-1.6969185116230123</v>
      </c>
      <c r="N3477">
        <f t="shared" si="328"/>
        <v>0</v>
      </c>
      <c r="O3477">
        <f t="shared" si="329"/>
        <v>0</v>
      </c>
      <c r="P3477">
        <f t="shared" si="326"/>
        <v>3450</v>
      </c>
      <c r="Q3477">
        <f t="shared" si="330"/>
        <v>3450</v>
      </c>
      <c r="T3477" s="16">
        <f t="shared" si="331"/>
        <v>-1.6969185116230128</v>
      </c>
    </row>
    <row r="3478" spans="7:20" ht="14.4" x14ac:dyDescent="0.25">
      <c r="G3478" s="10">
        <v>6487</v>
      </c>
      <c r="H3478" s="9">
        <v>46177</v>
      </c>
      <c r="I3478" s="14">
        <f>DATE(2012,12,31)-757</f>
        <v>40517</v>
      </c>
      <c r="J3478" s="15" t="s">
        <v>25</v>
      </c>
      <c r="K3478" s="9">
        <v>13</v>
      </c>
      <c r="L3478" s="16" t="s">
        <v>26</v>
      </c>
      <c r="M3478" s="16">
        <f t="shared" si="327"/>
        <v>-0.86820119219235514</v>
      </c>
      <c r="N3478">
        <f t="shared" si="328"/>
        <v>0</v>
      </c>
      <c r="O3478">
        <f t="shared" si="329"/>
        <v>0</v>
      </c>
      <c r="P3478">
        <f t="shared" si="326"/>
        <v>4050</v>
      </c>
      <c r="Q3478">
        <f t="shared" si="330"/>
        <v>4050</v>
      </c>
      <c r="T3478" s="16">
        <f t="shared" si="331"/>
        <v>-0.86820119219235548</v>
      </c>
    </row>
    <row r="3479" spans="7:20" ht="14.4" x14ac:dyDescent="0.25">
      <c r="G3479" s="10">
        <v>6512</v>
      </c>
      <c r="H3479" s="9">
        <v>46341</v>
      </c>
      <c r="I3479" s="14">
        <f>DATE(2012,12,31)-1110</f>
        <v>40164</v>
      </c>
      <c r="J3479" s="15" t="s">
        <v>17</v>
      </c>
      <c r="K3479" s="9">
        <v>23</v>
      </c>
      <c r="L3479" s="16" t="s">
        <v>26</v>
      </c>
      <c r="M3479" s="16">
        <f t="shared" si="327"/>
        <v>-0.17760342600014073</v>
      </c>
      <c r="N3479">
        <f t="shared" si="328"/>
        <v>0</v>
      </c>
      <c r="O3479">
        <f t="shared" si="329"/>
        <v>0</v>
      </c>
      <c r="P3479">
        <f t="shared" si="326"/>
        <v>4550</v>
      </c>
      <c r="Q3479">
        <f t="shared" si="330"/>
        <v>4550</v>
      </c>
      <c r="T3479" s="16">
        <f t="shared" si="331"/>
        <v>-0.17760342600014112</v>
      </c>
    </row>
    <row r="3480" spans="7:20" ht="14.4" x14ac:dyDescent="0.25">
      <c r="G3480" s="10">
        <v>6513</v>
      </c>
      <c r="H3480" s="9">
        <v>46368</v>
      </c>
      <c r="I3480" s="14">
        <f>DATE(2012,12,31)-251</f>
        <v>41023</v>
      </c>
      <c r="J3480" s="15" t="s">
        <v>17</v>
      </c>
      <c r="K3480" s="9">
        <v>48</v>
      </c>
      <c r="L3480" s="16" t="s">
        <v>26</v>
      </c>
      <c r="M3480" s="16">
        <f t="shared" si="327"/>
        <v>1.5488909894803951</v>
      </c>
      <c r="N3480">
        <f t="shared" si="328"/>
        <v>0</v>
      </c>
      <c r="O3480">
        <f t="shared" si="329"/>
        <v>0</v>
      </c>
      <c r="P3480">
        <f t="shared" si="326"/>
        <v>5800</v>
      </c>
      <c r="Q3480">
        <f t="shared" si="330"/>
        <v>5800</v>
      </c>
      <c r="T3480" s="16">
        <f t="shared" si="331"/>
        <v>1.5488909894803948</v>
      </c>
    </row>
    <row r="3481" spans="7:20" ht="14.4" x14ac:dyDescent="0.25">
      <c r="G3481" s="10">
        <v>6541</v>
      </c>
      <c r="H3481" s="9">
        <v>46531</v>
      </c>
      <c r="I3481" s="14">
        <f>DATE(2012,12,31)-498</f>
        <v>40776</v>
      </c>
      <c r="J3481" s="15" t="s">
        <v>25</v>
      </c>
      <c r="K3481" s="9">
        <v>17</v>
      </c>
      <c r="L3481" s="16" t="s">
        <v>27</v>
      </c>
      <c r="M3481" s="16">
        <f t="shared" si="327"/>
        <v>-0.59196208571546938</v>
      </c>
      <c r="N3481">
        <f t="shared" si="328"/>
        <v>0</v>
      </c>
      <c r="O3481">
        <f t="shared" si="329"/>
        <v>0</v>
      </c>
      <c r="P3481">
        <f t="shared" si="326"/>
        <v>4250</v>
      </c>
      <c r="Q3481">
        <f t="shared" si="330"/>
        <v>4250</v>
      </c>
      <c r="T3481" s="16">
        <f t="shared" si="331"/>
        <v>-0.59196208571546971</v>
      </c>
    </row>
    <row r="3482" spans="7:20" ht="14.4" x14ac:dyDescent="0.25">
      <c r="G3482" s="10">
        <v>6608</v>
      </c>
      <c r="H3482" s="9">
        <v>47012</v>
      </c>
      <c r="I3482" s="14">
        <f>DATE(2012,12,31)-963</f>
        <v>40311</v>
      </c>
      <c r="J3482" s="15" t="s">
        <v>25</v>
      </c>
      <c r="K3482" s="9">
        <v>35</v>
      </c>
      <c r="L3482" s="16" t="s">
        <v>26</v>
      </c>
      <c r="M3482" s="16">
        <f t="shared" si="327"/>
        <v>0.65111389343051651</v>
      </c>
      <c r="N3482">
        <f t="shared" si="328"/>
        <v>0</v>
      </c>
      <c r="O3482">
        <f t="shared" si="329"/>
        <v>0</v>
      </c>
      <c r="P3482">
        <f t="shared" si="326"/>
        <v>5150</v>
      </c>
      <c r="Q3482">
        <f t="shared" si="330"/>
        <v>5150</v>
      </c>
      <c r="T3482" s="16">
        <f t="shared" si="331"/>
        <v>0.65111389343051607</v>
      </c>
    </row>
    <row r="3483" spans="7:20" ht="14.4" x14ac:dyDescent="0.25">
      <c r="G3483" s="10">
        <v>6619</v>
      </c>
      <c r="H3483" s="9">
        <v>47106</v>
      </c>
      <c r="I3483" s="14">
        <f>DATE(2012,12,31)-433</f>
        <v>40841</v>
      </c>
      <c r="J3483" s="15" t="s">
        <v>16</v>
      </c>
      <c r="K3483" s="9">
        <v>37</v>
      </c>
      <c r="L3483" s="16" t="s">
        <v>26</v>
      </c>
      <c r="M3483" s="16">
        <f t="shared" si="327"/>
        <v>0.78923344666895934</v>
      </c>
      <c r="N3483">
        <f t="shared" si="328"/>
        <v>0</v>
      </c>
      <c r="O3483">
        <f t="shared" si="329"/>
        <v>0</v>
      </c>
      <c r="P3483">
        <f t="shared" si="326"/>
        <v>5250</v>
      </c>
      <c r="Q3483">
        <f t="shared" si="330"/>
        <v>5250</v>
      </c>
      <c r="T3483" s="16">
        <f t="shared" si="331"/>
        <v>0.789233446668959</v>
      </c>
    </row>
    <row r="3484" spans="7:20" ht="14.4" x14ac:dyDescent="0.25">
      <c r="G3484" s="10">
        <v>6693</v>
      </c>
      <c r="H3484" s="9">
        <v>47621</v>
      </c>
      <c r="I3484" s="14">
        <f>DATE(2012,12,31)-1269</f>
        <v>40005</v>
      </c>
      <c r="J3484" s="15" t="s">
        <v>30</v>
      </c>
      <c r="K3484" s="9">
        <v>16</v>
      </c>
      <c r="L3484" s="16" t="s">
        <v>29</v>
      </c>
      <c r="M3484" s="16">
        <f t="shared" si="327"/>
        <v>-0.66102186233469074</v>
      </c>
      <c r="N3484">
        <f t="shared" si="328"/>
        <v>0</v>
      </c>
      <c r="O3484">
        <f t="shared" si="329"/>
        <v>0</v>
      </c>
      <c r="P3484">
        <f t="shared" si="326"/>
        <v>4200</v>
      </c>
      <c r="Q3484">
        <f t="shared" si="330"/>
        <v>4200</v>
      </c>
      <c r="T3484" s="16">
        <f t="shared" si="331"/>
        <v>-0.66102186233469118</v>
      </c>
    </row>
    <row r="3485" spans="7:20" ht="14.4" x14ac:dyDescent="0.25">
      <c r="G3485" s="10">
        <v>6839</v>
      </c>
      <c r="H3485" s="9">
        <v>48706</v>
      </c>
      <c r="I3485" s="14">
        <f>DATE(2012,12,31)-62</f>
        <v>41212</v>
      </c>
      <c r="J3485" s="15" t="s">
        <v>25</v>
      </c>
      <c r="K3485" s="9">
        <v>28</v>
      </c>
      <c r="L3485" s="16" t="s">
        <v>26</v>
      </c>
      <c r="M3485" s="16">
        <f t="shared" si="327"/>
        <v>0.16769545709596645</v>
      </c>
      <c r="N3485">
        <f t="shared" si="328"/>
        <v>0</v>
      </c>
      <c r="O3485">
        <f t="shared" si="329"/>
        <v>0</v>
      </c>
      <c r="P3485">
        <f t="shared" si="326"/>
        <v>4800</v>
      </c>
      <c r="Q3485">
        <f t="shared" si="330"/>
        <v>4800</v>
      </c>
      <c r="T3485" s="16">
        <f t="shared" si="331"/>
        <v>0.16769545709596606</v>
      </c>
    </row>
    <row r="3486" spans="7:20" ht="14.4" x14ac:dyDescent="0.25">
      <c r="G3486" s="10">
        <v>6929</v>
      </c>
      <c r="H3486" s="9">
        <v>49443</v>
      </c>
      <c r="I3486" s="14">
        <f>DATE(2012,12,31)-708</f>
        <v>40566</v>
      </c>
      <c r="J3486" s="15" t="s">
        <v>17</v>
      </c>
      <c r="K3486" s="9">
        <v>41</v>
      </c>
      <c r="L3486" s="16" t="s">
        <v>26</v>
      </c>
      <c r="M3486" s="16">
        <f t="shared" si="327"/>
        <v>1.0654725531458451</v>
      </c>
      <c r="N3486">
        <f t="shared" si="328"/>
        <v>0</v>
      </c>
      <c r="O3486">
        <f t="shared" si="329"/>
        <v>0</v>
      </c>
      <c r="P3486">
        <f t="shared" si="326"/>
        <v>5450</v>
      </c>
      <c r="Q3486">
        <f t="shared" si="330"/>
        <v>5450</v>
      </c>
      <c r="T3486" s="16">
        <f t="shared" si="331"/>
        <v>1.0654725531458447</v>
      </c>
    </row>
    <row r="3487" spans="7:20" ht="14.4" x14ac:dyDescent="0.25">
      <c r="G3487" s="10">
        <v>6972</v>
      </c>
      <c r="H3487" s="9">
        <v>49824</v>
      </c>
      <c r="I3487" s="14">
        <f>DATE(2012,12,31)-650</f>
        <v>40624</v>
      </c>
      <c r="J3487" s="15" t="s">
        <v>17</v>
      </c>
      <c r="K3487" s="9">
        <v>33</v>
      </c>
      <c r="L3487" s="16" t="s">
        <v>27</v>
      </c>
      <c r="M3487" s="16">
        <f t="shared" si="327"/>
        <v>0.51299434019207357</v>
      </c>
      <c r="N3487">
        <f t="shared" si="328"/>
        <v>0</v>
      </c>
      <c r="O3487">
        <f t="shared" si="329"/>
        <v>0</v>
      </c>
      <c r="P3487">
        <f t="shared" si="326"/>
        <v>5050</v>
      </c>
      <c r="Q3487">
        <f t="shared" si="330"/>
        <v>5050</v>
      </c>
      <c r="T3487" s="16">
        <f t="shared" si="331"/>
        <v>0.51299434019207324</v>
      </c>
    </row>
    <row r="3488" spans="7:20" ht="14.4" x14ac:dyDescent="0.25">
      <c r="G3488" s="10">
        <v>7156</v>
      </c>
      <c r="H3488" s="9">
        <v>51047</v>
      </c>
      <c r="I3488" s="14">
        <f>DATE(2012,12,31)-1361</f>
        <v>39913</v>
      </c>
      <c r="J3488" s="15" t="s">
        <v>16</v>
      </c>
      <c r="K3488" s="9">
        <v>28</v>
      </c>
      <c r="L3488" s="16" t="s">
        <v>29</v>
      </c>
      <c r="M3488" s="16">
        <f t="shared" si="327"/>
        <v>0.16769545709596645</v>
      </c>
      <c r="N3488">
        <f t="shared" si="328"/>
        <v>0</v>
      </c>
      <c r="O3488">
        <f t="shared" si="329"/>
        <v>0</v>
      </c>
      <c r="P3488">
        <f t="shared" si="326"/>
        <v>4800</v>
      </c>
      <c r="Q3488">
        <f t="shared" si="330"/>
        <v>4800</v>
      </c>
      <c r="T3488" s="16">
        <f t="shared" si="331"/>
        <v>0.16769545709596606</v>
      </c>
    </row>
    <row r="3489" spans="7:20" ht="14.4" x14ac:dyDescent="0.25">
      <c r="G3489" s="10">
        <v>7157</v>
      </c>
      <c r="H3489" s="9">
        <v>51047</v>
      </c>
      <c r="I3489" s="14">
        <f>DATE(2012,12,31)-1361</f>
        <v>39913</v>
      </c>
      <c r="J3489" s="15" t="s">
        <v>16</v>
      </c>
      <c r="K3489" s="9">
        <v>38</v>
      </c>
      <c r="L3489" s="16" t="s">
        <v>29</v>
      </c>
      <c r="M3489" s="16">
        <f t="shared" si="327"/>
        <v>0.85829322328818081</v>
      </c>
      <c r="N3489">
        <f t="shared" si="328"/>
        <v>0</v>
      </c>
      <c r="O3489">
        <f t="shared" si="329"/>
        <v>0</v>
      </c>
      <c r="P3489">
        <f t="shared" si="326"/>
        <v>5300</v>
      </c>
      <c r="Q3489">
        <f t="shared" si="330"/>
        <v>5300</v>
      </c>
      <c r="T3489" s="16">
        <f t="shared" si="331"/>
        <v>0.85829322328818036</v>
      </c>
    </row>
    <row r="3490" spans="7:20" ht="14.4" x14ac:dyDescent="0.25">
      <c r="G3490" s="10">
        <v>7261</v>
      </c>
      <c r="H3490" s="9">
        <v>51783</v>
      </c>
      <c r="I3490" s="14">
        <f>DATE(2012,12,31)-416</f>
        <v>40858</v>
      </c>
      <c r="J3490" s="15" t="s">
        <v>16</v>
      </c>
      <c r="K3490" s="9">
        <v>47</v>
      </c>
      <c r="L3490" s="16" t="s">
        <v>29</v>
      </c>
      <c r="M3490" s="16">
        <f t="shared" si="327"/>
        <v>1.4798312128611737</v>
      </c>
      <c r="N3490">
        <f t="shared" si="328"/>
        <v>0</v>
      </c>
      <c r="O3490">
        <f t="shared" si="329"/>
        <v>0</v>
      </c>
      <c r="P3490">
        <f t="shared" si="326"/>
        <v>5750</v>
      </c>
      <c r="Q3490">
        <f t="shared" si="330"/>
        <v>5750</v>
      </c>
      <c r="T3490" s="16">
        <f t="shared" si="331"/>
        <v>1.4798312128611733</v>
      </c>
    </row>
    <row r="3491" spans="7:20" ht="14.4" x14ac:dyDescent="0.25">
      <c r="G3491" s="10">
        <v>7556</v>
      </c>
      <c r="H3491" s="9">
        <v>54053</v>
      </c>
      <c r="I3491" s="14">
        <f>DATE(2012,12,31)-321</f>
        <v>40953</v>
      </c>
      <c r="J3491" s="15" t="s">
        <v>17</v>
      </c>
      <c r="K3491" s="9">
        <v>34</v>
      </c>
      <c r="L3491" s="16" t="s">
        <v>27</v>
      </c>
      <c r="M3491" s="16">
        <f t="shared" si="327"/>
        <v>0.58205411681129504</v>
      </c>
      <c r="N3491">
        <f t="shared" si="328"/>
        <v>0</v>
      </c>
      <c r="O3491">
        <f t="shared" si="329"/>
        <v>0</v>
      </c>
      <c r="P3491">
        <f t="shared" si="326"/>
        <v>5100</v>
      </c>
      <c r="Q3491">
        <f t="shared" si="330"/>
        <v>5100</v>
      </c>
      <c r="T3491" s="16">
        <f t="shared" si="331"/>
        <v>0.58205411681129471</v>
      </c>
    </row>
    <row r="3492" spans="7:20" ht="14.4" x14ac:dyDescent="0.25">
      <c r="G3492" s="10">
        <v>7630</v>
      </c>
      <c r="H3492" s="9">
        <v>54592</v>
      </c>
      <c r="I3492" s="14">
        <f>DATE(2012,12,31)-568</f>
        <v>40706</v>
      </c>
      <c r="J3492" s="15" t="s">
        <v>25</v>
      </c>
      <c r="K3492" s="9">
        <v>34</v>
      </c>
      <c r="L3492" s="16" t="s">
        <v>29</v>
      </c>
      <c r="M3492" s="16">
        <f t="shared" si="327"/>
        <v>0.58205411681129504</v>
      </c>
      <c r="N3492">
        <f t="shared" si="328"/>
        <v>0</v>
      </c>
      <c r="O3492">
        <f t="shared" si="329"/>
        <v>0</v>
      </c>
      <c r="P3492">
        <f t="shared" si="326"/>
        <v>5100</v>
      </c>
      <c r="Q3492">
        <f t="shared" si="330"/>
        <v>5100</v>
      </c>
      <c r="T3492" s="16">
        <f t="shared" si="331"/>
        <v>0.58205411681129471</v>
      </c>
    </row>
    <row r="3493" spans="7:20" ht="14.4" x14ac:dyDescent="0.25">
      <c r="G3493" s="10">
        <v>7741</v>
      </c>
      <c r="H3493" s="9">
        <v>55425</v>
      </c>
      <c r="I3493" s="14">
        <f>DATE(2012,12,31)-426</f>
        <v>40848</v>
      </c>
      <c r="J3493" s="15" t="s">
        <v>30</v>
      </c>
      <c r="K3493" s="9">
        <v>8</v>
      </c>
      <c r="L3493" s="16" t="s">
        <v>27</v>
      </c>
      <c r="M3493" s="16">
        <f t="shared" si="327"/>
        <v>-1.2135000752884624</v>
      </c>
      <c r="N3493">
        <f t="shared" si="328"/>
        <v>0</v>
      </c>
      <c r="O3493">
        <f t="shared" si="329"/>
        <v>0</v>
      </c>
      <c r="P3493">
        <f t="shared" si="326"/>
        <v>3800</v>
      </c>
      <c r="Q3493">
        <f t="shared" si="330"/>
        <v>3800</v>
      </c>
      <c r="T3493" s="16">
        <f t="shared" si="331"/>
        <v>-1.2135000752884626</v>
      </c>
    </row>
    <row r="3494" spans="7:20" ht="14.4" x14ac:dyDescent="0.25">
      <c r="G3494" s="10">
        <v>7767</v>
      </c>
      <c r="H3494" s="9">
        <v>55616</v>
      </c>
      <c r="I3494" s="14">
        <f>DATE(2012,12,31)-603</f>
        <v>40671</v>
      </c>
      <c r="J3494" s="15" t="s">
        <v>17</v>
      </c>
      <c r="K3494" s="9">
        <v>24</v>
      </c>
      <c r="L3494" s="16" t="s">
        <v>27</v>
      </c>
      <c r="M3494" s="16">
        <f t="shared" si="327"/>
        <v>-0.1085436493809193</v>
      </c>
      <c r="N3494">
        <f t="shared" si="328"/>
        <v>0</v>
      </c>
      <c r="O3494">
        <f t="shared" si="329"/>
        <v>0</v>
      </c>
      <c r="P3494">
        <f t="shared" si="326"/>
        <v>4600</v>
      </c>
      <c r="Q3494">
        <f t="shared" si="330"/>
        <v>4600</v>
      </c>
      <c r="T3494" s="16">
        <f t="shared" si="331"/>
        <v>-0.10854364938091969</v>
      </c>
    </row>
    <row r="3495" spans="7:20" ht="14.4" x14ac:dyDescent="0.25">
      <c r="G3495" s="10">
        <v>7821</v>
      </c>
      <c r="H3495" s="9">
        <v>55909</v>
      </c>
      <c r="I3495" s="14">
        <f>DATE(2012,12,31)-1322</f>
        <v>39952</v>
      </c>
      <c r="J3495" s="15" t="s">
        <v>25</v>
      </c>
      <c r="K3495" s="9">
        <v>2</v>
      </c>
      <c r="L3495" s="16" t="s">
        <v>26</v>
      </c>
      <c r="M3495" s="16">
        <f t="shared" si="327"/>
        <v>-1.627858735003791</v>
      </c>
      <c r="N3495">
        <f t="shared" si="328"/>
        <v>0</v>
      </c>
      <c r="O3495">
        <f t="shared" si="329"/>
        <v>0</v>
      </c>
      <c r="P3495">
        <f t="shared" si="326"/>
        <v>3500</v>
      </c>
      <c r="Q3495">
        <f t="shared" si="330"/>
        <v>3500</v>
      </c>
      <c r="T3495" s="16">
        <f t="shared" si="331"/>
        <v>-1.6278587350037912</v>
      </c>
    </row>
    <row r="3496" spans="7:20" ht="14.4" x14ac:dyDescent="0.25">
      <c r="G3496" s="10">
        <v>7825</v>
      </c>
      <c r="H3496" s="9">
        <v>55938</v>
      </c>
      <c r="I3496" s="14">
        <f>DATE(2012,12,31)-182</f>
        <v>41092</v>
      </c>
      <c r="J3496" s="15" t="s">
        <v>28</v>
      </c>
      <c r="K3496" s="9">
        <v>42</v>
      </c>
      <c r="L3496" s="16" t="s">
        <v>26</v>
      </c>
      <c r="M3496" s="16">
        <f t="shared" si="327"/>
        <v>1.1345323297650665</v>
      </c>
      <c r="N3496">
        <f t="shared" si="328"/>
        <v>0</v>
      </c>
      <c r="O3496">
        <f t="shared" si="329"/>
        <v>0</v>
      </c>
      <c r="P3496">
        <f t="shared" si="326"/>
        <v>5500</v>
      </c>
      <c r="Q3496">
        <f t="shared" si="330"/>
        <v>5500</v>
      </c>
      <c r="T3496" s="16">
        <f t="shared" si="331"/>
        <v>1.1345323297650662</v>
      </c>
    </row>
    <row r="3497" spans="7:20" ht="14.4" x14ac:dyDescent="0.25">
      <c r="G3497" s="10">
        <v>7866</v>
      </c>
      <c r="H3497" s="9">
        <v>56260</v>
      </c>
      <c r="I3497" s="14">
        <f>DATE(2012,12,31)-1234</f>
        <v>40040</v>
      </c>
      <c r="J3497" s="15" t="s">
        <v>28</v>
      </c>
      <c r="K3497" s="9">
        <v>34</v>
      </c>
      <c r="L3497" s="16" t="s">
        <v>26</v>
      </c>
      <c r="M3497" s="16">
        <f t="shared" si="327"/>
        <v>0.58205411681129504</v>
      </c>
      <c r="N3497">
        <f t="shared" si="328"/>
        <v>0</v>
      </c>
      <c r="O3497">
        <f t="shared" si="329"/>
        <v>0</v>
      </c>
      <c r="P3497">
        <f t="shared" si="326"/>
        <v>5100</v>
      </c>
      <c r="Q3497">
        <f t="shared" si="330"/>
        <v>5100</v>
      </c>
      <c r="T3497" s="16">
        <f t="shared" si="331"/>
        <v>0.58205411681129471</v>
      </c>
    </row>
    <row r="3498" spans="7:20" ht="14.4" x14ac:dyDescent="0.25">
      <c r="G3498" s="10">
        <v>7946</v>
      </c>
      <c r="H3498" s="9">
        <v>56768</v>
      </c>
      <c r="I3498" s="14">
        <f>DATE(2012,12,31)-523</f>
        <v>40751</v>
      </c>
      <c r="J3498" s="15" t="s">
        <v>30</v>
      </c>
      <c r="K3498" s="9">
        <v>13</v>
      </c>
      <c r="L3498" s="16" t="s">
        <v>27</v>
      </c>
      <c r="M3498" s="16">
        <f t="shared" si="327"/>
        <v>-0.86820119219235514</v>
      </c>
      <c r="N3498">
        <f t="shared" si="328"/>
        <v>0</v>
      </c>
      <c r="O3498">
        <f t="shared" si="329"/>
        <v>0</v>
      </c>
      <c r="P3498">
        <f t="shared" si="326"/>
        <v>4050</v>
      </c>
      <c r="Q3498">
        <f t="shared" si="330"/>
        <v>4050</v>
      </c>
      <c r="T3498" s="16">
        <f t="shared" si="331"/>
        <v>-0.86820119219235548</v>
      </c>
    </row>
    <row r="3499" spans="7:20" ht="14.4" x14ac:dyDescent="0.25">
      <c r="G3499" s="10">
        <v>8156</v>
      </c>
      <c r="H3499" s="9">
        <v>58337</v>
      </c>
      <c r="I3499" s="14">
        <f>DATE(2012,12,31)-1313</f>
        <v>39961</v>
      </c>
      <c r="J3499" s="15" t="s">
        <v>25</v>
      </c>
      <c r="K3499" s="9">
        <v>18</v>
      </c>
      <c r="L3499" s="16" t="s">
        <v>26</v>
      </c>
      <c r="M3499" s="16">
        <f t="shared" si="327"/>
        <v>-0.52290230909624791</v>
      </c>
      <c r="N3499">
        <f t="shared" si="328"/>
        <v>0</v>
      </c>
      <c r="O3499">
        <f t="shared" si="329"/>
        <v>0</v>
      </c>
      <c r="P3499">
        <f t="shared" si="326"/>
        <v>4300</v>
      </c>
      <c r="Q3499">
        <f t="shared" si="330"/>
        <v>4300</v>
      </c>
      <c r="T3499" s="16">
        <f t="shared" si="331"/>
        <v>-0.52290230909624835</v>
      </c>
    </row>
    <row r="3500" spans="7:20" ht="14.4" x14ac:dyDescent="0.25">
      <c r="G3500" s="10">
        <v>8161</v>
      </c>
      <c r="H3500" s="9">
        <v>58343</v>
      </c>
      <c r="I3500" s="14">
        <f>DATE(2012,12,31)-1452</f>
        <v>39822</v>
      </c>
      <c r="J3500" s="15" t="s">
        <v>28</v>
      </c>
      <c r="K3500" s="9">
        <v>39</v>
      </c>
      <c r="L3500" s="16" t="s">
        <v>26</v>
      </c>
      <c r="M3500" s="16">
        <f t="shared" si="327"/>
        <v>0.92735299990740228</v>
      </c>
      <c r="N3500">
        <f t="shared" si="328"/>
        <v>0</v>
      </c>
      <c r="O3500">
        <f t="shared" si="329"/>
        <v>0</v>
      </c>
      <c r="P3500">
        <f t="shared" si="326"/>
        <v>5350</v>
      </c>
      <c r="Q3500">
        <f t="shared" si="330"/>
        <v>5350</v>
      </c>
      <c r="T3500" s="16">
        <f t="shared" si="331"/>
        <v>0.92735299990740183</v>
      </c>
    </row>
    <row r="3501" spans="7:20" ht="14.4" x14ac:dyDescent="0.25">
      <c r="G3501" s="10">
        <v>8299</v>
      </c>
      <c r="H3501" s="9">
        <v>59270</v>
      </c>
      <c r="I3501" s="14">
        <f>DATE(2012,12,31)-1085</f>
        <v>40189</v>
      </c>
      <c r="J3501" s="15" t="s">
        <v>17</v>
      </c>
      <c r="K3501" s="9">
        <v>5</v>
      </c>
      <c r="L3501" s="16" t="s">
        <v>29</v>
      </c>
      <c r="M3501" s="16">
        <f t="shared" si="327"/>
        <v>-1.4206794051461267</v>
      </c>
      <c r="N3501">
        <f t="shared" si="328"/>
        <v>0</v>
      </c>
      <c r="O3501">
        <f t="shared" si="329"/>
        <v>0</v>
      </c>
      <c r="P3501">
        <f t="shared" si="326"/>
        <v>3650</v>
      </c>
      <c r="Q3501">
        <f t="shared" si="330"/>
        <v>3650</v>
      </c>
      <c r="T3501" s="16">
        <f t="shared" si="331"/>
        <v>-1.4206794051461269</v>
      </c>
    </row>
    <row r="3502" spans="7:20" ht="14.4" x14ac:dyDescent="0.25">
      <c r="G3502" s="10">
        <v>8342</v>
      </c>
      <c r="H3502" s="9">
        <v>59619</v>
      </c>
      <c r="I3502" s="14">
        <f>DATE(2012,12,31)-1052</f>
        <v>40222</v>
      </c>
      <c r="J3502" s="15" t="s">
        <v>28</v>
      </c>
      <c r="K3502" s="9">
        <v>35</v>
      </c>
      <c r="L3502" s="16" t="s">
        <v>26</v>
      </c>
      <c r="M3502" s="16">
        <f t="shared" si="327"/>
        <v>0.65111389343051651</v>
      </c>
      <c r="N3502">
        <f t="shared" si="328"/>
        <v>0</v>
      </c>
      <c r="O3502">
        <f t="shared" si="329"/>
        <v>0</v>
      </c>
      <c r="P3502">
        <f t="shared" si="326"/>
        <v>5150</v>
      </c>
      <c r="Q3502">
        <f t="shared" si="330"/>
        <v>5150</v>
      </c>
      <c r="T3502" s="16">
        <f t="shared" si="331"/>
        <v>0.65111389343051607</v>
      </c>
    </row>
    <row r="3503" spans="7:20" ht="14.4" x14ac:dyDescent="0.25">
      <c r="G3503" s="10">
        <v>8358</v>
      </c>
      <c r="H3503" s="9">
        <v>59714</v>
      </c>
      <c r="I3503" s="14">
        <f>DATE(2012,12,31)-749</f>
        <v>40525</v>
      </c>
      <c r="J3503" s="15" t="s">
        <v>30</v>
      </c>
      <c r="K3503" s="9">
        <v>26</v>
      </c>
      <c r="L3503" s="16" t="s">
        <v>29</v>
      </c>
      <c r="M3503" s="16">
        <f t="shared" si="327"/>
        <v>2.9575903857523567E-2</v>
      </c>
      <c r="N3503">
        <f t="shared" si="328"/>
        <v>0</v>
      </c>
      <c r="O3503">
        <f t="shared" si="329"/>
        <v>0</v>
      </c>
      <c r="P3503">
        <f t="shared" si="326"/>
        <v>4700</v>
      </c>
      <c r="Q3503">
        <f t="shared" si="330"/>
        <v>4700</v>
      </c>
      <c r="T3503" s="16">
        <f t="shared" si="331"/>
        <v>2.9575903857523185E-2</v>
      </c>
    </row>
    <row r="3504" spans="7:20" ht="14.4" x14ac:dyDescent="0.25">
      <c r="G3504" s="10">
        <v>8366</v>
      </c>
      <c r="H3504" s="9">
        <v>59781</v>
      </c>
      <c r="I3504" s="14">
        <f>DATE(2012,12,31)-19</f>
        <v>41255</v>
      </c>
      <c r="J3504" s="15" t="s">
        <v>28</v>
      </c>
      <c r="K3504" s="9">
        <v>18</v>
      </c>
      <c r="L3504" s="16" t="s">
        <v>29</v>
      </c>
      <c r="M3504" s="16">
        <f t="shared" si="327"/>
        <v>-0.52290230909624791</v>
      </c>
      <c r="N3504">
        <f t="shared" si="328"/>
        <v>0</v>
      </c>
      <c r="O3504">
        <f t="shared" si="329"/>
        <v>0</v>
      </c>
      <c r="P3504">
        <f t="shared" si="326"/>
        <v>4300</v>
      </c>
      <c r="Q3504">
        <f t="shared" si="330"/>
        <v>4300</v>
      </c>
      <c r="T3504" s="16">
        <f t="shared" si="331"/>
        <v>-0.52290230909624835</v>
      </c>
    </row>
    <row r="3505" spans="7:20" ht="14.4" x14ac:dyDescent="0.25">
      <c r="G3505" s="10">
        <v>8368</v>
      </c>
      <c r="H3505" s="9">
        <v>59781</v>
      </c>
      <c r="I3505" s="14">
        <f>DATE(2012,12,31)-19</f>
        <v>41255</v>
      </c>
      <c r="J3505" s="15" t="s">
        <v>28</v>
      </c>
      <c r="K3505" s="9">
        <v>28</v>
      </c>
      <c r="L3505" s="16" t="s">
        <v>29</v>
      </c>
      <c r="M3505" s="16">
        <f t="shared" si="327"/>
        <v>0.16769545709596645</v>
      </c>
      <c r="N3505">
        <f t="shared" si="328"/>
        <v>0</v>
      </c>
      <c r="O3505">
        <f t="shared" si="329"/>
        <v>0</v>
      </c>
      <c r="P3505">
        <f t="shared" si="326"/>
        <v>4800</v>
      </c>
      <c r="Q3505">
        <f t="shared" si="330"/>
        <v>4800</v>
      </c>
      <c r="T3505" s="16">
        <f t="shared" si="331"/>
        <v>0.16769545709596606</v>
      </c>
    </row>
    <row r="3506" spans="7:20" ht="14.4" x14ac:dyDescent="0.25">
      <c r="G3506" s="10">
        <v>14</v>
      </c>
      <c r="H3506" s="9">
        <v>70</v>
      </c>
      <c r="I3506" s="14">
        <f>DATE(2012,12,31)-745</f>
        <v>40529</v>
      </c>
      <c r="J3506" s="15" t="s">
        <v>25</v>
      </c>
      <c r="K3506" s="9">
        <v>48</v>
      </c>
      <c r="L3506" s="16" t="s">
        <v>26</v>
      </c>
      <c r="M3506" s="16">
        <f t="shared" si="327"/>
        <v>1.5488909894803951</v>
      </c>
      <c r="N3506">
        <f t="shared" si="328"/>
        <v>0</v>
      </c>
      <c r="O3506">
        <f t="shared" si="329"/>
        <v>0</v>
      </c>
      <c r="P3506">
        <f t="shared" si="326"/>
        <v>5800</v>
      </c>
      <c r="Q3506">
        <f t="shared" si="330"/>
        <v>5800</v>
      </c>
      <c r="T3506" s="16">
        <f t="shared" si="331"/>
        <v>1.5488909894803948</v>
      </c>
    </row>
    <row r="3507" spans="7:20" ht="14.4" x14ac:dyDescent="0.25">
      <c r="G3507" s="10">
        <v>15</v>
      </c>
      <c r="H3507" s="9">
        <v>70</v>
      </c>
      <c r="I3507" s="14">
        <f>DATE(2012,12,31)-745</f>
        <v>40529</v>
      </c>
      <c r="J3507" s="15" t="s">
        <v>25</v>
      </c>
      <c r="K3507" s="9">
        <v>46</v>
      </c>
      <c r="L3507" s="16" t="s">
        <v>27</v>
      </c>
      <c r="M3507" s="16">
        <f t="shared" si="327"/>
        <v>1.4107714362419523</v>
      </c>
      <c r="N3507">
        <f t="shared" si="328"/>
        <v>0</v>
      </c>
      <c r="O3507">
        <f t="shared" si="329"/>
        <v>0</v>
      </c>
      <c r="P3507">
        <f t="shared" si="326"/>
        <v>5700</v>
      </c>
      <c r="Q3507">
        <f t="shared" si="330"/>
        <v>5700</v>
      </c>
      <c r="T3507" s="16">
        <f t="shared" si="331"/>
        <v>1.4107714362419519</v>
      </c>
    </row>
    <row r="3508" spans="7:20" ht="14.4" x14ac:dyDescent="0.25">
      <c r="G3508" s="10">
        <v>25</v>
      </c>
      <c r="H3508" s="9">
        <v>135</v>
      </c>
      <c r="I3508" s="14">
        <f>DATE(2012,12,31)-438</f>
        <v>40836</v>
      </c>
      <c r="J3508" s="15" t="s">
        <v>28</v>
      </c>
      <c r="K3508" s="9">
        <v>25</v>
      </c>
      <c r="L3508" s="16" t="s">
        <v>27</v>
      </c>
      <c r="M3508" s="16">
        <f t="shared" si="327"/>
        <v>-3.9483872761697868E-2</v>
      </c>
      <c r="N3508">
        <f t="shared" si="328"/>
        <v>0</v>
      </c>
      <c r="O3508">
        <f t="shared" si="329"/>
        <v>0</v>
      </c>
      <c r="P3508">
        <f t="shared" si="326"/>
        <v>4650</v>
      </c>
      <c r="Q3508">
        <f t="shared" si="330"/>
        <v>4650</v>
      </c>
      <c r="T3508" s="16">
        <f t="shared" si="331"/>
        <v>-3.9483872761698249E-2</v>
      </c>
    </row>
    <row r="3509" spans="7:20" ht="14.4" x14ac:dyDescent="0.25">
      <c r="G3509" s="10">
        <v>27</v>
      </c>
      <c r="H3509" s="9">
        <v>193</v>
      </c>
      <c r="I3509" s="14">
        <f>DATE(2012,12,31)-877</f>
        <v>40397</v>
      </c>
      <c r="J3509" s="15" t="s">
        <v>30</v>
      </c>
      <c r="K3509" s="9">
        <v>14</v>
      </c>
      <c r="L3509" s="16" t="s">
        <v>26</v>
      </c>
      <c r="M3509" s="16">
        <f t="shared" si="327"/>
        <v>-0.79914141557313367</v>
      </c>
      <c r="N3509">
        <f t="shared" si="328"/>
        <v>0</v>
      </c>
      <c r="O3509">
        <f t="shared" si="329"/>
        <v>0</v>
      </c>
      <c r="P3509">
        <f t="shared" si="326"/>
        <v>4100</v>
      </c>
      <c r="Q3509">
        <f t="shared" si="330"/>
        <v>4100</v>
      </c>
      <c r="T3509" s="16">
        <f t="shared" si="331"/>
        <v>-0.79914141557313401</v>
      </c>
    </row>
    <row r="3510" spans="7:20" ht="14.4" x14ac:dyDescent="0.25">
      <c r="G3510" s="10">
        <v>35</v>
      </c>
      <c r="H3510" s="9">
        <v>225</v>
      </c>
      <c r="I3510" s="14">
        <f>DATE(2012,12,31)-587</f>
        <v>40687</v>
      </c>
      <c r="J3510" s="15" t="s">
        <v>30</v>
      </c>
      <c r="K3510" s="9">
        <v>24</v>
      </c>
      <c r="L3510" s="16" t="s">
        <v>26</v>
      </c>
      <c r="M3510" s="16">
        <f t="shared" si="327"/>
        <v>-0.1085436493809193</v>
      </c>
      <c r="N3510">
        <f t="shared" si="328"/>
        <v>0</v>
      </c>
      <c r="O3510">
        <f t="shared" si="329"/>
        <v>0</v>
      </c>
      <c r="P3510">
        <f t="shared" si="326"/>
        <v>4600</v>
      </c>
      <c r="Q3510">
        <f t="shared" si="330"/>
        <v>4600</v>
      </c>
      <c r="T3510" s="16">
        <f t="shared" si="331"/>
        <v>-0.10854364938091969</v>
      </c>
    </row>
    <row r="3511" spans="7:20" ht="14.4" x14ac:dyDescent="0.25">
      <c r="G3511" s="10">
        <v>36</v>
      </c>
      <c r="H3511" s="9">
        <v>225</v>
      </c>
      <c r="I3511" s="14">
        <f>DATE(2012,12,31)-587</f>
        <v>40687</v>
      </c>
      <c r="J3511" s="15" t="s">
        <v>30</v>
      </c>
      <c r="K3511" s="9">
        <v>1</v>
      </c>
      <c r="L3511" s="16" t="s">
        <v>26</v>
      </c>
      <c r="M3511" s="16">
        <f t="shared" si="327"/>
        <v>-1.6969185116230123</v>
      </c>
      <c r="N3511">
        <f t="shared" si="328"/>
        <v>0</v>
      </c>
      <c r="O3511">
        <f t="shared" si="329"/>
        <v>0</v>
      </c>
      <c r="P3511">
        <f t="shared" si="326"/>
        <v>3450</v>
      </c>
      <c r="Q3511">
        <f t="shared" si="330"/>
        <v>3450</v>
      </c>
      <c r="T3511" s="16">
        <f t="shared" si="331"/>
        <v>-1.6969185116230128</v>
      </c>
    </row>
    <row r="3512" spans="7:20" ht="14.4" x14ac:dyDescent="0.25">
      <c r="G3512" s="10">
        <v>47</v>
      </c>
      <c r="H3512" s="9">
        <v>290</v>
      </c>
      <c r="I3512" s="14">
        <f>DATE(2012,12,31)-1456</f>
        <v>39818</v>
      </c>
      <c r="J3512" s="15" t="s">
        <v>28</v>
      </c>
      <c r="K3512" s="9">
        <v>24</v>
      </c>
      <c r="L3512" s="16" t="s">
        <v>26</v>
      </c>
      <c r="M3512" s="16">
        <f t="shared" si="327"/>
        <v>-0.1085436493809193</v>
      </c>
      <c r="N3512">
        <f t="shared" si="328"/>
        <v>0</v>
      </c>
      <c r="O3512">
        <f t="shared" si="329"/>
        <v>0</v>
      </c>
      <c r="P3512">
        <f t="shared" si="326"/>
        <v>4600</v>
      </c>
      <c r="Q3512">
        <f t="shared" si="330"/>
        <v>4600</v>
      </c>
      <c r="T3512" s="16">
        <f t="shared" si="331"/>
        <v>-0.10854364938091969</v>
      </c>
    </row>
    <row r="3513" spans="7:20" ht="14.4" x14ac:dyDescent="0.25">
      <c r="G3513" s="10">
        <v>104</v>
      </c>
      <c r="H3513" s="9">
        <v>644</v>
      </c>
      <c r="I3513" s="14">
        <f>DATE(2012,12,31)-245</f>
        <v>41029</v>
      </c>
      <c r="J3513" s="15" t="s">
        <v>30</v>
      </c>
      <c r="K3513" s="9">
        <v>5</v>
      </c>
      <c r="L3513" s="16" t="s">
        <v>29</v>
      </c>
      <c r="M3513" s="16">
        <f t="shared" si="327"/>
        <v>-1.4206794051461267</v>
      </c>
      <c r="N3513">
        <f t="shared" si="328"/>
        <v>0</v>
      </c>
      <c r="O3513">
        <f t="shared" si="329"/>
        <v>0</v>
      </c>
      <c r="P3513">
        <f t="shared" si="326"/>
        <v>3650</v>
      </c>
      <c r="Q3513">
        <f t="shared" si="330"/>
        <v>3650</v>
      </c>
      <c r="T3513" s="16">
        <f t="shared" si="331"/>
        <v>-1.4206794051461269</v>
      </c>
    </row>
    <row r="3514" spans="7:20" ht="14.4" x14ac:dyDescent="0.25">
      <c r="G3514" s="10">
        <v>112</v>
      </c>
      <c r="H3514" s="9">
        <v>738</v>
      </c>
      <c r="I3514" s="14">
        <f>DATE(2012,12,31)-1036</f>
        <v>40238</v>
      </c>
      <c r="J3514" s="15" t="s">
        <v>28</v>
      </c>
      <c r="K3514" s="9">
        <v>7</v>
      </c>
      <c r="L3514" s="16" t="s">
        <v>26</v>
      </c>
      <c r="M3514" s="16">
        <f t="shared" si="327"/>
        <v>-1.2825598519076837</v>
      </c>
      <c r="N3514">
        <f t="shared" si="328"/>
        <v>0</v>
      </c>
      <c r="O3514">
        <f t="shared" si="329"/>
        <v>0</v>
      </c>
      <c r="P3514">
        <f t="shared" si="326"/>
        <v>3750</v>
      </c>
      <c r="Q3514">
        <f t="shared" si="330"/>
        <v>3750</v>
      </c>
      <c r="T3514" s="16">
        <f t="shared" si="331"/>
        <v>-1.2825598519076842</v>
      </c>
    </row>
    <row r="3515" spans="7:20" ht="14.4" x14ac:dyDescent="0.25">
      <c r="G3515" s="10">
        <v>113</v>
      </c>
      <c r="H3515" s="9">
        <v>738</v>
      </c>
      <c r="I3515" s="14">
        <f>DATE(2012,12,31)-1036</f>
        <v>40238</v>
      </c>
      <c r="J3515" s="15" t="s">
        <v>28</v>
      </c>
      <c r="K3515" s="9">
        <v>31</v>
      </c>
      <c r="L3515" s="16" t="s">
        <v>26</v>
      </c>
      <c r="M3515" s="16">
        <f t="shared" si="327"/>
        <v>0.37487478695363075</v>
      </c>
      <c r="N3515">
        <f t="shared" si="328"/>
        <v>0</v>
      </c>
      <c r="O3515">
        <f t="shared" si="329"/>
        <v>0</v>
      </c>
      <c r="P3515">
        <f t="shared" si="326"/>
        <v>4950</v>
      </c>
      <c r="Q3515">
        <f t="shared" si="330"/>
        <v>4950</v>
      </c>
      <c r="T3515" s="16">
        <f t="shared" si="331"/>
        <v>0.37487478695363036</v>
      </c>
    </row>
    <row r="3516" spans="7:20" ht="14.4" x14ac:dyDescent="0.25">
      <c r="G3516" s="10">
        <v>117</v>
      </c>
      <c r="H3516" s="9">
        <v>772</v>
      </c>
      <c r="I3516" s="14">
        <f>DATE(2012,12,31)-990</f>
        <v>40284</v>
      </c>
      <c r="J3516" s="15" t="s">
        <v>17</v>
      </c>
      <c r="K3516" s="9">
        <v>35</v>
      </c>
      <c r="L3516" s="16" t="s">
        <v>26</v>
      </c>
      <c r="M3516" s="16">
        <f t="shared" si="327"/>
        <v>0.65111389343051651</v>
      </c>
      <c r="N3516">
        <f t="shared" si="328"/>
        <v>0</v>
      </c>
      <c r="O3516">
        <f t="shared" si="329"/>
        <v>0</v>
      </c>
      <c r="P3516">
        <f t="shared" si="326"/>
        <v>5150</v>
      </c>
      <c r="Q3516">
        <f t="shared" si="330"/>
        <v>5150</v>
      </c>
      <c r="T3516" s="16">
        <f t="shared" si="331"/>
        <v>0.65111389343051607</v>
      </c>
    </row>
    <row r="3517" spans="7:20" ht="14.4" x14ac:dyDescent="0.25">
      <c r="G3517" s="10">
        <v>118</v>
      </c>
      <c r="H3517" s="9">
        <v>772</v>
      </c>
      <c r="I3517" s="14">
        <f>DATE(2012,12,31)-990</f>
        <v>40284</v>
      </c>
      <c r="J3517" s="15" t="s">
        <v>17</v>
      </c>
      <c r="K3517" s="9">
        <v>25</v>
      </c>
      <c r="L3517" s="16" t="s">
        <v>26</v>
      </c>
      <c r="M3517" s="16">
        <f t="shared" si="327"/>
        <v>-3.9483872761697868E-2</v>
      </c>
      <c r="N3517">
        <f t="shared" si="328"/>
        <v>0</v>
      </c>
      <c r="O3517">
        <f t="shared" si="329"/>
        <v>0</v>
      </c>
      <c r="P3517">
        <f t="shared" si="326"/>
        <v>4650</v>
      </c>
      <c r="Q3517">
        <f t="shared" si="330"/>
        <v>4650</v>
      </c>
      <c r="T3517" s="16">
        <f t="shared" si="331"/>
        <v>-3.9483872761698249E-2</v>
      </c>
    </row>
    <row r="3518" spans="7:20" ht="14.4" x14ac:dyDescent="0.25">
      <c r="G3518" s="10">
        <v>181</v>
      </c>
      <c r="H3518" s="9">
        <v>1189</v>
      </c>
      <c r="I3518" s="14">
        <f>DATE(2012,12,31)-1363</f>
        <v>39911</v>
      </c>
      <c r="J3518" s="15" t="s">
        <v>30</v>
      </c>
      <c r="K3518" s="9">
        <v>27</v>
      </c>
      <c r="L3518" s="16" t="s">
        <v>26</v>
      </c>
      <c r="M3518" s="16">
        <f t="shared" si="327"/>
        <v>9.8635680476745008E-2</v>
      </c>
      <c r="N3518">
        <f t="shared" si="328"/>
        <v>0</v>
      </c>
      <c r="O3518">
        <f t="shared" si="329"/>
        <v>0</v>
      </c>
      <c r="P3518">
        <f t="shared" si="326"/>
        <v>4750</v>
      </c>
      <c r="Q3518">
        <f t="shared" si="330"/>
        <v>4750</v>
      </c>
      <c r="T3518" s="16">
        <f t="shared" si="331"/>
        <v>9.8635680476744619E-2</v>
      </c>
    </row>
    <row r="3519" spans="7:20" ht="14.4" x14ac:dyDescent="0.25">
      <c r="G3519" s="10">
        <v>263</v>
      </c>
      <c r="H3519" s="9">
        <v>1825</v>
      </c>
      <c r="I3519" s="14">
        <f>DATE(2012,12,31)-758</f>
        <v>40516</v>
      </c>
      <c r="J3519" s="15" t="s">
        <v>16</v>
      </c>
      <c r="K3519" s="9">
        <v>22</v>
      </c>
      <c r="L3519" s="16" t="s">
        <v>26</v>
      </c>
      <c r="M3519" s="16">
        <f t="shared" si="327"/>
        <v>-0.24666320261936217</v>
      </c>
      <c r="N3519">
        <f t="shared" si="328"/>
        <v>0</v>
      </c>
      <c r="O3519">
        <f t="shared" si="329"/>
        <v>0</v>
      </c>
      <c r="P3519">
        <f t="shared" si="326"/>
        <v>4500</v>
      </c>
      <c r="Q3519">
        <f t="shared" si="330"/>
        <v>4500</v>
      </c>
      <c r="T3519" s="16">
        <f t="shared" si="331"/>
        <v>-0.24666320261936256</v>
      </c>
    </row>
    <row r="3520" spans="7:20" ht="14.4" x14ac:dyDescent="0.25">
      <c r="G3520" s="10">
        <v>355</v>
      </c>
      <c r="H3520" s="9">
        <v>2467</v>
      </c>
      <c r="I3520" s="14">
        <f>DATE(2012,12,31)-535</f>
        <v>40739</v>
      </c>
      <c r="J3520" s="15" t="s">
        <v>28</v>
      </c>
      <c r="K3520" s="9">
        <v>30</v>
      </c>
      <c r="L3520" s="16" t="s">
        <v>27</v>
      </c>
      <c r="M3520" s="16">
        <f t="shared" si="327"/>
        <v>0.30581501033440933</v>
      </c>
      <c r="N3520">
        <f t="shared" si="328"/>
        <v>0</v>
      </c>
      <c r="O3520">
        <f t="shared" si="329"/>
        <v>0</v>
      </c>
      <c r="P3520">
        <f t="shared" si="326"/>
        <v>4900</v>
      </c>
      <c r="Q3520">
        <f t="shared" si="330"/>
        <v>4900</v>
      </c>
      <c r="T3520" s="16">
        <f t="shared" si="331"/>
        <v>0.30581501033440894</v>
      </c>
    </row>
    <row r="3521" spans="7:20" ht="14.4" x14ac:dyDescent="0.25">
      <c r="G3521" s="10">
        <v>446</v>
      </c>
      <c r="H3521" s="9">
        <v>3014</v>
      </c>
      <c r="I3521" s="14">
        <f>DATE(2012,12,31)-63</f>
        <v>41211</v>
      </c>
      <c r="J3521" s="15" t="s">
        <v>28</v>
      </c>
      <c r="K3521" s="9">
        <v>13</v>
      </c>
      <c r="L3521" s="16" t="s">
        <v>26</v>
      </c>
      <c r="M3521" s="16">
        <f t="shared" si="327"/>
        <v>-0.86820119219235514</v>
      </c>
      <c r="N3521">
        <f t="shared" si="328"/>
        <v>0</v>
      </c>
      <c r="O3521">
        <f t="shared" si="329"/>
        <v>0</v>
      </c>
      <c r="P3521">
        <f t="shared" si="326"/>
        <v>4050</v>
      </c>
      <c r="Q3521">
        <f t="shared" si="330"/>
        <v>4050</v>
      </c>
      <c r="T3521" s="16">
        <f t="shared" si="331"/>
        <v>-0.86820119219235548</v>
      </c>
    </row>
    <row r="3522" spans="7:20" ht="14.4" x14ac:dyDescent="0.25">
      <c r="G3522" s="10">
        <v>450</v>
      </c>
      <c r="H3522" s="9">
        <v>3073</v>
      </c>
      <c r="I3522" s="14">
        <f>DATE(2012,12,31)-1454</f>
        <v>39820</v>
      </c>
      <c r="J3522" s="15" t="s">
        <v>16</v>
      </c>
      <c r="K3522" s="9">
        <v>3</v>
      </c>
      <c r="L3522" s="16" t="s">
        <v>26</v>
      </c>
      <c r="M3522" s="16">
        <f t="shared" si="327"/>
        <v>-1.5587989583845694</v>
      </c>
      <c r="N3522">
        <f t="shared" si="328"/>
        <v>0</v>
      </c>
      <c r="O3522">
        <f t="shared" si="329"/>
        <v>0</v>
      </c>
      <c r="P3522">
        <f t="shared" si="326"/>
        <v>3550</v>
      </c>
      <c r="Q3522">
        <f t="shared" si="330"/>
        <v>3550</v>
      </c>
      <c r="T3522" s="16">
        <f t="shared" si="331"/>
        <v>-1.5587989583845698</v>
      </c>
    </row>
    <row r="3523" spans="7:20" ht="14.4" x14ac:dyDescent="0.25">
      <c r="G3523" s="10">
        <v>451</v>
      </c>
      <c r="H3523" s="9">
        <v>3073</v>
      </c>
      <c r="I3523" s="14">
        <f>DATE(2012,12,31)-1454</f>
        <v>39820</v>
      </c>
      <c r="J3523" s="15" t="s">
        <v>16</v>
      </c>
      <c r="K3523" s="9">
        <v>3</v>
      </c>
      <c r="L3523" s="16" t="s">
        <v>27</v>
      </c>
      <c r="M3523" s="16">
        <f t="shared" si="327"/>
        <v>-1.5587989583845694</v>
      </c>
      <c r="N3523">
        <f t="shared" si="328"/>
        <v>0</v>
      </c>
      <c r="O3523">
        <f t="shared" si="329"/>
        <v>0</v>
      </c>
      <c r="P3523">
        <f t="shared" si="326"/>
        <v>3550</v>
      </c>
      <c r="Q3523">
        <f t="shared" si="330"/>
        <v>3550</v>
      </c>
      <c r="T3523" s="16">
        <f t="shared" si="331"/>
        <v>-1.5587989583845698</v>
      </c>
    </row>
    <row r="3524" spans="7:20" ht="14.4" x14ac:dyDescent="0.25">
      <c r="G3524" s="10">
        <v>452</v>
      </c>
      <c r="H3524" s="9">
        <v>3073</v>
      </c>
      <c r="I3524" s="14">
        <f>DATE(2012,12,31)-1454</f>
        <v>39820</v>
      </c>
      <c r="J3524" s="15" t="s">
        <v>16</v>
      </c>
      <c r="K3524" s="9">
        <v>7</v>
      </c>
      <c r="L3524" s="16" t="s">
        <v>27</v>
      </c>
      <c r="M3524" s="16">
        <f t="shared" si="327"/>
        <v>-1.2825598519076837</v>
      </c>
      <c r="N3524">
        <f t="shared" si="328"/>
        <v>0</v>
      </c>
      <c r="O3524">
        <f t="shared" si="329"/>
        <v>0</v>
      </c>
      <c r="P3524">
        <f t="shared" si="326"/>
        <v>3750</v>
      </c>
      <c r="Q3524">
        <f t="shared" si="330"/>
        <v>3750</v>
      </c>
      <c r="T3524" s="16">
        <f t="shared" si="331"/>
        <v>-1.2825598519076842</v>
      </c>
    </row>
    <row r="3525" spans="7:20" ht="14.4" x14ac:dyDescent="0.25">
      <c r="G3525" s="10">
        <v>464</v>
      </c>
      <c r="H3525" s="9">
        <v>3168</v>
      </c>
      <c r="I3525" s="14">
        <f>DATE(2012,12,31)-337</f>
        <v>40937</v>
      </c>
      <c r="J3525" s="15" t="s">
        <v>25</v>
      </c>
      <c r="K3525" s="9">
        <v>14</v>
      </c>
      <c r="L3525" s="16" t="s">
        <v>29</v>
      </c>
      <c r="M3525" s="16">
        <f t="shared" si="327"/>
        <v>-0.79914141557313367</v>
      </c>
      <c r="N3525">
        <f t="shared" si="328"/>
        <v>0</v>
      </c>
      <c r="O3525">
        <f t="shared" si="329"/>
        <v>0</v>
      </c>
      <c r="P3525">
        <f t="shared" si="326"/>
        <v>4100</v>
      </c>
      <c r="Q3525">
        <f t="shared" si="330"/>
        <v>4100</v>
      </c>
      <c r="T3525" s="16">
        <f t="shared" si="331"/>
        <v>-0.79914141557313401</v>
      </c>
    </row>
    <row r="3526" spans="7:20" ht="14.4" x14ac:dyDescent="0.25">
      <c r="G3526" s="10">
        <v>469</v>
      </c>
      <c r="H3526" s="9">
        <v>3205</v>
      </c>
      <c r="I3526" s="14">
        <f>DATE(2012,12,31)-265</f>
        <v>41009</v>
      </c>
      <c r="J3526" s="15" t="s">
        <v>25</v>
      </c>
      <c r="K3526" s="9">
        <v>8</v>
      </c>
      <c r="L3526" s="16" t="s">
        <v>29</v>
      </c>
      <c r="M3526" s="16">
        <f t="shared" si="327"/>
        <v>-1.2135000752884624</v>
      </c>
      <c r="N3526">
        <f t="shared" si="328"/>
        <v>0</v>
      </c>
      <c r="O3526">
        <f t="shared" si="329"/>
        <v>0</v>
      </c>
      <c r="P3526">
        <f t="shared" si="326"/>
        <v>3800</v>
      </c>
      <c r="Q3526">
        <f t="shared" si="330"/>
        <v>3800</v>
      </c>
      <c r="T3526" s="16">
        <f t="shared" si="331"/>
        <v>-1.2135000752884626</v>
      </c>
    </row>
    <row r="3527" spans="7:20" ht="14.4" x14ac:dyDescent="0.25">
      <c r="G3527" s="10">
        <v>470</v>
      </c>
      <c r="H3527" s="9">
        <v>3205</v>
      </c>
      <c r="I3527" s="14">
        <f>DATE(2012,12,31)-265</f>
        <v>41009</v>
      </c>
      <c r="J3527" s="15" t="s">
        <v>25</v>
      </c>
      <c r="K3527" s="9">
        <v>42</v>
      </c>
      <c r="L3527" s="16" t="s">
        <v>29</v>
      </c>
      <c r="M3527" s="16">
        <f t="shared" si="327"/>
        <v>1.1345323297650665</v>
      </c>
      <c r="N3527">
        <f t="shared" si="328"/>
        <v>0</v>
      </c>
      <c r="O3527">
        <f t="shared" si="329"/>
        <v>0</v>
      </c>
      <c r="P3527">
        <f t="shared" si="326"/>
        <v>5500</v>
      </c>
      <c r="Q3527">
        <f t="shared" si="330"/>
        <v>5500</v>
      </c>
      <c r="T3527" s="16">
        <f t="shared" si="331"/>
        <v>1.1345323297650662</v>
      </c>
    </row>
    <row r="3528" spans="7:20" ht="14.4" x14ac:dyDescent="0.25">
      <c r="G3528" s="10">
        <v>520</v>
      </c>
      <c r="H3528" s="9">
        <v>3559</v>
      </c>
      <c r="I3528" s="14">
        <f>DATE(2012,12,31)-69</f>
        <v>41205</v>
      </c>
      <c r="J3528" s="15" t="s">
        <v>16</v>
      </c>
      <c r="K3528" s="9">
        <v>34</v>
      </c>
      <c r="L3528" s="16" t="s">
        <v>26</v>
      </c>
      <c r="M3528" s="16">
        <f t="shared" si="327"/>
        <v>0.58205411681129504</v>
      </c>
      <c r="N3528">
        <f t="shared" si="328"/>
        <v>0</v>
      </c>
      <c r="O3528">
        <f t="shared" si="329"/>
        <v>0</v>
      </c>
      <c r="P3528">
        <f t="shared" si="326"/>
        <v>5100</v>
      </c>
      <c r="Q3528">
        <f t="shared" si="330"/>
        <v>5100</v>
      </c>
      <c r="T3528" s="16">
        <f t="shared" si="331"/>
        <v>0.58205411681129471</v>
      </c>
    </row>
    <row r="3529" spans="7:20" ht="14.4" x14ac:dyDescent="0.25">
      <c r="G3529" s="10">
        <v>523</v>
      </c>
      <c r="H3529" s="9">
        <v>3586</v>
      </c>
      <c r="I3529" s="14">
        <f>DATE(2012,12,31)-758</f>
        <v>40516</v>
      </c>
      <c r="J3529" s="15" t="s">
        <v>17</v>
      </c>
      <c r="K3529" s="9">
        <v>32</v>
      </c>
      <c r="L3529" s="16" t="s">
        <v>29</v>
      </c>
      <c r="M3529" s="16">
        <f t="shared" si="327"/>
        <v>0.44393456357285216</v>
      </c>
      <c r="N3529">
        <f t="shared" si="328"/>
        <v>0</v>
      </c>
      <c r="O3529">
        <f t="shared" si="329"/>
        <v>0</v>
      </c>
      <c r="P3529">
        <f t="shared" si="326"/>
        <v>5000</v>
      </c>
      <c r="Q3529">
        <f t="shared" si="330"/>
        <v>5000</v>
      </c>
      <c r="T3529" s="16">
        <f t="shared" si="331"/>
        <v>0.44393456357285183</v>
      </c>
    </row>
    <row r="3530" spans="7:20" ht="14.4" x14ac:dyDescent="0.25">
      <c r="G3530" s="10">
        <v>524</v>
      </c>
      <c r="H3530" s="9">
        <v>3586</v>
      </c>
      <c r="I3530" s="14">
        <f>DATE(2012,12,31)-758</f>
        <v>40516</v>
      </c>
      <c r="J3530" s="15" t="s">
        <v>17</v>
      </c>
      <c r="K3530" s="9">
        <v>31</v>
      </c>
      <c r="L3530" s="16" t="s">
        <v>29</v>
      </c>
      <c r="M3530" s="16">
        <f t="shared" si="327"/>
        <v>0.37487478695363075</v>
      </c>
      <c r="N3530">
        <f t="shared" si="328"/>
        <v>0</v>
      </c>
      <c r="O3530">
        <f t="shared" si="329"/>
        <v>0</v>
      </c>
      <c r="P3530">
        <f t="shared" si="326"/>
        <v>4950</v>
      </c>
      <c r="Q3530">
        <f t="shared" si="330"/>
        <v>4950</v>
      </c>
      <c r="T3530" s="16">
        <f t="shared" si="331"/>
        <v>0.37487478695363036</v>
      </c>
    </row>
    <row r="3531" spans="7:20" ht="14.4" x14ac:dyDescent="0.25">
      <c r="G3531" s="10">
        <v>554</v>
      </c>
      <c r="H3531" s="9">
        <v>3750</v>
      </c>
      <c r="I3531" s="14">
        <f>DATE(2012,12,31)-612</f>
        <v>40662</v>
      </c>
      <c r="J3531" s="15" t="s">
        <v>16</v>
      </c>
      <c r="K3531" s="9">
        <v>12</v>
      </c>
      <c r="L3531" s="16" t="s">
        <v>26</v>
      </c>
      <c r="M3531" s="16">
        <f t="shared" si="327"/>
        <v>-0.9372609688115765</v>
      </c>
      <c r="N3531">
        <f t="shared" si="328"/>
        <v>0</v>
      </c>
      <c r="O3531">
        <f t="shared" si="329"/>
        <v>0</v>
      </c>
      <c r="P3531">
        <f t="shared" si="326"/>
        <v>4000</v>
      </c>
      <c r="Q3531">
        <f t="shared" si="330"/>
        <v>4000</v>
      </c>
      <c r="T3531" s="16">
        <f t="shared" si="331"/>
        <v>-0.93726096881157694</v>
      </c>
    </row>
    <row r="3532" spans="7:20" ht="14.4" x14ac:dyDescent="0.25">
      <c r="G3532" s="10">
        <v>556</v>
      </c>
      <c r="H3532" s="9">
        <v>3778</v>
      </c>
      <c r="I3532" s="14">
        <f>DATE(2012,12,31)-951</f>
        <v>40323</v>
      </c>
      <c r="J3532" s="15" t="s">
        <v>30</v>
      </c>
      <c r="K3532" s="9">
        <v>34</v>
      </c>
      <c r="L3532" s="16" t="s">
        <v>27</v>
      </c>
      <c r="M3532" s="16">
        <f t="shared" si="327"/>
        <v>0.58205411681129504</v>
      </c>
      <c r="N3532">
        <f t="shared" si="328"/>
        <v>0</v>
      </c>
      <c r="O3532">
        <f t="shared" si="329"/>
        <v>0</v>
      </c>
      <c r="P3532">
        <f t="shared" ref="P3532:P3595" si="332">50*K3532+$P$10</f>
        <v>5100</v>
      </c>
      <c r="Q3532">
        <f t="shared" si="330"/>
        <v>5100</v>
      </c>
      <c r="T3532" s="16">
        <f t="shared" si="331"/>
        <v>0.58205411681129471</v>
      </c>
    </row>
    <row r="3533" spans="7:20" ht="14.4" x14ac:dyDescent="0.25">
      <c r="G3533" s="10">
        <v>557</v>
      </c>
      <c r="H3533" s="9">
        <v>3778</v>
      </c>
      <c r="I3533" s="14">
        <f>DATE(2012,12,31)-951</f>
        <v>40323</v>
      </c>
      <c r="J3533" s="15" t="s">
        <v>30</v>
      </c>
      <c r="K3533" s="9">
        <v>12</v>
      </c>
      <c r="L3533" s="16" t="s">
        <v>27</v>
      </c>
      <c r="M3533" s="16">
        <f t="shared" ref="M3533:M3596" si="333">(K3533-$K$4)/$K$7</f>
        <v>-0.9372609688115765</v>
      </c>
      <c r="N3533">
        <f t="shared" ref="N3533:N3596" si="334">IF(MOD($B$20+G3533,1000)=0,1,0)</f>
        <v>0</v>
      </c>
      <c r="O3533">
        <f t="shared" ref="O3533:O3596" si="335">+ROUND(N3533*(IF(K3533&lt;$K$4,-4.5,10.5)*$P$5),-2)</f>
        <v>0</v>
      </c>
      <c r="P3533">
        <f t="shared" si="332"/>
        <v>4000</v>
      </c>
      <c r="Q3533">
        <f t="shared" ref="Q3533:Q3596" si="336">P3533+O3533</f>
        <v>4000</v>
      </c>
      <c r="T3533" s="16">
        <f t="shared" ref="T3533:T3596" si="337">(Q3533-$P$4)/$P$5</f>
        <v>-0.93726096881157694</v>
      </c>
    </row>
    <row r="3534" spans="7:20" ht="14.4" x14ac:dyDescent="0.25">
      <c r="G3534" s="10">
        <v>558</v>
      </c>
      <c r="H3534" s="9">
        <v>3778</v>
      </c>
      <c r="I3534" s="14">
        <f>DATE(2012,12,31)-951</f>
        <v>40323</v>
      </c>
      <c r="J3534" s="15" t="s">
        <v>30</v>
      </c>
      <c r="K3534" s="9">
        <v>3</v>
      </c>
      <c r="L3534" s="16" t="s">
        <v>26</v>
      </c>
      <c r="M3534" s="16">
        <f t="shared" si="333"/>
        <v>-1.5587989583845694</v>
      </c>
      <c r="N3534">
        <f t="shared" si="334"/>
        <v>0</v>
      </c>
      <c r="O3534">
        <f t="shared" si="335"/>
        <v>0</v>
      </c>
      <c r="P3534">
        <f t="shared" si="332"/>
        <v>3550</v>
      </c>
      <c r="Q3534">
        <f t="shared" si="336"/>
        <v>3550</v>
      </c>
      <c r="T3534" s="16">
        <f t="shared" si="337"/>
        <v>-1.5587989583845698</v>
      </c>
    </row>
    <row r="3535" spans="7:20" ht="14.4" x14ac:dyDescent="0.25">
      <c r="G3535" s="10">
        <v>559</v>
      </c>
      <c r="H3535" s="9">
        <v>3778</v>
      </c>
      <c r="I3535" s="14">
        <f>DATE(2012,12,31)-951</f>
        <v>40323</v>
      </c>
      <c r="J3535" s="15" t="s">
        <v>30</v>
      </c>
      <c r="K3535" s="9">
        <v>34</v>
      </c>
      <c r="L3535" s="16" t="s">
        <v>27</v>
      </c>
      <c r="M3535" s="16">
        <f t="shared" si="333"/>
        <v>0.58205411681129504</v>
      </c>
      <c r="N3535">
        <f t="shared" si="334"/>
        <v>0</v>
      </c>
      <c r="O3535">
        <f t="shared" si="335"/>
        <v>0</v>
      </c>
      <c r="P3535">
        <f t="shared" si="332"/>
        <v>5100</v>
      </c>
      <c r="Q3535">
        <f t="shared" si="336"/>
        <v>5100</v>
      </c>
      <c r="T3535" s="16">
        <f t="shared" si="337"/>
        <v>0.58205411681129471</v>
      </c>
    </row>
    <row r="3536" spans="7:20" ht="14.4" x14ac:dyDescent="0.25">
      <c r="G3536" s="10">
        <v>566</v>
      </c>
      <c r="H3536" s="9">
        <v>3841</v>
      </c>
      <c r="I3536" s="14">
        <f>DATE(2012,12,31)-1184</f>
        <v>40090</v>
      </c>
      <c r="J3536" s="15" t="s">
        <v>28</v>
      </c>
      <c r="K3536" s="9">
        <v>19</v>
      </c>
      <c r="L3536" s="16" t="s">
        <v>26</v>
      </c>
      <c r="M3536" s="16">
        <f t="shared" si="333"/>
        <v>-0.45384253247702649</v>
      </c>
      <c r="N3536">
        <f t="shared" si="334"/>
        <v>0</v>
      </c>
      <c r="O3536">
        <f t="shared" si="335"/>
        <v>0</v>
      </c>
      <c r="P3536">
        <f t="shared" si="332"/>
        <v>4350</v>
      </c>
      <c r="Q3536">
        <f t="shared" si="336"/>
        <v>4350</v>
      </c>
      <c r="T3536" s="16">
        <f t="shared" si="337"/>
        <v>-0.45384253247702688</v>
      </c>
    </row>
    <row r="3537" spans="7:20" ht="14.4" x14ac:dyDescent="0.25">
      <c r="G3537" s="10">
        <v>567</v>
      </c>
      <c r="H3537" s="9">
        <v>3841</v>
      </c>
      <c r="I3537" s="14">
        <f>DATE(2012,12,31)-1184</f>
        <v>40090</v>
      </c>
      <c r="J3537" s="15" t="s">
        <v>28</v>
      </c>
      <c r="K3537" s="9">
        <v>20</v>
      </c>
      <c r="L3537" s="16" t="s">
        <v>26</v>
      </c>
      <c r="M3537" s="16">
        <f t="shared" si="333"/>
        <v>-0.38478275585780503</v>
      </c>
      <c r="N3537">
        <f t="shared" si="334"/>
        <v>0</v>
      </c>
      <c r="O3537">
        <f t="shared" si="335"/>
        <v>0</v>
      </c>
      <c r="P3537">
        <f t="shared" si="332"/>
        <v>4400</v>
      </c>
      <c r="Q3537">
        <f t="shared" si="336"/>
        <v>4400</v>
      </c>
      <c r="T3537" s="16">
        <f t="shared" si="337"/>
        <v>-0.38478275585780541</v>
      </c>
    </row>
    <row r="3538" spans="7:20" ht="14.4" x14ac:dyDescent="0.25">
      <c r="G3538" s="10">
        <v>568</v>
      </c>
      <c r="H3538" s="9">
        <v>3841</v>
      </c>
      <c r="I3538" s="14">
        <f>DATE(2012,12,31)-1184</f>
        <v>40090</v>
      </c>
      <c r="J3538" s="15" t="s">
        <v>28</v>
      </c>
      <c r="K3538" s="9">
        <v>43</v>
      </c>
      <c r="L3538" s="16" t="s">
        <v>27</v>
      </c>
      <c r="M3538" s="16">
        <f t="shared" si="333"/>
        <v>1.203592106384288</v>
      </c>
      <c r="N3538">
        <f t="shared" si="334"/>
        <v>0</v>
      </c>
      <c r="O3538">
        <f t="shared" si="335"/>
        <v>0</v>
      </c>
      <c r="P3538">
        <f t="shared" si="332"/>
        <v>5550</v>
      </c>
      <c r="Q3538">
        <f t="shared" si="336"/>
        <v>5550</v>
      </c>
      <c r="T3538" s="16">
        <f t="shared" si="337"/>
        <v>1.2035921063842876</v>
      </c>
    </row>
    <row r="3539" spans="7:20" ht="14.4" x14ac:dyDescent="0.25">
      <c r="G3539" s="10">
        <v>584</v>
      </c>
      <c r="H3539" s="9">
        <v>4004</v>
      </c>
      <c r="I3539" s="14">
        <f>DATE(2012,12,31)-970</f>
        <v>40304</v>
      </c>
      <c r="J3539" s="15" t="s">
        <v>16</v>
      </c>
      <c r="K3539" s="9">
        <v>14</v>
      </c>
      <c r="L3539" s="16" t="s">
        <v>26</v>
      </c>
      <c r="M3539" s="16">
        <f t="shared" si="333"/>
        <v>-0.79914141557313367</v>
      </c>
      <c r="N3539">
        <f t="shared" si="334"/>
        <v>0</v>
      </c>
      <c r="O3539">
        <f t="shared" si="335"/>
        <v>0</v>
      </c>
      <c r="P3539">
        <f t="shared" si="332"/>
        <v>4100</v>
      </c>
      <c r="Q3539">
        <f t="shared" si="336"/>
        <v>4100</v>
      </c>
      <c r="T3539" s="16">
        <f t="shared" si="337"/>
        <v>-0.79914141557313401</v>
      </c>
    </row>
    <row r="3540" spans="7:20" ht="14.4" x14ac:dyDescent="0.25">
      <c r="G3540" s="10">
        <v>585</v>
      </c>
      <c r="H3540" s="9">
        <v>4004</v>
      </c>
      <c r="I3540" s="14">
        <f>DATE(2012,12,31)-970</f>
        <v>40304</v>
      </c>
      <c r="J3540" s="15" t="s">
        <v>16</v>
      </c>
      <c r="K3540" s="9">
        <v>44</v>
      </c>
      <c r="L3540" s="16" t="s">
        <v>26</v>
      </c>
      <c r="M3540" s="16">
        <f t="shared" si="333"/>
        <v>1.2726518830035094</v>
      </c>
      <c r="N3540">
        <f t="shared" si="334"/>
        <v>0</v>
      </c>
      <c r="O3540">
        <f t="shared" si="335"/>
        <v>0</v>
      </c>
      <c r="P3540">
        <f t="shared" si="332"/>
        <v>5600</v>
      </c>
      <c r="Q3540">
        <f t="shared" si="336"/>
        <v>5600</v>
      </c>
      <c r="T3540" s="16">
        <f t="shared" si="337"/>
        <v>1.272651883003509</v>
      </c>
    </row>
    <row r="3541" spans="7:20" ht="14.4" x14ac:dyDescent="0.25">
      <c r="G3541" s="10">
        <v>599</v>
      </c>
      <c r="H3541" s="9">
        <v>4096</v>
      </c>
      <c r="I3541" s="14">
        <f>DATE(2012,12,31)-182</f>
        <v>41092</v>
      </c>
      <c r="J3541" s="15" t="s">
        <v>28</v>
      </c>
      <c r="K3541" s="9">
        <v>21</v>
      </c>
      <c r="L3541" s="16" t="s">
        <v>26</v>
      </c>
      <c r="M3541" s="16">
        <f t="shared" si="333"/>
        <v>-0.31572297923858361</v>
      </c>
      <c r="N3541">
        <f t="shared" si="334"/>
        <v>0</v>
      </c>
      <c r="O3541">
        <f t="shared" si="335"/>
        <v>0</v>
      </c>
      <c r="P3541">
        <f t="shared" si="332"/>
        <v>4450</v>
      </c>
      <c r="Q3541">
        <f t="shared" si="336"/>
        <v>4450</v>
      </c>
      <c r="T3541" s="16">
        <f t="shared" si="337"/>
        <v>-0.315722979238584</v>
      </c>
    </row>
    <row r="3542" spans="7:20" ht="14.4" x14ac:dyDescent="0.25">
      <c r="G3542" s="10">
        <v>682</v>
      </c>
      <c r="H3542" s="9">
        <v>4769</v>
      </c>
      <c r="I3542" s="14">
        <f>DATE(2012,12,31)-628</f>
        <v>40646</v>
      </c>
      <c r="J3542" s="15" t="s">
        <v>28</v>
      </c>
      <c r="K3542" s="9">
        <v>41</v>
      </c>
      <c r="L3542" s="16" t="s">
        <v>26</v>
      </c>
      <c r="M3542" s="16">
        <f t="shared" si="333"/>
        <v>1.0654725531458451</v>
      </c>
      <c r="N3542">
        <f t="shared" si="334"/>
        <v>0</v>
      </c>
      <c r="O3542">
        <f t="shared" si="335"/>
        <v>0</v>
      </c>
      <c r="P3542">
        <f t="shared" si="332"/>
        <v>5450</v>
      </c>
      <c r="Q3542">
        <f t="shared" si="336"/>
        <v>5450</v>
      </c>
      <c r="T3542" s="16">
        <f t="shared" si="337"/>
        <v>1.0654725531458447</v>
      </c>
    </row>
    <row r="3543" spans="7:20" ht="14.4" x14ac:dyDescent="0.25">
      <c r="G3543" s="10">
        <v>688</v>
      </c>
      <c r="H3543" s="9">
        <v>4800</v>
      </c>
      <c r="I3543" s="14">
        <f>DATE(2012,12,31)-361</f>
        <v>40913</v>
      </c>
      <c r="J3543" s="15" t="s">
        <v>25</v>
      </c>
      <c r="K3543" s="9">
        <v>4</v>
      </c>
      <c r="L3543" s="16" t="s">
        <v>26</v>
      </c>
      <c r="M3543" s="16">
        <f t="shared" si="333"/>
        <v>-1.489739181765348</v>
      </c>
      <c r="N3543">
        <f t="shared" si="334"/>
        <v>0</v>
      </c>
      <c r="O3543">
        <f t="shared" si="335"/>
        <v>0</v>
      </c>
      <c r="P3543">
        <f t="shared" si="332"/>
        <v>3600</v>
      </c>
      <c r="Q3543">
        <f t="shared" si="336"/>
        <v>3600</v>
      </c>
      <c r="T3543" s="16">
        <f t="shared" si="337"/>
        <v>-1.4897391817653485</v>
      </c>
    </row>
    <row r="3544" spans="7:20" ht="14.4" x14ac:dyDescent="0.25">
      <c r="G3544" s="10">
        <v>689</v>
      </c>
      <c r="H3544" s="9">
        <v>4800</v>
      </c>
      <c r="I3544" s="14">
        <f>DATE(2012,12,31)-361</f>
        <v>40913</v>
      </c>
      <c r="J3544" s="15" t="s">
        <v>25</v>
      </c>
      <c r="K3544" s="9">
        <v>17</v>
      </c>
      <c r="L3544" s="16" t="s">
        <v>26</v>
      </c>
      <c r="M3544" s="16">
        <f t="shared" si="333"/>
        <v>-0.59196208571546938</v>
      </c>
      <c r="N3544">
        <f t="shared" si="334"/>
        <v>0</v>
      </c>
      <c r="O3544">
        <f t="shared" si="335"/>
        <v>0</v>
      </c>
      <c r="P3544">
        <f t="shared" si="332"/>
        <v>4250</v>
      </c>
      <c r="Q3544">
        <f t="shared" si="336"/>
        <v>4250</v>
      </c>
      <c r="T3544" s="16">
        <f t="shared" si="337"/>
        <v>-0.59196208571546971</v>
      </c>
    </row>
    <row r="3545" spans="7:20" ht="14.4" x14ac:dyDescent="0.25">
      <c r="G3545" s="10">
        <v>690</v>
      </c>
      <c r="H3545" s="9">
        <v>4800</v>
      </c>
      <c r="I3545" s="14">
        <f>DATE(2012,12,31)-361</f>
        <v>40913</v>
      </c>
      <c r="J3545" s="15" t="s">
        <v>25</v>
      </c>
      <c r="K3545" s="9">
        <v>7</v>
      </c>
      <c r="L3545" s="16" t="s">
        <v>26</v>
      </c>
      <c r="M3545" s="16">
        <f t="shared" si="333"/>
        <v>-1.2825598519076837</v>
      </c>
      <c r="N3545">
        <f t="shared" si="334"/>
        <v>0</v>
      </c>
      <c r="O3545">
        <f t="shared" si="335"/>
        <v>0</v>
      </c>
      <c r="P3545">
        <f t="shared" si="332"/>
        <v>3750</v>
      </c>
      <c r="Q3545">
        <f t="shared" si="336"/>
        <v>3750</v>
      </c>
      <c r="T3545" s="16">
        <f t="shared" si="337"/>
        <v>-1.2825598519076842</v>
      </c>
    </row>
    <row r="3546" spans="7:20" ht="14.4" x14ac:dyDescent="0.25">
      <c r="G3546" s="10">
        <v>778</v>
      </c>
      <c r="H3546" s="9">
        <v>5543</v>
      </c>
      <c r="I3546" s="14">
        <f>DATE(2012,12,31)-829</f>
        <v>40445</v>
      </c>
      <c r="J3546" s="15" t="s">
        <v>16</v>
      </c>
      <c r="K3546" s="9">
        <v>15</v>
      </c>
      <c r="L3546" s="16" t="s">
        <v>26</v>
      </c>
      <c r="M3546" s="16">
        <f t="shared" si="333"/>
        <v>-0.7300816389539122</v>
      </c>
      <c r="N3546">
        <f t="shared" si="334"/>
        <v>0</v>
      </c>
      <c r="O3546">
        <f t="shared" si="335"/>
        <v>0</v>
      </c>
      <c r="P3546">
        <f t="shared" si="332"/>
        <v>4150</v>
      </c>
      <c r="Q3546">
        <f t="shared" si="336"/>
        <v>4150</v>
      </c>
      <c r="T3546" s="16">
        <f t="shared" si="337"/>
        <v>-0.73008163895391265</v>
      </c>
    </row>
    <row r="3547" spans="7:20" ht="14.4" x14ac:dyDescent="0.25">
      <c r="G3547" s="10">
        <v>779</v>
      </c>
      <c r="H3547" s="9">
        <v>5543</v>
      </c>
      <c r="I3547" s="14">
        <f>DATE(2012,12,31)-829</f>
        <v>40445</v>
      </c>
      <c r="J3547" s="15" t="s">
        <v>16</v>
      </c>
      <c r="K3547" s="9">
        <v>6</v>
      </c>
      <c r="L3547" s="16" t="s">
        <v>26</v>
      </c>
      <c r="M3547" s="16">
        <f t="shared" si="333"/>
        <v>-1.3516196285269051</v>
      </c>
      <c r="N3547">
        <f t="shared" si="334"/>
        <v>0</v>
      </c>
      <c r="O3547">
        <f t="shared" si="335"/>
        <v>0</v>
      </c>
      <c r="P3547">
        <f t="shared" si="332"/>
        <v>3700</v>
      </c>
      <c r="Q3547">
        <f t="shared" si="336"/>
        <v>3700</v>
      </c>
      <c r="T3547" s="16">
        <f t="shared" si="337"/>
        <v>-1.3516196285269055</v>
      </c>
    </row>
    <row r="3548" spans="7:20" ht="14.4" x14ac:dyDescent="0.25">
      <c r="G3548" s="10">
        <v>780</v>
      </c>
      <c r="H3548" s="9">
        <v>5543</v>
      </c>
      <c r="I3548" s="14">
        <f>DATE(2012,12,31)-829</f>
        <v>40445</v>
      </c>
      <c r="J3548" s="15" t="s">
        <v>16</v>
      </c>
      <c r="K3548" s="9">
        <v>27</v>
      </c>
      <c r="L3548" s="16" t="s">
        <v>26</v>
      </c>
      <c r="M3548" s="16">
        <f t="shared" si="333"/>
        <v>9.8635680476745008E-2</v>
      </c>
      <c r="N3548">
        <f t="shared" si="334"/>
        <v>0</v>
      </c>
      <c r="O3548">
        <f t="shared" si="335"/>
        <v>0</v>
      </c>
      <c r="P3548">
        <f t="shared" si="332"/>
        <v>4750</v>
      </c>
      <c r="Q3548">
        <f t="shared" si="336"/>
        <v>4750</v>
      </c>
      <c r="T3548" s="16">
        <f t="shared" si="337"/>
        <v>9.8635680476744619E-2</v>
      </c>
    </row>
    <row r="3549" spans="7:20" ht="14.4" x14ac:dyDescent="0.25">
      <c r="G3549" s="10">
        <v>789</v>
      </c>
      <c r="H3549" s="9">
        <v>5636</v>
      </c>
      <c r="I3549" s="14">
        <f>DATE(2012,12,31)-685</f>
        <v>40589</v>
      </c>
      <c r="J3549" s="15" t="s">
        <v>16</v>
      </c>
      <c r="K3549" s="9">
        <v>23</v>
      </c>
      <c r="L3549" s="16" t="s">
        <v>26</v>
      </c>
      <c r="M3549" s="16">
        <f t="shared" si="333"/>
        <v>-0.17760342600014073</v>
      </c>
      <c r="N3549">
        <f t="shared" si="334"/>
        <v>0</v>
      </c>
      <c r="O3549">
        <f t="shared" si="335"/>
        <v>0</v>
      </c>
      <c r="P3549">
        <f t="shared" si="332"/>
        <v>4550</v>
      </c>
      <c r="Q3549">
        <f t="shared" si="336"/>
        <v>4550</v>
      </c>
      <c r="T3549" s="16">
        <f t="shared" si="337"/>
        <v>-0.17760342600014112</v>
      </c>
    </row>
    <row r="3550" spans="7:20" ht="14.4" x14ac:dyDescent="0.25">
      <c r="G3550" s="10">
        <v>843</v>
      </c>
      <c r="H3550" s="9">
        <v>6050</v>
      </c>
      <c r="I3550" s="14">
        <f>DATE(2012,12,31)-1009</f>
        <v>40265</v>
      </c>
      <c r="J3550" s="15" t="s">
        <v>25</v>
      </c>
      <c r="K3550" s="9">
        <v>3</v>
      </c>
      <c r="L3550" s="16" t="s">
        <v>27</v>
      </c>
      <c r="M3550" s="16">
        <f t="shared" si="333"/>
        <v>-1.5587989583845694</v>
      </c>
      <c r="N3550">
        <f t="shared" si="334"/>
        <v>0</v>
      </c>
      <c r="O3550">
        <f t="shared" si="335"/>
        <v>0</v>
      </c>
      <c r="P3550">
        <f t="shared" si="332"/>
        <v>3550</v>
      </c>
      <c r="Q3550">
        <f t="shared" si="336"/>
        <v>3550</v>
      </c>
      <c r="T3550" s="16">
        <f t="shared" si="337"/>
        <v>-1.5587989583845698</v>
      </c>
    </row>
    <row r="3551" spans="7:20" ht="14.4" x14ac:dyDescent="0.25">
      <c r="G3551" s="10">
        <v>844</v>
      </c>
      <c r="H3551" s="9">
        <v>6050</v>
      </c>
      <c r="I3551" s="14">
        <f>DATE(2012,12,31)-1009</f>
        <v>40265</v>
      </c>
      <c r="J3551" s="15" t="s">
        <v>25</v>
      </c>
      <c r="K3551" s="9">
        <v>47</v>
      </c>
      <c r="L3551" s="16" t="s">
        <v>29</v>
      </c>
      <c r="M3551" s="16">
        <f t="shared" si="333"/>
        <v>1.4798312128611737</v>
      </c>
      <c r="N3551">
        <f t="shared" si="334"/>
        <v>0</v>
      </c>
      <c r="O3551">
        <f t="shared" si="335"/>
        <v>0</v>
      </c>
      <c r="P3551">
        <f t="shared" si="332"/>
        <v>5750</v>
      </c>
      <c r="Q3551">
        <f t="shared" si="336"/>
        <v>5750</v>
      </c>
      <c r="T3551" s="16">
        <f t="shared" si="337"/>
        <v>1.4798312128611733</v>
      </c>
    </row>
    <row r="3552" spans="7:20" ht="14.4" x14ac:dyDescent="0.25">
      <c r="G3552" s="10">
        <v>857</v>
      </c>
      <c r="H3552" s="9">
        <v>6148</v>
      </c>
      <c r="I3552" s="14">
        <f>DATE(2012,12,31)-373</f>
        <v>40901</v>
      </c>
      <c r="J3552" s="15" t="s">
        <v>16</v>
      </c>
      <c r="K3552" s="9">
        <v>50</v>
      </c>
      <c r="L3552" s="16" t="s">
        <v>29</v>
      </c>
      <c r="M3552" s="16">
        <f t="shared" si="333"/>
        <v>1.687010542718838</v>
      </c>
      <c r="N3552">
        <f t="shared" si="334"/>
        <v>0</v>
      </c>
      <c r="O3552">
        <f t="shared" si="335"/>
        <v>0</v>
      </c>
      <c r="P3552">
        <f t="shared" si="332"/>
        <v>5900</v>
      </c>
      <c r="Q3552">
        <f t="shared" si="336"/>
        <v>5900</v>
      </c>
      <c r="T3552" s="16">
        <f t="shared" si="337"/>
        <v>1.6870105427188375</v>
      </c>
    </row>
    <row r="3553" spans="7:20" ht="14.4" x14ac:dyDescent="0.25">
      <c r="G3553" s="10">
        <v>858</v>
      </c>
      <c r="H3553" s="9">
        <v>6148</v>
      </c>
      <c r="I3553" s="14">
        <f>DATE(2012,12,31)-373</f>
        <v>40901</v>
      </c>
      <c r="J3553" s="15" t="s">
        <v>16</v>
      </c>
      <c r="K3553" s="9">
        <v>18</v>
      </c>
      <c r="L3553" s="16" t="s">
        <v>29</v>
      </c>
      <c r="M3553" s="16">
        <f t="shared" si="333"/>
        <v>-0.52290230909624791</v>
      </c>
      <c r="N3553">
        <f t="shared" si="334"/>
        <v>0</v>
      </c>
      <c r="O3553">
        <f t="shared" si="335"/>
        <v>0</v>
      </c>
      <c r="P3553">
        <f t="shared" si="332"/>
        <v>4300</v>
      </c>
      <c r="Q3553">
        <f t="shared" si="336"/>
        <v>4300</v>
      </c>
      <c r="T3553" s="16">
        <f t="shared" si="337"/>
        <v>-0.52290230909624835</v>
      </c>
    </row>
    <row r="3554" spans="7:20" ht="14.4" x14ac:dyDescent="0.25">
      <c r="G3554" s="10">
        <v>930</v>
      </c>
      <c r="H3554" s="9">
        <v>6727</v>
      </c>
      <c r="I3554" s="14">
        <f>DATE(2012,12,31)-1220</f>
        <v>40054</v>
      </c>
      <c r="J3554" s="15" t="s">
        <v>25</v>
      </c>
      <c r="K3554" s="9">
        <v>12</v>
      </c>
      <c r="L3554" s="16" t="s">
        <v>26</v>
      </c>
      <c r="M3554" s="16">
        <f t="shared" si="333"/>
        <v>-0.9372609688115765</v>
      </c>
      <c r="N3554">
        <f t="shared" si="334"/>
        <v>0</v>
      </c>
      <c r="O3554">
        <f t="shared" si="335"/>
        <v>0</v>
      </c>
      <c r="P3554">
        <f t="shared" si="332"/>
        <v>4000</v>
      </c>
      <c r="Q3554">
        <f t="shared" si="336"/>
        <v>4000</v>
      </c>
      <c r="T3554" s="16">
        <f t="shared" si="337"/>
        <v>-0.93726096881157694</v>
      </c>
    </row>
    <row r="3555" spans="7:20" ht="14.4" x14ac:dyDescent="0.25">
      <c r="G3555" s="10">
        <v>979</v>
      </c>
      <c r="H3555" s="9">
        <v>7079</v>
      </c>
      <c r="I3555" s="14">
        <f>DATE(2012,12,31)-1057</f>
        <v>40217</v>
      </c>
      <c r="J3555" s="15" t="s">
        <v>16</v>
      </c>
      <c r="K3555" s="9">
        <v>44</v>
      </c>
      <c r="L3555" s="16" t="s">
        <v>29</v>
      </c>
      <c r="M3555" s="16">
        <f t="shared" si="333"/>
        <v>1.2726518830035094</v>
      </c>
      <c r="N3555">
        <f t="shared" si="334"/>
        <v>0</v>
      </c>
      <c r="O3555">
        <f t="shared" si="335"/>
        <v>0</v>
      </c>
      <c r="P3555">
        <f t="shared" si="332"/>
        <v>5600</v>
      </c>
      <c r="Q3555">
        <f t="shared" si="336"/>
        <v>5600</v>
      </c>
      <c r="T3555" s="16">
        <f t="shared" si="337"/>
        <v>1.272651883003509</v>
      </c>
    </row>
    <row r="3556" spans="7:20" ht="14.4" x14ac:dyDescent="0.25">
      <c r="G3556" s="10">
        <v>980</v>
      </c>
      <c r="H3556" s="9">
        <v>7079</v>
      </c>
      <c r="I3556" s="14">
        <f>DATE(2012,12,31)-1057</f>
        <v>40217</v>
      </c>
      <c r="J3556" s="15" t="s">
        <v>16</v>
      </c>
      <c r="K3556" s="9">
        <v>18</v>
      </c>
      <c r="L3556" s="16" t="s">
        <v>26</v>
      </c>
      <c r="M3556" s="16">
        <f t="shared" si="333"/>
        <v>-0.52290230909624791</v>
      </c>
      <c r="N3556">
        <f t="shared" si="334"/>
        <v>0</v>
      </c>
      <c r="O3556">
        <f t="shared" si="335"/>
        <v>0</v>
      </c>
      <c r="P3556">
        <f t="shared" si="332"/>
        <v>4300</v>
      </c>
      <c r="Q3556">
        <f t="shared" si="336"/>
        <v>4300</v>
      </c>
      <c r="T3556" s="16">
        <f t="shared" si="337"/>
        <v>-0.52290230909624835</v>
      </c>
    </row>
    <row r="3557" spans="7:20" ht="14.4" x14ac:dyDescent="0.25">
      <c r="G3557" s="10">
        <v>1005</v>
      </c>
      <c r="H3557" s="9">
        <v>7301</v>
      </c>
      <c r="I3557" s="14">
        <f>DATE(2012,12,31)-734</f>
        <v>40540</v>
      </c>
      <c r="J3557" s="15" t="s">
        <v>25</v>
      </c>
      <c r="K3557" s="9">
        <v>17</v>
      </c>
      <c r="L3557" s="16" t="s">
        <v>27</v>
      </c>
      <c r="M3557" s="16">
        <f t="shared" si="333"/>
        <v>-0.59196208571546938</v>
      </c>
      <c r="N3557">
        <f t="shared" si="334"/>
        <v>0</v>
      </c>
      <c r="O3557">
        <f t="shared" si="335"/>
        <v>0</v>
      </c>
      <c r="P3557">
        <f t="shared" si="332"/>
        <v>4250</v>
      </c>
      <c r="Q3557">
        <f t="shared" si="336"/>
        <v>4250</v>
      </c>
      <c r="T3557" s="16">
        <f t="shared" si="337"/>
        <v>-0.59196208571546971</v>
      </c>
    </row>
    <row r="3558" spans="7:20" ht="14.4" x14ac:dyDescent="0.25">
      <c r="G3558" s="10">
        <v>1041</v>
      </c>
      <c r="H3558" s="9">
        <v>7623</v>
      </c>
      <c r="I3558" s="14">
        <f>DATE(2012,12,31)-1160</f>
        <v>40114</v>
      </c>
      <c r="J3558" s="15" t="s">
        <v>30</v>
      </c>
      <c r="K3558" s="9">
        <v>18</v>
      </c>
      <c r="L3558" s="16" t="s">
        <v>26</v>
      </c>
      <c r="M3558" s="16">
        <f t="shared" si="333"/>
        <v>-0.52290230909624791</v>
      </c>
      <c r="N3558">
        <f t="shared" si="334"/>
        <v>0</v>
      </c>
      <c r="O3558">
        <f t="shared" si="335"/>
        <v>0</v>
      </c>
      <c r="P3558">
        <f t="shared" si="332"/>
        <v>4300</v>
      </c>
      <c r="Q3558">
        <f t="shared" si="336"/>
        <v>4300</v>
      </c>
      <c r="T3558" s="16">
        <f t="shared" si="337"/>
        <v>-0.52290230909624835</v>
      </c>
    </row>
    <row r="3559" spans="7:20" ht="14.4" x14ac:dyDescent="0.25">
      <c r="G3559" s="10">
        <v>1042</v>
      </c>
      <c r="H3559" s="9">
        <v>7623</v>
      </c>
      <c r="I3559" s="14">
        <f>DATE(2012,12,31)-1160</f>
        <v>40114</v>
      </c>
      <c r="J3559" s="15" t="s">
        <v>30</v>
      </c>
      <c r="K3559" s="9">
        <v>37</v>
      </c>
      <c r="L3559" s="16" t="s">
        <v>27</v>
      </c>
      <c r="M3559" s="16">
        <f t="shared" si="333"/>
        <v>0.78923344666895934</v>
      </c>
      <c r="N3559">
        <f t="shared" si="334"/>
        <v>0</v>
      </c>
      <c r="O3559">
        <f t="shared" si="335"/>
        <v>0</v>
      </c>
      <c r="P3559">
        <f t="shared" si="332"/>
        <v>5250</v>
      </c>
      <c r="Q3559">
        <f t="shared" si="336"/>
        <v>5250</v>
      </c>
      <c r="T3559" s="16">
        <f t="shared" si="337"/>
        <v>0.789233446668959</v>
      </c>
    </row>
    <row r="3560" spans="7:20" ht="14.4" x14ac:dyDescent="0.25">
      <c r="G3560" s="10">
        <v>1043</v>
      </c>
      <c r="H3560" s="9">
        <v>7623</v>
      </c>
      <c r="I3560" s="14">
        <f>DATE(2012,12,31)-1160</f>
        <v>40114</v>
      </c>
      <c r="J3560" s="15" t="s">
        <v>30</v>
      </c>
      <c r="K3560" s="9">
        <v>32</v>
      </c>
      <c r="L3560" s="16" t="s">
        <v>26</v>
      </c>
      <c r="M3560" s="16">
        <f t="shared" si="333"/>
        <v>0.44393456357285216</v>
      </c>
      <c r="N3560">
        <f t="shared" si="334"/>
        <v>0</v>
      </c>
      <c r="O3560">
        <f t="shared" si="335"/>
        <v>0</v>
      </c>
      <c r="P3560">
        <f t="shared" si="332"/>
        <v>5000</v>
      </c>
      <c r="Q3560">
        <f t="shared" si="336"/>
        <v>5000</v>
      </c>
      <c r="T3560" s="16">
        <f t="shared" si="337"/>
        <v>0.44393456357285183</v>
      </c>
    </row>
    <row r="3561" spans="7:20" ht="14.4" x14ac:dyDescent="0.25">
      <c r="G3561" s="10">
        <v>1084</v>
      </c>
      <c r="H3561" s="9">
        <v>8000</v>
      </c>
      <c r="I3561" s="14">
        <f>DATE(2012,12,31)-834</f>
        <v>40440</v>
      </c>
      <c r="J3561" s="15" t="s">
        <v>25</v>
      </c>
      <c r="K3561" s="9">
        <v>10</v>
      </c>
      <c r="L3561" s="16" t="s">
        <v>26</v>
      </c>
      <c r="M3561" s="16">
        <f t="shared" si="333"/>
        <v>-1.0753805220500194</v>
      </c>
      <c r="N3561">
        <f t="shared" si="334"/>
        <v>0</v>
      </c>
      <c r="O3561">
        <f t="shared" si="335"/>
        <v>0</v>
      </c>
      <c r="P3561">
        <f t="shared" si="332"/>
        <v>3900</v>
      </c>
      <c r="Q3561">
        <f t="shared" si="336"/>
        <v>3900</v>
      </c>
      <c r="T3561" s="16">
        <f t="shared" si="337"/>
        <v>-1.0753805220500199</v>
      </c>
    </row>
    <row r="3562" spans="7:20" ht="14.4" x14ac:dyDescent="0.25">
      <c r="G3562" s="10">
        <v>1085</v>
      </c>
      <c r="H3562" s="9">
        <v>8000</v>
      </c>
      <c r="I3562" s="14">
        <f>DATE(2012,12,31)-834</f>
        <v>40440</v>
      </c>
      <c r="J3562" s="15" t="s">
        <v>25</v>
      </c>
      <c r="K3562" s="9">
        <v>1</v>
      </c>
      <c r="L3562" s="16" t="s">
        <v>26</v>
      </c>
      <c r="M3562" s="16">
        <f t="shared" si="333"/>
        <v>-1.6969185116230123</v>
      </c>
      <c r="N3562">
        <f t="shared" si="334"/>
        <v>0</v>
      </c>
      <c r="O3562">
        <f t="shared" si="335"/>
        <v>0</v>
      </c>
      <c r="P3562">
        <f t="shared" si="332"/>
        <v>3450</v>
      </c>
      <c r="Q3562">
        <f t="shared" si="336"/>
        <v>3450</v>
      </c>
      <c r="T3562" s="16">
        <f t="shared" si="337"/>
        <v>-1.6969185116230128</v>
      </c>
    </row>
    <row r="3563" spans="7:20" ht="14.4" x14ac:dyDescent="0.25">
      <c r="G3563" s="10">
        <v>1097</v>
      </c>
      <c r="H3563" s="9">
        <v>8039</v>
      </c>
      <c r="I3563" s="14">
        <f>DATE(2012,12,31)-130</f>
        <v>41144</v>
      </c>
      <c r="J3563" s="15" t="s">
        <v>16</v>
      </c>
      <c r="K3563" s="9">
        <v>37</v>
      </c>
      <c r="L3563" s="16" t="s">
        <v>26</v>
      </c>
      <c r="M3563" s="16">
        <f t="shared" si="333"/>
        <v>0.78923344666895934</v>
      </c>
      <c r="N3563">
        <f t="shared" si="334"/>
        <v>0</v>
      </c>
      <c r="O3563">
        <f t="shared" si="335"/>
        <v>0</v>
      </c>
      <c r="P3563">
        <f t="shared" si="332"/>
        <v>5250</v>
      </c>
      <c r="Q3563">
        <f t="shared" si="336"/>
        <v>5250</v>
      </c>
      <c r="T3563" s="16">
        <f t="shared" si="337"/>
        <v>0.789233446668959</v>
      </c>
    </row>
    <row r="3564" spans="7:20" ht="14.4" x14ac:dyDescent="0.25">
      <c r="G3564" s="10">
        <v>1112</v>
      </c>
      <c r="H3564" s="9">
        <v>8162</v>
      </c>
      <c r="I3564" s="14">
        <f>DATE(2012,12,31)-1181</f>
        <v>40093</v>
      </c>
      <c r="J3564" s="15" t="s">
        <v>16</v>
      </c>
      <c r="K3564" s="9">
        <v>25</v>
      </c>
      <c r="L3564" s="16" t="s">
        <v>27</v>
      </c>
      <c r="M3564" s="16">
        <f t="shared" si="333"/>
        <v>-3.9483872761697868E-2</v>
      </c>
      <c r="N3564">
        <f t="shared" si="334"/>
        <v>0</v>
      </c>
      <c r="O3564">
        <f t="shared" si="335"/>
        <v>0</v>
      </c>
      <c r="P3564">
        <f t="shared" si="332"/>
        <v>4650</v>
      </c>
      <c r="Q3564">
        <f t="shared" si="336"/>
        <v>4650</v>
      </c>
      <c r="T3564" s="16">
        <f t="shared" si="337"/>
        <v>-3.9483872761698249E-2</v>
      </c>
    </row>
    <row r="3565" spans="7:20" ht="14.4" x14ac:dyDescent="0.25">
      <c r="G3565" s="10">
        <v>1113</v>
      </c>
      <c r="H3565" s="9">
        <v>8162</v>
      </c>
      <c r="I3565" s="14">
        <f>DATE(2012,12,31)-1181</f>
        <v>40093</v>
      </c>
      <c r="J3565" s="15" t="s">
        <v>16</v>
      </c>
      <c r="K3565" s="9">
        <v>32</v>
      </c>
      <c r="L3565" s="16" t="s">
        <v>27</v>
      </c>
      <c r="M3565" s="16">
        <f t="shared" si="333"/>
        <v>0.44393456357285216</v>
      </c>
      <c r="N3565">
        <f t="shared" si="334"/>
        <v>0</v>
      </c>
      <c r="O3565">
        <f t="shared" si="335"/>
        <v>0</v>
      </c>
      <c r="P3565">
        <f t="shared" si="332"/>
        <v>5000</v>
      </c>
      <c r="Q3565">
        <f t="shared" si="336"/>
        <v>5000</v>
      </c>
      <c r="T3565" s="16">
        <f t="shared" si="337"/>
        <v>0.44393456357285183</v>
      </c>
    </row>
    <row r="3566" spans="7:20" ht="14.4" x14ac:dyDescent="0.25">
      <c r="G3566" s="10">
        <v>1114</v>
      </c>
      <c r="H3566" s="9">
        <v>8162</v>
      </c>
      <c r="I3566" s="14">
        <f>DATE(2012,12,31)-1181</f>
        <v>40093</v>
      </c>
      <c r="J3566" s="15" t="s">
        <v>16</v>
      </c>
      <c r="K3566" s="9">
        <v>42</v>
      </c>
      <c r="L3566" s="16" t="s">
        <v>26</v>
      </c>
      <c r="M3566" s="16">
        <f t="shared" si="333"/>
        <v>1.1345323297650665</v>
      </c>
      <c r="N3566">
        <f t="shared" si="334"/>
        <v>0</v>
      </c>
      <c r="O3566">
        <f t="shared" si="335"/>
        <v>0</v>
      </c>
      <c r="P3566">
        <f t="shared" si="332"/>
        <v>5500</v>
      </c>
      <c r="Q3566">
        <f t="shared" si="336"/>
        <v>5500</v>
      </c>
      <c r="T3566" s="16">
        <f t="shared" si="337"/>
        <v>1.1345323297650662</v>
      </c>
    </row>
    <row r="3567" spans="7:20" ht="14.4" x14ac:dyDescent="0.25">
      <c r="G3567" s="10">
        <v>1211</v>
      </c>
      <c r="H3567" s="9">
        <v>8870</v>
      </c>
      <c r="I3567" s="14">
        <f>DATE(2012,12,31)-1032</f>
        <v>40242</v>
      </c>
      <c r="J3567" s="15" t="s">
        <v>28</v>
      </c>
      <c r="K3567" s="9">
        <v>15</v>
      </c>
      <c r="L3567" s="16" t="s">
        <v>26</v>
      </c>
      <c r="M3567" s="16">
        <f t="shared" si="333"/>
        <v>-0.7300816389539122</v>
      </c>
      <c r="N3567">
        <f t="shared" si="334"/>
        <v>0</v>
      </c>
      <c r="O3567">
        <f t="shared" si="335"/>
        <v>0</v>
      </c>
      <c r="P3567">
        <f t="shared" si="332"/>
        <v>4150</v>
      </c>
      <c r="Q3567">
        <f t="shared" si="336"/>
        <v>4150</v>
      </c>
      <c r="T3567" s="16">
        <f t="shared" si="337"/>
        <v>-0.73008163895391265</v>
      </c>
    </row>
    <row r="3568" spans="7:20" ht="14.4" x14ac:dyDescent="0.25">
      <c r="G3568" s="10">
        <v>1275</v>
      </c>
      <c r="H3568" s="9">
        <v>9253</v>
      </c>
      <c r="I3568" s="14">
        <f>DATE(2012,12,31)-336</f>
        <v>40938</v>
      </c>
      <c r="J3568" s="15" t="s">
        <v>30</v>
      </c>
      <c r="K3568" s="9">
        <v>36</v>
      </c>
      <c r="L3568" s="16" t="s">
        <v>29</v>
      </c>
      <c r="M3568" s="16">
        <f t="shared" si="333"/>
        <v>0.72017367004973787</v>
      </c>
      <c r="N3568">
        <f t="shared" si="334"/>
        <v>0</v>
      </c>
      <c r="O3568">
        <f t="shared" si="335"/>
        <v>0</v>
      </c>
      <c r="P3568">
        <f t="shared" si="332"/>
        <v>5200</v>
      </c>
      <c r="Q3568">
        <f t="shared" si="336"/>
        <v>5200</v>
      </c>
      <c r="T3568" s="16">
        <f t="shared" si="337"/>
        <v>0.72017367004973754</v>
      </c>
    </row>
    <row r="3569" spans="7:20" ht="14.4" x14ac:dyDescent="0.25">
      <c r="G3569" s="10">
        <v>1490</v>
      </c>
      <c r="H3569" s="9">
        <v>10722</v>
      </c>
      <c r="I3569" s="14">
        <f>DATE(2012,12,31)-712</f>
        <v>40562</v>
      </c>
      <c r="J3569" s="15" t="s">
        <v>28</v>
      </c>
      <c r="K3569" s="9">
        <v>8</v>
      </c>
      <c r="L3569" s="16" t="s">
        <v>26</v>
      </c>
      <c r="M3569" s="16">
        <f t="shared" si="333"/>
        <v>-1.2135000752884624</v>
      </c>
      <c r="N3569">
        <f t="shared" si="334"/>
        <v>0</v>
      </c>
      <c r="O3569">
        <f t="shared" si="335"/>
        <v>0</v>
      </c>
      <c r="P3569">
        <f t="shared" si="332"/>
        <v>3800</v>
      </c>
      <c r="Q3569">
        <f t="shared" si="336"/>
        <v>3800</v>
      </c>
      <c r="T3569" s="16">
        <f t="shared" si="337"/>
        <v>-1.2135000752884626</v>
      </c>
    </row>
    <row r="3570" spans="7:20" ht="14.4" x14ac:dyDescent="0.25">
      <c r="G3570" s="10">
        <v>1595</v>
      </c>
      <c r="H3570" s="9">
        <v>11527</v>
      </c>
      <c r="I3570" s="14">
        <f>DATE(2012,12,31)-1278</f>
        <v>39996</v>
      </c>
      <c r="J3570" s="15" t="s">
        <v>16</v>
      </c>
      <c r="K3570" s="9">
        <v>45</v>
      </c>
      <c r="L3570" s="16" t="s">
        <v>29</v>
      </c>
      <c r="M3570" s="16">
        <f t="shared" si="333"/>
        <v>1.3417116596227308</v>
      </c>
      <c r="N3570">
        <f t="shared" si="334"/>
        <v>0</v>
      </c>
      <c r="O3570">
        <f t="shared" si="335"/>
        <v>0</v>
      </c>
      <c r="P3570">
        <f t="shared" si="332"/>
        <v>5650</v>
      </c>
      <c r="Q3570">
        <f t="shared" si="336"/>
        <v>5650</v>
      </c>
      <c r="T3570" s="16">
        <f t="shared" si="337"/>
        <v>1.3417116596227305</v>
      </c>
    </row>
    <row r="3571" spans="7:20" ht="14.4" x14ac:dyDescent="0.25">
      <c r="G3571" s="10">
        <v>1613</v>
      </c>
      <c r="H3571" s="9">
        <v>11683</v>
      </c>
      <c r="I3571" s="14">
        <f>DATE(2012,12,31)-328</f>
        <v>40946</v>
      </c>
      <c r="J3571" s="15" t="s">
        <v>28</v>
      </c>
      <c r="K3571" s="9">
        <v>28</v>
      </c>
      <c r="L3571" s="16" t="s">
        <v>27</v>
      </c>
      <c r="M3571" s="16">
        <f t="shared" si="333"/>
        <v>0.16769545709596645</v>
      </c>
      <c r="N3571">
        <f t="shared" si="334"/>
        <v>0</v>
      </c>
      <c r="O3571">
        <f t="shared" si="335"/>
        <v>0</v>
      </c>
      <c r="P3571">
        <f t="shared" si="332"/>
        <v>4800</v>
      </c>
      <c r="Q3571">
        <f t="shared" si="336"/>
        <v>4800</v>
      </c>
      <c r="T3571" s="16">
        <f t="shared" si="337"/>
        <v>0.16769545709596606</v>
      </c>
    </row>
    <row r="3572" spans="7:20" ht="14.4" x14ac:dyDescent="0.25">
      <c r="G3572" s="10">
        <v>1730</v>
      </c>
      <c r="H3572" s="9">
        <v>12448</v>
      </c>
      <c r="I3572" s="14">
        <f>DATE(2012,12,31)-419</f>
        <v>40855</v>
      </c>
      <c r="J3572" s="15" t="s">
        <v>30</v>
      </c>
      <c r="K3572" s="9">
        <v>33</v>
      </c>
      <c r="L3572" s="16" t="s">
        <v>26</v>
      </c>
      <c r="M3572" s="16">
        <f t="shared" si="333"/>
        <v>0.51299434019207357</v>
      </c>
      <c r="N3572">
        <f t="shared" si="334"/>
        <v>0</v>
      </c>
      <c r="O3572">
        <f t="shared" si="335"/>
        <v>0</v>
      </c>
      <c r="P3572">
        <f t="shared" si="332"/>
        <v>5050</v>
      </c>
      <c r="Q3572">
        <f t="shared" si="336"/>
        <v>5050</v>
      </c>
      <c r="T3572" s="16">
        <f t="shared" si="337"/>
        <v>0.51299434019207324</v>
      </c>
    </row>
    <row r="3573" spans="7:20" ht="14.4" x14ac:dyDescent="0.25">
      <c r="G3573" s="10">
        <v>1731</v>
      </c>
      <c r="H3573" s="9">
        <v>12448</v>
      </c>
      <c r="I3573" s="14">
        <f>DATE(2012,12,31)-419</f>
        <v>40855</v>
      </c>
      <c r="J3573" s="15" t="s">
        <v>30</v>
      </c>
      <c r="K3573" s="9">
        <v>24</v>
      </c>
      <c r="L3573" s="16" t="s">
        <v>29</v>
      </c>
      <c r="M3573" s="16">
        <f t="shared" si="333"/>
        <v>-0.1085436493809193</v>
      </c>
      <c r="N3573">
        <f t="shared" si="334"/>
        <v>0</v>
      </c>
      <c r="O3573">
        <f t="shared" si="335"/>
        <v>0</v>
      </c>
      <c r="P3573">
        <f t="shared" si="332"/>
        <v>4600</v>
      </c>
      <c r="Q3573">
        <f t="shared" si="336"/>
        <v>4600</v>
      </c>
      <c r="T3573" s="16">
        <f t="shared" si="337"/>
        <v>-0.10854364938091969</v>
      </c>
    </row>
    <row r="3574" spans="7:20" ht="14.4" x14ac:dyDescent="0.25">
      <c r="G3574" s="10">
        <v>1816</v>
      </c>
      <c r="H3574" s="9">
        <v>13028</v>
      </c>
      <c r="I3574" s="14">
        <f>DATE(2012,12,31)-1363</f>
        <v>39911</v>
      </c>
      <c r="J3574" s="15" t="s">
        <v>30</v>
      </c>
      <c r="K3574" s="9">
        <v>39</v>
      </c>
      <c r="L3574" s="16" t="s">
        <v>26</v>
      </c>
      <c r="M3574" s="16">
        <f t="shared" si="333"/>
        <v>0.92735299990740228</v>
      </c>
      <c r="N3574">
        <f t="shared" si="334"/>
        <v>0</v>
      </c>
      <c r="O3574">
        <f t="shared" si="335"/>
        <v>0</v>
      </c>
      <c r="P3574">
        <f t="shared" si="332"/>
        <v>5350</v>
      </c>
      <c r="Q3574">
        <f t="shared" si="336"/>
        <v>5350</v>
      </c>
      <c r="T3574" s="16">
        <f t="shared" si="337"/>
        <v>0.92735299990740183</v>
      </c>
    </row>
    <row r="3575" spans="7:20" ht="14.4" x14ac:dyDescent="0.25">
      <c r="G3575" s="10">
        <v>1835</v>
      </c>
      <c r="H3575" s="9">
        <v>13156</v>
      </c>
      <c r="I3575" s="14">
        <f>DATE(2012,12,31)-453</f>
        <v>40821</v>
      </c>
      <c r="J3575" s="15" t="s">
        <v>25</v>
      </c>
      <c r="K3575" s="9">
        <v>12</v>
      </c>
      <c r="L3575" s="16" t="s">
        <v>29</v>
      </c>
      <c r="M3575" s="16">
        <f t="shared" si="333"/>
        <v>-0.9372609688115765</v>
      </c>
      <c r="N3575">
        <f t="shared" si="334"/>
        <v>0</v>
      </c>
      <c r="O3575">
        <f t="shared" si="335"/>
        <v>0</v>
      </c>
      <c r="P3575">
        <f t="shared" si="332"/>
        <v>4000</v>
      </c>
      <c r="Q3575">
        <f t="shared" si="336"/>
        <v>4000</v>
      </c>
      <c r="T3575" s="16">
        <f t="shared" si="337"/>
        <v>-0.93726096881157694</v>
      </c>
    </row>
    <row r="3576" spans="7:20" ht="14.4" x14ac:dyDescent="0.25">
      <c r="G3576" s="10">
        <v>1840</v>
      </c>
      <c r="H3576" s="9">
        <v>13252</v>
      </c>
      <c r="I3576" s="14">
        <f>DATE(2012,12,31)-1380</f>
        <v>39894</v>
      </c>
      <c r="J3576" s="15" t="s">
        <v>28</v>
      </c>
      <c r="K3576" s="9">
        <v>44</v>
      </c>
      <c r="L3576" s="16" t="s">
        <v>29</v>
      </c>
      <c r="M3576" s="16">
        <f t="shared" si="333"/>
        <v>1.2726518830035094</v>
      </c>
      <c r="N3576">
        <f t="shared" si="334"/>
        <v>0</v>
      </c>
      <c r="O3576">
        <f t="shared" si="335"/>
        <v>0</v>
      </c>
      <c r="P3576">
        <f t="shared" si="332"/>
        <v>5600</v>
      </c>
      <c r="Q3576">
        <f t="shared" si="336"/>
        <v>5600</v>
      </c>
      <c r="T3576" s="16">
        <f t="shared" si="337"/>
        <v>1.272651883003509</v>
      </c>
    </row>
    <row r="3577" spans="7:20" ht="14.4" x14ac:dyDescent="0.25">
      <c r="G3577" s="10">
        <v>1841</v>
      </c>
      <c r="H3577" s="9">
        <v>13252</v>
      </c>
      <c r="I3577" s="14">
        <f>DATE(2012,12,31)-1380</f>
        <v>39894</v>
      </c>
      <c r="J3577" s="15" t="s">
        <v>28</v>
      </c>
      <c r="K3577" s="9">
        <v>39</v>
      </c>
      <c r="L3577" s="16" t="s">
        <v>27</v>
      </c>
      <c r="M3577" s="16">
        <f t="shared" si="333"/>
        <v>0.92735299990740228</v>
      </c>
      <c r="N3577">
        <f t="shared" si="334"/>
        <v>0</v>
      </c>
      <c r="O3577">
        <f t="shared" si="335"/>
        <v>0</v>
      </c>
      <c r="P3577">
        <f t="shared" si="332"/>
        <v>5350</v>
      </c>
      <c r="Q3577">
        <f t="shared" si="336"/>
        <v>5350</v>
      </c>
      <c r="T3577" s="16">
        <f t="shared" si="337"/>
        <v>0.92735299990740183</v>
      </c>
    </row>
    <row r="3578" spans="7:20" ht="14.4" x14ac:dyDescent="0.25">
      <c r="G3578" s="10">
        <v>1879</v>
      </c>
      <c r="H3578" s="9">
        <v>13540</v>
      </c>
      <c r="I3578" s="14">
        <f>DATE(2012,12,31)-953</f>
        <v>40321</v>
      </c>
      <c r="J3578" s="15" t="s">
        <v>17</v>
      </c>
      <c r="K3578" s="9">
        <v>33</v>
      </c>
      <c r="L3578" s="16" t="s">
        <v>26</v>
      </c>
      <c r="M3578" s="16">
        <f t="shared" si="333"/>
        <v>0.51299434019207357</v>
      </c>
      <c r="N3578">
        <f t="shared" si="334"/>
        <v>0</v>
      </c>
      <c r="O3578">
        <f t="shared" si="335"/>
        <v>0</v>
      </c>
      <c r="P3578">
        <f t="shared" si="332"/>
        <v>5050</v>
      </c>
      <c r="Q3578">
        <f t="shared" si="336"/>
        <v>5050</v>
      </c>
      <c r="T3578" s="16">
        <f t="shared" si="337"/>
        <v>0.51299434019207324</v>
      </c>
    </row>
    <row r="3579" spans="7:20" ht="14.4" x14ac:dyDescent="0.25">
      <c r="G3579" s="10">
        <v>1880</v>
      </c>
      <c r="H3579" s="9">
        <v>13540</v>
      </c>
      <c r="I3579" s="14">
        <f>DATE(2012,12,31)-953</f>
        <v>40321</v>
      </c>
      <c r="J3579" s="15" t="s">
        <v>17</v>
      </c>
      <c r="K3579" s="9">
        <v>27</v>
      </c>
      <c r="L3579" s="16" t="s">
        <v>27</v>
      </c>
      <c r="M3579" s="16">
        <f t="shared" si="333"/>
        <v>9.8635680476745008E-2</v>
      </c>
      <c r="N3579">
        <f t="shared" si="334"/>
        <v>0</v>
      </c>
      <c r="O3579">
        <f t="shared" si="335"/>
        <v>0</v>
      </c>
      <c r="P3579">
        <f t="shared" si="332"/>
        <v>4750</v>
      </c>
      <c r="Q3579">
        <f t="shared" si="336"/>
        <v>4750</v>
      </c>
      <c r="T3579" s="16">
        <f t="shared" si="337"/>
        <v>9.8635680476744619E-2</v>
      </c>
    </row>
    <row r="3580" spans="7:20" ht="14.4" x14ac:dyDescent="0.25">
      <c r="G3580" s="10">
        <v>1968</v>
      </c>
      <c r="H3580" s="9">
        <v>14081</v>
      </c>
      <c r="I3580" s="14">
        <f>DATE(2012,12,31)-817</f>
        <v>40457</v>
      </c>
      <c r="J3580" s="15" t="s">
        <v>17</v>
      </c>
      <c r="K3580" s="9">
        <v>31</v>
      </c>
      <c r="L3580" s="16" t="s">
        <v>29</v>
      </c>
      <c r="M3580" s="16">
        <f t="shared" si="333"/>
        <v>0.37487478695363075</v>
      </c>
      <c r="N3580">
        <f t="shared" si="334"/>
        <v>0</v>
      </c>
      <c r="O3580">
        <f t="shared" si="335"/>
        <v>0</v>
      </c>
      <c r="P3580">
        <f t="shared" si="332"/>
        <v>4950</v>
      </c>
      <c r="Q3580">
        <f t="shared" si="336"/>
        <v>4950</v>
      </c>
      <c r="T3580" s="16">
        <f t="shared" si="337"/>
        <v>0.37487478695363036</v>
      </c>
    </row>
    <row r="3581" spans="7:20" ht="14.4" x14ac:dyDescent="0.25">
      <c r="G3581" s="10">
        <v>1969</v>
      </c>
      <c r="H3581" s="9">
        <v>14086</v>
      </c>
      <c r="I3581" s="14">
        <f>DATE(2012,12,31)-803</f>
        <v>40471</v>
      </c>
      <c r="J3581" s="15" t="s">
        <v>25</v>
      </c>
      <c r="K3581" s="9">
        <v>13</v>
      </c>
      <c r="L3581" s="16" t="s">
        <v>29</v>
      </c>
      <c r="M3581" s="16">
        <f t="shared" si="333"/>
        <v>-0.86820119219235514</v>
      </c>
      <c r="N3581">
        <f t="shared" si="334"/>
        <v>0</v>
      </c>
      <c r="O3581">
        <f t="shared" si="335"/>
        <v>0</v>
      </c>
      <c r="P3581">
        <f t="shared" si="332"/>
        <v>4050</v>
      </c>
      <c r="Q3581">
        <f t="shared" si="336"/>
        <v>4050</v>
      </c>
      <c r="T3581" s="16">
        <f t="shared" si="337"/>
        <v>-0.86820119219235548</v>
      </c>
    </row>
    <row r="3582" spans="7:20" ht="14.4" x14ac:dyDescent="0.25">
      <c r="G3582" s="10">
        <v>1970</v>
      </c>
      <c r="H3582" s="9">
        <v>14086</v>
      </c>
      <c r="I3582" s="14">
        <f>DATE(2012,12,31)-803</f>
        <v>40471</v>
      </c>
      <c r="J3582" s="15" t="s">
        <v>25</v>
      </c>
      <c r="K3582" s="9">
        <v>50</v>
      </c>
      <c r="L3582" s="16" t="s">
        <v>26</v>
      </c>
      <c r="M3582" s="16">
        <f t="shared" si="333"/>
        <v>1.687010542718838</v>
      </c>
      <c r="N3582">
        <f t="shared" si="334"/>
        <v>0</v>
      </c>
      <c r="O3582">
        <f t="shared" si="335"/>
        <v>0</v>
      </c>
      <c r="P3582">
        <f t="shared" si="332"/>
        <v>5900</v>
      </c>
      <c r="Q3582">
        <f t="shared" si="336"/>
        <v>5900</v>
      </c>
      <c r="T3582" s="16">
        <f t="shared" si="337"/>
        <v>1.6870105427188375</v>
      </c>
    </row>
    <row r="3583" spans="7:20" ht="14.4" x14ac:dyDescent="0.25">
      <c r="G3583" s="10">
        <v>2025</v>
      </c>
      <c r="H3583" s="9">
        <v>14435</v>
      </c>
      <c r="I3583" s="14">
        <f>DATE(2012,12,31)-30</f>
        <v>41244</v>
      </c>
      <c r="J3583" s="15" t="s">
        <v>28</v>
      </c>
      <c r="K3583" s="9">
        <v>41</v>
      </c>
      <c r="L3583" s="16" t="s">
        <v>29</v>
      </c>
      <c r="M3583" s="16">
        <f t="shared" si="333"/>
        <v>1.0654725531458451</v>
      </c>
      <c r="N3583">
        <f t="shared" si="334"/>
        <v>0</v>
      </c>
      <c r="O3583">
        <f t="shared" si="335"/>
        <v>0</v>
      </c>
      <c r="P3583">
        <f t="shared" si="332"/>
        <v>5450</v>
      </c>
      <c r="Q3583">
        <f t="shared" si="336"/>
        <v>5450</v>
      </c>
      <c r="T3583" s="16">
        <f t="shared" si="337"/>
        <v>1.0654725531458447</v>
      </c>
    </row>
    <row r="3584" spans="7:20" ht="14.4" x14ac:dyDescent="0.25">
      <c r="G3584" s="10">
        <v>2026</v>
      </c>
      <c r="H3584" s="9">
        <v>14435</v>
      </c>
      <c r="I3584" s="14">
        <f>DATE(2012,12,31)-30</f>
        <v>41244</v>
      </c>
      <c r="J3584" s="15" t="s">
        <v>28</v>
      </c>
      <c r="K3584" s="9">
        <v>9</v>
      </c>
      <c r="L3584" s="16" t="s">
        <v>27</v>
      </c>
      <c r="M3584" s="16">
        <f t="shared" si="333"/>
        <v>-1.1444402986692408</v>
      </c>
      <c r="N3584">
        <f t="shared" si="334"/>
        <v>0</v>
      </c>
      <c r="O3584">
        <f t="shared" si="335"/>
        <v>0</v>
      </c>
      <c r="P3584">
        <f t="shared" si="332"/>
        <v>3850</v>
      </c>
      <c r="Q3584">
        <f t="shared" si="336"/>
        <v>3850</v>
      </c>
      <c r="T3584" s="16">
        <f t="shared" si="337"/>
        <v>-1.1444402986692412</v>
      </c>
    </row>
    <row r="3585" spans="7:20" ht="14.4" x14ac:dyDescent="0.25">
      <c r="G3585" s="10">
        <v>2027</v>
      </c>
      <c r="H3585" s="9">
        <v>14435</v>
      </c>
      <c r="I3585" s="14">
        <f>DATE(2012,12,31)-30</f>
        <v>41244</v>
      </c>
      <c r="J3585" s="15" t="s">
        <v>28</v>
      </c>
      <c r="K3585" s="9">
        <v>44</v>
      </c>
      <c r="L3585" s="16" t="s">
        <v>26</v>
      </c>
      <c r="M3585" s="16">
        <f t="shared" si="333"/>
        <v>1.2726518830035094</v>
      </c>
      <c r="N3585">
        <f t="shared" si="334"/>
        <v>0</v>
      </c>
      <c r="O3585">
        <f t="shared" si="335"/>
        <v>0</v>
      </c>
      <c r="P3585">
        <f t="shared" si="332"/>
        <v>5600</v>
      </c>
      <c r="Q3585">
        <f t="shared" si="336"/>
        <v>5600</v>
      </c>
      <c r="T3585" s="16">
        <f t="shared" si="337"/>
        <v>1.272651883003509</v>
      </c>
    </row>
    <row r="3586" spans="7:20" ht="14.4" x14ac:dyDescent="0.25">
      <c r="G3586" s="10">
        <v>2064</v>
      </c>
      <c r="H3586" s="9">
        <v>14784</v>
      </c>
      <c r="I3586" s="14">
        <f>DATE(2012,12,31)-292</f>
        <v>40982</v>
      </c>
      <c r="J3586" s="15" t="s">
        <v>16</v>
      </c>
      <c r="K3586" s="9">
        <v>43</v>
      </c>
      <c r="L3586" s="16" t="s">
        <v>29</v>
      </c>
      <c r="M3586" s="16">
        <f t="shared" si="333"/>
        <v>1.203592106384288</v>
      </c>
      <c r="N3586">
        <f t="shared" si="334"/>
        <v>0</v>
      </c>
      <c r="O3586">
        <f t="shared" si="335"/>
        <v>0</v>
      </c>
      <c r="P3586">
        <f t="shared" si="332"/>
        <v>5550</v>
      </c>
      <c r="Q3586">
        <f t="shared" si="336"/>
        <v>5550</v>
      </c>
      <c r="T3586" s="16">
        <f t="shared" si="337"/>
        <v>1.2035921063842876</v>
      </c>
    </row>
    <row r="3587" spans="7:20" ht="14.4" x14ac:dyDescent="0.25">
      <c r="G3587" s="10">
        <v>2136</v>
      </c>
      <c r="H3587" s="9">
        <v>15264</v>
      </c>
      <c r="I3587" s="14">
        <f>DATE(2012,12,31)-410</f>
        <v>40864</v>
      </c>
      <c r="J3587" s="15" t="s">
        <v>16</v>
      </c>
      <c r="K3587" s="9">
        <v>3</v>
      </c>
      <c r="L3587" s="16" t="s">
        <v>26</v>
      </c>
      <c r="M3587" s="16">
        <f t="shared" si="333"/>
        <v>-1.5587989583845694</v>
      </c>
      <c r="N3587">
        <f t="shared" si="334"/>
        <v>0</v>
      </c>
      <c r="O3587">
        <f t="shared" si="335"/>
        <v>0</v>
      </c>
      <c r="P3587">
        <f t="shared" si="332"/>
        <v>3550</v>
      </c>
      <c r="Q3587">
        <f t="shared" si="336"/>
        <v>3550</v>
      </c>
      <c r="T3587" s="16">
        <f t="shared" si="337"/>
        <v>-1.5587989583845698</v>
      </c>
    </row>
    <row r="3588" spans="7:20" ht="14.4" x14ac:dyDescent="0.25">
      <c r="G3588" s="10">
        <v>2137</v>
      </c>
      <c r="H3588" s="9">
        <v>15264</v>
      </c>
      <c r="I3588" s="14">
        <f>DATE(2012,12,31)-410</f>
        <v>40864</v>
      </c>
      <c r="J3588" s="15" t="s">
        <v>16</v>
      </c>
      <c r="K3588" s="9">
        <v>13</v>
      </c>
      <c r="L3588" s="16" t="s">
        <v>26</v>
      </c>
      <c r="M3588" s="16">
        <f t="shared" si="333"/>
        <v>-0.86820119219235514</v>
      </c>
      <c r="N3588">
        <f t="shared" si="334"/>
        <v>0</v>
      </c>
      <c r="O3588">
        <f t="shared" si="335"/>
        <v>0</v>
      </c>
      <c r="P3588">
        <f t="shared" si="332"/>
        <v>4050</v>
      </c>
      <c r="Q3588">
        <f t="shared" si="336"/>
        <v>4050</v>
      </c>
      <c r="T3588" s="16">
        <f t="shared" si="337"/>
        <v>-0.86820119219235548</v>
      </c>
    </row>
    <row r="3589" spans="7:20" ht="14.4" x14ac:dyDescent="0.25">
      <c r="G3589" s="10">
        <v>2273</v>
      </c>
      <c r="H3589" s="9">
        <v>16352</v>
      </c>
      <c r="I3589" s="14">
        <f>DATE(2012,12,31)-154</f>
        <v>41120</v>
      </c>
      <c r="J3589" s="15" t="s">
        <v>16</v>
      </c>
      <c r="K3589" s="9">
        <v>16</v>
      </c>
      <c r="L3589" s="16" t="s">
        <v>26</v>
      </c>
      <c r="M3589" s="16">
        <f t="shared" si="333"/>
        <v>-0.66102186233469074</v>
      </c>
      <c r="N3589">
        <f t="shared" si="334"/>
        <v>0</v>
      </c>
      <c r="O3589">
        <f t="shared" si="335"/>
        <v>0</v>
      </c>
      <c r="P3589">
        <f t="shared" si="332"/>
        <v>4200</v>
      </c>
      <c r="Q3589">
        <f t="shared" si="336"/>
        <v>4200</v>
      </c>
      <c r="T3589" s="16">
        <f t="shared" si="337"/>
        <v>-0.66102186233469118</v>
      </c>
    </row>
    <row r="3590" spans="7:20" ht="14.4" x14ac:dyDescent="0.25">
      <c r="G3590" s="10">
        <v>2289</v>
      </c>
      <c r="H3590" s="9">
        <v>16513</v>
      </c>
      <c r="I3590" s="14">
        <f>DATE(2012,12,31)-850</f>
        <v>40424</v>
      </c>
      <c r="J3590" s="15" t="s">
        <v>30</v>
      </c>
      <c r="K3590" s="9">
        <v>10</v>
      </c>
      <c r="L3590" s="16" t="s">
        <v>29</v>
      </c>
      <c r="M3590" s="16">
        <f t="shared" si="333"/>
        <v>-1.0753805220500194</v>
      </c>
      <c r="N3590">
        <f t="shared" si="334"/>
        <v>0</v>
      </c>
      <c r="O3590">
        <f t="shared" si="335"/>
        <v>0</v>
      </c>
      <c r="P3590">
        <f t="shared" si="332"/>
        <v>3900</v>
      </c>
      <c r="Q3590">
        <f t="shared" si="336"/>
        <v>3900</v>
      </c>
      <c r="T3590" s="16">
        <f t="shared" si="337"/>
        <v>-1.0753805220500199</v>
      </c>
    </row>
    <row r="3591" spans="7:20" ht="14.4" x14ac:dyDescent="0.25">
      <c r="G3591" s="10">
        <v>2302</v>
      </c>
      <c r="H3591" s="9">
        <v>16582</v>
      </c>
      <c r="I3591" s="14">
        <f>DATE(2012,12,31)-457</f>
        <v>40817</v>
      </c>
      <c r="J3591" s="15" t="s">
        <v>30</v>
      </c>
      <c r="K3591" s="9">
        <v>26</v>
      </c>
      <c r="L3591" s="16" t="s">
        <v>29</v>
      </c>
      <c r="M3591" s="16">
        <f t="shared" si="333"/>
        <v>2.9575903857523567E-2</v>
      </c>
      <c r="N3591">
        <f t="shared" si="334"/>
        <v>0</v>
      </c>
      <c r="O3591">
        <f t="shared" si="335"/>
        <v>0</v>
      </c>
      <c r="P3591">
        <f t="shared" si="332"/>
        <v>4700</v>
      </c>
      <c r="Q3591">
        <f t="shared" si="336"/>
        <v>4700</v>
      </c>
      <c r="T3591" s="16">
        <f t="shared" si="337"/>
        <v>2.9575903857523185E-2</v>
      </c>
    </row>
    <row r="3592" spans="7:20" ht="14.4" x14ac:dyDescent="0.25">
      <c r="G3592" s="10">
        <v>2307</v>
      </c>
      <c r="H3592" s="9">
        <v>16640</v>
      </c>
      <c r="I3592" s="14">
        <f>DATE(2012,12,31)-888</f>
        <v>40386</v>
      </c>
      <c r="J3592" s="15" t="s">
        <v>25</v>
      </c>
      <c r="K3592" s="9">
        <v>6</v>
      </c>
      <c r="L3592" s="16" t="s">
        <v>29</v>
      </c>
      <c r="M3592" s="16">
        <f t="shared" si="333"/>
        <v>-1.3516196285269051</v>
      </c>
      <c r="N3592">
        <f t="shared" si="334"/>
        <v>0</v>
      </c>
      <c r="O3592">
        <f t="shared" si="335"/>
        <v>0</v>
      </c>
      <c r="P3592">
        <f t="shared" si="332"/>
        <v>3700</v>
      </c>
      <c r="Q3592">
        <f t="shared" si="336"/>
        <v>3700</v>
      </c>
      <c r="T3592" s="16">
        <f t="shared" si="337"/>
        <v>-1.3516196285269055</v>
      </c>
    </row>
    <row r="3593" spans="7:20" ht="14.4" x14ac:dyDescent="0.25">
      <c r="G3593" s="10">
        <v>2321</v>
      </c>
      <c r="H3593" s="9">
        <v>16711</v>
      </c>
      <c r="I3593" s="14">
        <f>DATE(2012,12,31)-250</f>
        <v>41024</v>
      </c>
      <c r="J3593" s="15" t="s">
        <v>28</v>
      </c>
      <c r="K3593" s="9">
        <v>3</v>
      </c>
      <c r="L3593" s="16" t="s">
        <v>26</v>
      </c>
      <c r="M3593" s="16">
        <f t="shared" si="333"/>
        <v>-1.5587989583845694</v>
      </c>
      <c r="N3593">
        <f t="shared" si="334"/>
        <v>0</v>
      </c>
      <c r="O3593">
        <f t="shared" si="335"/>
        <v>0</v>
      </c>
      <c r="P3593">
        <f t="shared" si="332"/>
        <v>3550</v>
      </c>
      <c r="Q3593">
        <f t="shared" si="336"/>
        <v>3550</v>
      </c>
      <c r="T3593" s="16">
        <f t="shared" si="337"/>
        <v>-1.5587989583845698</v>
      </c>
    </row>
    <row r="3594" spans="7:20" ht="14.4" x14ac:dyDescent="0.25">
      <c r="G3594" s="10">
        <v>2375</v>
      </c>
      <c r="H3594" s="9">
        <v>17218</v>
      </c>
      <c r="I3594" s="14">
        <f>DATE(2012,12,31)-161</f>
        <v>41113</v>
      </c>
      <c r="J3594" s="15" t="s">
        <v>30</v>
      </c>
      <c r="K3594" s="9">
        <v>32</v>
      </c>
      <c r="L3594" s="16" t="s">
        <v>26</v>
      </c>
      <c r="M3594" s="16">
        <f t="shared" si="333"/>
        <v>0.44393456357285216</v>
      </c>
      <c r="N3594">
        <f t="shared" si="334"/>
        <v>0</v>
      </c>
      <c r="O3594">
        <f t="shared" si="335"/>
        <v>0</v>
      </c>
      <c r="P3594">
        <f t="shared" si="332"/>
        <v>5000</v>
      </c>
      <c r="Q3594">
        <f t="shared" si="336"/>
        <v>5000</v>
      </c>
      <c r="T3594" s="16">
        <f t="shared" si="337"/>
        <v>0.44393456357285183</v>
      </c>
    </row>
    <row r="3595" spans="7:20" ht="14.4" x14ac:dyDescent="0.25">
      <c r="G3595" s="10">
        <v>2381</v>
      </c>
      <c r="H3595" s="9">
        <v>17255</v>
      </c>
      <c r="I3595" s="14">
        <f>DATE(2012,12,31)-901</f>
        <v>40373</v>
      </c>
      <c r="J3595" s="15" t="s">
        <v>28</v>
      </c>
      <c r="K3595" s="9">
        <v>17</v>
      </c>
      <c r="L3595" s="16" t="s">
        <v>26</v>
      </c>
      <c r="M3595" s="16">
        <f t="shared" si="333"/>
        <v>-0.59196208571546938</v>
      </c>
      <c r="N3595">
        <f t="shared" si="334"/>
        <v>0</v>
      </c>
      <c r="O3595">
        <f t="shared" si="335"/>
        <v>0</v>
      </c>
      <c r="P3595">
        <f t="shared" si="332"/>
        <v>4250</v>
      </c>
      <c r="Q3595">
        <f t="shared" si="336"/>
        <v>4250</v>
      </c>
      <c r="T3595" s="16">
        <f t="shared" si="337"/>
        <v>-0.59196208571546971</v>
      </c>
    </row>
    <row r="3596" spans="7:20" ht="14.4" x14ac:dyDescent="0.25">
      <c r="G3596" s="10">
        <v>2392</v>
      </c>
      <c r="H3596" s="9">
        <v>17317</v>
      </c>
      <c r="I3596" s="14">
        <f>DATE(2012,12,31)-1124</f>
        <v>40150</v>
      </c>
      <c r="J3596" s="15" t="s">
        <v>28</v>
      </c>
      <c r="K3596" s="9">
        <v>7</v>
      </c>
      <c r="L3596" s="16" t="s">
        <v>26</v>
      </c>
      <c r="M3596" s="16">
        <f t="shared" si="333"/>
        <v>-1.2825598519076837</v>
      </c>
      <c r="N3596">
        <f t="shared" si="334"/>
        <v>0</v>
      </c>
      <c r="O3596">
        <f t="shared" si="335"/>
        <v>0</v>
      </c>
      <c r="P3596">
        <f t="shared" ref="P3596:P3659" si="338">50*K3596+$P$10</f>
        <v>3750</v>
      </c>
      <c r="Q3596">
        <f t="shared" si="336"/>
        <v>3750</v>
      </c>
      <c r="T3596" s="16">
        <f t="shared" si="337"/>
        <v>-1.2825598519076842</v>
      </c>
    </row>
    <row r="3597" spans="7:20" ht="14.4" x14ac:dyDescent="0.25">
      <c r="G3597" s="10">
        <v>2405</v>
      </c>
      <c r="H3597" s="9">
        <v>17414</v>
      </c>
      <c r="I3597" s="14">
        <f>DATE(2012,12,31)-185</f>
        <v>41089</v>
      </c>
      <c r="J3597" s="15" t="s">
        <v>17</v>
      </c>
      <c r="K3597" s="9">
        <v>39</v>
      </c>
      <c r="L3597" s="16" t="s">
        <v>27</v>
      </c>
      <c r="M3597" s="16">
        <f t="shared" ref="M3597:M3660" si="339">(K3597-$K$4)/$K$7</f>
        <v>0.92735299990740228</v>
      </c>
      <c r="N3597">
        <f t="shared" ref="N3597:N3660" si="340">IF(MOD($B$20+G3597,1000)=0,1,0)</f>
        <v>0</v>
      </c>
      <c r="O3597">
        <f t="shared" ref="O3597:O3660" si="341">+ROUND(N3597*(IF(K3597&lt;$K$4,-4.5,10.5)*$P$5),-2)</f>
        <v>0</v>
      </c>
      <c r="P3597">
        <f t="shared" si="338"/>
        <v>5350</v>
      </c>
      <c r="Q3597">
        <f t="shared" ref="Q3597:Q3660" si="342">P3597+O3597</f>
        <v>5350</v>
      </c>
      <c r="T3597" s="16">
        <f t="shared" ref="T3597:T3660" si="343">(Q3597-$P$4)/$P$5</f>
        <v>0.92735299990740183</v>
      </c>
    </row>
    <row r="3598" spans="7:20" ht="14.4" x14ac:dyDescent="0.25">
      <c r="G3598" s="10">
        <v>2406</v>
      </c>
      <c r="H3598" s="9">
        <v>17414</v>
      </c>
      <c r="I3598" s="14">
        <f>DATE(2012,12,31)-185</f>
        <v>41089</v>
      </c>
      <c r="J3598" s="15" t="s">
        <v>17</v>
      </c>
      <c r="K3598" s="9">
        <v>32</v>
      </c>
      <c r="L3598" s="16" t="s">
        <v>26</v>
      </c>
      <c r="M3598" s="16">
        <f t="shared" si="339"/>
        <v>0.44393456357285216</v>
      </c>
      <c r="N3598">
        <f t="shared" si="340"/>
        <v>0</v>
      </c>
      <c r="O3598">
        <f t="shared" si="341"/>
        <v>0</v>
      </c>
      <c r="P3598">
        <f t="shared" si="338"/>
        <v>5000</v>
      </c>
      <c r="Q3598">
        <f t="shared" si="342"/>
        <v>5000</v>
      </c>
      <c r="T3598" s="16">
        <f t="shared" si="343"/>
        <v>0.44393456357285183</v>
      </c>
    </row>
    <row r="3599" spans="7:20" ht="14.4" x14ac:dyDescent="0.25">
      <c r="G3599" s="10">
        <v>2408</v>
      </c>
      <c r="H3599" s="9">
        <v>17446</v>
      </c>
      <c r="I3599" s="14">
        <f>DATE(2012,12,31)-1301</f>
        <v>39973</v>
      </c>
      <c r="J3599" s="15" t="s">
        <v>30</v>
      </c>
      <c r="K3599" s="9">
        <v>15</v>
      </c>
      <c r="L3599" s="16" t="s">
        <v>26</v>
      </c>
      <c r="M3599" s="16">
        <f t="shared" si="339"/>
        <v>-0.7300816389539122</v>
      </c>
      <c r="N3599">
        <f t="shared" si="340"/>
        <v>0</v>
      </c>
      <c r="O3599">
        <f t="shared" si="341"/>
        <v>0</v>
      </c>
      <c r="P3599">
        <f t="shared" si="338"/>
        <v>4150</v>
      </c>
      <c r="Q3599">
        <f t="shared" si="342"/>
        <v>4150</v>
      </c>
      <c r="T3599" s="16">
        <f t="shared" si="343"/>
        <v>-0.73008163895391265</v>
      </c>
    </row>
    <row r="3600" spans="7:20" ht="14.4" x14ac:dyDescent="0.25">
      <c r="G3600" s="10">
        <v>2446</v>
      </c>
      <c r="H3600" s="9">
        <v>17765</v>
      </c>
      <c r="I3600" s="14">
        <f>DATE(2012,12,31)-473</f>
        <v>40801</v>
      </c>
      <c r="J3600" s="15" t="s">
        <v>28</v>
      </c>
      <c r="K3600" s="9">
        <v>36</v>
      </c>
      <c r="L3600" s="16" t="s">
        <v>26</v>
      </c>
      <c r="M3600" s="16">
        <f t="shared" si="339"/>
        <v>0.72017367004973787</v>
      </c>
      <c r="N3600">
        <f t="shared" si="340"/>
        <v>0</v>
      </c>
      <c r="O3600">
        <f t="shared" si="341"/>
        <v>0</v>
      </c>
      <c r="P3600">
        <f t="shared" si="338"/>
        <v>5200</v>
      </c>
      <c r="Q3600">
        <f t="shared" si="342"/>
        <v>5200</v>
      </c>
      <c r="T3600" s="16">
        <f t="shared" si="343"/>
        <v>0.72017367004973754</v>
      </c>
    </row>
    <row r="3601" spans="7:20" ht="14.4" x14ac:dyDescent="0.25">
      <c r="G3601" s="10">
        <v>2471</v>
      </c>
      <c r="H3601" s="9">
        <v>17958</v>
      </c>
      <c r="I3601" s="14">
        <f>DATE(2012,12,31)-508</f>
        <v>40766</v>
      </c>
      <c r="J3601" s="15" t="s">
        <v>25</v>
      </c>
      <c r="K3601" s="9">
        <v>33</v>
      </c>
      <c r="L3601" s="16" t="s">
        <v>29</v>
      </c>
      <c r="M3601" s="16">
        <f t="shared" si="339"/>
        <v>0.51299434019207357</v>
      </c>
      <c r="N3601">
        <f t="shared" si="340"/>
        <v>0</v>
      </c>
      <c r="O3601">
        <f t="shared" si="341"/>
        <v>0</v>
      </c>
      <c r="P3601">
        <f t="shared" si="338"/>
        <v>5050</v>
      </c>
      <c r="Q3601">
        <f t="shared" si="342"/>
        <v>5050</v>
      </c>
      <c r="T3601" s="16">
        <f t="shared" si="343"/>
        <v>0.51299434019207324</v>
      </c>
    </row>
    <row r="3602" spans="7:20" ht="14.4" x14ac:dyDescent="0.25">
      <c r="G3602" s="10">
        <v>2534</v>
      </c>
      <c r="H3602" s="9">
        <v>18375</v>
      </c>
      <c r="I3602" s="14">
        <f>DATE(2012,12,31)-466</f>
        <v>40808</v>
      </c>
      <c r="J3602" s="15" t="s">
        <v>25</v>
      </c>
      <c r="K3602" s="9">
        <v>20</v>
      </c>
      <c r="L3602" s="16" t="s">
        <v>26</v>
      </c>
      <c r="M3602" s="16">
        <f t="shared" si="339"/>
        <v>-0.38478275585780503</v>
      </c>
      <c r="N3602">
        <f t="shared" si="340"/>
        <v>0</v>
      </c>
      <c r="O3602">
        <f t="shared" si="341"/>
        <v>0</v>
      </c>
      <c r="P3602">
        <f t="shared" si="338"/>
        <v>4400</v>
      </c>
      <c r="Q3602">
        <f t="shared" si="342"/>
        <v>4400</v>
      </c>
      <c r="T3602" s="16">
        <f t="shared" si="343"/>
        <v>-0.38478275585780541</v>
      </c>
    </row>
    <row r="3603" spans="7:20" ht="14.4" x14ac:dyDescent="0.25">
      <c r="G3603" s="10">
        <v>2566</v>
      </c>
      <c r="H3603" s="9">
        <v>18532</v>
      </c>
      <c r="I3603" s="14">
        <f>DATE(2012,12,31)-438</f>
        <v>40836</v>
      </c>
      <c r="J3603" s="15" t="s">
        <v>28</v>
      </c>
      <c r="K3603" s="9">
        <v>29</v>
      </c>
      <c r="L3603" s="16" t="s">
        <v>26</v>
      </c>
      <c r="M3603" s="16">
        <f t="shared" si="339"/>
        <v>0.23675523371518786</v>
      </c>
      <c r="N3603">
        <f t="shared" si="340"/>
        <v>0</v>
      </c>
      <c r="O3603">
        <f t="shared" si="341"/>
        <v>0</v>
      </c>
      <c r="P3603">
        <f t="shared" si="338"/>
        <v>4850</v>
      </c>
      <c r="Q3603">
        <f t="shared" si="342"/>
        <v>4850</v>
      </c>
      <c r="T3603" s="16">
        <f t="shared" si="343"/>
        <v>0.2367552337151875</v>
      </c>
    </row>
    <row r="3604" spans="7:20" ht="14.4" x14ac:dyDescent="0.25">
      <c r="G3604" s="10">
        <v>2567</v>
      </c>
      <c r="H3604" s="9">
        <v>18532</v>
      </c>
      <c r="I3604" s="14">
        <f>DATE(2012,12,31)-438</f>
        <v>40836</v>
      </c>
      <c r="J3604" s="15" t="s">
        <v>28</v>
      </c>
      <c r="K3604" s="9">
        <v>31</v>
      </c>
      <c r="L3604" s="16" t="s">
        <v>26</v>
      </c>
      <c r="M3604" s="16">
        <f t="shared" si="339"/>
        <v>0.37487478695363075</v>
      </c>
      <c r="N3604">
        <f t="shared" si="340"/>
        <v>0</v>
      </c>
      <c r="O3604">
        <f t="shared" si="341"/>
        <v>0</v>
      </c>
      <c r="P3604">
        <f t="shared" si="338"/>
        <v>4950</v>
      </c>
      <c r="Q3604">
        <f t="shared" si="342"/>
        <v>4950</v>
      </c>
      <c r="T3604" s="16">
        <f t="shared" si="343"/>
        <v>0.37487478695363036</v>
      </c>
    </row>
    <row r="3605" spans="7:20" ht="14.4" x14ac:dyDescent="0.25">
      <c r="G3605" s="10">
        <v>2583</v>
      </c>
      <c r="H3605" s="9">
        <v>18627</v>
      </c>
      <c r="I3605" s="14">
        <f>DATE(2012,12,31)-742</f>
        <v>40532</v>
      </c>
      <c r="J3605" s="15" t="s">
        <v>16</v>
      </c>
      <c r="K3605" s="9">
        <v>4</v>
      </c>
      <c r="L3605" s="16" t="s">
        <v>26</v>
      </c>
      <c r="M3605" s="16">
        <f t="shared" si="339"/>
        <v>-1.489739181765348</v>
      </c>
      <c r="N3605">
        <f t="shared" si="340"/>
        <v>0</v>
      </c>
      <c r="O3605">
        <f t="shared" si="341"/>
        <v>0</v>
      </c>
      <c r="P3605">
        <f t="shared" si="338"/>
        <v>3600</v>
      </c>
      <c r="Q3605">
        <f t="shared" si="342"/>
        <v>3600</v>
      </c>
      <c r="T3605" s="16">
        <f t="shared" si="343"/>
        <v>-1.4897391817653485</v>
      </c>
    </row>
    <row r="3606" spans="7:20" ht="14.4" x14ac:dyDescent="0.25">
      <c r="G3606" s="10">
        <v>2603</v>
      </c>
      <c r="H3606" s="9">
        <v>18816</v>
      </c>
      <c r="I3606" s="14">
        <f>DATE(2012,12,31)-1406</f>
        <v>39868</v>
      </c>
      <c r="J3606" s="15" t="s">
        <v>30</v>
      </c>
      <c r="K3606" s="9">
        <v>12</v>
      </c>
      <c r="L3606" s="16" t="s">
        <v>26</v>
      </c>
      <c r="M3606" s="16">
        <f t="shared" si="339"/>
        <v>-0.9372609688115765</v>
      </c>
      <c r="N3606">
        <f t="shared" si="340"/>
        <v>0</v>
      </c>
      <c r="O3606">
        <f t="shared" si="341"/>
        <v>0</v>
      </c>
      <c r="P3606">
        <f t="shared" si="338"/>
        <v>4000</v>
      </c>
      <c r="Q3606">
        <f t="shared" si="342"/>
        <v>4000</v>
      </c>
      <c r="T3606" s="16">
        <f t="shared" si="343"/>
        <v>-0.93726096881157694</v>
      </c>
    </row>
    <row r="3607" spans="7:20" ht="14.4" x14ac:dyDescent="0.25">
      <c r="G3607" s="10">
        <v>2610</v>
      </c>
      <c r="H3607" s="9">
        <v>18852</v>
      </c>
      <c r="I3607" s="14">
        <f>DATE(2012,12,31)-469</f>
        <v>40805</v>
      </c>
      <c r="J3607" s="15" t="s">
        <v>17</v>
      </c>
      <c r="K3607" s="9">
        <v>17</v>
      </c>
      <c r="L3607" s="16" t="s">
        <v>26</v>
      </c>
      <c r="M3607" s="16">
        <f t="shared" si="339"/>
        <v>-0.59196208571546938</v>
      </c>
      <c r="N3607">
        <f t="shared" si="340"/>
        <v>0</v>
      </c>
      <c r="O3607">
        <f t="shared" si="341"/>
        <v>0</v>
      </c>
      <c r="P3607">
        <f t="shared" si="338"/>
        <v>4250</v>
      </c>
      <c r="Q3607">
        <f t="shared" si="342"/>
        <v>4250</v>
      </c>
      <c r="T3607" s="16">
        <f t="shared" si="343"/>
        <v>-0.59196208571546971</v>
      </c>
    </row>
    <row r="3608" spans="7:20" ht="14.4" x14ac:dyDescent="0.25">
      <c r="G3608" s="10">
        <v>2670</v>
      </c>
      <c r="H3608" s="9">
        <v>19329</v>
      </c>
      <c r="I3608" s="14">
        <f>DATE(2012,12,31)-1030</f>
        <v>40244</v>
      </c>
      <c r="J3608" s="15" t="s">
        <v>28</v>
      </c>
      <c r="K3608" s="9">
        <v>37</v>
      </c>
      <c r="L3608" s="16" t="s">
        <v>29</v>
      </c>
      <c r="M3608" s="16">
        <f t="shared" si="339"/>
        <v>0.78923344666895934</v>
      </c>
      <c r="N3608">
        <f t="shared" si="340"/>
        <v>0</v>
      </c>
      <c r="O3608">
        <f t="shared" si="341"/>
        <v>0</v>
      </c>
      <c r="P3608">
        <f t="shared" si="338"/>
        <v>5250</v>
      </c>
      <c r="Q3608">
        <f t="shared" si="342"/>
        <v>5250</v>
      </c>
      <c r="T3608" s="16">
        <f t="shared" si="343"/>
        <v>0.789233446668959</v>
      </c>
    </row>
    <row r="3609" spans="7:20" ht="14.4" x14ac:dyDescent="0.25">
      <c r="G3609" s="10">
        <v>2671</v>
      </c>
      <c r="H3609" s="9">
        <v>19329</v>
      </c>
      <c r="I3609" s="14">
        <f>DATE(2012,12,31)-1030</f>
        <v>40244</v>
      </c>
      <c r="J3609" s="15" t="s">
        <v>28</v>
      </c>
      <c r="K3609" s="9">
        <v>6</v>
      </c>
      <c r="L3609" s="16" t="s">
        <v>27</v>
      </c>
      <c r="M3609" s="16">
        <f t="shared" si="339"/>
        <v>-1.3516196285269051</v>
      </c>
      <c r="N3609">
        <f t="shared" si="340"/>
        <v>0</v>
      </c>
      <c r="O3609">
        <f t="shared" si="341"/>
        <v>0</v>
      </c>
      <c r="P3609">
        <f t="shared" si="338"/>
        <v>3700</v>
      </c>
      <c r="Q3609">
        <f t="shared" si="342"/>
        <v>3700</v>
      </c>
      <c r="T3609" s="16">
        <f t="shared" si="343"/>
        <v>-1.3516196285269055</v>
      </c>
    </row>
    <row r="3610" spans="7:20" ht="14.4" x14ac:dyDescent="0.25">
      <c r="G3610" s="10">
        <v>2697</v>
      </c>
      <c r="H3610" s="9">
        <v>19522</v>
      </c>
      <c r="I3610" s="14">
        <f>DATE(2012,12,31)-1168</f>
        <v>40106</v>
      </c>
      <c r="J3610" s="15" t="s">
        <v>16</v>
      </c>
      <c r="K3610" s="9">
        <v>44</v>
      </c>
      <c r="L3610" s="16" t="s">
        <v>26</v>
      </c>
      <c r="M3610" s="16">
        <f t="shared" si="339"/>
        <v>1.2726518830035094</v>
      </c>
      <c r="N3610">
        <f t="shared" si="340"/>
        <v>0</v>
      </c>
      <c r="O3610">
        <f t="shared" si="341"/>
        <v>0</v>
      </c>
      <c r="P3610">
        <f t="shared" si="338"/>
        <v>5600</v>
      </c>
      <c r="Q3610">
        <f t="shared" si="342"/>
        <v>5600</v>
      </c>
      <c r="T3610" s="16">
        <f t="shared" si="343"/>
        <v>1.272651883003509</v>
      </c>
    </row>
    <row r="3611" spans="7:20" ht="14.4" x14ac:dyDescent="0.25">
      <c r="G3611" s="10">
        <v>2698</v>
      </c>
      <c r="H3611" s="9">
        <v>19522</v>
      </c>
      <c r="I3611" s="14">
        <f>DATE(2012,12,31)-1168</f>
        <v>40106</v>
      </c>
      <c r="J3611" s="15" t="s">
        <v>16</v>
      </c>
      <c r="K3611" s="9">
        <v>37</v>
      </c>
      <c r="L3611" s="16" t="s">
        <v>26</v>
      </c>
      <c r="M3611" s="16">
        <f t="shared" si="339"/>
        <v>0.78923344666895934</v>
      </c>
      <c r="N3611">
        <f t="shared" si="340"/>
        <v>0</v>
      </c>
      <c r="O3611">
        <f t="shared" si="341"/>
        <v>0</v>
      </c>
      <c r="P3611">
        <f t="shared" si="338"/>
        <v>5250</v>
      </c>
      <c r="Q3611">
        <f t="shared" si="342"/>
        <v>5250</v>
      </c>
      <c r="T3611" s="16">
        <f t="shared" si="343"/>
        <v>0.789233446668959</v>
      </c>
    </row>
    <row r="3612" spans="7:20" ht="14.4" x14ac:dyDescent="0.25">
      <c r="G3612" s="10">
        <v>2743</v>
      </c>
      <c r="H3612" s="9">
        <v>19811</v>
      </c>
      <c r="I3612" s="14">
        <f>DATE(2012,12,31)-511</f>
        <v>40763</v>
      </c>
      <c r="J3612" s="15" t="s">
        <v>25</v>
      </c>
      <c r="K3612" s="9">
        <v>49</v>
      </c>
      <c r="L3612" s="16" t="s">
        <v>26</v>
      </c>
      <c r="M3612" s="16">
        <f t="shared" si="339"/>
        <v>1.6179507660996166</v>
      </c>
      <c r="N3612">
        <f t="shared" si="340"/>
        <v>0</v>
      </c>
      <c r="O3612">
        <f t="shared" si="341"/>
        <v>0</v>
      </c>
      <c r="P3612">
        <f t="shared" si="338"/>
        <v>5850</v>
      </c>
      <c r="Q3612">
        <f t="shared" si="342"/>
        <v>5850</v>
      </c>
      <c r="T3612" s="16">
        <f t="shared" si="343"/>
        <v>1.6179507660996162</v>
      </c>
    </row>
    <row r="3613" spans="7:20" ht="14.4" x14ac:dyDescent="0.25">
      <c r="G3613" s="10">
        <v>2748</v>
      </c>
      <c r="H3613" s="9">
        <v>19841</v>
      </c>
      <c r="I3613" s="14">
        <f>DATE(2012,12,31)-736</f>
        <v>40538</v>
      </c>
      <c r="J3613" s="15" t="s">
        <v>25</v>
      </c>
      <c r="K3613" s="9">
        <v>17</v>
      </c>
      <c r="L3613" s="16" t="s">
        <v>26</v>
      </c>
      <c r="M3613" s="16">
        <f t="shared" si="339"/>
        <v>-0.59196208571546938</v>
      </c>
      <c r="N3613">
        <f t="shared" si="340"/>
        <v>0</v>
      </c>
      <c r="O3613">
        <f t="shared" si="341"/>
        <v>0</v>
      </c>
      <c r="P3613">
        <f t="shared" si="338"/>
        <v>4250</v>
      </c>
      <c r="Q3613">
        <f t="shared" si="342"/>
        <v>4250</v>
      </c>
      <c r="T3613" s="16">
        <f t="shared" si="343"/>
        <v>-0.59196208571546971</v>
      </c>
    </row>
    <row r="3614" spans="7:20" ht="14.4" x14ac:dyDescent="0.25">
      <c r="G3614" s="10">
        <v>2749</v>
      </c>
      <c r="H3614" s="9">
        <v>19841</v>
      </c>
      <c r="I3614" s="14">
        <f>DATE(2012,12,31)-736</f>
        <v>40538</v>
      </c>
      <c r="J3614" s="15" t="s">
        <v>25</v>
      </c>
      <c r="K3614" s="9">
        <v>7</v>
      </c>
      <c r="L3614" s="16" t="s">
        <v>27</v>
      </c>
      <c r="M3614" s="16">
        <f t="shared" si="339"/>
        <v>-1.2825598519076837</v>
      </c>
      <c r="N3614">
        <f t="shared" si="340"/>
        <v>0</v>
      </c>
      <c r="O3614">
        <f t="shared" si="341"/>
        <v>0</v>
      </c>
      <c r="P3614">
        <f t="shared" si="338"/>
        <v>3750</v>
      </c>
      <c r="Q3614">
        <f t="shared" si="342"/>
        <v>3750</v>
      </c>
      <c r="T3614" s="16">
        <f t="shared" si="343"/>
        <v>-1.2825598519076842</v>
      </c>
    </row>
    <row r="3615" spans="7:20" ht="14.4" x14ac:dyDescent="0.25">
      <c r="G3615" s="10">
        <v>2752</v>
      </c>
      <c r="H3615" s="9">
        <v>19874</v>
      </c>
      <c r="I3615" s="14">
        <f>DATE(2012,12,31)-206</f>
        <v>41068</v>
      </c>
      <c r="J3615" s="15" t="s">
        <v>17</v>
      </c>
      <c r="K3615" s="9">
        <v>31</v>
      </c>
      <c r="L3615" s="16" t="s">
        <v>26</v>
      </c>
      <c r="M3615" s="16">
        <f t="shared" si="339"/>
        <v>0.37487478695363075</v>
      </c>
      <c r="N3615">
        <f t="shared" si="340"/>
        <v>0</v>
      </c>
      <c r="O3615">
        <f t="shared" si="341"/>
        <v>0</v>
      </c>
      <c r="P3615">
        <f t="shared" si="338"/>
        <v>4950</v>
      </c>
      <c r="Q3615">
        <f t="shared" si="342"/>
        <v>4950</v>
      </c>
      <c r="T3615" s="16">
        <f t="shared" si="343"/>
        <v>0.37487478695363036</v>
      </c>
    </row>
    <row r="3616" spans="7:20" ht="14.4" x14ac:dyDescent="0.25">
      <c r="G3616" s="10">
        <v>2767</v>
      </c>
      <c r="H3616" s="9">
        <v>20003</v>
      </c>
      <c r="I3616" s="14">
        <f>DATE(2012,12,31)-336</f>
        <v>40938</v>
      </c>
      <c r="J3616" s="15" t="s">
        <v>16</v>
      </c>
      <c r="K3616" s="9">
        <v>5</v>
      </c>
      <c r="L3616" s="16" t="s">
        <v>27</v>
      </c>
      <c r="M3616" s="16">
        <f t="shared" si="339"/>
        <v>-1.4206794051461267</v>
      </c>
      <c r="N3616">
        <f t="shared" si="340"/>
        <v>0</v>
      </c>
      <c r="O3616">
        <f t="shared" si="341"/>
        <v>0</v>
      </c>
      <c r="P3616">
        <f t="shared" si="338"/>
        <v>3650</v>
      </c>
      <c r="Q3616">
        <f t="shared" si="342"/>
        <v>3650</v>
      </c>
      <c r="T3616" s="16">
        <f t="shared" si="343"/>
        <v>-1.4206794051461269</v>
      </c>
    </row>
    <row r="3617" spans="7:20" ht="14.4" x14ac:dyDescent="0.25">
      <c r="G3617" s="10">
        <v>2780</v>
      </c>
      <c r="H3617" s="9">
        <v>20068</v>
      </c>
      <c r="I3617" s="14">
        <f>DATE(2012,12,31)-672</f>
        <v>40602</v>
      </c>
      <c r="J3617" s="15" t="s">
        <v>30</v>
      </c>
      <c r="K3617" s="9">
        <v>9</v>
      </c>
      <c r="L3617" s="16" t="s">
        <v>26</v>
      </c>
      <c r="M3617" s="16">
        <f t="shared" si="339"/>
        <v>-1.1444402986692408</v>
      </c>
      <c r="N3617">
        <f t="shared" si="340"/>
        <v>0</v>
      </c>
      <c r="O3617">
        <f t="shared" si="341"/>
        <v>0</v>
      </c>
      <c r="P3617">
        <f t="shared" si="338"/>
        <v>3850</v>
      </c>
      <c r="Q3617">
        <f t="shared" si="342"/>
        <v>3850</v>
      </c>
      <c r="T3617" s="16">
        <f t="shared" si="343"/>
        <v>-1.1444402986692412</v>
      </c>
    </row>
    <row r="3618" spans="7:20" ht="14.4" x14ac:dyDescent="0.25">
      <c r="G3618" s="10">
        <v>2797</v>
      </c>
      <c r="H3618" s="9">
        <v>20162</v>
      </c>
      <c r="I3618" s="14">
        <f>DATE(2012,12,31)-1422</f>
        <v>39852</v>
      </c>
      <c r="J3618" s="15" t="s">
        <v>16</v>
      </c>
      <c r="K3618" s="9">
        <v>38</v>
      </c>
      <c r="L3618" s="16" t="s">
        <v>26</v>
      </c>
      <c r="M3618" s="16">
        <f t="shared" si="339"/>
        <v>0.85829322328818081</v>
      </c>
      <c r="N3618">
        <f t="shared" si="340"/>
        <v>0</v>
      </c>
      <c r="O3618">
        <f t="shared" si="341"/>
        <v>0</v>
      </c>
      <c r="P3618">
        <f t="shared" si="338"/>
        <v>5300</v>
      </c>
      <c r="Q3618">
        <f t="shared" si="342"/>
        <v>5300</v>
      </c>
      <c r="T3618" s="16">
        <f t="shared" si="343"/>
        <v>0.85829322328818036</v>
      </c>
    </row>
    <row r="3619" spans="7:20" ht="14.4" x14ac:dyDescent="0.25">
      <c r="G3619" s="10">
        <v>2820</v>
      </c>
      <c r="H3619" s="9">
        <v>20354</v>
      </c>
      <c r="I3619" s="14">
        <f>DATE(2012,12,31)-103</f>
        <v>41171</v>
      </c>
      <c r="J3619" s="15" t="s">
        <v>30</v>
      </c>
      <c r="K3619" s="9">
        <v>24</v>
      </c>
      <c r="L3619" s="16" t="s">
        <v>26</v>
      </c>
      <c r="M3619" s="16">
        <f t="shared" si="339"/>
        <v>-0.1085436493809193</v>
      </c>
      <c r="N3619">
        <f t="shared" si="340"/>
        <v>0</v>
      </c>
      <c r="O3619">
        <f t="shared" si="341"/>
        <v>0</v>
      </c>
      <c r="P3619">
        <f t="shared" si="338"/>
        <v>4600</v>
      </c>
      <c r="Q3619">
        <f t="shared" si="342"/>
        <v>4600</v>
      </c>
      <c r="T3619" s="16">
        <f t="shared" si="343"/>
        <v>-0.10854364938091969</v>
      </c>
    </row>
    <row r="3620" spans="7:20" ht="14.4" x14ac:dyDescent="0.25">
      <c r="G3620" s="10">
        <v>2821</v>
      </c>
      <c r="H3620" s="9">
        <v>20384</v>
      </c>
      <c r="I3620" s="14">
        <f>DATE(2012,12,31)-433</f>
        <v>40841</v>
      </c>
      <c r="J3620" s="15" t="s">
        <v>25</v>
      </c>
      <c r="K3620" s="9">
        <v>30</v>
      </c>
      <c r="L3620" s="16" t="s">
        <v>26</v>
      </c>
      <c r="M3620" s="16">
        <f t="shared" si="339"/>
        <v>0.30581501033440933</v>
      </c>
      <c r="N3620">
        <f t="shared" si="340"/>
        <v>0</v>
      </c>
      <c r="O3620">
        <f t="shared" si="341"/>
        <v>0</v>
      </c>
      <c r="P3620">
        <f t="shared" si="338"/>
        <v>4900</v>
      </c>
      <c r="Q3620">
        <f t="shared" si="342"/>
        <v>4900</v>
      </c>
      <c r="T3620" s="16">
        <f t="shared" si="343"/>
        <v>0.30581501033440894</v>
      </c>
    </row>
    <row r="3621" spans="7:20" ht="14.4" x14ac:dyDescent="0.25">
      <c r="G3621" s="10">
        <v>2822</v>
      </c>
      <c r="H3621" s="9">
        <v>20384</v>
      </c>
      <c r="I3621" s="14">
        <f>DATE(2012,12,31)-433</f>
        <v>40841</v>
      </c>
      <c r="J3621" s="15" t="s">
        <v>25</v>
      </c>
      <c r="K3621" s="9">
        <v>32</v>
      </c>
      <c r="L3621" s="16" t="s">
        <v>29</v>
      </c>
      <c r="M3621" s="16">
        <f t="shared" si="339"/>
        <v>0.44393456357285216</v>
      </c>
      <c r="N3621">
        <f t="shared" si="340"/>
        <v>0</v>
      </c>
      <c r="O3621">
        <f t="shared" si="341"/>
        <v>0</v>
      </c>
      <c r="P3621">
        <f t="shared" si="338"/>
        <v>5000</v>
      </c>
      <c r="Q3621">
        <f t="shared" si="342"/>
        <v>5000</v>
      </c>
      <c r="T3621" s="16">
        <f t="shared" si="343"/>
        <v>0.44393456357285183</v>
      </c>
    </row>
    <row r="3622" spans="7:20" ht="14.4" x14ac:dyDescent="0.25">
      <c r="G3622" s="10">
        <v>2872</v>
      </c>
      <c r="H3622" s="9">
        <v>20710</v>
      </c>
      <c r="I3622" s="14">
        <f>DATE(2012,12,31)-1128</f>
        <v>40146</v>
      </c>
      <c r="J3622" s="15" t="s">
        <v>17</v>
      </c>
      <c r="K3622" s="9">
        <v>31</v>
      </c>
      <c r="L3622" s="16" t="s">
        <v>27</v>
      </c>
      <c r="M3622" s="16">
        <f t="shared" si="339"/>
        <v>0.37487478695363075</v>
      </c>
      <c r="N3622">
        <f t="shared" si="340"/>
        <v>0</v>
      </c>
      <c r="O3622">
        <f t="shared" si="341"/>
        <v>0</v>
      </c>
      <c r="P3622">
        <f t="shared" si="338"/>
        <v>4950</v>
      </c>
      <c r="Q3622">
        <f t="shared" si="342"/>
        <v>4950</v>
      </c>
      <c r="T3622" s="16">
        <f t="shared" si="343"/>
        <v>0.37487478695363036</v>
      </c>
    </row>
    <row r="3623" spans="7:20" ht="14.4" x14ac:dyDescent="0.25">
      <c r="G3623" s="10">
        <v>2873</v>
      </c>
      <c r="H3623" s="9">
        <v>20710</v>
      </c>
      <c r="I3623" s="14">
        <f>DATE(2012,12,31)-1128</f>
        <v>40146</v>
      </c>
      <c r="J3623" s="15" t="s">
        <v>17</v>
      </c>
      <c r="K3623" s="9">
        <v>26</v>
      </c>
      <c r="L3623" s="16" t="s">
        <v>26</v>
      </c>
      <c r="M3623" s="16">
        <f t="shared" si="339"/>
        <v>2.9575903857523567E-2</v>
      </c>
      <c r="N3623">
        <f t="shared" si="340"/>
        <v>0</v>
      </c>
      <c r="O3623">
        <f t="shared" si="341"/>
        <v>0</v>
      </c>
      <c r="P3623">
        <f t="shared" si="338"/>
        <v>4700</v>
      </c>
      <c r="Q3623">
        <f t="shared" si="342"/>
        <v>4700</v>
      </c>
      <c r="T3623" s="16">
        <f t="shared" si="343"/>
        <v>2.9575903857523185E-2</v>
      </c>
    </row>
    <row r="3624" spans="7:20" ht="14.4" x14ac:dyDescent="0.25">
      <c r="G3624" s="10">
        <v>2886</v>
      </c>
      <c r="H3624" s="9">
        <v>20807</v>
      </c>
      <c r="I3624" s="14">
        <f>DATE(2012,12,31)-163</f>
        <v>41111</v>
      </c>
      <c r="J3624" s="15" t="s">
        <v>28</v>
      </c>
      <c r="K3624" s="9">
        <v>16</v>
      </c>
      <c r="L3624" s="16" t="s">
        <v>27</v>
      </c>
      <c r="M3624" s="16">
        <f t="shared" si="339"/>
        <v>-0.66102186233469074</v>
      </c>
      <c r="N3624">
        <f t="shared" si="340"/>
        <v>0</v>
      </c>
      <c r="O3624">
        <f t="shared" si="341"/>
        <v>0</v>
      </c>
      <c r="P3624">
        <f t="shared" si="338"/>
        <v>4200</v>
      </c>
      <c r="Q3624">
        <f t="shared" si="342"/>
        <v>4200</v>
      </c>
      <c r="T3624" s="16">
        <f t="shared" si="343"/>
        <v>-0.66102186233469118</v>
      </c>
    </row>
    <row r="3625" spans="7:20" ht="14.4" x14ac:dyDescent="0.25">
      <c r="G3625" s="10">
        <v>2900</v>
      </c>
      <c r="H3625" s="9">
        <v>20934</v>
      </c>
      <c r="I3625" s="14">
        <f>DATE(2012,12,31)-1076</f>
        <v>40198</v>
      </c>
      <c r="J3625" s="15" t="s">
        <v>30</v>
      </c>
      <c r="K3625" s="9">
        <v>5</v>
      </c>
      <c r="L3625" s="16" t="s">
        <v>27</v>
      </c>
      <c r="M3625" s="16">
        <f t="shared" si="339"/>
        <v>-1.4206794051461267</v>
      </c>
      <c r="N3625">
        <f t="shared" si="340"/>
        <v>0</v>
      </c>
      <c r="O3625">
        <f t="shared" si="341"/>
        <v>0</v>
      </c>
      <c r="P3625">
        <f t="shared" si="338"/>
        <v>3650</v>
      </c>
      <c r="Q3625">
        <f t="shared" si="342"/>
        <v>3650</v>
      </c>
      <c r="T3625" s="16">
        <f t="shared" si="343"/>
        <v>-1.4206794051461269</v>
      </c>
    </row>
    <row r="3626" spans="7:20" ht="14.4" x14ac:dyDescent="0.25">
      <c r="G3626" s="10">
        <v>2915</v>
      </c>
      <c r="H3626" s="9">
        <v>21057</v>
      </c>
      <c r="I3626" s="14">
        <f>DATE(2012,12,31)-697</f>
        <v>40577</v>
      </c>
      <c r="J3626" s="15" t="s">
        <v>25</v>
      </c>
      <c r="K3626" s="9">
        <v>28</v>
      </c>
      <c r="L3626" s="16" t="s">
        <v>27</v>
      </c>
      <c r="M3626" s="16">
        <f t="shared" si="339"/>
        <v>0.16769545709596645</v>
      </c>
      <c r="N3626">
        <f t="shared" si="340"/>
        <v>0</v>
      </c>
      <c r="O3626">
        <f t="shared" si="341"/>
        <v>0</v>
      </c>
      <c r="P3626">
        <f t="shared" si="338"/>
        <v>4800</v>
      </c>
      <c r="Q3626">
        <f t="shared" si="342"/>
        <v>4800</v>
      </c>
      <c r="T3626" s="16">
        <f t="shared" si="343"/>
        <v>0.16769545709596606</v>
      </c>
    </row>
    <row r="3627" spans="7:20" ht="14.4" x14ac:dyDescent="0.25">
      <c r="G3627" s="10">
        <v>2925</v>
      </c>
      <c r="H3627" s="9">
        <v>21190</v>
      </c>
      <c r="I3627" s="14">
        <f>DATE(2012,12,31)-1313</f>
        <v>39961</v>
      </c>
      <c r="J3627" s="15" t="s">
        <v>16</v>
      </c>
      <c r="K3627" s="9">
        <v>28</v>
      </c>
      <c r="L3627" s="16" t="s">
        <v>26</v>
      </c>
      <c r="M3627" s="16">
        <f t="shared" si="339"/>
        <v>0.16769545709596645</v>
      </c>
      <c r="N3627">
        <f t="shared" si="340"/>
        <v>0</v>
      </c>
      <c r="O3627">
        <f t="shared" si="341"/>
        <v>0</v>
      </c>
      <c r="P3627">
        <f t="shared" si="338"/>
        <v>4800</v>
      </c>
      <c r="Q3627">
        <f t="shared" si="342"/>
        <v>4800</v>
      </c>
      <c r="T3627" s="16">
        <f t="shared" si="343"/>
        <v>0.16769545709596606</v>
      </c>
    </row>
    <row r="3628" spans="7:20" ht="14.4" x14ac:dyDescent="0.25">
      <c r="G3628" s="10">
        <v>2977</v>
      </c>
      <c r="H3628" s="9">
        <v>21505</v>
      </c>
      <c r="I3628" s="14">
        <f>DATE(2012,12,31)-28</f>
        <v>41246</v>
      </c>
      <c r="J3628" s="15" t="s">
        <v>25</v>
      </c>
      <c r="K3628" s="9">
        <v>3</v>
      </c>
      <c r="L3628" s="16" t="s">
        <v>29</v>
      </c>
      <c r="M3628" s="16">
        <f t="shared" si="339"/>
        <v>-1.5587989583845694</v>
      </c>
      <c r="N3628">
        <f t="shared" si="340"/>
        <v>0</v>
      </c>
      <c r="O3628">
        <f t="shared" si="341"/>
        <v>0</v>
      </c>
      <c r="P3628">
        <f t="shared" si="338"/>
        <v>3550</v>
      </c>
      <c r="Q3628">
        <f t="shared" si="342"/>
        <v>3550</v>
      </c>
      <c r="T3628" s="16">
        <f t="shared" si="343"/>
        <v>-1.5587989583845698</v>
      </c>
    </row>
    <row r="3629" spans="7:20" ht="14.4" x14ac:dyDescent="0.25">
      <c r="G3629" s="10">
        <v>3076</v>
      </c>
      <c r="H3629" s="9">
        <v>22055</v>
      </c>
      <c r="I3629" s="14">
        <f>DATE(2012,12,31)-99</f>
        <v>41175</v>
      </c>
      <c r="J3629" s="15" t="s">
        <v>16</v>
      </c>
      <c r="K3629" s="9">
        <v>40</v>
      </c>
      <c r="L3629" s="16" t="s">
        <v>29</v>
      </c>
      <c r="M3629" s="16">
        <f t="shared" si="339"/>
        <v>0.99641277652662363</v>
      </c>
      <c r="N3629">
        <f t="shared" si="340"/>
        <v>0</v>
      </c>
      <c r="O3629">
        <f t="shared" si="341"/>
        <v>0</v>
      </c>
      <c r="P3629">
        <f t="shared" si="338"/>
        <v>5400</v>
      </c>
      <c r="Q3629">
        <f t="shared" si="342"/>
        <v>5400</v>
      </c>
      <c r="T3629" s="16">
        <f t="shared" si="343"/>
        <v>0.9964127765266233</v>
      </c>
    </row>
    <row r="3630" spans="7:20" ht="14.4" x14ac:dyDescent="0.25">
      <c r="G3630" s="10">
        <v>3114</v>
      </c>
      <c r="H3630" s="9">
        <v>22371</v>
      </c>
      <c r="I3630" s="14">
        <f>DATE(2012,12,31)-1367</f>
        <v>39907</v>
      </c>
      <c r="J3630" s="15" t="s">
        <v>17</v>
      </c>
      <c r="K3630" s="9">
        <v>8</v>
      </c>
      <c r="L3630" s="16" t="s">
        <v>26</v>
      </c>
      <c r="M3630" s="16">
        <f t="shared" si="339"/>
        <v>-1.2135000752884624</v>
      </c>
      <c r="N3630">
        <f t="shared" si="340"/>
        <v>0</v>
      </c>
      <c r="O3630">
        <f t="shared" si="341"/>
        <v>0</v>
      </c>
      <c r="P3630">
        <f t="shared" si="338"/>
        <v>3800</v>
      </c>
      <c r="Q3630">
        <f t="shared" si="342"/>
        <v>3800</v>
      </c>
      <c r="T3630" s="16">
        <f t="shared" si="343"/>
        <v>-1.2135000752884626</v>
      </c>
    </row>
    <row r="3631" spans="7:20" ht="14.4" x14ac:dyDescent="0.25">
      <c r="G3631" s="10">
        <v>3137</v>
      </c>
      <c r="H3631" s="9">
        <v>22498</v>
      </c>
      <c r="I3631" s="14">
        <f>DATE(2012,12,31)-783</f>
        <v>40491</v>
      </c>
      <c r="J3631" s="15" t="s">
        <v>30</v>
      </c>
      <c r="K3631" s="9">
        <v>20</v>
      </c>
      <c r="L3631" s="16" t="s">
        <v>27</v>
      </c>
      <c r="M3631" s="16">
        <f t="shared" si="339"/>
        <v>-0.38478275585780503</v>
      </c>
      <c r="N3631">
        <f t="shared" si="340"/>
        <v>0</v>
      </c>
      <c r="O3631">
        <f t="shared" si="341"/>
        <v>0</v>
      </c>
      <c r="P3631">
        <f t="shared" si="338"/>
        <v>4400</v>
      </c>
      <c r="Q3631">
        <f t="shared" si="342"/>
        <v>4400</v>
      </c>
      <c r="T3631" s="16">
        <f t="shared" si="343"/>
        <v>-0.38478275585780541</v>
      </c>
    </row>
    <row r="3632" spans="7:20" ht="14.4" x14ac:dyDescent="0.25">
      <c r="G3632" s="10">
        <v>3145</v>
      </c>
      <c r="H3632" s="9">
        <v>22562</v>
      </c>
      <c r="I3632" s="14">
        <f>DATE(2012,12,31)-1375</f>
        <v>39899</v>
      </c>
      <c r="J3632" s="15" t="s">
        <v>16</v>
      </c>
      <c r="K3632" s="9">
        <v>46</v>
      </c>
      <c r="L3632" s="16" t="s">
        <v>27</v>
      </c>
      <c r="M3632" s="16">
        <f t="shared" si="339"/>
        <v>1.4107714362419523</v>
      </c>
      <c r="N3632">
        <f t="shared" si="340"/>
        <v>0</v>
      </c>
      <c r="O3632">
        <f t="shared" si="341"/>
        <v>0</v>
      </c>
      <c r="P3632">
        <f t="shared" si="338"/>
        <v>5700</v>
      </c>
      <c r="Q3632">
        <f t="shared" si="342"/>
        <v>5700</v>
      </c>
      <c r="T3632" s="16">
        <f t="shared" si="343"/>
        <v>1.4107714362419519</v>
      </c>
    </row>
    <row r="3633" spans="7:20" ht="14.4" x14ac:dyDescent="0.25">
      <c r="G3633" s="10">
        <v>3146</v>
      </c>
      <c r="H3633" s="9">
        <v>22562</v>
      </c>
      <c r="I3633" s="14">
        <f>DATE(2012,12,31)-1375</f>
        <v>39899</v>
      </c>
      <c r="J3633" s="15" t="s">
        <v>16</v>
      </c>
      <c r="K3633" s="9">
        <v>31</v>
      </c>
      <c r="L3633" s="16" t="s">
        <v>26</v>
      </c>
      <c r="M3633" s="16">
        <f t="shared" si="339"/>
        <v>0.37487478695363075</v>
      </c>
      <c r="N3633">
        <f t="shared" si="340"/>
        <v>0</v>
      </c>
      <c r="O3633">
        <f t="shared" si="341"/>
        <v>0</v>
      </c>
      <c r="P3633">
        <f t="shared" si="338"/>
        <v>4950</v>
      </c>
      <c r="Q3633">
        <f t="shared" si="342"/>
        <v>4950</v>
      </c>
      <c r="T3633" s="16">
        <f t="shared" si="343"/>
        <v>0.37487478695363036</v>
      </c>
    </row>
    <row r="3634" spans="7:20" ht="14.4" x14ac:dyDescent="0.25">
      <c r="G3634" s="10">
        <v>3147</v>
      </c>
      <c r="H3634" s="9">
        <v>22562</v>
      </c>
      <c r="I3634" s="14">
        <f>DATE(2012,12,31)-1375</f>
        <v>39899</v>
      </c>
      <c r="J3634" s="15" t="s">
        <v>16</v>
      </c>
      <c r="K3634" s="9">
        <v>3</v>
      </c>
      <c r="L3634" s="16" t="s">
        <v>26</v>
      </c>
      <c r="M3634" s="16">
        <f t="shared" si="339"/>
        <v>-1.5587989583845694</v>
      </c>
      <c r="N3634">
        <f t="shared" si="340"/>
        <v>0</v>
      </c>
      <c r="O3634">
        <f t="shared" si="341"/>
        <v>0</v>
      </c>
      <c r="P3634">
        <f t="shared" si="338"/>
        <v>3550</v>
      </c>
      <c r="Q3634">
        <f t="shared" si="342"/>
        <v>3550</v>
      </c>
      <c r="T3634" s="16">
        <f t="shared" si="343"/>
        <v>-1.5587989583845698</v>
      </c>
    </row>
    <row r="3635" spans="7:20" ht="14.4" x14ac:dyDescent="0.25">
      <c r="G3635" s="10">
        <v>3270</v>
      </c>
      <c r="H3635" s="9">
        <v>23392</v>
      </c>
      <c r="I3635" s="14">
        <f>DATE(2012,12,31)-1233</f>
        <v>40041</v>
      </c>
      <c r="J3635" s="15" t="s">
        <v>16</v>
      </c>
      <c r="K3635" s="9">
        <v>24</v>
      </c>
      <c r="L3635" s="16" t="s">
        <v>29</v>
      </c>
      <c r="M3635" s="16">
        <f t="shared" si="339"/>
        <v>-0.1085436493809193</v>
      </c>
      <c r="N3635">
        <f t="shared" si="340"/>
        <v>0</v>
      </c>
      <c r="O3635">
        <f t="shared" si="341"/>
        <v>0</v>
      </c>
      <c r="P3635">
        <f t="shared" si="338"/>
        <v>4600</v>
      </c>
      <c r="Q3635">
        <f t="shared" si="342"/>
        <v>4600</v>
      </c>
      <c r="T3635" s="16">
        <f t="shared" si="343"/>
        <v>-0.10854364938091969</v>
      </c>
    </row>
    <row r="3636" spans="7:20" ht="14.4" x14ac:dyDescent="0.25">
      <c r="G3636" s="10">
        <v>3327</v>
      </c>
      <c r="H3636" s="9">
        <v>23782</v>
      </c>
      <c r="I3636" s="14">
        <f>DATE(2012,12,31)-1086</f>
        <v>40188</v>
      </c>
      <c r="J3636" s="15" t="s">
        <v>25</v>
      </c>
      <c r="K3636" s="9">
        <v>46</v>
      </c>
      <c r="L3636" s="16" t="s">
        <v>29</v>
      </c>
      <c r="M3636" s="16">
        <f t="shared" si="339"/>
        <v>1.4107714362419523</v>
      </c>
      <c r="N3636">
        <f t="shared" si="340"/>
        <v>0</v>
      </c>
      <c r="O3636">
        <f t="shared" si="341"/>
        <v>0</v>
      </c>
      <c r="P3636">
        <f t="shared" si="338"/>
        <v>5700</v>
      </c>
      <c r="Q3636">
        <f t="shared" si="342"/>
        <v>5700</v>
      </c>
      <c r="T3636" s="16">
        <f t="shared" si="343"/>
        <v>1.4107714362419519</v>
      </c>
    </row>
    <row r="3637" spans="7:20" ht="14.4" x14ac:dyDescent="0.25">
      <c r="G3637" s="10">
        <v>3328</v>
      </c>
      <c r="H3637" s="9">
        <v>23782</v>
      </c>
      <c r="I3637" s="14">
        <f>DATE(2012,12,31)-1086</f>
        <v>40188</v>
      </c>
      <c r="J3637" s="15" t="s">
        <v>25</v>
      </c>
      <c r="K3637" s="9">
        <v>7</v>
      </c>
      <c r="L3637" s="16" t="s">
        <v>26</v>
      </c>
      <c r="M3637" s="16">
        <f t="shared" si="339"/>
        <v>-1.2825598519076837</v>
      </c>
      <c r="N3637">
        <f t="shared" si="340"/>
        <v>0</v>
      </c>
      <c r="O3637">
        <f t="shared" si="341"/>
        <v>0</v>
      </c>
      <c r="P3637">
        <f t="shared" si="338"/>
        <v>3750</v>
      </c>
      <c r="Q3637">
        <f t="shared" si="342"/>
        <v>3750</v>
      </c>
      <c r="T3637" s="16">
        <f t="shared" si="343"/>
        <v>-1.2825598519076842</v>
      </c>
    </row>
    <row r="3638" spans="7:20" ht="14.4" x14ac:dyDescent="0.25">
      <c r="G3638" s="10">
        <v>3367</v>
      </c>
      <c r="H3638" s="9">
        <v>24069</v>
      </c>
      <c r="I3638" s="14">
        <f>DATE(2012,12,31)-899</f>
        <v>40375</v>
      </c>
      <c r="J3638" s="15" t="s">
        <v>25</v>
      </c>
      <c r="K3638" s="9">
        <v>21</v>
      </c>
      <c r="L3638" s="16" t="s">
        <v>29</v>
      </c>
      <c r="M3638" s="16">
        <f t="shared" si="339"/>
        <v>-0.31572297923858361</v>
      </c>
      <c r="N3638">
        <f t="shared" si="340"/>
        <v>0</v>
      </c>
      <c r="O3638">
        <f t="shared" si="341"/>
        <v>0</v>
      </c>
      <c r="P3638">
        <f t="shared" si="338"/>
        <v>4450</v>
      </c>
      <c r="Q3638">
        <f t="shared" si="342"/>
        <v>4450</v>
      </c>
      <c r="T3638" s="16">
        <f t="shared" si="343"/>
        <v>-0.315722979238584</v>
      </c>
    </row>
    <row r="3639" spans="7:20" ht="14.4" x14ac:dyDescent="0.25">
      <c r="G3639" s="10">
        <v>3377</v>
      </c>
      <c r="H3639" s="9">
        <v>24099</v>
      </c>
      <c r="I3639" s="14">
        <f>DATE(2012,12,31)-591</f>
        <v>40683</v>
      </c>
      <c r="J3639" s="15" t="s">
        <v>28</v>
      </c>
      <c r="K3639" s="9">
        <v>6</v>
      </c>
      <c r="L3639" s="16" t="s">
        <v>27</v>
      </c>
      <c r="M3639" s="16">
        <f t="shared" si="339"/>
        <v>-1.3516196285269051</v>
      </c>
      <c r="N3639">
        <f t="shared" si="340"/>
        <v>0</v>
      </c>
      <c r="O3639">
        <f t="shared" si="341"/>
        <v>0</v>
      </c>
      <c r="P3639">
        <f t="shared" si="338"/>
        <v>3700</v>
      </c>
      <c r="Q3639">
        <f t="shared" si="342"/>
        <v>3700</v>
      </c>
      <c r="T3639" s="16">
        <f t="shared" si="343"/>
        <v>-1.3516196285269055</v>
      </c>
    </row>
    <row r="3640" spans="7:20" ht="14.4" x14ac:dyDescent="0.25">
      <c r="G3640" s="10">
        <v>3378</v>
      </c>
      <c r="H3640" s="9">
        <v>24099</v>
      </c>
      <c r="I3640" s="14">
        <f>DATE(2012,12,31)-591</f>
        <v>40683</v>
      </c>
      <c r="J3640" s="15" t="s">
        <v>28</v>
      </c>
      <c r="K3640" s="9">
        <v>36</v>
      </c>
      <c r="L3640" s="16" t="s">
        <v>26</v>
      </c>
      <c r="M3640" s="16">
        <f t="shared" si="339"/>
        <v>0.72017367004973787</v>
      </c>
      <c r="N3640">
        <f t="shared" si="340"/>
        <v>0</v>
      </c>
      <c r="O3640">
        <f t="shared" si="341"/>
        <v>0</v>
      </c>
      <c r="P3640">
        <f t="shared" si="338"/>
        <v>5200</v>
      </c>
      <c r="Q3640">
        <f t="shared" si="342"/>
        <v>5200</v>
      </c>
      <c r="T3640" s="16">
        <f t="shared" si="343"/>
        <v>0.72017367004973754</v>
      </c>
    </row>
    <row r="3641" spans="7:20" ht="14.4" x14ac:dyDescent="0.25">
      <c r="G3641" s="10">
        <v>3401</v>
      </c>
      <c r="H3641" s="9">
        <v>24228</v>
      </c>
      <c r="I3641" s="14">
        <f>DATE(2012,12,31)-1263</f>
        <v>40011</v>
      </c>
      <c r="J3641" s="15" t="s">
        <v>25</v>
      </c>
      <c r="K3641" s="9">
        <v>31</v>
      </c>
      <c r="L3641" s="16" t="s">
        <v>26</v>
      </c>
      <c r="M3641" s="16">
        <f t="shared" si="339"/>
        <v>0.37487478695363075</v>
      </c>
      <c r="N3641">
        <f t="shared" si="340"/>
        <v>0</v>
      </c>
      <c r="O3641">
        <f t="shared" si="341"/>
        <v>0</v>
      </c>
      <c r="P3641">
        <f t="shared" si="338"/>
        <v>4950</v>
      </c>
      <c r="Q3641">
        <f t="shared" si="342"/>
        <v>4950</v>
      </c>
      <c r="T3641" s="16">
        <f t="shared" si="343"/>
        <v>0.37487478695363036</v>
      </c>
    </row>
    <row r="3642" spans="7:20" ht="14.4" x14ac:dyDescent="0.25">
      <c r="G3642" s="10">
        <v>3402</v>
      </c>
      <c r="H3642" s="9">
        <v>24231</v>
      </c>
      <c r="I3642" s="14">
        <f>DATE(2012,12,31)-1242</f>
        <v>40032</v>
      </c>
      <c r="J3642" s="15" t="s">
        <v>28</v>
      </c>
      <c r="K3642" s="9">
        <v>48</v>
      </c>
      <c r="L3642" s="16" t="s">
        <v>27</v>
      </c>
      <c r="M3642" s="16">
        <f t="shared" si="339"/>
        <v>1.5488909894803951</v>
      </c>
      <c r="N3642">
        <f t="shared" si="340"/>
        <v>0</v>
      </c>
      <c r="O3642">
        <f t="shared" si="341"/>
        <v>0</v>
      </c>
      <c r="P3642">
        <f t="shared" si="338"/>
        <v>5800</v>
      </c>
      <c r="Q3642">
        <f t="shared" si="342"/>
        <v>5800</v>
      </c>
      <c r="T3642" s="16">
        <f t="shared" si="343"/>
        <v>1.5488909894803948</v>
      </c>
    </row>
    <row r="3643" spans="7:20" ht="14.4" x14ac:dyDescent="0.25">
      <c r="G3643" s="10">
        <v>3452</v>
      </c>
      <c r="H3643" s="9">
        <v>24613</v>
      </c>
      <c r="I3643" s="14">
        <f>DATE(2012,12,31)-168</f>
        <v>41106</v>
      </c>
      <c r="J3643" s="15" t="s">
        <v>25</v>
      </c>
      <c r="K3643" s="9">
        <v>16</v>
      </c>
      <c r="L3643" s="16" t="s">
        <v>27</v>
      </c>
      <c r="M3643" s="16">
        <f t="shared" si="339"/>
        <v>-0.66102186233469074</v>
      </c>
      <c r="N3643">
        <f t="shared" si="340"/>
        <v>0</v>
      </c>
      <c r="O3643">
        <f t="shared" si="341"/>
        <v>0</v>
      </c>
      <c r="P3643">
        <f t="shared" si="338"/>
        <v>4200</v>
      </c>
      <c r="Q3643">
        <f t="shared" si="342"/>
        <v>4200</v>
      </c>
      <c r="T3643" s="16">
        <f t="shared" si="343"/>
        <v>-0.66102186233469118</v>
      </c>
    </row>
    <row r="3644" spans="7:20" ht="14.4" x14ac:dyDescent="0.25">
      <c r="G3644" s="10">
        <v>3453</v>
      </c>
      <c r="H3644" s="9">
        <v>24613</v>
      </c>
      <c r="I3644" s="14">
        <f>DATE(2012,12,31)-168</f>
        <v>41106</v>
      </c>
      <c r="J3644" s="15" t="s">
        <v>25</v>
      </c>
      <c r="K3644" s="9">
        <v>36</v>
      </c>
      <c r="L3644" s="16" t="s">
        <v>26</v>
      </c>
      <c r="M3644" s="16">
        <f t="shared" si="339"/>
        <v>0.72017367004973787</v>
      </c>
      <c r="N3644">
        <f t="shared" si="340"/>
        <v>0</v>
      </c>
      <c r="O3644">
        <f t="shared" si="341"/>
        <v>0</v>
      </c>
      <c r="P3644">
        <f t="shared" si="338"/>
        <v>5200</v>
      </c>
      <c r="Q3644">
        <f t="shared" si="342"/>
        <v>5200</v>
      </c>
      <c r="T3644" s="16">
        <f t="shared" si="343"/>
        <v>0.72017367004973754</v>
      </c>
    </row>
    <row r="3645" spans="7:20" ht="14.4" x14ac:dyDescent="0.25">
      <c r="G3645" s="10">
        <v>3454</v>
      </c>
      <c r="H3645" s="9">
        <v>24613</v>
      </c>
      <c r="I3645" s="14">
        <f>DATE(2012,12,31)-168</f>
        <v>41106</v>
      </c>
      <c r="J3645" s="15" t="s">
        <v>25</v>
      </c>
      <c r="K3645" s="9">
        <v>39</v>
      </c>
      <c r="L3645" s="16" t="s">
        <v>26</v>
      </c>
      <c r="M3645" s="16">
        <f t="shared" si="339"/>
        <v>0.92735299990740228</v>
      </c>
      <c r="N3645">
        <f t="shared" si="340"/>
        <v>0</v>
      </c>
      <c r="O3645">
        <f t="shared" si="341"/>
        <v>0</v>
      </c>
      <c r="P3645">
        <f t="shared" si="338"/>
        <v>5350</v>
      </c>
      <c r="Q3645">
        <f t="shared" si="342"/>
        <v>5350</v>
      </c>
      <c r="T3645" s="16">
        <f t="shared" si="343"/>
        <v>0.92735299990740183</v>
      </c>
    </row>
    <row r="3646" spans="7:20" ht="14.4" x14ac:dyDescent="0.25">
      <c r="G3646" s="10">
        <v>3462</v>
      </c>
      <c r="H3646" s="9">
        <v>24647</v>
      </c>
      <c r="I3646" s="14">
        <f>DATE(2012,12,31)-1306</f>
        <v>39968</v>
      </c>
      <c r="J3646" s="15" t="s">
        <v>28</v>
      </c>
      <c r="K3646" s="9">
        <v>3</v>
      </c>
      <c r="L3646" s="16" t="s">
        <v>27</v>
      </c>
      <c r="M3646" s="16">
        <f t="shared" si="339"/>
        <v>-1.5587989583845694</v>
      </c>
      <c r="N3646">
        <f t="shared" si="340"/>
        <v>0</v>
      </c>
      <c r="O3646">
        <f t="shared" si="341"/>
        <v>0</v>
      </c>
      <c r="P3646">
        <f t="shared" si="338"/>
        <v>3550</v>
      </c>
      <c r="Q3646">
        <f t="shared" si="342"/>
        <v>3550</v>
      </c>
      <c r="T3646" s="16">
        <f t="shared" si="343"/>
        <v>-1.5587989583845698</v>
      </c>
    </row>
    <row r="3647" spans="7:20" ht="14.4" x14ac:dyDescent="0.25">
      <c r="G3647" s="10">
        <v>3463</v>
      </c>
      <c r="H3647" s="9">
        <v>24647</v>
      </c>
      <c r="I3647" s="14">
        <f>DATE(2012,12,31)-1306</f>
        <v>39968</v>
      </c>
      <c r="J3647" s="15" t="s">
        <v>28</v>
      </c>
      <c r="K3647" s="9">
        <v>34</v>
      </c>
      <c r="L3647" s="16" t="s">
        <v>26</v>
      </c>
      <c r="M3647" s="16">
        <f t="shared" si="339"/>
        <v>0.58205411681129504</v>
      </c>
      <c r="N3647">
        <f t="shared" si="340"/>
        <v>0</v>
      </c>
      <c r="O3647">
        <f t="shared" si="341"/>
        <v>0</v>
      </c>
      <c r="P3647">
        <f t="shared" si="338"/>
        <v>5100</v>
      </c>
      <c r="Q3647">
        <f t="shared" si="342"/>
        <v>5100</v>
      </c>
      <c r="T3647" s="16">
        <f t="shared" si="343"/>
        <v>0.58205411681129471</v>
      </c>
    </row>
    <row r="3648" spans="7:20" ht="14.4" x14ac:dyDescent="0.25">
      <c r="G3648" s="10">
        <v>3464</v>
      </c>
      <c r="H3648" s="9">
        <v>24672</v>
      </c>
      <c r="I3648" s="14">
        <f>DATE(2012,12,31)-289</f>
        <v>40985</v>
      </c>
      <c r="J3648" s="15" t="s">
        <v>16</v>
      </c>
      <c r="K3648" s="9">
        <v>5</v>
      </c>
      <c r="L3648" s="16" t="s">
        <v>29</v>
      </c>
      <c r="M3648" s="16">
        <f t="shared" si="339"/>
        <v>-1.4206794051461267</v>
      </c>
      <c r="N3648">
        <f t="shared" si="340"/>
        <v>0</v>
      </c>
      <c r="O3648">
        <f t="shared" si="341"/>
        <v>0</v>
      </c>
      <c r="P3648">
        <f t="shared" si="338"/>
        <v>3650</v>
      </c>
      <c r="Q3648">
        <f t="shared" si="342"/>
        <v>3650</v>
      </c>
      <c r="T3648" s="16">
        <f t="shared" si="343"/>
        <v>-1.4206794051461269</v>
      </c>
    </row>
    <row r="3649" spans="7:20" ht="14.4" x14ac:dyDescent="0.25">
      <c r="G3649" s="10">
        <v>3465</v>
      </c>
      <c r="H3649" s="9">
        <v>24672</v>
      </c>
      <c r="I3649" s="14">
        <f>DATE(2012,12,31)-289</f>
        <v>40985</v>
      </c>
      <c r="J3649" s="15" t="s">
        <v>16</v>
      </c>
      <c r="K3649" s="9">
        <v>37</v>
      </c>
      <c r="L3649" s="16" t="s">
        <v>26</v>
      </c>
      <c r="M3649" s="16">
        <f t="shared" si="339"/>
        <v>0.78923344666895934</v>
      </c>
      <c r="N3649">
        <f t="shared" si="340"/>
        <v>0</v>
      </c>
      <c r="O3649">
        <f t="shared" si="341"/>
        <v>0</v>
      </c>
      <c r="P3649">
        <f t="shared" si="338"/>
        <v>5250</v>
      </c>
      <c r="Q3649">
        <f t="shared" si="342"/>
        <v>5250</v>
      </c>
      <c r="T3649" s="16">
        <f t="shared" si="343"/>
        <v>0.789233446668959</v>
      </c>
    </row>
    <row r="3650" spans="7:20" ht="14.4" x14ac:dyDescent="0.25">
      <c r="G3650" s="10">
        <v>3466</v>
      </c>
      <c r="H3650" s="9">
        <v>24672</v>
      </c>
      <c r="I3650" s="14">
        <f>DATE(2012,12,31)-289</f>
        <v>40985</v>
      </c>
      <c r="J3650" s="15" t="s">
        <v>16</v>
      </c>
      <c r="K3650" s="9">
        <v>37</v>
      </c>
      <c r="L3650" s="16" t="s">
        <v>26</v>
      </c>
      <c r="M3650" s="16">
        <f t="shared" si="339"/>
        <v>0.78923344666895934</v>
      </c>
      <c r="N3650">
        <f t="shared" si="340"/>
        <v>0</v>
      </c>
      <c r="O3650">
        <f t="shared" si="341"/>
        <v>0</v>
      </c>
      <c r="P3650">
        <f t="shared" si="338"/>
        <v>5250</v>
      </c>
      <c r="Q3650">
        <f t="shared" si="342"/>
        <v>5250</v>
      </c>
      <c r="T3650" s="16">
        <f t="shared" si="343"/>
        <v>0.789233446668959</v>
      </c>
    </row>
    <row r="3651" spans="7:20" ht="14.4" x14ac:dyDescent="0.25">
      <c r="G3651" s="10">
        <v>3476</v>
      </c>
      <c r="H3651" s="9">
        <v>24740</v>
      </c>
      <c r="I3651" s="14">
        <f>DATE(2012,12,31)-1086</f>
        <v>40188</v>
      </c>
      <c r="J3651" s="15" t="s">
        <v>16</v>
      </c>
      <c r="K3651" s="9">
        <v>11</v>
      </c>
      <c r="L3651" s="16" t="s">
        <v>29</v>
      </c>
      <c r="M3651" s="16">
        <f t="shared" si="339"/>
        <v>-1.0063207454307979</v>
      </c>
      <c r="N3651">
        <f t="shared" si="340"/>
        <v>0</v>
      </c>
      <c r="O3651">
        <f t="shared" si="341"/>
        <v>0</v>
      </c>
      <c r="P3651">
        <f t="shared" si="338"/>
        <v>3950</v>
      </c>
      <c r="Q3651">
        <f t="shared" si="342"/>
        <v>3950</v>
      </c>
      <c r="T3651" s="16">
        <f t="shared" si="343"/>
        <v>-1.0063207454307983</v>
      </c>
    </row>
    <row r="3652" spans="7:20" ht="14.4" x14ac:dyDescent="0.25">
      <c r="G3652" s="10">
        <v>3477</v>
      </c>
      <c r="H3652" s="9">
        <v>24740</v>
      </c>
      <c r="I3652" s="14">
        <f>DATE(2012,12,31)-1086</f>
        <v>40188</v>
      </c>
      <c r="J3652" s="15" t="s">
        <v>16</v>
      </c>
      <c r="K3652" s="9">
        <v>35</v>
      </c>
      <c r="L3652" s="16" t="s">
        <v>26</v>
      </c>
      <c r="M3652" s="16">
        <f t="shared" si="339"/>
        <v>0.65111389343051651</v>
      </c>
      <c r="N3652">
        <f t="shared" si="340"/>
        <v>0</v>
      </c>
      <c r="O3652">
        <f t="shared" si="341"/>
        <v>0</v>
      </c>
      <c r="P3652">
        <f t="shared" si="338"/>
        <v>5150</v>
      </c>
      <c r="Q3652">
        <f t="shared" si="342"/>
        <v>5150</v>
      </c>
      <c r="T3652" s="16">
        <f t="shared" si="343"/>
        <v>0.65111389343051607</v>
      </c>
    </row>
    <row r="3653" spans="7:20" ht="14.4" x14ac:dyDescent="0.25">
      <c r="G3653" s="10">
        <v>3578</v>
      </c>
      <c r="H3653" s="9">
        <v>25479</v>
      </c>
      <c r="I3653" s="14">
        <f>DATE(2012,12,31)-613</f>
        <v>40661</v>
      </c>
      <c r="J3653" s="15" t="s">
        <v>30</v>
      </c>
      <c r="K3653" s="9">
        <v>3</v>
      </c>
      <c r="L3653" s="16" t="s">
        <v>27</v>
      </c>
      <c r="M3653" s="16">
        <f t="shared" si="339"/>
        <v>-1.5587989583845694</v>
      </c>
      <c r="N3653">
        <f t="shared" si="340"/>
        <v>0</v>
      </c>
      <c r="O3653">
        <f t="shared" si="341"/>
        <v>0</v>
      </c>
      <c r="P3653">
        <f t="shared" si="338"/>
        <v>3550</v>
      </c>
      <c r="Q3653">
        <f t="shared" si="342"/>
        <v>3550</v>
      </c>
      <c r="T3653" s="16">
        <f t="shared" si="343"/>
        <v>-1.5587989583845698</v>
      </c>
    </row>
    <row r="3654" spans="7:20" ht="14.4" x14ac:dyDescent="0.25">
      <c r="G3654" s="10">
        <v>3635</v>
      </c>
      <c r="H3654" s="9">
        <v>25985</v>
      </c>
      <c r="I3654" s="14">
        <f>DATE(2012,12,31)-120</f>
        <v>41154</v>
      </c>
      <c r="J3654" s="15" t="s">
        <v>25</v>
      </c>
      <c r="K3654" s="9">
        <v>50</v>
      </c>
      <c r="L3654" s="16" t="s">
        <v>29</v>
      </c>
      <c r="M3654" s="16">
        <f t="shared" si="339"/>
        <v>1.687010542718838</v>
      </c>
      <c r="N3654">
        <f t="shared" si="340"/>
        <v>0</v>
      </c>
      <c r="O3654">
        <f t="shared" si="341"/>
        <v>0</v>
      </c>
      <c r="P3654">
        <f t="shared" si="338"/>
        <v>5900</v>
      </c>
      <c r="Q3654">
        <f t="shared" si="342"/>
        <v>5900</v>
      </c>
      <c r="T3654" s="16">
        <f t="shared" si="343"/>
        <v>1.6870105427188375</v>
      </c>
    </row>
    <row r="3655" spans="7:20" ht="14.4" x14ac:dyDescent="0.25">
      <c r="G3655" s="10">
        <v>3636</v>
      </c>
      <c r="H3655" s="9">
        <v>25985</v>
      </c>
      <c r="I3655" s="14">
        <f>DATE(2012,12,31)-120</f>
        <v>41154</v>
      </c>
      <c r="J3655" s="15" t="s">
        <v>25</v>
      </c>
      <c r="K3655" s="9">
        <v>22</v>
      </c>
      <c r="L3655" s="16" t="s">
        <v>26</v>
      </c>
      <c r="M3655" s="16">
        <f t="shared" si="339"/>
        <v>-0.24666320261936217</v>
      </c>
      <c r="N3655">
        <f t="shared" si="340"/>
        <v>0</v>
      </c>
      <c r="O3655">
        <f t="shared" si="341"/>
        <v>0</v>
      </c>
      <c r="P3655">
        <f t="shared" si="338"/>
        <v>4500</v>
      </c>
      <c r="Q3655">
        <f t="shared" si="342"/>
        <v>4500</v>
      </c>
      <c r="T3655" s="16">
        <f t="shared" si="343"/>
        <v>-0.24666320261936256</v>
      </c>
    </row>
    <row r="3656" spans="7:20" ht="14.4" x14ac:dyDescent="0.25">
      <c r="G3656" s="10">
        <v>3683</v>
      </c>
      <c r="H3656" s="9">
        <v>26341</v>
      </c>
      <c r="I3656" s="14">
        <f>DATE(2012,12,31)-887</f>
        <v>40387</v>
      </c>
      <c r="J3656" s="15" t="s">
        <v>30</v>
      </c>
      <c r="K3656" s="9">
        <v>8</v>
      </c>
      <c r="L3656" s="16" t="s">
        <v>29</v>
      </c>
      <c r="M3656" s="16">
        <f t="shared" si="339"/>
        <v>-1.2135000752884624</v>
      </c>
      <c r="N3656">
        <f t="shared" si="340"/>
        <v>0</v>
      </c>
      <c r="O3656">
        <f t="shared" si="341"/>
        <v>0</v>
      </c>
      <c r="P3656">
        <f t="shared" si="338"/>
        <v>3800</v>
      </c>
      <c r="Q3656">
        <f t="shared" si="342"/>
        <v>3800</v>
      </c>
      <c r="T3656" s="16">
        <f t="shared" si="343"/>
        <v>-1.2135000752884626</v>
      </c>
    </row>
    <row r="3657" spans="7:20" ht="14.4" x14ac:dyDescent="0.25">
      <c r="G3657" s="10">
        <v>3695</v>
      </c>
      <c r="H3657" s="9">
        <v>26407</v>
      </c>
      <c r="I3657" s="14">
        <f>DATE(2012,12,31)-195</f>
        <v>41079</v>
      </c>
      <c r="J3657" s="15" t="s">
        <v>30</v>
      </c>
      <c r="K3657" s="9">
        <v>34</v>
      </c>
      <c r="L3657" s="16" t="s">
        <v>26</v>
      </c>
      <c r="M3657" s="16">
        <f t="shared" si="339"/>
        <v>0.58205411681129504</v>
      </c>
      <c r="N3657">
        <f t="shared" si="340"/>
        <v>0</v>
      </c>
      <c r="O3657">
        <f t="shared" si="341"/>
        <v>0</v>
      </c>
      <c r="P3657">
        <f t="shared" si="338"/>
        <v>5100</v>
      </c>
      <c r="Q3657">
        <f t="shared" si="342"/>
        <v>5100</v>
      </c>
      <c r="T3657" s="16">
        <f t="shared" si="343"/>
        <v>0.58205411681129471</v>
      </c>
    </row>
    <row r="3658" spans="7:20" ht="14.4" x14ac:dyDescent="0.25">
      <c r="G3658" s="10">
        <v>3696</v>
      </c>
      <c r="H3658" s="9">
        <v>26407</v>
      </c>
      <c r="I3658" s="14">
        <f>DATE(2012,12,31)-195</f>
        <v>41079</v>
      </c>
      <c r="J3658" s="15" t="s">
        <v>30</v>
      </c>
      <c r="K3658" s="9">
        <v>16</v>
      </c>
      <c r="L3658" s="16" t="s">
        <v>27</v>
      </c>
      <c r="M3658" s="16">
        <f t="shared" si="339"/>
        <v>-0.66102186233469074</v>
      </c>
      <c r="N3658">
        <f t="shared" si="340"/>
        <v>0</v>
      </c>
      <c r="O3658">
        <f t="shared" si="341"/>
        <v>0</v>
      </c>
      <c r="P3658">
        <f t="shared" si="338"/>
        <v>4200</v>
      </c>
      <c r="Q3658">
        <f t="shared" si="342"/>
        <v>4200</v>
      </c>
      <c r="T3658" s="16">
        <f t="shared" si="343"/>
        <v>-0.66102186233469118</v>
      </c>
    </row>
    <row r="3659" spans="7:20" ht="14.4" x14ac:dyDescent="0.25">
      <c r="G3659" s="10">
        <v>3697</v>
      </c>
      <c r="H3659" s="9">
        <v>26432</v>
      </c>
      <c r="I3659" s="14">
        <f>DATE(2012,12,31)-1097</f>
        <v>40177</v>
      </c>
      <c r="J3659" s="15" t="s">
        <v>25</v>
      </c>
      <c r="K3659" s="9">
        <v>37</v>
      </c>
      <c r="L3659" s="16" t="s">
        <v>26</v>
      </c>
      <c r="M3659" s="16">
        <f t="shared" si="339"/>
        <v>0.78923344666895934</v>
      </c>
      <c r="N3659">
        <f t="shared" si="340"/>
        <v>0</v>
      </c>
      <c r="O3659">
        <f t="shared" si="341"/>
        <v>0</v>
      </c>
      <c r="P3659">
        <f t="shared" si="338"/>
        <v>5250</v>
      </c>
      <c r="Q3659">
        <f t="shared" si="342"/>
        <v>5250</v>
      </c>
      <c r="T3659" s="16">
        <f t="shared" si="343"/>
        <v>0.789233446668959</v>
      </c>
    </row>
    <row r="3660" spans="7:20" ht="14.4" x14ac:dyDescent="0.25">
      <c r="G3660" s="10">
        <v>3698</v>
      </c>
      <c r="H3660" s="9">
        <v>26432</v>
      </c>
      <c r="I3660" s="14">
        <f>DATE(2012,12,31)-1097</f>
        <v>40177</v>
      </c>
      <c r="J3660" s="15" t="s">
        <v>25</v>
      </c>
      <c r="K3660" s="9">
        <v>48</v>
      </c>
      <c r="L3660" s="16" t="s">
        <v>27</v>
      </c>
      <c r="M3660" s="16">
        <f t="shared" si="339"/>
        <v>1.5488909894803951</v>
      </c>
      <c r="N3660">
        <f t="shared" si="340"/>
        <v>0</v>
      </c>
      <c r="O3660">
        <f t="shared" si="341"/>
        <v>0</v>
      </c>
      <c r="P3660">
        <f t="shared" ref="P3660:P3723" si="344">50*K3660+$P$10</f>
        <v>5800</v>
      </c>
      <c r="Q3660">
        <f t="shared" si="342"/>
        <v>5800</v>
      </c>
      <c r="T3660" s="16">
        <f t="shared" si="343"/>
        <v>1.5488909894803948</v>
      </c>
    </row>
    <row r="3661" spans="7:20" ht="14.4" x14ac:dyDescent="0.25">
      <c r="G3661" s="10">
        <v>3699</v>
      </c>
      <c r="H3661" s="9">
        <v>26432</v>
      </c>
      <c r="I3661" s="14">
        <f>DATE(2012,12,31)-1097</f>
        <v>40177</v>
      </c>
      <c r="J3661" s="15" t="s">
        <v>25</v>
      </c>
      <c r="K3661" s="9">
        <v>11</v>
      </c>
      <c r="L3661" s="16" t="s">
        <v>26</v>
      </c>
      <c r="M3661" s="16">
        <f t="shared" ref="M3661:M3724" si="345">(K3661-$K$4)/$K$7</f>
        <v>-1.0063207454307979</v>
      </c>
      <c r="N3661">
        <f t="shared" ref="N3661:N3724" si="346">IF(MOD($B$20+G3661,1000)=0,1,0)</f>
        <v>0</v>
      </c>
      <c r="O3661">
        <f t="shared" ref="O3661:O3724" si="347">+ROUND(N3661*(IF(K3661&lt;$K$4,-4.5,10.5)*$P$5),-2)</f>
        <v>0</v>
      </c>
      <c r="P3661">
        <f t="shared" si="344"/>
        <v>3950</v>
      </c>
      <c r="Q3661">
        <f t="shared" ref="Q3661:Q3724" si="348">P3661+O3661</f>
        <v>3950</v>
      </c>
      <c r="T3661" s="16">
        <f t="shared" ref="T3661:T3724" si="349">(Q3661-$P$4)/$P$5</f>
        <v>-1.0063207454307983</v>
      </c>
    </row>
    <row r="3662" spans="7:20" ht="14.4" x14ac:dyDescent="0.25">
      <c r="G3662" s="10">
        <v>3726</v>
      </c>
      <c r="H3662" s="9">
        <v>26630</v>
      </c>
      <c r="I3662" s="14">
        <f>DATE(2012,12,31)-765</f>
        <v>40509</v>
      </c>
      <c r="J3662" s="15" t="s">
        <v>17</v>
      </c>
      <c r="K3662" s="9">
        <v>9</v>
      </c>
      <c r="L3662" s="16" t="s">
        <v>26</v>
      </c>
      <c r="M3662" s="16">
        <f t="shared" si="345"/>
        <v>-1.1444402986692408</v>
      </c>
      <c r="N3662">
        <f t="shared" si="346"/>
        <v>0</v>
      </c>
      <c r="O3662">
        <f t="shared" si="347"/>
        <v>0</v>
      </c>
      <c r="P3662">
        <f t="shared" si="344"/>
        <v>3850</v>
      </c>
      <c r="Q3662">
        <f t="shared" si="348"/>
        <v>3850</v>
      </c>
      <c r="T3662" s="16">
        <f t="shared" si="349"/>
        <v>-1.1444402986692412</v>
      </c>
    </row>
    <row r="3663" spans="7:20" ht="14.4" x14ac:dyDescent="0.25">
      <c r="G3663" s="10">
        <v>3730</v>
      </c>
      <c r="H3663" s="9">
        <v>26660</v>
      </c>
      <c r="I3663" s="14">
        <f>DATE(2012,12,31)-288</f>
        <v>40986</v>
      </c>
      <c r="J3663" s="15" t="s">
        <v>16</v>
      </c>
      <c r="K3663" s="9">
        <v>1</v>
      </c>
      <c r="L3663" s="16" t="s">
        <v>26</v>
      </c>
      <c r="M3663" s="16">
        <f t="shared" si="345"/>
        <v>-1.6969185116230123</v>
      </c>
      <c r="N3663">
        <f t="shared" si="346"/>
        <v>0</v>
      </c>
      <c r="O3663">
        <f t="shared" si="347"/>
        <v>0</v>
      </c>
      <c r="P3663">
        <f t="shared" si="344"/>
        <v>3450</v>
      </c>
      <c r="Q3663">
        <f t="shared" si="348"/>
        <v>3450</v>
      </c>
      <c r="T3663" s="16">
        <f t="shared" si="349"/>
        <v>-1.6969185116230128</v>
      </c>
    </row>
    <row r="3664" spans="7:20" ht="14.4" x14ac:dyDescent="0.25">
      <c r="G3664" s="10">
        <v>3754</v>
      </c>
      <c r="H3664" s="9">
        <v>26818</v>
      </c>
      <c r="I3664" s="14">
        <f>DATE(2012,12,31)-358</f>
        <v>40916</v>
      </c>
      <c r="J3664" s="15" t="s">
        <v>28</v>
      </c>
      <c r="K3664" s="9">
        <v>23</v>
      </c>
      <c r="L3664" s="16" t="s">
        <v>26</v>
      </c>
      <c r="M3664" s="16">
        <f t="shared" si="345"/>
        <v>-0.17760342600014073</v>
      </c>
      <c r="N3664">
        <f t="shared" si="346"/>
        <v>0</v>
      </c>
      <c r="O3664">
        <f t="shared" si="347"/>
        <v>0</v>
      </c>
      <c r="P3664">
        <f t="shared" si="344"/>
        <v>4550</v>
      </c>
      <c r="Q3664">
        <f t="shared" si="348"/>
        <v>4550</v>
      </c>
      <c r="T3664" s="16">
        <f t="shared" si="349"/>
        <v>-0.17760342600014112</v>
      </c>
    </row>
    <row r="3665" spans="7:20" ht="14.4" x14ac:dyDescent="0.25">
      <c r="G3665" s="10">
        <v>3755</v>
      </c>
      <c r="H3665" s="9">
        <v>26818</v>
      </c>
      <c r="I3665" s="14">
        <f>DATE(2012,12,31)-358</f>
        <v>40916</v>
      </c>
      <c r="J3665" s="15" t="s">
        <v>28</v>
      </c>
      <c r="K3665" s="9">
        <v>5</v>
      </c>
      <c r="L3665" s="16" t="s">
        <v>26</v>
      </c>
      <c r="M3665" s="16">
        <f t="shared" si="345"/>
        <v>-1.4206794051461267</v>
      </c>
      <c r="N3665">
        <f t="shared" si="346"/>
        <v>0</v>
      </c>
      <c r="O3665">
        <f t="shared" si="347"/>
        <v>0</v>
      </c>
      <c r="P3665">
        <f t="shared" si="344"/>
        <v>3650</v>
      </c>
      <c r="Q3665">
        <f t="shared" si="348"/>
        <v>3650</v>
      </c>
      <c r="T3665" s="16">
        <f t="shared" si="349"/>
        <v>-1.4206794051461269</v>
      </c>
    </row>
    <row r="3666" spans="7:20" ht="14.4" x14ac:dyDescent="0.25">
      <c r="G3666" s="10">
        <v>3756</v>
      </c>
      <c r="H3666" s="9">
        <v>26818</v>
      </c>
      <c r="I3666" s="14">
        <f>DATE(2012,12,31)-358</f>
        <v>40916</v>
      </c>
      <c r="J3666" s="15" t="s">
        <v>28</v>
      </c>
      <c r="K3666" s="9">
        <v>36</v>
      </c>
      <c r="L3666" s="16" t="s">
        <v>26</v>
      </c>
      <c r="M3666" s="16">
        <f t="shared" si="345"/>
        <v>0.72017367004973787</v>
      </c>
      <c r="N3666">
        <f t="shared" si="346"/>
        <v>0</v>
      </c>
      <c r="O3666">
        <f t="shared" si="347"/>
        <v>0</v>
      </c>
      <c r="P3666">
        <f t="shared" si="344"/>
        <v>5200</v>
      </c>
      <c r="Q3666">
        <f t="shared" si="348"/>
        <v>5200</v>
      </c>
      <c r="T3666" s="16">
        <f t="shared" si="349"/>
        <v>0.72017367004973754</v>
      </c>
    </row>
    <row r="3667" spans="7:20" ht="14.4" x14ac:dyDescent="0.25">
      <c r="G3667" s="10">
        <v>3790</v>
      </c>
      <c r="H3667" s="9">
        <v>27011</v>
      </c>
      <c r="I3667" s="14">
        <f>DATE(2012,12,31)-732</f>
        <v>40542</v>
      </c>
      <c r="J3667" s="15" t="s">
        <v>16</v>
      </c>
      <c r="K3667" s="9">
        <v>5</v>
      </c>
      <c r="L3667" s="16" t="s">
        <v>26</v>
      </c>
      <c r="M3667" s="16">
        <f t="shared" si="345"/>
        <v>-1.4206794051461267</v>
      </c>
      <c r="N3667">
        <f t="shared" si="346"/>
        <v>0</v>
      </c>
      <c r="O3667">
        <f t="shared" si="347"/>
        <v>0</v>
      </c>
      <c r="P3667">
        <f t="shared" si="344"/>
        <v>3650</v>
      </c>
      <c r="Q3667">
        <f t="shared" si="348"/>
        <v>3650</v>
      </c>
      <c r="T3667" s="16">
        <f t="shared" si="349"/>
        <v>-1.4206794051461269</v>
      </c>
    </row>
    <row r="3668" spans="7:20" ht="14.4" x14ac:dyDescent="0.25">
      <c r="G3668" s="10">
        <v>3903</v>
      </c>
      <c r="H3668" s="9">
        <v>27841</v>
      </c>
      <c r="I3668" s="14">
        <f>DATE(2012,12,31)-106</f>
        <v>41168</v>
      </c>
      <c r="J3668" s="15" t="s">
        <v>17</v>
      </c>
      <c r="K3668" s="9">
        <v>33</v>
      </c>
      <c r="L3668" s="16" t="s">
        <v>26</v>
      </c>
      <c r="M3668" s="16">
        <f t="shared" si="345"/>
        <v>0.51299434019207357</v>
      </c>
      <c r="N3668">
        <f t="shared" si="346"/>
        <v>0</v>
      </c>
      <c r="O3668">
        <f t="shared" si="347"/>
        <v>0</v>
      </c>
      <c r="P3668">
        <f t="shared" si="344"/>
        <v>5050</v>
      </c>
      <c r="Q3668">
        <f t="shared" si="348"/>
        <v>5050</v>
      </c>
      <c r="T3668" s="16">
        <f t="shared" si="349"/>
        <v>0.51299434019207324</v>
      </c>
    </row>
    <row r="3669" spans="7:20" ht="14.4" x14ac:dyDescent="0.25">
      <c r="G3669" s="10">
        <v>4003</v>
      </c>
      <c r="H3669" s="9">
        <v>28581</v>
      </c>
      <c r="I3669" s="14">
        <f>DATE(2012,12,31)-390</f>
        <v>40884</v>
      </c>
      <c r="J3669" s="15" t="s">
        <v>16</v>
      </c>
      <c r="K3669" s="9">
        <v>1</v>
      </c>
      <c r="L3669" s="16" t="s">
        <v>26</v>
      </c>
      <c r="M3669" s="16">
        <f t="shared" si="345"/>
        <v>-1.6969185116230123</v>
      </c>
      <c r="N3669">
        <f t="shared" si="346"/>
        <v>0</v>
      </c>
      <c r="O3669">
        <f t="shared" si="347"/>
        <v>0</v>
      </c>
      <c r="P3669">
        <f t="shared" si="344"/>
        <v>3450</v>
      </c>
      <c r="Q3669">
        <f t="shared" si="348"/>
        <v>3450</v>
      </c>
      <c r="T3669" s="16">
        <f t="shared" si="349"/>
        <v>-1.6969185116230128</v>
      </c>
    </row>
    <row r="3670" spans="7:20" ht="14.4" x14ac:dyDescent="0.25">
      <c r="G3670" s="10">
        <v>4004</v>
      </c>
      <c r="H3670" s="9">
        <v>28581</v>
      </c>
      <c r="I3670" s="14">
        <f>DATE(2012,12,31)-390</f>
        <v>40884</v>
      </c>
      <c r="J3670" s="15" t="s">
        <v>16</v>
      </c>
      <c r="K3670" s="9">
        <v>36</v>
      </c>
      <c r="L3670" s="16" t="s">
        <v>26</v>
      </c>
      <c r="M3670" s="16">
        <f t="shared" si="345"/>
        <v>0.72017367004973787</v>
      </c>
      <c r="N3670">
        <f t="shared" si="346"/>
        <v>0</v>
      </c>
      <c r="O3670">
        <f t="shared" si="347"/>
        <v>0</v>
      </c>
      <c r="P3670">
        <f t="shared" si="344"/>
        <v>5200</v>
      </c>
      <c r="Q3670">
        <f t="shared" si="348"/>
        <v>5200</v>
      </c>
      <c r="T3670" s="16">
        <f t="shared" si="349"/>
        <v>0.72017367004973754</v>
      </c>
    </row>
    <row r="3671" spans="7:20" ht="14.4" x14ac:dyDescent="0.25">
      <c r="G3671" s="10">
        <v>4008</v>
      </c>
      <c r="H3671" s="9">
        <v>28611</v>
      </c>
      <c r="I3671" s="14">
        <f>DATE(2012,12,31)-4</f>
        <v>41270</v>
      </c>
      <c r="J3671" s="15" t="s">
        <v>25</v>
      </c>
      <c r="K3671" s="9">
        <v>30</v>
      </c>
      <c r="L3671" s="16" t="s">
        <v>26</v>
      </c>
      <c r="M3671" s="16">
        <f t="shared" si="345"/>
        <v>0.30581501033440933</v>
      </c>
      <c r="N3671">
        <f t="shared" si="346"/>
        <v>0</v>
      </c>
      <c r="O3671">
        <f t="shared" si="347"/>
        <v>0</v>
      </c>
      <c r="P3671">
        <f t="shared" si="344"/>
        <v>4900</v>
      </c>
      <c r="Q3671">
        <f t="shared" si="348"/>
        <v>4900</v>
      </c>
      <c r="T3671" s="16">
        <f t="shared" si="349"/>
        <v>0.30581501033440894</v>
      </c>
    </row>
    <row r="3672" spans="7:20" ht="14.4" x14ac:dyDescent="0.25">
      <c r="G3672" s="10">
        <v>4009</v>
      </c>
      <c r="H3672" s="9">
        <v>28611</v>
      </c>
      <c r="I3672" s="14">
        <f>DATE(2012,12,31)-4</f>
        <v>41270</v>
      </c>
      <c r="J3672" s="15" t="s">
        <v>25</v>
      </c>
      <c r="K3672" s="9">
        <v>42</v>
      </c>
      <c r="L3672" s="16" t="s">
        <v>27</v>
      </c>
      <c r="M3672" s="16">
        <f t="shared" si="345"/>
        <v>1.1345323297650665</v>
      </c>
      <c r="N3672">
        <f t="shared" si="346"/>
        <v>0</v>
      </c>
      <c r="O3672">
        <f t="shared" si="347"/>
        <v>0</v>
      </c>
      <c r="P3672">
        <f t="shared" si="344"/>
        <v>5500</v>
      </c>
      <c r="Q3672">
        <f t="shared" si="348"/>
        <v>5500</v>
      </c>
      <c r="T3672" s="16">
        <f t="shared" si="349"/>
        <v>1.1345323297650662</v>
      </c>
    </row>
    <row r="3673" spans="7:20" ht="14.4" x14ac:dyDescent="0.25">
      <c r="G3673" s="10">
        <v>4015</v>
      </c>
      <c r="H3673" s="9">
        <v>28647</v>
      </c>
      <c r="I3673" s="14">
        <f>DATE(2012,12,31)-1388</f>
        <v>39886</v>
      </c>
      <c r="J3673" s="15" t="s">
        <v>30</v>
      </c>
      <c r="K3673" s="9">
        <v>38</v>
      </c>
      <c r="L3673" s="16" t="s">
        <v>29</v>
      </c>
      <c r="M3673" s="16">
        <f t="shared" si="345"/>
        <v>0.85829322328818081</v>
      </c>
      <c r="N3673">
        <f t="shared" si="346"/>
        <v>0</v>
      </c>
      <c r="O3673">
        <f t="shared" si="347"/>
        <v>0</v>
      </c>
      <c r="P3673">
        <f t="shared" si="344"/>
        <v>5300</v>
      </c>
      <c r="Q3673">
        <f t="shared" si="348"/>
        <v>5300</v>
      </c>
      <c r="T3673" s="16">
        <f t="shared" si="349"/>
        <v>0.85829322328818036</v>
      </c>
    </row>
    <row r="3674" spans="7:20" ht="14.4" x14ac:dyDescent="0.25">
      <c r="G3674" s="10">
        <v>4018</v>
      </c>
      <c r="H3674" s="9">
        <v>28736</v>
      </c>
      <c r="I3674" s="14">
        <f>DATE(2012,12,31)-1350</f>
        <v>39924</v>
      </c>
      <c r="J3674" s="15" t="s">
        <v>17</v>
      </c>
      <c r="K3674" s="9">
        <v>26</v>
      </c>
      <c r="L3674" s="16" t="s">
        <v>26</v>
      </c>
      <c r="M3674" s="16">
        <f t="shared" si="345"/>
        <v>2.9575903857523567E-2</v>
      </c>
      <c r="N3674">
        <f t="shared" si="346"/>
        <v>0</v>
      </c>
      <c r="O3674">
        <f t="shared" si="347"/>
        <v>0</v>
      </c>
      <c r="P3674">
        <f t="shared" si="344"/>
        <v>4700</v>
      </c>
      <c r="Q3674">
        <f t="shared" si="348"/>
        <v>4700</v>
      </c>
      <c r="T3674" s="16">
        <f t="shared" si="349"/>
        <v>2.9575903857523185E-2</v>
      </c>
    </row>
    <row r="3675" spans="7:20" ht="14.4" x14ac:dyDescent="0.25">
      <c r="G3675" s="10">
        <v>4041</v>
      </c>
      <c r="H3675" s="9">
        <v>28835</v>
      </c>
      <c r="I3675" s="14">
        <f>DATE(2012,12,31)-275</f>
        <v>40999</v>
      </c>
      <c r="J3675" s="15" t="s">
        <v>28</v>
      </c>
      <c r="K3675" s="9">
        <v>1</v>
      </c>
      <c r="L3675" s="16" t="s">
        <v>26</v>
      </c>
      <c r="M3675" s="16">
        <f t="shared" si="345"/>
        <v>-1.6969185116230123</v>
      </c>
      <c r="N3675">
        <f t="shared" si="346"/>
        <v>0</v>
      </c>
      <c r="O3675">
        <f t="shared" si="347"/>
        <v>0</v>
      </c>
      <c r="P3675">
        <f t="shared" si="344"/>
        <v>3450</v>
      </c>
      <c r="Q3675">
        <f t="shared" si="348"/>
        <v>3450</v>
      </c>
      <c r="T3675" s="16">
        <f t="shared" si="349"/>
        <v>-1.6969185116230128</v>
      </c>
    </row>
    <row r="3676" spans="7:20" ht="14.4" x14ac:dyDescent="0.25">
      <c r="G3676" s="10">
        <v>4106</v>
      </c>
      <c r="H3676" s="9">
        <v>29220</v>
      </c>
      <c r="I3676" s="14">
        <f>DATE(2012,12,31)-2</f>
        <v>41272</v>
      </c>
      <c r="J3676" s="15" t="s">
        <v>16</v>
      </c>
      <c r="K3676" s="9">
        <v>36</v>
      </c>
      <c r="L3676" s="16" t="s">
        <v>26</v>
      </c>
      <c r="M3676" s="16">
        <f t="shared" si="345"/>
        <v>0.72017367004973787</v>
      </c>
      <c r="N3676">
        <f t="shared" si="346"/>
        <v>0</v>
      </c>
      <c r="O3676">
        <f t="shared" si="347"/>
        <v>0</v>
      </c>
      <c r="P3676">
        <f t="shared" si="344"/>
        <v>5200</v>
      </c>
      <c r="Q3676">
        <f t="shared" si="348"/>
        <v>5200</v>
      </c>
      <c r="T3676" s="16">
        <f t="shared" si="349"/>
        <v>0.72017367004973754</v>
      </c>
    </row>
    <row r="3677" spans="7:20" ht="14.4" x14ac:dyDescent="0.25">
      <c r="G3677" s="10">
        <v>4235</v>
      </c>
      <c r="H3677" s="9">
        <v>30114</v>
      </c>
      <c r="I3677" s="14">
        <f>DATE(2012,12,31)-868</f>
        <v>40406</v>
      </c>
      <c r="J3677" s="15" t="s">
        <v>25</v>
      </c>
      <c r="K3677" s="9">
        <v>7</v>
      </c>
      <c r="L3677" s="16" t="s">
        <v>27</v>
      </c>
      <c r="M3677" s="16">
        <f t="shared" si="345"/>
        <v>-1.2825598519076837</v>
      </c>
      <c r="N3677">
        <f t="shared" si="346"/>
        <v>0</v>
      </c>
      <c r="O3677">
        <f t="shared" si="347"/>
        <v>0</v>
      </c>
      <c r="P3677">
        <f t="shared" si="344"/>
        <v>3750</v>
      </c>
      <c r="Q3677">
        <f t="shared" si="348"/>
        <v>3750</v>
      </c>
      <c r="T3677" s="16">
        <f t="shared" si="349"/>
        <v>-1.2825598519076842</v>
      </c>
    </row>
    <row r="3678" spans="7:20" ht="14.4" x14ac:dyDescent="0.25">
      <c r="G3678" s="10">
        <v>4258</v>
      </c>
      <c r="H3678" s="9">
        <v>30336</v>
      </c>
      <c r="I3678" s="14">
        <f>DATE(2012,12,31)-1067</f>
        <v>40207</v>
      </c>
      <c r="J3678" s="15" t="s">
        <v>16</v>
      </c>
      <c r="K3678" s="9">
        <v>28</v>
      </c>
      <c r="L3678" s="16" t="s">
        <v>26</v>
      </c>
      <c r="M3678" s="16">
        <f t="shared" si="345"/>
        <v>0.16769545709596645</v>
      </c>
      <c r="N3678">
        <f t="shared" si="346"/>
        <v>0</v>
      </c>
      <c r="O3678">
        <f t="shared" si="347"/>
        <v>0</v>
      </c>
      <c r="P3678">
        <f t="shared" si="344"/>
        <v>4800</v>
      </c>
      <c r="Q3678">
        <f t="shared" si="348"/>
        <v>4800</v>
      </c>
      <c r="T3678" s="16">
        <f t="shared" si="349"/>
        <v>0.16769545709596606</v>
      </c>
    </row>
    <row r="3679" spans="7:20" ht="14.4" x14ac:dyDescent="0.25">
      <c r="G3679" s="10">
        <v>4312</v>
      </c>
      <c r="H3679" s="9">
        <v>30725</v>
      </c>
      <c r="I3679" s="14">
        <f>DATE(2012,12,31)-1099</f>
        <v>40175</v>
      </c>
      <c r="J3679" s="15" t="s">
        <v>16</v>
      </c>
      <c r="K3679" s="9">
        <v>39</v>
      </c>
      <c r="L3679" s="16" t="s">
        <v>27</v>
      </c>
      <c r="M3679" s="16">
        <f t="shared" si="345"/>
        <v>0.92735299990740228</v>
      </c>
      <c r="N3679">
        <f t="shared" si="346"/>
        <v>0</v>
      </c>
      <c r="O3679">
        <f t="shared" si="347"/>
        <v>0</v>
      </c>
      <c r="P3679">
        <f t="shared" si="344"/>
        <v>5350</v>
      </c>
      <c r="Q3679">
        <f t="shared" si="348"/>
        <v>5350</v>
      </c>
      <c r="T3679" s="16">
        <f t="shared" si="349"/>
        <v>0.92735299990740183</v>
      </c>
    </row>
    <row r="3680" spans="7:20" ht="14.4" x14ac:dyDescent="0.25">
      <c r="G3680" s="10">
        <v>4319</v>
      </c>
      <c r="H3680" s="9">
        <v>30784</v>
      </c>
      <c r="I3680" s="14">
        <f>DATE(2012,12,31)-238</f>
        <v>41036</v>
      </c>
      <c r="J3680" s="15" t="s">
        <v>16</v>
      </c>
      <c r="K3680" s="9">
        <v>10</v>
      </c>
      <c r="L3680" s="16" t="s">
        <v>29</v>
      </c>
      <c r="M3680" s="16">
        <f t="shared" si="345"/>
        <v>-1.0753805220500194</v>
      </c>
      <c r="N3680">
        <f t="shared" si="346"/>
        <v>0</v>
      </c>
      <c r="O3680">
        <f t="shared" si="347"/>
        <v>0</v>
      </c>
      <c r="P3680">
        <f t="shared" si="344"/>
        <v>3900</v>
      </c>
      <c r="Q3680">
        <f t="shared" si="348"/>
        <v>3900</v>
      </c>
      <c r="T3680" s="16">
        <f t="shared" si="349"/>
        <v>-1.0753805220500199</v>
      </c>
    </row>
    <row r="3681" spans="7:20" ht="14.4" x14ac:dyDescent="0.25">
      <c r="G3681" s="10">
        <v>4320</v>
      </c>
      <c r="H3681" s="9">
        <v>30784</v>
      </c>
      <c r="I3681" s="14">
        <f>DATE(2012,12,31)-238</f>
        <v>41036</v>
      </c>
      <c r="J3681" s="15" t="s">
        <v>16</v>
      </c>
      <c r="K3681" s="9">
        <v>48</v>
      </c>
      <c r="L3681" s="16" t="s">
        <v>26</v>
      </c>
      <c r="M3681" s="16">
        <f t="shared" si="345"/>
        <v>1.5488909894803951</v>
      </c>
      <c r="N3681">
        <f t="shared" si="346"/>
        <v>0</v>
      </c>
      <c r="O3681">
        <f t="shared" si="347"/>
        <v>0</v>
      </c>
      <c r="P3681">
        <f t="shared" si="344"/>
        <v>5800</v>
      </c>
      <c r="Q3681">
        <f t="shared" si="348"/>
        <v>5800</v>
      </c>
      <c r="T3681" s="16">
        <f t="shared" si="349"/>
        <v>1.5488909894803948</v>
      </c>
    </row>
    <row r="3682" spans="7:20" ht="14.4" x14ac:dyDescent="0.25">
      <c r="G3682" s="10">
        <v>4351</v>
      </c>
      <c r="H3682" s="9">
        <v>31040</v>
      </c>
      <c r="I3682" s="14">
        <f>DATE(2012,12,31)-839</f>
        <v>40435</v>
      </c>
      <c r="J3682" s="15" t="s">
        <v>28</v>
      </c>
      <c r="K3682" s="9">
        <v>23</v>
      </c>
      <c r="L3682" s="16" t="s">
        <v>27</v>
      </c>
      <c r="M3682" s="16">
        <f t="shared" si="345"/>
        <v>-0.17760342600014073</v>
      </c>
      <c r="N3682">
        <f t="shared" si="346"/>
        <v>0</v>
      </c>
      <c r="O3682">
        <f t="shared" si="347"/>
        <v>0</v>
      </c>
      <c r="P3682">
        <f t="shared" si="344"/>
        <v>4550</v>
      </c>
      <c r="Q3682">
        <f t="shared" si="348"/>
        <v>4550</v>
      </c>
      <c r="T3682" s="16">
        <f t="shared" si="349"/>
        <v>-0.17760342600014112</v>
      </c>
    </row>
    <row r="3683" spans="7:20" ht="14.4" x14ac:dyDescent="0.25">
      <c r="G3683" s="10">
        <v>4352</v>
      </c>
      <c r="H3683" s="9">
        <v>31040</v>
      </c>
      <c r="I3683" s="14">
        <f>DATE(2012,12,31)-839</f>
        <v>40435</v>
      </c>
      <c r="J3683" s="15" t="s">
        <v>28</v>
      </c>
      <c r="K3683" s="9">
        <v>19</v>
      </c>
      <c r="L3683" s="16" t="s">
        <v>26</v>
      </c>
      <c r="M3683" s="16">
        <f t="shared" si="345"/>
        <v>-0.45384253247702649</v>
      </c>
      <c r="N3683">
        <f t="shared" si="346"/>
        <v>0</v>
      </c>
      <c r="O3683">
        <f t="shared" si="347"/>
        <v>0</v>
      </c>
      <c r="P3683">
        <f t="shared" si="344"/>
        <v>4350</v>
      </c>
      <c r="Q3683">
        <f t="shared" si="348"/>
        <v>4350</v>
      </c>
      <c r="T3683" s="16">
        <f t="shared" si="349"/>
        <v>-0.45384253247702688</v>
      </c>
    </row>
    <row r="3684" spans="7:20" ht="14.4" x14ac:dyDescent="0.25">
      <c r="G3684" s="10">
        <v>4469</v>
      </c>
      <c r="H3684" s="9">
        <v>31846</v>
      </c>
      <c r="I3684" s="14">
        <f>DATE(2012,12,31)-506</f>
        <v>40768</v>
      </c>
      <c r="J3684" s="15" t="s">
        <v>30</v>
      </c>
      <c r="K3684" s="9">
        <v>7</v>
      </c>
      <c r="L3684" s="16" t="s">
        <v>29</v>
      </c>
      <c r="M3684" s="16">
        <f t="shared" si="345"/>
        <v>-1.2825598519076837</v>
      </c>
      <c r="N3684">
        <f t="shared" si="346"/>
        <v>0</v>
      </c>
      <c r="O3684">
        <f t="shared" si="347"/>
        <v>0</v>
      </c>
      <c r="P3684">
        <f t="shared" si="344"/>
        <v>3750</v>
      </c>
      <c r="Q3684">
        <f t="shared" si="348"/>
        <v>3750</v>
      </c>
      <c r="T3684" s="16">
        <f t="shared" si="349"/>
        <v>-1.2825598519076842</v>
      </c>
    </row>
    <row r="3685" spans="7:20" ht="14.4" x14ac:dyDescent="0.25">
      <c r="G3685" s="10">
        <v>4503</v>
      </c>
      <c r="H3685" s="9">
        <v>32038</v>
      </c>
      <c r="I3685" s="14">
        <f>DATE(2012,12,31)-1293</f>
        <v>39981</v>
      </c>
      <c r="J3685" s="15" t="s">
        <v>25</v>
      </c>
      <c r="K3685" s="9">
        <v>26</v>
      </c>
      <c r="L3685" s="16" t="s">
        <v>26</v>
      </c>
      <c r="M3685" s="16">
        <f t="shared" si="345"/>
        <v>2.9575903857523567E-2</v>
      </c>
      <c r="N3685">
        <f t="shared" si="346"/>
        <v>0</v>
      </c>
      <c r="O3685">
        <f t="shared" si="347"/>
        <v>0</v>
      </c>
      <c r="P3685">
        <f t="shared" si="344"/>
        <v>4700</v>
      </c>
      <c r="Q3685">
        <f t="shared" si="348"/>
        <v>4700</v>
      </c>
      <c r="T3685" s="16">
        <f t="shared" si="349"/>
        <v>2.9575903857523185E-2</v>
      </c>
    </row>
    <row r="3686" spans="7:20" ht="14.4" x14ac:dyDescent="0.25">
      <c r="G3686" s="10">
        <v>4504</v>
      </c>
      <c r="H3686" s="9">
        <v>32065</v>
      </c>
      <c r="I3686" s="14">
        <f>DATE(2012,12,31)-395</f>
        <v>40879</v>
      </c>
      <c r="J3686" s="15" t="s">
        <v>16</v>
      </c>
      <c r="K3686" s="9">
        <v>25</v>
      </c>
      <c r="L3686" s="16" t="s">
        <v>27</v>
      </c>
      <c r="M3686" s="16">
        <f t="shared" si="345"/>
        <v>-3.9483872761697868E-2</v>
      </c>
      <c r="N3686">
        <f t="shared" si="346"/>
        <v>0</v>
      </c>
      <c r="O3686">
        <f t="shared" si="347"/>
        <v>0</v>
      </c>
      <c r="P3686">
        <f t="shared" si="344"/>
        <v>4650</v>
      </c>
      <c r="Q3686">
        <f t="shared" si="348"/>
        <v>4650</v>
      </c>
      <c r="T3686" s="16">
        <f t="shared" si="349"/>
        <v>-3.9483872761698249E-2</v>
      </c>
    </row>
    <row r="3687" spans="7:20" ht="14.4" x14ac:dyDescent="0.25">
      <c r="G3687" s="10">
        <v>4545</v>
      </c>
      <c r="H3687" s="9">
        <v>32326</v>
      </c>
      <c r="I3687" s="14">
        <f>DATE(2012,12,31)-792</f>
        <v>40482</v>
      </c>
      <c r="J3687" s="15" t="s">
        <v>17</v>
      </c>
      <c r="K3687" s="9">
        <v>50</v>
      </c>
      <c r="L3687" s="16" t="s">
        <v>29</v>
      </c>
      <c r="M3687" s="16">
        <f t="shared" si="345"/>
        <v>1.687010542718838</v>
      </c>
      <c r="N3687">
        <f t="shared" si="346"/>
        <v>0</v>
      </c>
      <c r="O3687">
        <f t="shared" si="347"/>
        <v>0</v>
      </c>
      <c r="P3687">
        <f t="shared" si="344"/>
        <v>5900</v>
      </c>
      <c r="Q3687">
        <f t="shared" si="348"/>
        <v>5900</v>
      </c>
      <c r="T3687" s="16">
        <f t="shared" si="349"/>
        <v>1.6870105427188375</v>
      </c>
    </row>
    <row r="3688" spans="7:20" ht="14.4" x14ac:dyDescent="0.25">
      <c r="G3688" s="10">
        <v>4584</v>
      </c>
      <c r="H3688" s="9">
        <v>32613</v>
      </c>
      <c r="I3688" s="14">
        <f>DATE(2012,12,31)-381</f>
        <v>40893</v>
      </c>
      <c r="J3688" s="15" t="s">
        <v>25</v>
      </c>
      <c r="K3688" s="9">
        <v>31</v>
      </c>
      <c r="L3688" s="16" t="s">
        <v>26</v>
      </c>
      <c r="M3688" s="16">
        <f t="shared" si="345"/>
        <v>0.37487478695363075</v>
      </c>
      <c r="N3688">
        <f t="shared" si="346"/>
        <v>0</v>
      </c>
      <c r="O3688">
        <f t="shared" si="347"/>
        <v>0</v>
      </c>
      <c r="P3688">
        <f t="shared" si="344"/>
        <v>4950</v>
      </c>
      <c r="Q3688">
        <f t="shared" si="348"/>
        <v>4950</v>
      </c>
      <c r="T3688" s="16">
        <f t="shared" si="349"/>
        <v>0.37487478695363036</v>
      </c>
    </row>
    <row r="3689" spans="7:20" ht="14.4" x14ac:dyDescent="0.25">
      <c r="G3689" s="10">
        <v>4585</v>
      </c>
      <c r="H3689" s="9">
        <v>32613</v>
      </c>
      <c r="I3689" s="14">
        <f>DATE(2012,12,31)-381</f>
        <v>40893</v>
      </c>
      <c r="J3689" s="15" t="s">
        <v>25</v>
      </c>
      <c r="K3689" s="9">
        <v>38</v>
      </c>
      <c r="L3689" s="16" t="s">
        <v>26</v>
      </c>
      <c r="M3689" s="16">
        <f t="shared" si="345"/>
        <v>0.85829322328818081</v>
      </c>
      <c r="N3689">
        <f t="shared" si="346"/>
        <v>0</v>
      </c>
      <c r="O3689">
        <f t="shared" si="347"/>
        <v>0</v>
      </c>
      <c r="P3689">
        <f t="shared" si="344"/>
        <v>5300</v>
      </c>
      <c r="Q3689">
        <f t="shared" si="348"/>
        <v>5300</v>
      </c>
      <c r="T3689" s="16">
        <f t="shared" si="349"/>
        <v>0.85829322328818036</v>
      </c>
    </row>
    <row r="3690" spans="7:20" ht="14.4" x14ac:dyDescent="0.25">
      <c r="G3690" s="10">
        <v>4586</v>
      </c>
      <c r="H3690" s="9">
        <v>32613</v>
      </c>
      <c r="I3690" s="14">
        <f>DATE(2012,12,31)-381</f>
        <v>40893</v>
      </c>
      <c r="J3690" s="15" t="s">
        <v>25</v>
      </c>
      <c r="K3690" s="9">
        <v>41</v>
      </c>
      <c r="L3690" s="16" t="s">
        <v>27</v>
      </c>
      <c r="M3690" s="16">
        <f t="shared" si="345"/>
        <v>1.0654725531458451</v>
      </c>
      <c r="N3690">
        <f t="shared" si="346"/>
        <v>0</v>
      </c>
      <c r="O3690">
        <f t="shared" si="347"/>
        <v>0</v>
      </c>
      <c r="P3690">
        <f t="shared" si="344"/>
        <v>5450</v>
      </c>
      <c r="Q3690">
        <f t="shared" si="348"/>
        <v>5450</v>
      </c>
      <c r="T3690" s="16">
        <f t="shared" si="349"/>
        <v>1.0654725531458447</v>
      </c>
    </row>
    <row r="3691" spans="7:20" ht="14.4" x14ac:dyDescent="0.25">
      <c r="G3691" s="10">
        <v>4598</v>
      </c>
      <c r="H3691" s="9">
        <v>32741</v>
      </c>
      <c r="I3691" s="14">
        <f>DATE(2012,12,31)-1415</f>
        <v>39859</v>
      </c>
      <c r="J3691" s="15" t="s">
        <v>25</v>
      </c>
      <c r="K3691" s="9">
        <v>13</v>
      </c>
      <c r="L3691" s="16" t="s">
        <v>26</v>
      </c>
      <c r="M3691" s="16">
        <f t="shared" si="345"/>
        <v>-0.86820119219235514</v>
      </c>
      <c r="N3691">
        <f t="shared" si="346"/>
        <v>0</v>
      </c>
      <c r="O3691">
        <f t="shared" si="347"/>
        <v>0</v>
      </c>
      <c r="P3691">
        <f t="shared" si="344"/>
        <v>4050</v>
      </c>
      <c r="Q3691">
        <f t="shared" si="348"/>
        <v>4050</v>
      </c>
      <c r="T3691" s="16">
        <f t="shared" si="349"/>
        <v>-0.86820119219235548</v>
      </c>
    </row>
    <row r="3692" spans="7:20" ht="14.4" x14ac:dyDescent="0.25">
      <c r="G3692" s="10">
        <v>4624</v>
      </c>
      <c r="H3692" s="9">
        <v>32903</v>
      </c>
      <c r="I3692" s="14">
        <f>DATE(2012,12,31)-158</f>
        <v>41116</v>
      </c>
      <c r="J3692" s="15" t="s">
        <v>25</v>
      </c>
      <c r="K3692" s="9">
        <v>31</v>
      </c>
      <c r="L3692" s="16" t="s">
        <v>26</v>
      </c>
      <c r="M3692" s="16">
        <f t="shared" si="345"/>
        <v>0.37487478695363075</v>
      </c>
      <c r="N3692">
        <f t="shared" si="346"/>
        <v>0</v>
      </c>
      <c r="O3692">
        <f t="shared" si="347"/>
        <v>0</v>
      </c>
      <c r="P3692">
        <f t="shared" si="344"/>
        <v>4950</v>
      </c>
      <c r="Q3692">
        <f t="shared" si="348"/>
        <v>4950</v>
      </c>
      <c r="T3692" s="16">
        <f t="shared" si="349"/>
        <v>0.37487478695363036</v>
      </c>
    </row>
    <row r="3693" spans="7:20" ht="14.4" x14ac:dyDescent="0.25">
      <c r="G3693" s="10">
        <v>4642</v>
      </c>
      <c r="H3693" s="9">
        <v>33031</v>
      </c>
      <c r="I3693" s="14">
        <f>DATE(2012,12,31)-129</f>
        <v>41145</v>
      </c>
      <c r="J3693" s="15" t="s">
        <v>17</v>
      </c>
      <c r="K3693" s="9">
        <v>24</v>
      </c>
      <c r="L3693" s="16" t="s">
        <v>29</v>
      </c>
      <c r="M3693" s="16">
        <f t="shared" si="345"/>
        <v>-0.1085436493809193</v>
      </c>
      <c r="N3693">
        <f t="shared" si="346"/>
        <v>0</v>
      </c>
      <c r="O3693">
        <f t="shared" si="347"/>
        <v>0</v>
      </c>
      <c r="P3693">
        <f t="shared" si="344"/>
        <v>4600</v>
      </c>
      <c r="Q3693">
        <f t="shared" si="348"/>
        <v>4600</v>
      </c>
      <c r="T3693" s="16">
        <f t="shared" si="349"/>
        <v>-0.10854364938091969</v>
      </c>
    </row>
    <row r="3694" spans="7:20" ht="14.4" x14ac:dyDescent="0.25">
      <c r="G3694" s="10">
        <v>4643</v>
      </c>
      <c r="H3694" s="9">
        <v>33031</v>
      </c>
      <c r="I3694" s="14">
        <f>DATE(2012,12,31)-129</f>
        <v>41145</v>
      </c>
      <c r="J3694" s="15" t="s">
        <v>17</v>
      </c>
      <c r="K3694" s="9">
        <v>18</v>
      </c>
      <c r="L3694" s="16" t="s">
        <v>26</v>
      </c>
      <c r="M3694" s="16">
        <f t="shared" si="345"/>
        <v>-0.52290230909624791</v>
      </c>
      <c r="N3694">
        <f t="shared" si="346"/>
        <v>0</v>
      </c>
      <c r="O3694">
        <f t="shared" si="347"/>
        <v>0</v>
      </c>
      <c r="P3694">
        <f t="shared" si="344"/>
        <v>4300</v>
      </c>
      <c r="Q3694">
        <f t="shared" si="348"/>
        <v>4300</v>
      </c>
      <c r="T3694" s="16">
        <f t="shared" si="349"/>
        <v>-0.52290230909624835</v>
      </c>
    </row>
    <row r="3695" spans="7:20" ht="14.4" x14ac:dyDescent="0.25">
      <c r="G3695" s="10">
        <v>4654</v>
      </c>
      <c r="H3695" s="9">
        <v>33152</v>
      </c>
      <c r="I3695" s="14">
        <f>DATE(2012,12,31)-771</f>
        <v>40503</v>
      </c>
      <c r="J3695" s="15" t="s">
        <v>30</v>
      </c>
      <c r="K3695" s="9">
        <v>19</v>
      </c>
      <c r="L3695" s="16" t="s">
        <v>27</v>
      </c>
      <c r="M3695" s="16">
        <f t="shared" si="345"/>
        <v>-0.45384253247702649</v>
      </c>
      <c r="N3695">
        <f t="shared" si="346"/>
        <v>0</v>
      </c>
      <c r="O3695">
        <f t="shared" si="347"/>
        <v>0</v>
      </c>
      <c r="P3695">
        <f t="shared" si="344"/>
        <v>4350</v>
      </c>
      <c r="Q3695">
        <f t="shared" si="348"/>
        <v>4350</v>
      </c>
      <c r="T3695" s="16">
        <f t="shared" si="349"/>
        <v>-0.45384253247702688</v>
      </c>
    </row>
    <row r="3696" spans="7:20" ht="14.4" x14ac:dyDescent="0.25">
      <c r="G3696" s="10">
        <v>4662</v>
      </c>
      <c r="H3696" s="9">
        <v>33217</v>
      </c>
      <c r="I3696" s="14">
        <f>DATE(2012,12,31)-1390</f>
        <v>39884</v>
      </c>
      <c r="J3696" s="15" t="s">
        <v>17</v>
      </c>
      <c r="K3696" s="9">
        <v>20</v>
      </c>
      <c r="L3696" s="16" t="s">
        <v>27</v>
      </c>
      <c r="M3696" s="16">
        <f t="shared" si="345"/>
        <v>-0.38478275585780503</v>
      </c>
      <c r="N3696">
        <f t="shared" si="346"/>
        <v>0</v>
      </c>
      <c r="O3696">
        <f t="shared" si="347"/>
        <v>0</v>
      </c>
      <c r="P3696">
        <f t="shared" si="344"/>
        <v>4400</v>
      </c>
      <c r="Q3696">
        <f t="shared" si="348"/>
        <v>4400</v>
      </c>
      <c r="T3696" s="16">
        <f t="shared" si="349"/>
        <v>-0.38478275585780541</v>
      </c>
    </row>
    <row r="3697" spans="7:20" ht="14.4" x14ac:dyDescent="0.25">
      <c r="G3697" s="10">
        <v>4663</v>
      </c>
      <c r="H3697" s="9">
        <v>33217</v>
      </c>
      <c r="I3697" s="14">
        <f>DATE(2012,12,31)-1390</f>
        <v>39884</v>
      </c>
      <c r="J3697" s="15" t="s">
        <v>17</v>
      </c>
      <c r="K3697" s="9">
        <v>34</v>
      </c>
      <c r="L3697" s="16" t="s">
        <v>27</v>
      </c>
      <c r="M3697" s="16">
        <f t="shared" si="345"/>
        <v>0.58205411681129504</v>
      </c>
      <c r="N3697">
        <f t="shared" si="346"/>
        <v>0</v>
      </c>
      <c r="O3697">
        <f t="shared" si="347"/>
        <v>0</v>
      </c>
      <c r="P3697">
        <f t="shared" si="344"/>
        <v>5100</v>
      </c>
      <c r="Q3697">
        <f t="shared" si="348"/>
        <v>5100</v>
      </c>
      <c r="T3697" s="16">
        <f t="shared" si="349"/>
        <v>0.58205411681129471</v>
      </c>
    </row>
    <row r="3698" spans="7:20" ht="14.4" x14ac:dyDescent="0.25">
      <c r="G3698" s="10">
        <v>4721</v>
      </c>
      <c r="H3698" s="9">
        <v>33606</v>
      </c>
      <c r="I3698" s="14">
        <f>DATE(2012,12,31)-305</f>
        <v>40969</v>
      </c>
      <c r="J3698" s="15" t="s">
        <v>17</v>
      </c>
      <c r="K3698" s="9">
        <v>46</v>
      </c>
      <c r="L3698" s="16" t="s">
        <v>29</v>
      </c>
      <c r="M3698" s="16">
        <f t="shared" si="345"/>
        <v>1.4107714362419523</v>
      </c>
      <c r="N3698">
        <f t="shared" si="346"/>
        <v>0</v>
      </c>
      <c r="O3698">
        <f t="shared" si="347"/>
        <v>0</v>
      </c>
      <c r="P3698">
        <f t="shared" si="344"/>
        <v>5700</v>
      </c>
      <c r="Q3698">
        <f t="shared" si="348"/>
        <v>5700</v>
      </c>
      <c r="T3698" s="16">
        <f t="shared" si="349"/>
        <v>1.4107714362419519</v>
      </c>
    </row>
    <row r="3699" spans="7:20" ht="14.4" x14ac:dyDescent="0.25">
      <c r="G3699" s="10">
        <v>4728</v>
      </c>
      <c r="H3699" s="9">
        <v>33666</v>
      </c>
      <c r="I3699" s="14">
        <f>DATE(2012,12,31)-168</f>
        <v>41106</v>
      </c>
      <c r="J3699" s="15" t="s">
        <v>28</v>
      </c>
      <c r="K3699" s="9">
        <v>17</v>
      </c>
      <c r="L3699" s="16" t="s">
        <v>29</v>
      </c>
      <c r="M3699" s="16">
        <f t="shared" si="345"/>
        <v>-0.59196208571546938</v>
      </c>
      <c r="N3699">
        <f t="shared" si="346"/>
        <v>0</v>
      </c>
      <c r="O3699">
        <f t="shared" si="347"/>
        <v>0</v>
      </c>
      <c r="P3699">
        <f t="shared" si="344"/>
        <v>4250</v>
      </c>
      <c r="Q3699">
        <f t="shared" si="348"/>
        <v>4250</v>
      </c>
      <c r="T3699" s="16">
        <f t="shared" si="349"/>
        <v>-0.59196208571546971</v>
      </c>
    </row>
    <row r="3700" spans="7:20" ht="14.4" x14ac:dyDescent="0.25">
      <c r="G3700" s="10">
        <v>4749</v>
      </c>
      <c r="H3700" s="9">
        <v>33764</v>
      </c>
      <c r="I3700" s="14">
        <f>DATE(2012,12,31)-690</f>
        <v>40584</v>
      </c>
      <c r="J3700" s="15" t="s">
        <v>30</v>
      </c>
      <c r="K3700" s="9">
        <v>31</v>
      </c>
      <c r="L3700" s="16" t="s">
        <v>26</v>
      </c>
      <c r="M3700" s="16">
        <f t="shared" si="345"/>
        <v>0.37487478695363075</v>
      </c>
      <c r="N3700">
        <f t="shared" si="346"/>
        <v>0</v>
      </c>
      <c r="O3700">
        <f t="shared" si="347"/>
        <v>0</v>
      </c>
      <c r="P3700">
        <f t="shared" si="344"/>
        <v>4950</v>
      </c>
      <c r="Q3700">
        <f t="shared" si="348"/>
        <v>4950</v>
      </c>
      <c r="T3700" s="16">
        <f t="shared" si="349"/>
        <v>0.37487478695363036</v>
      </c>
    </row>
    <row r="3701" spans="7:20" ht="14.4" x14ac:dyDescent="0.25">
      <c r="G3701" s="10">
        <v>4776</v>
      </c>
      <c r="H3701" s="9">
        <v>33921</v>
      </c>
      <c r="I3701" s="14">
        <f>DATE(2012,12,31)-1007</f>
        <v>40267</v>
      </c>
      <c r="J3701" s="15" t="s">
        <v>25</v>
      </c>
      <c r="K3701" s="9">
        <v>35</v>
      </c>
      <c r="L3701" s="16" t="s">
        <v>29</v>
      </c>
      <c r="M3701" s="16">
        <f t="shared" si="345"/>
        <v>0.65111389343051651</v>
      </c>
      <c r="N3701">
        <f t="shared" si="346"/>
        <v>0</v>
      </c>
      <c r="O3701">
        <f t="shared" si="347"/>
        <v>0</v>
      </c>
      <c r="P3701">
        <f t="shared" si="344"/>
        <v>5150</v>
      </c>
      <c r="Q3701">
        <f t="shared" si="348"/>
        <v>5150</v>
      </c>
      <c r="T3701" s="16">
        <f t="shared" si="349"/>
        <v>0.65111389343051607</v>
      </c>
    </row>
    <row r="3702" spans="7:20" ht="14.4" x14ac:dyDescent="0.25">
      <c r="G3702" s="10">
        <v>4781</v>
      </c>
      <c r="H3702" s="9">
        <v>33956</v>
      </c>
      <c r="I3702" s="14">
        <f>DATE(2012,12,31)-347</f>
        <v>40927</v>
      </c>
      <c r="J3702" s="15" t="s">
        <v>25</v>
      </c>
      <c r="K3702" s="9">
        <v>13</v>
      </c>
      <c r="L3702" s="16" t="s">
        <v>29</v>
      </c>
      <c r="M3702" s="16">
        <f t="shared" si="345"/>
        <v>-0.86820119219235514</v>
      </c>
      <c r="N3702">
        <f t="shared" si="346"/>
        <v>0</v>
      </c>
      <c r="O3702">
        <f t="shared" si="347"/>
        <v>0</v>
      </c>
      <c r="P3702">
        <f t="shared" si="344"/>
        <v>4050</v>
      </c>
      <c r="Q3702">
        <f t="shared" si="348"/>
        <v>4050</v>
      </c>
      <c r="T3702" s="16">
        <f t="shared" si="349"/>
        <v>-0.86820119219235548</v>
      </c>
    </row>
    <row r="3703" spans="7:20" ht="14.4" x14ac:dyDescent="0.25">
      <c r="G3703" s="10">
        <v>4790</v>
      </c>
      <c r="H3703" s="9">
        <v>34022</v>
      </c>
      <c r="I3703" s="14">
        <f>DATE(2012,12,31)-58</f>
        <v>41216</v>
      </c>
      <c r="J3703" s="15" t="s">
        <v>28</v>
      </c>
      <c r="K3703" s="9">
        <v>6</v>
      </c>
      <c r="L3703" s="16" t="s">
        <v>29</v>
      </c>
      <c r="M3703" s="16">
        <f t="shared" si="345"/>
        <v>-1.3516196285269051</v>
      </c>
      <c r="N3703">
        <f t="shared" si="346"/>
        <v>0</v>
      </c>
      <c r="O3703">
        <f t="shared" si="347"/>
        <v>0</v>
      </c>
      <c r="P3703">
        <f t="shared" si="344"/>
        <v>3700</v>
      </c>
      <c r="Q3703">
        <f t="shared" si="348"/>
        <v>3700</v>
      </c>
      <c r="T3703" s="16">
        <f t="shared" si="349"/>
        <v>-1.3516196285269055</v>
      </c>
    </row>
    <row r="3704" spans="7:20" ht="14.4" x14ac:dyDescent="0.25">
      <c r="G3704" s="10">
        <v>4791</v>
      </c>
      <c r="H3704" s="9">
        <v>34022</v>
      </c>
      <c r="I3704" s="14">
        <f>DATE(2012,12,31)-58</f>
        <v>41216</v>
      </c>
      <c r="J3704" s="15" t="s">
        <v>28</v>
      </c>
      <c r="K3704" s="9">
        <v>50</v>
      </c>
      <c r="L3704" s="16" t="s">
        <v>29</v>
      </c>
      <c r="M3704" s="16">
        <f t="shared" si="345"/>
        <v>1.687010542718838</v>
      </c>
      <c r="N3704">
        <f t="shared" si="346"/>
        <v>0</v>
      </c>
      <c r="O3704">
        <f t="shared" si="347"/>
        <v>0</v>
      </c>
      <c r="P3704">
        <f t="shared" si="344"/>
        <v>5900</v>
      </c>
      <c r="Q3704">
        <f t="shared" si="348"/>
        <v>5900</v>
      </c>
      <c r="T3704" s="16">
        <f t="shared" si="349"/>
        <v>1.6870105427188375</v>
      </c>
    </row>
    <row r="3705" spans="7:20" ht="14.4" x14ac:dyDescent="0.25">
      <c r="G3705" s="10">
        <v>4801</v>
      </c>
      <c r="H3705" s="9">
        <v>34148</v>
      </c>
      <c r="I3705" s="14">
        <f>DATE(2012,12,31)-132</f>
        <v>41142</v>
      </c>
      <c r="J3705" s="15" t="s">
        <v>30</v>
      </c>
      <c r="K3705" s="9">
        <v>33</v>
      </c>
      <c r="L3705" s="16" t="s">
        <v>26</v>
      </c>
      <c r="M3705" s="16">
        <f t="shared" si="345"/>
        <v>0.51299434019207357</v>
      </c>
      <c r="N3705">
        <f t="shared" si="346"/>
        <v>0</v>
      </c>
      <c r="O3705">
        <f t="shared" si="347"/>
        <v>0</v>
      </c>
      <c r="P3705">
        <f t="shared" si="344"/>
        <v>5050</v>
      </c>
      <c r="Q3705">
        <f t="shared" si="348"/>
        <v>5050</v>
      </c>
      <c r="T3705" s="16">
        <f t="shared" si="349"/>
        <v>0.51299434019207324</v>
      </c>
    </row>
    <row r="3706" spans="7:20" ht="14.4" x14ac:dyDescent="0.25">
      <c r="G3706" s="10">
        <v>4808</v>
      </c>
      <c r="H3706" s="9">
        <v>34182</v>
      </c>
      <c r="I3706" s="14">
        <f>DATE(2012,12,31)-75</f>
        <v>41199</v>
      </c>
      <c r="J3706" s="15" t="s">
        <v>30</v>
      </c>
      <c r="K3706" s="9">
        <v>31</v>
      </c>
      <c r="L3706" s="16" t="s">
        <v>29</v>
      </c>
      <c r="M3706" s="16">
        <f t="shared" si="345"/>
        <v>0.37487478695363075</v>
      </c>
      <c r="N3706">
        <f t="shared" si="346"/>
        <v>0</v>
      </c>
      <c r="O3706">
        <f t="shared" si="347"/>
        <v>0</v>
      </c>
      <c r="P3706">
        <f t="shared" si="344"/>
        <v>4950</v>
      </c>
      <c r="Q3706">
        <f t="shared" si="348"/>
        <v>4950</v>
      </c>
      <c r="T3706" s="16">
        <f t="shared" si="349"/>
        <v>0.37487478695363036</v>
      </c>
    </row>
    <row r="3707" spans="7:20" ht="14.4" x14ac:dyDescent="0.25">
      <c r="G3707" s="10">
        <v>4829</v>
      </c>
      <c r="H3707" s="9">
        <v>34337</v>
      </c>
      <c r="I3707" s="14">
        <f>DATE(2012,12,31)-962</f>
        <v>40312</v>
      </c>
      <c r="J3707" s="15" t="s">
        <v>16</v>
      </c>
      <c r="K3707" s="9">
        <v>36</v>
      </c>
      <c r="L3707" s="16" t="s">
        <v>29</v>
      </c>
      <c r="M3707" s="16">
        <f t="shared" si="345"/>
        <v>0.72017367004973787</v>
      </c>
      <c r="N3707">
        <f t="shared" si="346"/>
        <v>0</v>
      </c>
      <c r="O3707">
        <f t="shared" si="347"/>
        <v>0</v>
      </c>
      <c r="P3707">
        <f t="shared" si="344"/>
        <v>5200</v>
      </c>
      <c r="Q3707">
        <f t="shared" si="348"/>
        <v>5200</v>
      </c>
      <c r="T3707" s="16">
        <f t="shared" si="349"/>
        <v>0.72017367004973754</v>
      </c>
    </row>
    <row r="3708" spans="7:20" ht="14.4" x14ac:dyDescent="0.25">
      <c r="G3708" s="10">
        <v>4866</v>
      </c>
      <c r="H3708" s="9">
        <v>34657</v>
      </c>
      <c r="I3708" s="14">
        <f>DATE(2012,12,31)-971</f>
        <v>40303</v>
      </c>
      <c r="J3708" s="15" t="s">
        <v>25</v>
      </c>
      <c r="K3708" s="9">
        <v>46</v>
      </c>
      <c r="L3708" s="16" t="s">
        <v>26</v>
      </c>
      <c r="M3708" s="16">
        <f t="shared" si="345"/>
        <v>1.4107714362419523</v>
      </c>
      <c r="N3708">
        <f t="shared" si="346"/>
        <v>0</v>
      </c>
      <c r="O3708">
        <f t="shared" si="347"/>
        <v>0</v>
      </c>
      <c r="P3708">
        <f t="shared" si="344"/>
        <v>5700</v>
      </c>
      <c r="Q3708">
        <f t="shared" si="348"/>
        <v>5700</v>
      </c>
      <c r="T3708" s="16">
        <f t="shared" si="349"/>
        <v>1.4107714362419519</v>
      </c>
    </row>
    <row r="3709" spans="7:20" ht="14.4" x14ac:dyDescent="0.25">
      <c r="G3709" s="10">
        <v>4884</v>
      </c>
      <c r="H3709" s="9">
        <v>34727</v>
      </c>
      <c r="I3709" s="14">
        <f>DATE(2012,12,31)-659</f>
        <v>40615</v>
      </c>
      <c r="J3709" s="15" t="s">
        <v>25</v>
      </c>
      <c r="K3709" s="9">
        <v>20</v>
      </c>
      <c r="L3709" s="16" t="s">
        <v>26</v>
      </c>
      <c r="M3709" s="16">
        <f t="shared" si="345"/>
        <v>-0.38478275585780503</v>
      </c>
      <c r="N3709">
        <f t="shared" si="346"/>
        <v>0</v>
      </c>
      <c r="O3709">
        <f t="shared" si="347"/>
        <v>0</v>
      </c>
      <c r="P3709">
        <f t="shared" si="344"/>
        <v>4400</v>
      </c>
      <c r="Q3709">
        <f t="shared" si="348"/>
        <v>4400</v>
      </c>
      <c r="T3709" s="16">
        <f t="shared" si="349"/>
        <v>-0.38478275585780541</v>
      </c>
    </row>
    <row r="3710" spans="7:20" ht="14.4" x14ac:dyDescent="0.25">
      <c r="G3710" s="10">
        <v>4902</v>
      </c>
      <c r="H3710" s="9">
        <v>34881</v>
      </c>
      <c r="I3710" s="14">
        <f>DATE(2012,12,31)-693</f>
        <v>40581</v>
      </c>
      <c r="J3710" s="15" t="s">
        <v>16</v>
      </c>
      <c r="K3710" s="9">
        <v>37</v>
      </c>
      <c r="L3710" s="16" t="s">
        <v>26</v>
      </c>
      <c r="M3710" s="16">
        <f t="shared" si="345"/>
        <v>0.78923344666895934</v>
      </c>
      <c r="N3710">
        <f t="shared" si="346"/>
        <v>0</v>
      </c>
      <c r="O3710">
        <f t="shared" si="347"/>
        <v>0</v>
      </c>
      <c r="P3710">
        <f t="shared" si="344"/>
        <v>5250</v>
      </c>
      <c r="Q3710">
        <f t="shared" si="348"/>
        <v>5250</v>
      </c>
      <c r="T3710" s="16">
        <f t="shared" si="349"/>
        <v>0.789233446668959</v>
      </c>
    </row>
    <row r="3711" spans="7:20" ht="14.4" x14ac:dyDescent="0.25">
      <c r="G3711" s="10">
        <v>4903</v>
      </c>
      <c r="H3711" s="9">
        <v>34882</v>
      </c>
      <c r="I3711" s="14">
        <f>DATE(2012,12,31)-1256</f>
        <v>40018</v>
      </c>
      <c r="J3711" s="15" t="s">
        <v>30</v>
      </c>
      <c r="K3711" s="9">
        <v>43</v>
      </c>
      <c r="L3711" s="16" t="s">
        <v>26</v>
      </c>
      <c r="M3711" s="16">
        <f t="shared" si="345"/>
        <v>1.203592106384288</v>
      </c>
      <c r="N3711">
        <f t="shared" si="346"/>
        <v>0</v>
      </c>
      <c r="O3711">
        <f t="shared" si="347"/>
        <v>0</v>
      </c>
      <c r="P3711">
        <f t="shared" si="344"/>
        <v>5550</v>
      </c>
      <c r="Q3711">
        <f t="shared" si="348"/>
        <v>5550</v>
      </c>
      <c r="T3711" s="16">
        <f t="shared" si="349"/>
        <v>1.2035921063842876</v>
      </c>
    </row>
    <row r="3712" spans="7:20" ht="14.4" x14ac:dyDescent="0.25">
      <c r="G3712" s="10">
        <v>4906</v>
      </c>
      <c r="H3712" s="9">
        <v>34916</v>
      </c>
      <c r="I3712" s="14">
        <f>DATE(2012,12,31)-875</f>
        <v>40399</v>
      </c>
      <c r="J3712" s="15" t="s">
        <v>17</v>
      </c>
      <c r="K3712" s="9">
        <v>3</v>
      </c>
      <c r="L3712" s="16" t="s">
        <v>29</v>
      </c>
      <c r="M3712" s="16">
        <f t="shared" si="345"/>
        <v>-1.5587989583845694</v>
      </c>
      <c r="N3712">
        <f t="shared" si="346"/>
        <v>0</v>
      </c>
      <c r="O3712">
        <f t="shared" si="347"/>
        <v>0</v>
      </c>
      <c r="P3712">
        <f t="shared" si="344"/>
        <v>3550</v>
      </c>
      <c r="Q3712">
        <f t="shared" si="348"/>
        <v>3550</v>
      </c>
      <c r="T3712" s="16">
        <f t="shared" si="349"/>
        <v>-1.5587989583845698</v>
      </c>
    </row>
    <row r="3713" spans="7:20" ht="14.4" x14ac:dyDescent="0.25">
      <c r="G3713" s="10">
        <v>4921</v>
      </c>
      <c r="H3713" s="9">
        <v>35041</v>
      </c>
      <c r="I3713" s="14">
        <f>DATE(2012,12,31)-1356</f>
        <v>39918</v>
      </c>
      <c r="J3713" s="15" t="s">
        <v>28</v>
      </c>
      <c r="K3713" s="9">
        <v>28</v>
      </c>
      <c r="L3713" s="16" t="s">
        <v>26</v>
      </c>
      <c r="M3713" s="16">
        <f t="shared" si="345"/>
        <v>0.16769545709596645</v>
      </c>
      <c r="N3713">
        <f t="shared" si="346"/>
        <v>0</v>
      </c>
      <c r="O3713">
        <f t="shared" si="347"/>
        <v>0</v>
      </c>
      <c r="P3713">
        <f t="shared" si="344"/>
        <v>4800</v>
      </c>
      <c r="Q3713">
        <f t="shared" si="348"/>
        <v>4800</v>
      </c>
      <c r="T3713" s="16">
        <f t="shared" si="349"/>
        <v>0.16769545709596606</v>
      </c>
    </row>
    <row r="3714" spans="7:20" ht="14.4" x14ac:dyDescent="0.25">
      <c r="G3714" s="10">
        <v>4965</v>
      </c>
      <c r="H3714" s="9">
        <v>35302</v>
      </c>
      <c r="I3714" s="14">
        <f>DATE(2012,12,31)-938</f>
        <v>40336</v>
      </c>
      <c r="J3714" s="15" t="s">
        <v>16</v>
      </c>
      <c r="K3714" s="9">
        <v>6</v>
      </c>
      <c r="L3714" s="16" t="s">
        <v>26</v>
      </c>
      <c r="M3714" s="16">
        <f t="shared" si="345"/>
        <v>-1.3516196285269051</v>
      </c>
      <c r="N3714">
        <f t="shared" si="346"/>
        <v>0</v>
      </c>
      <c r="O3714">
        <f t="shared" si="347"/>
        <v>0</v>
      </c>
      <c r="P3714">
        <f t="shared" si="344"/>
        <v>3700</v>
      </c>
      <c r="Q3714">
        <f t="shared" si="348"/>
        <v>3700</v>
      </c>
      <c r="T3714" s="16">
        <f t="shared" si="349"/>
        <v>-1.3516196285269055</v>
      </c>
    </row>
    <row r="3715" spans="7:20" ht="14.4" x14ac:dyDescent="0.25">
      <c r="G3715" s="10">
        <v>4966</v>
      </c>
      <c r="H3715" s="9">
        <v>35302</v>
      </c>
      <c r="I3715" s="14">
        <f>DATE(2012,12,31)-938</f>
        <v>40336</v>
      </c>
      <c r="J3715" s="15" t="s">
        <v>16</v>
      </c>
      <c r="K3715" s="9">
        <v>13</v>
      </c>
      <c r="L3715" s="16" t="s">
        <v>27</v>
      </c>
      <c r="M3715" s="16">
        <f t="shared" si="345"/>
        <v>-0.86820119219235514</v>
      </c>
      <c r="N3715">
        <f t="shared" si="346"/>
        <v>0</v>
      </c>
      <c r="O3715">
        <f t="shared" si="347"/>
        <v>0</v>
      </c>
      <c r="P3715">
        <f t="shared" si="344"/>
        <v>4050</v>
      </c>
      <c r="Q3715">
        <f t="shared" si="348"/>
        <v>4050</v>
      </c>
      <c r="T3715" s="16">
        <f t="shared" si="349"/>
        <v>-0.86820119219235548</v>
      </c>
    </row>
    <row r="3716" spans="7:20" ht="14.4" x14ac:dyDescent="0.25">
      <c r="G3716" s="10">
        <v>5027</v>
      </c>
      <c r="H3716" s="9">
        <v>35841</v>
      </c>
      <c r="I3716" s="14">
        <f>DATE(2012,12,31)-603</f>
        <v>40671</v>
      </c>
      <c r="J3716" s="15" t="s">
        <v>16</v>
      </c>
      <c r="K3716" s="9">
        <v>23</v>
      </c>
      <c r="L3716" s="16" t="s">
        <v>26</v>
      </c>
      <c r="M3716" s="16">
        <f t="shared" si="345"/>
        <v>-0.17760342600014073</v>
      </c>
      <c r="N3716">
        <f t="shared" si="346"/>
        <v>0</v>
      </c>
      <c r="O3716">
        <f t="shared" si="347"/>
        <v>0</v>
      </c>
      <c r="P3716">
        <f t="shared" si="344"/>
        <v>4550</v>
      </c>
      <c r="Q3716">
        <f t="shared" si="348"/>
        <v>4550</v>
      </c>
      <c r="T3716" s="16">
        <f t="shared" si="349"/>
        <v>-0.17760342600014112</v>
      </c>
    </row>
    <row r="3717" spans="7:20" ht="14.4" x14ac:dyDescent="0.25">
      <c r="G3717" s="10">
        <v>5028</v>
      </c>
      <c r="H3717" s="9">
        <v>35841</v>
      </c>
      <c r="I3717" s="14">
        <f>DATE(2012,12,31)-603</f>
        <v>40671</v>
      </c>
      <c r="J3717" s="15" t="s">
        <v>16</v>
      </c>
      <c r="K3717" s="9">
        <v>48</v>
      </c>
      <c r="L3717" s="16" t="s">
        <v>27</v>
      </c>
      <c r="M3717" s="16">
        <f t="shared" si="345"/>
        <v>1.5488909894803951</v>
      </c>
      <c r="N3717">
        <f t="shared" si="346"/>
        <v>0</v>
      </c>
      <c r="O3717">
        <f t="shared" si="347"/>
        <v>0</v>
      </c>
      <c r="P3717">
        <f t="shared" si="344"/>
        <v>5800</v>
      </c>
      <c r="Q3717">
        <f t="shared" si="348"/>
        <v>5800</v>
      </c>
      <c r="T3717" s="16">
        <f t="shared" si="349"/>
        <v>1.5488909894803948</v>
      </c>
    </row>
    <row r="3718" spans="7:20" ht="14.4" x14ac:dyDescent="0.25">
      <c r="G3718" s="10">
        <v>5054</v>
      </c>
      <c r="H3718" s="9">
        <v>36034</v>
      </c>
      <c r="I3718" s="14">
        <f>DATE(2012,12,31)-76</f>
        <v>41198</v>
      </c>
      <c r="J3718" s="15" t="s">
        <v>17</v>
      </c>
      <c r="K3718" s="9">
        <v>10</v>
      </c>
      <c r="L3718" s="16" t="s">
        <v>26</v>
      </c>
      <c r="M3718" s="16">
        <f t="shared" si="345"/>
        <v>-1.0753805220500194</v>
      </c>
      <c r="N3718">
        <f t="shared" si="346"/>
        <v>0</v>
      </c>
      <c r="O3718">
        <f t="shared" si="347"/>
        <v>0</v>
      </c>
      <c r="P3718">
        <f t="shared" si="344"/>
        <v>3900</v>
      </c>
      <c r="Q3718">
        <f t="shared" si="348"/>
        <v>3900</v>
      </c>
      <c r="T3718" s="16">
        <f t="shared" si="349"/>
        <v>-1.0753805220500199</v>
      </c>
    </row>
    <row r="3719" spans="7:20" ht="14.4" x14ac:dyDescent="0.25">
      <c r="G3719" s="10">
        <v>5056</v>
      </c>
      <c r="H3719" s="9">
        <v>36065</v>
      </c>
      <c r="I3719" s="14">
        <f>DATE(2012,12,31)-1048</f>
        <v>40226</v>
      </c>
      <c r="J3719" s="15" t="s">
        <v>17</v>
      </c>
      <c r="K3719" s="9">
        <v>31</v>
      </c>
      <c r="L3719" s="16" t="s">
        <v>26</v>
      </c>
      <c r="M3719" s="16">
        <f t="shared" si="345"/>
        <v>0.37487478695363075</v>
      </c>
      <c r="N3719">
        <f t="shared" si="346"/>
        <v>0</v>
      </c>
      <c r="O3719">
        <f t="shared" si="347"/>
        <v>0</v>
      </c>
      <c r="P3719">
        <f t="shared" si="344"/>
        <v>4950</v>
      </c>
      <c r="Q3719">
        <f t="shared" si="348"/>
        <v>4950</v>
      </c>
      <c r="T3719" s="16">
        <f t="shared" si="349"/>
        <v>0.37487478695363036</v>
      </c>
    </row>
    <row r="3720" spans="7:20" ht="14.4" x14ac:dyDescent="0.25">
      <c r="G3720" s="10">
        <v>5097</v>
      </c>
      <c r="H3720" s="9">
        <v>36355</v>
      </c>
      <c r="I3720" s="14">
        <f>DATE(2012,12,31)-1125</f>
        <v>40149</v>
      </c>
      <c r="J3720" s="15" t="s">
        <v>16</v>
      </c>
      <c r="K3720" s="9">
        <v>9</v>
      </c>
      <c r="L3720" s="16" t="s">
        <v>26</v>
      </c>
      <c r="M3720" s="16">
        <f t="shared" si="345"/>
        <v>-1.1444402986692408</v>
      </c>
      <c r="N3720">
        <f t="shared" si="346"/>
        <v>0</v>
      </c>
      <c r="O3720">
        <f t="shared" si="347"/>
        <v>0</v>
      </c>
      <c r="P3720">
        <f t="shared" si="344"/>
        <v>3850</v>
      </c>
      <c r="Q3720">
        <f t="shared" si="348"/>
        <v>3850</v>
      </c>
      <c r="T3720" s="16">
        <f t="shared" si="349"/>
        <v>-1.1444402986692412</v>
      </c>
    </row>
    <row r="3721" spans="7:20" ht="14.4" x14ac:dyDescent="0.25">
      <c r="G3721" s="10">
        <v>5098</v>
      </c>
      <c r="H3721" s="9">
        <v>36355</v>
      </c>
      <c r="I3721" s="14">
        <f>DATE(2012,12,31)-1125</f>
        <v>40149</v>
      </c>
      <c r="J3721" s="15" t="s">
        <v>16</v>
      </c>
      <c r="K3721" s="9">
        <v>6</v>
      </c>
      <c r="L3721" s="16" t="s">
        <v>29</v>
      </c>
      <c r="M3721" s="16">
        <f t="shared" si="345"/>
        <v>-1.3516196285269051</v>
      </c>
      <c r="N3721">
        <f t="shared" si="346"/>
        <v>0</v>
      </c>
      <c r="O3721">
        <f t="shared" si="347"/>
        <v>0</v>
      </c>
      <c r="P3721">
        <f t="shared" si="344"/>
        <v>3700</v>
      </c>
      <c r="Q3721">
        <f t="shared" si="348"/>
        <v>3700</v>
      </c>
      <c r="T3721" s="16">
        <f t="shared" si="349"/>
        <v>-1.3516196285269055</v>
      </c>
    </row>
    <row r="3722" spans="7:20" ht="14.4" x14ac:dyDescent="0.25">
      <c r="G3722" s="10">
        <v>5099</v>
      </c>
      <c r="H3722" s="9">
        <v>36355</v>
      </c>
      <c r="I3722" s="14">
        <f>DATE(2012,12,31)-1125</f>
        <v>40149</v>
      </c>
      <c r="J3722" s="15" t="s">
        <v>16</v>
      </c>
      <c r="K3722" s="9">
        <v>10</v>
      </c>
      <c r="L3722" s="16" t="s">
        <v>26</v>
      </c>
      <c r="M3722" s="16">
        <f t="shared" si="345"/>
        <v>-1.0753805220500194</v>
      </c>
      <c r="N3722">
        <f t="shared" si="346"/>
        <v>0</v>
      </c>
      <c r="O3722">
        <f t="shared" si="347"/>
        <v>0</v>
      </c>
      <c r="P3722">
        <f t="shared" si="344"/>
        <v>3900</v>
      </c>
      <c r="Q3722">
        <f t="shared" si="348"/>
        <v>3900</v>
      </c>
      <c r="T3722" s="16">
        <f t="shared" si="349"/>
        <v>-1.0753805220500199</v>
      </c>
    </row>
    <row r="3723" spans="7:20" ht="14.4" x14ac:dyDescent="0.25">
      <c r="G3723" s="10">
        <v>5100</v>
      </c>
      <c r="H3723" s="9">
        <v>36355</v>
      </c>
      <c r="I3723" s="14">
        <f>DATE(2012,12,31)-1125</f>
        <v>40149</v>
      </c>
      <c r="J3723" s="15" t="s">
        <v>16</v>
      </c>
      <c r="K3723" s="9">
        <v>43</v>
      </c>
      <c r="L3723" s="16" t="s">
        <v>26</v>
      </c>
      <c r="M3723" s="16">
        <f t="shared" si="345"/>
        <v>1.203592106384288</v>
      </c>
      <c r="N3723">
        <f t="shared" si="346"/>
        <v>0</v>
      </c>
      <c r="O3723">
        <f t="shared" si="347"/>
        <v>0</v>
      </c>
      <c r="P3723">
        <f t="shared" si="344"/>
        <v>5550</v>
      </c>
      <c r="Q3723">
        <f t="shared" si="348"/>
        <v>5550</v>
      </c>
      <c r="T3723" s="16">
        <f t="shared" si="349"/>
        <v>1.2035921063842876</v>
      </c>
    </row>
    <row r="3724" spans="7:20" ht="14.4" x14ac:dyDescent="0.25">
      <c r="G3724" s="10">
        <v>5104</v>
      </c>
      <c r="H3724" s="9">
        <v>36358</v>
      </c>
      <c r="I3724" s="14">
        <f>DATE(2012,12,31)-1328</f>
        <v>39946</v>
      </c>
      <c r="J3724" s="15" t="s">
        <v>28</v>
      </c>
      <c r="K3724" s="9">
        <v>28</v>
      </c>
      <c r="L3724" s="16" t="s">
        <v>27</v>
      </c>
      <c r="M3724" s="16">
        <f t="shared" si="345"/>
        <v>0.16769545709596645</v>
      </c>
      <c r="N3724">
        <f t="shared" si="346"/>
        <v>0</v>
      </c>
      <c r="O3724">
        <f t="shared" si="347"/>
        <v>0</v>
      </c>
      <c r="P3724">
        <f t="shared" ref="P3724:P3787" si="350">50*K3724+$P$10</f>
        <v>4800</v>
      </c>
      <c r="Q3724">
        <f t="shared" si="348"/>
        <v>4800</v>
      </c>
      <c r="T3724" s="16">
        <f t="shared" si="349"/>
        <v>0.16769545709596606</v>
      </c>
    </row>
    <row r="3725" spans="7:20" ht="14.4" x14ac:dyDescent="0.25">
      <c r="G3725" s="10">
        <v>5105</v>
      </c>
      <c r="H3725" s="9">
        <v>36358</v>
      </c>
      <c r="I3725" s="14">
        <f>DATE(2012,12,31)-1328</f>
        <v>39946</v>
      </c>
      <c r="J3725" s="15" t="s">
        <v>28</v>
      </c>
      <c r="K3725" s="9">
        <v>22</v>
      </c>
      <c r="L3725" s="16" t="s">
        <v>26</v>
      </c>
      <c r="M3725" s="16">
        <f t="shared" ref="M3725:M3788" si="351">(K3725-$K$4)/$K$7</f>
        <v>-0.24666320261936217</v>
      </c>
      <c r="N3725">
        <f t="shared" ref="N3725:N3788" si="352">IF(MOD($B$20+G3725,1000)=0,1,0)</f>
        <v>0</v>
      </c>
      <c r="O3725">
        <f t="shared" ref="O3725:O3788" si="353">+ROUND(N3725*(IF(K3725&lt;$K$4,-4.5,10.5)*$P$5),-2)</f>
        <v>0</v>
      </c>
      <c r="P3725">
        <f t="shared" si="350"/>
        <v>4500</v>
      </c>
      <c r="Q3725">
        <f t="shared" ref="Q3725:Q3788" si="354">P3725+O3725</f>
        <v>4500</v>
      </c>
      <c r="T3725" s="16">
        <f t="shared" ref="T3725:T3788" si="355">(Q3725-$P$4)/$P$5</f>
        <v>-0.24666320261936256</v>
      </c>
    </row>
    <row r="3726" spans="7:20" ht="14.4" x14ac:dyDescent="0.25">
      <c r="G3726" s="10">
        <v>5161</v>
      </c>
      <c r="H3726" s="9">
        <v>36739</v>
      </c>
      <c r="I3726" s="14">
        <f>DATE(2012,12,31)-1180</f>
        <v>40094</v>
      </c>
      <c r="J3726" s="15" t="s">
        <v>28</v>
      </c>
      <c r="K3726" s="9">
        <v>16</v>
      </c>
      <c r="L3726" s="16" t="s">
        <v>26</v>
      </c>
      <c r="M3726" s="16">
        <f t="shared" si="351"/>
        <v>-0.66102186233469074</v>
      </c>
      <c r="N3726">
        <f t="shared" si="352"/>
        <v>0</v>
      </c>
      <c r="O3726">
        <f t="shared" si="353"/>
        <v>0</v>
      </c>
      <c r="P3726">
        <f t="shared" si="350"/>
        <v>4200</v>
      </c>
      <c r="Q3726">
        <f t="shared" si="354"/>
        <v>4200</v>
      </c>
      <c r="T3726" s="16">
        <f t="shared" si="355"/>
        <v>-0.66102186233469118</v>
      </c>
    </row>
    <row r="3727" spans="7:20" ht="14.4" x14ac:dyDescent="0.25">
      <c r="G3727" s="10">
        <v>5162</v>
      </c>
      <c r="H3727" s="9">
        <v>36739</v>
      </c>
      <c r="I3727" s="14">
        <f>DATE(2012,12,31)-1180</f>
        <v>40094</v>
      </c>
      <c r="J3727" s="15" t="s">
        <v>28</v>
      </c>
      <c r="K3727" s="9">
        <v>27</v>
      </c>
      <c r="L3727" s="16" t="s">
        <v>29</v>
      </c>
      <c r="M3727" s="16">
        <f t="shared" si="351"/>
        <v>9.8635680476745008E-2</v>
      </c>
      <c r="N3727">
        <f t="shared" si="352"/>
        <v>0</v>
      </c>
      <c r="O3727">
        <f t="shared" si="353"/>
        <v>0</v>
      </c>
      <c r="P3727">
        <f t="shared" si="350"/>
        <v>4750</v>
      </c>
      <c r="Q3727">
        <f t="shared" si="354"/>
        <v>4750</v>
      </c>
      <c r="T3727" s="16">
        <f t="shared" si="355"/>
        <v>9.8635680476744619E-2</v>
      </c>
    </row>
    <row r="3728" spans="7:20" ht="14.4" x14ac:dyDescent="0.25">
      <c r="G3728" s="10">
        <v>5165</v>
      </c>
      <c r="H3728" s="9">
        <v>36743</v>
      </c>
      <c r="I3728" s="14">
        <f>DATE(2012,12,31)-114</f>
        <v>41160</v>
      </c>
      <c r="J3728" s="15" t="s">
        <v>30</v>
      </c>
      <c r="K3728" s="9">
        <v>3</v>
      </c>
      <c r="L3728" s="16" t="s">
        <v>29</v>
      </c>
      <c r="M3728" s="16">
        <f t="shared" si="351"/>
        <v>-1.5587989583845694</v>
      </c>
      <c r="N3728">
        <f t="shared" si="352"/>
        <v>0</v>
      </c>
      <c r="O3728">
        <f t="shared" si="353"/>
        <v>0</v>
      </c>
      <c r="P3728">
        <f t="shared" si="350"/>
        <v>3550</v>
      </c>
      <c r="Q3728">
        <f t="shared" si="354"/>
        <v>3550</v>
      </c>
      <c r="T3728" s="16">
        <f t="shared" si="355"/>
        <v>-1.5587989583845698</v>
      </c>
    </row>
    <row r="3729" spans="7:20" ht="14.4" x14ac:dyDescent="0.25">
      <c r="G3729" s="10">
        <v>5186</v>
      </c>
      <c r="H3729" s="9">
        <v>36864</v>
      </c>
      <c r="I3729" s="14">
        <f>DATE(2012,12,31)-155</f>
        <v>41119</v>
      </c>
      <c r="J3729" s="15" t="s">
        <v>25</v>
      </c>
      <c r="K3729" s="9">
        <v>9</v>
      </c>
      <c r="L3729" s="16" t="s">
        <v>26</v>
      </c>
      <c r="M3729" s="16">
        <f t="shared" si="351"/>
        <v>-1.1444402986692408</v>
      </c>
      <c r="N3729">
        <f t="shared" si="352"/>
        <v>0</v>
      </c>
      <c r="O3729">
        <f t="shared" si="353"/>
        <v>0</v>
      </c>
      <c r="P3729">
        <f t="shared" si="350"/>
        <v>3850</v>
      </c>
      <c r="Q3729">
        <f t="shared" si="354"/>
        <v>3850</v>
      </c>
      <c r="T3729" s="16">
        <f t="shared" si="355"/>
        <v>-1.1444402986692412</v>
      </c>
    </row>
    <row r="3730" spans="7:20" ht="14.4" x14ac:dyDescent="0.25">
      <c r="G3730" s="10">
        <v>5224</v>
      </c>
      <c r="H3730" s="9">
        <v>37188</v>
      </c>
      <c r="I3730" s="14">
        <f>DATE(2012,12,31)-302</f>
        <v>40972</v>
      </c>
      <c r="J3730" s="15" t="s">
        <v>30</v>
      </c>
      <c r="K3730" s="9">
        <v>24</v>
      </c>
      <c r="L3730" s="16" t="s">
        <v>26</v>
      </c>
      <c r="M3730" s="16">
        <f t="shared" si="351"/>
        <v>-0.1085436493809193</v>
      </c>
      <c r="N3730">
        <f t="shared" si="352"/>
        <v>0</v>
      </c>
      <c r="O3730">
        <f t="shared" si="353"/>
        <v>0</v>
      </c>
      <c r="P3730">
        <f t="shared" si="350"/>
        <v>4600</v>
      </c>
      <c r="Q3730">
        <f t="shared" si="354"/>
        <v>4600</v>
      </c>
      <c r="T3730" s="16">
        <f t="shared" si="355"/>
        <v>-0.10854364938091969</v>
      </c>
    </row>
    <row r="3731" spans="7:20" ht="14.4" x14ac:dyDescent="0.25">
      <c r="G3731" s="10">
        <v>5257</v>
      </c>
      <c r="H3731" s="9">
        <v>37414</v>
      </c>
      <c r="I3731" s="14">
        <f>DATE(2012,12,31)-479</f>
        <v>40795</v>
      </c>
      <c r="J3731" s="15" t="s">
        <v>25</v>
      </c>
      <c r="K3731" s="9">
        <v>39</v>
      </c>
      <c r="L3731" s="16" t="s">
        <v>29</v>
      </c>
      <c r="M3731" s="16">
        <f t="shared" si="351"/>
        <v>0.92735299990740228</v>
      </c>
      <c r="N3731">
        <f t="shared" si="352"/>
        <v>0</v>
      </c>
      <c r="O3731">
        <f t="shared" si="353"/>
        <v>0</v>
      </c>
      <c r="P3731">
        <f t="shared" si="350"/>
        <v>5350</v>
      </c>
      <c r="Q3731">
        <f t="shared" si="354"/>
        <v>5350</v>
      </c>
      <c r="T3731" s="16">
        <f t="shared" si="355"/>
        <v>0.92735299990740183</v>
      </c>
    </row>
    <row r="3732" spans="7:20" ht="14.4" x14ac:dyDescent="0.25">
      <c r="G3732" s="10">
        <v>5287</v>
      </c>
      <c r="H3732" s="9">
        <v>37638</v>
      </c>
      <c r="I3732" s="14">
        <f>DATE(2012,12,31)-1440</f>
        <v>39834</v>
      </c>
      <c r="J3732" s="15" t="s">
        <v>25</v>
      </c>
      <c r="K3732" s="9">
        <v>33</v>
      </c>
      <c r="L3732" s="16" t="s">
        <v>26</v>
      </c>
      <c r="M3732" s="16">
        <f t="shared" si="351"/>
        <v>0.51299434019207357</v>
      </c>
      <c r="N3732">
        <f t="shared" si="352"/>
        <v>0</v>
      </c>
      <c r="O3732">
        <f t="shared" si="353"/>
        <v>0</v>
      </c>
      <c r="P3732">
        <f t="shared" si="350"/>
        <v>5050</v>
      </c>
      <c r="Q3732">
        <f t="shared" si="354"/>
        <v>5050</v>
      </c>
      <c r="T3732" s="16">
        <f t="shared" si="355"/>
        <v>0.51299434019207324</v>
      </c>
    </row>
    <row r="3733" spans="7:20" ht="14.4" x14ac:dyDescent="0.25">
      <c r="G3733" s="10">
        <v>5300</v>
      </c>
      <c r="H3733" s="9">
        <v>37734</v>
      </c>
      <c r="I3733" s="14">
        <f>DATE(2012,12,31)-1101</f>
        <v>40173</v>
      </c>
      <c r="J3733" s="15" t="s">
        <v>30</v>
      </c>
      <c r="K3733" s="9">
        <v>15</v>
      </c>
      <c r="L3733" s="16" t="s">
        <v>27</v>
      </c>
      <c r="M3733" s="16">
        <f t="shared" si="351"/>
        <v>-0.7300816389539122</v>
      </c>
      <c r="N3733">
        <f t="shared" si="352"/>
        <v>0</v>
      </c>
      <c r="O3733">
        <f t="shared" si="353"/>
        <v>0</v>
      </c>
      <c r="P3733">
        <f t="shared" si="350"/>
        <v>4150</v>
      </c>
      <c r="Q3733">
        <f t="shared" si="354"/>
        <v>4150</v>
      </c>
      <c r="T3733" s="16">
        <f t="shared" si="355"/>
        <v>-0.73008163895391265</v>
      </c>
    </row>
    <row r="3734" spans="7:20" ht="14.4" x14ac:dyDescent="0.25">
      <c r="G3734" s="10">
        <v>5301</v>
      </c>
      <c r="H3734" s="9">
        <v>37734</v>
      </c>
      <c r="I3734" s="14">
        <f>DATE(2012,12,31)-1101</f>
        <v>40173</v>
      </c>
      <c r="J3734" s="15" t="s">
        <v>30</v>
      </c>
      <c r="K3734" s="9">
        <v>42</v>
      </c>
      <c r="L3734" s="16" t="s">
        <v>29</v>
      </c>
      <c r="M3734" s="16">
        <f t="shared" si="351"/>
        <v>1.1345323297650665</v>
      </c>
      <c r="N3734">
        <f t="shared" si="352"/>
        <v>0</v>
      </c>
      <c r="O3734">
        <f t="shared" si="353"/>
        <v>0</v>
      </c>
      <c r="P3734">
        <f t="shared" si="350"/>
        <v>5500</v>
      </c>
      <c r="Q3734">
        <f t="shared" si="354"/>
        <v>5500</v>
      </c>
      <c r="T3734" s="16">
        <f t="shared" si="355"/>
        <v>1.1345323297650662</v>
      </c>
    </row>
    <row r="3735" spans="7:20" ht="14.4" x14ac:dyDescent="0.25">
      <c r="G3735" s="10">
        <v>5305</v>
      </c>
      <c r="H3735" s="9">
        <v>37763</v>
      </c>
      <c r="I3735" s="14">
        <f>DATE(2012,12,31)-327</f>
        <v>40947</v>
      </c>
      <c r="J3735" s="15" t="s">
        <v>28</v>
      </c>
      <c r="K3735" s="9">
        <v>29</v>
      </c>
      <c r="L3735" s="16" t="s">
        <v>26</v>
      </c>
      <c r="M3735" s="16">
        <f t="shared" si="351"/>
        <v>0.23675523371518786</v>
      </c>
      <c r="N3735">
        <f t="shared" si="352"/>
        <v>0</v>
      </c>
      <c r="O3735">
        <f t="shared" si="353"/>
        <v>0</v>
      </c>
      <c r="P3735">
        <f t="shared" si="350"/>
        <v>4850</v>
      </c>
      <c r="Q3735">
        <f t="shared" si="354"/>
        <v>4850</v>
      </c>
      <c r="T3735" s="16">
        <f t="shared" si="355"/>
        <v>0.2367552337151875</v>
      </c>
    </row>
    <row r="3736" spans="7:20" ht="14.4" x14ac:dyDescent="0.25">
      <c r="G3736" s="10">
        <v>5306</v>
      </c>
      <c r="H3736" s="9">
        <v>37763</v>
      </c>
      <c r="I3736" s="14">
        <f>DATE(2012,12,31)-327</f>
        <v>40947</v>
      </c>
      <c r="J3736" s="15" t="s">
        <v>28</v>
      </c>
      <c r="K3736" s="9">
        <v>24</v>
      </c>
      <c r="L3736" s="16" t="s">
        <v>27</v>
      </c>
      <c r="M3736" s="16">
        <f t="shared" si="351"/>
        <v>-0.1085436493809193</v>
      </c>
      <c r="N3736">
        <f t="shared" si="352"/>
        <v>0</v>
      </c>
      <c r="O3736">
        <f t="shared" si="353"/>
        <v>0</v>
      </c>
      <c r="P3736">
        <f t="shared" si="350"/>
        <v>4600</v>
      </c>
      <c r="Q3736">
        <f t="shared" si="354"/>
        <v>4600</v>
      </c>
      <c r="T3736" s="16">
        <f t="shared" si="355"/>
        <v>-0.10854364938091969</v>
      </c>
    </row>
    <row r="3737" spans="7:20" ht="14.4" x14ac:dyDescent="0.25">
      <c r="G3737" s="10">
        <v>5324</v>
      </c>
      <c r="H3737" s="9">
        <v>37859</v>
      </c>
      <c r="I3737" s="14">
        <f>DATE(2012,12,31)-1372</f>
        <v>39902</v>
      </c>
      <c r="J3737" s="15" t="s">
        <v>30</v>
      </c>
      <c r="K3737" s="9">
        <v>2</v>
      </c>
      <c r="L3737" s="16" t="s">
        <v>26</v>
      </c>
      <c r="M3737" s="16">
        <f t="shared" si="351"/>
        <v>-1.627858735003791</v>
      </c>
      <c r="N3737">
        <f t="shared" si="352"/>
        <v>0</v>
      </c>
      <c r="O3737">
        <f t="shared" si="353"/>
        <v>0</v>
      </c>
      <c r="P3737">
        <f t="shared" si="350"/>
        <v>3500</v>
      </c>
      <c r="Q3737">
        <f t="shared" si="354"/>
        <v>3500</v>
      </c>
      <c r="T3737" s="16">
        <f t="shared" si="355"/>
        <v>-1.6278587350037912</v>
      </c>
    </row>
    <row r="3738" spans="7:20" ht="14.4" x14ac:dyDescent="0.25">
      <c r="G3738" s="10">
        <v>5352</v>
      </c>
      <c r="H3738" s="9">
        <v>38048</v>
      </c>
      <c r="I3738" s="14">
        <f>DATE(2012,12,31)-1072</f>
        <v>40202</v>
      </c>
      <c r="J3738" s="15" t="s">
        <v>17</v>
      </c>
      <c r="K3738" s="9">
        <v>42</v>
      </c>
      <c r="L3738" s="16" t="s">
        <v>27</v>
      </c>
      <c r="M3738" s="16">
        <f t="shared" si="351"/>
        <v>1.1345323297650665</v>
      </c>
      <c r="N3738">
        <f t="shared" si="352"/>
        <v>0</v>
      </c>
      <c r="O3738">
        <f t="shared" si="353"/>
        <v>0</v>
      </c>
      <c r="P3738">
        <f t="shared" si="350"/>
        <v>5500</v>
      </c>
      <c r="Q3738">
        <f t="shared" si="354"/>
        <v>5500</v>
      </c>
      <c r="T3738" s="16">
        <f t="shared" si="355"/>
        <v>1.1345323297650662</v>
      </c>
    </row>
    <row r="3739" spans="7:20" ht="14.4" x14ac:dyDescent="0.25">
      <c r="G3739" s="10">
        <v>5353</v>
      </c>
      <c r="H3739" s="9">
        <v>38048</v>
      </c>
      <c r="I3739" s="14">
        <f>DATE(2012,12,31)-1072</f>
        <v>40202</v>
      </c>
      <c r="J3739" s="15" t="s">
        <v>17</v>
      </c>
      <c r="K3739" s="9">
        <v>47</v>
      </c>
      <c r="L3739" s="16" t="s">
        <v>29</v>
      </c>
      <c r="M3739" s="16">
        <f t="shared" si="351"/>
        <v>1.4798312128611737</v>
      </c>
      <c r="N3739">
        <f t="shared" si="352"/>
        <v>0</v>
      </c>
      <c r="O3739">
        <f t="shared" si="353"/>
        <v>0</v>
      </c>
      <c r="P3739">
        <f t="shared" si="350"/>
        <v>5750</v>
      </c>
      <c r="Q3739">
        <f t="shared" si="354"/>
        <v>5750</v>
      </c>
      <c r="T3739" s="16">
        <f t="shared" si="355"/>
        <v>1.4798312128611733</v>
      </c>
    </row>
    <row r="3740" spans="7:20" ht="14.4" x14ac:dyDescent="0.25">
      <c r="G3740" s="10">
        <v>5386</v>
      </c>
      <c r="H3740" s="9">
        <v>38305</v>
      </c>
      <c r="I3740" s="14">
        <f>DATE(2012,12,31)-611</f>
        <v>40663</v>
      </c>
      <c r="J3740" s="15" t="s">
        <v>30</v>
      </c>
      <c r="K3740" s="9">
        <v>21</v>
      </c>
      <c r="L3740" s="16" t="s">
        <v>27</v>
      </c>
      <c r="M3740" s="16">
        <f t="shared" si="351"/>
        <v>-0.31572297923858361</v>
      </c>
      <c r="N3740">
        <f t="shared" si="352"/>
        <v>0</v>
      </c>
      <c r="O3740">
        <f t="shared" si="353"/>
        <v>0</v>
      </c>
      <c r="P3740">
        <f t="shared" si="350"/>
        <v>4450</v>
      </c>
      <c r="Q3740">
        <f t="shared" si="354"/>
        <v>4450</v>
      </c>
      <c r="T3740" s="16">
        <f t="shared" si="355"/>
        <v>-0.315722979238584</v>
      </c>
    </row>
    <row r="3741" spans="7:20" ht="14.4" x14ac:dyDescent="0.25">
      <c r="G3741" s="10">
        <v>5398</v>
      </c>
      <c r="H3741" s="9">
        <v>38371</v>
      </c>
      <c r="I3741" s="14">
        <f>DATE(2012,12,31)-1149</f>
        <v>40125</v>
      </c>
      <c r="J3741" s="15" t="s">
        <v>28</v>
      </c>
      <c r="K3741" s="9">
        <v>24</v>
      </c>
      <c r="L3741" s="16" t="s">
        <v>27</v>
      </c>
      <c r="M3741" s="16">
        <f t="shared" si="351"/>
        <v>-0.1085436493809193</v>
      </c>
      <c r="N3741">
        <f t="shared" si="352"/>
        <v>0</v>
      </c>
      <c r="O3741">
        <f t="shared" si="353"/>
        <v>0</v>
      </c>
      <c r="P3741">
        <f t="shared" si="350"/>
        <v>4600</v>
      </c>
      <c r="Q3741">
        <f t="shared" si="354"/>
        <v>4600</v>
      </c>
      <c r="T3741" s="16">
        <f t="shared" si="355"/>
        <v>-0.10854364938091969</v>
      </c>
    </row>
    <row r="3742" spans="7:20" ht="14.4" x14ac:dyDescent="0.25">
      <c r="G3742" s="10">
        <v>5461</v>
      </c>
      <c r="H3742" s="9">
        <v>38789</v>
      </c>
      <c r="I3742" s="14">
        <f>DATE(2012,12,31)-778</f>
        <v>40496</v>
      </c>
      <c r="J3742" s="15" t="s">
        <v>17</v>
      </c>
      <c r="K3742" s="9">
        <v>9</v>
      </c>
      <c r="L3742" s="16" t="s">
        <v>29</v>
      </c>
      <c r="M3742" s="16">
        <f t="shared" si="351"/>
        <v>-1.1444402986692408</v>
      </c>
      <c r="N3742">
        <f t="shared" si="352"/>
        <v>0</v>
      </c>
      <c r="O3742">
        <f t="shared" si="353"/>
        <v>0</v>
      </c>
      <c r="P3742">
        <f t="shared" si="350"/>
        <v>3850</v>
      </c>
      <c r="Q3742">
        <f t="shared" si="354"/>
        <v>3850</v>
      </c>
      <c r="T3742" s="16">
        <f t="shared" si="355"/>
        <v>-1.1444402986692412</v>
      </c>
    </row>
    <row r="3743" spans="7:20" ht="14.4" x14ac:dyDescent="0.25">
      <c r="G3743" s="10">
        <v>5462</v>
      </c>
      <c r="H3743" s="9">
        <v>38789</v>
      </c>
      <c r="I3743" s="14">
        <f>DATE(2012,12,31)-778</f>
        <v>40496</v>
      </c>
      <c r="J3743" s="15" t="s">
        <v>17</v>
      </c>
      <c r="K3743" s="9">
        <v>4</v>
      </c>
      <c r="L3743" s="16" t="s">
        <v>29</v>
      </c>
      <c r="M3743" s="16">
        <f t="shared" si="351"/>
        <v>-1.489739181765348</v>
      </c>
      <c r="N3743">
        <f t="shared" si="352"/>
        <v>0</v>
      </c>
      <c r="O3743">
        <f t="shared" si="353"/>
        <v>0</v>
      </c>
      <c r="P3743">
        <f t="shared" si="350"/>
        <v>3600</v>
      </c>
      <c r="Q3743">
        <f t="shared" si="354"/>
        <v>3600</v>
      </c>
      <c r="T3743" s="16">
        <f t="shared" si="355"/>
        <v>-1.4897391817653485</v>
      </c>
    </row>
    <row r="3744" spans="7:20" ht="14.4" x14ac:dyDescent="0.25">
      <c r="G3744" s="10">
        <v>5511</v>
      </c>
      <c r="H3744" s="9">
        <v>39076</v>
      </c>
      <c r="I3744" s="14">
        <f>DATE(2012,12,31)-1116</f>
        <v>40158</v>
      </c>
      <c r="J3744" s="15" t="s">
        <v>30</v>
      </c>
      <c r="K3744" s="9">
        <v>41</v>
      </c>
      <c r="L3744" s="16" t="s">
        <v>26</v>
      </c>
      <c r="M3744" s="16">
        <f t="shared" si="351"/>
        <v>1.0654725531458451</v>
      </c>
      <c r="N3744">
        <f t="shared" si="352"/>
        <v>0</v>
      </c>
      <c r="O3744">
        <f t="shared" si="353"/>
        <v>0</v>
      </c>
      <c r="P3744">
        <f t="shared" si="350"/>
        <v>5450</v>
      </c>
      <c r="Q3744">
        <f t="shared" si="354"/>
        <v>5450</v>
      </c>
      <c r="T3744" s="16">
        <f t="shared" si="355"/>
        <v>1.0654725531458447</v>
      </c>
    </row>
    <row r="3745" spans="7:20" ht="14.4" x14ac:dyDescent="0.25">
      <c r="G3745" s="10">
        <v>5533</v>
      </c>
      <c r="H3745" s="9">
        <v>39173</v>
      </c>
      <c r="I3745" s="14">
        <f>DATE(2012,12,31)-1445</f>
        <v>39829</v>
      </c>
      <c r="J3745" s="15" t="s">
        <v>30</v>
      </c>
      <c r="K3745" s="9">
        <v>36</v>
      </c>
      <c r="L3745" s="16" t="s">
        <v>26</v>
      </c>
      <c r="M3745" s="16">
        <f t="shared" si="351"/>
        <v>0.72017367004973787</v>
      </c>
      <c r="N3745">
        <f t="shared" si="352"/>
        <v>1</v>
      </c>
      <c r="O3745">
        <f t="shared" si="353"/>
        <v>7600</v>
      </c>
      <c r="P3745">
        <f t="shared" si="350"/>
        <v>5200</v>
      </c>
      <c r="Q3745">
        <f t="shared" si="354"/>
        <v>12800</v>
      </c>
      <c r="T3745" s="16">
        <f t="shared" si="355"/>
        <v>11.217259716171396</v>
      </c>
    </row>
    <row r="3746" spans="7:20" ht="14.4" x14ac:dyDescent="0.25">
      <c r="G3746" s="10">
        <v>5534</v>
      </c>
      <c r="H3746" s="9">
        <v>39173</v>
      </c>
      <c r="I3746" s="14">
        <f>DATE(2012,12,31)-1445</f>
        <v>39829</v>
      </c>
      <c r="J3746" s="15" t="s">
        <v>30</v>
      </c>
      <c r="K3746" s="9">
        <v>2</v>
      </c>
      <c r="L3746" s="16" t="s">
        <v>29</v>
      </c>
      <c r="M3746" s="16">
        <f t="shared" si="351"/>
        <v>-1.627858735003791</v>
      </c>
      <c r="N3746">
        <f t="shared" si="352"/>
        <v>0</v>
      </c>
      <c r="O3746">
        <f t="shared" si="353"/>
        <v>0</v>
      </c>
      <c r="P3746">
        <f t="shared" si="350"/>
        <v>3500</v>
      </c>
      <c r="Q3746">
        <f t="shared" si="354"/>
        <v>3500</v>
      </c>
      <c r="T3746" s="16">
        <f t="shared" si="355"/>
        <v>-1.6278587350037912</v>
      </c>
    </row>
    <row r="3747" spans="7:20" ht="14.4" x14ac:dyDescent="0.25">
      <c r="G3747" s="10">
        <v>5557</v>
      </c>
      <c r="H3747" s="9">
        <v>39335</v>
      </c>
      <c r="I3747" s="14">
        <f>DATE(2012,12,31)-1316</f>
        <v>39958</v>
      </c>
      <c r="J3747" s="15" t="s">
        <v>28</v>
      </c>
      <c r="K3747" s="9">
        <v>24</v>
      </c>
      <c r="L3747" s="16" t="s">
        <v>27</v>
      </c>
      <c r="M3747" s="16">
        <f t="shared" si="351"/>
        <v>-0.1085436493809193</v>
      </c>
      <c r="N3747">
        <f t="shared" si="352"/>
        <v>0</v>
      </c>
      <c r="O3747">
        <f t="shared" si="353"/>
        <v>0</v>
      </c>
      <c r="P3747">
        <f t="shared" si="350"/>
        <v>4600</v>
      </c>
      <c r="Q3747">
        <f t="shared" si="354"/>
        <v>4600</v>
      </c>
      <c r="T3747" s="16">
        <f t="shared" si="355"/>
        <v>-0.10854364938091969</v>
      </c>
    </row>
    <row r="3748" spans="7:20" ht="14.4" x14ac:dyDescent="0.25">
      <c r="G3748" s="10">
        <v>5558</v>
      </c>
      <c r="H3748" s="9">
        <v>39335</v>
      </c>
      <c r="I3748" s="14">
        <f>DATE(2012,12,31)-1316</f>
        <v>39958</v>
      </c>
      <c r="J3748" s="15" t="s">
        <v>28</v>
      </c>
      <c r="K3748" s="9">
        <v>34</v>
      </c>
      <c r="L3748" s="16" t="s">
        <v>26</v>
      </c>
      <c r="M3748" s="16">
        <f t="shared" si="351"/>
        <v>0.58205411681129504</v>
      </c>
      <c r="N3748">
        <f t="shared" si="352"/>
        <v>0</v>
      </c>
      <c r="O3748">
        <f t="shared" si="353"/>
        <v>0</v>
      </c>
      <c r="P3748">
        <f t="shared" si="350"/>
        <v>5100</v>
      </c>
      <c r="Q3748">
        <f t="shared" si="354"/>
        <v>5100</v>
      </c>
      <c r="T3748" s="16">
        <f t="shared" si="355"/>
        <v>0.58205411681129471</v>
      </c>
    </row>
    <row r="3749" spans="7:20" ht="14.4" x14ac:dyDescent="0.25">
      <c r="G3749" s="10">
        <v>5605</v>
      </c>
      <c r="H3749" s="9">
        <v>39744</v>
      </c>
      <c r="I3749" s="14">
        <f>DATE(2012,12,31)-1274</f>
        <v>40000</v>
      </c>
      <c r="J3749" s="15" t="s">
        <v>16</v>
      </c>
      <c r="K3749" s="9">
        <v>6</v>
      </c>
      <c r="L3749" s="16" t="s">
        <v>26</v>
      </c>
      <c r="M3749" s="16">
        <f t="shared" si="351"/>
        <v>-1.3516196285269051</v>
      </c>
      <c r="N3749">
        <f t="shared" si="352"/>
        <v>0</v>
      </c>
      <c r="O3749">
        <f t="shared" si="353"/>
        <v>0</v>
      </c>
      <c r="P3749">
        <f t="shared" si="350"/>
        <v>3700</v>
      </c>
      <c r="Q3749">
        <f t="shared" si="354"/>
        <v>3700</v>
      </c>
      <c r="T3749" s="16">
        <f t="shared" si="355"/>
        <v>-1.3516196285269055</v>
      </c>
    </row>
    <row r="3750" spans="7:20" ht="14.4" x14ac:dyDescent="0.25">
      <c r="G3750" s="10">
        <v>5606</v>
      </c>
      <c r="H3750" s="9">
        <v>39744</v>
      </c>
      <c r="I3750" s="14">
        <f>DATE(2012,12,31)-1274</f>
        <v>40000</v>
      </c>
      <c r="J3750" s="15" t="s">
        <v>16</v>
      </c>
      <c r="K3750" s="9">
        <v>9</v>
      </c>
      <c r="L3750" s="16" t="s">
        <v>27</v>
      </c>
      <c r="M3750" s="16">
        <f t="shared" si="351"/>
        <v>-1.1444402986692408</v>
      </c>
      <c r="N3750">
        <f t="shared" si="352"/>
        <v>0</v>
      </c>
      <c r="O3750">
        <f t="shared" si="353"/>
        <v>0</v>
      </c>
      <c r="P3750">
        <f t="shared" si="350"/>
        <v>3850</v>
      </c>
      <c r="Q3750">
        <f t="shared" si="354"/>
        <v>3850</v>
      </c>
      <c r="T3750" s="16">
        <f t="shared" si="355"/>
        <v>-1.1444402986692412</v>
      </c>
    </row>
    <row r="3751" spans="7:20" ht="14.4" x14ac:dyDescent="0.25">
      <c r="G3751" s="10">
        <v>5607</v>
      </c>
      <c r="H3751" s="9">
        <v>39744</v>
      </c>
      <c r="I3751" s="14">
        <f>DATE(2012,12,31)-1274</f>
        <v>40000</v>
      </c>
      <c r="J3751" s="15" t="s">
        <v>16</v>
      </c>
      <c r="K3751" s="9">
        <v>41</v>
      </c>
      <c r="L3751" s="16" t="s">
        <v>27</v>
      </c>
      <c r="M3751" s="16">
        <f t="shared" si="351"/>
        <v>1.0654725531458451</v>
      </c>
      <c r="N3751">
        <f t="shared" si="352"/>
        <v>0</v>
      </c>
      <c r="O3751">
        <f t="shared" si="353"/>
        <v>0</v>
      </c>
      <c r="P3751">
        <f t="shared" si="350"/>
        <v>5450</v>
      </c>
      <c r="Q3751">
        <f t="shared" si="354"/>
        <v>5450</v>
      </c>
      <c r="T3751" s="16">
        <f t="shared" si="355"/>
        <v>1.0654725531458447</v>
      </c>
    </row>
    <row r="3752" spans="7:20" ht="14.4" x14ac:dyDescent="0.25">
      <c r="G3752" s="10">
        <v>5638</v>
      </c>
      <c r="H3752" s="9">
        <v>39878</v>
      </c>
      <c r="I3752" s="14">
        <f>DATE(2012,12,31)-667</f>
        <v>40607</v>
      </c>
      <c r="J3752" s="15" t="s">
        <v>28</v>
      </c>
      <c r="K3752" s="9">
        <v>50</v>
      </c>
      <c r="L3752" s="16" t="s">
        <v>29</v>
      </c>
      <c r="M3752" s="16">
        <f t="shared" si="351"/>
        <v>1.687010542718838</v>
      </c>
      <c r="N3752">
        <f t="shared" si="352"/>
        <v>0</v>
      </c>
      <c r="O3752">
        <f t="shared" si="353"/>
        <v>0</v>
      </c>
      <c r="P3752">
        <f t="shared" si="350"/>
        <v>5900</v>
      </c>
      <c r="Q3752">
        <f t="shared" si="354"/>
        <v>5900</v>
      </c>
      <c r="T3752" s="16">
        <f t="shared" si="355"/>
        <v>1.6870105427188375</v>
      </c>
    </row>
    <row r="3753" spans="7:20" ht="14.4" x14ac:dyDescent="0.25">
      <c r="G3753" s="10">
        <v>5648</v>
      </c>
      <c r="H3753" s="9">
        <v>39972</v>
      </c>
      <c r="I3753" s="14">
        <f>DATE(2012,12,31)-97</f>
        <v>41177</v>
      </c>
      <c r="J3753" s="15" t="s">
        <v>28</v>
      </c>
      <c r="K3753" s="9">
        <v>35</v>
      </c>
      <c r="L3753" s="16" t="s">
        <v>26</v>
      </c>
      <c r="M3753" s="16">
        <f t="shared" si="351"/>
        <v>0.65111389343051651</v>
      </c>
      <c r="N3753">
        <f t="shared" si="352"/>
        <v>0</v>
      </c>
      <c r="O3753">
        <f t="shared" si="353"/>
        <v>0</v>
      </c>
      <c r="P3753">
        <f t="shared" si="350"/>
        <v>5150</v>
      </c>
      <c r="Q3753">
        <f t="shared" si="354"/>
        <v>5150</v>
      </c>
      <c r="T3753" s="16">
        <f t="shared" si="355"/>
        <v>0.65111389343051607</v>
      </c>
    </row>
    <row r="3754" spans="7:20" ht="14.4" x14ac:dyDescent="0.25">
      <c r="G3754" s="10">
        <v>5649</v>
      </c>
      <c r="H3754" s="9">
        <v>39972</v>
      </c>
      <c r="I3754" s="14">
        <f>DATE(2012,12,31)-97</f>
        <v>41177</v>
      </c>
      <c r="J3754" s="15" t="s">
        <v>28</v>
      </c>
      <c r="K3754" s="9">
        <v>36</v>
      </c>
      <c r="L3754" s="16" t="s">
        <v>26</v>
      </c>
      <c r="M3754" s="16">
        <f t="shared" si="351"/>
        <v>0.72017367004973787</v>
      </c>
      <c r="N3754">
        <f t="shared" si="352"/>
        <v>0</v>
      </c>
      <c r="O3754">
        <f t="shared" si="353"/>
        <v>0</v>
      </c>
      <c r="P3754">
        <f t="shared" si="350"/>
        <v>5200</v>
      </c>
      <c r="Q3754">
        <f t="shared" si="354"/>
        <v>5200</v>
      </c>
      <c r="T3754" s="16">
        <f t="shared" si="355"/>
        <v>0.72017367004973754</v>
      </c>
    </row>
    <row r="3755" spans="7:20" ht="14.4" x14ac:dyDescent="0.25">
      <c r="G3755" s="10">
        <v>5650</v>
      </c>
      <c r="H3755" s="9">
        <v>39972</v>
      </c>
      <c r="I3755" s="14">
        <f>DATE(2012,12,31)-97</f>
        <v>41177</v>
      </c>
      <c r="J3755" s="15" t="s">
        <v>28</v>
      </c>
      <c r="K3755" s="9">
        <v>19</v>
      </c>
      <c r="L3755" s="16" t="s">
        <v>26</v>
      </c>
      <c r="M3755" s="16">
        <f t="shared" si="351"/>
        <v>-0.45384253247702649</v>
      </c>
      <c r="N3755">
        <f t="shared" si="352"/>
        <v>0</v>
      </c>
      <c r="O3755">
        <f t="shared" si="353"/>
        <v>0</v>
      </c>
      <c r="P3755">
        <f t="shared" si="350"/>
        <v>4350</v>
      </c>
      <c r="Q3755">
        <f t="shared" si="354"/>
        <v>4350</v>
      </c>
      <c r="T3755" s="16">
        <f t="shared" si="355"/>
        <v>-0.45384253247702688</v>
      </c>
    </row>
    <row r="3756" spans="7:20" ht="14.4" x14ac:dyDescent="0.25">
      <c r="G3756" s="10">
        <v>5728</v>
      </c>
      <c r="H3756" s="9">
        <v>40643</v>
      </c>
      <c r="I3756" s="14">
        <f>DATE(2012,12,31)-636</f>
        <v>40638</v>
      </c>
      <c r="J3756" s="15" t="s">
        <v>30</v>
      </c>
      <c r="K3756" s="9">
        <v>23</v>
      </c>
      <c r="L3756" s="16" t="s">
        <v>26</v>
      </c>
      <c r="M3756" s="16">
        <f t="shared" si="351"/>
        <v>-0.17760342600014073</v>
      </c>
      <c r="N3756">
        <f t="shared" si="352"/>
        <v>0</v>
      </c>
      <c r="O3756">
        <f t="shared" si="353"/>
        <v>0</v>
      </c>
      <c r="P3756">
        <f t="shared" si="350"/>
        <v>4550</v>
      </c>
      <c r="Q3756">
        <f t="shared" si="354"/>
        <v>4550</v>
      </c>
      <c r="T3756" s="16">
        <f t="shared" si="355"/>
        <v>-0.17760342600014112</v>
      </c>
    </row>
    <row r="3757" spans="7:20" ht="14.4" x14ac:dyDescent="0.25">
      <c r="G3757" s="10">
        <v>5757</v>
      </c>
      <c r="H3757" s="9">
        <v>40870</v>
      </c>
      <c r="I3757" s="14">
        <f>DATE(2012,12,31)-386</f>
        <v>40888</v>
      </c>
      <c r="J3757" s="15" t="s">
        <v>30</v>
      </c>
      <c r="K3757" s="9">
        <v>43</v>
      </c>
      <c r="L3757" s="16" t="s">
        <v>27</v>
      </c>
      <c r="M3757" s="16">
        <f t="shared" si="351"/>
        <v>1.203592106384288</v>
      </c>
      <c r="N3757">
        <f t="shared" si="352"/>
        <v>0</v>
      </c>
      <c r="O3757">
        <f t="shared" si="353"/>
        <v>0</v>
      </c>
      <c r="P3757">
        <f t="shared" si="350"/>
        <v>5550</v>
      </c>
      <c r="Q3757">
        <f t="shared" si="354"/>
        <v>5550</v>
      </c>
      <c r="T3757" s="16">
        <f t="shared" si="355"/>
        <v>1.2035921063842876</v>
      </c>
    </row>
    <row r="3758" spans="7:20" ht="14.4" x14ac:dyDescent="0.25">
      <c r="G3758" s="10">
        <v>5758</v>
      </c>
      <c r="H3758" s="9">
        <v>40870</v>
      </c>
      <c r="I3758" s="14">
        <f>DATE(2012,12,31)-386</f>
        <v>40888</v>
      </c>
      <c r="J3758" s="15" t="s">
        <v>30</v>
      </c>
      <c r="K3758" s="9">
        <v>28</v>
      </c>
      <c r="L3758" s="16" t="s">
        <v>29</v>
      </c>
      <c r="M3758" s="16">
        <f t="shared" si="351"/>
        <v>0.16769545709596645</v>
      </c>
      <c r="N3758">
        <f t="shared" si="352"/>
        <v>0</v>
      </c>
      <c r="O3758">
        <f t="shared" si="353"/>
        <v>0</v>
      </c>
      <c r="P3758">
        <f t="shared" si="350"/>
        <v>4800</v>
      </c>
      <c r="Q3758">
        <f t="shared" si="354"/>
        <v>4800</v>
      </c>
      <c r="T3758" s="16">
        <f t="shared" si="355"/>
        <v>0.16769545709596606</v>
      </c>
    </row>
    <row r="3759" spans="7:20" ht="14.4" x14ac:dyDescent="0.25">
      <c r="G3759" s="10">
        <v>5767</v>
      </c>
      <c r="H3759" s="9">
        <v>40934</v>
      </c>
      <c r="I3759" s="14">
        <f>DATE(2012,12,31)-414</f>
        <v>40860</v>
      </c>
      <c r="J3759" s="15" t="s">
        <v>28</v>
      </c>
      <c r="K3759" s="9">
        <v>28</v>
      </c>
      <c r="L3759" s="16" t="s">
        <v>26</v>
      </c>
      <c r="M3759" s="16">
        <f t="shared" si="351"/>
        <v>0.16769545709596645</v>
      </c>
      <c r="N3759">
        <f t="shared" si="352"/>
        <v>0</v>
      </c>
      <c r="O3759">
        <f t="shared" si="353"/>
        <v>0</v>
      </c>
      <c r="P3759">
        <f t="shared" si="350"/>
        <v>4800</v>
      </c>
      <c r="Q3759">
        <f t="shared" si="354"/>
        <v>4800</v>
      </c>
      <c r="T3759" s="16">
        <f t="shared" si="355"/>
        <v>0.16769545709596606</v>
      </c>
    </row>
    <row r="3760" spans="7:20" ht="14.4" x14ac:dyDescent="0.25">
      <c r="G3760" s="10">
        <v>5768</v>
      </c>
      <c r="H3760" s="9">
        <v>40934</v>
      </c>
      <c r="I3760" s="14">
        <f>DATE(2012,12,31)-414</f>
        <v>40860</v>
      </c>
      <c r="J3760" s="15" t="s">
        <v>28</v>
      </c>
      <c r="K3760" s="9">
        <v>11</v>
      </c>
      <c r="L3760" s="16" t="s">
        <v>27</v>
      </c>
      <c r="M3760" s="16">
        <f t="shared" si="351"/>
        <v>-1.0063207454307979</v>
      </c>
      <c r="N3760">
        <f t="shared" si="352"/>
        <v>0</v>
      </c>
      <c r="O3760">
        <f t="shared" si="353"/>
        <v>0</v>
      </c>
      <c r="P3760">
        <f t="shared" si="350"/>
        <v>3950</v>
      </c>
      <c r="Q3760">
        <f t="shared" si="354"/>
        <v>3950</v>
      </c>
      <c r="T3760" s="16">
        <f t="shared" si="355"/>
        <v>-1.0063207454307983</v>
      </c>
    </row>
    <row r="3761" spans="7:20" ht="14.4" x14ac:dyDescent="0.25">
      <c r="G3761" s="10">
        <v>5817</v>
      </c>
      <c r="H3761" s="9">
        <v>41254</v>
      </c>
      <c r="I3761" s="14">
        <f>DATE(2012,12,31)-721</f>
        <v>40553</v>
      </c>
      <c r="J3761" s="15" t="s">
        <v>30</v>
      </c>
      <c r="K3761" s="9">
        <v>17</v>
      </c>
      <c r="L3761" s="16" t="s">
        <v>29</v>
      </c>
      <c r="M3761" s="16">
        <f t="shared" si="351"/>
        <v>-0.59196208571546938</v>
      </c>
      <c r="N3761">
        <f t="shared" si="352"/>
        <v>0</v>
      </c>
      <c r="O3761">
        <f t="shared" si="353"/>
        <v>0</v>
      </c>
      <c r="P3761">
        <f t="shared" si="350"/>
        <v>4250</v>
      </c>
      <c r="Q3761">
        <f t="shared" si="354"/>
        <v>4250</v>
      </c>
      <c r="T3761" s="16">
        <f t="shared" si="355"/>
        <v>-0.59196208571546971</v>
      </c>
    </row>
    <row r="3762" spans="7:20" ht="14.4" x14ac:dyDescent="0.25">
      <c r="G3762" s="10">
        <v>5844</v>
      </c>
      <c r="H3762" s="9">
        <v>41472</v>
      </c>
      <c r="I3762" s="14">
        <f>DATE(2012,12,31)-1073</f>
        <v>40201</v>
      </c>
      <c r="J3762" s="15" t="s">
        <v>25</v>
      </c>
      <c r="K3762" s="9">
        <v>48</v>
      </c>
      <c r="L3762" s="16" t="s">
        <v>26</v>
      </c>
      <c r="M3762" s="16">
        <f t="shared" si="351"/>
        <v>1.5488909894803951</v>
      </c>
      <c r="N3762">
        <f t="shared" si="352"/>
        <v>0</v>
      </c>
      <c r="O3762">
        <f t="shared" si="353"/>
        <v>0</v>
      </c>
      <c r="P3762">
        <f t="shared" si="350"/>
        <v>5800</v>
      </c>
      <c r="Q3762">
        <f t="shared" si="354"/>
        <v>5800</v>
      </c>
      <c r="T3762" s="16">
        <f t="shared" si="355"/>
        <v>1.5488909894803948</v>
      </c>
    </row>
    <row r="3763" spans="7:20" ht="14.4" x14ac:dyDescent="0.25">
      <c r="G3763" s="10">
        <v>5901</v>
      </c>
      <c r="H3763" s="9">
        <v>41830</v>
      </c>
      <c r="I3763" s="14">
        <f>DATE(2012,12,31)-318</f>
        <v>40956</v>
      </c>
      <c r="J3763" s="15" t="s">
        <v>25</v>
      </c>
      <c r="K3763" s="9">
        <v>42</v>
      </c>
      <c r="L3763" s="16" t="s">
        <v>27</v>
      </c>
      <c r="M3763" s="16">
        <f t="shared" si="351"/>
        <v>1.1345323297650665</v>
      </c>
      <c r="N3763">
        <f t="shared" si="352"/>
        <v>0</v>
      </c>
      <c r="O3763">
        <f t="shared" si="353"/>
        <v>0</v>
      </c>
      <c r="P3763">
        <f t="shared" si="350"/>
        <v>5500</v>
      </c>
      <c r="Q3763">
        <f t="shared" si="354"/>
        <v>5500</v>
      </c>
      <c r="T3763" s="16">
        <f t="shared" si="355"/>
        <v>1.1345323297650662</v>
      </c>
    </row>
    <row r="3764" spans="7:20" ht="14.4" x14ac:dyDescent="0.25">
      <c r="G3764" s="10">
        <v>5939</v>
      </c>
      <c r="H3764" s="9">
        <v>42144</v>
      </c>
      <c r="I3764" s="14">
        <f>DATE(2012,12,31)-1145</f>
        <v>40129</v>
      </c>
      <c r="J3764" s="15" t="s">
        <v>16</v>
      </c>
      <c r="K3764" s="9">
        <v>10</v>
      </c>
      <c r="L3764" s="16" t="s">
        <v>26</v>
      </c>
      <c r="M3764" s="16">
        <f t="shared" si="351"/>
        <v>-1.0753805220500194</v>
      </c>
      <c r="N3764">
        <f t="shared" si="352"/>
        <v>0</v>
      </c>
      <c r="O3764">
        <f t="shared" si="353"/>
        <v>0</v>
      </c>
      <c r="P3764">
        <f t="shared" si="350"/>
        <v>3900</v>
      </c>
      <c r="Q3764">
        <f t="shared" si="354"/>
        <v>3900</v>
      </c>
      <c r="T3764" s="16">
        <f t="shared" si="355"/>
        <v>-1.0753805220500199</v>
      </c>
    </row>
    <row r="3765" spans="7:20" ht="14.4" x14ac:dyDescent="0.25">
      <c r="G3765" s="10">
        <v>5989</v>
      </c>
      <c r="H3765" s="9">
        <v>42439</v>
      </c>
      <c r="I3765" s="14">
        <f>DATE(2012,12,31)-926</f>
        <v>40348</v>
      </c>
      <c r="J3765" s="15" t="s">
        <v>28</v>
      </c>
      <c r="K3765" s="9">
        <v>28</v>
      </c>
      <c r="L3765" s="16" t="s">
        <v>26</v>
      </c>
      <c r="M3765" s="16">
        <f t="shared" si="351"/>
        <v>0.16769545709596645</v>
      </c>
      <c r="N3765">
        <f t="shared" si="352"/>
        <v>0</v>
      </c>
      <c r="O3765">
        <f t="shared" si="353"/>
        <v>0</v>
      </c>
      <c r="P3765">
        <f t="shared" si="350"/>
        <v>4800</v>
      </c>
      <c r="Q3765">
        <f t="shared" si="354"/>
        <v>4800</v>
      </c>
      <c r="T3765" s="16">
        <f t="shared" si="355"/>
        <v>0.16769545709596606</v>
      </c>
    </row>
    <row r="3766" spans="7:20" ht="14.4" x14ac:dyDescent="0.25">
      <c r="G3766" s="10">
        <v>6037</v>
      </c>
      <c r="H3766" s="9">
        <v>42758</v>
      </c>
      <c r="I3766" s="14">
        <f>DATE(2012,12,31)-51</f>
        <v>41223</v>
      </c>
      <c r="J3766" s="15" t="s">
        <v>30</v>
      </c>
      <c r="K3766" s="9">
        <v>12</v>
      </c>
      <c r="L3766" s="16" t="s">
        <v>27</v>
      </c>
      <c r="M3766" s="16">
        <f t="shared" si="351"/>
        <v>-0.9372609688115765</v>
      </c>
      <c r="N3766">
        <f t="shared" si="352"/>
        <v>0</v>
      </c>
      <c r="O3766">
        <f t="shared" si="353"/>
        <v>0</v>
      </c>
      <c r="P3766">
        <f t="shared" si="350"/>
        <v>4000</v>
      </c>
      <c r="Q3766">
        <f t="shared" si="354"/>
        <v>4000</v>
      </c>
      <c r="T3766" s="16">
        <f t="shared" si="355"/>
        <v>-0.93726096881157694</v>
      </c>
    </row>
    <row r="3767" spans="7:20" ht="14.4" x14ac:dyDescent="0.25">
      <c r="G3767" s="10">
        <v>6038</v>
      </c>
      <c r="H3767" s="9">
        <v>42758</v>
      </c>
      <c r="I3767" s="14">
        <f>DATE(2012,12,31)-51</f>
        <v>41223</v>
      </c>
      <c r="J3767" s="15" t="s">
        <v>30</v>
      </c>
      <c r="K3767" s="9">
        <v>42</v>
      </c>
      <c r="L3767" s="16" t="s">
        <v>26</v>
      </c>
      <c r="M3767" s="16">
        <f t="shared" si="351"/>
        <v>1.1345323297650665</v>
      </c>
      <c r="N3767">
        <f t="shared" si="352"/>
        <v>0</v>
      </c>
      <c r="O3767">
        <f t="shared" si="353"/>
        <v>0</v>
      </c>
      <c r="P3767">
        <f t="shared" si="350"/>
        <v>5500</v>
      </c>
      <c r="Q3767">
        <f t="shared" si="354"/>
        <v>5500</v>
      </c>
      <c r="T3767" s="16">
        <f t="shared" si="355"/>
        <v>1.1345323297650662</v>
      </c>
    </row>
    <row r="3768" spans="7:20" ht="14.4" x14ac:dyDescent="0.25">
      <c r="G3768" s="10">
        <v>6057</v>
      </c>
      <c r="H3768" s="9">
        <v>42918</v>
      </c>
      <c r="I3768" s="14">
        <f>DATE(2012,12,31)-589</f>
        <v>40685</v>
      </c>
      <c r="J3768" s="15" t="s">
        <v>17</v>
      </c>
      <c r="K3768" s="9">
        <v>38</v>
      </c>
      <c r="L3768" s="16" t="s">
        <v>26</v>
      </c>
      <c r="M3768" s="16">
        <f t="shared" si="351"/>
        <v>0.85829322328818081</v>
      </c>
      <c r="N3768">
        <f t="shared" si="352"/>
        <v>0</v>
      </c>
      <c r="O3768">
        <f t="shared" si="353"/>
        <v>0</v>
      </c>
      <c r="P3768">
        <f t="shared" si="350"/>
        <v>5300</v>
      </c>
      <c r="Q3768">
        <f t="shared" si="354"/>
        <v>5300</v>
      </c>
      <c r="T3768" s="16">
        <f t="shared" si="355"/>
        <v>0.85829322328818036</v>
      </c>
    </row>
    <row r="3769" spans="7:20" ht="14.4" x14ac:dyDescent="0.25">
      <c r="G3769" s="10">
        <v>6064</v>
      </c>
      <c r="H3769" s="9">
        <v>42950</v>
      </c>
      <c r="I3769" s="14">
        <f>DATE(2012,12,31)-862</f>
        <v>40412</v>
      </c>
      <c r="J3769" s="15" t="s">
        <v>17</v>
      </c>
      <c r="K3769" s="9">
        <v>38</v>
      </c>
      <c r="L3769" s="16" t="s">
        <v>27</v>
      </c>
      <c r="M3769" s="16">
        <f t="shared" si="351"/>
        <v>0.85829322328818081</v>
      </c>
      <c r="N3769">
        <f t="shared" si="352"/>
        <v>0</v>
      </c>
      <c r="O3769">
        <f t="shared" si="353"/>
        <v>0</v>
      </c>
      <c r="P3769">
        <f t="shared" si="350"/>
        <v>5300</v>
      </c>
      <c r="Q3769">
        <f t="shared" si="354"/>
        <v>5300</v>
      </c>
      <c r="T3769" s="16">
        <f t="shared" si="355"/>
        <v>0.85829322328818036</v>
      </c>
    </row>
    <row r="3770" spans="7:20" ht="14.4" x14ac:dyDescent="0.25">
      <c r="G3770" s="10">
        <v>6065</v>
      </c>
      <c r="H3770" s="9">
        <v>42951</v>
      </c>
      <c r="I3770" s="14">
        <f>DATE(2012,12,31)-106</f>
        <v>41168</v>
      </c>
      <c r="J3770" s="15" t="s">
        <v>30</v>
      </c>
      <c r="K3770" s="9">
        <v>20</v>
      </c>
      <c r="L3770" s="16" t="s">
        <v>27</v>
      </c>
      <c r="M3770" s="16">
        <f t="shared" si="351"/>
        <v>-0.38478275585780503</v>
      </c>
      <c r="N3770">
        <f t="shared" si="352"/>
        <v>0</v>
      </c>
      <c r="O3770">
        <f t="shared" si="353"/>
        <v>0</v>
      </c>
      <c r="P3770">
        <f t="shared" si="350"/>
        <v>4400</v>
      </c>
      <c r="Q3770">
        <f t="shared" si="354"/>
        <v>4400</v>
      </c>
      <c r="T3770" s="16">
        <f t="shared" si="355"/>
        <v>-0.38478275585780541</v>
      </c>
    </row>
    <row r="3771" spans="7:20" ht="14.4" x14ac:dyDescent="0.25">
      <c r="G3771" s="10">
        <v>6094</v>
      </c>
      <c r="H3771" s="9">
        <v>43172</v>
      </c>
      <c r="I3771" s="14">
        <f>DATE(2012,12,31)-1277</f>
        <v>39997</v>
      </c>
      <c r="J3771" s="15" t="s">
        <v>25</v>
      </c>
      <c r="K3771" s="9">
        <v>19</v>
      </c>
      <c r="L3771" s="16" t="s">
        <v>26</v>
      </c>
      <c r="M3771" s="16">
        <f t="shared" si="351"/>
        <v>-0.45384253247702649</v>
      </c>
      <c r="N3771">
        <f t="shared" si="352"/>
        <v>0</v>
      </c>
      <c r="O3771">
        <f t="shared" si="353"/>
        <v>0</v>
      </c>
      <c r="P3771">
        <f t="shared" si="350"/>
        <v>4350</v>
      </c>
      <c r="Q3771">
        <f t="shared" si="354"/>
        <v>4350</v>
      </c>
      <c r="T3771" s="16">
        <f t="shared" si="355"/>
        <v>-0.45384253247702688</v>
      </c>
    </row>
    <row r="3772" spans="7:20" ht="14.4" x14ac:dyDescent="0.25">
      <c r="G3772" s="10">
        <v>6108</v>
      </c>
      <c r="H3772" s="9">
        <v>43270</v>
      </c>
      <c r="I3772" s="14">
        <f>DATE(2012,12,31)-121</f>
        <v>41153</v>
      </c>
      <c r="J3772" s="15" t="s">
        <v>30</v>
      </c>
      <c r="K3772" s="9">
        <v>35</v>
      </c>
      <c r="L3772" s="16" t="s">
        <v>26</v>
      </c>
      <c r="M3772" s="16">
        <f t="shared" si="351"/>
        <v>0.65111389343051651</v>
      </c>
      <c r="N3772">
        <f t="shared" si="352"/>
        <v>0</v>
      </c>
      <c r="O3772">
        <f t="shared" si="353"/>
        <v>0</v>
      </c>
      <c r="P3772">
        <f t="shared" si="350"/>
        <v>5150</v>
      </c>
      <c r="Q3772">
        <f t="shared" si="354"/>
        <v>5150</v>
      </c>
      <c r="T3772" s="16">
        <f t="shared" si="355"/>
        <v>0.65111389343051607</v>
      </c>
    </row>
    <row r="3773" spans="7:20" ht="14.4" x14ac:dyDescent="0.25">
      <c r="G3773" s="10">
        <v>6109</v>
      </c>
      <c r="H3773" s="9">
        <v>43271</v>
      </c>
      <c r="I3773" s="14">
        <f>DATE(2012,12,31)-1034</f>
        <v>40240</v>
      </c>
      <c r="J3773" s="15" t="s">
        <v>16</v>
      </c>
      <c r="K3773" s="9">
        <v>2</v>
      </c>
      <c r="L3773" s="16" t="s">
        <v>26</v>
      </c>
      <c r="M3773" s="16">
        <f t="shared" si="351"/>
        <v>-1.627858735003791</v>
      </c>
      <c r="N3773">
        <f t="shared" si="352"/>
        <v>0</v>
      </c>
      <c r="O3773">
        <f t="shared" si="353"/>
        <v>0</v>
      </c>
      <c r="P3773">
        <f t="shared" si="350"/>
        <v>3500</v>
      </c>
      <c r="Q3773">
        <f t="shared" si="354"/>
        <v>3500</v>
      </c>
      <c r="T3773" s="16">
        <f t="shared" si="355"/>
        <v>-1.6278587350037912</v>
      </c>
    </row>
    <row r="3774" spans="7:20" ht="14.4" x14ac:dyDescent="0.25">
      <c r="G3774" s="10">
        <v>6168</v>
      </c>
      <c r="H3774" s="9">
        <v>43745</v>
      </c>
      <c r="I3774" s="14">
        <f>DATE(2012,12,31)-791</f>
        <v>40483</v>
      </c>
      <c r="J3774" s="15" t="s">
        <v>25</v>
      </c>
      <c r="K3774" s="9">
        <v>43</v>
      </c>
      <c r="L3774" s="16" t="s">
        <v>26</v>
      </c>
      <c r="M3774" s="16">
        <f t="shared" si="351"/>
        <v>1.203592106384288</v>
      </c>
      <c r="N3774">
        <f t="shared" si="352"/>
        <v>0</v>
      </c>
      <c r="O3774">
        <f t="shared" si="353"/>
        <v>0</v>
      </c>
      <c r="P3774">
        <f t="shared" si="350"/>
        <v>5550</v>
      </c>
      <c r="Q3774">
        <f t="shared" si="354"/>
        <v>5550</v>
      </c>
      <c r="T3774" s="16">
        <f t="shared" si="355"/>
        <v>1.2035921063842876</v>
      </c>
    </row>
    <row r="3775" spans="7:20" ht="14.4" x14ac:dyDescent="0.25">
      <c r="G3775" s="10">
        <v>6169</v>
      </c>
      <c r="H3775" s="9">
        <v>43745</v>
      </c>
      <c r="I3775" s="14">
        <f>DATE(2012,12,31)-791</f>
        <v>40483</v>
      </c>
      <c r="J3775" s="15" t="s">
        <v>25</v>
      </c>
      <c r="K3775" s="9">
        <v>26</v>
      </c>
      <c r="L3775" s="16" t="s">
        <v>27</v>
      </c>
      <c r="M3775" s="16">
        <f t="shared" si="351"/>
        <v>2.9575903857523567E-2</v>
      </c>
      <c r="N3775">
        <f t="shared" si="352"/>
        <v>0</v>
      </c>
      <c r="O3775">
        <f t="shared" si="353"/>
        <v>0</v>
      </c>
      <c r="P3775">
        <f t="shared" si="350"/>
        <v>4700</v>
      </c>
      <c r="Q3775">
        <f t="shared" si="354"/>
        <v>4700</v>
      </c>
      <c r="T3775" s="16">
        <f t="shared" si="355"/>
        <v>2.9575903857523185E-2</v>
      </c>
    </row>
    <row r="3776" spans="7:20" ht="14.4" x14ac:dyDescent="0.25">
      <c r="G3776" s="10">
        <v>6170</v>
      </c>
      <c r="H3776" s="9">
        <v>43745</v>
      </c>
      <c r="I3776" s="14">
        <f>DATE(2012,12,31)-791</f>
        <v>40483</v>
      </c>
      <c r="J3776" s="15" t="s">
        <v>25</v>
      </c>
      <c r="K3776" s="9">
        <v>41</v>
      </c>
      <c r="L3776" s="16" t="s">
        <v>26</v>
      </c>
      <c r="M3776" s="16">
        <f t="shared" si="351"/>
        <v>1.0654725531458451</v>
      </c>
      <c r="N3776">
        <f t="shared" si="352"/>
        <v>0</v>
      </c>
      <c r="O3776">
        <f t="shared" si="353"/>
        <v>0</v>
      </c>
      <c r="P3776">
        <f t="shared" si="350"/>
        <v>5450</v>
      </c>
      <c r="Q3776">
        <f t="shared" si="354"/>
        <v>5450</v>
      </c>
      <c r="T3776" s="16">
        <f t="shared" si="355"/>
        <v>1.0654725531458447</v>
      </c>
    </row>
    <row r="3777" spans="7:20" ht="14.4" x14ac:dyDescent="0.25">
      <c r="G3777" s="10">
        <v>6171</v>
      </c>
      <c r="H3777" s="9">
        <v>43745</v>
      </c>
      <c r="I3777" s="14">
        <f>DATE(2012,12,31)-791</f>
        <v>40483</v>
      </c>
      <c r="J3777" s="15" t="s">
        <v>25</v>
      </c>
      <c r="K3777" s="9">
        <v>32</v>
      </c>
      <c r="L3777" s="16" t="s">
        <v>27</v>
      </c>
      <c r="M3777" s="16">
        <f t="shared" si="351"/>
        <v>0.44393456357285216</v>
      </c>
      <c r="N3777">
        <f t="shared" si="352"/>
        <v>0</v>
      </c>
      <c r="O3777">
        <f t="shared" si="353"/>
        <v>0</v>
      </c>
      <c r="P3777">
        <f t="shared" si="350"/>
        <v>5000</v>
      </c>
      <c r="Q3777">
        <f t="shared" si="354"/>
        <v>5000</v>
      </c>
      <c r="T3777" s="16">
        <f t="shared" si="355"/>
        <v>0.44393456357285183</v>
      </c>
    </row>
    <row r="3778" spans="7:20" ht="14.4" x14ac:dyDescent="0.25">
      <c r="G3778" s="10">
        <v>6175</v>
      </c>
      <c r="H3778" s="9">
        <v>43779</v>
      </c>
      <c r="I3778" s="14">
        <f>DATE(2012,12,31)-1228</f>
        <v>40046</v>
      </c>
      <c r="J3778" s="15" t="s">
        <v>17</v>
      </c>
      <c r="K3778" s="9">
        <v>20</v>
      </c>
      <c r="L3778" s="16" t="s">
        <v>29</v>
      </c>
      <c r="M3778" s="16">
        <f t="shared" si="351"/>
        <v>-0.38478275585780503</v>
      </c>
      <c r="N3778">
        <f t="shared" si="352"/>
        <v>0</v>
      </c>
      <c r="O3778">
        <f t="shared" si="353"/>
        <v>0</v>
      </c>
      <c r="P3778">
        <f t="shared" si="350"/>
        <v>4400</v>
      </c>
      <c r="Q3778">
        <f t="shared" si="354"/>
        <v>4400</v>
      </c>
      <c r="T3778" s="16">
        <f t="shared" si="355"/>
        <v>-0.38478275585780541</v>
      </c>
    </row>
    <row r="3779" spans="7:20" ht="14.4" x14ac:dyDescent="0.25">
      <c r="G3779" s="10">
        <v>6194</v>
      </c>
      <c r="H3779" s="9">
        <v>43877</v>
      </c>
      <c r="I3779" s="14">
        <f>DATE(2012,12,31)-1022</f>
        <v>40252</v>
      </c>
      <c r="J3779" s="15" t="s">
        <v>25</v>
      </c>
      <c r="K3779" s="9">
        <v>36</v>
      </c>
      <c r="L3779" s="16" t="s">
        <v>26</v>
      </c>
      <c r="M3779" s="16">
        <f t="shared" si="351"/>
        <v>0.72017367004973787</v>
      </c>
      <c r="N3779">
        <f t="shared" si="352"/>
        <v>0</v>
      </c>
      <c r="O3779">
        <f t="shared" si="353"/>
        <v>0</v>
      </c>
      <c r="P3779">
        <f t="shared" si="350"/>
        <v>5200</v>
      </c>
      <c r="Q3779">
        <f t="shared" si="354"/>
        <v>5200</v>
      </c>
      <c r="T3779" s="16">
        <f t="shared" si="355"/>
        <v>0.72017367004973754</v>
      </c>
    </row>
    <row r="3780" spans="7:20" ht="14.4" x14ac:dyDescent="0.25">
      <c r="G3780" s="10">
        <v>6198</v>
      </c>
      <c r="H3780" s="9">
        <v>43907</v>
      </c>
      <c r="I3780" s="14">
        <f>DATE(2012,12,31)-166</f>
        <v>41108</v>
      </c>
      <c r="J3780" s="15" t="s">
        <v>30</v>
      </c>
      <c r="K3780" s="9">
        <v>42</v>
      </c>
      <c r="L3780" s="16" t="s">
        <v>29</v>
      </c>
      <c r="M3780" s="16">
        <f t="shared" si="351"/>
        <v>1.1345323297650665</v>
      </c>
      <c r="N3780">
        <f t="shared" si="352"/>
        <v>0</v>
      </c>
      <c r="O3780">
        <f t="shared" si="353"/>
        <v>0</v>
      </c>
      <c r="P3780">
        <f t="shared" si="350"/>
        <v>5500</v>
      </c>
      <c r="Q3780">
        <f t="shared" si="354"/>
        <v>5500</v>
      </c>
      <c r="T3780" s="16">
        <f t="shared" si="355"/>
        <v>1.1345323297650662</v>
      </c>
    </row>
    <row r="3781" spans="7:20" ht="14.4" x14ac:dyDescent="0.25">
      <c r="G3781" s="10">
        <v>6204</v>
      </c>
      <c r="H3781" s="9">
        <v>43940</v>
      </c>
      <c r="I3781" s="14">
        <f>DATE(2012,12,31)-1044</f>
        <v>40230</v>
      </c>
      <c r="J3781" s="15" t="s">
        <v>30</v>
      </c>
      <c r="K3781" s="9">
        <v>12</v>
      </c>
      <c r="L3781" s="16" t="s">
        <v>27</v>
      </c>
      <c r="M3781" s="16">
        <f t="shared" si="351"/>
        <v>-0.9372609688115765</v>
      </c>
      <c r="N3781">
        <f t="shared" si="352"/>
        <v>0</v>
      </c>
      <c r="O3781">
        <f t="shared" si="353"/>
        <v>0</v>
      </c>
      <c r="P3781">
        <f t="shared" si="350"/>
        <v>4000</v>
      </c>
      <c r="Q3781">
        <f t="shared" si="354"/>
        <v>4000</v>
      </c>
      <c r="T3781" s="16">
        <f t="shared" si="355"/>
        <v>-0.93726096881157694</v>
      </c>
    </row>
    <row r="3782" spans="7:20" ht="14.4" x14ac:dyDescent="0.25">
      <c r="G3782" s="10">
        <v>6205</v>
      </c>
      <c r="H3782" s="9">
        <v>43940</v>
      </c>
      <c r="I3782" s="14">
        <f>DATE(2012,12,31)-1044</f>
        <v>40230</v>
      </c>
      <c r="J3782" s="15" t="s">
        <v>30</v>
      </c>
      <c r="K3782" s="9">
        <v>44</v>
      </c>
      <c r="L3782" s="16" t="s">
        <v>26</v>
      </c>
      <c r="M3782" s="16">
        <f t="shared" si="351"/>
        <v>1.2726518830035094</v>
      </c>
      <c r="N3782">
        <f t="shared" si="352"/>
        <v>0</v>
      </c>
      <c r="O3782">
        <f t="shared" si="353"/>
        <v>0</v>
      </c>
      <c r="P3782">
        <f t="shared" si="350"/>
        <v>5600</v>
      </c>
      <c r="Q3782">
        <f t="shared" si="354"/>
        <v>5600</v>
      </c>
      <c r="T3782" s="16">
        <f t="shared" si="355"/>
        <v>1.272651883003509</v>
      </c>
    </row>
    <row r="3783" spans="7:20" ht="14.4" x14ac:dyDescent="0.25">
      <c r="G3783" s="10">
        <v>6218</v>
      </c>
      <c r="H3783" s="9">
        <v>44036</v>
      </c>
      <c r="I3783" s="14">
        <f>DATE(2012,12,31)-355</f>
        <v>40919</v>
      </c>
      <c r="J3783" s="15" t="s">
        <v>17</v>
      </c>
      <c r="K3783" s="9">
        <v>40</v>
      </c>
      <c r="L3783" s="16" t="s">
        <v>26</v>
      </c>
      <c r="M3783" s="16">
        <f t="shared" si="351"/>
        <v>0.99641277652662363</v>
      </c>
      <c r="N3783">
        <f t="shared" si="352"/>
        <v>0</v>
      </c>
      <c r="O3783">
        <f t="shared" si="353"/>
        <v>0</v>
      </c>
      <c r="P3783">
        <f t="shared" si="350"/>
        <v>5400</v>
      </c>
      <c r="Q3783">
        <f t="shared" si="354"/>
        <v>5400</v>
      </c>
      <c r="T3783" s="16">
        <f t="shared" si="355"/>
        <v>0.9964127765266233</v>
      </c>
    </row>
    <row r="3784" spans="7:20" ht="14.4" x14ac:dyDescent="0.25">
      <c r="G3784" s="10">
        <v>6241</v>
      </c>
      <c r="H3784" s="9">
        <v>44225</v>
      </c>
      <c r="I3784" s="14">
        <f>DATE(2012,12,31)-1368</f>
        <v>39906</v>
      </c>
      <c r="J3784" s="15" t="s">
        <v>17</v>
      </c>
      <c r="K3784" s="9">
        <v>29</v>
      </c>
      <c r="L3784" s="16" t="s">
        <v>29</v>
      </c>
      <c r="M3784" s="16">
        <f t="shared" si="351"/>
        <v>0.23675523371518786</v>
      </c>
      <c r="N3784">
        <f t="shared" si="352"/>
        <v>0</v>
      </c>
      <c r="O3784">
        <f t="shared" si="353"/>
        <v>0</v>
      </c>
      <c r="P3784">
        <f t="shared" si="350"/>
        <v>4850</v>
      </c>
      <c r="Q3784">
        <f t="shared" si="354"/>
        <v>4850</v>
      </c>
      <c r="T3784" s="16">
        <f t="shared" si="355"/>
        <v>0.2367552337151875</v>
      </c>
    </row>
    <row r="3785" spans="7:20" ht="14.4" x14ac:dyDescent="0.25">
      <c r="G3785" s="10">
        <v>6265</v>
      </c>
      <c r="H3785" s="9">
        <v>44352</v>
      </c>
      <c r="I3785" s="14">
        <f>DATE(2012,12,31)-1203</f>
        <v>40071</v>
      </c>
      <c r="J3785" s="15" t="s">
        <v>28</v>
      </c>
      <c r="K3785" s="9">
        <v>25</v>
      </c>
      <c r="L3785" s="16" t="s">
        <v>26</v>
      </c>
      <c r="M3785" s="16">
        <f t="shared" si="351"/>
        <v>-3.9483872761697868E-2</v>
      </c>
      <c r="N3785">
        <f t="shared" si="352"/>
        <v>0</v>
      </c>
      <c r="O3785">
        <f t="shared" si="353"/>
        <v>0</v>
      </c>
      <c r="P3785">
        <f t="shared" si="350"/>
        <v>4650</v>
      </c>
      <c r="Q3785">
        <f t="shared" si="354"/>
        <v>4650</v>
      </c>
      <c r="T3785" s="16">
        <f t="shared" si="355"/>
        <v>-3.9483872761698249E-2</v>
      </c>
    </row>
    <row r="3786" spans="7:20" ht="14.4" x14ac:dyDescent="0.25">
      <c r="G3786" s="10">
        <v>6286</v>
      </c>
      <c r="H3786" s="9">
        <v>44487</v>
      </c>
      <c r="I3786" s="14">
        <f>DATE(2012,12,31)-1207</f>
        <v>40067</v>
      </c>
      <c r="J3786" s="15" t="s">
        <v>30</v>
      </c>
      <c r="K3786" s="9">
        <v>4</v>
      </c>
      <c r="L3786" s="16" t="s">
        <v>29</v>
      </c>
      <c r="M3786" s="16">
        <f t="shared" si="351"/>
        <v>-1.489739181765348</v>
      </c>
      <c r="N3786">
        <f t="shared" si="352"/>
        <v>0</v>
      </c>
      <c r="O3786">
        <f t="shared" si="353"/>
        <v>0</v>
      </c>
      <c r="P3786">
        <f t="shared" si="350"/>
        <v>3600</v>
      </c>
      <c r="Q3786">
        <f t="shared" si="354"/>
        <v>3600</v>
      </c>
      <c r="T3786" s="16">
        <f t="shared" si="355"/>
        <v>-1.4897391817653485</v>
      </c>
    </row>
    <row r="3787" spans="7:20" ht="14.4" x14ac:dyDescent="0.25">
      <c r="G3787" s="10">
        <v>6287</v>
      </c>
      <c r="H3787" s="9">
        <v>44487</v>
      </c>
      <c r="I3787" s="14">
        <f>DATE(2012,12,31)-1207</f>
        <v>40067</v>
      </c>
      <c r="J3787" s="15" t="s">
        <v>30</v>
      </c>
      <c r="K3787" s="9">
        <v>37</v>
      </c>
      <c r="L3787" s="16" t="s">
        <v>26</v>
      </c>
      <c r="M3787" s="16">
        <f t="shared" si="351"/>
        <v>0.78923344666895934</v>
      </c>
      <c r="N3787">
        <f t="shared" si="352"/>
        <v>0</v>
      </c>
      <c r="O3787">
        <f t="shared" si="353"/>
        <v>0</v>
      </c>
      <c r="P3787">
        <f t="shared" si="350"/>
        <v>5250</v>
      </c>
      <c r="Q3787">
        <f t="shared" si="354"/>
        <v>5250</v>
      </c>
      <c r="T3787" s="16">
        <f t="shared" si="355"/>
        <v>0.789233446668959</v>
      </c>
    </row>
    <row r="3788" spans="7:20" ht="14.4" x14ac:dyDescent="0.25">
      <c r="G3788" s="10">
        <v>6325</v>
      </c>
      <c r="H3788" s="9">
        <v>44775</v>
      </c>
      <c r="I3788" s="14">
        <f>DATE(2012,12,31)-1189</f>
        <v>40085</v>
      </c>
      <c r="J3788" s="15" t="s">
        <v>16</v>
      </c>
      <c r="K3788" s="9">
        <v>29</v>
      </c>
      <c r="L3788" s="16" t="s">
        <v>26</v>
      </c>
      <c r="M3788" s="16">
        <f t="shared" si="351"/>
        <v>0.23675523371518786</v>
      </c>
      <c r="N3788">
        <f t="shared" si="352"/>
        <v>0</v>
      </c>
      <c r="O3788">
        <f t="shared" si="353"/>
        <v>0</v>
      </c>
      <c r="P3788">
        <f t="shared" ref="P3788:P3851" si="356">50*K3788+$P$10</f>
        <v>4850</v>
      </c>
      <c r="Q3788">
        <f t="shared" si="354"/>
        <v>4850</v>
      </c>
      <c r="T3788" s="16">
        <f t="shared" si="355"/>
        <v>0.2367552337151875</v>
      </c>
    </row>
    <row r="3789" spans="7:20" ht="14.4" x14ac:dyDescent="0.25">
      <c r="G3789" s="10">
        <v>6511</v>
      </c>
      <c r="H3789" s="9">
        <v>46337</v>
      </c>
      <c r="I3789" s="14">
        <f>DATE(2012,12,31)-248</f>
        <v>41026</v>
      </c>
      <c r="J3789" s="15" t="s">
        <v>25</v>
      </c>
      <c r="K3789" s="9">
        <v>34</v>
      </c>
      <c r="L3789" s="16" t="s">
        <v>26</v>
      </c>
      <c r="M3789" s="16">
        <f t="shared" ref="M3789:M3852" si="357">(K3789-$K$4)/$K$7</f>
        <v>0.58205411681129504</v>
      </c>
      <c r="N3789">
        <f t="shared" ref="N3789:N3852" si="358">IF(MOD($B$20+G3789,1000)=0,1,0)</f>
        <v>0</v>
      </c>
      <c r="O3789">
        <f t="shared" ref="O3789:O3852" si="359">+ROUND(N3789*(IF(K3789&lt;$K$4,-4.5,10.5)*$P$5),-2)</f>
        <v>0</v>
      </c>
      <c r="P3789">
        <f t="shared" si="356"/>
        <v>5100</v>
      </c>
      <c r="Q3789">
        <f t="shared" ref="Q3789:Q3852" si="360">P3789+O3789</f>
        <v>5100</v>
      </c>
      <c r="T3789" s="16">
        <f t="shared" ref="T3789:T3852" si="361">(Q3789-$P$4)/$P$5</f>
        <v>0.58205411681129471</v>
      </c>
    </row>
    <row r="3790" spans="7:20" ht="14.4" x14ac:dyDescent="0.25">
      <c r="G3790" s="10">
        <v>6547</v>
      </c>
      <c r="H3790" s="9">
        <v>46562</v>
      </c>
      <c r="I3790" s="14">
        <f>DATE(2012,12,31)-688</f>
        <v>40586</v>
      </c>
      <c r="J3790" s="15" t="s">
        <v>28</v>
      </c>
      <c r="K3790" s="9">
        <v>35</v>
      </c>
      <c r="L3790" s="16" t="s">
        <v>29</v>
      </c>
      <c r="M3790" s="16">
        <f t="shared" si="357"/>
        <v>0.65111389343051651</v>
      </c>
      <c r="N3790">
        <f t="shared" si="358"/>
        <v>0</v>
      </c>
      <c r="O3790">
        <f t="shared" si="359"/>
        <v>0</v>
      </c>
      <c r="P3790">
        <f t="shared" si="356"/>
        <v>5150</v>
      </c>
      <c r="Q3790">
        <f t="shared" si="360"/>
        <v>5150</v>
      </c>
      <c r="T3790" s="16">
        <f t="shared" si="361"/>
        <v>0.65111389343051607</v>
      </c>
    </row>
    <row r="3791" spans="7:20" ht="14.4" x14ac:dyDescent="0.25">
      <c r="G3791" s="10">
        <v>6552</v>
      </c>
      <c r="H3791" s="9">
        <v>46597</v>
      </c>
      <c r="I3791" s="14">
        <f>DATE(2012,12,31)-1096</f>
        <v>40178</v>
      </c>
      <c r="J3791" s="15" t="s">
        <v>28</v>
      </c>
      <c r="K3791" s="9">
        <v>47</v>
      </c>
      <c r="L3791" s="16" t="s">
        <v>27</v>
      </c>
      <c r="M3791" s="16">
        <f t="shared" si="357"/>
        <v>1.4798312128611737</v>
      </c>
      <c r="N3791">
        <f t="shared" si="358"/>
        <v>0</v>
      </c>
      <c r="O3791">
        <f t="shared" si="359"/>
        <v>0</v>
      </c>
      <c r="P3791">
        <f t="shared" si="356"/>
        <v>5750</v>
      </c>
      <c r="Q3791">
        <f t="shared" si="360"/>
        <v>5750</v>
      </c>
      <c r="T3791" s="16">
        <f t="shared" si="361"/>
        <v>1.4798312128611733</v>
      </c>
    </row>
    <row r="3792" spans="7:20" ht="14.4" x14ac:dyDescent="0.25">
      <c r="G3792" s="10">
        <v>6553</v>
      </c>
      <c r="H3792" s="9">
        <v>46597</v>
      </c>
      <c r="I3792" s="14">
        <f>DATE(2012,12,31)-1096</f>
        <v>40178</v>
      </c>
      <c r="J3792" s="15" t="s">
        <v>28</v>
      </c>
      <c r="K3792" s="9">
        <v>10</v>
      </c>
      <c r="L3792" s="16" t="s">
        <v>26</v>
      </c>
      <c r="M3792" s="16">
        <f t="shared" si="357"/>
        <v>-1.0753805220500194</v>
      </c>
      <c r="N3792">
        <f t="shared" si="358"/>
        <v>0</v>
      </c>
      <c r="O3792">
        <f t="shared" si="359"/>
        <v>0</v>
      </c>
      <c r="P3792">
        <f t="shared" si="356"/>
        <v>3900</v>
      </c>
      <c r="Q3792">
        <f t="shared" si="360"/>
        <v>3900</v>
      </c>
      <c r="T3792" s="16">
        <f t="shared" si="361"/>
        <v>-1.0753805220500199</v>
      </c>
    </row>
    <row r="3793" spans="7:20" ht="14.4" x14ac:dyDescent="0.25">
      <c r="G3793" s="10">
        <v>6554</v>
      </c>
      <c r="H3793" s="9">
        <v>46597</v>
      </c>
      <c r="I3793" s="14">
        <f>DATE(2012,12,31)-1096</f>
        <v>40178</v>
      </c>
      <c r="J3793" s="15" t="s">
        <v>28</v>
      </c>
      <c r="K3793" s="9">
        <v>1</v>
      </c>
      <c r="L3793" s="16" t="s">
        <v>29</v>
      </c>
      <c r="M3793" s="16">
        <f t="shared" si="357"/>
        <v>-1.6969185116230123</v>
      </c>
      <c r="N3793">
        <f t="shared" si="358"/>
        <v>0</v>
      </c>
      <c r="O3793">
        <f t="shared" si="359"/>
        <v>0</v>
      </c>
      <c r="P3793">
        <f t="shared" si="356"/>
        <v>3450</v>
      </c>
      <c r="Q3793">
        <f t="shared" si="360"/>
        <v>3450</v>
      </c>
      <c r="T3793" s="16">
        <f t="shared" si="361"/>
        <v>-1.6969185116230128</v>
      </c>
    </row>
    <row r="3794" spans="7:20" ht="14.4" x14ac:dyDescent="0.25">
      <c r="G3794" s="10">
        <v>6570</v>
      </c>
      <c r="H3794" s="9">
        <v>46725</v>
      </c>
      <c r="I3794" s="14">
        <f>DATE(2012,12,31)-833</f>
        <v>40441</v>
      </c>
      <c r="J3794" s="15" t="s">
        <v>28</v>
      </c>
      <c r="K3794" s="9">
        <v>13</v>
      </c>
      <c r="L3794" s="16" t="s">
        <v>26</v>
      </c>
      <c r="M3794" s="16">
        <f t="shared" si="357"/>
        <v>-0.86820119219235514</v>
      </c>
      <c r="N3794">
        <f t="shared" si="358"/>
        <v>0</v>
      </c>
      <c r="O3794">
        <f t="shared" si="359"/>
        <v>0</v>
      </c>
      <c r="P3794">
        <f t="shared" si="356"/>
        <v>4050</v>
      </c>
      <c r="Q3794">
        <f t="shared" si="360"/>
        <v>4050</v>
      </c>
      <c r="T3794" s="16">
        <f t="shared" si="361"/>
        <v>-0.86820119219235548</v>
      </c>
    </row>
    <row r="3795" spans="7:20" ht="14.4" x14ac:dyDescent="0.25">
      <c r="G3795" s="10">
        <v>6571</v>
      </c>
      <c r="H3795" s="9">
        <v>46725</v>
      </c>
      <c r="I3795" s="14">
        <f>DATE(2012,12,31)-833</f>
        <v>40441</v>
      </c>
      <c r="J3795" s="15" t="s">
        <v>28</v>
      </c>
      <c r="K3795" s="9">
        <v>8</v>
      </c>
      <c r="L3795" s="16" t="s">
        <v>26</v>
      </c>
      <c r="M3795" s="16">
        <f t="shared" si="357"/>
        <v>-1.2135000752884624</v>
      </c>
      <c r="N3795">
        <f t="shared" si="358"/>
        <v>0</v>
      </c>
      <c r="O3795">
        <f t="shared" si="359"/>
        <v>0</v>
      </c>
      <c r="P3795">
        <f t="shared" si="356"/>
        <v>3800</v>
      </c>
      <c r="Q3795">
        <f t="shared" si="360"/>
        <v>3800</v>
      </c>
      <c r="T3795" s="16">
        <f t="shared" si="361"/>
        <v>-1.2135000752884626</v>
      </c>
    </row>
    <row r="3796" spans="7:20" ht="14.4" x14ac:dyDescent="0.25">
      <c r="G3796" s="10">
        <v>6575</v>
      </c>
      <c r="H3796" s="9">
        <v>46787</v>
      </c>
      <c r="I3796" s="14">
        <f>DATE(2012,12,31)-277</f>
        <v>40997</v>
      </c>
      <c r="J3796" s="15" t="s">
        <v>16</v>
      </c>
      <c r="K3796" s="9">
        <v>28</v>
      </c>
      <c r="L3796" s="16" t="s">
        <v>26</v>
      </c>
      <c r="M3796" s="16">
        <f t="shared" si="357"/>
        <v>0.16769545709596645</v>
      </c>
      <c r="N3796">
        <f t="shared" si="358"/>
        <v>0</v>
      </c>
      <c r="O3796">
        <f t="shared" si="359"/>
        <v>0</v>
      </c>
      <c r="P3796">
        <f t="shared" si="356"/>
        <v>4800</v>
      </c>
      <c r="Q3796">
        <f t="shared" si="360"/>
        <v>4800</v>
      </c>
      <c r="T3796" s="16">
        <f t="shared" si="361"/>
        <v>0.16769545709596606</v>
      </c>
    </row>
    <row r="3797" spans="7:20" ht="14.4" x14ac:dyDescent="0.25">
      <c r="G3797" s="10">
        <v>6576</v>
      </c>
      <c r="H3797" s="9">
        <v>46787</v>
      </c>
      <c r="I3797" s="14">
        <f>DATE(2012,12,31)-277</f>
        <v>40997</v>
      </c>
      <c r="J3797" s="15" t="s">
        <v>16</v>
      </c>
      <c r="K3797" s="9">
        <v>32</v>
      </c>
      <c r="L3797" s="16" t="s">
        <v>26</v>
      </c>
      <c r="M3797" s="16">
        <f t="shared" si="357"/>
        <v>0.44393456357285216</v>
      </c>
      <c r="N3797">
        <f t="shared" si="358"/>
        <v>0</v>
      </c>
      <c r="O3797">
        <f t="shared" si="359"/>
        <v>0</v>
      </c>
      <c r="P3797">
        <f t="shared" si="356"/>
        <v>5000</v>
      </c>
      <c r="Q3797">
        <f t="shared" si="360"/>
        <v>5000</v>
      </c>
      <c r="T3797" s="16">
        <f t="shared" si="361"/>
        <v>0.44393456357285183</v>
      </c>
    </row>
    <row r="3798" spans="7:20" ht="14.4" x14ac:dyDescent="0.25">
      <c r="G3798" s="10">
        <v>6592</v>
      </c>
      <c r="H3798" s="9">
        <v>46916</v>
      </c>
      <c r="I3798" s="14">
        <f>DATE(2012,12,31)-455</f>
        <v>40819</v>
      </c>
      <c r="J3798" s="15" t="s">
        <v>17</v>
      </c>
      <c r="K3798" s="9">
        <v>40</v>
      </c>
      <c r="L3798" s="16" t="s">
        <v>26</v>
      </c>
      <c r="M3798" s="16">
        <f t="shared" si="357"/>
        <v>0.99641277652662363</v>
      </c>
      <c r="N3798">
        <f t="shared" si="358"/>
        <v>0</v>
      </c>
      <c r="O3798">
        <f t="shared" si="359"/>
        <v>0</v>
      </c>
      <c r="P3798">
        <f t="shared" si="356"/>
        <v>5400</v>
      </c>
      <c r="Q3798">
        <f t="shared" si="360"/>
        <v>5400</v>
      </c>
      <c r="T3798" s="16">
        <f t="shared" si="361"/>
        <v>0.9964127765266233</v>
      </c>
    </row>
    <row r="3799" spans="7:20" ht="14.4" x14ac:dyDescent="0.25">
      <c r="G3799" s="10">
        <v>6643</v>
      </c>
      <c r="H3799" s="9">
        <v>47265</v>
      </c>
      <c r="I3799" s="14">
        <f>DATE(2012,12,31)-387</f>
        <v>40887</v>
      </c>
      <c r="J3799" s="15" t="s">
        <v>30</v>
      </c>
      <c r="K3799" s="9">
        <v>31</v>
      </c>
      <c r="L3799" s="16" t="s">
        <v>26</v>
      </c>
      <c r="M3799" s="16">
        <f t="shared" si="357"/>
        <v>0.37487478695363075</v>
      </c>
      <c r="N3799">
        <f t="shared" si="358"/>
        <v>0</v>
      </c>
      <c r="O3799">
        <f t="shared" si="359"/>
        <v>0</v>
      </c>
      <c r="P3799">
        <f t="shared" si="356"/>
        <v>4950</v>
      </c>
      <c r="Q3799">
        <f t="shared" si="360"/>
        <v>4950</v>
      </c>
      <c r="T3799" s="16">
        <f t="shared" si="361"/>
        <v>0.37487478695363036</v>
      </c>
    </row>
    <row r="3800" spans="7:20" ht="14.4" x14ac:dyDescent="0.25">
      <c r="G3800" s="10">
        <v>6813</v>
      </c>
      <c r="H3800" s="9">
        <v>48487</v>
      </c>
      <c r="I3800" s="14">
        <f>DATE(2012,12,31)-1085</f>
        <v>40189</v>
      </c>
      <c r="J3800" s="15" t="s">
        <v>25</v>
      </c>
      <c r="K3800" s="9">
        <v>27</v>
      </c>
      <c r="L3800" s="16" t="s">
        <v>26</v>
      </c>
      <c r="M3800" s="16">
        <f t="shared" si="357"/>
        <v>9.8635680476745008E-2</v>
      </c>
      <c r="N3800">
        <f t="shared" si="358"/>
        <v>0</v>
      </c>
      <c r="O3800">
        <f t="shared" si="359"/>
        <v>0</v>
      </c>
      <c r="P3800">
        <f t="shared" si="356"/>
        <v>4750</v>
      </c>
      <c r="Q3800">
        <f t="shared" si="360"/>
        <v>4750</v>
      </c>
      <c r="T3800" s="16">
        <f t="shared" si="361"/>
        <v>9.8635680476744619E-2</v>
      </c>
    </row>
    <row r="3801" spans="7:20" ht="14.4" x14ac:dyDescent="0.25">
      <c r="G3801" s="10">
        <v>6850</v>
      </c>
      <c r="H3801" s="9">
        <v>48774</v>
      </c>
      <c r="I3801" s="14">
        <f>DATE(2012,12,31)-144</f>
        <v>41130</v>
      </c>
      <c r="J3801" s="15" t="s">
        <v>17</v>
      </c>
      <c r="K3801" s="9">
        <v>31</v>
      </c>
      <c r="L3801" s="16" t="s">
        <v>29</v>
      </c>
      <c r="M3801" s="16">
        <f t="shared" si="357"/>
        <v>0.37487478695363075</v>
      </c>
      <c r="N3801">
        <f t="shared" si="358"/>
        <v>0</v>
      </c>
      <c r="O3801">
        <f t="shared" si="359"/>
        <v>0</v>
      </c>
      <c r="P3801">
        <f t="shared" si="356"/>
        <v>4950</v>
      </c>
      <c r="Q3801">
        <f t="shared" si="360"/>
        <v>4950</v>
      </c>
      <c r="T3801" s="16">
        <f t="shared" si="361"/>
        <v>0.37487478695363036</v>
      </c>
    </row>
    <row r="3802" spans="7:20" ht="14.4" x14ac:dyDescent="0.25">
      <c r="G3802" s="10">
        <v>6924</v>
      </c>
      <c r="H3802" s="9">
        <v>49381</v>
      </c>
      <c r="I3802" s="14">
        <f>DATE(2012,12,31)-18</f>
        <v>41256</v>
      </c>
      <c r="J3802" s="15" t="s">
        <v>28</v>
      </c>
      <c r="K3802" s="9">
        <v>21</v>
      </c>
      <c r="L3802" s="16" t="s">
        <v>26</v>
      </c>
      <c r="M3802" s="16">
        <f t="shared" si="357"/>
        <v>-0.31572297923858361</v>
      </c>
      <c r="N3802">
        <f t="shared" si="358"/>
        <v>0</v>
      </c>
      <c r="O3802">
        <f t="shared" si="359"/>
        <v>0</v>
      </c>
      <c r="P3802">
        <f t="shared" si="356"/>
        <v>4450</v>
      </c>
      <c r="Q3802">
        <f t="shared" si="360"/>
        <v>4450</v>
      </c>
      <c r="T3802" s="16">
        <f t="shared" si="361"/>
        <v>-0.315722979238584</v>
      </c>
    </row>
    <row r="3803" spans="7:20" ht="14.4" x14ac:dyDescent="0.25">
      <c r="G3803" s="10">
        <v>6951</v>
      </c>
      <c r="H3803" s="9">
        <v>49666</v>
      </c>
      <c r="I3803" s="14">
        <f>DATE(2012,12,31)-1243</f>
        <v>40031</v>
      </c>
      <c r="J3803" s="15" t="s">
        <v>25</v>
      </c>
      <c r="K3803" s="9">
        <v>46</v>
      </c>
      <c r="L3803" s="16" t="s">
        <v>26</v>
      </c>
      <c r="M3803" s="16">
        <f t="shared" si="357"/>
        <v>1.4107714362419523</v>
      </c>
      <c r="N3803">
        <f t="shared" si="358"/>
        <v>0</v>
      </c>
      <c r="O3803">
        <f t="shared" si="359"/>
        <v>0</v>
      </c>
      <c r="P3803">
        <f t="shared" si="356"/>
        <v>5700</v>
      </c>
      <c r="Q3803">
        <f t="shared" si="360"/>
        <v>5700</v>
      </c>
      <c r="T3803" s="16">
        <f t="shared" si="361"/>
        <v>1.4107714362419519</v>
      </c>
    </row>
    <row r="3804" spans="7:20" ht="14.4" x14ac:dyDescent="0.25">
      <c r="G3804" s="10">
        <v>6959</v>
      </c>
      <c r="H3804" s="9">
        <v>49762</v>
      </c>
      <c r="I3804" s="14">
        <f>DATE(2012,12,31)-565</f>
        <v>40709</v>
      </c>
      <c r="J3804" s="15" t="s">
        <v>17</v>
      </c>
      <c r="K3804" s="9">
        <v>35</v>
      </c>
      <c r="L3804" s="16" t="s">
        <v>26</v>
      </c>
      <c r="M3804" s="16">
        <f t="shared" si="357"/>
        <v>0.65111389343051651</v>
      </c>
      <c r="N3804">
        <f t="shared" si="358"/>
        <v>0</v>
      </c>
      <c r="O3804">
        <f t="shared" si="359"/>
        <v>0</v>
      </c>
      <c r="P3804">
        <f t="shared" si="356"/>
        <v>5150</v>
      </c>
      <c r="Q3804">
        <f t="shared" si="360"/>
        <v>5150</v>
      </c>
      <c r="T3804" s="16">
        <f t="shared" si="361"/>
        <v>0.65111389343051607</v>
      </c>
    </row>
    <row r="3805" spans="7:20" ht="14.4" x14ac:dyDescent="0.25">
      <c r="G3805" s="10">
        <v>6976</v>
      </c>
      <c r="H3805" s="9">
        <v>49831</v>
      </c>
      <c r="I3805" s="14">
        <f>DATE(2012,12,31)-861</f>
        <v>40413</v>
      </c>
      <c r="J3805" s="15" t="s">
        <v>30</v>
      </c>
      <c r="K3805" s="9">
        <v>18</v>
      </c>
      <c r="L3805" s="16" t="s">
        <v>26</v>
      </c>
      <c r="M3805" s="16">
        <f t="shared" si="357"/>
        <v>-0.52290230909624791</v>
      </c>
      <c r="N3805">
        <f t="shared" si="358"/>
        <v>0</v>
      </c>
      <c r="O3805">
        <f t="shared" si="359"/>
        <v>0</v>
      </c>
      <c r="P3805">
        <f t="shared" si="356"/>
        <v>4300</v>
      </c>
      <c r="Q3805">
        <f t="shared" si="360"/>
        <v>4300</v>
      </c>
      <c r="T3805" s="16">
        <f t="shared" si="361"/>
        <v>-0.52290230909624835</v>
      </c>
    </row>
    <row r="3806" spans="7:20" ht="14.4" x14ac:dyDescent="0.25">
      <c r="G3806" s="10">
        <v>6982</v>
      </c>
      <c r="H3806" s="9">
        <v>49892</v>
      </c>
      <c r="I3806" s="14">
        <f>DATE(2012,12,31)-690</f>
        <v>40584</v>
      </c>
      <c r="J3806" s="15" t="s">
        <v>25</v>
      </c>
      <c r="K3806" s="9">
        <v>26</v>
      </c>
      <c r="L3806" s="16" t="s">
        <v>26</v>
      </c>
      <c r="M3806" s="16">
        <f t="shared" si="357"/>
        <v>2.9575903857523567E-2</v>
      </c>
      <c r="N3806">
        <f t="shared" si="358"/>
        <v>0</v>
      </c>
      <c r="O3806">
        <f t="shared" si="359"/>
        <v>0</v>
      </c>
      <c r="P3806">
        <f t="shared" si="356"/>
        <v>4700</v>
      </c>
      <c r="Q3806">
        <f t="shared" si="360"/>
        <v>4700</v>
      </c>
      <c r="T3806" s="16">
        <f t="shared" si="361"/>
        <v>2.9575903857523185E-2</v>
      </c>
    </row>
    <row r="3807" spans="7:20" ht="14.4" x14ac:dyDescent="0.25">
      <c r="G3807" s="10">
        <v>7001</v>
      </c>
      <c r="H3807" s="9">
        <v>49988</v>
      </c>
      <c r="I3807" s="14">
        <f>DATE(2012,12,31)-742</f>
        <v>40532</v>
      </c>
      <c r="J3807" s="15" t="s">
        <v>17</v>
      </c>
      <c r="K3807" s="9">
        <v>43</v>
      </c>
      <c r="L3807" s="16" t="s">
        <v>26</v>
      </c>
      <c r="M3807" s="16">
        <f t="shared" si="357"/>
        <v>1.203592106384288</v>
      </c>
      <c r="N3807">
        <f t="shared" si="358"/>
        <v>0</v>
      </c>
      <c r="O3807">
        <f t="shared" si="359"/>
        <v>0</v>
      </c>
      <c r="P3807">
        <f t="shared" si="356"/>
        <v>5550</v>
      </c>
      <c r="Q3807">
        <f t="shared" si="360"/>
        <v>5550</v>
      </c>
      <c r="T3807" s="16">
        <f t="shared" si="361"/>
        <v>1.2035921063842876</v>
      </c>
    </row>
    <row r="3808" spans="7:20" ht="14.4" x14ac:dyDescent="0.25">
      <c r="G3808" s="10">
        <v>7002</v>
      </c>
      <c r="H3808" s="9">
        <v>49988</v>
      </c>
      <c r="I3808" s="14">
        <f>DATE(2012,12,31)-742</f>
        <v>40532</v>
      </c>
      <c r="J3808" s="15" t="s">
        <v>17</v>
      </c>
      <c r="K3808" s="9">
        <v>33</v>
      </c>
      <c r="L3808" s="16" t="s">
        <v>29</v>
      </c>
      <c r="M3808" s="16">
        <f t="shared" si="357"/>
        <v>0.51299434019207357</v>
      </c>
      <c r="N3808">
        <f t="shared" si="358"/>
        <v>0</v>
      </c>
      <c r="O3808">
        <f t="shared" si="359"/>
        <v>0</v>
      </c>
      <c r="P3808">
        <f t="shared" si="356"/>
        <v>5050</v>
      </c>
      <c r="Q3808">
        <f t="shared" si="360"/>
        <v>5050</v>
      </c>
      <c r="T3808" s="16">
        <f t="shared" si="361"/>
        <v>0.51299434019207324</v>
      </c>
    </row>
    <row r="3809" spans="7:20" ht="14.4" x14ac:dyDescent="0.25">
      <c r="G3809" s="10">
        <v>7003</v>
      </c>
      <c r="H3809" s="9">
        <v>49988</v>
      </c>
      <c r="I3809" s="14">
        <f>DATE(2012,12,31)-742</f>
        <v>40532</v>
      </c>
      <c r="J3809" s="15" t="s">
        <v>17</v>
      </c>
      <c r="K3809" s="9">
        <v>33</v>
      </c>
      <c r="L3809" s="16" t="s">
        <v>27</v>
      </c>
      <c r="M3809" s="16">
        <f t="shared" si="357"/>
        <v>0.51299434019207357</v>
      </c>
      <c r="N3809">
        <f t="shared" si="358"/>
        <v>0</v>
      </c>
      <c r="O3809">
        <f t="shared" si="359"/>
        <v>0</v>
      </c>
      <c r="P3809">
        <f t="shared" si="356"/>
        <v>5050</v>
      </c>
      <c r="Q3809">
        <f t="shared" si="360"/>
        <v>5050</v>
      </c>
      <c r="T3809" s="16">
        <f t="shared" si="361"/>
        <v>0.51299434019207324</v>
      </c>
    </row>
    <row r="3810" spans="7:20" ht="14.4" x14ac:dyDescent="0.25">
      <c r="G3810" s="10">
        <v>7049</v>
      </c>
      <c r="H3810" s="9">
        <v>50308</v>
      </c>
      <c r="I3810" s="14">
        <f>DATE(2012,12,31)-74</f>
        <v>41200</v>
      </c>
      <c r="J3810" s="15" t="s">
        <v>25</v>
      </c>
      <c r="K3810" s="9">
        <v>19</v>
      </c>
      <c r="L3810" s="16" t="s">
        <v>26</v>
      </c>
      <c r="M3810" s="16">
        <f t="shared" si="357"/>
        <v>-0.45384253247702649</v>
      </c>
      <c r="N3810">
        <f t="shared" si="358"/>
        <v>0</v>
      </c>
      <c r="O3810">
        <f t="shared" si="359"/>
        <v>0</v>
      </c>
      <c r="P3810">
        <f t="shared" si="356"/>
        <v>4350</v>
      </c>
      <c r="Q3810">
        <f t="shared" si="360"/>
        <v>4350</v>
      </c>
      <c r="T3810" s="16">
        <f t="shared" si="361"/>
        <v>-0.45384253247702688</v>
      </c>
    </row>
    <row r="3811" spans="7:20" ht="14.4" x14ac:dyDescent="0.25">
      <c r="G3811" s="10">
        <v>7104</v>
      </c>
      <c r="H3811" s="9">
        <v>50692</v>
      </c>
      <c r="I3811" s="14">
        <f>DATE(2012,12,31)-836</f>
        <v>40438</v>
      </c>
      <c r="J3811" s="15" t="s">
        <v>17</v>
      </c>
      <c r="K3811" s="9">
        <v>28</v>
      </c>
      <c r="L3811" s="16" t="s">
        <v>26</v>
      </c>
      <c r="M3811" s="16">
        <f t="shared" si="357"/>
        <v>0.16769545709596645</v>
      </c>
      <c r="N3811">
        <f t="shared" si="358"/>
        <v>0</v>
      </c>
      <c r="O3811">
        <f t="shared" si="359"/>
        <v>0</v>
      </c>
      <c r="P3811">
        <f t="shared" si="356"/>
        <v>4800</v>
      </c>
      <c r="Q3811">
        <f t="shared" si="360"/>
        <v>4800</v>
      </c>
      <c r="T3811" s="16">
        <f t="shared" si="361"/>
        <v>0.16769545709596606</v>
      </c>
    </row>
    <row r="3812" spans="7:20" ht="14.4" x14ac:dyDescent="0.25">
      <c r="G3812" s="10">
        <v>7105</v>
      </c>
      <c r="H3812" s="9">
        <v>50692</v>
      </c>
      <c r="I3812" s="14">
        <f>DATE(2012,12,31)-836</f>
        <v>40438</v>
      </c>
      <c r="J3812" s="15" t="s">
        <v>17</v>
      </c>
      <c r="K3812" s="9">
        <v>47</v>
      </c>
      <c r="L3812" s="16" t="s">
        <v>29</v>
      </c>
      <c r="M3812" s="16">
        <f t="shared" si="357"/>
        <v>1.4798312128611737</v>
      </c>
      <c r="N3812">
        <f t="shared" si="358"/>
        <v>0</v>
      </c>
      <c r="O3812">
        <f t="shared" si="359"/>
        <v>0</v>
      </c>
      <c r="P3812">
        <f t="shared" si="356"/>
        <v>5750</v>
      </c>
      <c r="Q3812">
        <f t="shared" si="360"/>
        <v>5750</v>
      </c>
      <c r="T3812" s="16">
        <f t="shared" si="361"/>
        <v>1.4798312128611733</v>
      </c>
    </row>
    <row r="3813" spans="7:20" ht="14.4" x14ac:dyDescent="0.25">
      <c r="G3813" s="10">
        <v>7107</v>
      </c>
      <c r="H3813" s="9">
        <v>50725</v>
      </c>
      <c r="I3813" s="14">
        <f>DATE(2012,12,31)-769</f>
        <v>40505</v>
      </c>
      <c r="J3813" s="15" t="s">
        <v>16</v>
      </c>
      <c r="K3813" s="9">
        <v>1</v>
      </c>
      <c r="L3813" s="16" t="s">
        <v>29</v>
      </c>
      <c r="M3813" s="16">
        <f t="shared" si="357"/>
        <v>-1.6969185116230123</v>
      </c>
      <c r="N3813">
        <f t="shared" si="358"/>
        <v>0</v>
      </c>
      <c r="O3813">
        <f t="shared" si="359"/>
        <v>0</v>
      </c>
      <c r="P3813">
        <f t="shared" si="356"/>
        <v>3450</v>
      </c>
      <c r="Q3813">
        <f t="shared" si="360"/>
        <v>3450</v>
      </c>
      <c r="T3813" s="16">
        <f t="shared" si="361"/>
        <v>-1.6969185116230128</v>
      </c>
    </row>
    <row r="3814" spans="7:20" ht="14.4" x14ac:dyDescent="0.25">
      <c r="G3814" s="10">
        <v>7146</v>
      </c>
      <c r="H3814" s="9">
        <v>50982</v>
      </c>
      <c r="I3814" s="14">
        <f>DATE(2012,12,31)-259</f>
        <v>41015</v>
      </c>
      <c r="J3814" s="15" t="s">
        <v>17</v>
      </c>
      <c r="K3814" s="9">
        <v>23</v>
      </c>
      <c r="L3814" s="16" t="s">
        <v>26</v>
      </c>
      <c r="M3814" s="16">
        <f t="shared" si="357"/>
        <v>-0.17760342600014073</v>
      </c>
      <c r="N3814">
        <f t="shared" si="358"/>
        <v>0</v>
      </c>
      <c r="O3814">
        <f t="shared" si="359"/>
        <v>0</v>
      </c>
      <c r="P3814">
        <f t="shared" si="356"/>
        <v>4550</v>
      </c>
      <c r="Q3814">
        <f t="shared" si="360"/>
        <v>4550</v>
      </c>
      <c r="T3814" s="16">
        <f t="shared" si="361"/>
        <v>-0.17760342600014112</v>
      </c>
    </row>
    <row r="3815" spans="7:20" ht="14.4" x14ac:dyDescent="0.25">
      <c r="G3815" s="10">
        <v>7149</v>
      </c>
      <c r="H3815" s="9">
        <v>51008</v>
      </c>
      <c r="I3815" s="14">
        <f>DATE(2012,12,31)-499</f>
        <v>40775</v>
      </c>
      <c r="J3815" s="15" t="s">
        <v>17</v>
      </c>
      <c r="K3815" s="9">
        <v>20</v>
      </c>
      <c r="L3815" s="16" t="s">
        <v>26</v>
      </c>
      <c r="M3815" s="16">
        <f t="shared" si="357"/>
        <v>-0.38478275585780503</v>
      </c>
      <c r="N3815">
        <f t="shared" si="358"/>
        <v>0</v>
      </c>
      <c r="O3815">
        <f t="shared" si="359"/>
        <v>0</v>
      </c>
      <c r="P3815">
        <f t="shared" si="356"/>
        <v>4400</v>
      </c>
      <c r="Q3815">
        <f t="shared" si="360"/>
        <v>4400</v>
      </c>
      <c r="T3815" s="16">
        <f t="shared" si="361"/>
        <v>-0.38478275585780541</v>
      </c>
    </row>
    <row r="3816" spans="7:20" ht="14.4" x14ac:dyDescent="0.25">
      <c r="G3816" s="10">
        <v>7211</v>
      </c>
      <c r="H3816" s="9">
        <v>51463</v>
      </c>
      <c r="I3816" s="14">
        <f>DATE(2012,12,31)-380</f>
        <v>40894</v>
      </c>
      <c r="J3816" s="15" t="s">
        <v>25</v>
      </c>
      <c r="K3816" s="9">
        <v>4</v>
      </c>
      <c r="L3816" s="16" t="s">
        <v>26</v>
      </c>
      <c r="M3816" s="16">
        <f t="shared" si="357"/>
        <v>-1.489739181765348</v>
      </c>
      <c r="N3816">
        <f t="shared" si="358"/>
        <v>0</v>
      </c>
      <c r="O3816">
        <f t="shared" si="359"/>
        <v>0</v>
      </c>
      <c r="P3816">
        <f t="shared" si="356"/>
        <v>3600</v>
      </c>
      <c r="Q3816">
        <f t="shared" si="360"/>
        <v>3600</v>
      </c>
      <c r="T3816" s="16">
        <f t="shared" si="361"/>
        <v>-1.4897391817653485</v>
      </c>
    </row>
    <row r="3817" spans="7:20" ht="14.4" x14ac:dyDescent="0.25">
      <c r="G3817" s="10">
        <v>7212</v>
      </c>
      <c r="H3817" s="9">
        <v>51463</v>
      </c>
      <c r="I3817" s="14">
        <f>DATE(2012,12,31)-380</f>
        <v>40894</v>
      </c>
      <c r="J3817" s="15" t="s">
        <v>25</v>
      </c>
      <c r="K3817" s="9">
        <v>7</v>
      </c>
      <c r="L3817" s="16" t="s">
        <v>27</v>
      </c>
      <c r="M3817" s="16">
        <f t="shared" si="357"/>
        <v>-1.2825598519076837</v>
      </c>
      <c r="N3817">
        <f t="shared" si="358"/>
        <v>0</v>
      </c>
      <c r="O3817">
        <f t="shared" si="359"/>
        <v>0</v>
      </c>
      <c r="P3817">
        <f t="shared" si="356"/>
        <v>3750</v>
      </c>
      <c r="Q3817">
        <f t="shared" si="360"/>
        <v>3750</v>
      </c>
      <c r="T3817" s="16">
        <f t="shared" si="361"/>
        <v>-1.2825598519076842</v>
      </c>
    </row>
    <row r="3818" spans="7:20" ht="14.4" x14ac:dyDescent="0.25">
      <c r="G3818" s="10">
        <v>7279</v>
      </c>
      <c r="H3818" s="9">
        <v>51943</v>
      </c>
      <c r="I3818" s="14">
        <f>DATE(2012,12,31)-1347</f>
        <v>39927</v>
      </c>
      <c r="J3818" s="15" t="s">
        <v>17</v>
      </c>
      <c r="K3818" s="9">
        <v>11</v>
      </c>
      <c r="L3818" s="16" t="s">
        <v>26</v>
      </c>
      <c r="M3818" s="16">
        <f t="shared" si="357"/>
        <v>-1.0063207454307979</v>
      </c>
      <c r="N3818">
        <f t="shared" si="358"/>
        <v>0</v>
      </c>
      <c r="O3818">
        <f t="shared" si="359"/>
        <v>0</v>
      </c>
      <c r="P3818">
        <f t="shared" si="356"/>
        <v>3950</v>
      </c>
      <c r="Q3818">
        <f t="shared" si="360"/>
        <v>3950</v>
      </c>
      <c r="T3818" s="16">
        <f t="shared" si="361"/>
        <v>-1.0063207454307983</v>
      </c>
    </row>
    <row r="3819" spans="7:20" ht="14.4" x14ac:dyDescent="0.25">
      <c r="G3819" s="10">
        <v>7280</v>
      </c>
      <c r="H3819" s="9">
        <v>51943</v>
      </c>
      <c r="I3819" s="14">
        <f>DATE(2012,12,31)-1347</f>
        <v>39927</v>
      </c>
      <c r="J3819" s="15" t="s">
        <v>17</v>
      </c>
      <c r="K3819" s="9">
        <v>13</v>
      </c>
      <c r="L3819" s="16" t="s">
        <v>26</v>
      </c>
      <c r="M3819" s="16">
        <f t="shared" si="357"/>
        <v>-0.86820119219235514</v>
      </c>
      <c r="N3819">
        <f t="shared" si="358"/>
        <v>0</v>
      </c>
      <c r="O3819">
        <f t="shared" si="359"/>
        <v>0</v>
      </c>
      <c r="P3819">
        <f t="shared" si="356"/>
        <v>4050</v>
      </c>
      <c r="Q3819">
        <f t="shared" si="360"/>
        <v>4050</v>
      </c>
      <c r="T3819" s="16">
        <f t="shared" si="361"/>
        <v>-0.86820119219235548</v>
      </c>
    </row>
    <row r="3820" spans="7:20" ht="14.4" x14ac:dyDescent="0.25">
      <c r="G3820" s="10">
        <v>7281</v>
      </c>
      <c r="H3820" s="9">
        <v>51943</v>
      </c>
      <c r="I3820" s="14">
        <f>DATE(2012,12,31)-1347</f>
        <v>39927</v>
      </c>
      <c r="J3820" s="15" t="s">
        <v>17</v>
      </c>
      <c r="K3820" s="9">
        <v>28</v>
      </c>
      <c r="L3820" s="16" t="s">
        <v>26</v>
      </c>
      <c r="M3820" s="16">
        <f t="shared" si="357"/>
        <v>0.16769545709596645</v>
      </c>
      <c r="N3820">
        <f t="shared" si="358"/>
        <v>0</v>
      </c>
      <c r="O3820">
        <f t="shared" si="359"/>
        <v>0</v>
      </c>
      <c r="P3820">
        <f t="shared" si="356"/>
        <v>4800</v>
      </c>
      <c r="Q3820">
        <f t="shared" si="360"/>
        <v>4800</v>
      </c>
      <c r="T3820" s="16">
        <f t="shared" si="361"/>
        <v>0.16769545709596606</v>
      </c>
    </row>
    <row r="3821" spans="7:20" ht="14.4" x14ac:dyDescent="0.25">
      <c r="G3821" s="10">
        <v>7299</v>
      </c>
      <c r="H3821" s="9">
        <v>52039</v>
      </c>
      <c r="I3821" s="14">
        <f>DATE(2012,12,31)-151</f>
        <v>41123</v>
      </c>
      <c r="J3821" s="15" t="s">
        <v>30</v>
      </c>
      <c r="K3821" s="9">
        <v>48</v>
      </c>
      <c r="L3821" s="16" t="s">
        <v>27</v>
      </c>
      <c r="M3821" s="16">
        <f t="shared" si="357"/>
        <v>1.5488909894803951</v>
      </c>
      <c r="N3821">
        <f t="shared" si="358"/>
        <v>0</v>
      </c>
      <c r="O3821">
        <f t="shared" si="359"/>
        <v>0</v>
      </c>
      <c r="P3821">
        <f t="shared" si="356"/>
        <v>5800</v>
      </c>
      <c r="Q3821">
        <f t="shared" si="360"/>
        <v>5800</v>
      </c>
      <c r="T3821" s="16">
        <f t="shared" si="361"/>
        <v>1.5488909894803948</v>
      </c>
    </row>
    <row r="3822" spans="7:20" ht="14.4" x14ac:dyDescent="0.25">
      <c r="G3822" s="10">
        <v>7336</v>
      </c>
      <c r="H3822" s="9">
        <v>52290</v>
      </c>
      <c r="I3822" s="14">
        <f>DATE(2012,12,31)-224</f>
        <v>41050</v>
      </c>
      <c r="J3822" s="15" t="s">
        <v>25</v>
      </c>
      <c r="K3822" s="9">
        <v>7</v>
      </c>
      <c r="L3822" s="16" t="s">
        <v>26</v>
      </c>
      <c r="M3822" s="16">
        <f t="shared" si="357"/>
        <v>-1.2825598519076837</v>
      </c>
      <c r="N3822">
        <f t="shared" si="358"/>
        <v>0</v>
      </c>
      <c r="O3822">
        <f t="shared" si="359"/>
        <v>0</v>
      </c>
      <c r="P3822">
        <f t="shared" si="356"/>
        <v>3750</v>
      </c>
      <c r="Q3822">
        <f t="shared" si="360"/>
        <v>3750</v>
      </c>
      <c r="T3822" s="16">
        <f t="shared" si="361"/>
        <v>-1.2825598519076842</v>
      </c>
    </row>
    <row r="3823" spans="7:20" ht="14.4" x14ac:dyDescent="0.25">
      <c r="G3823" s="10">
        <v>7337</v>
      </c>
      <c r="H3823" s="9">
        <v>52290</v>
      </c>
      <c r="I3823" s="14">
        <f>DATE(2012,12,31)-224</f>
        <v>41050</v>
      </c>
      <c r="J3823" s="15" t="s">
        <v>25</v>
      </c>
      <c r="K3823" s="9">
        <v>28</v>
      </c>
      <c r="L3823" s="16" t="s">
        <v>27</v>
      </c>
      <c r="M3823" s="16">
        <f t="shared" si="357"/>
        <v>0.16769545709596645</v>
      </c>
      <c r="N3823">
        <f t="shared" si="358"/>
        <v>0</v>
      </c>
      <c r="O3823">
        <f t="shared" si="359"/>
        <v>0</v>
      </c>
      <c r="P3823">
        <f t="shared" si="356"/>
        <v>4800</v>
      </c>
      <c r="Q3823">
        <f t="shared" si="360"/>
        <v>4800</v>
      </c>
      <c r="T3823" s="16">
        <f t="shared" si="361"/>
        <v>0.16769545709596606</v>
      </c>
    </row>
    <row r="3824" spans="7:20" ht="14.4" x14ac:dyDescent="0.25">
      <c r="G3824" s="10">
        <v>7362</v>
      </c>
      <c r="H3824" s="9">
        <v>52480</v>
      </c>
      <c r="I3824" s="14">
        <f>DATE(2012,12,31)-888</f>
        <v>40386</v>
      </c>
      <c r="J3824" s="15" t="s">
        <v>28</v>
      </c>
      <c r="K3824" s="9">
        <v>47</v>
      </c>
      <c r="L3824" s="16" t="s">
        <v>29</v>
      </c>
      <c r="M3824" s="16">
        <f t="shared" si="357"/>
        <v>1.4798312128611737</v>
      </c>
      <c r="N3824">
        <f t="shared" si="358"/>
        <v>0</v>
      </c>
      <c r="O3824">
        <f t="shared" si="359"/>
        <v>0</v>
      </c>
      <c r="P3824">
        <f t="shared" si="356"/>
        <v>5750</v>
      </c>
      <c r="Q3824">
        <f t="shared" si="360"/>
        <v>5750</v>
      </c>
      <c r="T3824" s="16">
        <f t="shared" si="361"/>
        <v>1.4798312128611733</v>
      </c>
    </row>
    <row r="3825" spans="7:20" ht="14.4" x14ac:dyDescent="0.25">
      <c r="G3825" s="10">
        <v>7365</v>
      </c>
      <c r="H3825" s="9">
        <v>52486</v>
      </c>
      <c r="I3825" s="14">
        <f>DATE(2012,12,31)-727</f>
        <v>40547</v>
      </c>
      <c r="J3825" s="15" t="s">
        <v>28</v>
      </c>
      <c r="K3825" s="9">
        <v>41</v>
      </c>
      <c r="L3825" s="16" t="s">
        <v>27</v>
      </c>
      <c r="M3825" s="16">
        <f t="shared" si="357"/>
        <v>1.0654725531458451</v>
      </c>
      <c r="N3825">
        <f t="shared" si="358"/>
        <v>0</v>
      </c>
      <c r="O3825">
        <f t="shared" si="359"/>
        <v>0</v>
      </c>
      <c r="P3825">
        <f t="shared" si="356"/>
        <v>5450</v>
      </c>
      <c r="Q3825">
        <f t="shared" si="360"/>
        <v>5450</v>
      </c>
      <c r="T3825" s="16">
        <f t="shared" si="361"/>
        <v>1.0654725531458447</v>
      </c>
    </row>
    <row r="3826" spans="7:20" ht="14.4" x14ac:dyDescent="0.25">
      <c r="G3826" s="10">
        <v>7372</v>
      </c>
      <c r="H3826" s="9">
        <v>52519</v>
      </c>
      <c r="I3826" s="14">
        <f>DATE(2012,12,31)-246</f>
        <v>41028</v>
      </c>
      <c r="J3826" s="15" t="s">
        <v>17</v>
      </c>
      <c r="K3826" s="9">
        <v>6</v>
      </c>
      <c r="L3826" s="16" t="s">
        <v>26</v>
      </c>
      <c r="M3826" s="16">
        <f t="shared" si="357"/>
        <v>-1.3516196285269051</v>
      </c>
      <c r="N3826">
        <f t="shared" si="358"/>
        <v>0</v>
      </c>
      <c r="O3826">
        <f t="shared" si="359"/>
        <v>0</v>
      </c>
      <c r="P3826">
        <f t="shared" si="356"/>
        <v>3700</v>
      </c>
      <c r="Q3826">
        <f t="shared" si="360"/>
        <v>3700</v>
      </c>
      <c r="T3826" s="16">
        <f t="shared" si="361"/>
        <v>-1.3516196285269055</v>
      </c>
    </row>
    <row r="3827" spans="7:20" ht="14.4" x14ac:dyDescent="0.25">
      <c r="G3827" s="10">
        <v>7448</v>
      </c>
      <c r="H3827" s="9">
        <v>53152</v>
      </c>
      <c r="I3827" s="14">
        <f>DATE(2012,12,31)-1397</f>
        <v>39877</v>
      </c>
      <c r="J3827" s="15" t="s">
        <v>16</v>
      </c>
      <c r="K3827" s="9">
        <v>36</v>
      </c>
      <c r="L3827" s="16" t="s">
        <v>27</v>
      </c>
      <c r="M3827" s="16">
        <f t="shared" si="357"/>
        <v>0.72017367004973787</v>
      </c>
      <c r="N3827">
        <f t="shared" si="358"/>
        <v>0</v>
      </c>
      <c r="O3827">
        <f t="shared" si="359"/>
        <v>0</v>
      </c>
      <c r="P3827">
        <f t="shared" si="356"/>
        <v>5200</v>
      </c>
      <c r="Q3827">
        <f t="shared" si="360"/>
        <v>5200</v>
      </c>
      <c r="T3827" s="16">
        <f t="shared" si="361"/>
        <v>0.72017367004973754</v>
      </c>
    </row>
    <row r="3828" spans="7:20" ht="14.4" x14ac:dyDescent="0.25">
      <c r="G3828" s="10">
        <v>7454</v>
      </c>
      <c r="H3828" s="9">
        <v>53188</v>
      </c>
      <c r="I3828" s="14">
        <f>DATE(2012,12,31)-56</f>
        <v>41218</v>
      </c>
      <c r="J3828" s="15" t="s">
        <v>17</v>
      </c>
      <c r="K3828" s="9">
        <v>22</v>
      </c>
      <c r="L3828" s="16" t="s">
        <v>26</v>
      </c>
      <c r="M3828" s="16">
        <f t="shared" si="357"/>
        <v>-0.24666320261936217</v>
      </c>
      <c r="N3828">
        <f t="shared" si="358"/>
        <v>0</v>
      </c>
      <c r="O3828">
        <f t="shared" si="359"/>
        <v>0</v>
      </c>
      <c r="P3828">
        <f t="shared" si="356"/>
        <v>4500</v>
      </c>
      <c r="Q3828">
        <f t="shared" si="360"/>
        <v>4500</v>
      </c>
      <c r="T3828" s="16">
        <f t="shared" si="361"/>
        <v>-0.24666320261936256</v>
      </c>
    </row>
    <row r="3829" spans="7:20" ht="14.4" x14ac:dyDescent="0.25">
      <c r="G3829" s="10">
        <v>7461</v>
      </c>
      <c r="H3829" s="9">
        <v>53223</v>
      </c>
      <c r="I3829" s="14">
        <f>DATE(2012,12,31)-170</f>
        <v>41104</v>
      </c>
      <c r="J3829" s="15" t="s">
        <v>25</v>
      </c>
      <c r="K3829" s="9">
        <v>2</v>
      </c>
      <c r="L3829" s="16" t="s">
        <v>26</v>
      </c>
      <c r="M3829" s="16">
        <f t="shared" si="357"/>
        <v>-1.627858735003791</v>
      </c>
      <c r="N3829">
        <f t="shared" si="358"/>
        <v>0</v>
      </c>
      <c r="O3829">
        <f t="shared" si="359"/>
        <v>0</v>
      </c>
      <c r="P3829">
        <f t="shared" si="356"/>
        <v>3500</v>
      </c>
      <c r="Q3829">
        <f t="shared" si="360"/>
        <v>3500</v>
      </c>
      <c r="T3829" s="16">
        <f t="shared" si="361"/>
        <v>-1.6278587350037912</v>
      </c>
    </row>
    <row r="3830" spans="7:20" ht="14.4" x14ac:dyDescent="0.25">
      <c r="G3830" s="10">
        <v>7462</v>
      </c>
      <c r="H3830" s="9">
        <v>53248</v>
      </c>
      <c r="I3830" s="14">
        <f>DATE(2012,12,31)-794</f>
        <v>40480</v>
      </c>
      <c r="J3830" s="15" t="s">
        <v>30</v>
      </c>
      <c r="K3830" s="9">
        <v>7</v>
      </c>
      <c r="L3830" s="16" t="s">
        <v>29</v>
      </c>
      <c r="M3830" s="16">
        <f t="shared" si="357"/>
        <v>-1.2825598519076837</v>
      </c>
      <c r="N3830">
        <f t="shared" si="358"/>
        <v>0</v>
      </c>
      <c r="O3830">
        <f t="shared" si="359"/>
        <v>0</v>
      </c>
      <c r="P3830">
        <f t="shared" si="356"/>
        <v>3750</v>
      </c>
      <c r="Q3830">
        <f t="shared" si="360"/>
        <v>3750</v>
      </c>
      <c r="T3830" s="16">
        <f t="shared" si="361"/>
        <v>-1.2825598519076842</v>
      </c>
    </row>
    <row r="3831" spans="7:20" ht="14.4" x14ac:dyDescent="0.25">
      <c r="G3831" s="10">
        <v>7481</v>
      </c>
      <c r="H3831" s="9">
        <v>53411</v>
      </c>
      <c r="I3831" s="14">
        <f>DATE(2012,12,31)-398</f>
        <v>40876</v>
      </c>
      <c r="J3831" s="15" t="s">
        <v>30</v>
      </c>
      <c r="K3831" s="9">
        <v>25</v>
      </c>
      <c r="L3831" s="16" t="s">
        <v>27</v>
      </c>
      <c r="M3831" s="16">
        <f t="shared" si="357"/>
        <v>-3.9483872761697868E-2</v>
      </c>
      <c r="N3831">
        <f t="shared" si="358"/>
        <v>0</v>
      </c>
      <c r="O3831">
        <f t="shared" si="359"/>
        <v>0</v>
      </c>
      <c r="P3831">
        <f t="shared" si="356"/>
        <v>4650</v>
      </c>
      <c r="Q3831">
        <f t="shared" si="360"/>
        <v>4650</v>
      </c>
      <c r="T3831" s="16">
        <f t="shared" si="361"/>
        <v>-3.9483872761698249E-2</v>
      </c>
    </row>
    <row r="3832" spans="7:20" ht="14.4" x14ac:dyDescent="0.25">
      <c r="G3832" s="10">
        <v>7517</v>
      </c>
      <c r="H3832" s="9">
        <v>53668</v>
      </c>
      <c r="I3832" s="14">
        <f>DATE(2012,12,31)-1006</f>
        <v>40268</v>
      </c>
      <c r="J3832" s="15" t="s">
        <v>28</v>
      </c>
      <c r="K3832" s="9">
        <v>9</v>
      </c>
      <c r="L3832" s="16" t="s">
        <v>26</v>
      </c>
      <c r="M3832" s="16">
        <f t="shared" si="357"/>
        <v>-1.1444402986692408</v>
      </c>
      <c r="N3832">
        <f t="shared" si="358"/>
        <v>0</v>
      </c>
      <c r="O3832">
        <f t="shared" si="359"/>
        <v>0</v>
      </c>
      <c r="P3832">
        <f t="shared" si="356"/>
        <v>3850</v>
      </c>
      <c r="Q3832">
        <f t="shared" si="360"/>
        <v>3850</v>
      </c>
      <c r="T3832" s="16">
        <f t="shared" si="361"/>
        <v>-1.1444402986692412</v>
      </c>
    </row>
    <row r="3833" spans="7:20" ht="14.4" x14ac:dyDescent="0.25">
      <c r="G3833" s="10">
        <v>7524</v>
      </c>
      <c r="H3833" s="9">
        <v>53730</v>
      </c>
      <c r="I3833" s="14">
        <f>DATE(2012,12,31)-2</f>
        <v>41272</v>
      </c>
      <c r="J3833" s="15" t="s">
        <v>17</v>
      </c>
      <c r="K3833" s="9">
        <v>40</v>
      </c>
      <c r="L3833" s="16" t="s">
        <v>26</v>
      </c>
      <c r="M3833" s="16">
        <f t="shared" si="357"/>
        <v>0.99641277652662363</v>
      </c>
      <c r="N3833">
        <f t="shared" si="358"/>
        <v>0</v>
      </c>
      <c r="O3833">
        <f t="shared" si="359"/>
        <v>0</v>
      </c>
      <c r="P3833">
        <f t="shared" si="356"/>
        <v>5400</v>
      </c>
      <c r="Q3833">
        <f t="shared" si="360"/>
        <v>5400</v>
      </c>
      <c r="T3833" s="16">
        <f t="shared" si="361"/>
        <v>0.9964127765266233</v>
      </c>
    </row>
    <row r="3834" spans="7:20" ht="14.4" x14ac:dyDescent="0.25">
      <c r="G3834" s="10">
        <v>7550</v>
      </c>
      <c r="H3834" s="9">
        <v>54020</v>
      </c>
      <c r="I3834" s="14">
        <f>DATE(2012,12,31)-335</f>
        <v>40939</v>
      </c>
      <c r="J3834" s="15" t="s">
        <v>25</v>
      </c>
      <c r="K3834" s="9">
        <v>35</v>
      </c>
      <c r="L3834" s="16" t="s">
        <v>26</v>
      </c>
      <c r="M3834" s="16">
        <f t="shared" si="357"/>
        <v>0.65111389343051651</v>
      </c>
      <c r="N3834">
        <f t="shared" si="358"/>
        <v>0</v>
      </c>
      <c r="O3834">
        <f t="shared" si="359"/>
        <v>0</v>
      </c>
      <c r="P3834">
        <f t="shared" si="356"/>
        <v>5150</v>
      </c>
      <c r="Q3834">
        <f t="shared" si="360"/>
        <v>5150</v>
      </c>
      <c r="T3834" s="16">
        <f t="shared" si="361"/>
        <v>0.65111389343051607</v>
      </c>
    </row>
    <row r="3835" spans="7:20" ht="14.4" x14ac:dyDescent="0.25">
      <c r="G3835" s="10">
        <v>7551</v>
      </c>
      <c r="H3835" s="9">
        <v>54020</v>
      </c>
      <c r="I3835" s="14">
        <f>DATE(2012,12,31)-335</f>
        <v>40939</v>
      </c>
      <c r="J3835" s="15" t="s">
        <v>25</v>
      </c>
      <c r="K3835" s="9">
        <v>43</v>
      </c>
      <c r="L3835" s="16" t="s">
        <v>26</v>
      </c>
      <c r="M3835" s="16">
        <f t="shared" si="357"/>
        <v>1.203592106384288</v>
      </c>
      <c r="N3835">
        <f t="shared" si="358"/>
        <v>0</v>
      </c>
      <c r="O3835">
        <f t="shared" si="359"/>
        <v>0</v>
      </c>
      <c r="P3835">
        <f t="shared" si="356"/>
        <v>5550</v>
      </c>
      <c r="Q3835">
        <f t="shared" si="360"/>
        <v>5550</v>
      </c>
      <c r="T3835" s="16">
        <f t="shared" si="361"/>
        <v>1.2035921063842876</v>
      </c>
    </row>
    <row r="3836" spans="7:20" ht="14.4" x14ac:dyDescent="0.25">
      <c r="G3836" s="10">
        <v>7596</v>
      </c>
      <c r="H3836" s="9">
        <v>54368</v>
      </c>
      <c r="I3836" s="14">
        <f>DATE(2012,12,31)-426</f>
        <v>40848</v>
      </c>
      <c r="J3836" s="15" t="s">
        <v>28</v>
      </c>
      <c r="K3836" s="9">
        <v>31</v>
      </c>
      <c r="L3836" s="16" t="s">
        <v>26</v>
      </c>
      <c r="M3836" s="16">
        <f t="shared" si="357"/>
        <v>0.37487478695363075</v>
      </c>
      <c r="N3836">
        <f t="shared" si="358"/>
        <v>0</v>
      </c>
      <c r="O3836">
        <f t="shared" si="359"/>
        <v>0</v>
      </c>
      <c r="P3836">
        <f t="shared" si="356"/>
        <v>4950</v>
      </c>
      <c r="Q3836">
        <f t="shared" si="360"/>
        <v>4950</v>
      </c>
      <c r="T3836" s="16">
        <f t="shared" si="361"/>
        <v>0.37487478695363036</v>
      </c>
    </row>
    <row r="3837" spans="7:20" ht="14.4" x14ac:dyDescent="0.25">
      <c r="G3837" s="10">
        <v>7597</v>
      </c>
      <c r="H3837" s="9">
        <v>54368</v>
      </c>
      <c r="I3837" s="14">
        <f>DATE(2012,12,31)-426</f>
        <v>40848</v>
      </c>
      <c r="J3837" s="15" t="s">
        <v>28</v>
      </c>
      <c r="K3837" s="9">
        <v>16</v>
      </c>
      <c r="L3837" s="16" t="s">
        <v>26</v>
      </c>
      <c r="M3837" s="16">
        <f t="shared" si="357"/>
        <v>-0.66102186233469074</v>
      </c>
      <c r="N3837">
        <f t="shared" si="358"/>
        <v>0</v>
      </c>
      <c r="O3837">
        <f t="shared" si="359"/>
        <v>0</v>
      </c>
      <c r="P3837">
        <f t="shared" si="356"/>
        <v>4200</v>
      </c>
      <c r="Q3837">
        <f t="shared" si="360"/>
        <v>4200</v>
      </c>
      <c r="T3837" s="16">
        <f t="shared" si="361"/>
        <v>-0.66102186233469118</v>
      </c>
    </row>
    <row r="3838" spans="7:20" ht="14.4" x14ac:dyDescent="0.25">
      <c r="G3838" s="10">
        <v>7598</v>
      </c>
      <c r="H3838" s="9">
        <v>54368</v>
      </c>
      <c r="I3838" s="14">
        <f>DATE(2012,12,31)-426</f>
        <v>40848</v>
      </c>
      <c r="J3838" s="15" t="s">
        <v>28</v>
      </c>
      <c r="K3838" s="9">
        <v>43</v>
      </c>
      <c r="L3838" s="16" t="s">
        <v>27</v>
      </c>
      <c r="M3838" s="16">
        <f t="shared" si="357"/>
        <v>1.203592106384288</v>
      </c>
      <c r="N3838">
        <f t="shared" si="358"/>
        <v>0</v>
      </c>
      <c r="O3838">
        <f t="shared" si="359"/>
        <v>0</v>
      </c>
      <c r="P3838">
        <f t="shared" si="356"/>
        <v>5550</v>
      </c>
      <c r="Q3838">
        <f t="shared" si="360"/>
        <v>5550</v>
      </c>
      <c r="T3838" s="16">
        <f t="shared" si="361"/>
        <v>1.2035921063842876</v>
      </c>
    </row>
    <row r="3839" spans="7:20" ht="14.4" x14ac:dyDescent="0.25">
      <c r="G3839" s="10">
        <v>7640</v>
      </c>
      <c r="H3839" s="9">
        <v>54721</v>
      </c>
      <c r="I3839" s="14">
        <f>DATE(2012,12,31)-74</f>
        <v>41200</v>
      </c>
      <c r="J3839" s="15" t="s">
        <v>28</v>
      </c>
      <c r="K3839" s="9">
        <v>19</v>
      </c>
      <c r="L3839" s="16" t="s">
        <v>29</v>
      </c>
      <c r="M3839" s="16">
        <f t="shared" si="357"/>
        <v>-0.45384253247702649</v>
      </c>
      <c r="N3839">
        <f t="shared" si="358"/>
        <v>0</v>
      </c>
      <c r="O3839">
        <f t="shared" si="359"/>
        <v>0</v>
      </c>
      <c r="P3839">
        <f t="shared" si="356"/>
        <v>4350</v>
      </c>
      <c r="Q3839">
        <f t="shared" si="360"/>
        <v>4350</v>
      </c>
      <c r="T3839" s="16">
        <f t="shared" si="361"/>
        <v>-0.45384253247702688</v>
      </c>
    </row>
    <row r="3840" spans="7:20" ht="14.4" x14ac:dyDescent="0.25">
      <c r="G3840" s="10">
        <v>7673</v>
      </c>
      <c r="H3840" s="9">
        <v>55013</v>
      </c>
      <c r="I3840" s="14">
        <f>DATE(2012,12,31)-538</f>
        <v>40736</v>
      </c>
      <c r="J3840" s="15" t="s">
        <v>25</v>
      </c>
      <c r="K3840" s="9">
        <v>5</v>
      </c>
      <c r="L3840" s="16" t="s">
        <v>26</v>
      </c>
      <c r="M3840" s="16">
        <f t="shared" si="357"/>
        <v>-1.4206794051461267</v>
      </c>
      <c r="N3840">
        <f t="shared" si="358"/>
        <v>0</v>
      </c>
      <c r="O3840">
        <f t="shared" si="359"/>
        <v>0</v>
      </c>
      <c r="P3840">
        <f t="shared" si="356"/>
        <v>3650</v>
      </c>
      <c r="Q3840">
        <f t="shared" si="360"/>
        <v>3650</v>
      </c>
      <c r="T3840" s="16">
        <f t="shared" si="361"/>
        <v>-1.4206794051461269</v>
      </c>
    </row>
    <row r="3841" spans="7:20" ht="14.4" x14ac:dyDescent="0.25">
      <c r="G3841" s="10">
        <v>7674</v>
      </c>
      <c r="H3841" s="9">
        <v>55013</v>
      </c>
      <c r="I3841" s="14">
        <f>DATE(2012,12,31)-538</f>
        <v>40736</v>
      </c>
      <c r="J3841" s="15" t="s">
        <v>25</v>
      </c>
      <c r="K3841" s="9">
        <v>14</v>
      </c>
      <c r="L3841" s="16" t="s">
        <v>26</v>
      </c>
      <c r="M3841" s="16">
        <f t="shared" si="357"/>
        <v>-0.79914141557313367</v>
      </c>
      <c r="N3841">
        <f t="shared" si="358"/>
        <v>0</v>
      </c>
      <c r="O3841">
        <f t="shared" si="359"/>
        <v>0</v>
      </c>
      <c r="P3841">
        <f t="shared" si="356"/>
        <v>4100</v>
      </c>
      <c r="Q3841">
        <f t="shared" si="360"/>
        <v>4100</v>
      </c>
      <c r="T3841" s="16">
        <f t="shared" si="361"/>
        <v>-0.79914141557313401</v>
      </c>
    </row>
    <row r="3842" spans="7:20" ht="14.4" x14ac:dyDescent="0.25">
      <c r="G3842" s="10">
        <v>7686</v>
      </c>
      <c r="H3842" s="9">
        <v>55077</v>
      </c>
      <c r="I3842" s="14">
        <f>DATE(2012,12,31)-454</f>
        <v>40820</v>
      </c>
      <c r="J3842" s="15" t="s">
        <v>30</v>
      </c>
      <c r="K3842" s="9">
        <v>2</v>
      </c>
      <c r="L3842" s="16" t="s">
        <v>27</v>
      </c>
      <c r="M3842" s="16">
        <f t="shared" si="357"/>
        <v>-1.627858735003791</v>
      </c>
      <c r="N3842">
        <f t="shared" si="358"/>
        <v>0</v>
      </c>
      <c r="O3842">
        <f t="shared" si="359"/>
        <v>0</v>
      </c>
      <c r="P3842">
        <f t="shared" si="356"/>
        <v>3500</v>
      </c>
      <c r="Q3842">
        <f t="shared" si="360"/>
        <v>3500</v>
      </c>
      <c r="T3842" s="16">
        <f t="shared" si="361"/>
        <v>-1.6278587350037912</v>
      </c>
    </row>
    <row r="3843" spans="7:20" ht="14.4" x14ac:dyDescent="0.25">
      <c r="G3843" s="10">
        <v>7687</v>
      </c>
      <c r="H3843" s="9">
        <v>55077</v>
      </c>
      <c r="I3843" s="14">
        <f>DATE(2012,12,31)-454</f>
        <v>40820</v>
      </c>
      <c r="J3843" s="15" t="s">
        <v>30</v>
      </c>
      <c r="K3843" s="9">
        <v>3</v>
      </c>
      <c r="L3843" s="16" t="s">
        <v>27</v>
      </c>
      <c r="M3843" s="16">
        <f t="shared" si="357"/>
        <v>-1.5587989583845694</v>
      </c>
      <c r="N3843">
        <f t="shared" si="358"/>
        <v>0</v>
      </c>
      <c r="O3843">
        <f t="shared" si="359"/>
        <v>0</v>
      </c>
      <c r="P3843">
        <f t="shared" si="356"/>
        <v>3550</v>
      </c>
      <c r="Q3843">
        <f t="shared" si="360"/>
        <v>3550</v>
      </c>
      <c r="T3843" s="16">
        <f t="shared" si="361"/>
        <v>-1.5587989583845698</v>
      </c>
    </row>
    <row r="3844" spans="7:20" ht="14.4" x14ac:dyDescent="0.25">
      <c r="G3844" s="10">
        <v>7703</v>
      </c>
      <c r="H3844" s="9">
        <v>55206</v>
      </c>
      <c r="I3844" s="14">
        <f>DATE(2012,12,31)-425</f>
        <v>40849</v>
      </c>
      <c r="J3844" s="15" t="s">
        <v>16</v>
      </c>
      <c r="K3844" s="9">
        <v>20</v>
      </c>
      <c r="L3844" s="16" t="s">
        <v>26</v>
      </c>
      <c r="M3844" s="16">
        <f t="shared" si="357"/>
        <v>-0.38478275585780503</v>
      </c>
      <c r="N3844">
        <f t="shared" si="358"/>
        <v>0</v>
      </c>
      <c r="O3844">
        <f t="shared" si="359"/>
        <v>0</v>
      </c>
      <c r="P3844">
        <f t="shared" si="356"/>
        <v>4400</v>
      </c>
      <c r="Q3844">
        <f t="shared" si="360"/>
        <v>4400</v>
      </c>
      <c r="T3844" s="16">
        <f t="shared" si="361"/>
        <v>-0.38478275585780541</v>
      </c>
    </row>
    <row r="3845" spans="7:20" ht="14.4" x14ac:dyDescent="0.25">
      <c r="G3845" s="10">
        <v>7755</v>
      </c>
      <c r="H3845" s="9">
        <v>55492</v>
      </c>
      <c r="I3845" s="14">
        <f>DATE(2012,12,31)-469</f>
        <v>40805</v>
      </c>
      <c r="J3845" s="15" t="s">
        <v>30</v>
      </c>
      <c r="K3845" s="9">
        <v>10</v>
      </c>
      <c r="L3845" s="16" t="s">
        <v>27</v>
      </c>
      <c r="M3845" s="16">
        <f t="shared" si="357"/>
        <v>-1.0753805220500194</v>
      </c>
      <c r="N3845">
        <f t="shared" si="358"/>
        <v>0</v>
      </c>
      <c r="O3845">
        <f t="shared" si="359"/>
        <v>0</v>
      </c>
      <c r="P3845">
        <f t="shared" si="356"/>
        <v>3900</v>
      </c>
      <c r="Q3845">
        <f t="shared" si="360"/>
        <v>3900</v>
      </c>
      <c r="T3845" s="16">
        <f t="shared" si="361"/>
        <v>-1.0753805220500199</v>
      </c>
    </row>
    <row r="3846" spans="7:20" ht="14.4" x14ac:dyDescent="0.25">
      <c r="G3846" s="10">
        <v>7789</v>
      </c>
      <c r="H3846" s="9">
        <v>55744</v>
      </c>
      <c r="I3846" s="14">
        <f>DATE(2012,12,31)-438</f>
        <v>40836</v>
      </c>
      <c r="J3846" s="15" t="s">
        <v>30</v>
      </c>
      <c r="K3846" s="9">
        <v>23</v>
      </c>
      <c r="L3846" s="16" t="s">
        <v>27</v>
      </c>
      <c r="M3846" s="16">
        <f t="shared" si="357"/>
        <v>-0.17760342600014073</v>
      </c>
      <c r="N3846">
        <f t="shared" si="358"/>
        <v>0</v>
      </c>
      <c r="O3846">
        <f t="shared" si="359"/>
        <v>0</v>
      </c>
      <c r="P3846">
        <f t="shared" si="356"/>
        <v>4550</v>
      </c>
      <c r="Q3846">
        <f t="shared" si="360"/>
        <v>4550</v>
      </c>
      <c r="T3846" s="16">
        <f t="shared" si="361"/>
        <v>-0.17760342600014112</v>
      </c>
    </row>
    <row r="3847" spans="7:20" ht="14.4" x14ac:dyDescent="0.25">
      <c r="G3847" s="10">
        <v>7828</v>
      </c>
      <c r="H3847" s="9">
        <v>55968</v>
      </c>
      <c r="I3847" s="14">
        <f>DATE(2012,12,31)-92</f>
        <v>41182</v>
      </c>
      <c r="J3847" s="15" t="s">
        <v>25</v>
      </c>
      <c r="K3847" s="9">
        <v>40</v>
      </c>
      <c r="L3847" s="16" t="s">
        <v>26</v>
      </c>
      <c r="M3847" s="16">
        <f t="shared" si="357"/>
        <v>0.99641277652662363</v>
      </c>
      <c r="N3847">
        <f t="shared" si="358"/>
        <v>0</v>
      </c>
      <c r="O3847">
        <f t="shared" si="359"/>
        <v>0</v>
      </c>
      <c r="P3847">
        <f t="shared" si="356"/>
        <v>5400</v>
      </c>
      <c r="Q3847">
        <f t="shared" si="360"/>
        <v>5400</v>
      </c>
      <c r="T3847" s="16">
        <f t="shared" si="361"/>
        <v>0.9964127765266233</v>
      </c>
    </row>
    <row r="3848" spans="7:20" ht="14.4" x14ac:dyDescent="0.25">
      <c r="G3848" s="10">
        <v>7868</v>
      </c>
      <c r="H3848" s="9">
        <v>56288</v>
      </c>
      <c r="I3848" s="14">
        <f>DATE(2012,12,31)-915</f>
        <v>40359</v>
      </c>
      <c r="J3848" s="15" t="s">
        <v>28</v>
      </c>
      <c r="K3848" s="9">
        <v>37</v>
      </c>
      <c r="L3848" s="16" t="s">
        <v>26</v>
      </c>
      <c r="M3848" s="16">
        <f t="shared" si="357"/>
        <v>0.78923344666895934</v>
      </c>
      <c r="N3848">
        <f t="shared" si="358"/>
        <v>0</v>
      </c>
      <c r="O3848">
        <f t="shared" si="359"/>
        <v>0</v>
      </c>
      <c r="P3848">
        <f t="shared" si="356"/>
        <v>5250</v>
      </c>
      <c r="Q3848">
        <f t="shared" si="360"/>
        <v>5250</v>
      </c>
      <c r="T3848" s="16">
        <f t="shared" si="361"/>
        <v>0.789233446668959</v>
      </c>
    </row>
    <row r="3849" spans="7:20" ht="14.4" x14ac:dyDescent="0.25">
      <c r="G3849" s="10">
        <v>7869</v>
      </c>
      <c r="H3849" s="9">
        <v>56288</v>
      </c>
      <c r="I3849" s="14">
        <f>DATE(2012,12,31)-915</f>
        <v>40359</v>
      </c>
      <c r="J3849" s="15" t="s">
        <v>28</v>
      </c>
      <c r="K3849" s="9">
        <v>39</v>
      </c>
      <c r="L3849" s="16" t="s">
        <v>26</v>
      </c>
      <c r="M3849" s="16">
        <f t="shared" si="357"/>
        <v>0.92735299990740228</v>
      </c>
      <c r="N3849">
        <f t="shared" si="358"/>
        <v>0</v>
      </c>
      <c r="O3849">
        <f t="shared" si="359"/>
        <v>0</v>
      </c>
      <c r="P3849">
        <f t="shared" si="356"/>
        <v>5350</v>
      </c>
      <c r="Q3849">
        <f t="shared" si="360"/>
        <v>5350</v>
      </c>
      <c r="T3849" s="16">
        <f t="shared" si="361"/>
        <v>0.92735299990740183</v>
      </c>
    </row>
    <row r="3850" spans="7:20" ht="14.4" x14ac:dyDescent="0.25">
      <c r="G3850" s="10">
        <v>7870</v>
      </c>
      <c r="H3850" s="9">
        <v>56291</v>
      </c>
      <c r="I3850" s="14">
        <f>DATE(2012,12,31)-105</f>
        <v>41169</v>
      </c>
      <c r="J3850" s="15" t="s">
        <v>28</v>
      </c>
      <c r="K3850" s="9">
        <v>22</v>
      </c>
      <c r="L3850" s="16" t="s">
        <v>27</v>
      </c>
      <c r="M3850" s="16">
        <f t="shared" si="357"/>
        <v>-0.24666320261936217</v>
      </c>
      <c r="N3850">
        <f t="shared" si="358"/>
        <v>0</v>
      </c>
      <c r="O3850">
        <f t="shared" si="359"/>
        <v>0</v>
      </c>
      <c r="P3850">
        <f t="shared" si="356"/>
        <v>4500</v>
      </c>
      <c r="Q3850">
        <f t="shared" si="360"/>
        <v>4500</v>
      </c>
      <c r="T3850" s="16">
        <f t="shared" si="361"/>
        <v>-0.24666320261936256</v>
      </c>
    </row>
    <row r="3851" spans="7:20" ht="14.4" x14ac:dyDescent="0.25">
      <c r="G3851" s="10">
        <v>7871</v>
      </c>
      <c r="H3851" s="9">
        <v>56291</v>
      </c>
      <c r="I3851" s="14">
        <f>DATE(2012,12,31)-105</f>
        <v>41169</v>
      </c>
      <c r="J3851" s="15" t="s">
        <v>28</v>
      </c>
      <c r="K3851" s="9">
        <v>25</v>
      </c>
      <c r="L3851" s="16" t="s">
        <v>26</v>
      </c>
      <c r="M3851" s="16">
        <f t="shared" si="357"/>
        <v>-3.9483872761697868E-2</v>
      </c>
      <c r="N3851">
        <f t="shared" si="358"/>
        <v>0</v>
      </c>
      <c r="O3851">
        <f t="shared" si="359"/>
        <v>0</v>
      </c>
      <c r="P3851">
        <f t="shared" si="356"/>
        <v>4650</v>
      </c>
      <c r="Q3851">
        <f t="shared" si="360"/>
        <v>4650</v>
      </c>
      <c r="T3851" s="16">
        <f t="shared" si="361"/>
        <v>-3.9483872761698249E-2</v>
      </c>
    </row>
    <row r="3852" spans="7:20" ht="14.4" x14ac:dyDescent="0.25">
      <c r="G3852" s="10">
        <v>7872</v>
      </c>
      <c r="H3852" s="9">
        <v>56291</v>
      </c>
      <c r="I3852" s="14">
        <f>DATE(2012,12,31)-105</f>
        <v>41169</v>
      </c>
      <c r="J3852" s="15" t="s">
        <v>28</v>
      </c>
      <c r="K3852" s="9">
        <v>47</v>
      </c>
      <c r="L3852" s="16" t="s">
        <v>26</v>
      </c>
      <c r="M3852" s="16">
        <f t="shared" si="357"/>
        <v>1.4798312128611737</v>
      </c>
      <c r="N3852">
        <f t="shared" si="358"/>
        <v>0</v>
      </c>
      <c r="O3852">
        <f t="shared" si="359"/>
        <v>0</v>
      </c>
      <c r="P3852">
        <f t="shared" ref="P3852:P3915" si="362">50*K3852+$P$10</f>
        <v>5750</v>
      </c>
      <c r="Q3852">
        <f t="shared" si="360"/>
        <v>5750</v>
      </c>
      <c r="T3852" s="16">
        <f t="shared" si="361"/>
        <v>1.4798312128611733</v>
      </c>
    </row>
    <row r="3853" spans="7:20" ht="14.4" x14ac:dyDescent="0.25">
      <c r="G3853" s="10">
        <v>7898</v>
      </c>
      <c r="H3853" s="9">
        <v>56486</v>
      </c>
      <c r="I3853" s="14">
        <f>DATE(2012,12,31)-1313</f>
        <v>39961</v>
      </c>
      <c r="J3853" s="15" t="s">
        <v>30</v>
      </c>
      <c r="K3853" s="9">
        <v>11</v>
      </c>
      <c r="L3853" s="16" t="s">
        <v>26</v>
      </c>
      <c r="M3853" s="16">
        <f t="shared" ref="M3853:M3916" si="363">(K3853-$K$4)/$K$7</f>
        <v>-1.0063207454307979</v>
      </c>
      <c r="N3853">
        <f t="shared" ref="N3853:N3916" si="364">IF(MOD($B$20+G3853,1000)=0,1,0)</f>
        <v>0</v>
      </c>
      <c r="O3853">
        <f t="shared" ref="O3853:O3916" si="365">+ROUND(N3853*(IF(K3853&lt;$K$4,-4.5,10.5)*$P$5),-2)</f>
        <v>0</v>
      </c>
      <c r="P3853">
        <f t="shared" si="362"/>
        <v>3950</v>
      </c>
      <c r="Q3853">
        <f t="shared" ref="Q3853:Q3916" si="366">P3853+O3853</f>
        <v>3950</v>
      </c>
      <c r="T3853" s="16">
        <f t="shared" ref="T3853:T3916" si="367">(Q3853-$P$4)/$P$5</f>
        <v>-1.0063207454307983</v>
      </c>
    </row>
    <row r="3854" spans="7:20" ht="14.4" x14ac:dyDescent="0.25">
      <c r="G3854" s="10">
        <v>7899</v>
      </c>
      <c r="H3854" s="9">
        <v>56514</v>
      </c>
      <c r="I3854" s="14">
        <f>DATE(2012,12,31)-324</f>
        <v>40950</v>
      </c>
      <c r="J3854" s="15" t="s">
        <v>25</v>
      </c>
      <c r="K3854" s="9">
        <v>3</v>
      </c>
      <c r="L3854" s="16" t="s">
        <v>26</v>
      </c>
      <c r="M3854" s="16">
        <f t="shared" si="363"/>
        <v>-1.5587989583845694</v>
      </c>
      <c r="N3854">
        <f t="shared" si="364"/>
        <v>0</v>
      </c>
      <c r="O3854">
        <f t="shared" si="365"/>
        <v>0</v>
      </c>
      <c r="P3854">
        <f t="shared" si="362"/>
        <v>3550</v>
      </c>
      <c r="Q3854">
        <f t="shared" si="366"/>
        <v>3550</v>
      </c>
      <c r="T3854" s="16">
        <f t="shared" si="367"/>
        <v>-1.5587989583845698</v>
      </c>
    </row>
    <row r="3855" spans="7:20" ht="14.4" x14ac:dyDescent="0.25">
      <c r="G3855" s="10">
        <v>7900</v>
      </c>
      <c r="H3855" s="9">
        <v>56514</v>
      </c>
      <c r="I3855" s="14">
        <f>DATE(2012,12,31)-324</f>
        <v>40950</v>
      </c>
      <c r="J3855" s="15" t="s">
        <v>25</v>
      </c>
      <c r="K3855" s="9">
        <v>35</v>
      </c>
      <c r="L3855" s="16" t="s">
        <v>26</v>
      </c>
      <c r="M3855" s="16">
        <f t="shared" si="363"/>
        <v>0.65111389343051651</v>
      </c>
      <c r="N3855">
        <f t="shared" si="364"/>
        <v>0</v>
      </c>
      <c r="O3855">
        <f t="shared" si="365"/>
        <v>0</v>
      </c>
      <c r="P3855">
        <f t="shared" si="362"/>
        <v>5150</v>
      </c>
      <c r="Q3855">
        <f t="shared" si="366"/>
        <v>5150</v>
      </c>
      <c r="T3855" s="16">
        <f t="shared" si="367"/>
        <v>0.65111389343051607</v>
      </c>
    </row>
    <row r="3856" spans="7:20" ht="14.4" x14ac:dyDescent="0.25">
      <c r="G3856" s="10">
        <v>7928</v>
      </c>
      <c r="H3856" s="9">
        <v>56672</v>
      </c>
      <c r="I3856" s="14">
        <f>DATE(2012,12,31)-233</f>
        <v>41041</v>
      </c>
      <c r="J3856" s="15" t="s">
        <v>17</v>
      </c>
      <c r="K3856" s="9">
        <v>34</v>
      </c>
      <c r="L3856" s="16" t="s">
        <v>26</v>
      </c>
      <c r="M3856" s="16">
        <f t="shared" si="363"/>
        <v>0.58205411681129504</v>
      </c>
      <c r="N3856">
        <f t="shared" si="364"/>
        <v>0</v>
      </c>
      <c r="O3856">
        <f t="shared" si="365"/>
        <v>0</v>
      </c>
      <c r="P3856">
        <f t="shared" si="362"/>
        <v>5100</v>
      </c>
      <c r="Q3856">
        <f t="shared" si="366"/>
        <v>5100</v>
      </c>
      <c r="T3856" s="16">
        <f t="shared" si="367"/>
        <v>0.58205411681129471</v>
      </c>
    </row>
    <row r="3857" spans="7:20" ht="14.4" x14ac:dyDescent="0.25">
      <c r="G3857" s="10">
        <v>7929</v>
      </c>
      <c r="H3857" s="9">
        <v>56672</v>
      </c>
      <c r="I3857" s="14">
        <f>DATE(2012,12,31)-233</f>
        <v>41041</v>
      </c>
      <c r="J3857" s="15" t="s">
        <v>17</v>
      </c>
      <c r="K3857" s="9">
        <v>8</v>
      </c>
      <c r="L3857" s="16" t="s">
        <v>29</v>
      </c>
      <c r="M3857" s="16">
        <f t="shared" si="363"/>
        <v>-1.2135000752884624</v>
      </c>
      <c r="N3857">
        <f t="shared" si="364"/>
        <v>0</v>
      </c>
      <c r="O3857">
        <f t="shared" si="365"/>
        <v>0</v>
      </c>
      <c r="P3857">
        <f t="shared" si="362"/>
        <v>3800</v>
      </c>
      <c r="Q3857">
        <f t="shared" si="366"/>
        <v>3800</v>
      </c>
      <c r="T3857" s="16">
        <f t="shared" si="367"/>
        <v>-1.2135000752884626</v>
      </c>
    </row>
    <row r="3858" spans="7:20" ht="14.4" x14ac:dyDescent="0.25">
      <c r="G3858" s="10">
        <v>7930</v>
      </c>
      <c r="H3858" s="9">
        <v>56672</v>
      </c>
      <c r="I3858" s="14">
        <f>DATE(2012,12,31)-233</f>
        <v>41041</v>
      </c>
      <c r="J3858" s="15" t="s">
        <v>17</v>
      </c>
      <c r="K3858" s="9">
        <v>45</v>
      </c>
      <c r="L3858" s="16" t="s">
        <v>27</v>
      </c>
      <c r="M3858" s="16">
        <f t="shared" si="363"/>
        <v>1.3417116596227308</v>
      </c>
      <c r="N3858">
        <f t="shared" si="364"/>
        <v>0</v>
      </c>
      <c r="O3858">
        <f t="shared" si="365"/>
        <v>0</v>
      </c>
      <c r="P3858">
        <f t="shared" si="362"/>
        <v>5650</v>
      </c>
      <c r="Q3858">
        <f t="shared" si="366"/>
        <v>5650</v>
      </c>
      <c r="T3858" s="16">
        <f t="shared" si="367"/>
        <v>1.3417116596227305</v>
      </c>
    </row>
    <row r="3859" spans="7:20" ht="14.4" x14ac:dyDescent="0.25">
      <c r="G3859" s="10">
        <v>7966</v>
      </c>
      <c r="H3859" s="9">
        <v>56931</v>
      </c>
      <c r="I3859" s="14">
        <f>DATE(2012,12,31)-1062</f>
        <v>40212</v>
      </c>
      <c r="J3859" s="15" t="s">
        <v>17</v>
      </c>
      <c r="K3859" s="9">
        <v>34</v>
      </c>
      <c r="L3859" s="16" t="s">
        <v>27</v>
      </c>
      <c r="M3859" s="16">
        <f t="shared" si="363"/>
        <v>0.58205411681129504</v>
      </c>
      <c r="N3859">
        <f t="shared" si="364"/>
        <v>0</v>
      </c>
      <c r="O3859">
        <f t="shared" si="365"/>
        <v>0</v>
      </c>
      <c r="P3859">
        <f t="shared" si="362"/>
        <v>5100</v>
      </c>
      <c r="Q3859">
        <f t="shared" si="366"/>
        <v>5100</v>
      </c>
      <c r="T3859" s="16">
        <f t="shared" si="367"/>
        <v>0.58205411681129471</v>
      </c>
    </row>
    <row r="3860" spans="7:20" ht="14.4" x14ac:dyDescent="0.25">
      <c r="G3860" s="10">
        <v>7971</v>
      </c>
      <c r="H3860" s="9">
        <v>57025</v>
      </c>
      <c r="I3860" s="14">
        <f>DATE(2012,12,31)-188</f>
        <v>41086</v>
      </c>
      <c r="J3860" s="15" t="s">
        <v>16</v>
      </c>
      <c r="K3860" s="9">
        <v>8</v>
      </c>
      <c r="L3860" s="16" t="s">
        <v>26</v>
      </c>
      <c r="M3860" s="16">
        <f t="shared" si="363"/>
        <v>-1.2135000752884624</v>
      </c>
      <c r="N3860">
        <f t="shared" si="364"/>
        <v>0</v>
      </c>
      <c r="O3860">
        <f t="shared" si="365"/>
        <v>0</v>
      </c>
      <c r="P3860">
        <f t="shared" si="362"/>
        <v>3800</v>
      </c>
      <c r="Q3860">
        <f t="shared" si="366"/>
        <v>3800</v>
      </c>
      <c r="T3860" s="16">
        <f t="shared" si="367"/>
        <v>-1.2135000752884626</v>
      </c>
    </row>
    <row r="3861" spans="7:20" ht="14.4" x14ac:dyDescent="0.25">
      <c r="G3861" s="10">
        <v>7979</v>
      </c>
      <c r="H3861" s="9">
        <v>57061</v>
      </c>
      <c r="I3861" s="14">
        <f>DATE(2012,12,31)-1127</f>
        <v>40147</v>
      </c>
      <c r="J3861" s="15" t="s">
        <v>25</v>
      </c>
      <c r="K3861" s="9">
        <v>21</v>
      </c>
      <c r="L3861" s="16" t="s">
        <v>26</v>
      </c>
      <c r="M3861" s="16">
        <f t="shared" si="363"/>
        <v>-0.31572297923858361</v>
      </c>
      <c r="N3861">
        <f t="shared" si="364"/>
        <v>0</v>
      </c>
      <c r="O3861">
        <f t="shared" si="365"/>
        <v>0</v>
      </c>
      <c r="P3861">
        <f t="shared" si="362"/>
        <v>4450</v>
      </c>
      <c r="Q3861">
        <f t="shared" si="366"/>
        <v>4450</v>
      </c>
      <c r="T3861" s="16">
        <f t="shared" si="367"/>
        <v>-0.315722979238584</v>
      </c>
    </row>
    <row r="3862" spans="7:20" ht="14.4" x14ac:dyDescent="0.25">
      <c r="G3862" s="10">
        <v>7980</v>
      </c>
      <c r="H3862" s="9">
        <v>57061</v>
      </c>
      <c r="I3862" s="14">
        <f>DATE(2012,12,31)-1127</f>
        <v>40147</v>
      </c>
      <c r="J3862" s="15" t="s">
        <v>25</v>
      </c>
      <c r="K3862" s="9">
        <v>6</v>
      </c>
      <c r="L3862" s="16" t="s">
        <v>26</v>
      </c>
      <c r="M3862" s="16">
        <f t="shared" si="363"/>
        <v>-1.3516196285269051</v>
      </c>
      <c r="N3862">
        <f t="shared" si="364"/>
        <v>0</v>
      </c>
      <c r="O3862">
        <f t="shared" si="365"/>
        <v>0</v>
      </c>
      <c r="P3862">
        <f t="shared" si="362"/>
        <v>3700</v>
      </c>
      <c r="Q3862">
        <f t="shared" si="366"/>
        <v>3700</v>
      </c>
      <c r="T3862" s="16">
        <f t="shared" si="367"/>
        <v>-1.3516196285269055</v>
      </c>
    </row>
    <row r="3863" spans="7:20" ht="14.4" x14ac:dyDescent="0.25">
      <c r="G3863" s="10">
        <v>7981</v>
      </c>
      <c r="H3863" s="9">
        <v>57061</v>
      </c>
      <c r="I3863" s="14">
        <f>DATE(2012,12,31)-1127</f>
        <v>40147</v>
      </c>
      <c r="J3863" s="15" t="s">
        <v>25</v>
      </c>
      <c r="K3863" s="9">
        <v>3</v>
      </c>
      <c r="L3863" s="16" t="s">
        <v>29</v>
      </c>
      <c r="M3863" s="16">
        <f t="shared" si="363"/>
        <v>-1.5587989583845694</v>
      </c>
      <c r="N3863">
        <f t="shared" si="364"/>
        <v>0</v>
      </c>
      <c r="O3863">
        <f t="shared" si="365"/>
        <v>0</v>
      </c>
      <c r="P3863">
        <f t="shared" si="362"/>
        <v>3550</v>
      </c>
      <c r="Q3863">
        <f t="shared" si="366"/>
        <v>3550</v>
      </c>
      <c r="T3863" s="16">
        <f t="shared" si="367"/>
        <v>-1.5587989583845698</v>
      </c>
    </row>
    <row r="3864" spans="7:20" ht="14.4" x14ac:dyDescent="0.25">
      <c r="G3864" s="10">
        <v>8008</v>
      </c>
      <c r="H3864" s="9">
        <v>57217</v>
      </c>
      <c r="I3864" s="14">
        <f>DATE(2012,12,31)-710</f>
        <v>40564</v>
      </c>
      <c r="J3864" s="15" t="s">
        <v>16</v>
      </c>
      <c r="K3864" s="9">
        <v>35</v>
      </c>
      <c r="L3864" s="16" t="s">
        <v>26</v>
      </c>
      <c r="M3864" s="16">
        <f t="shared" si="363"/>
        <v>0.65111389343051651</v>
      </c>
      <c r="N3864">
        <f t="shared" si="364"/>
        <v>0</v>
      </c>
      <c r="O3864">
        <f t="shared" si="365"/>
        <v>0</v>
      </c>
      <c r="P3864">
        <f t="shared" si="362"/>
        <v>5150</v>
      </c>
      <c r="Q3864">
        <f t="shared" si="366"/>
        <v>5150</v>
      </c>
      <c r="T3864" s="16">
        <f t="shared" si="367"/>
        <v>0.65111389343051607</v>
      </c>
    </row>
    <row r="3865" spans="7:20" ht="14.4" x14ac:dyDescent="0.25">
      <c r="G3865" s="10">
        <v>8054</v>
      </c>
      <c r="H3865" s="9">
        <v>57504</v>
      </c>
      <c r="I3865" s="14">
        <f>DATE(2012,12,31)-1245</f>
        <v>40029</v>
      </c>
      <c r="J3865" s="15" t="s">
        <v>28</v>
      </c>
      <c r="K3865" s="9">
        <v>44</v>
      </c>
      <c r="L3865" s="16" t="s">
        <v>26</v>
      </c>
      <c r="M3865" s="16">
        <f t="shared" si="363"/>
        <v>1.2726518830035094</v>
      </c>
      <c r="N3865">
        <f t="shared" si="364"/>
        <v>0</v>
      </c>
      <c r="O3865">
        <f t="shared" si="365"/>
        <v>0</v>
      </c>
      <c r="P3865">
        <f t="shared" si="362"/>
        <v>5600</v>
      </c>
      <c r="Q3865">
        <f t="shared" si="366"/>
        <v>5600</v>
      </c>
      <c r="T3865" s="16">
        <f t="shared" si="367"/>
        <v>1.272651883003509</v>
      </c>
    </row>
    <row r="3866" spans="7:20" ht="14.4" x14ac:dyDescent="0.25">
      <c r="G3866" s="10">
        <v>8083</v>
      </c>
      <c r="H3866" s="9">
        <v>57666</v>
      </c>
      <c r="I3866" s="14">
        <f>DATE(2012,12,31)-1319</f>
        <v>39955</v>
      </c>
      <c r="J3866" s="15" t="s">
        <v>28</v>
      </c>
      <c r="K3866" s="9">
        <v>45</v>
      </c>
      <c r="L3866" s="16" t="s">
        <v>26</v>
      </c>
      <c r="M3866" s="16">
        <f t="shared" si="363"/>
        <v>1.3417116596227308</v>
      </c>
      <c r="N3866">
        <f t="shared" si="364"/>
        <v>0</v>
      </c>
      <c r="O3866">
        <f t="shared" si="365"/>
        <v>0</v>
      </c>
      <c r="P3866">
        <f t="shared" si="362"/>
        <v>5650</v>
      </c>
      <c r="Q3866">
        <f t="shared" si="366"/>
        <v>5650</v>
      </c>
      <c r="T3866" s="16">
        <f t="shared" si="367"/>
        <v>1.3417116596227305</v>
      </c>
    </row>
    <row r="3867" spans="7:20" ht="14.4" x14ac:dyDescent="0.25">
      <c r="G3867" s="10">
        <v>8084</v>
      </c>
      <c r="H3867" s="9">
        <v>57666</v>
      </c>
      <c r="I3867" s="14">
        <f>DATE(2012,12,31)-1319</f>
        <v>39955</v>
      </c>
      <c r="J3867" s="15" t="s">
        <v>28</v>
      </c>
      <c r="K3867" s="9">
        <v>44</v>
      </c>
      <c r="L3867" s="16" t="s">
        <v>26</v>
      </c>
      <c r="M3867" s="16">
        <f t="shared" si="363"/>
        <v>1.2726518830035094</v>
      </c>
      <c r="N3867">
        <f t="shared" si="364"/>
        <v>0</v>
      </c>
      <c r="O3867">
        <f t="shared" si="365"/>
        <v>0</v>
      </c>
      <c r="P3867">
        <f t="shared" si="362"/>
        <v>5600</v>
      </c>
      <c r="Q3867">
        <f t="shared" si="366"/>
        <v>5600</v>
      </c>
      <c r="T3867" s="16">
        <f t="shared" si="367"/>
        <v>1.272651883003509</v>
      </c>
    </row>
    <row r="3868" spans="7:20" ht="14.4" x14ac:dyDescent="0.25">
      <c r="G3868" s="10">
        <v>8183</v>
      </c>
      <c r="H3868" s="9">
        <v>58496</v>
      </c>
      <c r="I3868" s="14">
        <f>DATE(2012,12,31)-569</f>
        <v>40705</v>
      </c>
      <c r="J3868" s="15" t="s">
        <v>28</v>
      </c>
      <c r="K3868" s="9">
        <v>20</v>
      </c>
      <c r="L3868" s="16" t="s">
        <v>26</v>
      </c>
      <c r="M3868" s="16">
        <f t="shared" si="363"/>
        <v>-0.38478275585780503</v>
      </c>
      <c r="N3868">
        <f t="shared" si="364"/>
        <v>0</v>
      </c>
      <c r="O3868">
        <f t="shared" si="365"/>
        <v>0</v>
      </c>
      <c r="P3868">
        <f t="shared" si="362"/>
        <v>4400</v>
      </c>
      <c r="Q3868">
        <f t="shared" si="366"/>
        <v>4400</v>
      </c>
      <c r="T3868" s="16">
        <f t="shared" si="367"/>
        <v>-0.38478275585780541</v>
      </c>
    </row>
    <row r="3869" spans="7:20" ht="14.4" x14ac:dyDescent="0.25">
      <c r="G3869" s="10">
        <v>8200</v>
      </c>
      <c r="H3869" s="9">
        <v>58628</v>
      </c>
      <c r="I3869" s="14">
        <f>DATE(2012,12,31)-1378</f>
        <v>39896</v>
      </c>
      <c r="J3869" s="15" t="s">
        <v>16</v>
      </c>
      <c r="K3869" s="9">
        <v>23</v>
      </c>
      <c r="L3869" s="16" t="s">
        <v>29</v>
      </c>
      <c r="M3869" s="16">
        <f t="shared" si="363"/>
        <v>-0.17760342600014073</v>
      </c>
      <c r="N3869">
        <f t="shared" si="364"/>
        <v>0</v>
      </c>
      <c r="O3869">
        <f t="shared" si="365"/>
        <v>0</v>
      </c>
      <c r="P3869">
        <f t="shared" si="362"/>
        <v>4550</v>
      </c>
      <c r="Q3869">
        <f t="shared" si="366"/>
        <v>4550</v>
      </c>
      <c r="T3869" s="16">
        <f t="shared" si="367"/>
        <v>-0.17760342600014112</v>
      </c>
    </row>
    <row r="3870" spans="7:20" ht="14.4" x14ac:dyDescent="0.25">
      <c r="G3870" s="10">
        <v>8234</v>
      </c>
      <c r="H3870" s="9">
        <v>58854</v>
      </c>
      <c r="I3870" s="14">
        <f>DATE(2012,12,31)-982</f>
        <v>40292</v>
      </c>
      <c r="J3870" s="15" t="s">
        <v>30</v>
      </c>
      <c r="K3870" s="9">
        <v>35</v>
      </c>
      <c r="L3870" s="16" t="s">
        <v>29</v>
      </c>
      <c r="M3870" s="16">
        <f t="shared" si="363"/>
        <v>0.65111389343051651</v>
      </c>
      <c r="N3870">
        <f t="shared" si="364"/>
        <v>0</v>
      </c>
      <c r="O3870">
        <f t="shared" si="365"/>
        <v>0</v>
      </c>
      <c r="P3870">
        <f t="shared" si="362"/>
        <v>5150</v>
      </c>
      <c r="Q3870">
        <f t="shared" si="366"/>
        <v>5150</v>
      </c>
      <c r="T3870" s="16">
        <f t="shared" si="367"/>
        <v>0.65111389343051607</v>
      </c>
    </row>
    <row r="3871" spans="7:20" ht="14.4" x14ac:dyDescent="0.25">
      <c r="G3871" s="10">
        <v>8235</v>
      </c>
      <c r="H3871" s="9">
        <v>58854</v>
      </c>
      <c r="I3871" s="14">
        <f>DATE(2012,12,31)-982</f>
        <v>40292</v>
      </c>
      <c r="J3871" s="15" t="s">
        <v>30</v>
      </c>
      <c r="K3871" s="9">
        <v>10</v>
      </c>
      <c r="L3871" s="16" t="s">
        <v>27</v>
      </c>
      <c r="M3871" s="16">
        <f t="shared" si="363"/>
        <v>-1.0753805220500194</v>
      </c>
      <c r="N3871">
        <f t="shared" si="364"/>
        <v>0</v>
      </c>
      <c r="O3871">
        <f t="shared" si="365"/>
        <v>0</v>
      </c>
      <c r="P3871">
        <f t="shared" si="362"/>
        <v>3900</v>
      </c>
      <c r="Q3871">
        <f t="shared" si="366"/>
        <v>3900</v>
      </c>
      <c r="T3871" s="16">
        <f t="shared" si="367"/>
        <v>-1.0753805220500199</v>
      </c>
    </row>
    <row r="3872" spans="7:20" ht="14.4" x14ac:dyDescent="0.25">
      <c r="G3872" s="10">
        <v>8243</v>
      </c>
      <c r="H3872" s="9">
        <v>58917</v>
      </c>
      <c r="I3872" s="14">
        <f>DATE(2012,12,31)-304</f>
        <v>40970</v>
      </c>
      <c r="J3872" s="15" t="s">
        <v>17</v>
      </c>
      <c r="K3872" s="9">
        <v>27</v>
      </c>
      <c r="L3872" s="16" t="s">
        <v>27</v>
      </c>
      <c r="M3872" s="16">
        <f t="shared" si="363"/>
        <v>9.8635680476745008E-2</v>
      </c>
      <c r="N3872">
        <f t="shared" si="364"/>
        <v>0</v>
      </c>
      <c r="O3872">
        <f t="shared" si="365"/>
        <v>0</v>
      </c>
      <c r="P3872">
        <f t="shared" si="362"/>
        <v>4750</v>
      </c>
      <c r="Q3872">
        <f t="shared" si="366"/>
        <v>4750</v>
      </c>
      <c r="T3872" s="16">
        <f t="shared" si="367"/>
        <v>9.8635680476744619E-2</v>
      </c>
    </row>
    <row r="3873" spans="7:20" ht="14.4" x14ac:dyDescent="0.25">
      <c r="G3873" s="10">
        <v>8244</v>
      </c>
      <c r="H3873" s="9">
        <v>58917</v>
      </c>
      <c r="I3873" s="14">
        <f>DATE(2012,12,31)-304</f>
        <v>40970</v>
      </c>
      <c r="J3873" s="15" t="s">
        <v>17</v>
      </c>
      <c r="K3873" s="9">
        <v>3</v>
      </c>
      <c r="L3873" s="16" t="s">
        <v>26</v>
      </c>
      <c r="M3873" s="16">
        <f t="shared" si="363"/>
        <v>-1.5587989583845694</v>
      </c>
      <c r="N3873">
        <f t="shared" si="364"/>
        <v>0</v>
      </c>
      <c r="O3873">
        <f t="shared" si="365"/>
        <v>0</v>
      </c>
      <c r="P3873">
        <f t="shared" si="362"/>
        <v>3550</v>
      </c>
      <c r="Q3873">
        <f t="shared" si="366"/>
        <v>3550</v>
      </c>
      <c r="T3873" s="16">
        <f t="shared" si="367"/>
        <v>-1.5587989583845698</v>
      </c>
    </row>
    <row r="3874" spans="7:20" ht="14.4" x14ac:dyDescent="0.25">
      <c r="G3874" s="10">
        <v>8266</v>
      </c>
      <c r="H3874" s="9">
        <v>59104</v>
      </c>
      <c r="I3874" s="14">
        <f>DATE(2012,12,31)-1418</f>
        <v>39856</v>
      </c>
      <c r="J3874" s="15" t="s">
        <v>17</v>
      </c>
      <c r="K3874" s="9">
        <v>13</v>
      </c>
      <c r="L3874" s="16" t="s">
        <v>26</v>
      </c>
      <c r="M3874" s="16">
        <f t="shared" si="363"/>
        <v>-0.86820119219235514</v>
      </c>
      <c r="N3874">
        <f t="shared" si="364"/>
        <v>0</v>
      </c>
      <c r="O3874">
        <f t="shared" si="365"/>
        <v>0</v>
      </c>
      <c r="P3874">
        <f t="shared" si="362"/>
        <v>4050</v>
      </c>
      <c r="Q3874">
        <f t="shared" si="366"/>
        <v>4050</v>
      </c>
      <c r="T3874" s="16">
        <f t="shared" si="367"/>
        <v>-0.86820119219235548</v>
      </c>
    </row>
    <row r="3875" spans="7:20" ht="14.4" x14ac:dyDescent="0.25">
      <c r="G3875" s="10">
        <v>8267</v>
      </c>
      <c r="H3875" s="9">
        <v>59104</v>
      </c>
      <c r="I3875" s="14">
        <f>DATE(2012,12,31)-1418</f>
        <v>39856</v>
      </c>
      <c r="J3875" s="15" t="s">
        <v>17</v>
      </c>
      <c r="K3875" s="9">
        <v>22</v>
      </c>
      <c r="L3875" s="16" t="s">
        <v>26</v>
      </c>
      <c r="M3875" s="16">
        <f t="shared" si="363"/>
        <v>-0.24666320261936217</v>
      </c>
      <c r="N3875">
        <f t="shared" si="364"/>
        <v>0</v>
      </c>
      <c r="O3875">
        <f t="shared" si="365"/>
        <v>0</v>
      </c>
      <c r="P3875">
        <f t="shared" si="362"/>
        <v>4500</v>
      </c>
      <c r="Q3875">
        <f t="shared" si="366"/>
        <v>4500</v>
      </c>
      <c r="T3875" s="16">
        <f t="shared" si="367"/>
        <v>-0.24666320261936256</v>
      </c>
    </row>
    <row r="3876" spans="7:20" ht="14.4" x14ac:dyDescent="0.25">
      <c r="G3876" s="10">
        <v>8268</v>
      </c>
      <c r="H3876" s="9">
        <v>59104</v>
      </c>
      <c r="I3876" s="14">
        <f>DATE(2012,12,31)-1418</f>
        <v>39856</v>
      </c>
      <c r="J3876" s="15" t="s">
        <v>17</v>
      </c>
      <c r="K3876" s="9">
        <v>38</v>
      </c>
      <c r="L3876" s="16" t="s">
        <v>27</v>
      </c>
      <c r="M3876" s="16">
        <f t="shared" si="363"/>
        <v>0.85829322328818081</v>
      </c>
      <c r="N3876">
        <f t="shared" si="364"/>
        <v>0</v>
      </c>
      <c r="O3876">
        <f t="shared" si="365"/>
        <v>0</v>
      </c>
      <c r="P3876">
        <f t="shared" si="362"/>
        <v>5300</v>
      </c>
      <c r="Q3876">
        <f t="shared" si="366"/>
        <v>5300</v>
      </c>
      <c r="T3876" s="16">
        <f t="shared" si="367"/>
        <v>0.85829322328818036</v>
      </c>
    </row>
    <row r="3877" spans="7:20" ht="14.4" x14ac:dyDescent="0.25">
      <c r="G3877" s="10">
        <v>8389</v>
      </c>
      <c r="H3877" s="9">
        <v>59937</v>
      </c>
      <c r="I3877" s="14">
        <f>DATE(2012,12,31)-1099</f>
        <v>40175</v>
      </c>
      <c r="J3877" s="15" t="s">
        <v>17</v>
      </c>
      <c r="K3877" s="9">
        <v>7</v>
      </c>
      <c r="L3877" s="16" t="s">
        <v>26</v>
      </c>
      <c r="M3877" s="16">
        <f t="shared" si="363"/>
        <v>-1.2825598519076837</v>
      </c>
      <c r="N3877">
        <f t="shared" si="364"/>
        <v>0</v>
      </c>
      <c r="O3877">
        <f t="shared" si="365"/>
        <v>0</v>
      </c>
      <c r="P3877">
        <f t="shared" si="362"/>
        <v>3750</v>
      </c>
      <c r="Q3877">
        <f t="shared" si="366"/>
        <v>3750</v>
      </c>
      <c r="T3877" s="16">
        <f t="shared" si="367"/>
        <v>-1.2825598519076842</v>
      </c>
    </row>
    <row r="3878" spans="7:20" ht="14.4" x14ac:dyDescent="0.25">
      <c r="G3878" s="10">
        <v>66</v>
      </c>
      <c r="H3878" s="9">
        <v>386</v>
      </c>
      <c r="I3878" s="14">
        <f>DATE(2012,12,31)-707</f>
        <v>40567</v>
      </c>
      <c r="J3878" s="15" t="s">
        <v>17</v>
      </c>
      <c r="K3878" s="9">
        <v>4</v>
      </c>
      <c r="L3878" s="16" t="s">
        <v>26</v>
      </c>
      <c r="M3878" s="16">
        <f t="shared" si="363"/>
        <v>-1.489739181765348</v>
      </c>
      <c r="N3878">
        <f t="shared" si="364"/>
        <v>0</v>
      </c>
      <c r="O3878">
        <f t="shared" si="365"/>
        <v>0</v>
      </c>
      <c r="P3878">
        <f t="shared" si="362"/>
        <v>3600</v>
      </c>
      <c r="Q3878">
        <f t="shared" si="366"/>
        <v>3600</v>
      </c>
      <c r="T3878" s="16">
        <f t="shared" si="367"/>
        <v>-1.4897391817653485</v>
      </c>
    </row>
    <row r="3879" spans="7:20" ht="14.4" x14ac:dyDescent="0.25">
      <c r="G3879" s="10">
        <v>67</v>
      </c>
      <c r="H3879" s="9">
        <v>386</v>
      </c>
      <c r="I3879" s="14">
        <f>DATE(2012,12,31)-707</f>
        <v>40567</v>
      </c>
      <c r="J3879" s="15" t="s">
        <v>17</v>
      </c>
      <c r="K3879" s="9">
        <v>4</v>
      </c>
      <c r="L3879" s="16" t="s">
        <v>26</v>
      </c>
      <c r="M3879" s="16">
        <f t="shared" si="363"/>
        <v>-1.489739181765348</v>
      </c>
      <c r="N3879">
        <f t="shared" si="364"/>
        <v>0</v>
      </c>
      <c r="O3879">
        <f t="shared" si="365"/>
        <v>0</v>
      </c>
      <c r="P3879">
        <f t="shared" si="362"/>
        <v>3600</v>
      </c>
      <c r="Q3879">
        <f t="shared" si="366"/>
        <v>3600</v>
      </c>
      <c r="T3879" s="16">
        <f t="shared" si="367"/>
        <v>-1.4897391817653485</v>
      </c>
    </row>
    <row r="3880" spans="7:20" ht="14.4" x14ac:dyDescent="0.25">
      <c r="G3880" s="10">
        <v>69</v>
      </c>
      <c r="H3880" s="9">
        <v>416</v>
      </c>
      <c r="I3880" s="14">
        <f>DATE(2012,12,31)-827</f>
        <v>40447</v>
      </c>
      <c r="J3880" s="15" t="s">
        <v>25</v>
      </c>
      <c r="K3880" s="9">
        <v>20</v>
      </c>
      <c r="L3880" s="16" t="s">
        <v>27</v>
      </c>
      <c r="M3880" s="16">
        <f t="shared" si="363"/>
        <v>-0.38478275585780503</v>
      </c>
      <c r="N3880">
        <f t="shared" si="364"/>
        <v>0</v>
      </c>
      <c r="O3880">
        <f t="shared" si="365"/>
        <v>0</v>
      </c>
      <c r="P3880">
        <f t="shared" si="362"/>
        <v>4400</v>
      </c>
      <c r="Q3880">
        <f t="shared" si="366"/>
        <v>4400</v>
      </c>
      <c r="T3880" s="16">
        <f t="shared" si="367"/>
        <v>-0.38478275585780541</v>
      </c>
    </row>
    <row r="3881" spans="7:20" ht="14.4" x14ac:dyDescent="0.25">
      <c r="G3881" s="10">
        <v>84</v>
      </c>
      <c r="H3881" s="9">
        <v>513</v>
      </c>
      <c r="I3881" s="14">
        <f>DATE(2012,12,31)-611</f>
        <v>40663</v>
      </c>
      <c r="J3881" s="15" t="s">
        <v>17</v>
      </c>
      <c r="K3881" s="9">
        <v>33</v>
      </c>
      <c r="L3881" s="16" t="s">
        <v>29</v>
      </c>
      <c r="M3881" s="16">
        <f t="shared" si="363"/>
        <v>0.51299434019207357</v>
      </c>
      <c r="N3881">
        <f t="shared" si="364"/>
        <v>0</v>
      </c>
      <c r="O3881">
        <f t="shared" si="365"/>
        <v>0</v>
      </c>
      <c r="P3881">
        <f t="shared" si="362"/>
        <v>5050</v>
      </c>
      <c r="Q3881">
        <f t="shared" si="366"/>
        <v>5050</v>
      </c>
      <c r="T3881" s="16">
        <f t="shared" si="367"/>
        <v>0.51299434019207324</v>
      </c>
    </row>
    <row r="3882" spans="7:20" ht="14.4" x14ac:dyDescent="0.25">
      <c r="G3882" s="10">
        <v>94</v>
      </c>
      <c r="H3882" s="9">
        <v>611</v>
      </c>
      <c r="I3882" s="14">
        <f>DATE(2012,12,31)-1070</f>
        <v>40204</v>
      </c>
      <c r="J3882" s="15" t="s">
        <v>30</v>
      </c>
      <c r="K3882" s="9">
        <v>47</v>
      </c>
      <c r="L3882" s="16" t="s">
        <v>26</v>
      </c>
      <c r="M3882" s="16">
        <f t="shared" si="363"/>
        <v>1.4798312128611737</v>
      </c>
      <c r="N3882">
        <f t="shared" si="364"/>
        <v>0</v>
      </c>
      <c r="O3882">
        <f t="shared" si="365"/>
        <v>0</v>
      </c>
      <c r="P3882">
        <f t="shared" si="362"/>
        <v>5750</v>
      </c>
      <c r="Q3882">
        <f t="shared" si="366"/>
        <v>5750</v>
      </c>
      <c r="T3882" s="16">
        <f t="shared" si="367"/>
        <v>1.4798312128611733</v>
      </c>
    </row>
    <row r="3883" spans="7:20" ht="14.4" x14ac:dyDescent="0.25">
      <c r="G3883" s="10">
        <v>124</v>
      </c>
      <c r="H3883" s="9">
        <v>802</v>
      </c>
      <c r="I3883" s="14">
        <f>DATE(2012,12,31)-727</f>
        <v>40547</v>
      </c>
      <c r="J3883" s="15" t="s">
        <v>30</v>
      </c>
      <c r="K3883" s="9">
        <v>33</v>
      </c>
      <c r="L3883" s="16" t="s">
        <v>26</v>
      </c>
      <c r="M3883" s="16">
        <f t="shared" si="363"/>
        <v>0.51299434019207357</v>
      </c>
      <c r="N3883">
        <f t="shared" si="364"/>
        <v>0</v>
      </c>
      <c r="O3883">
        <f t="shared" si="365"/>
        <v>0</v>
      </c>
      <c r="P3883">
        <f t="shared" si="362"/>
        <v>5050</v>
      </c>
      <c r="Q3883">
        <f t="shared" si="366"/>
        <v>5050</v>
      </c>
      <c r="T3883" s="16">
        <f t="shared" si="367"/>
        <v>0.51299434019207324</v>
      </c>
    </row>
    <row r="3884" spans="7:20" ht="14.4" x14ac:dyDescent="0.25">
      <c r="G3884" s="10">
        <v>125</v>
      </c>
      <c r="H3884" s="9">
        <v>802</v>
      </c>
      <c r="I3884" s="14">
        <f>DATE(2012,12,31)-727</f>
        <v>40547</v>
      </c>
      <c r="J3884" s="15" t="s">
        <v>30</v>
      </c>
      <c r="K3884" s="9">
        <v>2</v>
      </c>
      <c r="L3884" s="16" t="s">
        <v>27</v>
      </c>
      <c r="M3884" s="16">
        <f t="shared" si="363"/>
        <v>-1.627858735003791</v>
      </c>
      <c r="N3884">
        <f t="shared" si="364"/>
        <v>0</v>
      </c>
      <c r="O3884">
        <f t="shared" si="365"/>
        <v>0</v>
      </c>
      <c r="P3884">
        <f t="shared" si="362"/>
        <v>3500</v>
      </c>
      <c r="Q3884">
        <f t="shared" si="366"/>
        <v>3500</v>
      </c>
      <c r="T3884" s="16">
        <f t="shared" si="367"/>
        <v>-1.6278587350037912</v>
      </c>
    </row>
    <row r="3885" spans="7:20" ht="14.4" x14ac:dyDescent="0.25">
      <c r="G3885" s="10">
        <v>150</v>
      </c>
      <c r="H3885" s="9">
        <v>960</v>
      </c>
      <c r="I3885" s="14">
        <f>DATE(2012,12,31)-1198</f>
        <v>40076</v>
      </c>
      <c r="J3885" s="15" t="s">
        <v>16</v>
      </c>
      <c r="K3885" s="9">
        <v>46</v>
      </c>
      <c r="L3885" s="16" t="s">
        <v>29</v>
      </c>
      <c r="M3885" s="16">
        <f t="shared" si="363"/>
        <v>1.4107714362419523</v>
      </c>
      <c r="N3885">
        <f t="shared" si="364"/>
        <v>0</v>
      </c>
      <c r="O3885">
        <f t="shared" si="365"/>
        <v>0</v>
      </c>
      <c r="P3885">
        <f t="shared" si="362"/>
        <v>5700</v>
      </c>
      <c r="Q3885">
        <f t="shared" si="366"/>
        <v>5700</v>
      </c>
      <c r="T3885" s="16">
        <f t="shared" si="367"/>
        <v>1.4107714362419519</v>
      </c>
    </row>
    <row r="3886" spans="7:20" ht="14.4" x14ac:dyDescent="0.25">
      <c r="G3886" s="10">
        <v>155</v>
      </c>
      <c r="H3886" s="9">
        <v>965</v>
      </c>
      <c r="I3886" s="14">
        <f>DATE(2012,12,31)-597</f>
        <v>40677</v>
      </c>
      <c r="J3886" s="15" t="s">
        <v>25</v>
      </c>
      <c r="K3886" s="9">
        <v>42</v>
      </c>
      <c r="L3886" s="16" t="s">
        <v>29</v>
      </c>
      <c r="M3886" s="16">
        <f t="shared" si="363"/>
        <v>1.1345323297650665</v>
      </c>
      <c r="N3886">
        <f t="shared" si="364"/>
        <v>0</v>
      </c>
      <c r="O3886">
        <f t="shared" si="365"/>
        <v>0</v>
      </c>
      <c r="P3886">
        <f t="shared" si="362"/>
        <v>5500</v>
      </c>
      <c r="Q3886">
        <f t="shared" si="366"/>
        <v>5500</v>
      </c>
      <c r="T3886" s="16">
        <f t="shared" si="367"/>
        <v>1.1345323297650662</v>
      </c>
    </row>
    <row r="3887" spans="7:20" ht="14.4" x14ac:dyDescent="0.25">
      <c r="G3887" s="10">
        <v>174</v>
      </c>
      <c r="H3887" s="9">
        <v>1127</v>
      </c>
      <c r="I3887" s="14">
        <f>DATE(2012,12,31)-470</f>
        <v>40804</v>
      </c>
      <c r="J3887" s="15" t="s">
        <v>28</v>
      </c>
      <c r="K3887" s="9">
        <v>48</v>
      </c>
      <c r="L3887" s="16" t="s">
        <v>29</v>
      </c>
      <c r="M3887" s="16">
        <f t="shared" si="363"/>
        <v>1.5488909894803951</v>
      </c>
      <c r="N3887">
        <f t="shared" si="364"/>
        <v>0</v>
      </c>
      <c r="O3887">
        <f t="shared" si="365"/>
        <v>0</v>
      </c>
      <c r="P3887">
        <f t="shared" si="362"/>
        <v>5800</v>
      </c>
      <c r="Q3887">
        <f t="shared" si="366"/>
        <v>5800</v>
      </c>
      <c r="T3887" s="16">
        <f t="shared" si="367"/>
        <v>1.5488909894803948</v>
      </c>
    </row>
    <row r="3888" spans="7:20" ht="14.4" x14ac:dyDescent="0.25">
      <c r="G3888" s="10">
        <v>226</v>
      </c>
      <c r="H3888" s="9">
        <v>1507</v>
      </c>
      <c r="I3888" s="14">
        <f>DATE(2012,12,31)-810</f>
        <v>40464</v>
      </c>
      <c r="J3888" s="15" t="s">
        <v>16</v>
      </c>
      <c r="K3888" s="9">
        <v>29</v>
      </c>
      <c r="L3888" s="16" t="s">
        <v>27</v>
      </c>
      <c r="M3888" s="16">
        <f t="shared" si="363"/>
        <v>0.23675523371518786</v>
      </c>
      <c r="N3888">
        <f t="shared" si="364"/>
        <v>0</v>
      </c>
      <c r="O3888">
        <f t="shared" si="365"/>
        <v>0</v>
      </c>
      <c r="P3888">
        <f t="shared" si="362"/>
        <v>4850</v>
      </c>
      <c r="Q3888">
        <f t="shared" si="366"/>
        <v>4850</v>
      </c>
      <c r="T3888" s="16">
        <f t="shared" si="367"/>
        <v>0.2367552337151875</v>
      </c>
    </row>
    <row r="3889" spans="7:20" ht="14.4" x14ac:dyDescent="0.25">
      <c r="G3889" s="10">
        <v>244</v>
      </c>
      <c r="H3889" s="9">
        <v>1665</v>
      </c>
      <c r="I3889" s="14">
        <f>DATE(2012,12,31)-1334</f>
        <v>39940</v>
      </c>
      <c r="J3889" s="15" t="s">
        <v>17</v>
      </c>
      <c r="K3889" s="9">
        <v>26</v>
      </c>
      <c r="L3889" s="16" t="s">
        <v>27</v>
      </c>
      <c r="M3889" s="16">
        <f t="shared" si="363"/>
        <v>2.9575903857523567E-2</v>
      </c>
      <c r="N3889">
        <f t="shared" si="364"/>
        <v>0</v>
      </c>
      <c r="O3889">
        <f t="shared" si="365"/>
        <v>0</v>
      </c>
      <c r="P3889">
        <f t="shared" si="362"/>
        <v>4700</v>
      </c>
      <c r="Q3889">
        <f t="shared" si="366"/>
        <v>4700</v>
      </c>
      <c r="T3889" s="16">
        <f t="shared" si="367"/>
        <v>2.9575903857523185E-2</v>
      </c>
    </row>
    <row r="3890" spans="7:20" ht="14.4" x14ac:dyDescent="0.25">
      <c r="G3890" s="10">
        <v>281</v>
      </c>
      <c r="H3890" s="9">
        <v>1952</v>
      </c>
      <c r="I3890" s="14">
        <f>DATE(2012,12,31)-1387</f>
        <v>39887</v>
      </c>
      <c r="J3890" s="15" t="s">
        <v>17</v>
      </c>
      <c r="K3890" s="9">
        <v>24</v>
      </c>
      <c r="L3890" s="16" t="s">
        <v>29</v>
      </c>
      <c r="M3890" s="16">
        <f t="shared" si="363"/>
        <v>-0.1085436493809193</v>
      </c>
      <c r="N3890">
        <f t="shared" si="364"/>
        <v>0</v>
      </c>
      <c r="O3890">
        <f t="shared" si="365"/>
        <v>0</v>
      </c>
      <c r="P3890">
        <f t="shared" si="362"/>
        <v>4600</v>
      </c>
      <c r="Q3890">
        <f t="shared" si="366"/>
        <v>4600</v>
      </c>
      <c r="T3890" s="16">
        <f t="shared" si="367"/>
        <v>-0.10854364938091969</v>
      </c>
    </row>
    <row r="3891" spans="7:20" ht="14.4" x14ac:dyDescent="0.25">
      <c r="G3891" s="10">
        <v>282</v>
      </c>
      <c r="H3891" s="9">
        <v>1953</v>
      </c>
      <c r="I3891" s="14">
        <f>DATE(2012,12,31)-763</f>
        <v>40511</v>
      </c>
      <c r="J3891" s="15" t="s">
        <v>16</v>
      </c>
      <c r="K3891" s="9">
        <v>13</v>
      </c>
      <c r="L3891" s="16" t="s">
        <v>26</v>
      </c>
      <c r="M3891" s="16">
        <f t="shared" si="363"/>
        <v>-0.86820119219235514</v>
      </c>
      <c r="N3891">
        <f t="shared" si="364"/>
        <v>0</v>
      </c>
      <c r="O3891">
        <f t="shared" si="365"/>
        <v>0</v>
      </c>
      <c r="P3891">
        <f t="shared" si="362"/>
        <v>4050</v>
      </c>
      <c r="Q3891">
        <f t="shared" si="366"/>
        <v>4050</v>
      </c>
      <c r="T3891" s="16">
        <f t="shared" si="367"/>
        <v>-0.86820119219235548</v>
      </c>
    </row>
    <row r="3892" spans="7:20" ht="14.4" x14ac:dyDescent="0.25">
      <c r="G3892" s="10">
        <v>323</v>
      </c>
      <c r="H3892" s="9">
        <v>2213</v>
      </c>
      <c r="I3892" s="14">
        <f>DATE(2012,12,31)-1082</f>
        <v>40192</v>
      </c>
      <c r="J3892" s="15" t="s">
        <v>28</v>
      </c>
      <c r="K3892" s="9">
        <v>6</v>
      </c>
      <c r="L3892" s="16" t="s">
        <v>26</v>
      </c>
      <c r="M3892" s="16">
        <f t="shared" si="363"/>
        <v>-1.3516196285269051</v>
      </c>
      <c r="N3892">
        <f t="shared" si="364"/>
        <v>0</v>
      </c>
      <c r="O3892">
        <f t="shared" si="365"/>
        <v>0</v>
      </c>
      <c r="P3892">
        <f t="shared" si="362"/>
        <v>3700</v>
      </c>
      <c r="Q3892">
        <f t="shared" si="366"/>
        <v>3700</v>
      </c>
      <c r="T3892" s="16">
        <f t="shared" si="367"/>
        <v>-1.3516196285269055</v>
      </c>
    </row>
    <row r="3893" spans="7:20" ht="14.4" x14ac:dyDescent="0.25">
      <c r="G3893" s="10">
        <v>344</v>
      </c>
      <c r="H3893" s="9">
        <v>2368</v>
      </c>
      <c r="I3893" s="14">
        <f>DATE(2012,12,31)-865</f>
        <v>40409</v>
      </c>
      <c r="J3893" s="15" t="s">
        <v>30</v>
      </c>
      <c r="K3893" s="9">
        <v>36</v>
      </c>
      <c r="L3893" s="16" t="s">
        <v>26</v>
      </c>
      <c r="M3893" s="16">
        <f t="shared" si="363"/>
        <v>0.72017367004973787</v>
      </c>
      <c r="N3893">
        <f t="shared" si="364"/>
        <v>0</v>
      </c>
      <c r="O3893">
        <f t="shared" si="365"/>
        <v>0</v>
      </c>
      <c r="P3893">
        <f t="shared" si="362"/>
        <v>5200</v>
      </c>
      <c r="Q3893">
        <f t="shared" si="366"/>
        <v>5200</v>
      </c>
      <c r="T3893" s="16">
        <f t="shared" si="367"/>
        <v>0.72017367004973754</v>
      </c>
    </row>
    <row r="3894" spans="7:20" ht="14.4" x14ac:dyDescent="0.25">
      <c r="G3894" s="10">
        <v>365</v>
      </c>
      <c r="H3894" s="9">
        <v>2560</v>
      </c>
      <c r="I3894" s="14">
        <f>DATE(2012,12,31)-118</f>
        <v>41156</v>
      </c>
      <c r="J3894" s="15" t="s">
        <v>30</v>
      </c>
      <c r="K3894" s="9">
        <v>32</v>
      </c>
      <c r="L3894" s="16" t="s">
        <v>27</v>
      </c>
      <c r="M3894" s="16">
        <f t="shared" si="363"/>
        <v>0.44393456357285216</v>
      </c>
      <c r="N3894">
        <f t="shared" si="364"/>
        <v>0</v>
      </c>
      <c r="O3894">
        <f t="shared" si="365"/>
        <v>0</v>
      </c>
      <c r="P3894">
        <f t="shared" si="362"/>
        <v>5000</v>
      </c>
      <c r="Q3894">
        <f t="shared" si="366"/>
        <v>5000</v>
      </c>
      <c r="T3894" s="16">
        <f t="shared" si="367"/>
        <v>0.44393456357285183</v>
      </c>
    </row>
    <row r="3895" spans="7:20" ht="14.4" x14ac:dyDescent="0.25">
      <c r="G3895" s="10">
        <v>366</v>
      </c>
      <c r="H3895" s="9">
        <v>2560</v>
      </c>
      <c r="I3895" s="14">
        <f>DATE(2012,12,31)-118</f>
        <v>41156</v>
      </c>
      <c r="J3895" s="15" t="s">
        <v>30</v>
      </c>
      <c r="K3895" s="9">
        <v>23</v>
      </c>
      <c r="L3895" s="16" t="s">
        <v>26</v>
      </c>
      <c r="M3895" s="16">
        <f t="shared" si="363"/>
        <v>-0.17760342600014073</v>
      </c>
      <c r="N3895">
        <f t="shared" si="364"/>
        <v>0</v>
      </c>
      <c r="O3895">
        <f t="shared" si="365"/>
        <v>0</v>
      </c>
      <c r="P3895">
        <f t="shared" si="362"/>
        <v>4550</v>
      </c>
      <c r="Q3895">
        <f t="shared" si="366"/>
        <v>4550</v>
      </c>
      <c r="T3895" s="16">
        <f t="shared" si="367"/>
        <v>-0.17760342600014112</v>
      </c>
    </row>
    <row r="3896" spans="7:20" ht="14.4" x14ac:dyDescent="0.25">
      <c r="G3896" s="10">
        <v>400</v>
      </c>
      <c r="H3896" s="9">
        <v>2754</v>
      </c>
      <c r="I3896" s="14">
        <f>DATE(2012,12,31)-1369</f>
        <v>39905</v>
      </c>
      <c r="J3896" s="15" t="s">
        <v>17</v>
      </c>
      <c r="K3896" s="9">
        <v>16</v>
      </c>
      <c r="L3896" s="16" t="s">
        <v>26</v>
      </c>
      <c r="M3896" s="16">
        <f t="shared" si="363"/>
        <v>-0.66102186233469074</v>
      </c>
      <c r="N3896">
        <f t="shared" si="364"/>
        <v>0</v>
      </c>
      <c r="O3896">
        <f t="shared" si="365"/>
        <v>0</v>
      </c>
      <c r="P3896">
        <f t="shared" si="362"/>
        <v>4200</v>
      </c>
      <c r="Q3896">
        <f t="shared" si="366"/>
        <v>4200</v>
      </c>
      <c r="T3896" s="16">
        <f t="shared" si="367"/>
        <v>-0.66102186233469118</v>
      </c>
    </row>
    <row r="3897" spans="7:20" ht="14.4" x14ac:dyDescent="0.25">
      <c r="G3897" s="10">
        <v>401</v>
      </c>
      <c r="H3897" s="9">
        <v>2754</v>
      </c>
      <c r="I3897" s="14">
        <f>DATE(2012,12,31)-1369</f>
        <v>39905</v>
      </c>
      <c r="J3897" s="15" t="s">
        <v>17</v>
      </c>
      <c r="K3897" s="9">
        <v>11</v>
      </c>
      <c r="L3897" s="16" t="s">
        <v>26</v>
      </c>
      <c r="M3897" s="16">
        <f t="shared" si="363"/>
        <v>-1.0063207454307979</v>
      </c>
      <c r="N3897">
        <f t="shared" si="364"/>
        <v>0</v>
      </c>
      <c r="O3897">
        <f t="shared" si="365"/>
        <v>0</v>
      </c>
      <c r="P3897">
        <f t="shared" si="362"/>
        <v>3950</v>
      </c>
      <c r="Q3897">
        <f t="shared" si="366"/>
        <v>3950</v>
      </c>
      <c r="T3897" s="16">
        <f t="shared" si="367"/>
        <v>-1.0063207454307983</v>
      </c>
    </row>
    <row r="3898" spans="7:20" ht="14.4" x14ac:dyDescent="0.25">
      <c r="G3898" s="10">
        <v>402</v>
      </c>
      <c r="H3898" s="9">
        <v>2755</v>
      </c>
      <c r="I3898" s="14">
        <f>DATE(2012,12,31)-329</f>
        <v>40945</v>
      </c>
      <c r="J3898" s="15" t="s">
        <v>28</v>
      </c>
      <c r="K3898" s="9">
        <v>30</v>
      </c>
      <c r="L3898" s="16" t="s">
        <v>26</v>
      </c>
      <c r="M3898" s="16">
        <f t="shared" si="363"/>
        <v>0.30581501033440933</v>
      </c>
      <c r="N3898">
        <f t="shared" si="364"/>
        <v>0</v>
      </c>
      <c r="O3898">
        <f t="shared" si="365"/>
        <v>0</v>
      </c>
      <c r="P3898">
        <f t="shared" si="362"/>
        <v>4900</v>
      </c>
      <c r="Q3898">
        <f t="shared" si="366"/>
        <v>4900</v>
      </c>
      <c r="T3898" s="16">
        <f t="shared" si="367"/>
        <v>0.30581501033440894</v>
      </c>
    </row>
    <row r="3899" spans="7:20" ht="14.4" x14ac:dyDescent="0.25">
      <c r="G3899" s="10">
        <v>403</v>
      </c>
      <c r="H3899" s="9">
        <v>2755</v>
      </c>
      <c r="I3899" s="14">
        <f>DATE(2012,12,31)-329</f>
        <v>40945</v>
      </c>
      <c r="J3899" s="15" t="s">
        <v>28</v>
      </c>
      <c r="K3899" s="9">
        <v>50</v>
      </c>
      <c r="L3899" s="16" t="s">
        <v>26</v>
      </c>
      <c r="M3899" s="16">
        <f t="shared" si="363"/>
        <v>1.687010542718838</v>
      </c>
      <c r="N3899">
        <f t="shared" si="364"/>
        <v>0</v>
      </c>
      <c r="O3899">
        <f t="shared" si="365"/>
        <v>0</v>
      </c>
      <c r="P3899">
        <f t="shared" si="362"/>
        <v>5900</v>
      </c>
      <c r="Q3899">
        <f t="shared" si="366"/>
        <v>5900</v>
      </c>
      <c r="T3899" s="16">
        <f t="shared" si="367"/>
        <v>1.6870105427188375</v>
      </c>
    </row>
    <row r="3900" spans="7:20" ht="14.4" x14ac:dyDescent="0.25">
      <c r="G3900" s="10">
        <v>481</v>
      </c>
      <c r="H3900" s="9">
        <v>3333</v>
      </c>
      <c r="I3900" s="14">
        <f>DATE(2012,12,31)-107</f>
        <v>41167</v>
      </c>
      <c r="J3900" s="15" t="s">
        <v>28</v>
      </c>
      <c r="K3900" s="9">
        <v>42</v>
      </c>
      <c r="L3900" s="16" t="s">
        <v>26</v>
      </c>
      <c r="M3900" s="16">
        <f t="shared" si="363"/>
        <v>1.1345323297650665</v>
      </c>
      <c r="N3900">
        <f t="shared" si="364"/>
        <v>0</v>
      </c>
      <c r="O3900">
        <f t="shared" si="365"/>
        <v>0</v>
      </c>
      <c r="P3900">
        <f t="shared" si="362"/>
        <v>5500</v>
      </c>
      <c r="Q3900">
        <f t="shared" si="366"/>
        <v>5500</v>
      </c>
      <c r="T3900" s="16">
        <f t="shared" si="367"/>
        <v>1.1345323297650662</v>
      </c>
    </row>
    <row r="3901" spans="7:20" ht="14.4" x14ac:dyDescent="0.25">
      <c r="G3901" s="10">
        <v>482</v>
      </c>
      <c r="H3901" s="9">
        <v>3333</v>
      </c>
      <c r="I3901" s="14">
        <f>DATE(2012,12,31)-107</f>
        <v>41167</v>
      </c>
      <c r="J3901" s="15" t="s">
        <v>28</v>
      </c>
      <c r="K3901" s="9">
        <v>9</v>
      </c>
      <c r="L3901" s="16" t="s">
        <v>26</v>
      </c>
      <c r="M3901" s="16">
        <f t="shared" si="363"/>
        <v>-1.1444402986692408</v>
      </c>
      <c r="N3901">
        <f t="shared" si="364"/>
        <v>0</v>
      </c>
      <c r="O3901">
        <f t="shared" si="365"/>
        <v>0</v>
      </c>
      <c r="P3901">
        <f t="shared" si="362"/>
        <v>3850</v>
      </c>
      <c r="Q3901">
        <f t="shared" si="366"/>
        <v>3850</v>
      </c>
      <c r="T3901" s="16">
        <f t="shared" si="367"/>
        <v>-1.1444402986692412</v>
      </c>
    </row>
    <row r="3902" spans="7:20" ht="14.4" x14ac:dyDescent="0.25">
      <c r="G3902" s="10">
        <v>500</v>
      </c>
      <c r="H3902" s="9">
        <v>3460</v>
      </c>
      <c r="I3902" s="14">
        <f>DATE(2012,12,31)-456</f>
        <v>40818</v>
      </c>
      <c r="J3902" s="15" t="s">
        <v>17</v>
      </c>
      <c r="K3902" s="9">
        <v>27</v>
      </c>
      <c r="L3902" s="16" t="s">
        <v>26</v>
      </c>
      <c r="M3902" s="16">
        <f t="shared" si="363"/>
        <v>9.8635680476745008E-2</v>
      </c>
      <c r="N3902">
        <f t="shared" si="364"/>
        <v>0</v>
      </c>
      <c r="O3902">
        <f t="shared" si="365"/>
        <v>0</v>
      </c>
      <c r="P3902">
        <f t="shared" si="362"/>
        <v>4750</v>
      </c>
      <c r="Q3902">
        <f t="shared" si="366"/>
        <v>4750</v>
      </c>
      <c r="T3902" s="16">
        <f t="shared" si="367"/>
        <v>9.8635680476744619E-2</v>
      </c>
    </row>
    <row r="3903" spans="7:20" ht="14.4" x14ac:dyDescent="0.25">
      <c r="G3903" s="10">
        <v>530</v>
      </c>
      <c r="H3903" s="9">
        <v>3591</v>
      </c>
      <c r="I3903" s="14">
        <f>DATE(2012,12,31)-755</f>
        <v>40519</v>
      </c>
      <c r="J3903" s="15" t="s">
        <v>16</v>
      </c>
      <c r="K3903" s="9">
        <v>3</v>
      </c>
      <c r="L3903" s="16" t="s">
        <v>26</v>
      </c>
      <c r="M3903" s="16">
        <f t="shared" si="363"/>
        <v>-1.5587989583845694</v>
      </c>
      <c r="N3903">
        <f t="shared" si="364"/>
        <v>0</v>
      </c>
      <c r="O3903">
        <f t="shared" si="365"/>
        <v>0</v>
      </c>
      <c r="P3903">
        <f t="shared" si="362"/>
        <v>3550</v>
      </c>
      <c r="Q3903">
        <f t="shared" si="366"/>
        <v>3550</v>
      </c>
      <c r="T3903" s="16">
        <f t="shared" si="367"/>
        <v>-1.5587989583845698</v>
      </c>
    </row>
    <row r="3904" spans="7:20" ht="14.4" x14ac:dyDescent="0.25">
      <c r="G3904" s="10">
        <v>531</v>
      </c>
      <c r="H3904" s="9">
        <v>3591</v>
      </c>
      <c r="I3904" s="14">
        <f>DATE(2012,12,31)-755</f>
        <v>40519</v>
      </c>
      <c r="J3904" s="15" t="s">
        <v>16</v>
      </c>
      <c r="K3904" s="9">
        <v>12</v>
      </c>
      <c r="L3904" s="16" t="s">
        <v>29</v>
      </c>
      <c r="M3904" s="16">
        <f t="shared" si="363"/>
        <v>-0.9372609688115765</v>
      </c>
      <c r="N3904">
        <f t="shared" si="364"/>
        <v>0</v>
      </c>
      <c r="O3904">
        <f t="shared" si="365"/>
        <v>0</v>
      </c>
      <c r="P3904">
        <f t="shared" si="362"/>
        <v>4000</v>
      </c>
      <c r="Q3904">
        <f t="shared" si="366"/>
        <v>4000</v>
      </c>
      <c r="T3904" s="16">
        <f t="shared" si="367"/>
        <v>-0.93726096881157694</v>
      </c>
    </row>
    <row r="3905" spans="7:20" ht="14.4" x14ac:dyDescent="0.25">
      <c r="G3905" s="10">
        <v>586</v>
      </c>
      <c r="H3905" s="9">
        <v>4006</v>
      </c>
      <c r="I3905" s="14">
        <f>DATE(2012,12,31)-728</f>
        <v>40546</v>
      </c>
      <c r="J3905" s="15" t="s">
        <v>16</v>
      </c>
      <c r="K3905" s="9">
        <v>38</v>
      </c>
      <c r="L3905" s="16" t="s">
        <v>26</v>
      </c>
      <c r="M3905" s="16">
        <f t="shared" si="363"/>
        <v>0.85829322328818081</v>
      </c>
      <c r="N3905">
        <f t="shared" si="364"/>
        <v>0</v>
      </c>
      <c r="O3905">
        <f t="shared" si="365"/>
        <v>0</v>
      </c>
      <c r="P3905">
        <f t="shared" si="362"/>
        <v>5300</v>
      </c>
      <c r="Q3905">
        <f t="shared" si="366"/>
        <v>5300</v>
      </c>
      <c r="T3905" s="16">
        <f t="shared" si="367"/>
        <v>0.85829322328818036</v>
      </c>
    </row>
    <row r="3906" spans="7:20" ht="14.4" x14ac:dyDescent="0.25">
      <c r="G3906" s="10">
        <v>611</v>
      </c>
      <c r="H3906" s="9">
        <v>4193</v>
      </c>
      <c r="I3906" s="14">
        <f>DATE(2012,12,31)-1453</f>
        <v>39821</v>
      </c>
      <c r="J3906" s="15" t="s">
        <v>17</v>
      </c>
      <c r="K3906" s="9">
        <v>16</v>
      </c>
      <c r="L3906" s="16" t="s">
        <v>26</v>
      </c>
      <c r="M3906" s="16">
        <f t="shared" si="363"/>
        <v>-0.66102186233469074</v>
      </c>
      <c r="N3906">
        <f t="shared" si="364"/>
        <v>0</v>
      </c>
      <c r="O3906">
        <f t="shared" si="365"/>
        <v>0</v>
      </c>
      <c r="P3906">
        <f t="shared" si="362"/>
        <v>4200</v>
      </c>
      <c r="Q3906">
        <f t="shared" si="366"/>
        <v>4200</v>
      </c>
      <c r="T3906" s="16">
        <f t="shared" si="367"/>
        <v>-0.66102186233469118</v>
      </c>
    </row>
    <row r="3907" spans="7:20" ht="14.4" x14ac:dyDescent="0.25">
      <c r="G3907" s="10">
        <v>612</v>
      </c>
      <c r="H3907" s="9">
        <v>4193</v>
      </c>
      <c r="I3907" s="14">
        <f>DATE(2012,12,31)-1453</f>
        <v>39821</v>
      </c>
      <c r="J3907" s="15" t="s">
        <v>17</v>
      </c>
      <c r="K3907" s="9">
        <v>3</v>
      </c>
      <c r="L3907" s="16" t="s">
        <v>29</v>
      </c>
      <c r="M3907" s="16">
        <f t="shared" si="363"/>
        <v>-1.5587989583845694</v>
      </c>
      <c r="N3907">
        <f t="shared" si="364"/>
        <v>0</v>
      </c>
      <c r="O3907">
        <f t="shared" si="365"/>
        <v>0</v>
      </c>
      <c r="P3907">
        <f t="shared" si="362"/>
        <v>3550</v>
      </c>
      <c r="Q3907">
        <f t="shared" si="366"/>
        <v>3550</v>
      </c>
      <c r="T3907" s="16">
        <f t="shared" si="367"/>
        <v>-1.5587989583845698</v>
      </c>
    </row>
    <row r="3908" spans="7:20" ht="14.4" x14ac:dyDescent="0.25">
      <c r="G3908" s="10">
        <v>627</v>
      </c>
      <c r="H3908" s="9">
        <v>4387</v>
      </c>
      <c r="I3908" s="14">
        <f>DATE(2012,12,31)-436</f>
        <v>40838</v>
      </c>
      <c r="J3908" s="15" t="s">
        <v>30</v>
      </c>
      <c r="K3908" s="9">
        <v>4</v>
      </c>
      <c r="L3908" s="16" t="s">
        <v>29</v>
      </c>
      <c r="M3908" s="16">
        <f t="shared" si="363"/>
        <v>-1.489739181765348</v>
      </c>
      <c r="N3908">
        <f t="shared" si="364"/>
        <v>0</v>
      </c>
      <c r="O3908">
        <f t="shared" si="365"/>
        <v>0</v>
      </c>
      <c r="P3908">
        <f t="shared" si="362"/>
        <v>3600</v>
      </c>
      <c r="Q3908">
        <f t="shared" si="366"/>
        <v>3600</v>
      </c>
      <c r="T3908" s="16">
        <f t="shared" si="367"/>
        <v>-1.4897391817653485</v>
      </c>
    </row>
    <row r="3909" spans="7:20" ht="14.4" x14ac:dyDescent="0.25">
      <c r="G3909" s="10">
        <v>639</v>
      </c>
      <c r="H3909" s="9">
        <v>4512</v>
      </c>
      <c r="I3909" s="14">
        <f>DATE(2012,12,31)-434</f>
        <v>40840</v>
      </c>
      <c r="J3909" s="15" t="s">
        <v>25</v>
      </c>
      <c r="K3909" s="9">
        <v>43</v>
      </c>
      <c r="L3909" s="16" t="s">
        <v>29</v>
      </c>
      <c r="M3909" s="16">
        <f t="shared" si="363"/>
        <v>1.203592106384288</v>
      </c>
      <c r="N3909">
        <f t="shared" si="364"/>
        <v>0</v>
      </c>
      <c r="O3909">
        <f t="shared" si="365"/>
        <v>0</v>
      </c>
      <c r="P3909">
        <f t="shared" si="362"/>
        <v>5550</v>
      </c>
      <c r="Q3909">
        <f t="shared" si="366"/>
        <v>5550</v>
      </c>
      <c r="T3909" s="16">
        <f t="shared" si="367"/>
        <v>1.2035921063842876</v>
      </c>
    </row>
    <row r="3910" spans="7:20" ht="14.4" x14ac:dyDescent="0.25">
      <c r="G3910" s="10">
        <v>685</v>
      </c>
      <c r="H3910" s="9">
        <v>4773</v>
      </c>
      <c r="I3910" s="14">
        <f>DATE(2012,12,31)-375</f>
        <v>40899</v>
      </c>
      <c r="J3910" s="15" t="s">
        <v>30</v>
      </c>
      <c r="K3910" s="9">
        <v>48</v>
      </c>
      <c r="L3910" s="16" t="s">
        <v>29</v>
      </c>
      <c r="M3910" s="16">
        <f t="shared" si="363"/>
        <v>1.5488909894803951</v>
      </c>
      <c r="N3910">
        <f t="shared" si="364"/>
        <v>0</v>
      </c>
      <c r="O3910">
        <f t="shared" si="365"/>
        <v>0</v>
      </c>
      <c r="P3910">
        <f t="shared" si="362"/>
        <v>5800</v>
      </c>
      <c r="Q3910">
        <f t="shared" si="366"/>
        <v>5800</v>
      </c>
      <c r="T3910" s="16">
        <f t="shared" si="367"/>
        <v>1.5488909894803948</v>
      </c>
    </row>
    <row r="3911" spans="7:20" ht="14.4" x14ac:dyDescent="0.25">
      <c r="G3911" s="10">
        <v>694</v>
      </c>
      <c r="H3911" s="9">
        <v>4839</v>
      </c>
      <c r="I3911" s="14">
        <f>DATE(2012,12,31)-1332</f>
        <v>39942</v>
      </c>
      <c r="J3911" s="15" t="s">
        <v>30</v>
      </c>
      <c r="K3911" s="9">
        <v>24</v>
      </c>
      <c r="L3911" s="16" t="s">
        <v>26</v>
      </c>
      <c r="M3911" s="16">
        <f t="shared" si="363"/>
        <v>-0.1085436493809193</v>
      </c>
      <c r="N3911">
        <f t="shared" si="364"/>
        <v>0</v>
      </c>
      <c r="O3911">
        <f t="shared" si="365"/>
        <v>0</v>
      </c>
      <c r="P3911">
        <f t="shared" si="362"/>
        <v>4600</v>
      </c>
      <c r="Q3911">
        <f t="shared" si="366"/>
        <v>4600</v>
      </c>
      <c r="T3911" s="16">
        <f t="shared" si="367"/>
        <v>-0.10854364938091969</v>
      </c>
    </row>
    <row r="3912" spans="7:20" ht="14.4" x14ac:dyDescent="0.25">
      <c r="G3912" s="10">
        <v>705</v>
      </c>
      <c r="H3912" s="9">
        <v>4935</v>
      </c>
      <c r="I3912" s="14">
        <f>DATE(2012,12,31)-952</f>
        <v>40322</v>
      </c>
      <c r="J3912" s="15" t="s">
        <v>28</v>
      </c>
      <c r="K3912" s="9">
        <v>30</v>
      </c>
      <c r="L3912" s="16" t="s">
        <v>26</v>
      </c>
      <c r="M3912" s="16">
        <f t="shared" si="363"/>
        <v>0.30581501033440933</v>
      </c>
      <c r="N3912">
        <f t="shared" si="364"/>
        <v>0</v>
      </c>
      <c r="O3912">
        <f t="shared" si="365"/>
        <v>0</v>
      </c>
      <c r="P3912">
        <f t="shared" si="362"/>
        <v>4900</v>
      </c>
      <c r="Q3912">
        <f t="shared" si="366"/>
        <v>4900</v>
      </c>
      <c r="T3912" s="16">
        <f t="shared" si="367"/>
        <v>0.30581501033440894</v>
      </c>
    </row>
    <row r="3913" spans="7:20" ht="14.4" x14ac:dyDescent="0.25">
      <c r="G3913" s="10">
        <v>891</v>
      </c>
      <c r="H3913" s="9">
        <v>6403</v>
      </c>
      <c r="I3913" s="14">
        <f>DATE(2012,12,31)-689</f>
        <v>40585</v>
      </c>
      <c r="J3913" s="15" t="s">
        <v>25</v>
      </c>
      <c r="K3913" s="9">
        <v>41</v>
      </c>
      <c r="L3913" s="16" t="s">
        <v>26</v>
      </c>
      <c r="M3913" s="16">
        <f t="shared" si="363"/>
        <v>1.0654725531458451</v>
      </c>
      <c r="N3913">
        <f t="shared" si="364"/>
        <v>0</v>
      </c>
      <c r="O3913">
        <f t="shared" si="365"/>
        <v>0</v>
      </c>
      <c r="P3913">
        <f t="shared" si="362"/>
        <v>5450</v>
      </c>
      <c r="Q3913">
        <f t="shared" si="366"/>
        <v>5450</v>
      </c>
      <c r="T3913" s="16">
        <f t="shared" si="367"/>
        <v>1.0654725531458447</v>
      </c>
    </row>
    <row r="3914" spans="7:20" ht="14.4" x14ac:dyDescent="0.25">
      <c r="G3914" s="10">
        <v>932</v>
      </c>
      <c r="H3914" s="9">
        <v>6754</v>
      </c>
      <c r="I3914" s="14">
        <f>DATE(2012,12,31)-508</f>
        <v>40766</v>
      </c>
      <c r="J3914" s="15" t="s">
        <v>17</v>
      </c>
      <c r="K3914" s="9">
        <v>13</v>
      </c>
      <c r="L3914" s="16" t="s">
        <v>27</v>
      </c>
      <c r="M3914" s="16">
        <f t="shared" si="363"/>
        <v>-0.86820119219235514</v>
      </c>
      <c r="N3914">
        <f t="shared" si="364"/>
        <v>0</v>
      </c>
      <c r="O3914">
        <f t="shared" si="365"/>
        <v>0</v>
      </c>
      <c r="P3914">
        <f t="shared" si="362"/>
        <v>4050</v>
      </c>
      <c r="Q3914">
        <f t="shared" si="366"/>
        <v>4050</v>
      </c>
      <c r="T3914" s="16">
        <f t="shared" si="367"/>
        <v>-0.86820119219235548</v>
      </c>
    </row>
    <row r="3915" spans="7:20" ht="14.4" x14ac:dyDescent="0.25">
      <c r="G3915" s="10">
        <v>1040</v>
      </c>
      <c r="H3915" s="9">
        <v>7619</v>
      </c>
      <c r="I3915" s="14">
        <f>DATE(2012,12,31)-815</f>
        <v>40459</v>
      </c>
      <c r="J3915" s="15" t="s">
        <v>28</v>
      </c>
      <c r="K3915" s="9">
        <v>8</v>
      </c>
      <c r="L3915" s="16" t="s">
        <v>27</v>
      </c>
      <c r="M3915" s="16">
        <f t="shared" si="363"/>
        <v>-1.2135000752884624</v>
      </c>
      <c r="N3915">
        <f t="shared" si="364"/>
        <v>0</v>
      </c>
      <c r="O3915">
        <f t="shared" si="365"/>
        <v>0</v>
      </c>
      <c r="P3915">
        <f t="shared" si="362"/>
        <v>3800</v>
      </c>
      <c r="Q3915">
        <f t="shared" si="366"/>
        <v>3800</v>
      </c>
      <c r="T3915" s="16">
        <f t="shared" si="367"/>
        <v>-1.2135000752884626</v>
      </c>
    </row>
    <row r="3916" spans="7:20" ht="14.4" x14ac:dyDescent="0.25">
      <c r="G3916" s="10">
        <v>1048</v>
      </c>
      <c r="H3916" s="9">
        <v>7744</v>
      </c>
      <c r="I3916" s="14">
        <f>DATE(2012,12,31)-1140</f>
        <v>40134</v>
      </c>
      <c r="J3916" s="15" t="s">
        <v>25</v>
      </c>
      <c r="K3916" s="9">
        <v>26</v>
      </c>
      <c r="L3916" s="16" t="s">
        <v>26</v>
      </c>
      <c r="M3916" s="16">
        <f t="shared" si="363"/>
        <v>2.9575903857523567E-2</v>
      </c>
      <c r="N3916">
        <f t="shared" si="364"/>
        <v>0</v>
      </c>
      <c r="O3916">
        <f t="shared" si="365"/>
        <v>0</v>
      </c>
      <c r="P3916">
        <f t="shared" ref="P3916:P3979" si="368">50*K3916+$P$10</f>
        <v>4700</v>
      </c>
      <c r="Q3916">
        <f t="shared" si="366"/>
        <v>4700</v>
      </c>
      <c r="T3916" s="16">
        <f t="shared" si="367"/>
        <v>2.9575903857523185E-2</v>
      </c>
    </row>
    <row r="3917" spans="7:20" ht="14.4" x14ac:dyDescent="0.25">
      <c r="G3917" s="10">
        <v>1049</v>
      </c>
      <c r="H3917" s="9">
        <v>7744</v>
      </c>
      <c r="I3917" s="14">
        <f>DATE(2012,12,31)-1140</f>
        <v>40134</v>
      </c>
      <c r="J3917" s="15" t="s">
        <v>25</v>
      </c>
      <c r="K3917" s="9">
        <v>1</v>
      </c>
      <c r="L3917" s="16" t="s">
        <v>26</v>
      </c>
      <c r="M3917" s="16">
        <f t="shared" ref="M3917:M3980" si="369">(K3917-$K$4)/$K$7</f>
        <v>-1.6969185116230123</v>
      </c>
      <c r="N3917">
        <f t="shared" ref="N3917:N3980" si="370">IF(MOD($B$20+G3917,1000)=0,1,0)</f>
        <v>0</v>
      </c>
      <c r="O3917">
        <f t="shared" ref="O3917:O3980" si="371">+ROUND(N3917*(IF(K3917&lt;$K$4,-4.5,10.5)*$P$5),-2)</f>
        <v>0</v>
      </c>
      <c r="P3917">
        <f t="shared" si="368"/>
        <v>3450</v>
      </c>
      <c r="Q3917">
        <f t="shared" ref="Q3917:Q3980" si="372">P3917+O3917</f>
        <v>3450</v>
      </c>
      <c r="T3917" s="16">
        <f t="shared" ref="T3917:T3980" si="373">(Q3917-$P$4)/$P$5</f>
        <v>-1.6969185116230128</v>
      </c>
    </row>
    <row r="3918" spans="7:20" ht="14.4" x14ac:dyDescent="0.25">
      <c r="G3918" s="10">
        <v>1089</v>
      </c>
      <c r="H3918" s="9">
        <v>8006</v>
      </c>
      <c r="I3918" s="14">
        <f>DATE(2012,12,31)-577</f>
        <v>40697</v>
      </c>
      <c r="J3918" s="15" t="s">
        <v>16</v>
      </c>
      <c r="K3918" s="9">
        <v>27</v>
      </c>
      <c r="L3918" s="16" t="s">
        <v>26</v>
      </c>
      <c r="M3918" s="16">
        <f t="shared" si="369"/>
        <v>9.8635680476745008E-2</v>
      </c>
      <c r="N3918">
        <f t="shared" si="370"/>
        <v>0</v>
      </c>
      <c r="O3918">
        <f t="shared" si="371"/>
        <v>0</v>
      </c>
      <c r="P3918">
        <f t="shared" si="368"/>
        <v>4750</v>
      </c>
      <c r="Q3918">
        <f t="shared" si="372"/>
        <v>4750</v>
      </c>
      <c r="T3918" s="16">
        <f t="shared" si="373"/>
        <v>9.8635680476744619E-2</v>
      </c>
    </row>
    <row r="3919" spans="7:20" ht="14.4" x14ac:dyDescent="0.25">
      <c r="G3919" s="10">
        <v>1121</v>
      </c>
      <c r="H3919" s="9">
        <v>8224</v>
      </c>
      <c r="I3919" s="14">
        <f>DATE(2012,12,31)-328</f>
        <v>40946</v>
      </c>
      <c r="J3919" s="15" t="s">
        <v>28</v>
      </c>
      <c r="K3919" s="9">
        <v>41</v>
      </c>
      <c r="L3919" s="16" t="s">
        <v>26</v>
      </c>
      <c r="M3919" s="16">
        <f t="shared" si="369"/>
        <v>1.0654725531458451</v>
      </c>
      <c r="N3919">
        <f t="shared" si="370"/>
        <v>0</v>
      </c>
      <c r="O3919">
        <f t="shared" si="371"/>
        <v>0</v>
      </c>
      <c r="P3919">
        <f t="shared" si="368"/>
        <v>5450</v>
      </c>
      <c r="Q3919">
        <f t="shared" si="372"/>
        <v>5450</v>
      </c>
      <c r="T3919" s="16">
        <f t="shared" si="373"/>
        <v>1.0654725531458447</v>
      </c>
    </row>
    <row r="3920" spans="7:20" ht="14.4" x14ac:dyDescent="0.25">
      <c r="G3920" s="10">
        <v>1143</v>
      </c>
      <c r="H3920" s="9">
        <v>8323</v>
      </c>
      <c r="I3920" s="14">
        <f>DATE(2012,12,31)-482</f>
        <v>40792</v>
      </c>
      <c r="J3920" s="15" t="s">
        <v>17</v>
      </c>
      <c r="K3920" s="9">
        <v>45</v>
      </c>
      <c r="L3920" s="16" t="s">
        <v>27</v>
      </c>
      <c r="M3920" s="16">
        <f t="shared" si="369"/>
        <v>1.3417116596227308</v>
      </c>
      <c r="N3920">
        <f t="shared" si="370"/>
        <v>0</v>
      </c>
      <c r="O3920">
        <f t="shared" si="371"/>
        <v>0</v>
      </c>
      <c r="P3920">
        <f t="shared" si="368"/>
        <v>5650</v>
      </c>
      <c r="Q3920">
        <f t="shared" si="372"/>
        <v>5650</v>
      </c>
      <c r="T3920" s="16">
        <f t="shared" si="373"/>
        <v>1.3417116596227305</v>
      </c>
    </row>
    <row r="3921" spans="7:20" ht="14.4" x14ac:dyDescent="0.25">
      <c r="G3921" s="10">
        <v>1163</v>
      </c>
      <c r="H3921" s="9">
        <v>8480</v>
      </c>
      <c r="I3921" s="14">
        <f>DATE(2012,12,31)-702</f>
        <v>40572</v>
      </c>
      <c r="J3921" s="15" t="s">
        <v>17</v>
      </c>
      <c r="K3921" s="9">
        <v>11</v>
      </c>
      <c r="L3921" s="16" t="s">
        <v>26</v>
      </c>
      <c r="M3921" s="16">
        <f t="shared" si="369"/>
        <v>-1.0063207454307979</v>
      </c>
      <c r="N3921">
        <f t="shared" si="370"/>
        <v>0</v>
      </c>
      <c r="O3921">
        <f t="shared" si="371"/>
        <v>0</v>
      </c>
      <c r="P3921">
        <f t="shared" si="368"/>
        <v>3950</v>
      </c>
      <c r="Q3921">
        <f t="shared" si="372"/>
        <v>3950</v>
      </c>
      <c r="T3921" s="16">
        <f t="shared" si="373"/>
        <v>-1.0063207454307983</v>
      </c>
    </row>
    <row r="3922" spans="7:20" ht="14.4" x14ac:dyDescent="0.25">
      <c r="G3922" s="10">
        <v>1164</v>
      </c>
      <c r="H3922" s="9">
        <v>8480</v>
      </c>
      <c r="I3922" s="14">
        <f>DATE(2012,12,31)-702</f>
        <v>40572</v>
      </c>
      <c r="J3922" s="15" t="s">
        <v>17</v>
      </c>
      <c r="K3922" s="9">
        <v>3</v>
      </c>
      <c r="L3922" s="16" t="s">
        <v>27</v>
      </c>
      <c r="M3922" s="16">
        <f t="shared" si="369"/>
        <v>-1.5587989583845694</v>
      </c>
      <c r="N3922">
        <f t="shared" si="370"/>
        <v>0</v>
      </c>
      <c r="O3922">
        <f t="shared" si="371"/>
        <v>0</v>
      </c>
      <c r="P3922">
        <f t="shared" si="368"/>
        <v>3550</v>
      </c>
      <c r="Q3922">
        <f t="shared" si="372"/>
        <v>3550</v>
      </c>
      <c r="T3922" s="16">
        <f t="shared" si="373"/>
        <v>-1.5587989583845698</v>
      </c>
    </row>
    <row r="3923" spans="7:20" ht="14.4" x14ac:dyDescent="0.25">
      <c r="G3923" s="10">
        <v>1304</v>
      </c>
      <c r="H3923" s="9">
        <v>9568</v>
      </c>
      <c r="I3923" s="14">
        <f>DATE(2012,12,31)-1030</f>
        <v>40244</v>
      </c>
      <c r="J3923" s="15" t="s">
        <v>28</v>
      </c>
      <c r="K3923" s="9">
        <v>46</v>
      </c>
      <c r="L3923" s="16" t="s">
        <v>26</v>
      </c>
      <c r="M3923" s="16">
        <f t="shared" si="369"/>
        <v>1.4107714362419523</v>
      </c>
      <c r="N3923">
        <f t="shared" si="370"/>
        <v>0</v>
      </c>
      <c r="O3923">
        <f t="shared" si="371"/>
        <v>0</v>
      </c>
      <c r="P3923">
        <f t="shared" si="368"/>
        <v>5700</v>
      </c>
      <c r="Q3923">
        <f t="shared" si="372"/>
        <v>5700</v>
      </c>
      <c r="T3923" s="16">
        <f t="shared" si="373"/>
        <v>1.4107714362419519</v>
      </c>
    </row>
    <row r="3924" spans="7:20" ht="14.4" x14ac:dyDescent="0.25">
      <c r="G3924" s="10">
        <v>1331</v>
      </c>
      <c r="H3924" s="9">
        <v>9701</v>
      </c>
      <c r="I3924" s="14">
        <f>DATE(2012,12,31)-1038</f>
        <v>40236</v>
      </c>
      <c r="J3924" s="15" t="s">
        <v>25</v>
      </c>
      <c r="K3924" s="9">
        <v>8</v>
      </c>
      <c r="L3924" s="16" t="s">
        <v>26</v>
      </c>
      <c r="M3924" s="16">
        <f t="shared" si="369"/>
        <v>-1.2135000752884624</v>
      </c>
      <c r="N3924">
        <f t="shared" si="370"/>
        <v>0</v>
      </c>
      <c r="O3924">
        <f t="shared" si="371"/>
        <v>0</v>
      </c>
      <c r="P3924">
        <f t="shared" si="368"/>
        <v>3800</v>
      </c>
      <c r="Q3924">
        <f t="shared" si="372"/>
        <v>3800</v>
      </c>
      <c r="T3924" s="16">
        <f t="shared" si="373"/>
        <v>-1.2135000752884626</v>
      </c>
    </row>
    <row r="3925" spans="7:20" ht="14.4" x14ac:dyDescent="0.25">
      <c r="G3925" s="10">
        <v>1332</v>
      </c>
      <c r="H3925" s="9">
        <v>9701</v>
      </c>
      <c r="I3925" s="14">
        <f>DATE(2012,12,31)-1038</f>
        <v>40236</v>
      </c>
      <c r="J3925" s="15" t="s">
        <v>25</v>
      </c>
      <c r="K3925" s="9">
        <v>9</v>
      </c>
      <c r="L3925" s="16" t="s">
        <v>27</v>
      </c>
      <c r="M3925" s="16">
        <f t="shared" si="369"/>
        <v>-1.1444402986692408</v>
      </c>
      <c r="N3925">
        <f t="shared" si="370"/>
        <v>0</v>
      </c>
      <c r="O3925">
        <f t="shared" si="371"/>
        <v>0</v>
      </c>
      <c r="P3925">
        <f t="shared" si="368"/>
        <v>3850</v>
      </c>
      <c r="Q3925">
        <f t="shared" si="372"/>
        <v>3850</v>
      </c>
      <c r="T3925" s="16">
        <f t="shared" si="373"/>
        <v>-1.1444402986692412</v>
      </c>
    </row>
    <row r="3926" spans="7:20" ht="14.4" x14ac:dyDescent="0.25">
      <c r="G3926" s="10">
        <v>1369</v>
      </c>
      <c r="H3926" s="9">
        <v>9926</v>
      </c>
      <c r="I3926" s="14">
        <f>DATE(2012,12,31)-1177</f>
        <v>40097</v>
      </c>
      <c r="J3926" s="15" t="s">
        <v>17</v>
      </c>
      <c r="K3926" s="9">
        <v>25</v>
      </c>
      <c r="L3926" s="16" t="s">
        <v>29</v>
      </c>
      <c r="M3926" s="16">
        <f t="shared" si="369"/>
        <v>-3.9483872761697868E-2</v>
      </c>
      <c r="N3926">
        <f t="shared" si="370"/>
        <v>0</v>
      </c>
      <c r="O3926">
        <f t="shared" si="371"/>
        <v>0</v>
      </c>
      <c r="P3926">
        <f t="shared" si="368"/>
        <v>4650</v>
      </c>
      <c r="Q3926">
        <f t="shared" si="372"/>
        <v>4650</v>
      </c>
      <c r="T3926" s="16">
        <f t="shared" si="373"/>
        <v>-3.9483872761698249E-2</v>
      </c>
    </row>
    <row r="3927" spans="7:20" ht="14.4" x14ac:dyDescent="0.25">
      <c r="G3927" s="10">
        <v>1439</v>
      </c>
      <c r="H3927" s="9">
        <v>10373</v>
      </c>
      <c r="I3927" s="14">
        <f>DATE(2012,12,31)-920</f>
        <v>40354</v>
      </c>
      <c r="J3927" s="15" t="s">
        <v>30</v>
      </c>
      <c r="K3927" s="9">
        <v>28</v>
      </c>
      <c r="L3927" s="16" t="s">
        <v>26</v>
      </c>
      <c r="M3927" s="16">
        <f t="shared" si="369"/>
        <v>0.16769545709596645</v>
      </c>
      <c r="N3927">
        <f t="shared" si="370"/>
        <v>0</v>
      </c>
      <c r="O3927">
        <f t="shared" si="371"/>
        <v>0</v>
      </c>
      <c r="P3927">
        <f t="shared" si="368"/>
        <v>4800</v>
      </c>
      <c r="Q3927">
        <f t="shared" si="372"/>
        <v>4800</v>
      </c>
      <c r="T3927" s="16">
        <f t="shared" si="373"/>
        <v>0.16769545709596606</v>
      </c>
    </row>
    <row r="3928" spans="7:20" ht="14.4" x14ac:dyDescent="0.25">
      <c r="G3928" s="10">
        <v>1452</v>
      </c>
      <c r="H3928" s="9">
        <v>10470</v>
      </c>
      <c r="I3928" s="14">
        <f>DATE(2012,12,31)-241</f>
        <v>41033</v>
      </c>
      <c r="J3928" s="15" t="s">
        <v>25</v>
      </c>
      <c r="K3928" s="9">
        <v>40</v>
      </c>
      <c r="L3928" s="16" t="s">
        <v>26</v>
      </c>
      <c r="M3928" s="16">
        <f t="shared" si="369"/>
        <v>0.99641277652662363</v>
      </c>
      <c r="N3928">
        <f t="shared" si="370"/>
        <v>0</v>
      </c>
      <c r="O3928">
        <f t="shared" si="371"/>
        <v>0</v>
      </c>
      <c r="P3928">
        <f t="shared" si="368"/>
        <v>5400</v>
      </c>
      <c r="Q3928">
        <f t="shared" si="372"/>
        <v>5400</v>
      </c>
      <c r="T3928" s="16">
        <f t="shared" si="373"/>
        <v>0.9964127765266233</v>
      </c>
    </row>
    <row r="3929" spans="7:20" ht="14.4" x14ac:dyDescent="0.25">
      <c r="G3929" s="10">
        <v>1453</v>
      </c>
      <c r="H3929" s="9">
        <v>10470</v>
      </c>
      <c r="I3929" s="14">
        <f>DATE(2012,12,31)-241</f>
        <v>41033</v>
      </c>
      <c r="J3929" s="15" t="s">
        <v>25</v>
      </c>
      <c r="K3929" s="9">
        <v>8</v>
      </c>
      <c r="L3929" s="16" t="s">
        <v>26</v>
      </c>
      <c r="M3929" s="16">
        <f t="shared" si="369"/>
        <v>-1.2135000752884624</v>
      </c>
      <c r="N3929">
        <f t="shared" si="370"/>
        <v>0</v>
      </c>
      <c r="O3929">
        <f t="shared" si="371"/>
        <v>0</v>
      </c>
      <c r="P3929">
        <f t="shared" si="368"/>
        <v>3800</v>
      </c>
      <c r="Q3929">
        <f t="shared" si="372"/>
        <v>3800</v>
      </c>
      <c r="T3929" s="16">
        <f t="shared" si="373"/>
        <v>-1.2135000752884626</v>
      </c>
    </row>
    <row r="3930" spans="7:20" ht="14.4" x14ac:dyDescent="0.25">
      <c r="G3930" s="10">
        <v>1454</v>
      </c>
      <c r="H3930" s="9">
        <v>10470</v>
      </c>
      <c r="I3930" s="14">
        <f>DATE(2012,12,31)-241</f>
        <v>41033</v>
      </c>
      <c r="J3930" s="15" t="s">
        <v>25</v>
      </c>
      <c r="K3930" s="9">
        <v>20</v>
      </c>
      <c r="L3930" s="16" t="s">
        <v>27</v>
      </c>
      <c r="M3930" s="16">
        <f t="shared" si="369"/>
        <v>-0.38478275585780503</v>
      </c>
      <c r="N3930">
        <f t="shared" si="370"/>
        <v>0</v>
      </c>
      <c r="O3930">
        <f t="shared" si="371"/>
        <v>0</v>
      </c>
      <c r="P3930">
        <f t="shared" si="368"/>
        <v>4400</v>
      </c>
      <c r="Q3930">
        <f t="shared" si="372"/>
        <v>4400</v>
      </c>
      <c r="T3930" s="16">
        <f t="shared" si="373"/>
        <v>-0.38478275585780541</v>
      </c>
    </row>
    <row r="3931" spans="7:20" ht="14.4" x14ac:dyDescent="0.25">
      <c r="G3931" s="10">
        <v>1542</v>
      </c>
      <c r="H3931" s="9">
        <v>11111</v>
      </c>
      <c r="I3931" s="14">
        <f>DATE(2012,12,31)-714</f>
        <v>40560</v>
      </c>
      <c r="J3931" s="15" t="s">
        <v>16</v>
      </c>
      <c r="K3931" s="9">
        <v>7</v>
      </c>
      <c r="L3931" s="16" t="s">
        <v>29</v>
      </c>
      <c r="M3931" s="16">
        <f t="shared" si="369"/>
        <v>-1.2825598519076837</v>
      </c>
      <c r="N3931">
        <f t="shared" si="370"/>
        <v>0</v>
      </c>
      <c r="O3931">
        <f t="shared" si="371"/>
        <v>0</v>
      </c>
      <c r="P3931">
        <f t="shared" si="368"/>
        <v>3750</v>
      </c>
      <c r="Q3931">
        <f t="shared" si="372"/>
        <v>3750</v>
      </c>
      <c r="T3931" s="16">
        <f t="shared" si="373"/>
        <v>-1.2825598519076842</v>
      </c>
    </row>
    <row r="3932" spans="7:20" ht="14.4" x14ac:dyDescent="0.25">
      <c r="G3932" s="10">
        <v>1543</v>
      </c>
      <c r="H3932" s="9">
        <v>11111</v>
      </c>
      <c r="I3932" s="14">
        <f>DATE(2012,12,31)-714</f>
        <v>40560</v>
      </c>
      <c r="J3932" s="15" t="s">
        <v>16</v>
      </c>
      <c r="K3932" s="9">
        <v>29</v>
      </c>
      <c r="L3932" s="16" t="s">
        <v>26</v>
      </c>
      <c r="M3932" s="16">
        <f t="shared" si="369"/>
        <v>0.23675523371518786</v>
      </c>
      <c r="N3932">
        <f t="shared" si="370"/>
        <v>0</v>
      </c>
      <c r="O3932">
        <f t="shared" si="371"/>
        <v>0</v>
      </c>
      <c r="P3932">
        <f t="shared" si="368"/>
        <v>4850</v>
      </c>
      <c r="Q3932">
        <f t="shared" si="372"/>
        <v>4850</v>
      </c>
      <c r="T3932" s="16">
        <f t="shared" si="373"/>
        <v>0.2367552337151875</v>
      </c>
    </row>
    <row r="3933" spans="7:20" ht="14.4" x14ac:dyDescent="0.25">
      <c r="G3933" s="10">
        <v>1549</v>
      </c>
      <c r="H3933" s="9">
        <v>11173</v>
      </c>
      <c r="I3933" s="14">
        <f>DATE(2012,12,31)-276</f>
        <v>40998</v>
      </c>
      <c r="J3933" s="15" t="s">
        <v>30</v>
      </c>
      <c r="K3933" s="9">
        <v>37</v>
      </c>
      <c r="L3933" s="16" t="s">
        <v>27</v>
      </c>
      <c r="M3933" s="16">
        <f t="shared" si="369"/>
        <v>0.78923344666895934</v>
      </c>
      <c r="N3933">
        <f t="shared" si="370"/>
        <v>0</v>
      </c>
      <c r="O3933">
        <f t="shared" si="371"/>
        <v>0</v>
      </c>
      <c r="P3933">
        <f t="shared" si="368"/>
        <v>5250</v>
      </c>
      <c r="Q3933">
        <f t="shared" si="372"/>
        <v>5250</v>
      </c>
      <c r="T3933" s="16">
        <f t="shared" si="373"/>
        <v>0.789233446668959</v>
      </c>
    </row>
    <row r="3934" spans="7:20" ht="14.4" x14ac:dyDescent="0.25">
      <c r="G3934" s="10">
        <v>1559</v>
      </c>
      <c r="H3934" s="9">
        <v>11239</v>
      </c>
      <c r="I3934" s="14">
        <f>DATE(2012,12,31)-326</f>
        <v>40948</v>
      </c>
      <c r="J3934" s="15" t="s">
        <v>30</v>
      </c>
      <c r="K3934" s="9">
        <v>33</v>
      </c>
      <c r="L3934" s="16" t="s">
        <v>29</v>
      </c>
      <c r="M3934" s="16">
        <f t="shared" si="369"/>
        <v>0.51299434019207357</v>
      </c>
      <c r="N3934">
        <f t="shared" si="370"/>
        <v>0</v>
      </c>
      <c r="O3934">
        <f t="shared" si="371"/>
        <v>0</v>
      </c>
      <c r="P3934">
        <f t="shared" si="368"/>
        <v>5050</v>
      </c>
      <c r="Q3934">
        <f t="shared" si="372"/>
        <v>5050</v>
      </c>
      <c r="T3934" s="16">
        <f t="shared" si="373"/>
        <v>0.51299434019207324</v>
      </c>
    </row>
    <row r="3935" spans="7:20" ht="14.4" x14ac:dyDescent="0.25">
      <c r="G3935" s="10">
        <v>1576</v>
      </c>
      <c r="H3935" s="9">
        <v>11396</v>
      </c>
      <c r="I3935" s="14">
        <f>DATE(2012,12,31)-163</f>
        <v>41111</v>
      </c>
      <c r="J3935" s="15" t="s">
        <v>30</v>
      </c>
      <c r="K3935" s="9">
        <v>42</v>
      </c>
      <c r="L3935" s="16" t="s">
        <v>26</v>
      </c>
      <c r="M3935" s="16">
        <f t="shared" si="369"/>
        <v>1.1345323297650665</v>
      </c>
      <c r="N3935">
        <f t="shared" si="370"/>
        <v>0</v>
      </c>
      <c r="O3935">
        <f t="shared" si="371"/>
        <v>0</v>
      </c>
      <c r="P3935">
        <f t="shared" si="368"/>
        <v>5500</v>
      </c>
      <c r="Q3935">
        <f t="shared" si="372"/>
        <v>5500</v>
      </c>
      <c r="T3935" s="16">
        <f t="shared" si="373"/>
        <v>1.1345323297650662</v>
      </c>
    </row>
    <row r="3936" spans="7:20" ht="14.4" x14ac:dyDescent="0.25">
      <c r="G3936" s="10">
        <v>1633</v>
      </c>
      <c r="H3936" s="9">
        <v>11808</v>
      </c>
      <c r="I3936" s="14">
        <f>DATE(2012,12,31)-153</f>
        <v>41121</v>
      </c>
      <c r="J3936" s="15" t="s">
        <v>28</v>
      </c>
      <c r="K3936" s="9">
        <v>1</v>
      </c>
      <c r="L3936" s="16" t="s">
        <v>29</v>
      </c>
      <c r="M3936" s="16">
        <f t="shared" si="369"/>
        <v>-1.6969185116230123</v>
      </c>
      <c r="N3936">
        <f t="shared" si="370"/>
        <v>0</v>
      </c>
      <c r="O3936">
        <f t="shared" si="371"/>
        <v>0</v>
      </c>
      <c r="P3936">
        <f t="shared" si="368"/>
        <v>3450</v>
      </c>
      <c r="Q3936">
        <f t="shared" si="372"/>
        <v>3450</v>
      </c>
      <c r="T3936" s="16">
        <f t="shared" si="373"/>
        <v>-1.6969185116230128</v>
      </c>
    </row>
    <row r="3937" spans="7:20" ht="14.4" x14ac:dyDescent="0.25">
      <c r="G3937" s="10">
        <v>1642</v>
      </c>
      <c r="H3937" s="9">
        <v>11874</v>
      </c>
      <c r="I3937" s="14">
        <f>DATE(2012,12,31)-113</f>
        <v>41161</v>
      </c>
      <c r="J3937" s="15" t="s">
        <v>16</v>
      </c>
      <c r="K3937" s="9">
        <v>1</v>
      </c>
      <c r="L3937" s="16" t="s">
        <v>27</v>
      </c>
      <c r="M3937" s="16">
        <f t="shared" si="369"/>
        <v>-1.6969185116230123</v>
      </c>
      <c r="N3937">
        <f t="shared" si="370"/>
        <v>0</v>
      </c>
      <c r="O3937">
        <f t="shared" si="371"/>
        <v>0</v>
      </c>
      <c r="P3937">
        <f t="shared" si="368"/>
        <v>3450</v>
      </c>
      <c r="Q3937">
        <f t="shared" si="372"/>
        <v>3450</v>
      </c>
      <c r="T3937" s="16">
        <f t="shared" si="373"/>
        <v>-1.6969185116230128</v>
      </c>
    </row>
    <row r="3938" spans="7:20" ht="14.4" x14ac:dyDescent="0.25">
      <c r="G3938" s="10">
        <v>1643</v>
      </c>
      <c r="H3938" s="9">
        <v>11874</v>
      </c>
      <c r="I3938" s="14">
        <f>DATE(2012,12,31)-113</f>
        <v>41161</v>
      </c>
      <c r="J3938" s="15" t="s">
        <v>16</v>
      </c>
      <c r="K3938" s="9">
        <v>20</v>
      </c>
      <c r="L3938" s="16" t="s">
        <v>26</v>
      </c>
      <c r="M3938" s="16">
        <f t="shared" si="369"/>
        <v>-0.38478275585780503</v>
      </c>
      <c r="N3938">
        <f t="shared" si="370"/>
        <v>0</v>
      </c>
      <c r="O3938">
        <f t="shared" si="371"/>
        <v>0</v>
      </c>
      <c r="P3938">
        <f t="shared" si="368"/>
        <v>4400</v>
      </c>
      <c r="Q3938">
        <f t="shared" si="372"/>
        <v>4400</v>
      </c>
      <c r="T3938" s="16">
        <f t="shared" si="373"/>
        <v>-0.38478275585780541</v>
      </c>
    </row>
    <row r="3939" spans="7:20" ht="14.4" x14ac:dyDescent="0.25">
      <c r="G3939" s="10">
        <v>1714</v>
      </c>
      <c r="H3939" s="9">
        <v>12322</v>
      </c>
      <c r="I3939" s="14">
        <f>DATE(2012,12,31)-600</f>
        <v>40674</v>
      </c>
      <c r="J3939" s="15" t="s">
        <v>30</v>
      </c>
      <c r="K3939" s="9">
        <v>36</v>
      </c>
      <c r="L3939" s="16" t="s">
        <v>29</v>
      </c>
      <c r="M3939" s="16">
        <f t="shared" si="369"/>
        <v>0.72017367004973787</v>
      </c>
      <c r="N3939">
        <f t="shared" si="370"/>
        <v>0</v>
      </c>
      <c r="O3939">
        <f t="shared" si="371"/>
        <v>0</v>
      </c>
      <c r="P3939">
        <f t="shared" si="368"/>
        <v>5200</v>
      </c>
      <c r="Q3939">
        <f t="shared" si="372"/>
        <v>5200</v>
      </c>
      <c r="T3939" s="16">
        <f t="shared" si="373"/>
        <v>0.72017367004973754</v>
      </c>
    </row>
    <row r="3940" spans="7:20" ht="14.4" x14ac:dyDescent="0.25">
      <c r="G3940" s="10">
        <v>1739</v>
      </c>
      <c r="H3940" s="9">
        <v>12480</v>
      </c>
      <c r="I3940" s="14">
        <f>DATE(2012,12,31)-1273</f>
        <v>40001</v>
      </c>
      <c r="J3940" s="15" t="s">
        <v>16</v>
      </c>
      <c r="K3940" s="9">
        <v>8</v>
      </c>
      <c r="L3940" s="16" t="s">
        <v>29</v>
      </c>
      <c r="M3940" s="16">
        <f t="shared" si="369"/>
        <v>-1.2135000752884624</v>
      </c>
      <c r="N3940">
        <f t="shared" si="370"/>
        <v>0</v>
      </c>
      <c r="O3940">
        <f t="shared" si="371"/>
        <v>0</v>
      </c>
      <c r="P3940">
        <f t="shared" si="368"/>
        <v>3800</v>
      </c>
      <c r="Q3940">
        <f t="shared" si="372"/>
        <v>3800</v>
      </c>
      <c r="T3940" s="16">
        <f t="shared" si="373"/>
        <v>-1.2135000752884626</v>
      </c>
    </row>
    <row r="3941" spans="7:20" ht="14.4" x14ac:dyDescent="0.25">
      <c r="G3941" s="10">
        <v>1749</v>
      </c>
      <c r="H3941" s="9">
        <v>12516</v>
      </c>
      <c r="I3941" s="14">
        <f>DATE(2012,12,31)-1317</f>
        <v>39957</v>
      </c>
      <c r="J3941" s="15" t="s">
        <v>25</v>
      </c>
      <c r="K3941" s="9">
        <v>31</v>
      </c>
      <c r="L3941" s="16" t="s">
        <v>27</v>
      </c>
      <c r="M3941" s="16">
        <f t="shared" si="369"/>
        <v>0.37487478695363075</v>
      </c>
      <c r="N3941">
        <f t="shared" si="370"/>
        <v>0</v>
      </c>
      <c r="O3941">
        <f t="shared" si="371"/>
        <v>0</v>
      </c>
      <c r="P3941">
        <f t="shared" si="368"/>
        <v>4950</v>
      </c>
      <c r="Q3941">
        <f t="shared" si="372"/>
        <v>4950</v>
      </c>
      <c r="T3941" s="16">
        <f t="shared" si="373"/>
        <v>0.37487478695363036</v>
      </c>
    </row>
    <row r="3942" spans="7:20" ht="14.4" x14ac:dyDescent="0.25">
      <c r="G3942" s="10">
        <v>1750</v>
      </c>
      <c r="H3942" s="9">
        <v>12516</v>
      </c>
      <c r="I3942" s="14">
        <f>DATE(2012,12,31)-1317</f>
        <v>39957</v>
      </c>
      <c r="J3942" s="15" t="s">
        <v>25</v>
      </c>
      <c r="K3942" s="9">
        <v>22</v>
      </c>
      <c r="L3942" s="16" t="s">
        <v>26</v>
      </c>
      <c r="M3942" s="16">
        <f t="shared" si="369"/>
        <v>-0.24666320261936217</v>
      </c>
      <c r="N3942">
        <f t="shared" si="370"/>
        <v>0</v>
      </c>
      <c r="O3942">
        <f t="shared" si="371"/>
        <v>0</v>
      </c>
      <c r="P3942">
        <f t="shared" si="368"/>
        <v>4500</v>
      </c>
      <c r="Q3942">
        <f t="shared" si="372"/>
        <v>4500</v>
      </c>
      <c r="T3942" s="16">
        <f t="shared" si="373"/>
        <v>-0.24666320261936256</v>
      </c>
    </row>
    <row r="3943" spans="7:20" ht="14.4" x14ac:dyDescent="0.25">
      <c r="G3943" s="10">
        <v>1820</v>
      </c>
      <c r="H3943" s="9">
        <v>13088</v>
      </c>
      <c r="I3943" s="14">
        <f>DATE(2012,12,31)-984</f>
        <v>40290</v>
      </c>
      <c r="J3943" s="15" t="s">
        <v>28</v>
      </c>
      <c r="K3943" s="9">
        <v>46</v>
      </c>
      <c r="L3943" s="16" t="s">
        <v>26</v>
      </c>
      <c r="M3943" s="16">
        <f t="shared" si="369"/>
        <v>1.4107714362419523</v>
      </c>
      <c r="N3943">
        <f t="shared" si="370"/>
        <v>0</v>
      </c>
      <c r="O3943">
        <f t="shared" si="371"/>
        <v>0</v>
      </c>
      <c r="P3943">
        <f t="shared" si="368"/>
        <v>5700</v>
      </c>
      <c r="Q3943">
        <f t="shared" si="372"/>
        <v>5700</v>
      </c>
      <c r="T3943" s="16">
        <f t="shared" si="373"/>
        <v>1.4107714362419519</v>
      </c>
    </row>
    <row r="3944" spans="7:20" ht="14.4" x14ac:dyDescent="0.25">
      <c r="G3944" s="10">
        <v>1828</v>
      </c>
      <c r="H3944" s="9">
        <v>13121</v>
      </c>
      <c r="I3944" s="14">
        <f>DATE(2012,12,31)-1030</f>
        <v>40244</v>
      </c>
      <c r="J3944" s="15" t="s">
        <v>17</v>
      </c>
      <c r="K3944" s="9">
        <v>36</v>
      </c>
      <c r="L3944" s="16" t="s">
        <v>27</v>
      </c>
      <c r="M3944" s="16">
        <f t="shared" si="369"/>
        <v>0.72017367004973787</v>
      </c>
      <c r="N3944">
        <f t="shared" si="370"/>
        <v>0</v>
      </c>
      <c r="O3944">
        <f t="shared" si="371"/>
        <v>0</v>
      </c>
      <c r="P3944">
        <f t="shared" si="368"/>
        <v>5200</v>
      </c>
      <c r="Q3944">
        <f t="shared" si="372"/>
        <v>5200</v>
      </c>
      <c r="T3944" s="16">
        <f t="shared" si="373"/>
        <v>0.72017367004973754</v>
      </c>
    </row>
    <row r="3945" spans="7:20" ht="14.4" x14ac:dyDescent="0.25">
      <c r="G3945" s="10">
        <v>1829</v>
      </c>
      <c r="H3945" s="9">
        <v>13121</v>
      </c>
      <c r="I3945" s="14">
        <f>DATE(2012,12,31)-1030</f>
        <v>40244</v>
      </c>
      <c r="J3945" s="15" t="s">
        <v>17</v>
      </c>
      <c r="K3945" s="9">
        <v>28</v>
      </c>
      <c r="L3945" s="16" t="s">
        <v>27</v>
      </c>
      <c r="M3945" s="16">
        <f t="shared" si="369"/>
        <v>0.16769545709596645</v>
      </c>
      <c r="N3945">
        <f t="shared" si="370"/>
        <v>0</v>
      </c>
      <c r="O3945">
        <f t="shared" si="371"/>
        <v>0</v>
      </c>
      <c r="P3945">
        <f t="shared" si="368"/>
        <v>4800</v>
      </c>
      <c r="Q3945">
        <f t="shared" si="372"/>
        <v>4800</v>
      </c>
      <c r="T3945" s="16">
        <f t="shared" si="373"/>
        <v>0.16769545709596606</v>
      </c>
    </row>
    <row r="3946" spans="7:20" ht="14.4" x14ac:dyDescent="0.25">
      <c r="G3946" s="10">
        <v>1857</v>
      </c>
      <c r="H3946" s="9">
        <v>13348</v>
      </c>
      <c r="I3946" s="14">
        <f>DATE(2012,12,31)-785</f>
        <v>40489</v>
      </c>
      <c r="J3946" s="15" t="s">
        <v>16</v>
      </c>
      <c r="K3946" s="9">
        <v>35</v>
      </c>
      <c r="L3946" s="16" t="s">
        <v>26</v>
      </c>
      <c r="M3946" s="16">
        <f t="shared" si="369"/>
        <v>0.65111389343051651</v>
      </c>
      <c r="N3946">
        <f t="shared" si="370"/>
        <v>0</v>
      </c>
      <c r="O3946">
        <f t="shared" si="371"/>
        <v>0</v>
      </c>
      <c r="P3946">
        <f t="shared" si="368"/>
        <v>5150</v>
      </c>
      <c r="Q3946">
        <f t="shared" si="372"/>
        <v>5150</v>
      </c>
      <c r="T3946" s="16">
        <f t="shared" si="373"/>
        <v>0.65111389343051607</v>
      </c>
    </row>
    <row r="3947" spans="7:20" ht="14.4" x14ac:dyDescent="0.25">
      <c r="G3947" s="10">
        <v>1866</v>
      </c>
      <c r="H3947" s="9">
        <v>13413</v>
      </c>
      <c r="I3947" s="14">
        <f>DATE(2012,12,31)-1067</f>
        <v>40207</v>
      </c>
      <c r="J3947" s="15" t="s">
        <v>30</v>
      </c>
      <c r="K3947" s="9">
        <v>29</v>
      </c>
      <c r="L3947" s="16" t="s">
        <v>26</v>
      </c>
      <c r="M3947" s="16">
        <f t="shared" si="369"/>
        <v>0.23675523371518786</v>
      </c>
      <c r="N3947">
        <f t="shared" si="370"/>
        <v>0</v>
      </c>
      <c r="O3947">
        <f t="shared" si="371"/>
        <v>0</v>
      </c>
      <c r="P3947">
        <f t="shared" si="368"/>
        <v>4850</v>
      </c>
      <c r="Q3947">
        <f t="shared" si="372"/>
        <v>4850</v>
      </c>
      <c r="T3947" s="16">
        <f t="shared" si="373"/>
        <v>0.2367552337151875</v>
      </c>
    </row>
    <row r="3948" spans="7:20" ht="14.4" x14ac:dyDescent="0.25">
      <c r="G3948" s="10">
        <v>1869</v>
      </c>
      <c r="H3948" s="9">
        <v>13447</v>
      </c>
      <c r="I3948" s="14">
        <f>DATE(2012,12,31)-1088</f>
        <v>40186</v>
      </c>
      <c r="J3948" s="15" t="s">
        <v>17</v>
      </c>
      <c r="K3948" s="9">
        <v>24</v>
      </c>
      <c r="L3948" s="16" t="s">
        <v>27</v>
      </c>
      <c r="M3948" s="16">
        <f t="shared" si="369"/>
        <v>-0.1085436493809193</v>
      </c>
      <c r="N3948">
        <f t="shared" si="370"/>
        <v>0</v>
      </c>
      <c r="O3948">
        <f t="shared" si="371"/>
        <v>0</v>
      </c>
      <c r="P3948">
        <f t="shared" si="368"/>
        <v>4600</v>
      </c>
      <c r="Q3948">
        <f t="shared" si="372"/>
        <v>4600</v>
      </c>
      <c r="T3948" s="16">
        <f t="shared" si="373"/>
        <v>-0.10854364938091969</v>
      </c>
    </row>
    <row r="3949" spans="7:20" ht="14.4" x14ac:dyDescent="0.25">
      <c r="G3949" s="10">
        <v>1910</v>
      </c>
      <c r="H3949" s="9">
        <v>13638</v>
      </c>
      <c r="I3949" s="14">
        <f>DATE(2012,12,31)-458</f>
        <v>40816</v>
      </c>
      <c r="J3949" s="15" t="s">
        <v>17</v>
      </c>
      <c r="K3949" s="9">
        <v>49</v>
      </c>
      <c r="L3949" s="16" t="s">
        <v>27</v>
      </c>
      <c r="M3949" s="16">
        <f t="shared" si="369"/>
        <v>1.6179507660996166</v>
      </c>
      <c r="N3949">
        <f t="shared" si="370"/>
        <v>0</v>
      </c>
      <c r="O3949">
        <f t="shared" si="371"/>
        <v>0</v>
      </c>
      <c r="P3949">
        <f t="shared" si="368"/>
        <v>5850</v>
      </c>
      <c r="Q3949">
        <f t="shared" si="372"/>
        <v>5850</v>
      </c>
      <c r="T3949" s="16">
        <f t="shared" si="373"/>
        <v>1.6179507660996162</v>
      </c>
    </row>
    <row r="3950" spans="7:20" ht="14.4" x14ac:dyDescent="0.25">
      <c r="G3950" s="10">
        <v>1918</v>
      </c>
      <c r="H3950" s="9">
        <v>13761</v>
      </c>
      <c r="I3950" s="14">
        <f>DATE(2012,12,31)-1171</f>
        <v>40103</v>
      </c>
      <c r="J3950" s="15" t="s">
        <v>25</v>
      </c>
      <c r="K3950" s="9">
        <v>32</v>
      </c>
      <c r="L3950" s="16" t="s">
        <v>26</v>
      </c>
      <c r="M3950" s="16">
        <f t="shared" si="369"/>
        <v>0.44393456357285216</v>
      </c>
      <c r="N3950">
        <f t="shared" si="370"/>
        <v>0</v>
      </c>
      <c r="O3950">
        <f t="shared" si="371"/>
        <v>0</v>
      </c>
      <c r="P3950">
        <f t="shared" si="368"/>
        <v>5000</v>
      </c>
      <c r="Q3950">
        <f t="shared" si="372"/>
        <v>5000</v>
      </c>
      <c r="T3950" s="16">
        <f t="shared" si="373"/>
        <v>0.44393456357285183</v>
      </c>
    </row>
    <row r="3951" spans="7:20" ht="14.4" x14ac:dyDescent="0.25">
      <c r="G3951" s="10">
        <v>1999</v>
      </c>
      <c r="H3951" s="9">
        <v>14247</v>
      </c>
      <c r="I3951" s="14">
        <f>DATE(2012,12,31)-503</f>
        <v>40771</v>
      </c>
      <c r="J3951" s="15" t="s">
        <v>30</v>
      </c>
      <c r="K3951" s="9">
        <v>4</v>
      </c>
      <c r="L3951" s="16" t="s">
        <v>26</v>
      </c>
      <c r="M3951" s="16">
        <f t="shared" si="369"/>
        <v>-1.489739181765348</v>
      </c>
      <c r="N3951">
        <f t="shared" si="370"/>
        <v>0</v>
      </c>
      <c r="O3951">
        <f t="shared" si="371"/>
        <v>0</v>
      </c>
      <c r="P3951">
        <f t="shared" si="368"/>
        <v>3600</v>
      </c>
      <c r="Q3951">
        <f t="shared" si="372"/>
        <v>3600</v>
      </c>
      <c r="T3951" s="16">
        <f t="shared" si="373"/>
        <v>-1.4897391817653485</v>
      </c>
    </row>
    <row r="3952" spans="7:20" ht="14.4" x14ac:dyDescent="0.25">
      <c r="G3952" s="10">
        <v>2061</v>
      </c>
      <c r="H3952" s="9">
        <v>14755</v>
      </c>
      <c r="I3952" s="14">
        <f>DATE(2012,12,31)-1091</f>
        <v>40183</v>
      </c>
      <c r="J3952" s="15" t="s">
        <v>17</v>
      </c>
      <c r="K3952" s="9">
        <v>31</v>
      </c>
      <c r="L3952" s="16" t="s">
        <v>26</v>
      </c>
      <c r="M3952" s="16">
        <f t="shared" si="369"/>
        <v>0.37487478695363075</v>
      </c>
      <c r="N3952">
        <f t="shared" si="370"/>
        <v>0</v>
      </c>
      <c r="O3952">
        <f t="shared" si="371"/>
        <v>0</v>
      </c>
      <c r="P3952">
        <f t="shared" si="368"/>
        <v>4950</v>
      </c>
      <c r="Q3952">
        <f t="shared" si="372"/>
        <v>4950</v>
      </c>
      <c r="T3952" s="16">
        <f t="shared" si="373"/>
        <v>0.37487478695363036</v>
      </c>
    </row>
    <row r="3953" spans="7:20" ht="14.4" x14ac:dyDescent="0.25">
      <c r="G3953" s="10">
        <v>2062</v>
      </c>
      <c r="H3953" s="9">
        <v>14755</v>
      </c>
      <c r="I3953" s="14">
        <f>DATE(2012,12,31)-1091</f>
        <v>40183</v>
      </c>
      <c r="J3953" s="15" t="s">
        <v>17</v>
      </c>
      <c r="K3953" s="9">
        <v>44</v>
      </c>
      <c r="L3953" s="16" t="s">
        <v>27</v>
      </c>
      <c r="M3953" s="16">
        <f t="shared" si="369"/>
        <v>1.2726518830035094</v>
      </c>
      <c r="N3953">
        <f t="shared" si="370"/>
        <v>0</v>
      </c>
      <c r="O3953">
        <f t="shared" si="371"/>
        <v>0</v>
      </c>
      <c r="P3953">
        <f t="shared" si="368"/>
        <v>5600</v>
      </c>
      <c r="Q3953">
        <f t="shared" si="372"/>
        <v>5600</v>
      </c>
      <c r="T3953" s="16">
        <f t="shared" si="373"/>
        <v>1.272651883003509</v>
      </c>
    </row>
    <row r="3954" spans="7:20" ht="14.4" x14ac:dyDescent="0.25">
      <c r="G3954" s="10">
        <v>2078</v>
      </c>
      <c r="H3954" s="9">
        <v>14854</v>
      </c>
      <c r="I3954" s="14">
        <f>DATE(2012,12,31)-978</f>
        <v>40296</v>
      </c>
      <c r="J3954" s="15" t="s">
        <v>25</v>
      </c>
      <c r="K3954" s="9">
        <v>24</v>
      </c>
      <c r="L3954" s="16" t="s">
        <v>26</v>
      </c>
      <c r="M3954" s="16">
        <f t="shared" si="369"/>
        <v>-0.1085436493809193</v>
      </c>
      <c r="N3954">
        <f t="shared" si="370"/>
        <v>0</v>
      </c>
      <c r="O3954">
        <f t="shared" si="371"/>
        <v>0</v>
      </c>
      <c r="P3954">
        <f t="shared" si="368"/>
        <v>4600</v>
      </c>
      <c r="Q3954">
        <f t="shared" si="372"/>
        <v>4600</v>
      </c>
      <c r="T3954" s="16">
        <f t="shared" si="373"/>
        <v>-0.10854364938091969</v>
      </c>
    </row>
    <row r="3955" spans="7:20" ht="14.4" x14ac:dyDescent="0.25">
      <c r="G3955" s="10">
        <v>2109</v>
      </c>
      <c r="H3955" s="9">
        <v>15078</v>
      </c>
      <c r="I3955" s="14">
        <f>DATE(2012,12,31)-783</f>
        <v>40491</v>
      </c>
      <c r="J3955" s="15" t="s">
        <v>17</v>
      </c>
      <c r="K3955" s="9">
        <v>33</v>
      </c>
      <c r="L3955" s="16" t="s">
        <v>26</v>
      </c>
      <c r="M3955" s="16">
        <f t="shared" si="369"/>
        <v>0.51299434019207357</v>
      </c>
      <c r="N3955">
        <f t="shared" si="370"/>
        <v>0</v>
      </c>
      <c r="O3955">
        <f t="shared" si="371"/>
        <v>0</v>
      </c>
      <c r="P3955">
        <f t="shared" si="368"/>
        <v>5050</v>
      </c>
      <c r="Q3955">
        <f t="shared" si="372"/>
        <v>5050</v>
      </c>
      <c r="T3955" s="16">
        <f t="shared" si="373"/>
        <v>0.51299434019207324</v>
      </c>
    </row>
    <row r="3956" spans="7:20" ht="14.4" x14ac:dyDescent="0.25">
      <c r="G3956" s="10">
        <v>2183</v>
      </c>
      <c r="H3956" s="9">
        <v>15718</v>
      </c>
      <c r="I3956" s="14">
        <f>DATE(2012,12,31)-1434</f>
        <v>39840</v>
      </c>
      <c r="J3956" s="15" t="s">
        <v>30</v>
      </c>
      <c r="K3956" s="9">
        <v>41</v>
      </c>
      <c r="L3956" s="16" t="s">
        <v>26</v>
      </c>
      <c r="M3956" s="16">
        <f t="shared" si="369"/>
        <v>1.0654725531458451</v>
      </c>
      <c r="N3956">
        <f t="shared" si="370"/>
        <v>0</v>
      </c>
      <c r="O3956">
        <f t="shared" si="371"/>
        <v>0</v>
      </c>
      <c r="P3956">
        <f t="shared" si="368"/>
        <v>5450</v>
      </c>
      <c r="Q3956">
        <f t="shared" si="372"/>
        <v>5450</v>
      </c>
      <c r="T3956" s="16">
        <f t="shared" si="373"/>
        <v>1.0654725531458447</v>
      </c>
    </row>
    <row r="3957" spans="7:20" ht="14.4" x14ac:dyDescent="0.25">
      <c r="G3957" s="10">
        <v>2184</v>
      </c>
      <c r="H3957" s="9">
        <v>15718</v>
      </c>
      <c r="I3957" s="14">
        <f>DATE(2012,12,31)-1434</f>
        <v>39840</v>
      </c>
      <c r="J3957" s="15" t="s">
        <v>30</v>
      </c>
      <c r="K3957" s="9">
        <v>50</v>
      </c>
      <c r="L3957" s="16" t="s">
        <v>26</v>
      </c>
      <c r="M3957" s="16">
        <f t="shared" si="369"/>
        <v>1.687010542718838</v>
      </c>
      <c r="N3957">
        <f t="shared" si="370"/>
        <v>0</v>
      </c>
      <c r="O3957">
        <f t="shared" si="371"/>
        <v>0</v>
      </c>
      <c r="P3957">
        <f t="shared" si="368"/>
        <v>5900</v>
      </c>
      <c r="Q3957">
        <f t="shared" si="372"/>
        <v>5900</v>
      </c>
      <c r="T3957" s="16">
        <f t="shared" si="373"/>
        <v>1.6870105427188375</v>
      </c>
    </row>
    <row r="3958" spans="7:20" ht="14.4" x14ac:dyDescent="0.25">
      <c r="G3958" s="10">
        <v>2186</v>
      </c>
      <c r="H3958" s="9">
        <v>15744</v>
      </c>
      <c r="I3958" s="14">
        <f>DATE(2012,12,31)-1016</f>
        <v>40258</v>
      </c>
      <c r="J3958" s="15" t="s">
        <v>30</v>
      </c>
      <c r="K3958" s="9">
        <v>16</v>
      </c>
      <c r="L3958" s="16" t="s">
        <v>26</v>
      </c>
      <c r="M3958" s="16">
        <f t="shared" si="369"/>
        <v>-0.66102186233469074</v>
      </c>
      <c r="N3958">
        <f t="shared" si="370"/>
        <v>0</v>
      </c>
      <c r="O3958">
        <f t="shared" si="371"/>
        <v>0</v>
      </c>
      <c r="P3958">
        <f t="shared" si="368"/>
        <v>4200</v>
      </c>
      <c r="Q3958">
        <f t="shared" si="372"/>
        <v>4200</v>
      </c>
      <c r="T3958" s="16">
        <f t="shared" si="373"/>
        <v>-0.66102186233469118</v>
      </c>
    </row>
    <row r="3959" spans="7:20" ht="14.4" x14ac:dyDescent="0.25">
      <c r="G3959" s="10">
        <v>2285</v>
      </c>
      <c r="H3959" s="9">
        <v>16454</v>
      </c>
      <c r="I3959" s="14">
        <f>DATE(2012,12,31)-234</f>
        <v>41040</v>
      </c>
      <c r="J3959" s="15" t="s">
        <v>16</v>
      </c>
      <c r="K3959" s="9">
        <v>12</v>
      </c>
      <c r="L3959" s="16" t="s">
        <v>26</v>
      </c>
      <c r="M3959" s="16">
        <f t="shared" si="369"/>
        <v>-0.9372609688115765</v>
      </c>
      <c r="N3959">
        <f t="shared" si="370"/>
        <v>0</v>
      </c>
      <c r="O3959">
        <f t="shared" si="371"/>
        <v>0</v>
      </c>
      <c r="P3959">
        <f t="shared" si="368"/>
        <v>4000</v>
      </c>
      <c r="Q3959">
        <f t="shared" si="372"/>
        <v>4000</v>
      </c>
      <c r="T3959" s="16">
        <f t="shared" si="373"/>
        <v>-0.93726096881157694</v>
      </c>
    </row>
    <row r="3960" spans="7:20" ht="14.4" x14ac:dyDescent="0.25">
      <c r="G3960" s="10">
        <v>2314</v>
      </c>
      <c r="H3960" s="9">
        <v>16676</v>
      </c>
      <c r="I3960" s="14">
        <f>DATE(2012,12,31)-1383</f>
        <v>39891</v>
      </c>
      <c r="J3960" s="15" t="s">
        <v>17</v>
      </c>
      <c r="K3960" s="9">
        <v>39</v>
      </c>
      <c r="L3960" s="16" t="s">
        <v>27</v>
      </c>
      <c r="M3960" s="16">
        <f t="shared" si="369"/>
        <v>0.92735299990740228</v>
      </c>
      <c r="N3960">
        <f t="shared" si="370"/>
        <v>0</v>
      </c>
      <c r="O3960">
        <f t="shared" si="371"/>
        <v>0</v>
      </c>
      <c r="P3960">
        <f t="shared" si="368"/>
        <v>5350</v>
      </c>
      <c r="Q3960">
        <f t="shared" si="372"/>
        <v>5350</v>
      </c>
      <c r="T3960" s="16">
        <f t="shared" si="373"/>
        <v>0.92735299990740183</v>
      </c>
    </row>
    <row r="3961" spans="7:20" ht="14.4" x14ac:dyDescent="0.25">
      <c r="G3961" s="10">
        <v>2344</v>
      </c>
      <c r="H3961" s="9">
        <v>16897</v>
      </c>
      <c r="I3961" s="14">
        <f>DATE(2012,12,31)-199</f>
        <v>41075</v>
      </c>
      <c r="J3961" s="15" t="s">
        <v>28</v>
      </c>
      <c r="K3961" s="9">
        <v>1</v>
      </c>
      <c r="L3961" s="16" t="s">
        <v>29</v>
      </c>
      <c r="M3961" s="16">
        <f t="shared" si="369"/>
        <v>-1.6969185116230123</v>
      </c>
      <c r="N3961">
        <f t="shared" si="370"/>
        <v>0</v>
      </c>
      <c r="O3961">
        <f t="shared" si="371"/>
        <v>0</v>
      </c>
      <c r="P3961">
        <f t="shared" si="368"/>
        <v>3450</v>
      </c>
      <c r="Q3961">
        <f t="shared" si="372"/>
        <v>3450</v>
      </c>
      <c r="T3961" s="16">
        <f t="shared" si="373"/>
        <v>-1.6969185116230128</v>
      </c>
    </row>
    <row r="3962" spans="7:20" ht="14.4" x14ac:dyDescent="0.25">
      <c r="G3962" s="10">
        <v>2345</v>
      </c>
      <c r="H3962" s="9">
        <v>16897</v>
      </c>
      <c r="I3962" s="14">
        <f>DATE(2012,12,31)-199</f>
        <v>41075</v>
      </c>
      <c r="J3962" s="15" t="s">
        <v>28</v>
      </c>
      <c r="K3962" s="9">
        <v>48</v>
      </c>
      <c r="L3962" s="16" t="s">
        <v>26</v>
      </c>
      <c r="M3962" s="16">
        <f t="shared" si="369"/>
        <v>1.5488909894803951</v>
      </c>
      <c r="N3962">
        <f t="shared" si="370"/>
        <v>0</v>
      </c>
      <c r="O3962">
        <f t="shared" si="371"/>
        <v>0</v>
      </c>
      <c r="P3962">
        <f t="shared" si="368"/>
        <v>5800</v>
      </c>
      <c r="Q3962">
        <f t="shared" si="372"/>
        <v>5800</v>
      </c>
      <c r="T3962" s="16">
        <f t="shared" si="373"/>
        <v>1.5488909894803948</v>
      </c>
    </row>
    <row r="3963" spans="7:20" ht="14.4" x14ac:dyDescent="0.25">
      <c r="G3963" s="10">
        <v>2357</v>
      </c>
      <c r="H3963" s="9">
        <v>16999</v>
      </c>
      <c r="I3963" s="14">
        <f>DATE(2012,12,31)-1442</f>
        <v>39832</v>
      </c>
      <c r="J3963" s="15" t="s">
        <v>30</v>
      </c>
      <c r="K3963" s="9">
        <v>18</v>
      </c>
      <c r="L3963" s="16" t="s">
        <v>26</v>
      </c>
      <c r="M3963" s="16">
        <f t="shared" si="369"/>
        <v>-0.52290230909624791</v>
      </c>
      <c r="N3963">
        <f t="shared" si="370"/>
        <v>0</v>
      </c>
      <c r="O3963">
        <f t="shared" si="371"/>
        <v>0</v>
      </c>
      <c r="P3963">
        <f t="shared" si="368"/>
        <v>4300</v>
      </c>
      <c r="Q3963">
        <f t="shared" si="372"/>
        <v>4300</v>
      </c>
      <c r="T3963" s="16">
        <f t="shared" si="373"/>
        <v>-0.52290230909624835</v>
      </c>
    </row>
    <row r="3964" spans="7:20" ht="14.4" x14ac:dyDescent="0.25">
      <c r="G3964" s="10">
        <v>2364</v>
      </c>
      <c r="H3964" s="9">
        <v>17091</v>
      </c>
      <c r="I3964" s="14">
        <f>DATE(2012,12,31)-163</f>
        <v>41111</v>
      </c>
      <c r="J3964" s="15" t="s">
        <v>16</v>
      </c>
      <c r="K3964" s="9">
        <v>45</v>
      </c>
      <c r="L3964" s="16" t="s">
        <v>27</v>
      </c>
      <c r="M3964" s="16">
        <f t="shared" si="369"/>
        <v>1.3417116596227308</v>
      </c>
      <c r="N3964">
        <f t="shared" si="370"/>
        <v>0</v>
      </c>
      <c r="O3964">
        <f t="shared" si="371"/>
        <v>0</v>
      </c>
      <c r="P3964">
        <f t="shared" si="368"/>
        <v>5650</v>
      </c>
      <c r="Q3964">
        <f t="shared" si="372"/>
        <v>5650</v>
      </c>
      <c r="T3964" s="16">
        <f t="shared" si="373"/>
        <v>1.3417116596227305</v>
      </c>
    </row>
    <row r="3965" spans="7:20" ht="14.4" x14ac:dyDescent="0.25">
      <c r="G3965" s="10">
        <v>2376</v>
      </c>
      <c r="H3965" s="9">
        <v>17249</v>
      </c>
      <c r="I3965" s="14">
        <f>DATE(2012,12,31)-828</f>
        <v>40446</v>
      </c>
      <c r="J3965" s="15" t="s">
        <v>25</v>
      </c>
      <c r="K3965" s="9">
        <v>37</v>
      </c>
      <c r="L3965" s="16" t="s">
        <v>27</v>
      </c>
      <c r="M3965" s="16">
        <f t="shared" si="369"/>
        <v>0.78923344666895934</v>
      </c>
      <c r="N3965">
        <f t="shared" si="370"/>
        <v>0</v>
      </c>
      <c r="O3965">
        <f t="shared" si="371"/>
        <v>0</v>
      </c>
      <c r="P3965">
        <f t="shared" si="368"/>
        <v>5250</v>
      </c>
      <c r="Q3965">
        <f t="shared" si="372"/>
        <v>5250</v>
      </c>
      <c r="T3965" s="16">
        <f t="shared" si="373"/>
        <v>0.789233446668959</v>
      </c>
    </row>
    <row r="3966" spans="7:20" ht="14.4" x14ac:dyDescent="0.25">
      <c r="G3966" s="10">
        <v>2435</v>
      </c>
      <c r="H3966" s="9">
        <v>17670</v>
      </c>
      <c r="I3966" s="14">
        <f>DATE(2012,12,31)-1224</f>
        <v>40050</v>
      </c>
      <c r="J3966" s="15" t="s">
        <v>16</v>
      </c>
      <c r="K3966" s="9">
        <v>14</v>
      </c>
      <c r="L3966" s="16" t="s">
        <v>26</v>
      </c>
      <c r="M3966" s="16">
        <f t="shared" si="369"/>
        <v>-0.79914141557313367</v>
      </c>
      <c r="N3966">
        <f t="shared" si="370"/>
        <v>0</v>
      </c>
      <c r="O3966">
        <f t="shared" si="371"/>
        <v>0</v>
      </c>
      <c r="P3966">
        <f t="shared" si="368"/>
        <v>4100</v>
      </c>
      <c r="Q3966">
        <f t="shared" si="372"/>
        <v>4100</v>
      </c>
      <c r="T3966" s="16">
        <f t="shared" si="373"/>
        <v>-0.79914141557313401</v>
      </c>
    </row>
    <row r="3967" spans="7:20" ht="14.4" x14ac:dyDescent="0.25">
      <c r="G3967" s="10">
        <v>2448</v>
      </c>
      <c r="H3967" s="9">
        <v>17797</v>
      </c>
      <c r="I3967" s="14">
        <f>DATE(2012,12,31)-174</f>
        <v>41100</v>
      </c>
      <c r="J3967" s="15" t="s">
        <v>25</v>
      </c>
      <c r="K3967" s="9">
        <v>10</v>
      </c>
      <c r="L3967" s="16" t="s">
        <v>29</v>
      </c>
      <c r="M3967" s="16">
        <f t="shared" si="369"/>
        <v>-1.0753805220500194</v>
      </c>
      <c r="N3967">
        <f t="shared" si="370"/>
        <v>0</v>
      </c>
      <c r="O3967">
        <f t="shared" si="371"/>
        <v>0</v>
      </c>
      <c r="P3967">
        <f t="shared" si="368"/>
        <v>3900</v>
      </c>
      <c r="Q3967">
        <f t="shared" si="372"/>
        <v>3900</v>
      </c>
      <c r="T3967" s="16">
        <f t="shared" si="373"/>
        <v>-1.0753805220500199</v>
      </c>
    </row>
    <row r="3968" spans="7:20" ht="14.4" x14ac:dyDescent="0.25">
      <c r="G3968" s="10">
        <v>2449</v>
      </c>
      <c r="H3968" s="9">
        <v>17797</v>
      </c>
      <c r="I3968" s="14">
        <f>DATE(2012,12,31)-174</f>
        <v>41100</v>
      </c>
      <c r="J3968" s="15" t="s">
        <v>25</v>
      </c>
      <c r="K3968" s="9">
        <v>16</v>
      </c>
      <c r="L3968" s="16" t="s">
        <v>26</v>
      </c>
      <c r="M3968" s="16">
        <f t="shared" si="369"/>
        <v>-0.66102186233469074</v>
      </c>
      <c r="N3968">
        <f t="shared" si="370"/>
        <v>0</v>
      </c>
      <c r="O3968">
        <f t="shared" si="371"/>
        <v>0</v>
      </c>
      <c r="P3968">
        <f t="shared" si="368"/>
        <v>4200</v>
      </c>
      <c r="Q3968">
        <f t="shared" si="372"/>
        <v>4200</v>
      </c>
      <c r="T3968" s="16">
        <f t="shared" si="373"/>
        <v>-0.66102186233469118</v>
      </c>
    </row>
    <row r="3969" spans="7:20" ht="14.4" x14ac:dyDescent="0.25">
      <c r="G3969" s="10">
        <v>2508</v>
      </c>
      <c r="H3969" s="9">
        <v>18213</v>
      </c>
      <c r="I3969" s="14">
        <f>DATE(2012,12,31)-843</f>
        <v>40431</v>
      </c>
      <c r="J3969" s="15" t="s">
        <v>16</v>
      </c>
      <c r="K3969" s="9">
        <v>29</v>
      </c>
      <c r="L3969" s="16" t="s">
        <v>26</v>
      </c>
      <c r="M3969" s="16">
        <f t="shared" si="369"/>
        <v>0.23675523371518786</v>
      </c>
      <c r="N3969">
        <f t="shared" si="370"/>
        <v>0</v>
      </c>
      <c r="O3969">
        <f t="shared" si="371"/>
        <v>0</v>
      </c>
      <c r="P3969">
        <f t="shared" si="368"/>
        <v>4850</v>
      </c>
      <c r="Q3969">
        <f t="shared" si="372"/>
        <v>4850</v>
      </c>
      <c r="T3969" s="16">
        <f t="shared" si="373"/>
        <v>0.2367552337151875</v>
      </c>
    </row>
    <row r="3970" spans="7:20" ht="14.4" x14ac:dyDescent="0.25">
      <c r="G3970" s="10">
        <v>2510</v>
      </c>
      <c r="H3970" s="9">
        <v>18241</v>
      </c>
      <c r="I3970" s="14">
        <f>DATE(2012,12,31)-888</f>
        <v>40386</v>
      </c>
      <c r="J3970" s="15" t="s">
        <v>25</v>
      </c>
      <c r="K3970" s="9">
        <v>3</v>
      </c>
      <c r="L3970" s="16" t="s">
        <v>27</v>
      </c>
      <c r="M3970" s="16">
        <f t="shared" si="369"/>
        <v>-1.5587989583845694</v>
      </c>
      <c r="N3970">
        <f t="shared" si="370"/>
        <v>0</v>
      </c>
      <c r="O3970">
        <f t="shared" si="371"/>
        <v>0</v>
      </c>
      <c r="P3970">
        <f t="shared" si="368"/>
        <v>3550</v>
      </c>
      <c r="Q3970">
        <f t="shared" si="372"/>
        <v>3550</v>
      </c>
      <c r="T3970" s="16">
        <f t="shared" si="373"/>
        <v>-1.5587989583845698</v>
      </c>
    </row>
    <row r="3971" spans="7:20" ht="14.4" x14ac:dyDescent="0.25">
      <c r="G3971" s="10">
        <v>2511</v>
      </c>
      <c r="H3971" s="9">
        <v>18241</v>
      </c>
      <c r="I3971" s="14">
        <f>DATE(2012,12,31)-888</f>
        <v>40386</v>
      </c>
      <c r="J3971" s="15" t="s">
        <v>25</v>
      </c>
      <c r="K3971" s="9">
        <v>25</v>
      </c>
      <c r="L3971" s="16" t="s">
        <v>29</v>
      </c>
      <c r="M3971" s="16">
        <f t="shared" si="369"/>
        <v>-3.9483872761697868E-2</v>
      </c>
      <c r="N3971">
        <f t="shared" si="370"/>
        <v>0</v>
      </c>
      <c r="O3971">
        <f t="shared" si="371"/>
        <v>0</v>
      </c>
      <c r="P3971">
        <f t="shared" si="368"/>
        <v>4650</v>
      </c>
      <c r="Q3971">
        <f t="shared" si="372"/>
        <v>4650</v>
      </c>
      <c r="T3971" s="16">
        <f t="shared" si="373"/>
        <v>-3.9483872761698249E-2</v>
      </c>
    </row>
    <row r="3972" spans="7:20" ht="14.4" x14ac:dyDescent="0.25">
      <c r="G3972" s="10">
        <v>2512</v>
      </c>
      <c r="H3972" s="9">
        <v>18244</v>
      </c>
      <c r="I3972" s="14">
        <f>DATE(2012,12,31)-689</f>
        <v>40585</v>
      </c>
      <c r="J3972" s="15" t="s">
        <v>30</v>
      </c>
      <c r="K3972" s="9">
        <v>1</v>
      </c>
      <c r="L3972" s="16" t="s">
        <v>29</v>
      </c>
      <c r="M3972" s="16">
        <f t="shared" si="369"/>
        <v>-1.6969185116230123</v>
      </c>
      <c r="N3972">
        <f t="shared" si="370"/>
        <v>0</v>
      </c>
      <c r="O3972">
        <f t="shared" si="371"/>
        <v>0</v>
      </c>
      <c r="P3972">
        <f t="shared" si="368"/>
        <v>3450</v>
      </c>
      <c r="Q3972">
        <f t="shared" si="372"/>
        <v>3450</v>
      </c>
      <c r="T3972" s="16">
        <f t="shared" si="373"/>
        <v>-1.6969185116230128</v>
      </c>
    </row>
    <row r="3973" spans="7:20" ht="14.4" x14ac:dyDescent="0.25">
      <c r="G3973" s="10">
        <v>2548</v>
      </c>
      <c r="H3973" s="9">
        <v>18465</v>
      </c>
      <c r="I3973" s="14">
        <f>DATE(2012,12,31)-991</f>
        <v>40283</v>
      </c>
      <c r="J3973" s="15" t="s">
        <v>17</v>
      </c>
      <c r="K3973" s="9">
        <v>12</v>
      </c>
      <c r="L3973" s="16" t="s">
        <v>26</v>
      </c>
      <c r="M3973" s="16">
        <f t="shared" si="369"/>
        <v>-0.9372609688115765</v>
      </c>
      <c r="N3973">
        <f t="shared" si="370"/>
        <v>0</v>
      </c>
      <c r="O3973">
        <f t="shared" si="371"/>
        <v>0</v>
      </c>
      <c r="P3973">
        <f t="shared" si="368"/>
        <v>4000</v>
      </c>
      <c r="Q3973">
        <f t="shared" si="372"/>
        <v>4000</v>
      </c>
      <c r="T3973" s="16">
        <f t="shared" si="373"/>
        <v>-0.93726096881157694</v>
      </c>
    </row>
    <row r="3974" spans="7:20" ht="14.4" x14ac:dyDescent="0.25">
      <c r="G3974" s="10">
        <v>2561</v>
      </c>
      <c r="H3974" s="9">
        <v>18528</v>
      </c>
      <c r="I3974" s="14">
        <f>DATE(2012,12,31)-611</f>
        <v>40663</v>
      </c>
      <c r="J3974" s="15" t="s">
        <v>30</v>
      </c>
      <c r="K3974" s="9">
        <v>33</v>
      </c>
      <c r="L3974" s="16" t="s">
        <v>26</v>
      </c>
      <c r="M3974" s="16">
        <f t="shared" si="369"/>
        <v>0.51299434019207357</v>
      </c>
      <c r="N3974">
        <f t="shared" si="370"/>
        <v>0</v>
      </c>
      <c r="O3974">
        <f t="shared" si="371"/>
        <v>0</v>
      </c>
      <c r="P3974">
        <f t="shared" si="368"/>
        <v>5050</v>
      </c>
      <c r="Q3974">
        <f t="shared" si="372"/>
        <v>5050</v>
      </c>
      <c r="T3974" s="16">
        <f t="shared" si="373"/>
        <v>0.51299434019207324</v>
      </c>
    </row>
    <row r="3975" spans="7:20" ht="14.4" x14ac:dyDescent="0.25">
      <c r="G3975" s="10">
        <v>2562</v>
      </c>
      <c r="H3975" s="9">
        <v>18528</v>
      </c>
      <c r="I3975" s="14">
        <f>DATE(2012,12,31)-611</f>
        <v>40663</v>
      </c>
      <c r="J3975" s="15" t="s">
        <v>30</v>
      </c>
      <c r="K3975" s="9">
        <v>22</v>
      </c>
      <c r="L3975" s="16" t="s">
        <v>26</v>
      </c>
      <c r="M3975" s="16">
        <f t="shared" si="369"/>
        <v>-0.24666320261936217</v>
      </c>
      <c r="N3975">
        <f t="shared" si="370"/>
        <v>0</v>
      </c>
      <c r="O3975">
        <f t="shared" si="371"/>
        <v>0</v>
      </c>
      <c r="P3975">
        <f t="shared" si="368"/>
        <v>4500</v>
      </c>
      <c r="Q3975">
        <f t="shared" si="372"/>
        <v>4500</v>
      </c>
      <c r="T3975" s="16">
        <f t="shared" si="373"/>
        <v>-0.24666320261936256</v>
      </c>
    </row>
    <row r="3976" spans="7:20" ht="14.4" x14ac:dyDescent="0.25">
      <c r="G3976" s="10">
        <v>2616</v>
      </c>
      <c r="H3976" s="9">
        <v>18917</v>
      </c>
      <c r="I3976" s="14">
        <f>DATE(2012,12,31)-242</f>
        <v>41032</v>
      </c>
      <c r="J3976" s="15" t="s">
        <v>30</v>
      </c>
      <c r="K3976" s="9">
        <v>14</v>
      </c>
      <c r="L3976" s="16" t="s">
        <v>26</v>
      </c>
      <c r="M3976" s="16">
        <f t="shared" si="369"/>
        <v>-0.79914141557313367</v>
      </c>
      <c r="N3976">
        <f t="shared" si="370"/>
        <v>0</v>
      </c>
      <c r="O3976">
        <f t="shared" si="371"/>
        <v>0</v>
      </c>
      <c r="P3976">
        <f t="shared" si="368"/>
        <v>4100</v>
      </c>
      <c r="Q3976">
        <f t="shared" si="372"/>
        <v>4100</v>
      </c>
      <c r="T3976" s="16">
        <f t="shared" si="373"/>
        <v>-0.79914141557313401</v>
      </c>
    </row>
    <row r="3977" spans="7:20" ht="14.4" x14ac:dyDescent="0.25">
      <c r="G3977" s="10">
        <v>2693</v>
      </c>
      <c r="H3977" s="9">
        <v>19493</v>
      </c>
      <c r="I3977" s="14">
        <f>DATE(2012,12,31)-1428</f>
        <v>39846</v>
      </c>
      <c r="J3977" s="15" t="s">
        <v>30</v>
      </c>
      <c r="K3977" s="9">
        <v>31</v>
      </c>
      <c r="L3977" s="16" t="s">
        <v>29</v>
      </c>
      <c r="M3977" s="16">
        <f t="shared" si="369"/>
        <v>0.37487478695363075</v>
      </c>
      <c r="N3977">
        <f t="shared" si="370"/>
        <v>0</v>
      </c>
      <c r="O3977">
        <f t="shared" si="371"/>
        <v>0</v>
      </c>
      <c r="P3977">
        <f t="shared" si="368"/>
        <v>4950</v>
      </c>
      <c r="Q3977">
        <f t="shared" si="372"/>
        <v>4950</v>
      </c>
      <c r="T3977" s="16">
        <f t="shared" si="373"/>
        <v>0.37487478695363036</v>
      </c>
    </row>
    <row r="3978" spans="7:20" ht="14.4" x14ac:dyDescent="0.25">
      <c r="G3978" s="10">
        <v>2714</v>
      </c>
      <c r="H3978" s="9">
        <v>19616</v>
      </c>
      <c r="I3978" s="14">
        <f>DATE(2012,12,31)-375</f>
        <v>40899</v>
      </c>
      <c r="J3978" s="15" t="s">
        <v>17</v>
      </c>
      <c r="K3978" s="9">
        <v>3</v>
      </c>
      <c r="L3978" s="16" t="s">
        <v>26</v>
      </c>
      <c r="M3978" s="16">
        <f t="shared" si="369"/>
        <v>-1.5587989583845694</v>
      </c>
      <c r="N3978">
        <f t="shared" si="370"/>
        <v>0</v>
      </c>
      <c r="O3978">
        <f t="shared" si="371"/>
        <v>0</v>
      </c>
      <c r="P3978">
        <f t="shared" si="368"/>
        <v>3550</v>
      </c>
      <c r="Q3978">
        <f t="shared" si="372"/>
        <v>3550</v>
      </c>
      <c r="T3978" s="16">
        <f t="shared" si="373"/>
        <v>-1.5587989583845698</v>
      </c>
    </row>
    <row r="3979" spans="7:20" ht="14.4" x14ac:dyDescent="0.25">
      <c r="G3979" s="10">
        <v>2715</v>
      </c>
      <c r="H3979" s="9">
        <v>19616</v>
      </c>
      <c r="I3979" s="14">
        <f>DATE(2012,12,31)-375</f>
        <v>40899</v>
      </c>
      <c r="J3979" s="15" t="s">
        <v>17</v>
      </c>
      <c r="K3979" s="9">
        <v>42</v>
      </c>
      <c r="L3979" s="16" t="s">
        <v>26</v>
      </c>
      <c r="M3979" s="16">
        <f t="shared" si="369"/>
        <v>1.1345323297650665</v>
      </c>
      <c r="N3979">
        <f t="shared" si="370"/>
        <v>0</v>
      </c>
      <c r="O3979">
        <f t="shared" si="371"/>
        <v>0</v>
      </c>
      <c r="P3979">
        <f t="shared" si="368"/>
        <v>5500</v>
      </c>
      <c r="Q3979">
        <f t="shared" si="372"/>
        <v>5500</v>
      </c>
      <c r="T3979" s="16">
        <f t="shared" si="373"/>
        <v>1.1345323297650662</v>
      </c>
    </row>
    <row r="3980" spans="7:20" ht="14.4" x14ac:dyDescent="0.25">
      <c r="G3980" s="10">
        <v>2827</v>
      </c>
      <c r="H3980" s="9">
        <v>20390</v>
      </c>
      <c r="I3980" s="14">
        <f>DATE(2012,12,31)-1218</f>
        <v>40056</v>
      </c>
      <c r="J3980" s="15" t="s">
        <v>28</v>
      </c>
      <c r="K3980" s="9">
        <v>35</v>
      </c>
      <c r="L3980" s="16" t="s">
        <v>27</v>
      </c>
      <c r="M3980" s="16">
        <f t="shared" si="369"/>
        <v>0.65111389343051651</v>
      </c>
      <c r="N3980">
        <f t="shared" si="370"/>
        <v>0</v>
      </c>
      <c r="O3980">
        <f t="shared" si="371"/>
        <v>0</v>
      </c>
      <c r="P3980">
        <f t="shared" ref="P3980:P4043" si="374">50*K3980+$P$10</f>
        <v>5150</v>
      </c>
      <c r="Q3980">
        <f t="shared" si="372"/>
        <v>5150</v>
      </c>
      <c r="T3980" s="16">
        <f t="shared" si="373"/>
        <v>0.65111389343051607</v>
      </c>
    </row>
    <row r="3981" spans="7:20" ht="14.4" x14ac:dyDescent="0.25">
      <c r="G3981" s="10">
        <v>2828</v>
      </c>
      <c r="H3981" s="9">
        <v>20390</v>
      </c>
      <c r="I3981" s="14">
        <f>DATE(2012,12,31)-1218</f>
        <v>40056</v>
      </c>
      <c r="J3981" s="15" t="s">
        <v>28</v>
      </c>
      <c r="K3981" s="9">
        <v>17</v>
      </c>
      <c r="L3981" s="16" t="s">
        <v>26</v>
      </c>
      <c r="M3981" s="16">
        <f t="shared" ref="M3981:M4044" si="375">(K3981-$K$4)/$K$7</f>
        <v>-0.59196208571546938</v>
      </c>
      <c r="N3981">
        <f t="shared" ref="N3981:N4044" si="376">IF(MOD($B$20+G3981,1000)=0,1,0)</f>
        <v>0</v>
      </c>
      <c r="O3981">
        <f t="shared" ref="O3981:O4044" si="377">+ROUND(N3981*(IF(K3981&lt;$K$4,-4.5,10.5)*$P$5),-2)</f>
        <v>0</v>
      </c>
      <c r="P3981">
        <f t="shared" si="374"/>
        <v>4250</v>
      </c>
      <c r="Q3981">
        <f t="shared" ref="Q3981:Q4044" si="378">P3981+O3981</f>
        <v>4250</v>
      </c>
      <c r="T3981" s="16">
        <f t="shared" ref="T3981:T4044" si="379">(Q3981-$P$4)/$P$5</f>
        <v>-0.59196208571546971</v>
      </c>
    </row>
    <row r="3982" spans="7:20" ht="14.4" x14ac:dyDescent="0.25">
      <c r="G3982" s="10">
        <v>2834</v>
      </c>
      <c r="H3982" s="9">
        <v>20451</v>
      </c>
      <c r="I3982" s="14">
        <f>DATE(2012,12,31)-220</f>
        <v>41054</v>
      </c>
      <c r="J3982" s="15" t="s">
        <v>30</v>
      </c>
      <c r="K3982" s="9">
        <v>6</v>
      </c>
      <c r="L3982" s="16" t="s">
        <v>26</v>
      </c>
      <c r="M3982" s="16">
        <f t="shared" si="375"/>
        <v>-1.3516196285269051</v>
      </c>
      <c r="N3982">
        <f t="shared" si="376"/>
        <v>0</v>
      </c>
      <c r="O3982">
        <f t="shared" si="377"/>
        <v>0</v>
      </c>
      <c r="P3982">
        <f t="shared" si="374"/>
        <v>3700</v>
      </c>
      <c r="Q3982">
        <f t="shared" si="378"/>
        <v>3700</v>
      </c>
      <c r="T3982" s="16">
        <f t="shared" si="379"/>
        <v>-1.3516196285269055</v>
      </c>
    </row>
    <row r="3983" spans="7:20" ht="14.4" x14ac:dyDescent="0.25">
      <c r="G3983" s="10">
        <v>2835</v>
      </c>
      <c r="H3983" s="9">
        <v>20451</v>
      </c>
      <c r="I3983" s="14">
        <f>DATE(2012,12,31)-220</f>
        <v>41054</v>
      </c>
      <c r="J3983" s="15" t="s">
        <v>30</v>
      </c>
      <c r="K3983" s="9">
        <v>33</v>
      </c>
      <c r="L3983" s="16" t="s">
        <v>26</v>
      </c>
      <c r="M3983" s="16">
        <f t="shared" si="375"/>
        <v>0.51299434019207357</v>
      </c>
      <c r="N3983">
        <f t="shared" si="376"/>
        <v>0</v>
      </c>
      <c r="O3983">
        <f t="shared" si="377"/>
        <v>0</v>
      </c>
      <c r="P3983">
        <f t="shared" si="374"/>
        <v>5050</v>
      </c>
      <c r="Q3983">
        <f t="shared" si="378"/>
        <v>5050</v>
      </c>
      <c r="T3983" s="16">
        <f t="shared" si="379"/>
        <v>0.51299434019207324</v>
      </c>
    </row>
    <row r="3984" spans="7:20" ht="14.4" x14ac:dyDescent="0.25">
      <c r="G3984" s="10">
        <v>2836</v>
      </c>
      <c r="H3984" s="9">
        <v>20451</v>
      </c>
      <c r="I3984" s="14">
        <f>DATE(2012,12,31)-220</f>
        <v>41054</v>
      </c>
      <c r="J3984" s="15" t="s">
        <v>30</v>
      </c>
      <c r="K3984" s="9">
        <v>17</v>
      </c>
      <c r="L3984" s="16" t="s">
        <v>29</v>
      </c>
      <c r="M3984" s="16">
        <f t="shared" si="375"/>
        <v>-0.59196208571546938</v>
      </c>
      <c r="N3984">
        <f t="shared" si="376"/>
        <v>0</v>
      </c>
      <c r="O3984">
        <f t="shared" si="377"/>
        <v>0</v>
      </c>
      <c r="P3984">
        <f t="shared" si="374"/>
        <v>4250</v>
      </c>
      <c r="Q3984">
        <f t="shared" si="378"/>
        <v>4250</v>
      </c>
      <c r="T3984" s="16">
        <f t="shared" si="379"/>
        <v>-0.59196208571546971</v>
      </c>
    </row>
    <row r="3985" spans="7:20" ht="14.4" x14ac:dyDescent="0.25">
      <c r="G3985" s="10">
        <v>2845</v>
      </c>
      <c r="H3985" s="9">
        <v>20486</v>
      </c>
      <c r="I3985" s="14">
        <f>DATE(2012,12,31)-667</f>
        <v>40607</v>
      </c>
      <c r="J3985" s="15" t="s">
        <v>17</v>
      </c>
      <c r="K3985" s="9">
        <v>34</v>
      </c>
      <c r="L3985" s="16" t="s">
        <v>26</v>
      </c>
      <c r="M3985" s="16">
        <f t="shared" si="375"/>
        <v>0.58205411681129504</v>
      </c>
      <c r="N3985">
        <f t="shared" si="376"/>
        <v>0</v>
      </c>
      <c r="O3985">
        <f t="shared" si="377"/>
        <v>0</v>
      </c>
      <c r="P3985">
        <f t="shared" si="374"/>
        <v>5100</v>
      </c>
      <c r="Q3985">
        <f t="shared" si="378"/>
        <v>5100</v>
      </c>
      <c r="T3985" s="16">
        <f t="shared" si="379"/>
        <v>0.58205411681129471</v>
      </c>
    </row>
    <row r="3986" spans="7:20" ht="14.4" x14ac:dyDescent="0.25">
      <c r="G3986" s="10">
        <v>2846</v>
      </c>
      <c r="H3986" s="9">
        <v>20486</v>
      </c>
      <c r="I3986" s="14">
        <f>DATE(2012,12,31)-667</f>
        <v>40607</v>
      </c>
      <c r="J3986" s="15" t="s">
        <v>17</v>
      </c>
      <c r="K3986" s="9">
        <v>42</v>
      </c>
      <c r="L3986" s="16" t="s">
        <v>26</v>
      </c>
      <c r="M3986" s="16">
        <f t="shared" si="375"/>
        <v>1.1345323297650665</v>
      </c>
      <c r="N3986">
        <f t="shared" si="376"/>
        <v>0</v>
      </c>
      <c r="O3986">
        <f t="shared" si="377"/>
        <v>0</v>
      </c>
      <c r="P3986">
        <f t="shared" si="374"/>
        <v>5500</v>
      </c>
      <c r="Q3986">
        <f t="shared" si="378"/>
        <v>5500</v>
      </c>
      <c r="T3986" s="16">
        <f t="shared" si="379"/>
        <v>1.1345323297650662</v>
      </c>
    </row>
    <row r="3987" spans="7:20" ht="14.4" x14ac:dyDescent="0.25">
      <c r="G3987" s="10">
        <v>2895</v>
      </c>
      <c r="H3987" s="9">
        <v>20899</v>
      </c>
      <c r="I3987" s="14">
        <f>DATE(2012,12,31)-994</f>
        <v>40280</v>
      </c>
      <c r="J3987" s="15" t="s">
        <v>25</v>
      </c>
      <c r="K3987" s="9">
        <v>9</v>
      </c>
      <c r="L3987" s="16" t="s">
        <v>26</v>
      </c>
      <c r="M3987" s="16">
        <f t="shared" si="375"/>
        <v>-1.1444402986692408</v>
      </c>
      <c r="N3987">
        <f t="shared" si="376"/>
        <v>0</v>
      </c>
      <c r="O3987">
        <f t="shared" si="377"/>
        <v>0</v>
      </c>
      <c r="P3987">
        <f t="shared" si="374"/>
        <v>3850</v>
      </c>
      <c r="Q3987">
        <f t="shared" si="378"/>
        <v>3850</v>
      </c>
      <c r="T3987" s="16">
        <f t="shared" si="379"/>
        <v>-1.1444402986692412</v>
      </c>
    </row>
    <row r="3988" spans="7:20" ht="14.4" x14ac:dyDescent="0.25">
      <c r="G3988" s="10">
        <v>2918</v>
      </c>
      <c r="H3988" s="9">
        <v>21089</v>
      </c>
      <c r="I3988" s="14">
        <f>DATE(2012,12,31)-522</f>
        <v>40752</v>
      </c>
      <c r="J3988" s="15" t="s">
        <v>16</v>
      </c>
      <c r="K3988" s="9">
        <v>4</v>
      </c>
      <c r="L3988" s="16" t="s">
        <v>29</v>
      </c>
      <c r="M3988" s="16">
        <f t="shared" si="375"/>
        <v>-1.489739181765348</v>
      </c>
      <c r="N3988">
        <f t="shared" si="376"/>
        <v>0</v>
      </c>
      <c r="O3988">
        <f t="shared" si="377"/>
        <v>0</v>
      </c>
      <c r="P3988">
        <f t="shared" si="374"/>
        <v>3600</v>
      </c>
      <c r="Q3988">
        <f t="shared" si="378"/>
        <v>3600</v>
      </c>
      <c r="T3988" s="16">
        <f t="shared" si="379"/>
        <v>-1.4897391817653485</v>
      </c>
    </row>
    <row r="3989" spans="7:20" ht="14.4" x14ac:dyDescent="0.25">
      <c r="G3989" s="10">
        <v>3001</v>
      </c>
      <c r="H3989" s="9">
        <v>21634</v>
      </c>
      <c r="I3989" s="14">
        <f>DATE(2012,12,31)-64</f>
        <v>41210</v>
      </c>
      <c r="J3989" s="15" t="s">
        <v>28</v>
      </c>
      <c r="K3989" s="9">
        <v>8</v>
      </c>
      <c r="L3989" s="16" t="s">
        <v>26</v>
      </c>
      <c r="M3989" s="16">
        <f t="shared" si="375"/>
        <v>-1.2135000752884624</v>
      </c>
      <c r="N3989">
        <f t="shared" si="376"/>
        <v>0</v>
      </c>
      <c r="O3989">
        <f t="shared" si="377"/>
        <v>0</v>
      </c>
      <c r="P3989">
        <f t="shared" si="374"/>
        <v>3800</v>
      </c>
      <c r="Q3989">
        <f t="shared" si="378"/>
        <v>3800</v>
      </c>
      <c r="T3989" s="16">
        <f t="shared" si="379"/>
        <v>-1.2135000752884626</v>
      </c>
    </row>
    <row r="3990" spans="7:20" ht="14.4" x14ac:dyDescent="0.25">
      <c r="G3990" s="10">
        <v>3002</v>
      </c>
      <c r="H3990" s="9">
        <v>21634</v>
      </c>
      <c r="I3990" s="14">
        <f>DATE(2012,12,31)-64</f>
        <v>41210</v>
      </c>
      <c r="J3990" s="15" t="s">
        <v>28</v>
      </c>
      <c r="K3990" s="9">
        <v>1</v>
      </c>
      <c r="L3990" s="16" t="s">
        <v>27</v>
      </c>
      <c r="M3990" s="16">
        <f t="shared" si="375"/>
        <v>-1.6969185116230123</v>
      </c>
      <c r="N3990">
        <f t="shared" si="376"/>
        <v>0</v>
      </c>
      <c r="O3990">
        <f t="shared" si="377"/>
        <v>0</v>
      </c>
      <c r="P3990">
        <f t="shared" si="374"/>
        <v>3450</v>
      </c>
      <c r="Q3990">
        <f t="shared" si="378"/>
        <v>3450</v>
      </c>
      <c r="T3990" s="16">
        <f t="shared" si="379"/>
        <v>-1.6969185116230128</v>
      </c>
    </row>
    <row r="3991" spans="7:20" ht="14.4" x14ac:dyDescent="0.25">
      <c r="G3991" s="10">
        <v>3012</v>
      </c>
      <c r="H3991" s="9">
        <v>21665</v>
      </c>
      <c r="I3991" s="14">
        <f>DATE(2012,12,31)-77</f>
        <v>41197</v>
      </c>
      <c r="J3991" s="15" t="s">
        <v>17</v>
      </c>
      <c r="K3991" s="9">
        <v>5</v>
      </c>
      <c r="L3991" s="16" t="s">
        <v>27</v>
      </c>
      <c r="M3991" s="16">
        <f t="shared" si="375"/>
        <v>-1.4206794051461267</v>
      </c>
      <c r="N3991">
        <f t="shared" si="376"/>
        <v>0</v>
      </c>
      <c r="O3991">
        <f t="shared" si="377"/>
        <v>0</v>
      </c>
      <c r="P3991">
        <f t="shared" si="374"/>
        <v>3650</v>
      </c>
      <c r="Q3991">
        <f t="shared" si="378"/>
        <v>3650</v>
      </c>
      <c r="T3991" s="16">
        <f t="shared" si="379"/>
        <v>-1.4206794051461269</v>
      </c>
    </row>
    <row r="3992" spans="7:20" ht="14.4" x14ac:dyDescent="0.25">
      <c r="G3992" s="10">
        <v>3020</v>
      </c>
      <c r="H3992" s="9">
        <v>21729</v>
      </c>
      <c r="I3992" s="14">
        <f>DATE(2012,12,31)-25</f>
        <v>41249</v>
      </c>
      <c r="J3992" s="15" t="s">
        <v>25</v>
      </c>
      <c r="K3992" s="9">
        <v>28</v>
      </c>
      <c r="L3992" s="16" t="s">
        <v>26</v>
      </c>
      <c r="M3992" s="16">
        <f t="shared" si="375"/>
        <v>0.16769545709596645</v>
      </c>
      <c r="N3992">
        <f t="shared" si="376"/>
        <v>0</v>
      </c>
      <c r="O3992">
        <f t="shared" si="377"/>
        <v>0</v>
      </c>
      <c r="P3992">
        <f t="shared" si="374"/>
        <v>4800</v>
      </c>
      <c r="Q3992">
        <f t="shared" si="378"/>
        <v>4800</v>
      </c>
      <c r="T3992" s="16">
        <f t="shared" si="379"/>
        <v>0.16769545709596606</v>
      </c>
    </row>
    <row r="3993" spans="7:20" ht="14.4" x14ac:dyDescent="0.25">
      <c r="G3993" s="10">
        <v>3021</v>
      </c>
      <c r="H3993" s="9">
        <v>21729</v>
      </c>
      <c r="I3993" s="14">
        <f>DATE(2012,12,31)-25</f>
        <v>41249</v>
      </c>
      <c r="J3993" s="15" t="s">
        <v>25</v>
      </c>
      <c r="K3993" s="9">
        <v>14</v>
      </c>
      <c r="L3993" s="16" t="s">
        <v>29</v>
      </c>
      <c r="M3993" s="16">
        <f t="shared" si="375"/>
        <v>-0.79914141557313367</v>
      </c>
      <c r="N3993">
        <f t="shared" si="376"/>
        <v>0</v>
      </c>
      <c r="O3993">
        <f t="shared" si="377"/>
        <v>0</v>
      </c>
      <c r="P3993">
        <f t="shared" si="374"/>
        <v>4100</v>
      </c>
      <c r="Q3993">
        <f t="shared" si="378"/>
        <v>4100</v>
      </c>
      <c r="T3993" s="16">
        <f t="shared" si="379"/>
        <v>-0.79914141557313401</v>
      </c>
    </row>
    <row r="3994" spans="7:20" ht="14.4" x14ac:dyDescent="0.25">
      <c r="G3994" s="10">
        <v>3032</v>
      </c>
      <c r="H3994" s="9">
        <v>21796</v>
      </c>
      <c r="I3994" s="14">
        <f>DATE(2012,12,31)-239</f>
        <v>41035</v>
      </c>
      <c r="J3994" s="15" t="s">
        <v>25</v>
      </c>
      <c r="K3994" s="9">
        <v>46</v>
      </c>
      <c r="L3994" s="16" t="s">
        <v>27</v>
      </c>
      <c r="M3994" s="16">
        <f t="shared" si="375"/>
        <v>1.4107714362419523</v>
      </c>
      <c r="N3994">
        <f t="shared" si="376"/>
        <v>0</v>
      </c>
      <c r="O3994">
        <f t="shared" si="377"/>
        <v>0</v>
      </c>
      <c r="P3994">
        <f t="shared" si="374"/>
        <v>5700</v>
      </c>
      <c r="Q3994">
        <f t="shared" si="378"/>
        <v>5700</v>
      </c>
      <c r="T3994" s="16">
        <f t="shared" si="379"/>
        <v>1.4107714362419519</v>
      </c>
    </row>
    <row r="3995" spans="7:20" ht="14.4" x14ac:dyDescent="0.25">
      <c r="G3995" s="10">
        <v>3033</v>
      </c>
      <c r="H3995" s="9">
        <v>21796</v>
      </c>
      <c r="I3995" s="14">
        <f>DATE(2012,12,31)-239</f>
        <v>41035</v>
      </c>
      <c r="J3995" s="15" t="s">
        <v>25</v>
      </c>
      <c r="K3995" s="9">
        <v>2</v>
      </c>
      <c r="L3995" s="16" t="s">
        <v>27</v>
      </c>
      <c r="M3995" s="16">
        <f t="shared" si="375"/>
        <v>-1.627858735003791</v>
      </c>
      <c r="N3995">
        <f t="shared" si="376"/>
        <v>0</v>
      </c>
      <c r="O3995">
        <f t="shared" si="377"/>
        <v>0</v>
      </c>
      <c r="P3995">
        <f t="shared" si="374"/>
        <v>3500</v>
      </c>
      <c r="Q3995">
        <f t="shared" si="378"/>
        <v>3500</v>
      </c>
      <c r="T3995" s="16">
        <f t="shared" si="379"/>
        <v>-1.6278587350037912</v>
      </c>
    </row>
    <row r="3996" spans="7:20" ht="14.4" x14ac:dyDescent="0.25">
      <c r="G3996" s="10">
        <v>3034</v>
      </c>
      <c r="H3996" s="9">
        <v>21796</v>
      </c>
      <c r="I3996" s="14">
        <f>DATE(2012,12,31)-239</f>
        <v>41035</v>
      </c>
      <c r="J3996" s="15" t="s">
        <v>25</v>
      </c>
      <c r="K3996" s="9">
        <v>41</v>
      </c>
      <c r="L3996" s="16" t="s">
        <v>26</v>
      </c>
      <c r="M3996" s="16">
        <f t="shared" si="375"/>
        <v>1.0654725531458451</v>
      </c>
      <c r="N3996">
        <f t="shared" si="376"/>
        <v>0</v>
      </c>
      <c r="O3996">
        <f t="shared" si="377"/>
        <v>0</v>
      </c>
      <c r="P3996">
        <f t="shared" si="374"/>
        <v>5450</v>
      </c>
      <c r="Q3996">
        <f t="shared" si="378"/>
        <v>5450</v>
      </c>
      <c r="T3996" s="16">
        <f t="shared" si="379"/>
        <v>1.0654725531458447</v>
      </c>
    </row>
    <row r="3997" spans="7:20" ht="14.4" x14ac:dyDescent="0.25">
      <c r="G3997" s="10">
        <v>3035</v>
      </c>
      <c r="H3997" s="9">
        <v>21796</v>
      </c>
      <c r="I3997" s="14">
        <f>DATE(2012,12,31)-239</f>
        <v>41035</v>
      </c>
      <c r="J3997" s="15" t="s">
        <v>25</v>
      </c>
      <c r="K3997" s="9">
        <v>31</v>
      </c>
      <c r="L3997" s="16" t="s">
        <v>26</v>
      </c>
      <c r="M3997" s="16">
        <f t="shared" si="375"/>
        <v>0.37487478695363075</v>
      </c>
      <c r="N3997">
        <f t="shared" si="376"/>
        <v>0</v>
      </c>
      <c r="O3997">
        <f t="shared" si="377"/>
        <v>0</v>
      </c>
      <c r="P3997">
        <f t="shared" si="374"/>
        <v>4950</v>
      </c>
      <c r="Q3997">
        <f t="shared" si="378"/>
        <v>4950</v>
      </c>
      <c r="T3997" s="16">
        <f t="shared" si="379"/>
        <v>0.37487478695363036</v>
      </c>
    </row>
    <row r="3998" spans="7:20" ht="14.4" x14ac:dyDescent="0.25">
      <c r="G3998" s="10">
        <v>3065</v>
      </c>
      <c r="H3998" s="9">
        <v>21958</v>
      </c>
      <c r="I3998" s="14">
        <f>DATE(2012,12,31)-1305</f>
        <v>39969</v>
      </c>
      <c r="J3998" s="15" t="s">
        <v>17</v>
      </c>
      <c r="K3998" s="9">
        <v>14</v>
      </c>
      <c r="L3998" s="16" t="s">
        <v>26</v>
      </c>
      <c r="M3998" s="16">
        <f t="shared" si="375"/>
        <v>-0.79914141557313367</v>
      </c>
      <c r="N3998">
        <f t="shared" si="376"/>
        <v>0</v>
      </c>
      <c r="O3998">
        <f t="shared" si="377"/>
        <v>0</v>
      </c>
      <c r="P3998">
        <f t="shared" si="374"/>
        <v>4100</v>
      </c>
      <c r="Q3998">
        <f t="shared" si="378"/>
        <v>4100</v>
      </c>
      <c r="T3998" s="16">
        <f t="shared" si="379"/>
        <v>-0.79914141557313401</v>
      </c>
    </row>
    <row r="3999" spans="7:20" ht="14.4" x14ac:dyDescent="0.25">
      <c r="G3999" s="10">
        <v>3130</v>
      </c>
      <c r="H3999" s="9">
        <v>22468</v>
      </c>
      <c r="I3999" s="14">
        <f>DATE(2012,12,31)-935</f>
        <v>40339</v>
      </c>
      <c r="J3999" s="15" t="s">
        <v>28</v>
      </c>
      <c r="K3999" s="9">
        <v>14</v>
      </c>
      <c r="L3999" s="16" t="s">
        <v>26</v>
      </c>
      <c r="M3999" s="16">
        <f t="shared" si="375"/>
        <v>-0.79914141557313367</v>
      </c>
      <c r="N3999">
        <f t="shared" si="376"/>
        <v>0</v>
      </c>
      <c r="O3999">
        <f t="shared" si="377"/>
        <v>0</v>
      </c>
      <c r="P3999">
        <f t="shared" si="374"/>
        <v>4100</v>
      </c>
      <c r="Q3999">
        <f t="shared" si="378"/>
        <v>4100</v>
      </c>
      <c r="T3999" s="16">
        <f t="shared" si="379"/>
        <v>-0.79914141557313401</v>
      </c>
    </row>
    <row r="4000" spans="7:20" ht="14.4" x14ac:dyDescent="0.25">
      <c r="G4000" s="10">
        <v>3131</v>
      </c>
      <c r="H4000" s="9">
        <v>22468</v>
      </c>
      <c r="I4000" s="14">
        <f>DATE(2012,12,31)-935</f>
        <v>40339</v>
      </c>
      <c r="J4000" s="15" t="s">
        <v>28</v>
      </c>
      <c r="K4000" s="9">
        <v>11</v>
      </c>
      <c r="L4000" s="16" t="s">
        <v>26</v>
      </c>
      <c r="M4000" s="16">
        <f t="shared" si="375"/>
        <v>-1.0063207454307979</v>
      </c>
      <c r="N4000">
        <f t="shared" si="376"/>
        <v>0</v>
      </c>
      <c r="O4000">
        <f t="shared" si="377"/>
        <v>0</v>
      </c>
      <c r="P4000">
        <f t="shared" si="374"/>
        <v>3950</v>
      </c>
      <c r="Q4000">
        <f t="shared" si="378"/>
        <v>3950</v>
      </c>
      <c r="T4000" s="16">
        <f t="shared" si="379"/>
        <v>-1.0063207454307983</v>
      </c>
    </row>
    <row r="4001" spans="7:20" ht="14.4" x14ac:dyDescent="0.25">
      <c r="G4001" s="10">
        <v>3132</v>
      </c>
      <c r="H4001" s="9">
        <v>22468</v>
      </c>
      <c r="I4001" s="14">
        <f>DATE(2012,12,31)-935</f>
        <v>40339</v>
      </c>
      <c r="J4001" s="15" t="s">
        <v>28</v>
      </c>
      <c r="K4001" s="9">
        <v>19</v>
      </c>
      <c r="L4001" s="16" t="s">
        <v>29</v>
      </c>
      <c r="M4001" s="16">
        <f t="shared" si="375"/>
        <v>-0.45384253247702649</v>
      </c>
      <c r="N4001">
        <f t="shared" si="376"/>
        <v>0</v>
      </c>
      <c r="O4001">
        <f t="shared" si="377"/>
        <v>0</v>
      </c>
      <c r="P4001">
        <f t="shared" si="374"/>
        <v>4350</v>
      </c>
      <c r="Q4001">
        <f t="shared" si="378"/>
        <v>4350</v>
      </c>
      <c r="T4001" s="16">
        <f t="shared" si="379"/>
        <v>-0.45384253247702688</v>
      </c>
    </row>
    <row r="4002" spans="7:20" ht="14.4" x14ac:dyDescent="0.25">
      <c r="G4002" s="10">
        <v>3149</v>
      </c>
      <c r="H4002" s="9">
        <v>22626</v>
      </c>
      <c r="I4002" s="14">
        <f>DATE(2012,12,31)-916</f>
        <v>40358</v>
      </c>
      <c r="J4002" s="15" t="s">
        <v>30</v>
      </c>
      <c r="K4002" s="9">
        <v>17</v>
      </c>
      <c r="L4002" s="16" t="s">
        <v>26</v>
      </c>
      <c r="M4002" s="16">
        <f t="shared" si="375"/>
        <v>-0.59196208571546938</v>
      </c>
      <c r="N4002">
        <f t="shared" si="376"/>
        <v>0</v>
      </c>
      <c r="O4002">
        <f t="shared" si="377"/>
        <v>0</v>
      </c>
      <c r="P4002">
        <f t="shared" si="374"/>
        <v>4250</v>
      </c>
      <c r="Q4002">
        <f t="shared" si="378"/>
        <v>4250</v>
      </c>
      <c r="T4002" s="16">
        <f t="shared" si="379"/>
        <v>-0.59196208571546971</v>
      </c>
    </row>
    <row r="4003" spans="7:20" ht="14.4" x14ac:dyDescent="0.25">
      <c r="G4003" s="10">
        <v>3150</v>
      </c>
      <c r="H4003" s="9">
        <v>22626</v>
      </c>
      <c r="I4003" s="14">
        <f>DATE(2012,12,31)-916</f>
        <v>40358</v>
      </c>
      <c r="J4003" s="15" t="s">
        <v>30</v>
      </c>
      <c r="K4003" s="9">
        <v>35</v>
      </c>
      <c r="L4003" s="16" t="s">
        <v>29</v>
      </c>
      <c r="M4003" s="16">
        <f t="shared" si="375"/>
        <v>0.65111389343051651</v>
      </c>
      <c r="N4003">
        <f t="shared" si="376"/>
        <v>0</v>
      </c>
      <c r="O4003">
        <f t="shared" si="377"/>
        <v>0</v>
      </c>
      <c r="P4003">
        <f t="shared" si="374"/>
        <v>5150</v>
      </c>
      <c r="Q4003">
        <f t="shared" si="378"/>
        <v>5150</v>
      </c>
      <c r="T4003" s="16">
        <f t="shared" si="379"/>
        <v>0.65111389343051607</v>
      </c>
    </row>
    <row r="4004" spans="7:20" ht="14.4" x14ac:dyDescent="0.25">
      <c r="G4004" s="10">
        <v>3235</v>
      </c>
      <c r="H4004" s="9">
        <v>23205</v>
      </c>
      <c r="I4004" s="14">
        <f>DATE(2012,12,31)-1317</f>
        <v>39957</v>
      </c>
      <c r="J4004" s="15" t="s">
        <v>17</v>
      </c>
      <c r="K4004" s="9">
        <v>8</v>
      </c>
      <c r="L4004" s="16" t="s">
        <v>26</v>
      </c>
      <c r="M4004" s="16">
        <f t="shared" si="375"/>
        <v>-1.2135000752884624</v>
      </c>
      <c r="N4004">
        <f t="shared" si="376"/>
        <v>0</v>
      </c>
      <c r="O4004">
        <f t="shared" si="377"/>
        <v>0</v>
      </c>
      <c r="P4004">
        <f t="shared" si="374"/>
        <v>3800</v>
      </c>
      <c r="Q4004">
        <f t="shared" si="378"/>
        <v>3800</v>
      </c>
      <c r="T4004" s="16">
        <f t="shared" si="379"/>
        <v>-1.2135000752884626</v>
      </c>
    </row>
    <row r="4005" spans="7:20" ht="14.4" x14ac:dyDescent="0.25">
      <c r="G4005" s="10">
        <v>3236</v>
      </c>
      <c r="H4005" s="9">
        <v>23205</v>
      </c>
      <c r="I4005" s="14">
        <f>DATE(2012,12,31)-1317</f>
        <v>39957</v>
      </c>
      <c r="J4005" s="15" t="s">
        <v>17</v>
      </c>
      <c r="K4005" s="9">
        <v>32</v>
      </c>
      <c r="L4005" s="16" t="s">
        <v>27</v>
      </c>
      <c r="M4005" s="16">
        <f t="shared" si="375"/>
        <v>0.44393456357285216</v>
      </c>
      <c r="N4005">
        <f t="shared" si="376"/>
        <v>0</v>
      </c>
      <c r="O4005">
        <f t="shared" si="377"/>
        <v>0</v>
      </c>
      <c r="P4005">
        <f t="shared" si="374"/>
        <v>5000</v>
      </c>
      <c r="Q4005">
        <f t="shared" si="378"/>
        <v>5000</v>
      </c>
      <c r="T4005" s="16">
        <f t="shared" si="379"/>
        <v>0.44393456357285183</v>
      </c>
    </row>
    <row r="4006" spans="7:20" ht="14.4" x14ac:dyDescent="0.25">
      <c r="G4006" s="10">
        <v>3237</v>
      </c>
      <c r="H4006" s="9">
        <v>23205</v>
      </c>
      <c r="I4006" s="14">
        <f>DATE(2012,12,31)-1317</f>
        <v>39957</v>
      </c>
      <c r="J4006" s="15" t="s">
        <v>17</v>
      </c>
      <c r="K4006" s="9">
        <v>26</v>
      </c>
      <c r="L4006" s="16" t="s">
        <v>29</v>
      </c>
      <c r="M4006" s="16">
        <f t="shared" si="375"/>
        <v>2.9575903857523567E-2</v>
      </c>
      <c r="N4006">
        <f t="shared" si="376"/>
        <v>0</v>
      </c>
      <c r="O4006">
        <f t="shared" si="377"/>
        <v>0</v>
      </c>
      <c r="P4006">
        <f t="shared" si="374"/>
        <v>4700</v>
      </c>
      <c r="Q4006">
        <f t="shared" si="378"/>
        <v>4700</v>
      </c>
      <c r="T4006" s="16">
        <f t="shared" si="379"/>
        <v>2.9575903857523185E-2</v>
      </c>
    </row>
    <row r="4007" spans="7:20" ht="14.4" x14ac:dyDescent="0.25">
      <c r="G4007" s="10">
        <v>3271</v>
      </c>
      <c r="H4007" s="9">
        <v>23394</v>
      </c>
      <c r="I4007" s="14">
        <f>DATE(2012,12,31)-977</f>
        <v>40297</v>
      </c>
      <c r="J4007" s="15" t="s">
        <v>17</v>
      </c>
      <c r="K4007" s="9">
        <v>45</v>
      </c>
      <c r="L4007" s="16" t="s">
        <v>26</v>
      </c>
      <c r="M4007" s="16">
        <f t="shared" si="375"/>
        <v>1.3417116596227308</v>
      </c>
      <c r="N4007">
        <f t="shared" si="376"/>
        <v>0</v>
      </c>
      <c r="O4007">
        <f t="shared" si="377"/>
        <v>0</v>
      </c>
      <c r="P4007">
        <f t="shared" si="374"/>
        <v>5650</v>
      </c>
      <c r="Q4007">
        <f t="shared" si="378"/>
        <v>5650</v>
      </c>
      <c r="T4007" s="16">
        <f t="shared" si="379"/>
        <v>1.3417116596227305</v>
      </c>
    </row>
    <row r="4008" spans="7:20" ht="14.4" x14ac:dyDescent="0.25">
      <c r="G4008" s="10">
        <v>3421</v>
      </c>
      <c r="H4008" s="9">
        <v>24390</v>
      </c>
      <c r="I4008" s="14">
        <f>DATE(2012,12,31)-208</f>
        <v>41066</v>
      </c>
      <c r="J4008" s="15" t="s">
        <v>25</v>
      </c>
      <c r="K4008" s="9">
        <v>2</v>
      </c>
      <c r="L4008" s="16" t="s">
        <v>27</v>
      </c>
      <c r="M4008" s="16">
        <f t="shared" si="375"/>
        <v>-1.627858735003791</v>
      </c>
      <c r="N4008">
        <f t="shared" si="376"/>
        <v>0</v>
      </c>
      <c r="O4008">
        <f t="shared" si="377"/>
        <v>0</v>
      </c>
      <c r="P4008">
        <f t="shared" si="374"/>
        <v>3500</v>
      </c>
      <c r="Q4008">
        <f t="shared" si="378"/>
        <v>3500</v>
      </c>
      <c r="T4008" s="16">
        <f t="shared" si="379"/>
        <v>-1.6278587350037912</v>
      </c>
    </row>
    <row r="4009" spans="7:20" ht="14.4" x14ac:dyDescent="0.25">
      <c r="G4009" s="10">
        <v>3457</v>
      </c>
      <c r="H4009" s="9">
        <v>24643</v>
      </c>
      <c r="I4009" s="14">
        <f>DATE(2012,12,31)-246</f>
        <v>41028</v>
      </c>
      <c r="J4009" s="15" t="s">
        <v>16</v>
      </c>
      <c r="K4009" s="9">
        <v>30</v>
      </c>
      <c r="L4009" s="16" t="s">
        <v>27</v>
      </c>
      <c r="M4009" s="16">
        <f t="shared" si="375"/>
        <v>0.30581501033440933</v>
      </c>
      <c r="N4009">
        <f t="shared" si="376"/>
        <v>0</v>
      </c>
      <c r="O4009">
        <f t="shared" si="377"/>
        <v>0</v>
      </c>
      <c r="P4009">
        <f t="shared" si="374"/>
        <v>4900</v>
      </c>
      <c r="Q4009">
        <f t="shared" si="378"/>
        <v>4900</v>
      </c>
      <c r="T4009" s="16">
        <f t="shared" si="379"/>
        <v>0.30581501033440894</v>
      </c>
    </row>
    <row r="4010" spans="7:20" ht="14.4" x14ac:dyDescent="0.25">
      <c r="G4010" s="10">
        <v>3468</v>
      </c>
      <c r="H4010" s="9">
        <v>24679</v>
      </c>
      <c r="I4010" s="14">
        <f>DATE(2012,12,31)-604</f>
        <v>40670</v>
      </c>
      <c r="J4010" s="15" t="s">
        <v>28</v>
      </c>
      <c r="K4010" s="9">
        <v>7</v>
      </c>
      <c r="L4010" s="16" t="s">
        <v>27</v>
      </c>
      <c r="M4010" s="16">
        <f t="shared" si="375"/>
        <v>-1.2825598519076837</v>
      </c>
      <c r="N4010">
        <f t="shared" si="376"/>
        <v>0</v>
      </c>
      <c r="O4010">
        <f t="shared" si="377"/>
        <v>0</v>
      </c>
      <c r="P4010">
        <f t="shared" si="374"/>
        <v>3750</v>
      </c>
      <c r="Q4010">
        <f t="shared" si="378"/>
        <v>3750</v>
      </c>
      <c r="T4010" s="16">
        <f t="shared" si="379"/>
        <v>-1.2825598519076842</v>
      </c>
    </row>
    <row r="4011" spans="7:20" ht="14.4" x14ac:dyDescent="0.25">
      <c r="G4011" s="10">
        <v>3520</v>
      </c>
      <c r="H4011" s="9">
        <v>25062</v>
      </c>
      <c r="I4011" s="14">
        <f>DATE(2012,12,31)-793</f>
        <v>40481</v>
      </c>
      <c r="J4011" s="15" t="s">
        <v>30</v>
      </c>
      <c r="K4011" s="9">
        <v>5</v>
      </c>
      <c r="L4011" s="16" t="s">
        <v>26</v>
      </c>
      <c r="M4011" s="16">
        <f t="shared" si="375"/>
        <v>-1.4206794051461267</v>
      </c>
      <c r="N4011">
        <f t="shared" si="376"/>
        <v>0</v>
      </c>
      <c r="O4011">
        <f t="shared" si="377"/>
        <v>0</v>
      </c>
      <c r="P4011">
        <f t="shared" si="374"/>
        <v>3650</v>
      </c>
      <c r="Q4011">
        <f t="shared" si="378"/>
        <v>3650</v>
      </c>
      <c r="T4011" s="16">
        <f t="shared" si="379"/>
        <v>-1.4206794051461269</v>
      </c>
    </row>
    <row r="4012" spans="7:20" ht="14.4" x14ac:dyDescent="0.25">
      <c r="G4012" s="10">
        <v>3521</v>
      </c>
      <c r="H4012" s="9">
        <v>25062</v>
      </c>
      <c r="I4012" s="14">
        <f>DATE(2012,12,31)-793</f>
        <v>40481</v>
      </c>
      <c r="J4012" s="15" t="s">
        <v>30</v>
      </c>
      <c r="K4012" s="9">
        <v>9</v>
      </c>
      <c r="L4012" s="16" t="s">
        <v>26</v>
      </c>
      <c r="M4012" s="16">
        <f t="shared" si="375"/>
        <v>-1.1444402986692408</v>
      </c>
      <c r="N4012">
        <f t="shared" si="376"/>
        <v>0</v>
      </c>
      <c r="O4012">
        <f t="shared" si="377"/>
        <v>0</v>
      </c>
      <c r="P4012">
        <f t="shared" si="374"/>
        <v>3850</v>
      </c>
      <c r="Q4012">
        <f t="shared" si="378"/>
        <v>3850</v>
      </c>
      <c r="T4012" s="16">
        <f t="shared" si="379"/>
        <v>-1.1444402986692412</v>
      </c>
    </row>
    <row r="4013" spans="7:20" ht="14.4" x14ac:dyDescent="0.25">
      <c r="G4013" s="10">
        <v>3532</v>
      </c>
      <c r="H4013" s="9">
        <v>25152</v>
      </c>
      <c r="I4013" s="14">
        <f>DATE(2012,12,31)-77</f>
        <v>41197</v>
      </c>
      <c r="J4013" s="15" t="s">
        <v>30</v>
      </c>
      <c r="K4013" s="9">
        <v>29</v>
      </c>
      <c r="L4013" s="16" t="s">
        <v>26</v>
      </c>
      <c r="M4013" s="16">
        <f t="shared" si="375"/>
        <v>0.23675523371518786</v>
      </c>
      <c r="N4013">
        <f t="shared" si="376"/>
        <v>0</v>
      </c>
      <c r="O4013">
        <f t="shared" si="377"/>
        <v>0</v>
      </c>
      <c r="P4013">
        <f t="shared" si="374"/>
        <v>4850</v>
      </c>
      <c r="Q4013">
        <f t="shared" si="378"/>
        <v>4850</v>
      </c>
      <c r="T4013" s="16">
        <f t="shared" si="379"/>
        <v>0.2367552337151875</v>
      </c>
    </row>
    <row r="4014" spans="7:20" ht="14.4" x14ac:dyDescent="0.25">
      <c r="G4014" s="10">
        <v>3576</v>
      </c>
      <c r="H4014" s="9">
        <v>25478</v>
      </c>
      <c r="I4014" s="14">
        <f>DATE(2012,12,31)-251</f>
        <v>41023</v>
      </c>
      <c r="J4014" s="15" t="s">
        <v>30</v>
      </c>
      <c r="K4014" s="9">
        <v>47</v>
      </c>
      <c r="L4014" s="16" t="s">
        <v>27</v>
      </c>
      <c r="M4014" s="16">
        <f t="shared" si="375"/>
        <v>1.4798312128611737</v>
      </c>
      <c r="N4014">
        <f t="shared" si="376"/>
        <v>0</v>
      </c>
      <c r="O4014">
        <f t="shared" si="377"/>
        <v>0</v>
      </c>
      <c r="P4014">
        <f t="shared" si="374"/>
        <v>5750</v>
      </c>
      <c r="Q4014">
        <f t="shared" si="378"/>
        <v>5750</v>
      </c>
      <c r="T4014" s="16">
        <f t="shared" si="379"/>
        <v>1.4798312128611733</v>
      </c>
    </row>
    <row r="4015" spans="7:20" ht="14.4" x14ac:dyDescent="0.25">
      <c r="G4015" s="10">
        <v>3577</v>
      </c>
      <c r="H4015" s="9">
        <v>25478</v>
      </c>
      <c r="I4015" s="14">
        <f>DATE(2012,12,31)-251</f>
        <v>41023</v>
      </c>
      <c r="J4015" s="15" t="s">
        <v>30</v>
      </c>
      <c r="K4015" s="9">
        <v>50</v>
      </c>
      <c r="L4015" s="16" t="s">
        <v>26</v>
      </c>
      <c r="M4015" s="16">
        <f t="shared" si="375"/>
        <v>1.687010542718838</v>
      </c>
      <c r="N4015">
        <f t="shared" si="376"/>
        <v>0</v>
      </c>
      <c r="O4015">
        <f t="shared" si="377"/>
        <v>0</v>
      </c>
      <c r="P4015">
        <f t="shared" si="374"/>
        <v>5900</v>
      </c>
      <c r="Q4015">
        <f t="shared" si="378"/>
        <v>5900</v>
      </c>
      <c r="T4015" s="16">
        <f t="shared" si="379"/>
        <v>1.6870105427188375</v>
      </c>
    </row>
    <row r="4016" spans="7:20" ht="14.4" x14ac:dyDescent="0.25">
      <c r="G4016" s="10">
        <v>3708</v>
      </c>
      <c r="H4016" s="9">
        <v>26469</v>
      </c>
      <c r="I4016" s="14">
        <f>DATE(2012,12,31)-154</f>
        <v>41120</v>
      </c>
      <c r="J4016" s="15" t="s">
        <v>16</v>
      </c>
      <c r="K4016" s="9">
        <v>4</v>
      </c>
      <c r="L4016" s="16" t="s">
        <v>26</v>
      </c>
      <c r="M4016" s="16">
        <f t="shared" si="375"/>
        <v>-1.489739181765348</v>
      </c>
      <c r="N4016">
        <f t="shared" si="376"/>
        <v>0</v>
      </c>
      <c r="O4016">
        <f t="shared" si="377"/>
        <v>0</v>
      </c>
      <c r="P4016">
        <f t="shared" si="374"/>
        <v>3600</v>
      </c>
      <c r="Q4016">
        <f t="shared" si="378"/>
        <v>3600</v>
      </c>
      <c r="T4016" s="16">
        <f t="shared" si="379"/>
        <v>-1.4897391817653485</v>
      </c>
    </row>
    <row r="4017" spans="7:20" ht="14.4" x14ac:dyDescent="0.25">
      <c r="G4017" s="10">
        <v>3709</v>
      </c>
      <c r="H4017" s="9">
        <v>26469</v>
      </c>
      <c r="I4017" s="14">
        <f>DATE(2012,12,31)-154</f>
        <v>41120</v>
      </c>
      <c r="J4017" s="15" t="s">
        <v>16</v>
      </c>
      <c r="K4017" s="9">
        <v>50</v>
      </c>
      <c r="L4017" s="16" t="s">
        <v>26</v>
      </c>
      <c r="M4017" s="16">
        <f t="shared" si="375"/>
        <v>1.687010542718838</v>
      </c>
      <c r="N4017">
        <f t="shared" si="376"/>
        <v>0</v>
      </c>
      <c r="O4017">
        <f t="shared" si="377"/>
        <v>0</v>
      </c>
      <c r="P4017">
        <f t="shared" si="374"/>
        <v>5900</v>
      </c>
      <c r="Q4017">
        <f t="shared" si="378"/>
        <v>5900</v>
      </c>
      <c r="T4017" s="16">
        <f t="shared" si="379"/>
        <v>1.6870105427188375</v>
      </c>
    </row>
    <row r="4018" spans="7:20" ht="14.4" x14ac:dyDescent="0.25">
      <c r="G4018" s="10">
        <v>3710</v>
      </c>
      <c r="H4018" s="9">
        <v>26470</v>
      </c>
      <c r="I4018" s="14">
        <f>DATE(2012,12,31)-1381</f>
        <v>39893</v>
      </c>
      <c r="J4018" s="15" t="s">
        <v>17</v>
      </c>
      <c r="K4018" s="9">
        <v>41</v>
      </c>
      <c r="L4018" s="16" t="s">
        <v>26</v>
      </c>
      <c r="M4018" s="16">
        <f t="shared" si="375"/>
        <v>1.0654725531458451</v>
      </c>
      <c r="N4018">
        <f t="shared" si="376"/>
        <v>0</v>
      </c>
      <c r="O4018">
        <f t="shared" si="377"/>
        <v>0</v>
      </c>
      <c r="P4018">
        <f t="shared" si="374"/>
        <v>5450</v>
      </c>
      <c r="Q4018">
        <f t="shared" si="378"/>
        <v>5450</v>
      </c>
      <c r="T4018" s="16">
        <f t="shared" si="379"/>
        <v>1.0654725531458447</v>
      </c>
    </row>
    <row r="4019" spans="7:20" ht="14.4" x14ac:dyDescent="0.25">
      <c r="G4019" s="10">
        <v>3718</v>
      </c>
      <c r="H4019" s="9">
        <v>26565</v>
      </c>
      <c r="I4019" s="14">
        <f>DATE(2012,12,31)-1167</f>
        <v>40107</v>
      </c>
      <c r="J4019" s="15" t="s">
        <v>16</v>
      </c>
      <c r="K4019" s="9">
        <v>49</v>
      </c>
      <c r="L4019" s="16" t="s">
        <v>26</v>
      </c>
      <c r="M4019" s="16">
        <f t="shared" si="375"/>
        <v>1.6179507660996166</v>
      </c>
      <c r="N4019">
        <f t="shared" si="376"/>
        <v>0</v>
      </c>
      <c r="O4019">
        <f t="shared" si="377"/>
        <v>0</v>
      </c>
      <c r="P4019">
        <f t="shared" si="374"/>
        <v>5850</v>
      </c>
      <c r="Q4019">
        <f t="shared" si="378"/>
        <v>5850</v>
      </c>
      <c r="T4019" s="16">
        <f t="shared" si="379"/>
        <v>1.6179507660996162</v>
      </c>
    </row>
    <row r="4020" spans="7:20" ht="14.4" x14ac:dyDescent="0.25">
      <c r="G4020" s="10">
        <v>3758</v>
      </c>
      <c r="H4020" s="9">
        <v>26852</v>
      </c>
      <c r="I4020" s="14">
        <f>DATE(2012,12,31)-1031</f>
        <v>40243</v>
      </c>
      <c r="J4020" s="15" t="s">
        <v>30</v>
      </c>
      <c r="K4020" s="9">
        <v>2</v>
      </c>
      <c r="L4020" s="16" t="s">
        <v>26</v>
      </c>
      <c r="M4020" s="16">
        <f t="shared" si="375"/>
        <v>-1.627858735003791</v>
      </c>
      <c r="N4020">
        <f t="shared" si="376"/>
        <v>0</v>
      </c>
      <c r="O4020">
        <f t="shared" si="377"/>
        <v>0</v>
      </c>
      <c r="P4020">
        <f t="shared" si="374"/>
        <v>3500</v>
      </c>
      <c r="Q4020">
        <f t="shared" si="378"/>
        <v>3500</v>
      </c>
      <c r="T4020" s="16">
        <f t="shared" si="379"/>
        <v>-1.6278587350037912</v>
      </c>
    </row>
    <row r="4021" spans="7:20" ht="14.4" x14ac:dyDescent="0.25">
      <c r="G4021" s="10">
        <v>3829</v>
      </c>
      <c r="H4021" s="9">
        <v>27299</v>
      </c>
      <c r="I4021" s="14">
        <f>DATE(2012,12,31)-148</f>
        <v>41126</v>
      </c>
      <c r="J4021" s="15" t="s">
        <v>30</v>
      </c>
      <c r="K4021" s="9">
        <v>41</v>
      </c>
      <c r="L4021" s="16" t="s">
        <v>29</v>
      </c>
      <c r="M4021" s="16">
        <f t="shared" si="375"/>
        <v>1.0654725531458451</v>
      </c>
      <c r="N4021">
        <f t="shared" si="376"/>
        <v>0</v>
      </c>
      <c r="O4021">
        <f t="shared" si="377"/>
        <v>0</v>
      </c>
      <c r="P4021">
        <f t="shared" si="374"/>
        <v>5450</v>
      </c>
      <c r="Q4021">
        <f t="shared" si="378"/>
        <v>5450</v>
      </c>
      <c r="T4021" s="16">
        <f t="shared" si="379"/>
        <v>1.0654725531458447</v>
      </c>
    </row>
    <row r="4022" spans="7:20" ht="14.4" x14ac:dyDescent="0.25">
      <c r="G4022" s="10">
        <v>3830</v>
      </c>
      <c r="H4022" s="9">
        <v>27300</v>
      </c>
      <c r="I4022" s="14">
        <f>DATE(2012,12,31)-92</f>
        <v>41182</v>
      </c>
      <c r="J4022" s="15" t="s">
        <v>28</v>
      </c>
      <c r="K4022" s="9">
        <v>50</v>
      </c>
      <c r="L4022" s="16" t="s">
        <v>27</v>
      </c>
      <c r="M4022" s="16">
        <f t="shared" si="375"/>
        <v>1.687010542718838</v>
      </c>
      <c r="N4022">
        <f t="shared" si="376"/>
        <v>0</v>
      </c>
      <c r="O4022">
        <f t="shared" si="377"/>
        <v>0</v>
      </c>
      <c r="P4022">
        <f t="shared" si="374"/>
        <v>5900</v>
      </c>
      <c r="Q4022">
        <f t="shared" si="378"/>
        <v>5900</v>
      </c>
      <c r="T4022" s="16">
        <f t="shared" si="379"/>
        <v>1.6870105427188375</v>
      </c>
    </row>
    <row r="4023" spans="7:20" ht="14.4" x14ac:dyDescent="0.25">
      <c r="G4023" s="10">
        <v>3831</v>
      </c>
      <c r="H4023" s="9">
        <v>27300</v>
      </c>
      <c r="I4023" s="14">
        <f>DATE(2012,12,31)-92</f>
        <v>41182</v>
      </c>
      <c r="J4023" s="15" t="s">
        <v>28</v>
      </c>
      <c r="K4023" s="9">
        <v>27</v>
      </c>
      <c r="L4023" s="16" t="s">
        <v>26</v>
      </c>
      <c r="M4023" s="16">
        <f t="shared" si="375"/>
        <v>9.8635680476745008E-2</v>
      </c>
      <c r="N4023">
        <f t="shared" si="376"/>
        <v>0</v>
      </c>
      <c r="O4023">
        <f t="shared" si="377"/>
        <v>0</v>
      </c>
      <c r="P4023">
        <f t="shared" si="374"/>
        <v>4750</v>
      </c>
      <c r="Q4023">
        <f t="shared" si="378"/>
        <v>4750</v>
      </c>
      <c r="T4023" s="16">
        <f t="shared" si="379"/>
        <v>9.8635680476744619E-2</v>
      </c>
    </row>
    <row r="4024" spans="7:20" ht="14.4" x14ac:dyDescent="0.25">
      <c r="G4024" s="10">
        <v>3864</v>
      </c>
      <c r="H4024" s="9">
        <v>27557</v>
      </c>
      <c r="I4024" s="14">
        <f>DATE(2012,12,31)-327</f>
        <v>40947</v>
      </c>
      <c r="J4024" s="15" t="s">
        <v>25</v>
      </c>
      <c r="K4024" s="9">
        <v>18</v>
      </c>
      <c r="L4024" s="16" t="s">
        <v>26</v>
      </c>
      <c r="M4024" s="16">
        <f t="shared" si="375"/>
        <v>-0.52290230909624791</v>
      </c>
      <c r="N4024">
        <f t="shared" si="376"/>
        <v>0</v>
      </c>
      <c r="O4024">
        <f t="shared" si="377"/>
        <v>0</v>
      </c>
      <c r="P4024">
        <f t="shared" si="374"/>
        <v>4300</v>
      </c>
      <c r="Q4024">
        <f t="shared" si="378"/>
        <v>4300</v>
      </c>
      <c r="T4024" s="16">
        <f t="shared" si="379"/>
        <v>-0.52290230909624835</v>
      </c>
    </row>
    <row r="4025" spans="7:20" ht="14.4" x14ac:dyDescent="0.25">
      <c r="G4025" s="10">
        <v>3872</v>
      </c>
      <c r="H4025" s="9">
        <v>27654</v>
      </c>
      <c r="I4025" s="14">
        <f>DATE(2012,12,31)-829</f>
        <v>40445</v>
      </c>
      <c r="J4025" s="15" t="s">
        <v>17</v>
      </c>
      <c r="K4025" s="9">
        <v>12</v>
      </c>
      <c r="L4025" s="16" t="s">
        <v>26</v>
      </c>
      <c r="M4025" s="16">
        <f t="shared" si="375"/>
        <v>-0.9372609688115765</v>
      </c>
      <c r="N4025">
        <f t="shared" si="376"/>
        <v>0</v>
      </c>
      <c r="O4025">
        <f t="shared" si="377"/>
        <v>0</v>
      </c>
      <c r="P4025">
        <f t="shared" si="374"/>
        <v>4000</v>
      </c>
      <c r="Q4025">
        <f t="shared" si="378"/>
        <v>4000</v>
      </c>
      <c r="T4025" s="16">
        <f t="shared" si="379"/>
        <v>-0.93726096881157694</v>
      </c>
    </row>
    <row r="4026" spans="7:20" ht="14.4" x14ac:dyDescent="0.25">
      <c r="G4026" s="10">
        <v>3877</v>
      </c>
      <c r="H4026" s="9">
        <v>27684</v>
      </c>
      <c r="I4026" s="14">
        <f>DATE(2012,12,31)-483</f>
        <v>40791</v>
      </c>
      <c r="J4026" s="15" t="s">
        <v>25</v>
      </c>
      <c r="K4026" s="9">
        <v>1</v>
      </c>
      <c r="L4026" s="16" t="s">
        <v>26</v>
      </c>
      <c r="M4026" s="16">
        <f t="shared" si="375"/>
        <v>-1.6969185116230123</v>
      </c>
      <c r="N4026">
        <f t="shared" si="376"/>
        <v>0</v>
      </c>
      <c r="O4026">
        <f t="shared" si="377"/>
        <v>0</v>
      </c>
      <c r="P4026">
        <f t="shared" si="374"/>
        <v>3450</v>
      </c>
      <c r="Q4026">
        <f t="shared" si="378"/>
        <v>3450</v>
      </c>
      <c r="T4026" s="16">
        <f t="shared" si="379"/>
        <v>-1.6969185116230128</v>
      </c>
    </row>
    <row r="4027" spans="7:20" ht="14.4" x14ac:dyDescent="0.25">
      <c r="G4027" s="10">
        <v>3899</v>
      </c>
      <c r="H4027" s="9">
        <v>27811</v>
      </c>
      <c r="I4027" s="14">
        <f>DATE(2012,12,31)-668</f>
        <v>40606</v>
      </c>
      <c r="J4027" s="15" t="s">
        <v>28</v>
      </c>
      <c r="K4027" s="9">
        <v>31</v>
      </c>
      <c r="L4027" s="16" t="s">
        <v>26</v>
      </c>
      <c r="M4027" s="16">
        <f t="shared" si="375"/>
        <v>0.37487478695363075</v>
      </c>
      <c r="N4027">
        <f t="shared" si="376"/>
        <v>0</v>
      </c>
      <c r="O4027">
        <f t="shared" si="377"/>
        <v>0</v>
      </c>
      <c r="P4027">
        <f t="shared" si="374"/>
        <v>4950</v>
      </c>
      <c r="Q4027">
        <f t="shared" si="378"/>
        <v>4950</v>
      </c>
      <c r="T4027" s="16">
        <f t="shared" si="379"/>
        <v>0.37487478695363036</v>
      </c>
    </row>
    <row r="4028" spans="7:20" ht="14.4" x14ac:dyDescent="0.25">
      <c r="G4028" s="10">
        <v>3938</v>
      </c>
      <c r="H4028" s="9">
        <v>28064</v>
      </c>
      <c r="I4028" s="14">
        <f>DATE(2012,12,31)-851</f>
        <v>40423</v>
      </c>
      <c r="J4028" s="15" t="s">
        <v>16</v>
      </c>
      <c r="K4028" s="9">
        <v>43</v>
      </c>
      <c r="L4028" s="16" t="s">
        <v>26</v>
      </c>
      <c r="M4028" s="16">
        <f t="shared" si="375"/>
        <v>1.203592106384288</v>
      </c>
      <c r="N4028">
        <f t="shared" si="376"/>
        <v>0</v>
      </c>
      <c r="O4028">
        <f t="shared" si="377"/>
        <v>0</v>
      </c>
      <c r="P4028">
        <f t="shared" si="374"/>
        <v>5550</v>
      </c>
      <c r="Q4028">
        <f t="shared" si="378"/>
        <v>5550</v>
      </c>
      <c r="T4028" s="16">
        <f t="shared" si="379"/>
        <v>1.2035921063842876</v>
      </c>
    </row>
    <row r="4029" spans="7:20" ht="14.4" x14ac:dyDescent="0.25">
      <c r="G4029" s="10">
        <v>3939</v>
      </c>
      <c r="H4029" s="9">
        <v>28064</v>
      </c>
      <c r="I4029" s="14">
        <f>DATE(2012,12,31)-851</f>
        <v>40423</v>
      </c>
      <c r="J4029" s="15" t="s">
        <v>16</v>
      </c>
      <c r="K4029" s="9">
        <v>1</v>
      </c>
      <c r="L4029" s="16" t="s">
        <v>26</v>
      </c>
      <c r="M4029" s="16">
        <f t="shared" si="375"/>
        <v>-1.6969185116230123</v>
      </c>
      <c r="N4029">
        <f t="shared" si="376"/>
        <v>0</v>
      </c>
      <c r="O4029">
        <f t="shared" si="377"/>
        <v>0</v>
      </c>
      <c r="P4029">
        <f t="shared" si="374"/>
        <v>3450</v>
      </c>
      <c r="Q4029">
        <f t="shared" si="378"/>
        <v>3450</v>
      </c>
      <c r="T4029" s="16">
        <f t="shared" si="379"/>
        <v>-1.6969185116230128</v>
      </c>
    </row>
    <row r="4030" spans="7:20" ht="14.4" x14ac:dyDescent="0.25">
      <c r="G4030" s="10">
        <v>3955</v>
      </c>
      <c r="H4030" s="9">
        <v>28225</v>
      </c>
      <c r="I4030" s="14">
        <f>DATE(2012,12,31)-1439</f>
        <v>39835</v>
      </c>
      <c r="J4030" s="15" t="s">
        <v>30</v>
      </c>
      <c r="K4030" s="9">
        <v>13</v>
      </c>
      <c r="L4030" s="16" t="s">
        <v>26</v>
      </c>
      <c r="M4030" s="16">
        <f t="shared" si="375"/>
        <v>-0.86820119219235514</v>
      </c>
      <c r="N4030">
        <f t="shared" si="376"/>
        <v>0</v>
      </c>
      <c r="O4030">
        <f t="shared" si="377"/>
        <v>0</v>
      </c>
      <c r="P4030">
        <f t="shared" si="374"/>
        <v>4050</v>
      </c>
      <c r="Q4030">
        <f t="shared" si="378"/>
        <v>4050</v>
      </c>
      <c r="T4030" s="16">
        <f t="shared" si="379"/>
        <v>-0.86820119219235548</v>
      </c>
    </row>
    <row r="4031" spans="7:20" ht="14.4" x14ac:dyDescent="0.25">
      <c r="G4031" s="10">
        <v>3959</v>
      </c>
      <c r="H4031" s="9">
        <v>28258</v>
      </c>
      <c r="I4031" s="14">
        <f>DATE(2012,12,31)-1389</f>
        <v>39885</v>
      </c>
      <c r="J4031" s="15" t="s">
        <v>30</v>
      </c>
      <c r="K4031" s="9">
        <v>2</v>
      </c>
      <c r="L4031" s="16" t="s">
        <v>27</v>
      </c>
      <c r="M4031" s="16">
        <f t="shared" si="375"/>
        <v>-1.627858735003791</v>
      </c>
      <c r="N4031">
        <f t="shared" si="376"/>
        <v>0</v>
      </c>
      <c r="O4031">
        <f t="shared" si="377"/>
        <v>0</v>
      </c>
      <c r="P4031">
        <f t="shared" si="374"/>
        <v>3500</v>
      </c>
      <c r="Q4031">
        <f t="shared" si="378"/>
        <v>3500</v>
      </c>
      <c r="T4031" s="16">
        <f t="shared" si="379"/>
        <v>-1.6278587350037912</v>
      </c>
    </row>
    <row r="4032" spans="7:20" ht="14.4" x14ac:dyDescent="0.25">
      <c r="G4032" s="10">
        <v>3960</v>
      </c>
      <c r="H4032" s="9">
        <v>28258</v>
      </c>
      <c r="I4032" s="14">
        <f>DATE(2012,12,31)-1389</f>
        <v>39885</v>
      </c>
      <c r="J4032" s="15" t="s">
        <v>30</v>
      </c>
      <c r="K4032" s="9">
        <v>25</v>
      </c>
      <c r="L4032" s="16" t="s">
        <v>27</v>
      </c>
      <c r="M4032" s="16">
        <f t="shared" si="375"/>
        <v>-3.9483872761697868E-2</v>
      </c>
      <c r="N4032">
        <f t="shared" si="376"/>
        <v>0</v>
      </c>
      <c r="O4032">
        <f t="shared" si="377"/>
        <v>0</v>
      </c>
      <c r="P4032">
        <f t="shared" si="374"/>
        <v>4650</v>
      </c>
      <c r="Q4032">
        <f t="shared" si="378"/>
        <v>4650</v>
      </c>
      <c r="T4032" s="16">
        <f t="shared" si="379"/>
        <v>-3.9483872761698249E-2</v>
      </c>
    </row>
    <row r="4033" spans="7:20" ht="14.4" x14ac:dyDescent="0.25">
      <c r="G4033" s="10">
        <v>3968</v>
      </c>
      <c r="H4033" s="9">
        <v>28321</v>
      </c>
      <c r="I4033" s="14">
        <f>DATE(2012,12,31)-883</f>
        <v>40391</v>
      </c>
      <c r="J4033" s="15" t="s">
        <v>16</v>
      </c>
      <c r="K4033" s="9">
        <v>28</v>
      </c>
      <c r="L4033" s="16" t="s">
        <v>26</v>
      </c>
      <c r="M4033" s="16">
        <f t="shared" si="375"/>
        <v>0.16769545709596645</v>
      </c>
      <c r="N4033">
        <f t="shared" si="376"/>
        <v>0</v>
      </c>
      <c r="O4033">
        <f t="shared" si="377"/>
        <v>0</v>
      </c>
      <c r="P4033">
        <f t="shared" si="374"/>
        <v>4800</v>
      </c>
      <c r="Q4033">
        <f t="shared" si="378"/>
        <v>4800</v>
      </c>
      <c r="T4033" s="16">
        <f t="shared" si="379"/>
        <v>0.16769545709596606</v>
      </c>
    </row>
    <row r="4034" spans="7:20" ht="14.4" x14ac:dyDescent="0.25">
      <c r="G4034" s="10">
        <v>3985</v>
      </c>
      <c r="H4034" s="9">
        <v>28454</v>
      </c>
      <c r="I4034" s="14">
        <f>DATE(2012,12,31)-147</f>
        <v>41127</v>
      </c>
      <c r="J4034" s="15" t="s">
        <v>16</v>
      </c>
      <c r="K4034" s="9">
        <v>25</v>
      </c>
      <c r="L4034" s="16" t="s">
        <v>26</v>
      </c>
      <c r="M4034" s="16">
        <f t="shared" si="375"/>
        <v>-3.9483872761697868E-2</v>
      </c>
      <c r="N4034">
        <f t="shared" si="376"/>
        <v>0</v>
      </c>
      <c r="O4034">
        <f t="shared" si="377"/>
        <v>0</v>
      </c>
      <c r="P4034">
        <f t="shared" si="374"/>
        <v>4650</v>
      </c>
      <c r="Q4034">
        <f t="shared" si="378"/>
        <v>4650</v>
      </c>
      <c r="T4034" s="16">
        <f t="shared" si="379"/>
        <v>-3.9483872761698249E-2</v>
      </c>
    </row>
    <row r="4035" spans="7:20" ht="14.4" x14ac:dyDescent="0.25">
      <c r="G4035" s="10">
        <v>4112</v>
      </c>
      <c r="H4035" s="9">
        <v>29255</v>
      </c>
      <c r="I4035" s="14">
        <f>DATE(2012,12,31)-394</f>
        <v>40880</v>
      </c>
      <c r="J4035" s="15" t="s">
        <v>25</v>
      </c>
      <c r="K4035" s="9">
        <v>11</v>
      </c>
      <c r="L4035" s="16" t="s">
        <v>27</v>
      </c>
      <c r="M4035" s="16">
        <f t="shared" si="375"/>
        <v>-1.0063207454307979</v>
      </c>
      <c r="N4035">
        <f t="shared" si="376"/>
        <v>0</v>
      </c>
      <c r="O4035">
        <f t="shared" si="377"/>
        <v>0</v>
      </c>
      <c r="P4035">
        <f t="shared" si="374"/>
        <v>3950</v>
      </c>
      <c r="Q4035">
        <f t="shared" si="378"/>
        <v>3950</v>
      </c>
      <c r="T4035" s="16">
        <f t="shared" si="379"/>
        <v>-1.0063207454307983</v>
      </c>
    </row>
    <row r="4036" spans="7:20" ht="14.4" x14ac:dyDescent="0.25">
      <c r="G4036" s="10">
        <v>4139</v>
      </c>
      <c r="H4036" s="9">
        <v>29383</v>
      </c>
      <c r="I4036" s="14">
        <f>DATE(2012,12,31)-409</f>
        <v>40865</v>
      </c>
      <c r="J4036" s="15" t="s">
        <v>16</v>
      </c>
      <c r="K4036" s="9">
        <v>20</v>
      </c>
      <c r="L4036" s="16" t="s">
        <v>27</v>
      </c>
      <c r="M4036" s="16">
        <f t="shared" si="375"/>
        <v>-0.38478275585780503</v>
      </c>
      <c r="N4036">
        <f t="shared" si="376"/>
        <v>0</v>
      </c>
      <c r="O4036">
        <f t="shared" si="377"/>
        <v>0</v>
      </c>
      <c r="P4036">
        <f t="shared" si="374"/>
        <v>4400</v>
      </c>
      <c r="Q4036">
        <f t="shared" si="378"/>
        <v>4400</v>
      </c>
      <c r="T4036" s="16">
        <f t="shared" si="379"/>
        <v>-0.38478275585780541</v>
      </c>
    </row>
    <row r="4037" spans="7:20" ht="14.4" x14ac:dyDescent="0.25">
      <c r="G4037" s="10">
        <v>4140</v>
      </c>
      <c r="H4037" s="9">
        <v>29383</v>
      </c>
      <c r="I4037" s="14">
        <f>DATE(2012,12,31)-409</f>
        <v>40865</v>
      </c>
      <c r="J4037" s="15" t="s">
        <v>16</v>
      </c>
      <c r="K4037" s="9">
        <v>28</v>
      </c>
      <c r="L4037" s="16" t="s">
        <v>26</v>
      </c>
      <c r="M4037" s="16">
        <f t="shared" si="375"/>
        <v>0.16769545709596645</v>
      </c>
      <c r="N4037">
        <f t="shared" si="376"/>
        <v>0</v>
      </c>
      <c r="O4037">
        <f t="shared" si="377"/>
        <v>0</v>
      </c>
      <c r="P4037">
        <f t="shared" si="374"/>
        <v>4800</v>
      </c>
      <c r="Q4037">
        <f t="shared" si="378"/>
        <v>4800</v>
      </c>
      <c r="T4037" s="16">
        <f t="shared" si="379"/>
        <v>0.16769545709596606</v>
      </c>
    </row>
    <row r="4038" spans="7:20" ht="14.4" x14ac:dyDescent="0.25">
      <c r="G4038" s="10">
        <v>4141</v>
      </c>
      <c r="H4038" s="9">
        <v>29383</v>
      </c>
      <c r="I4038" s="14">
        <f>DATE(2012,12,31)-409</f>
        <v>40865</v>
      </c>
      <c r="J4038" s="15" t="s">
        <v>16</v>
      </c>
      <c r="K4038" s="9">
        <v>29</v>
      </c>
      <c r="L4038" s="16" t="s">
        <v>27</v>
      </c>
      <c r="M4038" s="16">
        <f t="shared" si="375"/>
        <v>0.23675523371518786</v>
      </c>
      <c r="N4038">
        <f t="shared" si="376"/>
        <v>0</v>
      </c>
      <c r="O4038">
        <f t="shared" si="377"/>
        <v>0</v>
      </c>
      <c r="P4038">
        <f t="shared" si="374"/>
        <v>4850</v>
      </c>
      <c r="Q4038">
        <f t="shared" si="378"/>
        <v>4850</v>
      </c>
      <c r="T4038" s="16">
        <f t="shared" si="379"/>
        <v>0.2367552337151875</v>
      </c>
    </row>
    <row r="4039" spans="7:20" ht="14.4" x14ac:dyDescent="0.25">
      <c r="G4039" s="10">
        <v>4142</v>
      </c>
      <c r="H4039" s="9">
        <v>29383</v>
      </c>
      <c r="I4039" s="14">
        <f>DATE(2012,12,31)-409</f>
        <v>40865</v>
      </c>
      <c r="J4039" s="15" t="s">
        <v>16</v>
      </c>
      <c r="K4039" s="9">
        <v>30</v>
      </c>
      <c r="L4039" s="16" t="s">
        <v>29</v>
      </c>
      <c r="M4039" s="16">
        <f t="shared" si="375"/>
        <v>0.30581501033440933</v>
      </c>
      <c r="N4039">
        <f t="shared" si="376"/>
        <v>0</v>
      </c>
      <c r="O4039">
        <f t="shared" si="377"/>
        <v>0</v>
      </c>
      <c r="P4039">
        <f t="shared" si="374"/>
        <v>4900</v>
      </c>
      <c r="Q4039">
        <f t="shared" si="378"/>
        <v>4900</v>
      </c>
      <c r="T4039" s="16">
        <f t="shared" si="379"/>
        <v>0.30581501033440894</v>
      </c>
    </row>
    <row r="4040" spans="7:20" ht="14.4" x14ac:dyDescent="0.25">
      <c r="G4040" s="10">
        <v>4162</v>
      </c>
      <c r="H4040" s="9">
        <v>29507</v>
      </c>
      <c r="I4040" s="14">
        <f>DATE(2012,12,31)-326</f>
        <v>40948</v>
      </c>
      <c r="J4040" s="15" t="s">
        <v>25</v>
      </c>
      <c r="K4040" s="9">
        <v>14</v>
      </c>
      <c r="L4040" s="16" t="s">
        <v>29</v>
      </c>
      <c r="M4040" s="16">
        <f t="shared" si="375"/>
        <v>-0.79914141557313367</v>
      </c>
      <c r="N4040">
        <f t="shared" si="376"/>
        <v>0</v>
      </c>
      <c r="O4040">
        <f t="shared" si="377"/>
        <v>0</v>
      </c>
      <c r="P4040">
        <f t="shared" si="374"/>
        <v>4100</v>
      </c>
      <c r="Q4040">
        <f t="shared" si="378"/>
        <v>4100</v>
      </c>
      <c r="T4040" s="16">
        <f t="shared" si="379"/>
        <v>-0.79914141557313401</v>
      </c>
    </row>
    <row r="4041" spans="7:20" ht="14.4" x14ac:dyDescent="0.25">
      <c r="G4041" s="10">
        <v>4163</v>
      </c>
      <c r="H4041" s="9">
        <v>29507</v>
      </c>
      <c r="I4041" s="14">
        <f>DATE(2012,12,31)-326</f>
        <v>40948</v>
      </c>
      <c r="J4041" s="15" t="s">
        <v>25</v>
      </c>
      <c r="K4041" s="9">
        <v>41</v>
      </c>
      <c r="L4041" s="16" t="s">
        <v>27</v>
      </c>
      <c r="M4041" s="16">
        <f t="shared" si="375"/>
        <v>1.0654725531458451</v>
      </c>
      <c r="N4041">
        <f t="shared" si="376"/>
        <v>0</v>
      </c>
      <c r="O4041">
        <f t="shared" si="377"/>
        <v>0</v>
      </c>
      <c r="P4041">
        <f t="shared" si="374"/>
        <v>5450</v>
      </c>
      <c r="Q4041">
        <f t="shared" si="378"/>
        <v>5450</v>
      </c>
      <c r="T4041" s="16">
        <f t="shared" si="379"/>
        <v>1.0654725531458447</v>
      </c>
    </row>
    <row r="4042" spans="7:20" ht="14.4" x14ac:dyDescent="0.25">
      <c r="G4042" s="10">
        <v>4172</v>
      </c>
      <c r="H4042" s="9">
        <v>29572</v>
      </c>
      <c r="I4042" s="14">
        <f>DATE(2012,12,31)-942</f>
        <v>40332</v>
      </c>
      <c r="J4042" s="15" t="s">
        <v>28</v>
      </c>
      <c r="K4042" s="9">
        <v>18</v>
      </c>
      <c r="L4042" s="16" t="s">
        <v>29</v>
      </c>
      <c r="M4042" s="16">
        <f t="shared" si="375"/>
        <v>-0.52290230909624791</v>
      </c>
      <c r="N4042">
        <f t="shared" si="376"/>
        <v>0</v>
      </c>
      <c r="O4042">
        <f t="shared" si="377"/>
        <v>0</v>
      </c>
      <c r="P4042">
        <f t="shared" si="374"/>
        <v>4300</v>
      </c>
      <c r="Q4042">
        <f t="shared" si="378"/>
        <v>4300</v>
      </c>
      <c r="T4042" s="16">
        <f t="shared" si="379"/>
        <v>-0.52290230909624835</v>
      </c>
    </row>
    <row r="4043" spans="7:20" ht="14.4" x14ac:dyDescent="0.25">
      <c r="G4043" s="10">
        <v>4204</v>
      </c>
      <c r="H4043" s="9">
        <v>29889</v>
      </c>
      <c r="I4043" s="14">
        <f>DATE(2012,12,31)-1123</f>
        <v>40151</v>
      </c>
      <c r="J4043" s="15" t="s">
        <v>28</v>
      </c>
      <c r="K4043" s="9">
        <v>44</v>
      </c>
      <c r="L4043" s="16" t="s">
        <v>26</v>
      </c>
      <c r="M4043" s="16">
        <f t="shared" si="375"/>
        <v>1.2726518830035094</v>
      </c>
      <c r="N4043">
        <f t="shared" si="376"/>
        <v>0</v>
      </c>
      <c r="O4043">
        <f t="shared" si="377"/>
        <v>0</v>
      </c>
      <c r="P4043">
        <f t="shared" si="374"/>
        <v>5600</v>
      </c>
      <c r="Q4043">
        <f t="shared" si="378"/>
        <v>5600</v>
      </c>
      <c r="T4043" s="16">
        <f t="shared" si="379"/>
        <v>1.272651883003509</v>
      </c>
    </row>
    <row r="4044" spans="7:20" ht="14.4" x14ac:dyDescent="0.25">
      <c r="G4044" s="10">
        <v>4206</v>
      </c>
      <c r="H4044" s="9">
        <v>29894</v>
      </c>
      <c r="I4044" s="14">
        <f>DATE(2012,12,31)-846</f>
        <v>40428</v>
      </c>
      <c r="J4044" s="15" t="s">
        <v>25</v>
      </c>
      <c r="K4044" s="9">
        <v>43</v>
      </c>
      <c r="L4044" s="16" t="s">
        <v>29</v>
      </c>
      <c r="M4044" s="16">
        <f t="shared" si="375"/>
        <v>1.203592106384288</v>
      </c>
      <c r="N4044">
        <f t="shared" si="376"/>
        <v>0</v>
      </c>
      <c r="O4044">
        <f t="shared" si="377"/>
        <v>0</v>
      </c>
      <c r="P4044">
        <f t="shared" ref="P4044:P4107" si="380">50*K4044+$P$10</f>
        <v>5550</v>
      </c>
      <c r="Q4044">
        <f t="shared" si="378"/>
        <v>5550</v>
      </c>
      <c r="T4044" s="16">
        <f t="shared" si="379"/>
        <v>1.2035921063842876</v>
      </c>
    </row>
    <row r="4045" spans="7:20" ht="14.4" x14ac:dyDescent="0.25">
      <c r="G4045" s="10">
        <v>4207</v>
      </c>
      <c r="H4045" s="9">
        <v>29894</v>
      </c>
      <c r="I4045" s="14">
        <f>DATE(2012,12,31)-846</f>
        <v>40428</v>
      </c>
      <c r="J4045" s="15" t="s">
        <v>25</v>
      </c>
      <c r="K4045" s="9">
        <v>48</v>
      </c>
      <c r="L4045" s="16" t="s">
        <v>26</v>
      </c>
      <c r="M4045" s="16">
        <f t="shared" ref="M4045:M4108" si="381">(K4045-$K$4)/$K$7</f>
        <v>1.5488909894803951</v>
      </c>
      <c r="N4045">
        <f t="shared" ref="N4045:N4108" si="382">IF(MOD($B$20+G4045,1000)=0,1,0)</f>
        <v>0</v>
      </c>
      <c r="O4045">
        <f t="shared" ref="O4045:O4108" si="383">+ROUND(N4045*(IF(K4045&lt;$K$4,-4.5,10.5)*$P$5),-2)</f>
        <v>0</v>
      </c>
      <c r="P4045">
        <f t="shared" si="380"/>
        <v>5800</v>
      </c>
      <c r="Q4045">
        <f t="shared" ref="Q4045:Q4108" si="384">P4045+O4045</f>
        <v>5800</v>
      </c>
      <c r="T4045" s="16">
        <f t="shared" ref="T4045:T4108" si="385">(Q4045-$P$4)/$P$5</f>
        <v>1.5488909894803948</v>
      </c>
    </row>
    <row r="4046" spans="7:20" ht="14.4" x14ac:dyDescent="0.25">
      <c r="G4046" s="10">
        <v>4218</v>
      </c>
      <c r="H4046" s="9">
        <v>29985</v>
      </c>
      <c r="I4046" s="14">
        <f>DATE(2012,12,31)-173</f>
        <v>41101</v>
      </c>
      <c r="J4046" s="15" t="s">
        <v>30</v>
      </c>
      <c r="K4046" s="9">
        <v>2</v>
      </c>
      <c r="L4046" s="16" t="s">
        <v>26</v>
      </c>
      <c r="M4046" s="16">
        <f t="shared" si="381"/>
        <v>-1.627858735003791</v>
      </c>
      <c r="N4046">
        <f t="shared" si="382"/>
        <v>0</v>
      </c>
      <c r="O4046">
        <f t="shared" si="383"/>
        <v>0</v>
      </c>
      <c r="P4046">
        <f t="shared" si="380"/>
        <v>3500</v>
      </c>
      <c r="Q4046">
        <f t="shared" si="384"/>
        <v>3500</v>
      </c>
      <c r="T4046" s="16">
        <f t="shared" si="385"/>
        <v>-1.6278587350037912</v>
      </c>
    </row>
    <row r="4047" spans="7:20" ht="14.4" x14ac:dyDescent="0.25">
      <c r="G4047" s="10">
        <v>4232</v>
      </c>
      <c r="H4047" s="9">
        <v>30054</v>
      </c>
      <c r="I4047" s="14">
        <f>DATE(2012,12,31)-121</f>
        <v>41153</v>
      </c>
      <c r="J4047" s="15" t="s">
        <v>28</v>
      </c>
      <c r="K4047" s="9">
        <v>33</v>
      </c>
      <c r="L4047" s="16" t="s">
        <v>29</v>
      </c>
      <c r="M4047" s="16">
        <f t="shared" si="381"/>
        <v>0.51299434019207357</v>
      </c>
      <c r="N4047">
        <f t="shared" si="382"/>
        <v>0</v>
      </c>
      <c r="O4047">
        <f t="shared" si="383"/>
        <v>0</v>
      </c>
      <c r="P4047">
        <f t="shared" si="380"/>
        <v>5050</v>
      </c>
      <c r="Q4047">
        <f t="shared" si="384"/>
        <v>5050</v>
      </c>
      <c r="T4047" s="16">
        <f t="shared" si="385"/>
        <v>0.51299434019207324</v>
      </c>
    </row>
    <row r="4048" spans="7:20" ht="14.4" x14ac:dyDescent="0.25">
      <c r="G4048" s="10">
        <v>4244</v>
      </c>
      <c r="H4048" s="9">
        <v>30208</v>
      </c>
      <c r="I4048" s="14">
        <f>DATE(2012,12,31)-168</f>
        <v>41106</v>
      </c>
      <c r="J4048" s="15" t="s">
        <v>25</v>
      </c>
      <c r="K4048" s="9">
        <v>46</v>
      </c>
      <c r="L4048" s="16" t="s">
        <v>27</v>
      </c>
      <c r="M4048" s="16">
        <f t="shared" si="381"/>
        <v>1.4107714362419523</v>
      </c>
      <c r="N4048">
        <f t="shared" si="382"/>
        <v>0</v>
      </c>
      <c r="O4048">
        <f t="shared" si="383"/>
        <v>0</v>
      </c>
      <c r="P4048">
        <f t="shared" si="380"/>
        <v>5700</v>
      </c>
      <c r="Q4048">
        <f t="shared" si="384"/>
        <v>5700</v>
      </c>
      <c r="T4048" s="16">
        <f t="shared" si="385"/>
        <v>1.4107714362419519</v>
      </c>
    </row>
    <row r="4049" spans="7:20" ht="14.4" x14ac:dyDescent="0.25">
      <c r="G4049" s="10">
        <v>4265</v>
      </c>
      <c r="H4049" s="9">
        <v>30369</v>
      </c>
      <c r="I4049" s="14">
        <f>DATE(2012,12,31)-648</f>
        <v>40626</v>
      </c>
      <c r="J4049" s="15" t="s">
        <v>30</v>
      </c>
      <c r="K4049" s="9">
        <v>13</v>
      </c>
      <c r="L4049" s="16" t="s">
        <v>26</v>
      </c>
      <c r="M4049" s="16">
        <f t="shared" si="381"/>
        <v>-0.86820119219235514</v>
      </c>
      <c r="N4049">
        <f t="shared" si="382"/>
        <v>0</v>
      </c>
      <c r="O4049">
        <f t="shared" si="383"/>
        <v>0</v>
      </c>
      <c r="P4049">
        <f t="shared" si="380"/>
        <v>4050</v>
      </c>
      <c r="Q4049">
        <f t="shared" si="384"/>
        <v>4050</v>
      </c>
      <c r="T4049" s="16">
        <f t="shared" si="385"/>
        <v>-0.86820119219235548</v>
      </c>
    </row>
    <row r="4050" spans="7:20" ht="14.4" x14ac:dyDescent="0.25">
      <c r="G4050" s="10">
        <v>4266</v>
      </c>
      <c r="H4050" s="9">
        <v>30369</v>
      </c>
      <c r="I4050" s="14">
        <f>DATE(2012,12,31)-648</f>
        <v>40626</v>
      </c>
      <c r="J4050" s="15" t="s">
        <v>30</v>
      </c>
      <c r="K4050" s="9">
        <v>21</v>
      </c>
      <c r="L4050" s="16" t="s">
        <v>26</v>
      </c>
      <c r="M4050" s="16">
        <f t="shared" si="381"/>
        <v>-0.31572297923858361</v>
      </c>
      <c r="N4050">
        <f t="shared" si="382"/>
        <v>0</v>
      </c>
      <c r="O4050">
        <f t="shared" si="383"/>
        <v>0</v>
      </c>
      <c r="P4050">
        <f t="shared" si="380"/>
        <v>4450</v>
      </c>
      <c r="Q4050">
        <f t="shared" si="384"/>
        <v>4450</v>
      </c>
      <c r="T4050" s="16">
        <f t="shared" si="385"/>
        <v>-0.315722979238584</v>
      </c>
    </row>
    <row r="4051" spans="7:20" ht="14.4" x14ac:dyDescent="0.25">
      <c r="G4051" s="10">
        <v>4313</v>
      </c>
      <c r="H4051" s="9">
        <v>30726</v>
      </c>
      <c r="I4051" s="14">
        <f>DATE(2012,12,31)-1132</f>
        <v>40142</v>
      </c>
      <c r="J4051" s="15" t="s">
        <v>16</v>
      </c>
      <c r="K4051" s="9">
        <v>35</v>
      </c>
      <c r="L4051" s="16" t="s">
        <v>26</v>
      </c>
      <c r="M4051" s="16">
        <f t="shared" si="381"/>
        <v>0.65111389343051651</v>
      </c>
      <c r="N4051">
        <f t="shared" si="382"/>
        <v>0</v>
      </c>
      <c r="O4051">
        <f t="shared" si="383"/>
        <v>0</v>
      </c>
      <c r="P4051">
        <f t="shared" si="380"/>
        <v>5150</v>
      </c>
      <c r="Q4051">
        <f t="shared" si="384"/>
        <v>5150</v>
      </c>
      <c r="T4051" s="16">
        <f t="shared" si="385"/>
        <v>0.65111389343051607</v>
      </c>
    </row>
    <row r="4052" spans="7:20" ht="14.4" x14ac:dyDescent="0.25">
      <c r="G4052" s="10">
        <v>4314</v>
      </c>
      <c r="H4052" s="9">
        <v>30727</v>
      </c>
      <c r="I4052" s="14">
        <f>DATE(2012,12,31)-159</f>
        <v>41115</v>
      </c>
      <c r="J4052" s="15" t="s">
        <v>16</v>
      </c>
      <c r="K4052" s="9">
        <v>28</v>
      </c>
      <c r="L4052" s="16" t="s">
        <v>26</v>
      </c>
      <c r="M4052" s="16">
        <f t="shared" si="381"/>
        <v>0.16769545709596645</v>
      </c>
      <c r="N4052">
        <f t="shared" si="382"/>
        <v>0</v>
      </c>
      <c r="O4052">
        <f t="shared" si="383"/>
        <v>0</v>
      </c>
      <c r="P4052">
        <f t="shared" si="380"/>
        <v>4800</v>
      </c>
      <c r="Q4052">
        <f t="shared" si="384"/>
        <v>4800</v>
      </c>
      <c r="T4052" s="16">
        <f t="shared" si="385"/>
        <v>0.16769545709596606</v>
      </c>
    </row>
    <row r="4053" spans="7:20" ht="14.4" x14ac:dyDescent="0.25">
      <c r="G4053" s="10">
        <v>4341</v>
      </c>
      <c r="H4053" s="9">
        <v>30915</v>
      </c>
      <c r="I4053" s="14">
        <f>DATE(2012,12,31)-1445</f>
        <v>39829</v>
      </c>
      <c r="J4053" s="15" t="s">
        <v>25</v>
      </c>
      <c r="K4053" s="9">
        <v>20</v>
      </c>
      <c r="L4053" s="16" t="s">
        <v>26</v>
      </c>
      <c r="M4053" s="16">
        <f t="shared" si="381"/>
        <v>-0.38478275585780503</v>
      </c>
      <c r="N4053">
        <f t="shared" si="382"/>
        <v>0</v>
      </c>
      <c r="O4053">
        <f t="shared" si="383"/>
        <v>0</v>
      </c>
      <c r="P4053">
        <f t="shared" si="380"/>
        <v>4400</v>
      </c>
      <c r="Q4053">
        <f t="shared" si="384"/>
        <v>4400</v>
      </c>
      <c r="T4053" s="16">
        <f t="shared" si="385"/>
        <v>-0.38478275585780541</v>
      </c>
    </row>
    <row r="4054" spans="7:20" ht="14.4" x14ac:dyDescent="0.25">
      <c r="G4054" s="10">
        <v>4342</v>
      </c>
      <c r="H4054" s="9">
        <v>30915</v>
      </c>
      <c r="I4054" s="14">
        <f>DATE(2012,12,31)-1445</f>
        <v>39829</v>
      </c>
      <c r="J4054" s="15" t="s">
        <v>25</v>
      </c>
      <c r="K4054" s="9">
        <v>25</v>
      </c>
      <c r="L4054" s="16" t="s">
        <v>27</v>
      </c>
      <c r="M4054" s="16">
        <f t="shared" si="381"/>
        <v>-3.9483872761697868E-2</v>
      </c>
      <c r="N4054">
        <f t="shared" si="382"/>
        <v>0</v>
      </c>
      <c r="O4054">
        <f t="shared" si="383"/>
        <v>0</v>
      </c>
      <c r="P4054">
        <f t="shared" si="380"/>
        <v>4650</v>
      </c>
      <c r="Q4054">
        <f t="shared" si="384"/>
        <v>4650</v>
      </c>
      <c r="T4054" s="16">
        <f t="shared" si="385"/>
        <v>-3.9483872761698249E-2</v>
      </c>
    </row>
    <row r="4055" spans="7:20" ht="14.4" x14ac:dyDescent="0.25">
      <c r="G4055" s="10">
        <v>4359</v>
      </c>
      <c r="H4055" s="9">
        <v>31072</v>
      </c>
      <c r="I4055" s="14">
        <f>DATE(2012,12,31)-763</f>
        <v>40511</v>
      </c>
      <c r="J4055" s="15" t="s">
        <v>25</v>
      </c>
      <c r="K4055" s="9">
        <v>4</v>
      </c>
      <c r="L4055" s="16" t="s">
        <v>26</v>
      </c>
      <c r="M4055" s="16">
        <f t="shared" si="381"/>
        <v>-1.489739181765348</v>
      </c>
      <c r="N4055">
        <f t="shared" si="382"/>
        <v>0</v>
      </c>
      <c r="O4055">
        <f t="shared" si="383"/>
        <v>0</v>
      </c>
      <c r="P4055">
        <f t="shared" si="380"/>
        <v>3600</v>
      </c>
      <c r="Q4055">
        <f t="shared" si="384"/>
        <v>3600</v>
      </c>
      <c r="T4055" s="16">
        <f t="shared" si="385"/>
        <v>-1.4897391817653485</v>
      </c>
    </row>
    <row r="4056" spans="7:20" ht="14.4" x14ac:dyDescent="0.25">
      <c r="G4056" s="10">
        <v>4360</v>
      </c>
      <c r="H4056" s="9">
        <v>31073</v>
      </c>
      <c r="I4056" s="14">
        <f>DATE(2012,12,31)-890</f>
        <v>40384</v>
      </c>
      <c r="J4056" s="15" t="s">
        <v>16</v>
      </c>
      <c r="K4056" s="9">
        <v>39</v>
      </c>
      <c r="L4056" s="16" t="s">
        <v>29</v>
      </c>
      <c r="M4056" s="16">
        <f t="shared" si="381"/>
        <v>0.92735299990740228</v>
      </c>
      <c r="N4056">
        <f t="shared" si="382"/>
        <v>0</v>
      </c>
      <c r="O4056">
        <f t="shared" si="383"/>
        <v>0</v>
      </c>
      <c r="P4056">
        <f t="shared" si="380"/>
        <v>5350</v>
      </c>
      <c r="Q4056">
        <f t="shared" si="384"/>
        <v>5350</v>
      </c>
      <c r="T4056" s="16">
        <f t="shared" si="385"/>
        <v>0.92735299990740183</v>
      </c>
    </row>
    <row r="4057" spans="7:20" ht="14.4" x14ac:dyDescent="0.25">
      <c r="G4057" s="10">
        <v>4361</v>
      </c>
      <c r="H4057" s="9">
        <v>31073</v>
      </c>
      <c r="I4057" s="14">
        <f>DATE(2012,12,31)-890</f>
        <v>40384</v>
      </c>
      <c r="J4057" s="15" t="s">
        <v>16</v>
      </c>
      <c r="K4057" s="9">
        <v>26</v>
      </c>
      <c r="L4057" s="16" t="s">
        <v>26</v>
      </c>
      <c r="M4057" s="16">
        <f t="shared" si="381"/>
        <v>2.9575903857523567E-2</v>
      </c>
      <c r="N4057">
        <f t="shared" si="382"/>
        <v>0</v>
      </c>
      <c r="O4057">
        <f t="shared" si="383"/>
        <v>0</v>
      </c>
      <c r="P4057">
        <f t="shared" si="380"/>
        <v>4700</v>
      </c>
      <c r="Q4057">
        <f t="shared" si="384"/>
        <v>4700</v>
      </c>
      <c r="T4057" s="16">
        <f t="shared" si="385"/>
        <v>2.9575903857523185E-2</v>
      </c>
    </row>
    <row r="4058" spans="7:20" ht="14.4" x14ac:dyDescent="0.25">
      <c r="G4058" s="10">
        <v>4370</v>
      </c>
      <c r="H4058" s="9">
        <v>31138</v>
      </c>
      <c r="I4058" s="14">
        <f>DATE(2012,12,31)-1440</f>
        <v>39834</v>
      </c>
      <c r="J4058" s="15" t="s">
        <v>17</v>
      </c>
      <c r="K4058" s="9">
        <v>37</v>
      </c>
      <c r="L4058" s="16" t="s">
        <v>29</v>
      </c>
      <c r="M4058" s="16">
        <f t="shared" si="381"/>
        <v>0.78923344666895934</v>
      </c>
      <c r="N4058">
        <f t="shared" si="382"/>
        <v>0</v>
      </c>
      <c r="O4058">
        <f t="shared" si="383"/>
        <v>0</v>
      </c>
      <c r="P4058">
        <f t="shared" si="380"/>
        <v>5250</v>
      </c>
      <c r="Q4058">
        <f t="shared" si="384"/>
        <v>5250</v>
      </c>
      <c r="T4058" s="16">
        <f t="shared" si="385"/>
        <v>0.789233446668959</v>
      </c>
    </row>
    <row r="4059" spans="7:20" ht="14.4" x14ac:dyDescent="0.25">
      <c r="G4059" s="10">
        <v>4375</v>
      </c>
      <c r="H4059" s="9">
        <v>31173</v>
      </c>
      <c r="I4059" s="14">
        <f>DATE(2012,12,31)-135</f>
        <v>41139</v>
      </c>
      <c r="J4059" s="15" t="s">
        <v>25</v>
      </c>
      <c r="K4059" s="9">
        <v>24</v>
      </c>
      <c r="L4059" s="16" t="s">
        <v>27</v>
      </c>
      <c r="M4059" s="16">
        <f t="shared" si="381"/>
        <v>-0.1085436493809193</v>
      </c>
      <c r="N4059">
        <f t="shared" si="382"/>
        <v>0</v>
      </c>
      <c r="O4059">
        <f t="shared" si="383"/>
        <v>0</v>
      </c>
      <c r="P4059">
        <f t="shared" si="380"/>
        <v>4600</v>
      </c>
      <c r="Q4059">
        <f t="shared" si="384"/>
        <v>4600</v>
      </c>
      <c r="T4059" s="16">
        <f t="shared" si="385"/>
        <v>-0.10854364938091969</v>
      </c>
    </row>
    <row r="4060" spans="7:20" ht="14.4" x14ac:dyDescent="0.25">
      <c r="G4060" s="10">
        <v>4463</v>
      </c>
      <c r="H4060" s="9">
        <v>31812</v>
      </c>
      <c r="I4060" s="14">
        <f>DATE(2012,12,31)-519</f>
        <v>40755</v>
      </c>
      <c r="J4060" s="15" t="s">
        <v>17</v>
      </c>
      <c r="K4060" s="9">
        <v>14</v>
      </c>
      <c r="L4060" s="16" t="s">
        <v>26</v>
      </c>
      <c r="M4060" s="16">
        <f t="shared" si="381"/>
        <v>-0.79914141557313367</v>
      </c>
      <c r="N4060">
        <f t="shared" si="382"/>
        <v>0</v>
      </c>
      <c r="O4060">
        <f t="shared" si="383"/>
        <v>0</v>
      </c>
      <c r="P4060">
        <f t="shared" si="380"/>
        <v>4100</v>
      </c>
      <c r="Q4060">
        <f t="shared" si="384"/>
        <v>4100</v>
      </c>
      <c r="T4060" s="16">
        <f t="shared" si="385"/>
        <v>-0.79914141557313401</v>
      </c>
    </row>
    <row r="4061" spans="7:20" ht="14.4" x14ac:dyDescent="0.25">
      <c r="G4061" s="10">
        <v>4464</v>
      </c>
      <c r="H4061" s="9">
        <v>31812</v>
      </c>
      <c r="I4061" s="14">
        <f>DATE(2012,12,31)-519</f>
        <v>40755</v>
      </c>
      <c r="J4061" s="15" t="s">
        <v>17</v>
      </c>
      <c r="K4061" s="9">
        <v>31</v>
      </c>
      <c r="L4061" s="16" t="s">
        <v>26</v>
      </c>
      <c r="M4061" s="16">
        <f t="shared" si="381"/>
        <v>0.37487478695363075</v>
      </c>
      <c r="N4061">
        <f t="shared" si="382"/>
        <v>0</v>
      </c>
      <c r="O4061">
        <f t="shared" si="383"/>
        <v>0</v>
      </c>
      <c r="P4061">
        <f t="shared" si="380"/>
        <v>4950</v>
      </c>
      <c r="Q4061">
        <f t="shared" si="384"/>
        <v>4950</v>
      </c>
      <c r="T4061" s="16">
        <f t="shared" si="385"/>
        <v>0.37487478695363036</v>
      </c>
    </row>
    <row r="4062" spans="7:20" ht="14.4" x14ac:dyDescent="0.25">
      <c r="G4062" s="10">
        <v>4496</v>
      </c>
      <c r="H4062" s="9">
        <v>32002</v>
      </c>
      <c r="I4062" s="14">
        <f>DATE(2012,12,31)-895</f>
        <v>40379</v>
      </c>
      <c r="J4062" s="15" t="s">
        <v>25</v>
      </c>
      <c r="K4062" s="9">
        <v>37</v>
      </c>
      <c r="L4062" s="16" t="s">
        <v>27</v>
      </c>
      <c r="M4062" s="16">
        <f t="shared" si="381"/>
        <v>0.78923344666895934</v>
      </c>
      <c r="N4062">
        <f t="shared" si="382"/>
        <v>0</v>
      </c>
      <c r="O4062">
        <f t="shared" si="383"/>
        <v>0</v>
      </c>
      <c r="P4062">
        <f t="shared" si="380"/>
        <v>5250</v>
      </c>
      <c r="Q4062">
        <f t="shared" si="384"/>
        <v>5250</v>
      </c>
      <c r="T4062" s="16">
        <f t="shared" si="385"/>
        <v>0.789233446668959</v>
      </c>
    </row>
    <row r="4063" spans="7:20" ht="14.4" x14ac:dyDescent="0.25">
      <c r="G4063" s="10">
        <v>4497</v>
      </c>
      <c r="H4063" s="9">
        <v>32002</v>
      </c>
      <c r="I4063" s="14">
        <f>DATE(2012,12,31)-895</f>
        <v>40379</v>
      </c>
      <c r="J4063" s="15" t="s">
        <v>25</v>
      </c>
      <c r="K4063" s="9">
        <v>7</v>
      </c>
      <c r="L4063" s="16" t="s">
        <v>29</v>
      </c>
      <c r="M4063" s="16">
        <f t="shared" si="381"/>
        <v>-1.2825598519076837</v>
      </c>
      <c r="N4063">
        <f t="shared" si="382"/>
        <v>0</v>
      </c>
      <c r="O4063">
        <f t="shared" si="383"/>
        <v>0</v>
      </c>
      <c r="P4063">
        <f t="shared" si="380"/>
        <v>3750</v>
      </c>
      <c r="Q4063">
        <f t="shared" si="384"/>
        <v>3750</v>
      </c>
      <c r="T4063" s="16">
        <f t="shared" si="385"/>
        <v>-1.2825598519076842</v>
      </c>
    </row>
    <row r="4064" spans="7:20" ht="14.4" x14ac:dyDescent="0.25">
      <c r="G4064" s="10">
        <v>4541</v>
      </c>
      <c r="H4064" s="9">
        <v>32323</v>
      </c>
      <c r="I4064" s="14">
        <f>DATE(2012,12,31)-892</f>
        <v>40382</v>
      </c>
      <c r="J4064" s="15" t="s">
        <v>17</v>
      </c>
      <c r="K4064" s="9">
        <v>3</v>
      </c>
      <c r="L4064" s="16" t="s">
        <v>27</v>
      </c>
      <c r="M4064" s="16">
        <f t="shared" si="381"/>
        <v>-1.5587989583845694</v>
      </c>
      <c r="N4064">
        <f t="shared" si="382"/>
        <v>0</v>
      </c>
      <c r="O4064">
        <f t="shared" si="383"/>
        <v>0</v>
      </c>
      <c r="P4064">
        <f t="shared" si="380"/>
        <v>3550</v>
      </c>
      <c r="Q4064">
        <f t="shared" si="384"/>
        <v>3550</v>
      </c>
      <c r="T4064" s="16">
        <f t="shared" si="385"/>
        <v>-1.5587989583845698</v>
      </c>
    </row>
    <row r="4065" spans="7:20" ht="14.4" x14ac:dyDescent="0.25">
      <c r="G4065" s="10">
        <v>4542</v>
      </c>
      <c r="H4065" s="9">
        <v>32323</v>
      </c>
      <c r="I4065" s="14">
        <f>DATE(2012,12,31)-892</f>
        <v>40382</v>
      </c>
      <c r="J4065" s="15" t="s">
        <v>17</v>
      </c>
      <c r="K4065" s="9">
        <v>3</v>
      </c>
      <c r="L4065" s="16" t="s">
        <v>26</v>
      </c>
      <c r="M4065" s="16">
        <f t="shared" si="381"/>
        <v>-1.5587989583845694</v>
      </c>
      <c r="N4065">
        <f t="shared" si="382"/>
        <v>0</v>
      </c>
      <c r="O4065">
        <f t="shared" si="383"/>
        <v>0</v>
      </c>
      <c r="P4065">
        <f t="shared" si="380"/>
        <v>3550</v>
      </c>
      <c r="Q4065">
        <f t="shared" si="384"/>
        <v>3550</v>
      </c>
      <c r="T4065" s="16">
        <f t="shared" si="385"/>
        <v>-1.5587989583845698</v>
      </c>
    </row>
    <row r="4066" spans="7:20" ht="14.4" x14ac:dyDescent="0.25">
      <c r="G4066" s="10">
        <v>4543</v>
      </c>
      <c r="H4066" s="9">
        <v>32323</v>
      </c>
      <c r="I4066" s="14">
        <f>DATE(2012,12,31)-892</f>
        <v>40382</v>
      </c>
      <c r="J4066" s="15" t="s">
        <v>17</v>
      </c>
      <c r="K4066" s="9">
        <v>38</v>
      </c>
      <c r="L4066" s="16" t="s">
        <v>27</v>
      </c>
      <c r="M4066" s="16">
        <f t="shared" si="381"/>
        <v>0.85829322328818081</v>
      </c>
      <c r="N4066">
        <f t="shared" si="382"/>
        <v>0</v>
      </c>
      <c r="O4066">
        <f t="shared" si="383"/>
        <v>0</v>
      </c>
      <c r="P4066">
        <f t="shared" si="380"/>
        <v>5300</v>
      </c>
      <c r="Q4066">
        <f t="shared" si="384"/>
        <v>5300</v>
      </c>
      <c r="T4066" s="16">
        <f t="shared" si="385"/>
        <v>0.85829322328818036</v>
      </c>
    </row>
    <row r="4067" spans="7:20" ht="14.4" x14ac:dyDescent="0.25">
      <c r="G4067" s="10">
        <v>4564</v>
      </c>
      <c r="H4067" s="9">
        <v>32454</v>
      </c>
      <c r="I4067" s="14">
        <f>DATE(2012,12,31)-641</f>
        <v>40633</v>
      </c>
      <c r="J4067" s="15" t="s">
        <v>30</v>
      </c>
      <c r="K4067" s="9">
        <v>12</v>
      </c>
      <c r="L4067" s="16" t="s">
        <v>26</v>
      </c>
      <c r="M4067" s="16">
        <f t="shared" si="381"/>
        <v>-0.9372609688115765</v>
      </c>
      <c r="N4067">
        <f t="shared" si="382"/>
        <v>0</v>
      </c>
      <c r="O4067">
        <f t="shared" si="383"/>
        <v>0</v>
      </c>
      <c r="P4067">
        <f t="shared" si="380"/>
        <v>4000</v>
      </c>
      <c r="Q4067">
        <f t="shared" si="384"/>
        <v>4000</v>
      </c>
      <c r="T4067" s="16">
        <f t="shared" si="385"/>
        <v>-0.93726096881157694</v>
      </c>
    </row>
    <row r="4068" spans="7:20" ht="14.4" x14ac:dyDescent="0.25">
      <c r="G4068" s="10">
        <v>4569</v>
      </c>
      <c r="H4068" s="9">
        <v>32516</v>
      </c>
      <c r="I4068" s="14">
        <f>DATE(2012,12,31)-799</f>
        <v>40475</v>
      </c>
      <c r="J4068" s="15" t="s">
        <v>30</v>
      </c>
      <c r="K4068" s="9">
        <v>15</v>
      </c>
      <c r="L4068" s="16" t="s">
        <v>26</v>
      </c>
      <c r="M4068" s="16">
        <f t="shared" si="381"/>
        <v>-0.7300816389539122</v>
      </c>
      <c r="N4068">
        <f t="shared" si="382"/>
        <v>0</v>
      </c>
      <c r="O4068">
        <f t="shared" si="383"/>
        <v>0</v>
      </c>
      <c r="P4068">
        <f t="shared" si="380"/>
        <v>4150</v>
      </c>
      <c r="Q4068">
        <f t="shared" si="384"/>
        <v>4150</v>
      </c>
      <c r="T4068" s="16">
        <f t="shared" si="385"/>
        <v>-0.73008163895391265</v>
      </c>
    </row>
    <row r="4069" spans="7:20" ht="14.4" x14ac:dyDescent="0.25">
      <c r="G4069" s="10">
        <v>4570</v>
      </c>
      <c r="H4069" s="9">
        <v>32516</v>
      </c>
      <c r="I4069" s="14">
        <f>DATE(2012,12,31)-799</f>
        <v>40475</v>
      </c>
      <c r="J4069" s="15" t="s">
        <v>30</v>
      </c>
      <c r="K4069" s="9">
        <v>7</v>
      </c>
      <c r="L4069" s="16" t="s">
        <v>26</v>
      </c>
      <c r="M4069" s="16">
        <f t="shared" si="381"/>
        <v>-1.2825598519076837</v>
      </c>
      <c r="N4069">
        <f t="shared" si="382"/>
        <v>0</v>
      </c>
      <c r="O4069">
        <f t="shared" si="383"/>
        <v>0</v>
      </c>
      <c r="P4069">
        <f t="shared" si="380"/>
        <v>3750</v>
      </c>
      <c r="Q4069">
        <f t="shared" si="384"/>
        <v>3750</v>
      </c>
      <c r="T4069" s="16">
        <f t="shared" si="385"/>
        <v>-1.2825598519076842</v>
      </c>
    </row>
    <row r="4070" spans="7:20" ht="14.4" x14ac:dyDescent="0.25">
      <c r="G4070" s="10">
        <v>4577</v>
      </c>
      <c r="H4070" s="9">
        <v>32608</v>
      </c>
      <c r="I4070" s="14">
        <f>DATE(2012,12,31)-223</f>
        <v>41051</v>
      </c>
      <c r="J4070" s="15" t="s">
        <v>17</v>
      </c>
      <c r="K4070" s="9">
        <v>20</v>
      </c>
      <c r="L4070" s="16" t="s">
        <v>26</v>
      </c>
      <c r="M4070" s="16">
        <f t="shared" si="381"/>
        <v>-0.38478275585780503</v>
      </c>
      <c r="N4070">
        <f t="shared" si="382"/>
        <v>0</v>
      </c>
      <c r="O4070">
        <f t="shared" si="383"/>
        <v>0</v>
      </c>
      <c r="P4070">
        <f t="shared" si="380"/>
        <v>4400</v>
      </c>
      <c r="Q4070">
        <f t="shared" si="384"/>
        <v>4400</v>
      </c>
      <c r="T4070" s="16">
        <f t="shared" si="385"/>
        <v>-0.38478275585780541</v>
      </c>
    </row>
    <row r="4071" spans="7:20" ht="14.4" x14ac:dyDescent="0.25">
      <c r="G4071" s="10">
        <v>4704</v>
      </c>
      <c r="H4071" s="9">
        <v>33510</v>
      </c>
      <c r="I4071" s="14">
        <f>DATE(2012,12,31)-395</f>
        <v>40879</v>
      </c>
      <c r="J4071" s="15" t="s">
        <v>17</v>
      </c>
      <c r="K4071" s="9">
        <v>42</v>
      </c>
      <c r="L4071" s="16" t="s">
        <v>29</v>
      </c>
      <c r="M4071" s="16">
        <f t="shared" si="381"/>
        <v>1.1345323297650665</v>
      </c>
      <c r="N4071">
        <f t="shared" si="382"/>
        <v>0</v>
      </c>
      <c r="O4071">
        <f t="shared" si="383"/>
        <v>0</v>
      </c>
      <c r="P4071">
        <f t="shared" si="380"/>
        <v>5500</v>
      </c>
      <c r="Q4071">
        <f t="shared" si="384"/>
        <v>5500</v>
      </c>
      <c r="T4071" s="16">
        <f t="shared" si="385"/>
        <v>1.1345323297650662</v>
      </c>
    </row>
    <row r="4072" spans="7:20" ht="14.4" x14ac:dyDescent="0.25">
      <c r="G4072" s="10">
        <v>4705</v>
      </c>
      <c r="H4072" s="9">
        <v>33510</v>
      </c>
      <c r="I4072" s="14">
        <f>DATE(2012,12,31)-395</f>
        <v>40879</v>
      </c>
      <c r="J4072" s="15" t="s">
        <v>17</v>
      </c>
      <c r="K4072" s="9">
        <v>11</v>
      </c>
      <c r="L4072" s="16" t="s">
        <v>26</v>
      </c>
      <c r="M4072" s="16">
        <f t="shared" si="381"/>
        <v>-1.0063207454307979</v>
      </c>
      <c r="N4072">
        <f t="shared" si="382"/>
        <v>0</v>
      </c>
      <c r="O4072">
        <f t="shared" si="383"/>
        <v>0</v>
      </c>
      <c r="P4072">
        <f t="shared" si="380"/>
        <v>3950</v>
      </c>
      <c r="Q4072">
        <f t="shared" si="384"/>
        <v>3950</v>
      </c>
      <c r="T4072" s="16">
        <f t="shared" si="385"/>
        <v>-1.0063207454307983</v>
      </c>
    </row>
    <row r="4073" spans="7:20" ht="14.4" x14ac:dyDescent="0.25">
      <c r="G4073" s="10">
        <v>4709</v>
      </c>
      <c r="H4073" s="9">
        <v>33541</v>
      </c>
      <c r="I4073" s="14">
        <f>DATE(2012,12,31)-195</f>
        <v>41079</v>
      </c>
      <c r="J4073" s="15" t="s">
        <v>30</v>
      </c>
      <c r="K4073" s="9">
        <v>43</v>
      </c>
      <c r="L4073" s="16" t="s">
        <v>29</v>
      </c>
      <c r="M4073" s="16">
        <f t="shared" si="381"/>
        <v>1.203592106384288</v>
      </c>
      <c r="N4073">
        <f t="shared" si="382"/>
        <v>0</v>
      </c>
      <c r="O4073">
        <f t="shared" si="383"/>
        <v>0</v>
      </c>
      <c r="P4073">
        <f t="shared" si="380"/>
        <v>5550</v>
      </c>
      <c r="Q4073">
        <f t="shared" si="384"/>
        <v>5550</v>
      </c>
      <c r="T4073" s="16">
        <f t="shared" si="385"/>
        <v>1.2035921063842876</v>
      </c>
    </row>
    <row r="4074" spans="7:20" ht="14.4" x14ac:dyDescent="0.25">
      <c r="G4074" s="10">
        <v>4717</v>
      </c>
      <c r="H4074" s="9">
        <v>33573</v>
      </c>
      <c r="I4074" s="14">
        <f>DATE(2012,12,31)-819</f>
        <v>40455</v>
      </c>
      <c r="J4074" s="15" t="s">
        <v>30</v>
      </c>
      <c r="K4074" s="9">
        <v>15</v>
      </c>
      <c r="L4074" s="16" t="s">
        <v>29</v>
      </c>
      <c r="M4074" s="16">
        <f t="shared" si="381"/>
        <v>-0.7300816389539122</v>
      </c>
      <c r="N4074">
        <f t="shared" si="382"/>
        <v>0</v>
      </c>
      <c r="O4074">
        <f t="shared" si="383"/>
        <v>0</v>
      </c>
      <c r="P4074">
        <f t="shared" si="380"/>
        <v>4150</v>
      </c>
      <c r="Q4074">
        <f t="shared" si="384"/>
        <v>4150</v>
      </c>
      <c r="T4074" s="16">
        <f t="shared" si="385"/>
        <v>-0.73008163895391265</v>
      </c>
    </row>
    <row r="4075" spans="7:20" ht="14.4" x14ac:dyDescent="0.25">
      <c r="G4075" s="10">
        <v>4831</v>
      </c>
      <c r="H4075" s="9">
        <v>34371</v>
      </c>
      <c r="I4075" s="14">
        <f>DATE(2012,12,31)-1005</f>
        <v>40269</v>
      </c>
      <c r="J4075" s="15" t="s">
        <v>16</v>
      </c>
      <c r="K4075" s="9">
        <v>18</v>
      </c>
      <c r="L4075" s="16" t="s">
        <v>27</v>
      </c>
      <c r="M4075" s="16">
        <f t="shared" si="381"/>
        <v>-0.52290230909624791</v>
      </c>
      <c r="N4075">
        <f t="shared" si="382"/>
        <v>0</v>
      </c>
      <c r="O4075">
        <f t="shared" si="383"/>
        <v>0</v>
      </c>
      <c r="P4075">
        <f t="shared" si="380"/>
        <v>4300</v>
      </c>
      <c r="Q4075">
        <f t="shared" si="384"/>
        <v>4300</v>
      </c>
      <c r="T4075" s="16">
        <f t="shared" si="385"/>
        <v>-0.52290230909624835</v>
      </c>
    </row>
    <row r="4076" spans="7:20" ht="14.4" x14ac:dyDescent="0.25">
      <c r="G4076" s="10">
        <v>4851</v>
      </c>
      <c r="H4076" s="9">
        <v>34530</v>
      </c>
      <c r="I4076" s="14">
        <f>DATE(2012,12,31)-854</f>
        <v>40420</v>
      </c>
      <c r="J4076" s="15" t="s">
        <v>25</v>
      </c>
      <c r="K4076" s="9">
        <v>22</v>
      </c>
      <c r="L4076" s="16" t="s">
        <v>26</v>
      </c>
      <c r="M4076" s="16">
        <f t="shared" si="381"/>
        <v>-0.24666320261936217</v>
      </c>
      <c r="N4076">
        <f t="shared" si="382"/>
        <v>0</v>
      </c>
      <c r="O4076">
        <f t="shared" si="383"/>
        <v>0</v>
      </c>
      <c r="P4076">
        <f t="shared" si="380"/>
        <v>4500</v>
      </c>
      <c r="Q4076">
        <f t="shared" si="384"/>
        <v>4500</v>
      </c>
      <c r="T4076" s="16">
        <f t="shared" si="385"/>
        <v>-0.24666320261936256</v>
      </c>
    </row>
    <row r="4077" spans="7:20" ht="14.4" x14ac:dyDescent="0.25">
      <c r="G4077" s="10">
        <v>4852</v>
      </c>
      <c r="H4077" s="9">
        <v>34530</v>
      </c>
      <c r="I4077" s="14">
        <f>DATE(2012,12,31)-854</f>
        <v>40420</v>
      </c>
      <c r="J4077" s="15" t="s">
        <v>25</v>
      </c>
      <c r="K4077" s="9">
        <v>38</v>
      </c>
      <c r="L4077" s="16" t="s">
        <v>27</v>
      </c>
      <c r="M4077" s="16">
        <f t="shared" si="381"/>
        <v>0.85829322328818081</v>
      </c>
      <c r="N4077">
        <f t="shared" si="382"/>
        <v>0</v>
      </c>
      <c r="O4077">
        <f t="shared" si="383"/>
        <v>0</v>
      </c>
      <c r="P4077">
        <f t="shared" si="380"/>
        <v>5300</v>
      </c>
      <c r="Q4077">
        <f t="shared" si="384"/>
        <v>5300</v>
      </c>
      <c r="T4077" s="16">
        <f t="shared" si="385"/>
        <v>0.85829322328818036</v>
      </c>
    </row>
    <row r="4078" spans="7:20" ht="14.4" x14ac:dyDescent="0.25">
      <c r="G4078" s="10">
        <v>4853</v>
      </c>
      <c r="H4078" s="9">
        <v>34530</v>
      </c>
      <c r="I4078" s="14">
        <f>DATE(2012,12,31)-854</f>
        <v>40420</v>
      </c>
      <c r="J4078" s="15" t="s">
        <v>25</v>
      </c>
      <c r="K4078" s="9">
        <v>7</v>
      </c>
      <c r="L4078" s="16" t="s">
        <v>29</v>
      </c>
      <c r="M4078" s="16">
        <f t="shared" si="381"/>
        <v>-1.2825598519076837</v>
      </c>
      <c r="N4078">
        <f t="shared" si="382"/>
        <v>0</v>
      </c>
      <c r="O4078">
        <f t="shared" si="383"/>
        <v>0</v>
      </c>
      <c r="P4078">
        <f t="shared" si="380"/>
        <v>3750</v>
      </c>
      <c r="Q4078">
        <f t="shared" si="384"/>
        <v>3750</v>
      </c>
      <c r="T4078" s="16">
        <f t="shared" si="385"/>
        <v>-1.2825598519076842</v>
      </c>
    </row>
    <row r="4079" spans="7:20" ht="14.4" x14ac:dyDescent="0.25">
      <c r="G4079" s="10">
        <v>4855</v>
      </c>
      <c r="H4079" s="9">
        <v>34562</v>
      </c>
      <c r="I4079" s="14">
        <f>DATE(2012,12,31)-860</f>
        <v>40414</v>
      </c>
      <c r="J4079" s="15" t="s">
        <v>25</v>
      </c>
      <c r="K4079" s="9">
        <v>22</v>
      </c>
      <c r="L4079" s="16" t="s">
        <v>27</v>
      </c>
      <c r="M4079" s="16">
        <f t="shared" si="381"/>
        <v>-0.24666320261936217</v>
      </c>
      <c r="N4079">
        <f t="shared" si="382"/>
        <v>0</v>
      </c>
      <c r="O4079">
        <f t="shared" si="383"/>
        <v>0</v>
      </c>
      <c r="P4079">
        <f t="shared" si="380"/>
        <v>4500</v>
      </c>
      <c r="Q4079">
        <f t="shared" si="384"/>
        <v>4500</v>
      </c>
      <c r="T4079" s="16">
        <f t="shared" si="385"/>
        <v>-0.24666320261936256</v>
      </c>
    </row>
    <row r="4080" spans="7:20" ht="14.4" x14ac:dyDescent="0.25">
      <c r="G4080" s="10">
        <v>4856</v>
      </c>
      <c r="H4080" s="9">
        <v>34562</v>
      </c>
      <c r="I4080" s="14">
        <f>DATE(2012,12,31)-860</f>
        <v>40414</v>
      </c>
      <c r="J4080" s="15" t="s">
        <v>25</v>
      </c>
      <c r="K4080" s="9">
        <v>19</v>
      </c>
      <c r="L4080" s="16" t="s">
        <v>26</v>
      </c>
      <c r="M4080" s="16">
        <f t="shared" si="381"/>
        <v>-0.45384253247702649</v>
      </c>
      <c r="N4080">
        <f t="shared" si="382"/>
        <v>0</v>
      </c>
      <c r="O4080">
        <f t="shared" si="383"/>
        <v>0</v>
      </c>
      <c r="P4080">
        <f t="shared" si="380"/>
        <v>4350</v>
      </c>
      <c r="Q4080">
        <f t="shared" si="384"/>
        <v>4350</v>
      </c>
      <c r="T4080" s="16">
        <f t="shared" si="385"/>
        <v>-0.45384253247702688</v>
      </c>
    </row>
    <row r="4081" spans="7:20" ht="14.4" x14ac:dyDescent="0.25">
      <c r="G4081" s="10">
        <v>4980</v>
      </c>
      <c r="H4081" s="9">
        <v>35430</v>
      </c>
      <c r="I4081" s="14">
        <f>DATE(2012,12,31)-1012</f>
        <v>40262</v>
      </c>
      <c r="J4081" s="15" t="s">
        <v>25</v>
      </c>
      <c r="K4081" s="9">
        <v>16</v>
      </c>
      <c r="L4081" s="16" t="s">
        <v>29</v>
      </c>
      <c r="M4081" s="16">
        <f t="shared" si="381"/>
        <v>-0.66102186233469074</v>
      </c>
      <c r="N4081">
        <f t="shared" si="382"/>
        <v>0</v>
      </c>
      <c r="O4081">
        <f t="shared" si="383"/>
        <v>0</v>
      </c>
      <c r="P4081">
        <f t="shared" si="380"/>
        <v>4200</v>
      </c>
      <c r="Q4081">
        <f t="shared" si="384"/>
        <v>4200</v>
      </c>
      <c r="T4081" s="16">
        <f t="shared" si="385"/>
        <v>-0.66102186233469118</v>
      </c>
    </row>
    <row r="4082" spans="7:20" ht="14.4" x14ac:dyDescent="0.25">
      <c r="G4082" s="10">
        <v>4981</v>
      </c>
      <c r="H4082" s="9">
        <v>35430</v>
      </c>
      <c r="I4082" s="14">
        <f>DATE(2012,12,31)-1012</f>
        <v>40262</v>
      </c>
      <c r="J4082" s="15" t="s">
        <v>25</v>
      </c>
      <c r="K4082" s="9">
        <v>48</v>
      </c>
      <c r="L4082" s="16" t="s">
        <v>26</v>
      </c>
      <c r="M4082" s="16">
        <f t="shared" si="381"/>
        <v>1.5488909894803951</v>
      </c>
      <c r="N4082">
        <f t="shared" si="382"/>
        <v>0</v>
      </c>
      <c r="O4082">
        <f t="shared" si="383"/>
        <v>0</v>
      </c>
      <c r="P4082">
        <f t="shared" si="380"/>
        <v>5800</v>
      </c>
      <c r="Q4082">
        <f t="shared" si="384"/>
        <v>5800</v>
      </c>
      <c r="T4082" s="16">
        <f t="shared" si="385"/>
        <v>1.5488909894803948</v>
      </c>
    </row>
    <row r="4083" spans="7:20" ht="14.4" x14ac:dyDescent="0.25">
      <c r="G4083" s="10">
        <v>4982</v>
      </c>
      <c r="H4083" s="9">
        <v>35430</v>
      </c>
      <c r="I4083" s="14">
        <f>DATE(2012,12,31)-1012</f>
        <v>40262</v>
      </c>
      <c r="J4083" s="15" t="s">
        <v>25</v>
      </c>
      <c r="K4083" s="9">
        <v>31</v>
      </c>
      <c r="L4083" s="16" t="s">
        <v>27</v>
      </c>
      <c r="M4083" s="16">
        <f t="shared" si="381"/>
        <v>0.37487478695363075</v>
      </c>
      <c r="N4083">
        <f t="shared" si="382"/>
        <v>0</v>
      </c>
      <c r="O4083">
        <f t="shared" si="383"/>
        <v>0</v>
      </c>
      <c r="P4083">
        <f t="shared" si="380"/>
        <v>4950</v>
      </c>
      <c r="Q4083">
        <f t="shared" si="384"/>
        <v>4950</v>
      </c>
      <c r="T4083" s="16">
        <f t="shared" si="385"/>
        <v>0.37487478695363036</v>
      </c>
    </row>
    <row r="4084" spans="7:20" ht="14.4" x14ac:dyDescent="0.25">
      <c r="G4084" s="10">
        <v>4999</v>
      </c>
      <c r="H4084" s="9">
        <v>35588</v>
      </c>
      <c r="I4084" s="14">
        <f>DATE(2012,12,31)-932</f>
        <v>40342</v>
      </c>
      <c r="J4084" s="15" t="s">
        <v>25</v>
      </c>
      <c r="K4084" s="9">
        <v>32</v>
      </c>
      <c r="L4084" s="16" t="s">
        <v>29</v>
      </c>
      <c r="M4084" s="16">
        <f t="shared" si="381"/>
        <v>0.44393456357285216</v>
      </c>
      <c r="N4084">
        <f t="shared" si="382"/>
        <v>0</v>
      </c>
      <c r="O4084">
        <f t="shared" si="383"/>
        <v>0</v>
      </c>
      <c r="P4084">
        <f t="shared" si="380"/>
        <v>5000</v>
      </c>
      <c r="Q4084">
        <f t="shared" si="384"/>
        <v>5000</v>
      </c>
      <c r="T4084" s="16">
        <f t="shared" si="385"/>
        <v>0.44393456357285183</v>
      </c>
    </row>
    <row r="4085" spans="7:20" ht="14.4" x14ac:dyDescent="0.25">
      <c r="G4085" s="10">
        <v>5007</v>
      </c>
      <c r="H4085" s="9">
        <v>35712</v>
      </c>
      <c r="I4085" s="14">
        <f>DATE(2012,12,31)-69</f>
        <v>41205</v>
      </c>
      <c r="J4085" s="15" t="s">
        <v>17</v>
      </c>
      <c r="K4085" s="9">
        <v>42</v>
      </c>
      <c r="L4085" s="16" t="s">
        <v>27</v>
      </c>
      <c r="M4085" s="16">
        <f t="shared" si="381"/>
        <v>1.1345323297650665</v>
      </c>
      <c r="N4085">
        <f t="shared" si="382"/>
        <v>0</v>
      </c>
      <c r="O4085">
        <f t="shared" si="383"/>
        <v>0</v>
      </c>
      <c r="P4085">
        <f t="shared" si="380"/>
        <v>5500</v>
      </c>
      <c r="Q4085">
        <f t="shared" si="384"/>
        <v>5500</v>
      </c>
      <c r="T4085" s="16">
        <f t="shared" si="385"/>
        <v>1.1345323297650662</v>
      </c>
    </row>
    <row r="4086" spans="7:20" ht="14.4" x14ac:dyDescent="0.25">
      <c r="G4086" s="10">
        <v>5008</v>
      </c>
      <c r="H4086" s="9">
        <v>35712</v>
      </c>
      <c r="I4086" s="14">
        <f>DATE(2012,12,31)-69</f>
        <v>41205</v>
      </c>
      <c r="J4086" s="15" t="s">
        <v>17</v>
      </c>
      <c r="K4086" s="9">
        <v>24</v>
      </c>
      <c r="L4086" s="16" t="s">
        <v>26</v>
      </c>
      <c r="M4086" s="16">
        <f t="shared" si="381"/>
        <v>-0.1085436493809193</v>
      </c>
      <c r="N4086">
        <f t="shared" si="382"/>
        <v>0</v>
      </c>
      <c r="O4086">
        <f t="shared" si="383"/>
        <v>0</v>
      </c>
      <c r="P4086">
        <f t="shared" si="380"/>
        <v>4600</v>
      </c>
      <c r="Q4086">
        <f t="shared" si="384"/>
        <v>4600</v>
      </c>
      <c r="T4086" s="16">
        <f t="shared" si="385"/>
        <v>-0.10854364938091969</v>
      </c>
    </row>
    <row r="4087" spans="7:20" ht="14.4" x14ac:dyDescent="0.25">
      <c r="G4087" s="10">
        <v>5068</v>
      </c>
      <c r="H4087" s="9">
        <v>36130</v>
      </c>
      <c r="I4087" s="14">
        <f>DATE(2012,12,31)-109</f>
        <v>41165</v>
      </c>
      <c r="J4087" s="15" t="s">
        <v>30</v>
      </c>
      <c r="K4087" s="9">
        <v>23</v>
      </c>
      <c r="L4087" s="16" t="s">
        <v>27</v>
      </c>
      <c r="M4087" s="16">
        <f t="shared" si="381"/>
        <v>-0.17760342600014073</v>
      </c>
      <c r="N4087">
        <f t="shared" si="382"/>
        <v>0</v>
      </c>
      <c r="O4087">
        <f t="shared" si="383"/>
        <v>0</v>
      </c>
      <c r="P4087">
        <f t="shared" si="380"/>
        <v>4550</v>
      </c>
      <c r="Q4087">
        <f t="shared" si="384"/>
        <v>4550</v>
      </c>
      <c r="T4087" s="16">
        <f t="shared" si="385"/>
        <v>-0.17760342600014112</v>
      </c>
    </row>
    <row r="4088" spans="7:20" ht="14.4" x14ac:dyDescent="0.25">
      <c r="G4088" s="10">
        <v>5109</v>
      </c>
      <c r="H4088" s="9">
        <v>36416</v>
      </c>
      <c r="I4088" s="14">
        <f>DATE(2012,12,31)-1127</f>
        <v>40147</v>
      </c>
      <c r="J4088" s="15" t="s">
        <v>25</v>
      </c>
      <c r="K4088" s="9">
        <v>44</v>
      </c>
      <c r="L4088" s="16" t="s">
        <v>26</v>
      </c>
      <c r="M4088" s="16">
        <f t="shared" si="381"/>
        <v>1.2726518830035094</v>
      </c>
      <c r="N4088">
        <f t="shared" si="382"/>
        <v>0</v>
      </c>
      <c r="O4088">
        <f t="shared" si="383"/>
        <v>0</v>
      </c>
      <c r="P4088">
        <f t="shared" si="380"/>
        <v>5600</v>
      </c>
      <c r="Q4088">
        <f t="shared" si="384"/>
        <v>5600</v>
      </c>
      <c r="T4088" s="16">
        <f t="shared" si="385"/>
        <v>1.272651883003509</v>
      </c>
    </row>
    <row r="4089" spans="7:20" ht="14.4" x14ac:dyDescent="0.25">
      <c r="G4089" s="10">
        <v>5110</v>
      </c>
      <c r="H4089" s="9">
        <v>36416</v>
      </c>
      <c r="I4089" s="14">
        <f>DATE(2012,12,31)-1127</f>
        <v>40147</v>
      </c>
      <c r="J4089" s="15" t="s">
        <v>25</v>
      </c>
      <c r="K4089" s="9">
        <v>46</v>
      </c>
      <c r="L4089" s="16" t="s">
        <v>26</v>
      </c>
      <c r="M4089" s="16">
        <f t="shared" si="381"/>
        <v>1.4107714362419523</v>
      </c>
      <c r="N4089">
        <f t="shared" si="382"/>
        <v>0</v>
      </c>
      <c r="O4089">
        <f t="shared" si="383"/>
        <v>0</v>
      </c>
      <c r="P4089">
        <f t="shared" si="380"/>
        <v>5700</v>
      </c>
      <c r="Q4089">
        <f t="shared" si="384"/>
        <v>5700</v>
      </c>
      <c r="T4089" s="16">
        <f t="shared" si="385"/>
        <v>1.4107714362419519</v>
      </c>
    </row>
    <row r="4090" spans="7:20" ht="14.4" x14ac:dyDescent="0.25">
      <c r="G4090" s="10">
        <v>5111</v>
      </c>
      <c r="H4090" s="9">
        <v>36418</v>
      </c>
      <c r="I4090" s="14">
        <f>DATE(2012,12,31)-339</f>
        <v>40935</v>
      </c>
      <c r="J4090" s="15" t="s">
        <v>28</v>
      </c>
      <c r="K4090" s="9">
        <v>33</v>
      </c>
      <c r="L4090" s="16" t="s">
        <v>26</v>
      </c>
      <c r="M4090" s="16">
        <f t="shared" si="381"/>
        <v>0.51299434019207357</v>
      </c>
      <c r="N4090">
        <f t="shared" si="382"/>
        <v>0</v>
      </c>
      <c r="O4090">
        <f t="shared" si="383"/>
        <v>0</v>
      </c>
      <c r="P4090">
        <f t="shared" si="380"/>
        <v>5050</v>
      </c>
      <c r="Q4090">
        <f t="shared" si="384"/>
        <v>5050</v>
      </c>
      <c r="T4090" s="16">
        <f t="shared" si="385"/>
        <v>0.51299434019207324</v>
      </c>
    </row>
    <row r="4091" spans="7:20" ht="14.4" x14ac:dyDescent="0.25">
      <c r="G4091" s="10">
        <v>5129</v>
      </c>
      <c r="H4091" s="9">
        <v>36517</v>
      </c>
      <c r="I4091" s="14">
        <f>DATE(2012,12,31)-1036</f>
        <v>40238</v>
      </c>
      <c r="J4091" s="15" t="s">
        <v>28</v>
      </c>
      <c r="K4091" s="9">
        <v>18</v>
      </c>
      <c r="L4091" s="16" t="s">
        <v>26</v>
      </c>
      <c r="M4091" s="16">
        <f t="shared" si="381"/>
        <v>-0.52290230909624791</v>
      </c>
      <c r="N4091">
        <f t="shared" si="382"/>
        <v>0</v>
      </c>
      <c r="O4091">
        <f t="shared" si="383"/>
        <v>0</v>
      </c>
      <c r="P4091">
        <f t="shared" si="380"/>
        <v>4300</v>
      </c>
      <c r="Q4091">
        <f t="shared" si="384"/>
        <v>4300</v>
      </c>
      <c r="T4091" s="16">
        <f t="shared" si="385"/>
        <v>-0.52290230909624835</v>
      </c>
    </row>
    <row r="4092" spans="7:20" ht="14.4" x14ac:dyDescent="0.25">
      <c r="G4092" s="10">
        <v>5130</v>
      </c>
      <c r="H4092" s="9">
        <v>36517</v>
      </c>
      <c r="I4092" s="14">
        <f>DATE(2012,12,31)-1036</f>
        <v>40238</v>
      </c>
      <c r="J4092" s="15" t="s">
        <v>28</v>
      </c>
      <c r="K4092" s="9">
        <v>9</v>
      </c>
      <c r="L4092" s="16" t="s">
        <v>27</v>
      </c>
      <c r="M4092" s="16">
        <f t="shared" si="381"/>
        <v>-1.1444402986692408</v>
      </c>
      <c r="N4092">
        <f t="shared" si="382"/>
        <v>0</v>
      </c>
      <c r="O4092">
        <f t="shared" si="383"/>
        <v>0</v>
      </c>
      <c r="P4092">
        <f t="shared" si="380"/>
        <v>3850</v>
      </c>
      <c r="Q4092">
        <f t="shared" si="384"/>
        <v>3850</v>
      </c>
      <c r="T4092" s="16">
        <f t="shared" si="385"/>
        <v>-1.1444402986692412</v>
      </c>
    </row>
    <row r="4093" spans="7:20" ht="14.4" x14ac:dyDescent="0.25">
      <c r="G4093" s="10">
        <v>5151</v>
      </c>
      <c r="H4093" s="9">
        <v>36705</v>
      </c>
      <c r="I4093" s="14">
        <f>DATE(2012,12,31)-1285</f>
        <v>39989</v>
      </c>
      <c r="J4093" s="15" t="s">
        <v>28</v>
      </c>
      <c r="K4093" s="9">
        <v>17</v>
      </c>
      <c r="L4093" s="16" t="s">
        <v>29</v>
      </c>
      <c r="M4093" s="16">
        <f t="shared" si="381"/>
        <v>-0.59196208571546938</v>
      </c>
      <c r="N4093">
        <f t="shared" si="382"/>
        <v>0</v>
      </c>
      <c r="O4093">
        <f t="shared" si="383"/>
        <v>0</v>
      </c>
      <c r="P4093">
        <f t="shared" si="380"/>
        <v>4250</v>
      </c>
      <c r="Q4093">
        <f t="shared" si="384"/>
        <v>4250</v>
      </c>
      <c r="T4093" s="16">
        <f t="shared" si="385"/>
        <v>-0.59196208571546971</v>
      </c>
    </row>
    <row r="4094" spans="7:20" ht="14.4" x14ac:dyDescent="0.25">
      <c r="G4094" s="10">
        <v>5179</v>
      </c>
      <c r="H4094" s="9">
        <v>36833</v>
      </c>
      <c r="I4094" s="14">
        <f>DATE(2012,12,31)-173</f>
        <v>41101</v>
      </c>
      <c r="J4094" s="15" t="s">
        <v>25</v>
      </c>
      <c r="K4094" s="9">
        <v>25</v>
      </c>
      <c r="L4094" s="16" t="s">
        <v>26</v>
      </c>
      <c r="M4094" s="16">
        <f t="shared" si="381"/>
        <v>-3.9483872761697868E-2</v>
      </c>
      <c r="N4094">
        <f t="shared" si="382"/>
        <v>0</v>
      </c>
      <c r="O4094">
        <f t="shared" si="383"/>
        <v>0</v>
      </c>
      <c r="P4094">
        <f t="shared" si="380"/>
        <v>4650</v>
      </c>
      <c r="Q4094">
        <f t="shared" si="384"/>
        <v>4650</v>
      </c>
      <c r="T4094" s="16">
        <f t="shared" si="385"/>
        <v>-3.9483872761698249E-2</v>
      </c>
    </row>
    <row r="4095" spans="7:20" ht="14.4" x14ac:dyDescent="0.25">
      <c r="G4095" s="10">
        <v>5190</v>
      </c>
      <c r="H4095" s="9">
        <v>36896</v>
      </c>
      <c r="I4095" s="14">
        <f>DATE(2012,12,31)-1154</f>
        <v>40120</v>
      </c>
      <c r="J4095" s="15" t="s">
        <v>30</v>
      </c>
      <c r="K4095" s="9">
        <v>12</v>
      </c>
      <c r="L4095" s="16" t="s">
        <v>26</v>
      </c>
      <c r="M4095" s="16">
        <f t="shared" si="381"/>
        <v>-0.9372609688115765</v>
      </c>
      <c r="N4095">
        <f t="shared" si="382"/>
        <v>0</v>
      </c>
      <c r="O4095">
        <f t="shared" si="383"/>
        <v>0</v>
      </c>
      <c r="P4095">
        <f t="shared" si="380"/>
        <v>4000</v>
      </c>
      <c r="Q4095">
        <f t="shared" si="384"/>
        <v>4000</v>
      </c>
      <c r="T4095" s="16">
        <f t="shared" si="385"/>
        <v>-0.93726096881157694</v>
      </c>
    </row>
    <row r="4096" spans="7:20" ht="14.4" x14ac:dyDescent="0.25">
      <c r="G4096" s="10">
        <v>5191</v>
      </c>
      <c r="H4096" s="9">
        <v>36896</v>
      </c>
      <c r="I4096" s="14">
        <f>DATE(2012,12,31)-1154</f>
        <v>40120</v>
      </c>
      <c r="J4096" s="15" t="s">
        <v>30</v>
      </c>
      <c r="K4096" s="9">
        <v>41</v>
      </c>
      <c r="L4096" s="16" t="s">
        <v>29</v>
      </c>
      <c r="M4096" s="16">
        <f t="shared" si="381"/>
        <v>1.0654725531458451</v>
      </c>
      <c r="N4096">
        <f t="shared" si="382"/>
        <v>0</v>
      </c>
      <c r="O4096">
        <f t="shared" si="383"/>
        <v>0</v>
      </c>
      <c r="P4096">
        <f t="shared" si="380"/>
        <v>5450</v>
      </c>
      <c r="Q4096">
        <f t="shared" si="384"/>
        <v>5450</v>
      </c>
      <c r="T4096" s="16">
        <f t="shared" si="385"/>
        <v>1.0654725531458447</v>
      </c>
    </row>
    <row r="4097" spans="7:20" ht="14.4" x14ac:dyDescent="0.25">
      <c r="G4097" s="10">
        <v>5192</v>
      </c>
      <c r="H4097" s="9">
        <v>36896</v>
      </c>
      <c r="I4097" s="14">
        <f>DATE(2012,12,31)-1154</f>
        <v>40120</v>
      </c>
      <c r="J4097" s="15" t="s">
        <v>30</v>
      </c>
      <c r="K4097" s="9">
        <v>21</v>
      </c>
      <c r="L4097" s="16" t="s">
        <v>26</v>
      </c>
      <c r="M4097" s="16">
        <f t="shared" si="381"/>
        <v>-0.31572297923858361</v>
      </c>
      <c r="N4097">
        <f t="shared" si="382"/>
        <v>0</v>
      </c>
      <c r="O4097">
        <f t="shared" si="383"/>
        <v>0</v>
      </c>
      <c r="P4097">
        <f t="shared" si="380"/>
        <v>4450</v>
      </c>
      <c r="Q4097">
        <f t="shared" si="384"/>
        <v>4450</v>
      </c>
      <c r="T4097" s="16">
        <f t="shared" si="385"/>
        <v>-0.315722979238584</v>
      </c>
    </row>
    <row r="4098" spans="7:20" ht="14.4" x14ac:dyDescent="0.25">
      <c r="G4098" s="10">
        <v>5215</v>
      </c>
      <c r="H4098" s="9">
        <v>37123</v>
      </c>
      <c r="I4098" s="14">
        <f>DATE(2012,12,31)-317</f>
        <v>40957</v>
      </c>
      <c r="J4098" s="15" t="s">
        <v>17</v>
      </c>
      <c r="K4098" s="9">
        <v>50</v>
      </c>
      <c r="L4098" s="16" t="s">
        <v>29</v>
      </c>
      <c r="M4098" s="16">
        <f t="shared" si="381"/>
        <v>1.687010542718838</v>
      </c>
      <c r="N4098">
        <f t="shared" si="382"/>
        <v>0</v>
      </c>
      <c r="O4098">
        <f t="shared" si="383"/>
        <v>0</v>
      </c>
      <c r="P4098">
        <f t="shared" si="380"/>
        <v>5900</v>
      </c>
      <c r="Q4098">
        <f t="shared" si="384"/>
        <v>5900</v>
      </c>
      <c r="T4098" s="16">
        <f t="shared" si="385"/>
        <v>1.6870105427188375</v>
      </c>
    </row>
    <row r="4099" spans="7:20" ht="14.4" x14ac:dyDescent="0.25">
      <c r="G4099" s="10">
        <v>5280</v>
      </c>
      <c r="H4099" s="9">
        <v>37572</v>
      </c>
      <c r="I4099" s="14">
        <f>DATE(2012,12,31)-881</f>
        <v>40393</v>
      </c>
      <c r="J4099" s="15" t="s">
        <v>17</v>
      </c>
      <c r="K4099" s="9">
        <v>22</v>
      </c>
      <c r="L4099" s="16" t="s">
        <v>26</v>
      </c>
      <c r="M4099" s="16">
        <f t="shared" si="381"/>
        <v>-0.24666320261936217</v>
      </c>
      <c r="N4099">
        <f t="shared" si="382"/>
        <v>0</v>
      </c>
      <c r="O4099">
        <f t="shared" si="383"/>
        <v>0</v>
      </c>
      <c r="P4099">
        <f t="shared" si="380"/>
        <v>4500</v>
      </c>
      <c r="Q4099">
        <f t="shared" si="384"/>
        <v>4500</v>
      </c>
      <c r="T4099" s="16">
        <f t="shared" si="385"/>
        <v>-0.24666320261936256</v>
      </c>
    </row>
    <row r="4100" spans="7:20" ht="14.4" x14ac:dyDescent="0.25">
      <c r="G4100" s="10">
        <v>5290</v>
      </c>
      <c r="H4100" s="9">
        <v>37669</v>
      </c>
      <c r="I4100" s="14">
        <f>DATE(2012,12,31)-794</f>
        <v>40480</v>
      </c>
      <c r="J4100" s="15" t="s">
        <v>28</v>
      </c>
      <c r="K4100" s="9">
        <v>39</v>
      </c>
      <c r="L4100" s="16" t="s">
        <v>26</v>
      </c>
      <c r="M4100" s="16">
        <f t="shared" si="381"/>
        <v>0.92735299990740228</v>
      </c>
      <c r="N4100">
        <f t="shared" si="382"/>
        <v>0</v>
      </c>
      <c r="O4100">
        <f t="shared" si="383"/>
        <v>0</v>
      </c>
      <c r="P4100">
        <f t="shared" si="380"/>
        <v>5350</v>
      </c>
      <c r="Q4100">
        <f t="shared" si="384"/>
        <v>5350</v>
      </c>
      <c r="T4100" s="16">
        <f t="shared" si="385"/>
        <v>0.92735299990740183</v>
      </c>
    </row>
    <row r="4101" spans="7:20" ht="14.4" x14ac:dyDescent="0.25">
      <c r="G4101" s="10">
        <v>5291</v>
      </c>
      <c r="H4101" s="9">
        <v>37669</v>
      </c>
      <c r="I4101" s="14">
        <f>DATE(2012,12,31)-794</f>
        <v>40480</v>
      </c>
      <c r="J4101" s="15" t="s">
        <v>28</v>
      </c>
      <c r="K4101" s="9">
        <v>31</v>
      </c>
      <c r="L4101" s="16" t="s">
        <v>26</v>
      </c>
      <c r="M4101" s="16">
        <f t="shared" si="381"/>
        <v>0.37487478695363075</v>
      </c>
      <c r="N4101">
        <f t="shared" si="382"/>
        <v>0</v>
      </c>
      <c r="O4101">
        <f t="shared" si="383"/>
        <v>0</v>
      </c>
      <c r="P4101">
        <f t="shared" si="380"/>
        <v>4950</v>
      </c>
      <c r="Q4101">
        <f t="shared" si="384"/>
        <v>4950</v>
      </c>
      <c r="T4101" s="16">
        <f t="shared" si="385"/>
        <v>0.37487478695363036</v>
      </c>
    </row>
    <row r="4102" spans="7:20" ht="14.4" x14ac:dyDescent="0.25">
      <c r="G4102" s="10">
        <v>5292</v>
      </c>
      <c r="H4102" s="9">
        <v>37669</v>
      </c>
      <c r="I4102" s="14">
        <f>DATE(2012,12,31)-794</f>
        <v>40480</v>
      </c>
      <c r="J4102" s="15" t="s">
        <v>28</v>
      </c>
      <c r="K4102" s="9">
        <v>4</v>
      </c>
      <c r="L4102" s="16" t="s">
        <v>26</v>
      </c>
      <c r="M4102" s="16">
        <f t="shared" si="381"/>
        <v>-1.489739181765348</v>
      </c>
      <c r="N4102">
        <f t="shared" si="382"/>
        <v>0</v>
      </c>
      <c r="O4102">
        <f t="shared" si="383"/>
        <v>0</v>
      </c>
      <c r="P4102">
        <f t="shared" si="380"/>
        <v>3600</v>
      </c>
      <c r="Q4102">
        <f t="shared" si="384"/>
        <v>3600</v>
      </c>
      <c r="T4102" s="16">
        <f t="shared" si="385"/>
        <v>-1.4897391817653485</v>
      </c>
    </row>
    <row r="4103" spans="7:20" ht="14.4" x14ac:dyDescent="0.25">
      <c r="G4103" s="10">
        <v>5362</v>
      </c>
      <c r="H4103" s="9">
        <v>38117</v>
      </c>
      <c r="I4103" s="14">
        <f>DATE(2012,12,31)-986</f>
        <v>40288</v>
      </c>
      <c r="J4103" s="15" t="s">
        <v>25</v>
      </c>
      <c r="K4103" s="9">
        <v>28</v>
      </c>
      <c r="L4103" s="16" t="s">
        <v>26</v>
      </c>
      <c r="M4103" s="16">
        <f t="shared" si="381"/>
        <v>0.16769545709596645</v>
      </c>
      <c r="N4103">
        <f t="shared" si="382"/>
        <v>0</v>
      </c>
      <c r="O4103">
        <f t="shared" si="383"/>
        <v>0</v>
      </c>
      <c r="P4103">
        <f t="shared" si="380"/>
        <v>4800</v>
      </c>
      <c r="Q4103">
        <f t="shared" si="384"/>
        <v>4800</v>
      </c>
      <c r="T4103" s="16">
        <f t="shared" si="385"/>
        <v>0.16769545709596606</v>
      </c>
    </row>
    <row r="4104" spans="7:20" ht="14.4" x14ac:dyDescent="0.25">
      <c r="G4104" s="10">
        <v>5372</v>
      </c>
      <c r="H4104" s="9">
        <v>38210</v>
      </c>
      <c r="I4104" s="14">
        <f>DATE(2012,12,31)-750</f>
        <v>40524</v>
      </c>
      <c r="J4104" s="15" t="s">
        <v>25</v>
      </c>
      <c r="K4104" s="9">
        <v>10</v>
      </c>
      <c r="L4104" s="16" t="s">
        <v>26</v>
      </c>
      <c r="M4104" s="16">
        <f t="shared" si="381"/>
        <v>-1.0753805220500194</v>
      </c>
      <c r="N4104">
        <f t="shared" si="382"/>
        <v>0</v>
      </c>
      <c r="O4104">
        <f t="shared" si="383"/>
        <v>0</v>
      </c>
      <c r="P4104">
        <f t="shared" si="380"/>
        <v>3900</v>
      </c>
      <c r="Q4104">
        <f t="shared" si="384"/>
        <v>3900</v>
      </c>
      <c r="T4104" s="16">
        <f t="shared" si="385"/>
        <v>-1.0753805220500199</v>
      </c>
    </row>
    <row r="4105" spans="7:20" ht="14.4" x14ac:dyDescent="0.25">
      <c r="G4105" s="10">
        <v>5381</v>
      </c>
      <c r="H4105" s="9">
        <v>38274</v>
      </c>
      <c r="I4105" s="14">
        <f>DATE(2012,12,31)-570</f>
        <v>40704</v>
      </c>
      <c r="J4105" s="15" t="s">
        <v>17</v>
      </c>
      <c r="K4105" s="9">
        <v>9</v>
      </c>
      <c r="L4105" s="16" t="s">
        <v>29</v>
      </c>
      <c r="M4105" s="16">
        <f t="shared" si="381"/>
        <v>-1.1444402986692408</v>
      </c>
      <c r="N4105">
        <f t="shared" si="382"/>
        <v>0</v>
      </c>
      <c r="O4105">
        <f t="shared" si="383"/>
        <v>0</v>
      </c>
      <c r="P4105">
        <f t="shared" si="380"/>
        <v>3850</v>
      </c>
      <c r="Q4105">
        <f t="shared" si="384"/>
        <v>3850</v>
      </c>
      <c r="T4105" s="16">
        <f t="shared" si="385"/>
        <v>-1.1444402986692412</v>
      </c>
    </row>
    <row r="4106" spans="7:20" ht="14.4" x14ac:dyDescent="0.25">
      <c r="G4106" s="10">
        <v>5382</v>
      </c>
      <c r="H4106" s="9">
        <v>38274</v>
      </c>
      <c r="I4106" s="14">
        <f>DATE(2012,12,31)-570</f>
        <v>40704</v>
      </c>
      <c r="J4106" s="15" t="s">
        <v>17</v>
      </c>
      <c r="K4106" s="9">
        <v>27</v>
      </c>
      <c r="L4106" s="16" t="s">
        <v>26</v>
      </c>
      <c r="M4106" s="16">
        <f t="shared" si="381"/>
        <v>9.8635680476745008E-2</v>
      </c>
      <c r="N4106">
        <f t="shared" si="382"/>
        <v>0</v>
      </c>
      <c r="O4106">
        <f t="shared" si="383"/>
        <v>0</v>
      </c>
      <c r="P4106">
        <f t="shared" si="380"/>
        <v>4750</v>
      </c>
      <c r="Q4106">
        <f t="shared" si="384"/>
        <v>4750</v>
      </c>
      <c r="T4106" s="16">
        <f t="shared" si="385"/>
        <v>9.8635680476744619E-2</v>
      </c>
    </row>
    <row r="4107" spans="7:20" ht="14.4" x14ac:dyDescent="0.25">
      <c r="G4107" s="10">
        <v>5383</v>
      </c>
      <c r="H4107" s="9">
        <v>38274</v>
      </c>
      <c r="I4107" s="14">
        <f>DATE(2012,12,31)-570</f>
        <v>40704</v>
      </c>
      <c r="J4107" s="15" t="s">
        <v>17</v>
      </c>
      <c r="K4107" s="9">
        <v>10</v>
      </c>
      <c r="L4107" s="16" t="s">
        <v>27</v>
      </c>
      <c r="M4107" s="16">
        <f t="shared" si="381"/>
        <v>-1.0753805220500194</v>
      </c>
      <c r="N4107">
        <f t="shared" si="382"/>
        <v>0</v>
      </c>
      <c r="O4107">
        <f t="shared" si="383"/>
        <v>0</v>
      </c>
      <c r="P4107">
        <f t="shared" si="380"/>
        <v>3900</v>
      </c>
      <c r="Q4107">
        <f t="shared" si="384"/>
        <v>3900</v>
      </c>
      <c r="T4107" s="16">
        <f t="shared" si="385"/>
        <v>-1.0753805220500199</v>
      </c>
    </row>
    <row r="4108" spans="7:20" ht="14.4" x14ac:dyDescent="0.25">
      <c r="G4108" s="10">
        <v>5397</v>
      </c>
      <c r="H4108" s="9">
        <v>38370</v>
      </c>
      <c r="I4108" s="14">
        <f>DATE(2012,12,31)-638</f>
        <v>40636</v>
      </c>
      <c r="J4108" s="15" t="s">
        <v>17</v>
      </c>
      <c r="K4108" s="9">
        <v>50</v>
      </c>
      <c r="L4108" s="16" t="s">
        <v>26</v>
      </c>
      <c r="M4108" s="16">
        <f t="shared" si="381"/>
        <v>1.687010542718838</v>
      </c>
      <c r="N4108">
        <f t="shared" si="382"/>
        <v>0</v>
      </c>
      <c r="O4108">
        <f t="shared" si="383"/>
        <v>0</v>
      </c>
      <c r="P4108">
        <f t="shared" ref="P4108:P4171" si="386">50*K4108+$P$10</f>
        <v>5900</v>
      </c>
      <c r="Q4108">
        <f t="shared" si="384"/>
        <v>5900</v>
      </c>
      <c r="T4108" s="16">
        <f t="shared" si="385"/>
        <v>1.6870105427188375</v>
      </c>
    </row>
    <row r="4109" spans="7:20" ht="14.4" x14ac:dyDescent="0.25">
      <c r="G4109" s="10">
        <v>5403</v>
      </c>
      <c r="H4109" s="9">
        <v>38405</v>
      </c>
      <c r="I4109" s="14">
        <f>DATE(2012,12,31)-900</f>
        <v>40374</v>
      </c>
      <c r="J4109" s="15" t="s">
        <v>16</v>
      </c>
      <c r="K4109" s="9">
        <v>29</v>
      </c>
      <c r="L4109" s="16" t="s">
        <v>29</v>
      </c>
      <c r="M4109" s="16">
        <f t="shared" ref="M4109:M4172" si="387">(K4109-$K$4)/$K$7</f>
        <v>0.23675523371518786</v>
      </c>
      <c r="N4109">
        <f t="shared" ref="N4109:N4172" si="388">IF(MOD($B$20+G4109,1000)=0,1,0)</f>
        <v>0</v>
      </c>
      <c r="O4109">
        <f t="shared" ref="O4109:O4172" si="389">+ROUND(N4109*(IF(K4109&lt;$K$4,-4.5,10.5)*$P$5),-2)</f>
        <v>0</v>
      </c>
      <c r="P4109">
        <f t="shared" si="386"/>
        <v>4850</v>
      </c>
      <c r="Q4109">
        <f t="shared" ref="Q4109:Q4172" si="390">P4109+O4109</f>
        <v>4850</v>
      </c>
      <c r="T4109" s="16">
        <f t="shared" ref="T4109:T4172" si="391">(Q4109-$P$4)/$P$5</f>
        <v>0.2367552337151875</v>
      </c>
    </row>
    <row r="4110" spans="7:20" ht="14.4" x14ac:dyDescent="0.25">
      <c r="G4110" s="10">
        <v>5409</v>
      </c>
      <c r="H4110" s="9">
        <v>38466</v>
      </c>
      <c r="I4110" s="14">
        <f>DATE(2012,12,31)-502</f>
        <v>40772</v>
      </c>
      <c r="J4110" s="15" t="s">
        <v>30</v>
      </c>
      <c r="K4110" s="9">
        <v>22</v>
      </c>
      <c r="L4110" s="16" t="s">
        <v>26</v>
      </c>
      <c r="M4110" s="16">
        <f t="shared" si="387"/>
        <v>-0.24666320261936217</v>
      </c>
      <c r="N4110">
        <f t="shared" si="388"/>
        <v>0</v>
      </c>
      <c r="O4110">
        <f t="shared" si="389"/>
        <v>0</v>
      </c>
      <c r="P4110">
        <f t="shared" si="386"/>
        <v>4500</v>
      </c>
      <c r="Q4110">
        <f t="shared" si="390"/>
        <v>4500</v>
      </c>
      <c r="T4110" s="16">
        <f t="shared" si="391"/>
        <v>-0.24666320261936256</v>
      </c>
    </row>
    <row r="4111" spans="7:20" ht="14.4" x14ac:dyDescent="0.25">
      <c r="G4111" s="10">
        <v>5410</v>
      </c>
      <c r="H4111" s="9">
        <v>38466</v>
      </c>
      <c r="I4111" s="14">
        <f>DATE(2012,12,31)-502</f>
        <v>40772</v>
      </c>
      <c r="J4111" s="15" t="s">
        <v>30</v>
      </c>
      <c r="K4111" s="9">
        <v>37</v>
      </c>
      <c r="L4111" s="16" t="s">
        <v>26</v>
      </c>
      <c r="M4111" s="16">
        <f t="shared" si="387"/>
        <v>0.78923344666895934</v>
      </c>
      <c r="N4111">
        <f t="shared" si="388"/>
        <v>0</v>
      </c>
      <c r="O4111">
        <f t="shared" si="389"/>
        <v>0</v>
      </c>
      <c r="P4111">
        <f t="shared" si="386"/>
        <v>5250</v>
      </c>
      <c r="Q4111">
        <f t="shared" si="390"/>
        <v>5250</v>
      </c>
      <c r="T4111" s="16">
        <f t="shared" si="391"/>
        <v>0.789233446668959</v>
      </c>
    </row>
    <row r="4112" spans="7:20" ht="14.4" x14ac:dyDescent="0.25">
      <c r="G4112" s="10">
        <v>5411</v>
      </c>
      <c r="H4112" s="9">
        <v>38466</v>
      </c>
      <c r="I4112" s="14">
        <f>DATE(2012,12,31)-502</f>
        <v>40772</v>
      </c>
      <c r="J4112" s="15" t="s">
        <v>30</v>
      </c>
      <c r="K4112" s="9">
        <v>15</v>
      </c>
      <c r="L4112" s="16" t="s">
        <v>26</v>
      </c>
      <c r="M4112" s="16">
        <f t="shared" si="387"/>
        <v>-0.7300816389539122</v>
      </c>
      <c r="N4112">
        <f t="shared" si="388"/>
        <v>0</v>
      </c>
      <c r="O4112">
        <f t="shared" si="389"/>
        <v>0</v>
      </c>
      <c r="P4112">
        <f t="shared" si="386"/>
        <v>4150</v>
      </c>
      <c r="Q4112">
        <f t="shared" si="390"/>
        <v>4150</v>
      </c>
      <c r="T4112" s="16">
        <f t="shared" si="391"/>
        <v>-0.73008163895391265</v>
      </c>
    </row>
    <row r="4113" spans="7:20" ht="14.4" x14ac:dyDescent="0.25">
      <c r="G4113" s="10">
        <v>5415</v>
      </c>
      <c r="H4113" s="9">
        <v>38501</v>
      </c>
      <c r="I4113" s="14">
        <f>DATE(2012,12,31)-1343</f>
        <v>39931</v>
      </c>
      <c r="J4113" s="15" t="s">
        <v>30</v>
      </c>
      <c r="K4113" s="9">
        <v>11</v>
      </c>
      <c r="L4113" s="16" t="s">
        <v>26</v>
      </c>
      <c r="M4113" s="16">
        <f t="shared" si="387"/>
        <v>-1.0063207454307979</v>
      </c>
      <c r="N4113">
        <f t="shared" si="388"/>
        <v>0</v>
      </c>
      <c r="O4113">
        <f t="shared" si="389"/>
        <v>0</v>
      </c>
      <c r="P4113">
        <f t="shared" si="386"/>
        <v>3950</v>
      </c>
      <c r="Q4113">
        <f t="shared" si="390"/>
        <v>3950</v>
      </c>
      <c r="T4113" s="16">
        <f t="shared" si="391"/>
        <v>-1.0063207454307983</v>
      </c>
    </row>
    <row r="4114" spans="7:20" ht="14.4" x14ac:dyDescent="0.25">
      <c r="G4114" s="10">
        <v>5425</v>
      </c>
      <c r="H4114" s="9">
        <v>38532</v>
      </c>
      <c r="I4114" s="14">
        <f>DATE(2012,12,31)-167</f>
        <v>41107</v>
      </c>
      <c r="J4114" s="15" t="s">
        <v>17</v>
      </c>
      <c r="K4114" s="9">
        <v>44</v>
      </c>
      <c r="L4114" s="16" t="s">
        <v>26</v>
      </c>
      <c r="M4114" s="16">
        <f t="shared" si="387"/>
        <v>1.2726518830035094</v>
      </c>
      <c r="N4114">
        <f t="shared" si="388"/>
        <v>0</v>
      </c>
      <c r="O4114">
        <f t="shared" si="389"/>
        <v>0</v>
      </c>
      <c r="P4114">
        <f t="shared" si="386"/>
        <v>5600</v>
      </c>
      <c r="Q4114">
        <f t="shared" si="390"/>
        <v>5600</v>
      </c>
      <c r="T4114" s="16">
        <f t="shared" si="391"/>
        <v>1.272651883003509</v>
      </c>
    </row>
    <row r="4115" spans="7:20" ht="14.4" x14ac:dyDescent="0.25">
      <c r="G4115" s="10">
        <v>5428</v>
      </c>
      <c r="H4115" s="9">
        <v>38564</v>
      </c>
      <c r="I4115" s="14">
        <f>DATE(2012,12,31)-1155</f>
        <v>40119</v>
      </c>
      <c r="J4115" s="15" t="s">
        <v>30</v>
      </c>
      <c r="K4115" s="9">
        <v>31</v>
      </c>
      <c r="L4115" s="16" t="s">
        <v>27</v>
      </c>
      <c r="M4115" s="16">
        <f t="shared" si="387"/>
        <v>0.37487478695363075</v>
      </c>
      <c r="N4115">
        <f t="shared" si="388"/>
        <v>0</v>
      </c>
      <c r="O4115">
        <f t="shared" si="389"/>
        <v>0</v>
      </c>
      <c r="P4115">
        <f t="shared" si="386"/>
        <v>4950</v>
      </c>
      <c r="Q4115">
        <f t="shared" si="390"/>
        <v>4950</v>
      </c>
      <c r="T4115" s="16">
        <f t="shared" si="391"/>
        <v>0.37487478695363036</v>
      </c>
    </row>
    <row r="4116" spans="7:20" ht="14.4" x14ac:dyDescent="0.25">
      <c r="G4116" s="10">
        <v>5429</v>
      </c>
      <c r="H4116" s="9">
        <v>38564</v>
      </c>
      <c r="I4116" s="14">
        <f>DATE(2012,12,31)-1155</f>
        <v>40119</v>
      </c>
      <c r="J4116" s="15" t="s">
        <v>30</v>
      </c>
      <c r="K4116" s="9">
        <v>21</v>
      </c>
      <c r="L4116" s="16" t="s">
        <v>26</v>
      </c>
      <c r="M4116" s="16">
        <f t="shared" si="387"/>
        <v>-0.31572297923858361</v>
      </c>
      <c r="N4116">
        <f t="shared" si="388"/>
        <v>0</v>
      </c>
      <c r="O4116">
        <f t="shared" si="389"/>
        <v>0</v>
      </c>
      <c r="P4116">
        <f t="shared" si="386"/>
        <v>4450</v>
      </c>
      <c r="Q4116">
        <f t="shared" si="390"/>
        <v>4450</v>
      </c>
      <c r="T4116" s="16">
        <f t="shared" si="391"/>
        <v>-0.315722979238584</v>
      </c>
    </row>
    <row r="4117" spans="7:20" ht="14.4" x14ac:dyDescent="0.25">
      <c r="G4117" s="10">
        <v>5481</v>
      </c>
      <c r="H4117" s="9">
        <v>38915</v>
      </c>
      <c r="I4117" s="14">
        <f>DATE(2012,12,31)-1201</f>
        <v>40073</v>
      </c>
      <c r="J4117" s="15" t="s">
        <v>16</v>
      </c>
      <c r="K4117" s="9">
        <v>12</v>
      </c>
      <c r="L4117" s="16" t="s">
        <v>26</v>
      </c>
      <c r="M4117" s="16">
        <f t="shared" si="387"/>
        <v>-0.9372609688115765</v>
      </c>
      <c r="N4117">
        <f t="shared" si="388"/>
        <v>0</v>
      </c>
      <c r="O4117">
        <f t="shared" si="389"/>
        <v>0</v>
      </c>
      <c r="P4117">
        <f t="shared" si="386"/>
        <v>4000</v>
      </c>
      <c r="Q4117">
        <f t="shared" si="390"/>
        <v>4000</v>
      </c>
      <c r="T4117" s="16">
        <f t="shared" si="391"/>
        <v>-0.93726096881157694</v>
      </c>
    </row>
    <row r="4118" spans="7:20" ht="14.4" x14ac:dyDescent="0.25">
      <c r="G4118" s="10">
        <v>5482</v>
      </c>
      <c r="H4118" s="9">
        <v>38915</v>
      </c>
      <c r="I4118" s="14">
        <f>DATE(2012,12,31)-1201</f>
        <v>40073</v>
      </c>
      <c r="J4118" s="15" t="s">
        <v>16</v>
      </c>
      <c r="K4118" s="9">
        <v>34</v>
      </c>
      <c r="L4118" s="16" t="s">
        <v>29</v>
      </c>
      <c r="M4118" s="16">
        <f t="shared" si="387"/>
        <v>0.58205411681129504</v>
      </c>
      <c r="N4118">
        <f t="shared" si="388"/>
        <v>0</v>
      </c>
      <c r="O4118">
        <f t="shared" si="389"/>
        <v>0</v>
      </c>
      <c r="P4118">
        <f t="shared" si="386"/>
        <v>5100</v>
      </c>
      <c r="Q4118">
        <f t="shared" si="390"/>
        <v>5100</v>
      </c>
      <c r="T4118" s="16">
        <f t="shared" si="391"/>
        <v>0.58205411681129471</v>
      </c>
    </row>
    <row r="4119" spans="7:20" ht="14.4" x14ac:dyDescent="0.25">
      <c r="G4119" s="10">
        <v>5487</v>
      </c>
      <c r="H4119" s="9">
        <v>38947</v>
      </c>
      <c r="I4119" s="14">
        <f>DATE(2012,12,31)-1128</f>
        <v>40146</v>
      </c>
      <c r="J4119" s="15" t="s">
        <v>30</v>
      </c>
      <c r="K4119" s="9">
        <v>20</v>
      </c>
      <c r="L4119" s="16" t="s">
        <v>29</v>
      </c>
      <c r="M4119" s="16">
        <f t="shared" si="387"/>
        <v>-0.38478275585780503</v>
      </c>
      <c r="N4119">
        <f t="shared" si="388"/>
        <v>0</v>
      </c>
      <c r="O4119">
        <f t="shared" si="389"/>
        <v>0</v>
      </c>
      <c r="P4119">
        <f t="shared" si="386"/>
        <v>4400</v>
      </c>
      <c r="Q4119">
        <f t="shared" si="390"/>
        <v>4400</v>
      </c>
      <c r="T4119" s="16">
        <f t="shared" si="391"/>
        <v>-0.38478275585780541</v>
      </c>
    </row>
    <row r="4120" spans="7:20" ht="14.4" x14ac:dyDescent="0.25">
      <c r="G4120" s="10">
        <v>5512</v>
      </c>
      <c r="H4120" s="9">
        <v>39078</v>
      </c>
      <c r="I4120" s="14">
        <f>DATE(2012,12,31)-1287</f>
        <v>39987</v>
      </c>
      <c r="J4120" s="15" t="s">
        <v>25</v>
      </c>
      <c r="K4120" s="9">
        <v>10</v>
      </c>
      <c r="L4120" s="16" t="s">
        <v>26</v>
      </c>
      <c r="M4120" s="16">
        <f t="shared" si="387"/>
        <v>-1.0753805220500194</v>
      </c>
      <c r="N4120">
        <f t="shared" si="388"/>
        <v>0</v>
      </c>
      <c r="O4120">
        <f t="shared" si="389"/>
        <v>0</v>
      </c>
      <c r="P4120">
        <f t="shared" si="386"/>
        <v>3900</v>
      </c>
      <c r="Q4120">
        <f t="shared" si="390"/>
        <v>3900</v>
      </c>
      <c r="T4120" s="16">
        <f t="shared" si="391"/>
        <v>-1.0753805220500199</v>
      </c>
    </row>
    <row r="4121" spans="7:20" ht="14.4" x14ac:dyDescent="0.25">
      <c r="G4121" s="10">
        <v>5513</v>
      </c>
      <c r="H4121" s="9">
        <v>39078</v>
      </c>
      <c r="I4121" s="14">
        <f>DATE(2012,12,31)-1287</f>
        <v>39987</v>
      </c>
      <c r="J4121" s="15" t="s">
        <v>25</v>
      </c>
      <c r="K4121" s="9">
        <v>8</v>
      </c>
      <c r="L4121" s="16" t="s">
        <v>27</v>
      </c>
      <c r="M4121" s="16">
        <f t="shared" si="387"/>
        <v>-1.2135000752884624</v>
      </c>
      <c r="N4121">
        <f t="shared" si="388"/>
        <v>0</v>
      </c>
      <c r="O4121">
        <f t="shared" si="389"/>
        <v>0</v>
      </c>
      <c r="P4121">
        <f t="shared" si="386"/>
        <v>3800</v>
      </c>
      <c r="Q4121">
        <f t="shared" si="390"/>
        <v>3800</v>
      </c>
      <c r="T4121" s="16">
        <f t="shared" si="391"/>
        <v>-1.2135000752884626</v>
      </c>
    </row>
    <row r="4122" spans="7:20" ht="14.4" x14ac:dyDescent="0.25">
      <c r="G4122" s="10">
        <v>5514</v>
      </c>
      <c r="H4122" s="9">
        <v>39078</v>
      </c>
      <c r="I4122" s="14">
        <f>DATE(2012,12,31)-1287</f>
        <v>39987</v>
      </c>
      <c r="J4122" s="15" t="s">
        <v>25</v>
      </c>
      <c r="K4122" s="9">
        <v>26</v>
      </c>
      <c r="L4122" s="16" t="s">
        <v>26</v>
      </c>
      <c r="M4122" s="16">
        <f t="shared" si="387"/>
        <v>2.9575903857523567E-2</v>
      </c>
      <c r="N4122">
        <f t="shared" si="388"/>
        <v>0</v>
      </c>
      <c r="O4122">
        <f t="shared" si="389"/>
        <v>0</v>
      </c>
      <c r="P4122">
        <f t="shared" si="386"/>
        <v>4700</v>
      </c>
      <c r="Q4122">
        <f t="shared" si="390"/>
        <v>4700</v>
      </c>
      <c r="T4122" s="16">
        <f t="shared" si="391"/>
        <v>2.9575903857523185E-2</v>
      </c>
    </row>
    <row r="4123" spans="7:20" ht="14.4" x14ac:dyDescent="0.25">
      <c r="G4123" s="10">
        <v>5524</v>
      </c>
      <c r="H4123" s="9">
        <v>39141</v>
      </c>
      <c r="I4123" s="14">
        <f>DATE(2012,12,31)-1338</f>
        <v>39936</v>
      </c>
      <c r="J4123" s="15" t="s">
        <v>25</v>
      </c>
      <c r="K4123" s="9">
        <v>49</v>
      </c>
      <c r="L4123" s="16" t="s">
        <v>26</v>
      </c>
      <c r="M4123" s="16">
        <f t="shared" si="387"/>
        <v>1.6179507660996166</v>
      </c>
      <c r="N4123">
        <f t="shared" si="388"/>
        <v>0</v>
      </c>
      <c r="O4123">
        <f t="shared" si="389"/>
        <v>0</v>
      </c>
      <c r="P4123">
        <f t="shared" si="386"/>
        <v>5850</v>
      </c>
      <c r="Q4123">
        <f t="shared" si="390"/>
        <v>5850</v>
      </c>
      <c r="T4123" s="16">
        <f t="shared" si="391"/>
        <v>1.6179507660996162</v>
      </c>
    </row>
    <row r="4124" spans="7:20" ht="14.4" x14ac:dyDescent="0.25">
      <c r="G4124" s="10">
        <v>5525</v>
      </c>
      <c r="H4124" s="9">
        <v>39141</v>
      </c>
      <c r="I4124" s="14">
        <f>DATE(2012,12,31)-1338</f>
        <v>39936</v>
      </c>
      <c r="J4124" s="15" t="s">
        <v>25</v>
      </c>
      <c r="K4124" s="9">
        <v>47</v>
      </c>
      <c r="L4124" s="16" t="s">
        <v>29</v>
      </c>
      <c r="M4124" s="16">
        <f t="shared" si="387"/>
        <v>1.4798312128611737</v>
      </c>
      <c r="N4124">
        <f t="shared" si="388"/>
        <v>0</v>
      </c>
      <c r="O4124">
        <f t="shared" si="389"/>
        <v>0</v>
      </c>
      <c r="P4124">
        <f t="shared" si="386"/>
        <v>5750</v>
      </c>
      <c r="Q4124">
        <f t="shared" si="390"/>
        <v>5750</v>
      </c>
      <c r="T4124" s="16">
        <f t="shared" si="391"/>
        <v>1.4798312128611733</v>
      </c>
    </row>
    <row r="4125" spans="7:20" ht="14.4" x14ac:dyDescent="0.25">
      <c r="G4125" s="10">
        <v>5570</v>
      </c>
      <c r="H4125" s="9">
        <v>39460</v>
      </c>
      <c r="I4125" s="14">
        <f>DATE(2012,12,31)-1339</f>
        <v>39935</v>
      </c>
      <c r="J4125" s="15" t="s">
        <v>28</v>
      </c>
      <c r="K4125" s="9">
        <v>25</v>
      </c>
      <c r="L4125" s="16" t="s">
        <v>26</v>
      </c>
      <c r="M4125" s="16">
        <f t="shared" si="387"/>
        <v>-3.9483872761697868E-2</v>
      </c>
      <c r="N4125">
        <f t="shared" si="388"/>
        <v>0</v>
      </c>
      <c r="O4125">
        <f t="shared" si="389"/>
        <v>0</v>
      </c>
      <c r="P4125">
        <f t="shared" si="386"/>
        <v>4650</v>
      </c>
      <c r="Q4125">
        <f t="shared" si="390"/>
        <v>4650</v>
      </c>
      <c r="T4125" s="16">
        <f t="shared" si="391"/>
        <v>-3.9483872761698249E-2</v>
      </c>
    </row>
    <row r="4126" spans="7:20" ht="14.4" x14ac:dyDescent="0.25">
      <c r="G4126" s="10">
        <v>5571</v>
      </c>
      <c r="H4126" s="9">
        <v>39460</v>
      </c>
      <c r="I4126" s="14">
        <f>DATE(2012,12,31)-1339</f>
        <v>39935</v>
      </c>
      <c r="J4126" s="15" t="s">
        <v>28</v>
      </c>
      <c r="K4126" s="9">
        <v>19</v>
      </c>
      <c r="L4126" s="16" t="s">
        <v>27</v>
      </c>
      <c r="M4126" s="16">
        <f t="shared" si="387"/>
        <v>-0.45384253247702649</v>
      </c>
      <c r="N4126">
        <f t="shared" si="388"/>
        <v>0</v>
      </c>
      <c r="O4126">
        <f t="shared" si="389"/>
        <v>0</v>
      </c>
      <c r="P4126">
        <f t="shared" si="386"/>
        <v>4350</v>
      </c>
      <c r="Q4126">
        <f t="shared" si="390"/>
        <v>4350</v>
      </c>
      <c r="T4126" s="16">
        <f t="shared" si="391"/>
        <v>-0.45384253247702688</v>
      </c>
    </row>
    <row r="4127" spans="7:20" ht="14.4" x14ac:dyDescent="0.25">
      <c r="G4127" s="10">
        <v>5639</v>
      </c>
      <c r="H4127" s="9">
        <v>39904</v>
      </c>
      <c r="I4127" s="14">
        <f>DATE(2012,12,31)-1428</f>
        <v>39846</v>
      </c>
      <c r="J4127" s="15" t="s">
        <v>28</v>
      </c>
      <c r="K4127" s="9">
        <v>44</v>
      </c>
      <c r="L4127" s="16" t="s">
        <v>29</v>
      </c>
      <c r="M4127" s="16">
        <f t="shared" si="387"/>
        <v>1.2726518830035094</v>
      </c>
      <c r="N4127">
        <f t="shared" si="388"/>
        <v>0</v>
      </c>
      <c r="O4127">
        <f t="shared" si="389"/>
        <v>0</v>
      </c>
      <c r="P4127">
        <f t="shared" si="386"/>
        <v>5600</v>
      </c>
      <c r="Q4127">
        <f t="shared" si="390"/>
        <v>5600</v>
      </c>
      <c r="T4127" s="16">
        <f t="shared" si="391"/>
        <v>1.272651883003509</v>
      </c>
    </row>
    <row r="4128" spans="7:20" ht="14.4" x14ac:dyDescent="0.25">
      <c r="G4128" s="10">
        <v>5643</v>
      </c>
      <c r="H4128" s="9">
        <v>39909</v>
      </c>
      <c r="I4128" s="14">
        <f>DATE(2012,12,31)-676</f>
        <v>40598</v>
      </c>
      <c r="J4128" s="15" t="s">
        <v>25</v>
      </c>
      <c r="K4128" s="9">
        <v>50</v>
      </c>
      <c r="L4128" s="16" t="s">
        <v>27</v>
      </c>
      <c r="M4128" s="16">
        <f t="shared" si="387"/>
        <v>1.687010542718838</v>
      </c>
      <c r="N4128">
        <f t="shared" si="388"/>
        <v>0</v>
      </c>
      <c r="O4128">
        <f t="shared" si="389"/>
        <v>0</v>
      </c>
      <c r="P4128">
        <f t="shared" si="386"/>
        <v>5900</v>
      </c>
      <c r="Q4128">
        <f t="shared" si="390"/>
        <v>5900</v>
      </c>
      <c r="T4128" s="16">
        <f t="shared" si="391"/>
        <v>1.6870105427188375</v>
      </c>
    </row>
    <row r="4129" spans="7:20" ht="14.4" x14ac:dyDescent="0.25">
      <c r="G4129" s="10">
        <v>5669</v>
      </c>
      <c r="H4129" s="9">
        <v>40100</v>
      </c>
      <c r="I4129" s="14">
        <f>DATE(2012,12,31)-331</f>
        <v>40943</v>
      </c>
      <c r="J4129" s="15" t="s">
        <v>25</v>
      </c>
      <c r="K4129" s="9">
        <v>47</v>
      </c>
      <c r="L4129" s="16" t="s">
        <v>26</v>
      </c>
      <c r="M4129" s="16">
        <f t="shared" si="387"/>
        <v>1.4798312128611737</v>
      </c>
      <c r="N4129">
        <f t="shared" si="388"/>
        <v>0</v>
      </c>
      <c r="O4129">
        <f t="shared" si="389"/>
        <v>0</v>
      </c>
      <c r="P4129">
        <f t="shared" si="386"/>
        <v>5750</v>
      </c>
      <c r="Q4129">
        <f t="shared" si="390"/>
        <v>5750</v>
      </c>
      <c r="T4129" s="16">
        <f t="shared" si="391"/>
        <v>1.4798312128611733</v>
      </c>
    </row>
    <row r="4130" spans="7:20" ht="14.4" x14ac:dyDescent="0.25">
      <c r="G4130" s="10">
        <v>5689</v>
      </c>
      <c r="H4130" s="9">
        <v>40224</v>
      </c>
      <c r="I4130" s="14">
        <f>DATE(2012,12,31)-1280</f>
        <v>39994</v>
      </c>
      <c r="J4130" s="15" t="s">
        <v>25</v>
      </c>
      <c r="K4130" s="9">
        <v>14</v>
      </c>
      <c r="L4130" s="16" t="s">
        <v>29</v>
      </c>
      <c r="M4130" s="16">
        <f t="shared" si="387"/>
        <v>-0.79914141557313367</v>
      </c>
      <c r="N4130">
        <f t="shared" si="388"/>
        <v>0</v>
      </c>
      <c r="O4130">
        <f t="shared" si="389"/>
        <v>0</v>
      </c>
      <c r="P4130">
        <f t="shared" si="386"/>
        <v>4100</v>
      </c>
      <c r="Q4130">
        <f t="shared" si="390"/>
        <v>4100</v>
      </c>
      <c r="T4130" s="16">
        <f t="shared" si="391"/>
        <v>-0.79914141557313401</v>
      </c>
    </row>
    <row r="4131" spans="7:20" ht="14.4" x14ac:dyDescent="0.25">
      <c r="G4131" s="10">
        <v>5712</v>
      </c>
      <c r="H4131" s="9">
        <v>40422</v>
      </c>
      <c r="I4131" s="14">
        <f>DATE(2012,12,31)-532</f>
        <v>40742</v>
      </c>
      <c r="J4131" s="15" t="s">
        <v>30</v>
      </c>
      <c r="K4131" s="9">
        <v>39</v>
      </c>
      <c r="L4131" s="16" t="s">
        <v>27</v>
      </c>
      <c r="M4131" s="16">
        <f t="shared" si="387"/>
        <v>0.92735299990740228</v>
      </c>
      <c r="N4131">
        <f t="shared" si="388"/>
        <v>0</v>
      </c>
      <c r="O4131">
        <f t="shared" si="389"/>
        <v>0</v>
      </c>
      <c r="P4131">
        <f t="shared" si="386"/>
        <v>5350</v>
      </c>
      <c r="Q4131">
        <f t="shared" si="390"/>
        <v>5350</v>
      </c>
      <c r="T4131" s="16">
        <f t="shared" si="391"/>
        <v>0.92735299990740183</v>
      </c>
    </row>
    <row r="4132" spans="7:20" ht="14.4" x14ac:dyDescent="0.25">
      <c r="G4132" s="10">
        <v>5743</v>
      </c>
      <c r="H4132" s="9">
        <v>40802</v>
      </c>
      <c r="I4132" s="14">
        <f>DATE(2012,12,31)-119</f>
        <v>41155</v>
      </c>
      <c r="J4132" s="15" t="s">
        <v>17</v>
      </c>
      <c r="K4132" s="9">
        <v>28</v>
      </c>
      <c r="L4132" s="16" t="s">
        <v>27</v>
      </c>
      <c r="M4132" s="16">
        <f t="shared" si="387"/>
        <v>0.16769545709596645</v>
      </c>
      <c r="N4132">
        <f t="shared" si="388"/>
        <v>0</v>
      </c>
      <c r="O4132">
        <f t="shared" si="389"/>
        <v>0</v>
      </c>
      <c r="P4132">
        <f t="shared" si="386"/>
        <v>4800</v>
      </c>
      <c r="Q4132">
        <f t="shared" si="390"/>
        <v>4800</v>
      </c>
      <c r="T4132" s="16">
        <f t="shared" si="391"/>
        <v>0.16769545709596606</v>
      </c>
    </row>
    <row r="4133" spans="7:20" ht="14.4" x14ac:dyDescent="0.25">
      <c r="G4133" s="10">
        <v>5755</v>
      </c>
      <c r="H4133" s="9">
        <v>40839</v>
      </c>
      <c r="I4133" s="14">
        <f>DATE(2012,12,31)-275</f>
        <v>40999</v>
      </c>
      <c r="J4133" s="15" t="s">
        <v>16</v>
      </c>
      <c r="K4133" s="9">
        <v>23</v>
      </c>
      <c r="L4133" s="16" t="s">
        <v>27</v>
      </c>
      <c r="M4133" s="16">
        <f t="shared" si="387"/>
        <v>-0.17760342600014073</v>
      </c>
      <c r="N4133">
        <f t="shared" si="388"/>
        <v>0</v>
      </c>
      <c r="O4133">
        <f t="shared" si="389"/>
        <v>0</v>
      </c>
      <c r="P4133">
        <f t="shared" si="386"/>
        <v>4550</v>
      </c>
      <c r="Q4133">
        <f t="shared" si="390"/>
        <v>4550</v>
      </c>
      <c r="T4133" s="16">
        <f t="shared" si="391"/>
        <v>-0.17760342600014112</v>
      </c>
    </row>
    <row r="4134" spans="7:20" ht="14.4" x14ac:dyDescent="0.25">
      <c r="G4134" s="10">
        <v>5777</v>
      </c>
      <c r="H4134" s="9">
        <v>40997</v>
      </c>
      <c r="I4134" s="14">
        <f>DATE(2012,12,31)-1350</f>
        <v>39924</v>
      </c>
      <c r="J4134" s="15" t="s">
        <v>25</v>
      </c>
      <c r="K4134" s="9">
        <v>12</v>
      </c>
      <c r="L4134" s="16" t="s">
        <v>26</v>
      </c>
      <c r="M4134" s="16">
        <f t="shared" si="387"/>
        <v>-0.9372609688115765</v>
      </c>
      <c r="N4134">
        <f t="shared" si="388"/>
        <v>0</v>
      </c>
      <c r="O4134">
        <f t="shared" si="389"/>
        <v>0</v>
      </c>
      <c r="P4134">
        <f t="shared" si="386"/>
        <v>4000</v>
      </c>
      <c r="Q4134">
        <f t="shared" si="390"/>
        <v>4000</v>
      </c>
      <c r="T4134" s="16">
        <f t="shared" si="391"/>
        <v>-0.93726096881157694</v>
      </c>
    </row>
    <row r="4135" spans="7:20" ht="14.4" x14ac:dyDescent="0.25">
      <c r="G4135" s="10">
        <v>5778</v>
      </c>
      <c r="H4135" s="9">
        <v>40997</v>
      </c>
      <c r="I4135" s="14">
        <f>DATE(2012,12,31)-1350</f>
        <v>39924</v>
      </c>
      <c r="J4135" s="15" t="s">
        <v>25</v>
      </c>
      <c r="K4135" s="9">
        <v>37</v>
      </c>
      <c r="L4135" s="16" t="s">
        <v>26</v>
      </c>
      <c r="M4135" s="16">
        <f t="shared" si="387"/>
        <v>0.78923344666895934</v>
      </c>
      <c r="N4135">
        <f t="shared" si="388"/>
        <v>0</v>
      </c>
      <c r="O4135">
        <f t="shared" si="389"/>
        <v>0</v>
      </c>
      <c r="P4135">
        <f t="shared" si="386"/>
        <v>5250</v>
      </c>
      <c r="Q4135">
        <f t="shared" si="390"/>
        <v>5250</v>
      </c>
      <c r="T4135" s="16">
        <f t="shared" si="391"/>
        <v>0.789233446668959</v>
      </c>
    </row>
    <row r="4136" spans="7:20" ht="14.4" x14ac:dyDescent="0.25">
      <c r="G4136" s="10">
        <v>5779</v>
      </c>
      <c r="H4136" s="9">
        <v>40997</v>
      </c>
      <c r="I4136" s="14">
        <f>DATE(2012,12,31)-1350</f>
        <v>39924</v>
      </c>
      <c r="J4136" s="15" t="s">
        <v>25</v>
      </c>
      <c r="K4136" s="9">
        <v>1</v>
      </c>
      <c r="L4136" s="16" t="s">
        <v>26</v>
      </c>
      <c r="M4136" s="16">
        <f t="shared" si="387"/>
        <v>-1.6969185116230123</v>
      </c>
      <c r="N4136">
        <f t="shared" si="388"/>
        <v>0</v>
      </c>
      <c r="O4136">
        <f t="shared" si="389"/>
        <v>0</v>
      </c>
      <c r="P4136">
        <f t="shared" si="386"/>
        <v>3450</v>
      </c>
      <c r="Q4136">
        <f t="shared" si="390"/>
        <v>3450</v>
      </c>
      <c r="T4136" s="16">
        <f t="shared" si="391"/>
        <v>-1.6969185116230128</v>
      </c>
    </row>
    <row r="4137" spans="7:20" ht="14.4" x14ac:dyDescent="0.25">
      <c r="G4137" s="10">
        <v>5780</v>
      </c>
      <c r="H4137" s="9">
        <v>40997</v>
      </c>
      <c r="I4137" s="14">
        <f>DATE(2012,12,31)-1350</f>
        <v>39924</v>
      </c>
      <c r="J4137" s="15" t="s">
        <v>25</v>
      </c>
      <c r="K4137" s="9">
        <v>33</v>
      </c>
      <c r="L4137" s="16" t="s">
        <v>29</v>
      </c>
      <c r="M4137" s="16">
        <f t="shared" si="387"/>
        <v>0.51299434019207357</v>
      </c>
      <c r="N4137">
        <f t="shared" si="388"/>
        <v>0</v>
      </c>
      <c r="O4137">
        <f t="shared" si="389"/>
        <v>0</v>
      </c>
      <c r="P4137">
        <f t="shared" si="386"/>
        <v>5050</v>
      </c>
      <c r="Q4137">
        <f t="shared" si="390"/>
        <v>5050</v>
      </c>
      <c r="T4137" s="16">
        <f t="shared" si="391"/>
        <v>0.51299434019207324</v>
      </c>
    </row>
    <row r="4138" spans="7:20" ht="14.4" x14ac:dyDescent="0.25">
      <c r="G4138" s="10">
        <v>5806</v>
      </c>
      <c r="H4138" s="9">
        <v>41185</v>
      </c>
      <c r="I4138" s="14">
        <f>DATE(2012,12,31)-1121</f>
        <v>40153</v>
      </c>
      <c r="J4138" s="15" t="s">
        <v>30</v>
      </c>
      <c r="K4138" s="9">
        <v>2</v>
      </c>
      <c r="L4138" s="16" t="s">
        <v>26</v>
      </c>
      <c r="M4138" s="16">
        <f t="shared" si="387"/>
        <v>-1.627858735003791</v>
      </c>
      <c r="N4138">
        <f t="shared" si="388"/>
        <v>0</v>
      </c>
      <c r="O4138">
        <f t="shared" si="389"/>
        <v>0</v>
      </c>
      <c r="P4138">
        <f t="shared" si="386"/>
        <v>3500</v>
      </c>
      <c r="Q4138">
        <f t="shared" si="390"/>
        <v>3500</v>
      </c>
      <c r="T4138" s="16">
        <f t="shared" si="391"/>
        <v>-1.6278587350037912</v>
      </c>
    </row>
    <row r="4139" spans="7:20" ht="14.4" x14ac:dyDescent="0.25">
      <c r="G4139" s="10">
        <v>5816</v>
      </c>
      <c r="H4139" s="9">
        <v>41253</v>
      </c>
      <c r="I4139" s="14">
        <f>DATE(2012,12,31)-1334</f>
        <v>39940</v>
      </c>
      <c r="J4139" s="15" t="s">
        <v>16</v>
      </c>
      <c r="K4139" s="9">
        <v>5</v>
      </c>
      <c r="L4139" s="16" t="s">
        <v>27</v>
      </c>
      <c r="M4139" s="16">
        <f t="shared" si="387"/>
        <v>-1.4206794051461267</v>
      </c>
      <c r="N4139">
        <f t="shared" si="388"/>
        <v>0</v>
      </c>
      <c r="O4139">
        <f t="shared" si="389"/>
        <v>0</v>
      </c>
      <c r="P4139">
        <f t="shared" si="386"/>
        <v>3650</v>
      </c>
      <c r="Q4139">
        <f t="shared" si="390"/>
        <v>3650</v>
      </c>
      <c r="T4139" s="16">
        <f t="shared" si="391"/>
        <v>-1.4206794051461269</v>
      </c>
    </row>
    <row r="4140" spans="7:20" ht="14.4" x14ac:dyDescent="0.25">
      <c r="G4140" s="10">
        <v>5831</v>
      </c>
      <c r="H4140" s="9">
        <v>41378</v>
      </c>
      <c r="I4140" s="14">
        <f>DATE(2012,12,31)-63</f>
        <v>41211</v>
      </c>
      <c r="J4140" s="15" t="s">
        <v>28</v>
      </c>
      <c r="K4140" s="9">
        <v>30</v>
      </c>
      <c r="L4140" s="16" t="s">
        <v>29</v>
      </c>
      <c r="M4140" s="16">
        <f t="shared" si="387"/>
        <v>0.30581501033440933</v>
      </c>
      <c r="N4140">
        <f t="shared" si="388"/>
        <v>0</v>
      </c>
      <c r="O4140">
        <f t="shared" si="389"/>
        <v>0</v>
      </c>
      <c r="P4140">
        <f t="shared" si="386"/>
        <v>4900</v>
      </c>
      <c r="Q4140">
        <f t="shared" si="390"/>
        <v>4900</v>
      </c>
      <c r="T4140" s="16">
        <f t="shared" si="391"/>
        <v>0.30581501033440894</v>
      </c>
    </row>
    <row r="4141" spans="7:20" ht="14.4" x14ac:dyDescent="0.25">
      <c r="G4141" s="10">
        <v>5832</v>
      </c>
      <c r="H4141" s="9">
        <v>41378</v>
      </c>
      <c r="I4141" s="14">
        <f>DATE(2012,12,31)-63</f>
        <v>41211</v>
      </c>
      <c r="J4141" s="15" t="s">
        <v>28</v>
      </c>
      <c r="K4141" s="9">
        <v>42</v>
      </c>
      <c r="L4141" s="16" t="s">
        <v>27</v>
      </c>
      <c r="M4141" s="16">
        <f t="shared" si="387"/>
        <v>1.1345323297650665</v>
      </c>
      <c r="N4141">
        <f t="shared" si="388"/>
        <v>0</v>
      </c>
      <c r="O4141">
        <f t="shared" si="389"/>
        <v>0</v>
      </c>
      <c r="P4141">
        <f t="shared" si="386"/>
        <v>5500</v>
      </c>
      <c r="Q4141">
        <f t="shared" si="390"/>
        <v>5500</v>
      </c>
      <c r="T4141" s="16">
        <f t="shared" si="391"/>
        <v>1.1345323297650662</v>
      </c>
    </row>
    <row r="4142" spans="7:20" ht="14.4" x14ac:dyDescent="0.25">
      <c r="G4142" s="10">
        <v>5845</v>
      </c>
      <c r="H4142" s="9">
        <v>41474</v>
      </c>
      <c r="I4142" s="14">
        <f>DATE(2012,12,31)-1351</f>
        <v>39923</v>
      </c>
      <c r="J4142" s="15" t="s">
        <v>28</v>
      </c>
      <c r="K4142" s="9">
        <v>35</v>
      </c>
      <c r="L4142" s="16" t="s">
        <v>29</v>
      </c>
      <c r="M4142" s="16">
        <f t="shared" si="387"/>
        <v>0.65111389343051651</v>
      </c>
      <c r="N4142">
        <f t="shared" si="388"/>
        <v>0</v>
      </c>
      <c r="O4142">
        <f t="shared" si="389"/>
        <v>0</v>
      </c>
      <c r="P4142">
        <f t="shared" si="386"/>
        <v>5150</v>
      </c>
      <c r="Q4142">
        <f t="shared" si="390"/>
        <v>5150</v>
      </c>
      <c r="T4142" s="16">
        <f t="shared" si="391"/>
        <v>0.65111389343051607</v>
      </c>
    </row>
    <row r="4143" spans="7:20" ht="14.4" x14ac:dyDescent="0.25">
      <c r="G4143" s="10">
        <v>5846</v>
      </c>
      <c r="H4143" s="9">
        <v>41474</v>
      </c>
      <c r="I4143" s="14">
        <f>DATE(2012,12,31)-1351</f>
        <v>39923</v>
      </c>
      <c r="J4143" s="15" t="s">
        <v>28</v>
      </c>
      <c r="K4143" s="9">
        <v>50</v>
      </c>
      <c r="L4143" s="16" t="s">
        <v>27</v>
      </c>
      <c r="M4143" s="16">
        <f t="shared" si="387"/>
        <v>1.687010542718838</v>
      </c>
      <c r="N4143">
        <f t="shared" si="388"/>
        <v>0</v>
      </c>
      <c r="O4143">
        <f t="shared" si="389"/>
        <v>0</v>
      </c>
      <c r="P4143">
        <f t="shared" si="386"/>
        <v>5900</v>
      </c>
      <c r="Q4143">
        <f t="shared" si="390"/>
        <v>5900</v>
      </c>
      <c r="T4143" s="16">
        <f t="shared" si="391"/>
        <v>1.6870105427188375</v>
      </c>
    </row>
    <row r="4144" spans="7:20" ht="14.4" x14ac:dyDescent="0.25">
      <c r="G4144" s="10">
        <v>5849</v>
      </c>
      <c r="H4144" s="9">
        <v>41508</v>
      </c>
      <c r="I4144" s="14">
        <f>DATE(2012,12,31)-829</f>
        <v>40445</v>
      </c>
      <c r="J4144" s="15" t="s">
        <v>17</v>
      </c>
      <c r="K4144" s="9">
        <v>39</v>
      </c>
      <c r="L4144" s="16" t="s">
        <v>29</v>
      </c>
      <c r="M4144" s="16">
        <f t="shared" si="387"/>
        <v>0.92735299990740228</v>
      </c>
      <c r="N4144">
        <f t="shared" si="388"/>
        <v>0</v>
      </c>
      <c r="O4144">
        <f t="shared" si="389"/>
        <v>0</v>
      </c>
      <c r="P4144">
        <f t="shared" si="386"/>
        <v>5350</v>
      </c>
      <c r="Q4144">
        <f t="shared" si="390"/>
        <v>5350</v>
      </c>
      <c r="T4144" s="16">
        <f t="shared" si="391"/>
        <v>0.92735299990740183</v>
      </c>
    </row>
    <row r="4145" spans="7:20" ht="14.4" x14ac:dyDescent="0.25">
      <c r="G4145" s="10">
        <v>5855</v>
      </c>
      <c r="H4145" s="9">
        <v>41569</v>
      </c>
      <c r="I4145" s="14">
        <f>DATE(2012,12,31)-894</f>
        <v>40380</v>
      </c>
      <c r="J4145" s="15" t="s">
        <v>30</v>
      </c>
      <c r="K4145" s="9">
        <v>49</v>
      </c>
      <c r="L4145" s="16" t="s">
        <v>26</v>
      </c>
      <c r="M4145" s="16">
        <f t="shared" si="387"/>
        <v>1.6179507660996166</v>
      </c>
      <c r="N4145">
        <f t="shared" si="388"/>
        <v>0</v>
      </c>
      <c r="O4145">
        <f t="shared" si="389"/>
        <v>0</v>
      </c>
      <c r="P4145">
        <f t="shared" si="386"/>
        <v>5850</v>
      </c>
      <c r="Q4145">
        <f t="shared" si="390"/>
        <v>5850</v>
      </c>
      <c r="T4145" s="16">
        <f t="shared" si="391"/>
        <v>1.6179507660996162</v>
      </c>
    </row>
    <row r="4146" spans="7:20" ht="14.4" x14ac:dyDescent="0.25">
      <c r="G4146" s="10">
        <v>5858</v>
      </c>
      <c r="H4146" s="9">
        <v>41571</v>
      </c>
      <c r="I4146" s="14">
        <f>DATE(2012,12,31)-574</f>
        <v>40700</v>
      </c>
      <c r="J4146" s="15" t="s">
        <v>25</v>
      </c>
      <c r="K4146" s="9">
        <v>42</v>
      </c>
      <c r="L4146" s="16" t="s">
        <v>26</v>
      </c>
      <c r="M4146" s="16">
        <f t="shared" si="387"/>
        <v>1.1345323297650665</v>
      </c>
      <c r="N4146">
        <f t="shared" si="388"/>
        <v>0</v>
      </c>
      <c r="O4146">
        <f t="shared" si="389"/>
        <v>0</v>
      </c>
      <c r="P4146">
        <f t="shared" si="386"/>
        <v>5500</v>
      </c>
      <c r="Q4146">
        <f t="shared" si="390"/>
        <v>5500</v>
      </c>
      <c r="T4146" s="16">
        <f t="shared" si="391"/>
        <v>1.1345323297650662</v>
      </c>
    </row>
    <row r="4147" spans="7:20" ht="14.4" x14ac:dyDescent="0.25">
      <c r="G4147" s="10">
        <v>5880</v>
      </c>
      <c r="H4147" s="9">
        <v>41728</v>
      </c>
      <c r="I4147" s="14">
        <f>DATE(2012,12,31)-1188</f>
        <v>40086</v>
      </c>
      <c r="J4147" s="15" t="s">
        <v>17</v>
      </c>
      <c r="K4147" s="9">
        <v>28</v>
      </c>
      <c r="L4147" s="16" t="s">
        <v>26</v>
      </c>
      <c r="M4147" s="16">
        <f t="shared" si="387"/>
        <v>0.16769545709596645</v>
      </c>
      <c r="N4147">
        <f t="shared" si="388"/>
        <v>0</v>
      </c>
      <c r="O4147">
        <f t="shared" si="389"/>
        <v>0</v>
      </c>
      <c r="P4147">
        <f t="shared" si="386"/>
        <v>4800</v>
      </c>
      <c r="Q4147">
        <f t="shared" si="390"/>
        <v>4800</v>
      </c>
      <c r="T4147" s="16">
        <f t="shared" si="391"/>
        <v>0.16769545709596606</v>
      </c>
    </row>
    <row r="4148" spans="7:20" ht="14.4" x14ac:dyDescent="0.25">
      <c r="G4148" s="10">
        <v>5881</v>
      </c>
      <c r="H4148" s="9">
        <v>41728</v>
      </c>
      <c r="I4148" s="14">
        <f>DATE(2012,12,31)-1188</f>
        <v>40086</v>
      </c>
      <c r="J4148" s="15" t="s">
        <v>17</v>
      </c>
      <c r="K4148" s="9">
        <v>10</v>
      </c>
      <c r="L4148" s="16" t="s">
        <v>29</v>
      </c>
      <c r="M4148" s="16">
        <f t="shared" si="387"/>
        <v>-1.0753805220500194</v>
      </c>
      <c r="N4148">
        <f t="shared" si="388"/>
        <v>0</v>
      </c>
      <c r="O4148">
        <f t="shared" si="389"/>
        <v>0</v>
      </c>
      <c r="P4148">
        <f t="shared" si="386"/>
        <v>3900</v>
      </c>
      <c r="Q4148">
        <f t="shared" si="390"/>
        <v>3900</v>
      </c>
      <c r="T4148" s="16">
        <f t="shared" si="391"/>
        <v>-1.0753805220500199</v>
      </c>
    </row>
    <row r="4149" spans="7:20" ht="14.4" x14ac:dyDescent="0.25">
      <c r="G4149" s="10">
        <v>5886</v>
      </c>
      <c r="H4149" s="9">
        <v>41764</v>
      </c>
      <c r="I4149" s="14">
        <f>DATE(2012,12,31)-1183</f>
        <v>40091</v>
      </c>
      <c r="J4149" s="15" t="s">
        <v>28</v>
      </c>
      <c r="K4149" s="9">
        <v>16</v>
      </c>
      <c r="L4149" s="16" t="s">
        <v>29</v>
      </c>
      <c r="M4149" s="16">
        <f t="shared" si="387"/>
        <v>-0.66102186233469074</v>
      </c>
      <c r="N4149">
        <f t="shared" si="388"/>
        <v>0</v>
      </c>
      <c r="O4149">
        <f t="shared" si="389"/>
        <v>0</v>
      </c>
      <c r="P4149">
        <f t="shared" si="386"/>
        <v>4200</v>
      </c>
      <c r="Q4149">
        <f t="shared" si="390"/>
        <v>4200</v>
      </c>
      <c r="T4149" s="16">
        <f t="shared" si="391"/>
        <v>-0.66102186233469118</v>
      </c>
    </row>
    <row r="4150" spans="7:20" ht="14.4" x14ac:dyDescent="0.25">
      <c r="G4150" s="10">
        <v>5931</v>
      </c>
      <c r="H4150" s="9">
        <v>42082</v>
      </c>
      <c r="I4150" s="14">
        <f>DATE(2012,12,31)-379</f>
        <v>40895</v>
      </c>
      <c r="J4150" s="15" t="s">
        <v>30</v>
      </c>
      <c r="K4150" s="9">
        <v>15</v>
      </c>
      <c r="L4150" s="16" t="s">
        <v>26</v>
      </c>
      <c r="M4150" s="16">
        <f t="shared" si="387"/>
        <v>-0.7300816389539122</v>
      </c>
      <c r="N4150">
        <f t="shared" si="388"/>
        <v>0</v>
      </c>
      <c r="O4150">
        <f t="shared" si="389"/>
        <v>0</v>
      </c>
      <c r="P4150">
        <f t="shared" si="386"/>
        <v>4150</v>
      </c>
      <c r="Q4150">
        <f t="shared" si="390"/>
        <v>4150</v>
      </c>
      <c r="T4150" s="16">
        <f t="shared" si="391"/>
        <v>-0.73008163895391265</v>
      </c>
    </row>
    <row r="4151" spans="7:20" ht="14.4" x14ac:dyDescent="0.25">
      <c r="G4151" s="10">
        <v>5958</v>
      </c>
      <c r="H4151" s="9">
        <v>42279</v>
      </c>
      <c r="I4151" s="14">
        <f>DATE(2012,12,31)-1280</f>
        <v>39994</v>
      </c>
      <c r="J4151" s="15" t="s">
        <v>28</v>
      </c>
      <c r="K4151" s="9">
        <v>44</v>
      </c>
      <c r="L4151" s="16" t="s">
        <v>27</v>
      </c>
      <c r="M4151" s="16">
        <f t="shared" si="387"/>
        <v>1.2726518830035094</v>
      </c>
      <c r="N4151">
        <f t="shared" si="388"/>
        <v>0</v>
      </c>
      <c r="O4151">
        <f t="shared" si="389"/>
        <v>0</v>
      </c>
      <c r="P4151">
        <f t="shared" si="386"/>
        <v>5600</v>
      </c>
      <c r="Q4151">
        <f t="shared" si="390"/>
        <v>5600</v>
      </c>
      <c r="T4151" s="16">
        <f t="shared" si="391"/>
        <v>1.272651883003509</v>
      </c>
    </row>
    <row r="4152" spans="7:20" ht="14.4" x14ac:dyDescent="0.25">
      <c r="G4152" s="10">
        <v>5962</v>
      </c>
      <c r="H4152" s="9">
        <v>42308</v>
      </c>
      <c r="I4152" s="14">
        <f>DATE(2012,12,31)-1298</f>
        <v>39976</v>
      </c>
      <c r="J4152" s="15" t="s">
        <v>16</v>
      </c>
      <c r="K4152" s="9">
        <v>16</v>
      </c>
      <c r="L4152" s="16" t="s">
        <v>29</v>
      </c>
      <c r="M4152" s="16">
        <f t="shared" si="387"/>
        <v>-0.66102186233469074</v>
      </c>
      <c r="N4152">
        <f t="shared" si="388"/>
        <v>0</v>
      </c>
      <c r="O4152">
        <f t="shared" si="389"/>
        <v>0</v>
      </c>
      <c r="P4152">
        <f t="shared" si="386"/>
        <v>4200</v>
      </c>
      <c r="Q4152">
        <f t="shared" si="390"/>
        <v>4200</v>
      </c>
      <c r="T4152" s="16">
        <f t="shared" si="391"/>
        <v>-0.66102186233469118</v>
      </c>
    </row>
    <row r="4153" spans="7:20" ht="14.4" x14ac:dyDescent="0.25">
      <c r="G4153" s="10">
        <v>5980</v>
      </c>
      <c r="H4153" s="9">
        <v>42375</v>
      </c>
      <c r="I4153" s="14">
        <f>DATE(2012,12,31)-822</f>
        <v>40452</v>
      </c>
      <c r="J4153" s="15" t="s">
        <v>17</v>
      </c>
      <c r="K4153" s="9">
        <v>45</v>
      </c>
      <c r="L4153" s="16" t="s">
        <v>26</v>
      </c>
      <c r="M4153" s="16">
        <f t="shared" si="387"/>
        <v>1.3417116596227308</v>
      </c>
      <c r="N4153">
        <f t="shared" si="388"/>
        <v>0</v>
      </c>
      <c r="O4153">
        <f t="shared" si="389"/>
        <v>0</v>
      </c>
      <c r="P4153">
        <f t="shared" si="386"/>
        <v>5650</v>
      </c>
      <c r="Q4153">
        <f t="shared" si="390"/>
        <v>5650</v>
      </c>
      <c r="T4153" s="16">
        <f t="shared" si="391"/>
        <v>1.3417116596227305</v>
      </c>
    </row>
    <row r="4154" spans="7:20" ht="14.4" x14ac:dyDescent="0.25">
      <c r="G4154" s="10">
        <v>6044</v>
      </c>
      <c r="H4154" s="9">
        <v>42851</v>
      </c>
      <c r="I4154" s="14">
        <f>DATE(2012,12,31)-1309</f>
        <v>39965</v>
      </c>
      <c r="J4154" s="15" t="s">
        <v>17</v>
      </c>
      <c r="K4154" s="9">
        <v>4</v>
      </c>
      <c r="L4154" s="16" t="s">
        <v>26</v>
      </c>
      <c r="M4154" s="16">
        <f t="shared" si="387"/>
        <v>-1.489739181765348</v>
      </c>
      <c r="N4154">
        <f t="shared" si="388"/>
        <v>0</v>
      </c>
      <c r="O4154">
        <f t="shared" si="389"/>
        <v>0</v>
      </c>
      <c r="P4154">
        <f t="shared" si="386"/>
        <v>3600</v>
      </c>
      <c r="Q4154">
        <f t="shared" si="390"/>
        <v>3600</v>
      </c>
      <c r="T4154" s="16">
        <f t="shared" si="391"/>
        <v>-1.4897391817653485</v>
      </c>
    </row>
    <row r="4155" spans="7:20" ht="14.4" x14ac:dyDescent="0.25">
      <c r="G4155" s="10">
        <v>6045</v>
      </c>
      <c r="H4155" s="9">
        <v>42851</v>
      </c>
      <c r="I4155" s="14">
        <f>DATE(2012,12,31)-1309</f>
        <v>39965</v>
      </c>
      <c r="J4155" s="15" t="s">
        <v>17</v>
      </c>
      <c r="K4155" s="9">
        <v>7</v>
      </c>
      <c r="L4155" s="16" t="s">
        <v>27</v>
      </c>
      <c r="M4155" s="16">
        <f t="shared" si="387"/>
        <v>-1.2825598519076837</v>
      </c>
      <c r="N4155">
        <f t="shared" si="388"/>
        <v>0</v>
      </c>
      <c r="O4155">
        <f t="shared" si="389"/>
        <v>0</v>
      </c>
      <c r="P4155">
        <f t="shared" si="386"/>
        <v>3750</v>
      </c>
      <c r="Q4155">
        <f t="shared" si="390"/>
        <v>3750</v>
      </c>
      <c r="T4155" s="16">
        <f t="shared" si="391"/>
        <v>-1.2825598519076842</v>
      </c>
    </row>
    <row r="4156" spans="7:20" ht="14.4" x14ac:dyDescent="0.25">
      <c r="G4156" s="10">
        <v>6154</v>
      </c>
      <c r="H4156" s="9">
        <v>43585</v>
      </c>
      <c r="I4156" s="14">
        <f>DATE(2012,12,31)-782</f>
        <v>40492</v>
      </c>
      <c r="J4156" s="15" t="s">
        <v>30</v>
      </c>
      <c r="K4156" s="9">
        <v>19</v>
      </c>
      <c r="L4156" s="16" t="s">
        <v>26</v>
      </c>
      <c r="M4156" s="16">
        <f t="shared" si="387"/>
        <v>-0.45384253247702649</v>
      </c>
      <c r="N4156">
        <f t="shared" si="388"/>
        <v>0</v>
      </c>
      <c r="O4156">
        <f t="shared" si="389"/>
        <v>0</v>
      </c>
      <c r="P4156">
        <f t="shared" si="386"/>
        <v>4350</v>
      </c>
      <c r="Q4156">
        <f t="shared" si="390"/>
        <v>4350</v>
      </c>
      <c r="T4156" s="16">
        <f t="shared" si="391"/>
        <v>-0.45384253247702688</v>
      </c>
    </row>
    <row r="4157" spans="7:20" ht="14.4" x14ac:dyDescent="0.25">
      <c r="G4157" s="10">
        <v>6157</v>
      </c>
      <c r="H4157" s="9">
        <v>43590</v>
      </c>
      <c r="I4157" s="14">
        <f>DATE(2012,12,31)-1208</f>
        <v>40066</v>
      </c>
      <c r="J4157" s="15" t="s">
        <v>30</v>
      </c>
      <c r="K4157" s="9">
        <v>24</v>
      </c>
      <c r="L4157" s="16" t="s">
        <v>29</v>
      </c>
      <c r="M4157" s="16">
        <f t="shared" si="387"/>
        <v>-0.1085436493809193</v>
      </c>
      <c r="N4157">
        <f t="shared" si="388"/>
        <v>0</v>
      </c>
      <c r="O4157">
        <f t="shared" si="389"/>
        <v>0</v>
      </c>
      <c r="P4157">
        <f t="shared" si="386"/>
        <v>4600</v>
      </c>
      <c r="Q4157">
        <f t="shared" si="390"/>
        <v>4600</v>
      </c>
      <c r="T4157" s="16">
        <f t="shared" si="391"/>
        <v>-0.10854364938091969</v>
      </c>
    </row>
    <row r="4158" spans="7:20" ht="14.4" x14ac:dyDescent="0.25">
      <c r="G4158" s="10">
        <v>6188</v>
      </c>
      <c r="H4158" s="9">
        <v>43874</v>
      </c>
      <c r="I4158" s="14">
        <f>DATE(2012,12,31)-204</f>
        <v>41070</v>
      </c>
      <c r="J4158" s="15" t="s">
        <v>17</v>
      </c>
      <c r="K4158" s="9">
        <v>46</v>
      </c>
      <c r="L4158" s="16" t="s">
        <v>26</v>
      </c>
      <c r="M4158" s="16">
        <f t="shared" si="387"/>
        <v>1.4107714362419523</v>
      </c>
      <c r="N4158">
        <f t="shared" si="388"/>
        <v>0</v>
      </c>
      <c r="O4158">
        <f t="shared" si="389"/>
        <v>0</v>
      </c>
      <c r="P4158">
        <f t="shared" si="386"/>
        <v>5700</v>
      </c>
      <c r="Q4158">
        <f t="shared" si="390"/>
        <v>5700</v>
      </c>
      <c r="T4158" s="16">
        <f t="shared" si="391"/>
        <v>1.4107714362419519</v>
      </c>
    </row>
    <row r="4159" spans="7:20" ht="14.4" x14ac:dyDescent="0.25">
      <c r="G4159" s="10">
        <v>6356</v>
      </c>
      <c r="H4159" s="9">
        <v>45059</v>
      </c>
      <c r="I4159" s="14">
        <f>DATE(2012,12,31)-697</f>
        <v>40577</v>
      </c>
      <c r="J4159" s="15" t="s">
        <v>28</v>
      </c>
      <c r="K4159" s="9">
        <v>4</v>
      </c>
      <c r="L4159" s="16" t="s">
        <v>27</v>
      </c>
      <c r="M4159" s="16">
        <f t="shared" si="387"/>
        <v>-1.489739181765348</v>
      </c>
      <c r="N4159">
        <f t="shared" si="388"/>
        <v>0</v>
      </c>
      <c r="O4159">
        <f t="shared" si="389"/>
        <v>0</v>
      </c>
      <c r="P4159">
        <f t="shared" si="386"/>
        <v>3600</v>
      </c>
      <c r="Q4159">
        <f t="shared" si="390"/>
        <v>3600</v>
      </c>
      <c r="T4159" s="16">
        <f t="shared" si="391"/>
        <v>-1.4897391817653485</v>
      </c>
    </row>
    <row r="4160" spans="7:20" ht="14.4" x14ac:dyDescent="0.25">
      <c r="G4160" s="10">
        <v>6408</v>
      </c>
      <c r="H4160" s="9">
        <v>45542</v>
      </c>
      <c r="I4160" s="14">
        <f>DATE(2012,12,31)-1058</f>
        <v>40216</v>
      </c>
      <c r="J4160" s="15" t="s">
        <v>17</v>
      </c>
      <c r="K4160" s="9">
        <v>37</v>
      </c>
      <c r="L4160" s="16" t="s">
        <v>26</v>
      </c>
      <c r="M4160" s="16">
        <f t="shared" si="387"/>
        <v>0.78923344666895934</v>
      </c>
      <c r="N4160">
        <f t="shared" si="388"/>
        <v>0</v>
      </c>
      <c r="O4160">
        <f t="shared" si="389"/>
        <v>0</v>
      </c>
      <c r="P4160">
        <f t="shared" si="386"/>
        <v>5250</v>
      </c>
      <c r="Q4160">
        <f t="shared" si="390"/>
        <v>5250</v>
      </c>
      <c r="T4160" s="16">
        <f t="shared" si="391"/>
        <v>0.789233446668959</v>
      </c>
    </row>
    <row r="4161" spans="7:20" ht="14.4" x14ac:dyDescent="0.25">
      <c r="G4161" s="10">
        <v>6409</v>
      </c>
      <c r="H4161" s="9">
        <v>45542</v>
      </c>
      <c r="I4161" s="14">
        <f>DATE(2012,12,31)-1058</f>
        <v>40216</v>
      </c>
      <c r="J4161" s="15" t="s">
        <v>17</v>
      </c>
      <c r="K4161" s="9">
        <v>40</v>
      </c>
      <c r="L4161" s="16" t="s">
        <v>29</v>
      </c>
      <c r="M4161" s="16">
        <f t="shared" si="387"/>
        <v>0.99641277652662363</v>
      </c>
      <c r="N4161">
        <f t="shared" si="388"/>
        <v>0</v>
      </c>
      <c r="O4161">
        <f t="shared" si="389"/>
        <v>0</v>
      </c>
      <c r="P4161">
        <f t="shared" si="386"/>
        <v>5400</v>
      </c>
      <c r="Q4161">
        <f t="shared" si="390"/>
        <v>5400</v>
      </c>
      <c r="T4161" s="16">
        <f t="shared" si="391"/>
        <v>0.9964127765266233</v>
      </c>
    </row>
    <row r="4162" spans="7:20" ht="14.4" x14ac:dyDescent="0.25">
      <c r="G4162" s="10">
        <v>6427</v>
      </c>
      <c r="H4162" s="9">
        <v>45698</v>
      </c>
      <c r="I4162" s="14">
        <f>DATE(2012,12,31)-252</f>
        <v>41022</v>
      </c>
      <c r="J4162" s="15" t="s">
        <v>17</v>
      </c>
      <c r="K4162" s="9">
        <v>40</v>
      </c>
      <c r="L4162" s="16" t="s">
        <v>26</v>
      </c>
      <c r="M4162" s="16">
        <f t="shared" si="387"/>
        <v>0.99641277652662363</v>
      </c>
      <c r="N4162">
        <f t="shared" si="388"/>
        <v>0</v>
      </c>
      <c r="O4162">
        <f t="shared" si="389"/>
        <v>0</v>
      </c>
      <c r="P4162">
        <f t="shared" si="386"/>
        <v>5400</v>
      </c>
      <c r="Q4162">
        <f t="shared" si="390"/>
        <v>5400</v>
      </c>
      <c r="T4162" s="16">
        <f t="shared" si="391"/>
        <v>0.9964127765266233</v>
      </c>
    </row>
    <row r="4163" spans="7:20" ht="14.4" x14ac:dyDescent="0.25">
      <c r="G4163" s="10">
        <v>6428</v>
      </c>
      <c r="H4163" s="9">
        <v>45698</v>
      </c>
      <c r="I4163" s="14">
        <f>DATE(2012,12,31)-252</f>
        <v>41022</v>
      </c>
      <c r="J4163" s="15" t="s">
        <v>17</v>
      </c>
      <c r="K4163" s="9">
        <v>36</v>
      </c>
      <c r="L4163" s="16" t="s">
        <v>26</v>
      </c>
      <c r="M4163" s="16">
        <f t="shared" si="387"/>
        <v>0.72017367004973787</v>
      </c>
      <c r="N4163">
        <f t="shared" si="388"/>
        <v>0</v>
      </c>
      <c r="O4163">
        <f t="shared" si="389"/>
        <v>0</v>
      </c>
      <c r="P4163">
        <f t="shared" si="386"/>
        <v>5200</v>
      </c>
      <c r="Q4163">
        <f t="shared" si="390"/>
        <v>5200</v>
      </c>
      <c r="T4163" s="16">
        <f t="shared" si="391"/>
        <v>0.72017367004973754</v>
      </c>
    </row>
    <row r="4164" spans="7:20" ht="14.4" x14ac:dyDescent="0.25">
      <c r="G4164" s="10">
        <v>6458</v>
      </c>
      <c r="H4164" s="9">
        <v>45987</v>
      </c>
      <c r="I4164" s="14">
        <f>DATE(2012,12,31)-1390</f>
        <v>39884</v>
      </c>
      <c r="J4164" s="15" t="s">
        <v>28</v>
      </c>
      <c r="K4164" s="9">
        <v>31</v>
      </c>
      <c r="L4164" s="16" t="s">
        <v>26</v>
      </c>
      <c r="M4164" s="16">
        <f t="shared" si="387"/>
        <v>0.37487478695363075</v>
      </c>
      <c r="N4164">
        <f t="shared" si="388"/>
        <v>0</v>
      </c>
      <c r="O4164">
        <f t="shared" si="389"/>
        <v>0</v>
      </c>
      <c r="P4164">
        <f t="shared" si="386"/>
        <v>4950</v>
      </c>
      <c r="Q4164">
        <f t="shared" si="390"/>
        <v>4950</v>
      </c>
      <c r="T4164" s="16">
        <f t="shared" si="391"/>
        <v>0.37487478695363036</v>
      </c>
    </row>
    <row r="4165" spans="7:20" ht="14.4" x14ac:dyDescent="0.25">
      <c r="G4165" s="10">
        <v>6471</v>
      </c>
      <c r="H4165" s="9">
        <v>46052</v>
      </c>
      <c r="I4165" s="14">
        <f>DATE(2012,12,31)-1134</f>
        <v>40140</v>
      </c>
      <c r="J4165" s="15" t="s">
        <v>16</v>
      </c>
      <c r="K4165" s="9">
        <v>37</v>
      </c>
      <c r="L4165" s="16" t="s">
        <v>29</v>
      </c>
      <c r="M4165" s="16">
        <f t="shared" si="387"/>
        <v>0.78923344666895934</v>
      </c>
      <c r="N4165">
        <f t="shared" si="388"/>
        <v>0</v>
      </c>
      <c r="O4165">
        <f t="shared" si="389"/>
        <v>0</v>
      </c>
      <c r="P4165">
        <f t="shared" si="386"/>
        <v>5250</v>
      </c>
      <c r="Q4165">
        <f t="shared" si="390"/>
        <v>5250</v>
      </c>
      <c r="T4165" s="16">
        <f t="shared" si="391"/>
        <v>0.789233446668959</v>
      </c>
    </row>
    <row r="4166" spans="7:20" ht="14.4" x14ac:dyDescent="0.25">
      <c r="G4166" s="10">
        <v>6472</v>
      </c>
      <c r="H4166" s="9">
        <v>46052</v>
      </c>
      <c r="I4166" s="14">
        <f>DATE(2012,12,31)-1134</f>
        <v>40140</v>
      </c>
      <c r="J4166" s="15" t="s">
        <v>16</v>
      </c>
      <c r="K4166" s="9">
        <v>39</v>
      </c>
      <c r="L4166" s="16" t="s">
        <v>29</v>
      </c>
      <c r="M4166" s="16">
        <f t="shared" si="387"/>
        <v>0.92735299990740228</v>
      </c>
      <c r="N4166">
        <f t="shared" si="388"/>
        <v>0</v>
      </c>
      <c r="O4166">
        <f t="shared" si="389"/>
        <v>0</v>
      </c>
      <c r="P4166">
        <f t="shared" si="386"/>
        <v>5350</v>
      </c>
      <c r="Q4166">
        <f t="shared" si="390"/>
        <v>5350</v>
      </c>
      <c r="T4166" s="16">
        <f t="shared" si="391"/>
        <v>0.92735299990740183</v>
      </c>
    </row>
    <row r="4167" spans="7:20" ht="14.4" x14ac:dyDescent="0.25">
      <c r="G4167" s="10">
        <v>6516</v>
      </c>
      <c r="H4167" s="9">
        <v>46374</v>
      </c>
      <c r="I4167" s="14">
        <f>DATE(2012,12,31)-908</f>
        <v>40366</v>
      </c>
      <c r="J4167" s="15" t="s">
        <v>17</v>
      </c>
      <c r="K4167" s="9">
        <v>7</v>
      </c>
      <c r="L4167" s="16" t="s">
        <v>29</v>
      </c>
      <c r="M4167" s="16">
        <f t="shared" si="387"/>
        <v>-1.2825598519076837</v>
      </c>
      <c r="N4167">
        <f t="shared" si="388"/>
        <v>0</v>
      </c>
      <c r="O4167">
        <f t="shared" si="389"/>
        <v>0</v>
      </c>
      <c r="P4167">
        <f t="shared" si="386"/>
        <v>3750</v>
      </c>
      <c r="Q4167">
        <f t="shared" si="390"/>
        <v>3750</v>
      </c>
      <c r="T4167" s="16">
        <f t="shared" si="391"/>
        <v>-1.2825598519076842</v>
      </c>
    </row>
    <row r="4168" spans="7:20" ht="14.4" x14ac:dyDescent="0.25">
      <c r="G4168" s="10">
        <v>6519</v>
      </c>
      <c r="H4168" s="9">
        <v>46402</v>
      </c>
      <c r="I4168" s="14">
        <f>DATE(2012,12,31)-723</f>
        <v>40551</v>
      </c>
      <c r="J4168" s="15" t="s">
        <v>16</v>
      </c>
      <c r="K4168" s="9">
        <v>27</v>
      </c>
      <c r="L4168" s="16" t="s">
        <v>29</v>
      </c>
      <c r="M4168" s="16">
        <f t="shared" si="387"/>
        <v>9.8635680476745008E-2</v>
      </c>
      <c r="N4168">
        <f t="shared" si="388"/>
        <v>0</v>
      </c>
      <c r="O4168">
        <f t="shared" si="389"/>
        <v>0</v>
      </c>
      <c r="P4168">
        <f t="shared" si="386"/>
        <v>4750</v>
      </c>
      <c r="Q4168">
        <f t="shared" si="390"/>
        <v>4750</v>
      </c>
      <c r="T4168" s="16">
        <f t="shared" si="391"/>
        <v>9.8635680476744619E-2</v>
      </c>
    </row>
    <row r="4169" spans="7:20" ht="14.4" x14ac:dyDescent="0.25">
      <c r="G4169" s="10">
        <v>6520</v>
      </c>
      <c r="H4169" s="9">
        <v>46402</v>
      </c>
      <c r="I4169" s="14">
        <f>DATE(2012,12,31)-723</f>
        <v>40551</v>
      </c>
      <c r="J4169" s="15" t="s">
        <v>16</v>
      </c>
      <c r="K4169" s="9">
        <v>29</v>
      </c>
      <c r="L4169" s="16" t="s">
        <v>27</v>
      </c>
      <c r="M4169" s="16">
        <f t="shared" si="387"/>
        <v>0.23675523371518786</v>
      </c>
      <c r="N4169">
        <f t="shared" si="388"/>
        <v>0</v>
      </c>
      <c r="O4169">
        <f t="shared" si="389"/>
        <v>0</v>
      </c>
      <c r="P4169">
        <f t="shared" si="386"/>
        <v>4850</v>
      </c>
      <c r="Q4169">
        <f t="shared" si="390"/>
        <v>4850</v>
      </c>
      <c r="T4169" s="16">
        <f t="shared" si="391"/>
        <v>0.2367552337151875</v>
      </c>
    </row>
    <row r="4170" spans="7:20" ht="14.4" x14ac:dyDescent="0.25">
      <c r="G4170" s="10">
        <v>6521</v>
      </c>
      <c r="H4170" s="9">
        <v>46402</v>
      </c>
      <c r="I4170" s="14">
        <f>DATE(2012,12,31)-723</f>
        <v>40551</v>
      </c>
      <c r="J4170" s="15" t="s">
        <v>16</v>
      </c>
      <c r="K4170" s="9">
        <v>12</v>
      </c>
      <c r="L4170" s="16" t="s">
        <v>27</v>
      </c>
      <c r="M4170" s="16">
        <f t="shared" si="387"/>
        <v>-0.9372609688115765</v>
      </c>
      <c r="N4170">
        <f t="shared" si="388"/>
        <v>0</v>
      </c>
      <c r="O4170">
        <f t="shared" si="389"/>
        <v>0</v>
      </c>
      <c r="P4170">
        <f t="shared" si="386"/>
        <v>4000</v>
      </c>
      <c r="Q4170">
        <f t="shared" si="390"/>
        <v>4000</v>
      </c>
      <c r="T4170" s="16">
        <f t="shared" si="391"/>
        <v>-0.93726096881157694</v>
      </c>
    </row>
    <row r="4171" spans="7:20" ht="14.4" x14ac:dyDescent="0.25">
      <c r="G4171" s="10">
        <v>6522</v>
      </c>
      <c r="H4171" s="9">
        <v>46404</v>
      </c>
      <c r="I4171" s="14">
        <f>DATE(2012,12,31)-302</f>
        <v>40972</v>
      </c>
      <c r="J4171" s="15" t="s">
        <v>30</v>
      </c>
      <c r="K4171" s="9">
        <v>50</v>
      </c>
      <c r="L4171" s="16" t="s">
        <v>27</v>
      </c>
      <c r="M4171" s="16">
        <f t="shared" si="387"/>
        <v>1.687010542718838</v>
      </c>
      <c r="N4171">
        <f t="shared" si="388"/>
        <v>0</v>
      </c>
      <c r="O4171">
        <f t="shared" si="389"/>
        <v>0</v>
      </c>
      <c r="P4171">
        <f t="shared" si="386"/>
        <v>5900</v>
      </c>
      <c r="Q4171">
        <f t="shared" si="390"/>
        <v>5900</v>
      </c>
      <c r="T4171" s="16">
        <f t="shared" si="391"/>
        <v>1.6870105427188375</v>
      </c>
    </row>
    <row r="4172" spans="7:20" ht="14.4" x14ac:dyDescent="0.25">
      <c r="G4172" s="10">
        <v>6528</v>
      </c>
      <c r="H4172" s="9">
        <v>46468</v>
      </c>
      <c r="I4172" s="14">
        <f>DATE(2012,12,31)-720</f>
        <v>40554</v>
      </c>
      <c r="J4172" s="15" t="s">
        <v>30</v>
      </c>
      <c r="K4172" s="9">
        <v>46</v>
      </c>
      <c r="L4172" s="16" t="s">
        <v>26</v>
      </c>
      <c r="M4172" s="16">
        <f t="shared" si="387"/>
        <v>1.4107714362419523</v>
      </c>
      <c r="N4172">
        <f t="shared" si="388"/>
        <v>0</v>
      </c>
      <c r="O4172">
        <f t="shared" si="389"/>
        <v>0</v>
      </c>
      <c r="P4172">
        <f t="shared" ref="P4172:P4235" si="392">50*K4172+$P$10</f>
        <v>5700</v>
      </c>
      <c r="Q4172">
        <f t="shared" si="390"/>
        <v>5700</v>
      </c>
      <c r="T4172" s="16">
        <f t="shared" si="391"/>
        <v>1.4107714362419519</v>
      </c>
    </row>
    <row r="4173" spans="7:20" ht="14.4" x14ac:dyDescent="0.25">
      <c r="G4173" s="10">
        <v>6529</v>
      </c>
      <c r="H4173" s="9">
        <v>46468</v>
      </c>
      <c r="I4173" s="14">
        <f>DATE(2012,12,31)-720</f>
        <v>40554</v>
      </c>
      <c r="J4173" s="15" t="s">
        <v>30</v>
      </c>
      <c r="K4173" s="9">
        <v>41</v>
      </c>
      <c r="L4173" s="16" t="s">
        <v>27</v>
      </c>
      <c r="M4173" s="16">
        <f t="shared" ref="M4173:M4236" si="393">(K4173-$K$4)/$K$7</f>
        <v>1.0654725531458451</v>
      </c>
      <c r="N4173">
        <f t="shared" ref="N4173:N4236" si="394">IF(MOD($B$20+G4173,1000)=0,1,0)</f>
        <v>0</v>
      </c>
      <c r="O4173">
        <f t="shared" ref="O4173:O4236" si="395">+ROUND(N4173*(IF(K4173&lt;$K$4,-4.5,10.5)*$P$5),-2)</f>
        <v>0</v>
      </c>
      <c r="P4173">
        <f t="shared" si="392"/>
        <v>5450</v>
      </c>
      <c r="Q4173">
        <f t="shared" ref="Q4173:Q4236" si="396">P4173+O4173</f>
        <v>5450</v>
      </c>
      <c r="T4173" s="16">
        <f t="shared" ref="T4173:T4236" si="397">(Q4173-$P$4)/$P$5</f>
        <v>1.0654725531458447</v>
      </c>
    </row>
    <row r="4174" spans="7:20" ht="14.4" x14ac:dyDescent="0.25">
      <c r="G4174" s="10">
        <v>6530</v>
      </c>
      <c r="H4174" s="9">
        <v>46468</v>
      </c>
      <c r="I4174" s="14">
        <f>DATE(2012,12,31)-720</f>
        <v>40554</v>
      </c>
      <c r="J4174" s="15" t="s">
        <v>30</v>
      </c>
      <c r="K4174" s="9">
        <v>1</v>
      </c>
      <c r="L4174" s="16" t="s">
        <v>26</v>
      </c>
      <c r="M4174" s="16">
        <f t="shared" si="393"/>
        <v>-1.6969185116230123</v>
      </c>
      <c r="N4174">
        <f t="shared" si="394"/>
        <v>0</v>
      </c>
      <c r="O4174">
        <f t="shared" si="395"/>
        <v>0</v>
      </c>
      <c r="P4174">
        <f t="shared" si="392"/>
        <v>3450</v>
      </c>
      <c r="Q4174">
        <f t="shared" si="396"/>
        <v>3450</v>
      </c>
      <c r="T4174" s="16">
        <f t="shared" si="397"/>
        <v>-1.6969185116230128</v>
      </c>
    </row>
    <row r="4175" spans="7:20" ht="14.4" x14ac:dyDescent="0.25">
      <c r="G4175" s="10">
        <v>6533</v>
      </c>
      <c r="H4175" s="9">
        <v>46497</v>
      </c>
      <c r="I4175" s="14">
        <f>DATE(2012,12,31)-195</f>
        <v>41079</v>
      </c>
      <c r="J4175" s="15" t="s">
        <v>17</v>
      </c>
      <c r="K4175" s="9">
        <v>30</v>
      </c>
      <c r="L4175" s="16" t="s">
        <v>26</v>
      </c>
      <c r="M4175" s="16">
        <f t="shared" si="393"/>
        <v>0.30581501033440933</v>
      </c>
      <c r="N4175">
        <f t="shared" si="394"/>
        <v>1</v>
      </c>
      <c r="O4175">
        <f t="shared" si="395"/>
        <v>7600</v>
      </c>
      <c r="P4175">
        <f t="shared" si="392"/>
        <v>4900</v>
      </c>
      <c r="Q4175">
        <f t="shared" si="396"/>
        <v>12500</v>
      </c>
      <c r="T4175" s="16">
        <f t="shared" si="397"/>
        <v>10.802901056456067</v>
      </c>
    </row>
    <row r="4176" spans="7:20" ht="14.4" x14ac:dyDescent="0.25">
      <c r="G4176" s="10">
        <v>6651</v>
      </c>
      <c r="H4176" s="9">
        <v>47303</v>
      </c>
      <c r="I4176" s="14">
        <f>DATE(2012,12,31)-392</f>
        <v>40882</v>
      </c>
      <c r="J4176" s="15" t="s">
        <v>16</v>
      </c>
      <c r="K4176" s="9">
        <v>47</v>
      </c>
      <c r="L4176" s="16" t="s">
        <v>26</v>
      </c>
      <c r="M4176" s="16">
        <f t="shared" si="393"/>
        <v>1.4798312128611737</v>
      </c>
      <c r="N4176">
        <f t="shared" si="394"/>
        <v>0</v>
      </c>
      <c r="O4176">
        <f t="shared" si="395"/>
        <v>0</v>
      </c>
      <c r="P4176">
        <f t="shared" si="392"/>
        <v>5750</v>
      </c>
      <c r="Q4176">
        <f t="shared" si="396"/>
        <v>5750</v>
      </c>
      <c r="T4176" s="16">
        <f t="shared" si="397"/>
        <v>1.4798312128611733</v>
      </c>
    </row>
    <row r="4177" spans="7:20" ht="14.4" x14ac:dyDescent="0.25">
      <c r="G4177" s="10">
        <v>6652</v>
      </c>
      <c r="H4177" s="9">
        <v>47303</v>
      </c>
      <c r="I4177" s="14">
        <f>DATE(2012,12,31)-392</f>
        <v>40882</v>
      </c>
      <c r="J4177" s="15" t="s">
        <v>16</v>
      </c>
      <c r="K4177" s="9">
        <v>7</v>
      </c>
      <c r="L4177" s="16" t="s">
        <v>26</v>
      </c>
      <c r="M4177" s="16">
        <f t="shared" si="393"/>
        <v>-1.2825598519076837</v>
      </c>
      <c r="N4177">
        <f t="shared" si="394"/>
        <v>0</v>
      </c>
      <c r="O4177">
        <f t="shared" si="395"/>
        <v>0</v>
      </c>
      <c r="P4177">
        <f t="shared" si="392"/>
        <v>3750</v>
      </c>
      <c r="Q4177">
        <f t="shared" si="396"/>
        <v>3750</v>
      </c>
      <c r="T4177" s="16">
        <f t="shared" si="397"/>
        <v>-1.2825598519076842</v>
      </c>
    </row>
    <row r="4178" spans="7:20" ht="14.4" x14ac:dyDescent="0.25">
      <c r="G4178" s="10">
        <v>6653</v>
      </c>
      <c r="H4178" s="9">
        <v>47303</v>
      </c>
      <c r="I4178" s="14">
        <f>DATE(2012,12,31)-392</f>
        <v>40882</v>
      </c>
      <c r="J4178" s="15" t="s">
        <v>16</v>
      </c>
      <c r="K4178" s="9">
        <v>45</v>
      </c>
      <c r="L4178" s="16" t="s">
        <v>26</v>
      </c>
      <c r="M4178" s="16">
        <f t="shared" si="393"/>
        <v>1.3417116596227308</v>
      </c>
      <c r="N4178">
        <f t="shared" si="394"/>
        <v>0</v>
      </c>
      <c r="O4178">
        <f t="shared" si="395"/>
        <v>0</v>
      </c>
      <c r="P4178">
        <f t="shared" si="392"/>
        <v>5650</v>
      </c>
      <c r="Q4178">
        <f t="shared" si="396"/>
        <v>5650</v>
      </c>
      <c r="T4178" s="16">
        <f t="shared" si="397"/>
        <v>1.3417116596227305</v>
      </c>
    </row>
    <row r="4179" spans="7:20" ht="14.4" x14ac:dyDescent="0.25">
      <c r="G4179" s="10">
        <v>6672</v>
      </c>
      <c r="H4179" s="9">
        <v>47492</v>
      </c>
      <c r="I4179" s="14">
        <f>DATE(2012,12,31)-527</f>
        <v>40747</v>
      </c>
      <c r="J4179" s="15" t="s">
        <v>17</v>
      </c>
      <c r="K4179" s="9">
        <v>22</v>
      </c>
      <c r="L4179" s="16" t="s">
        <v>27</v>
      </c>
      <c r="M4179" s="16">
        <f t="shared" si="393"/>
        <v>-0.24666320261936217</v>
      </c>
      <c r="N4179">
        <f t="shared" si="394"/>
        <v>0</v>
      </c>
      <c r="O4179">
        <f t="shared" si="395"/>
        <v>0</v>
      </c>
      <c r="P4179">
        <f t="shared" si="392"/>
        <v>4500</v>
      </c>
      <c r="Q4179">
        <f t="shared" si="396"/>
        <v>4500</v>
      </c>
      <c r="T4179" s="16">
        <f t="shared" si="397"/>
        <v>-0.24666320261936256</v>
      </c>
    </row>
    <row r="4180" spans="7:20" ht="14.4" x14ac:dyDescent="0.25">
      <c r="G4180" s="10">
        <v>6695</v>
      </c>
      <c r="H4180" s="9">
        <v>47682</v>
      </c>
      <c r="I4180" s="14">
        <f>DATE(2012,12,31)-45</f>
        <v>41229</v>
      </c>
      <c r="J4180" s="15" t="s">
        <v>28</v>
      </c>
      <c r="K4180" s="9">
        <v>38</v>
      </c>
      <c r="L4180" s="16" t="s">
        <v>26</v>
      </c>
      <c r="M4180" s="16">
        <f t="shared" si="393"/>
        <v>0.85829322328818081</v>
      </c>
      <c r="N4180">
        <f t="shared" si="394"/>
        <v>0</v>
      </c>
      <c r="O4180">
        <f t="shared" si="395"/>
        <v>0</v>
      </c>
      <c r="P4180">
        <f t="shared" si="392"/>
        <v>5300</v>
      </c>
      <c r="Q4180">
        <f t="shared" si="396"/>
        <v>5300</v>
      </c>
      <c r="T4180" s="16">
        <f t="shared" si="397"/>
        <v>0.85829322328818036</v>
      </c>
    </row>
    <row r="4181" spans="7:20" ht="14.4" x14ac:dyDescent="0.25">
      <c r="G4181" s="10">
        <v>6807</v>
      </c>
      <c r="H4181" s="9">
        <v>48483</v>
      </c>
      <c r="I4181" s="14">
        <f>DATE(2012,12,31)-1117</f>
        <v>40157</v>
      </c>
      <c r="J4181" s="15" t="s">
        <v>30</v>
      </c>
      <c r="K4181" s="9">
        <v>18</v>
      </c>
      <c r="L4181" s="16" t="s">
        <v>26</v>
      </c>
      <c r="M4181" s="16">
        <f t="shared" si="393"/>
        <v>-0.52290230909624791</v>
      </c>
      <c r="N4181">
        <f t="shared" si="394"/>
        <v>0</v>
      </c>
      <c r="O4181">
        <f t="shared" si="395"/>
        <v>0</v>
      </c>
      <c r="P4181">
        <f t="shared" si="392"/>
        <v>4300</v>
      </c>
      <c r="Q4181">
        <f t="shared" si="396"/>
        <v>4300</v>
      </c>
      <c r="T4181" s="16">
        <f t="shared" si="397"/>
        <v>-0.52290230909624835</v>
      </c>
    </row>
    <row r="4182" spans="7:20" ht="14.4" x14ac:dyDescent="0.25">
      <c r="G4182" s="10">
        <v>6871</v>
      </c>
      <c r="H4182" s="9">
        <v>48961</v>
      </c>
      <c r="I4182" s="14">
        <f>DATE(2012,12,31)-1259</f>
        <v>40015</v>
      </c>
      <c r="J4182" s="15" t="s">
        <v>28</v>
      </c>
      <c r="K4182" s="9">
        <v>24</v>
      </c>
      <c r="L4182" s="16" t="s">
        <v>26</v>
      </c>
      <c r="M4182" s="16">
        <f t="shared" si="393"/>
        <v>-0.1085436493809193</v>
      </c>
      <c r="N4182">
        <f t="shared" si="394"/>
        <v>0</v>
      </c>
      <c r="O4182">
        <f t="shared" si="395"/>
        <v>0</v>
      </c>
      <c r="P4182">
        <f t="shared" si="392"/>
        <v>4600</v>
      </c>
      <c r="Q4182">
        <f t="shared" si="396"/>
        <v>4600</v>
      </c>
      <c r="T4182" s="16">
        <f t="shared" si="397"/>
        <v>-0.10854364938091969</v>
      </c>
    </row>
    <row r="4183" spans="7:20" ht="14.4" x14ac:dyDescent="0.25">
      <c r="G4183" s="10">
        <v>6872</v>
      </c>
      <c r="H4183" s="9">
        <v>48961</v>
      </c>
      <c r="I4183" s="14">
        <f>DATE(2012,12,31)-1259</f>
        <v>40015</v>
      </c>
      <c r="J4183" s="15" t="s">
        <v>28</v>
      </c>
      <c r="K4183" s="9">
        <v>25</v>
      </c>
      <c r="L4183" s="16" t="s">
        <v>26</v>
      </c>
      <c r="M4183" s="16">
        <f t="shared" si="393"/>
        <v>-3.9483872761697868E-2</v>
      </c>
      <c r="N4183">
        <f t="shared" si="394"/>
        <v>0</v>
      </c>
      <c r="O4183">
        <f t="shared" si="395"/>
        <v>0</v>
      </c>
      <c r="P4183">
        <f t="shared" si="392"/>
        <v>4650</v>
      </c>
      <c r="Q4183">
        <f t="shared" si="396"/>
        <v>4650</v>
      </c>
      <c r="T4183" s="16">
        <f t="shared" si="397"/>
        <v>-3.9483872761698249E-2</v>
      </c>
    </row>
    <row r="4184" spans="7:20" ht="14.4" x14ac:dyDescent="0.25">
      <c r="G4184" s="10">
        <v>6921</v>
      </c>
      <c r="H4184" s="9">
        <v>49350</v>
      </c>
      <c r="I4184" s="14">
        <f>DATE(2012,12,31)-131</f>
        <v>41143</v>
      </c>
      <c r="J4184" s="15" t="s">
        <v>17</v>
      </c>
      <c r="K4184" s="9">
        <v>50</v>
      </c>
      <c r="L4184" s="16" t="s">
        <v>26</v>
      </c>
      <c r="M4184" s="16">
        <f t="shared" si="393"/>
        <v>1.687010542718838</v>
      </c>
      <c r="N4184">
        <f t="shared" si="394"/>
        <v>0</v>
      </c>
      <c r="O4184">
        <f t="shared" si="395"/>
        <v>0</v>
      </c>
      <c r="P4184">
        <f t="shared" si="392"/>
        <v>5900</v>
      </c>
      <c r="Q4184">
        <f t="shared" si="396"/>
        <v>5900</v>
      </c>
      <c r="T4184" s="16">
        <f t="shared" si="397"/>
        <v>1.6870105427188375</v>
      </c>
    </row>
    <row r="4185" spans="7:20" ht="14.4" x14ac:dyDescent="0.25">
      <c r="G4185" s="10">
        <v>6936</v>
      </c>
      <c r="H4185" s="9">
        <v>49505</v>
      </c>
      <c r="I4185" s="14">
        <f>DATE(2012,12,31)-1440</f>
        <v>39834</v>
      </c>
      <c r="J4185" s="15" t="s">
        <v>30</v>
      </c>
      <c r="K4185" s="9">
        <v>12</v>
      </c>
      <c r="L4185" s="16" t="s">
        <v>26</v>
      </c>
      <c r="M4185" s="16">
        <f t="shared" si="393"/>
        <v>-0.9372609688115765</v>
      </c>
      <c r="N4185">
        <f t="shared" si="394"/>
        <v>0</v>
      </c>
      <c r="O4185">
        <f t="shared" si="395"/>
        <v>0</v>
      </c>
      <c r="P4185">
        <f t="shared" si="392"/>
        <v>4000</v>
      </c>
      <c r="Q4185">
        <f t="shared" si="396"/>
        <v>4000</v>
      </c>
      <c r="T4185" s="16">
        <f t="shared" si="397"/>
        <v>-0.93726096881157694</v>
      </c>
    </row>
    <row r="4186" spans="7:20" ht="14.4" x14ac:dyDescent="0.25">
      <c r="G4186" s="10">
        <v>6937</v>
      </c>
      <c r="H4186" s="9">
        <v>49505</v>
      </c>
      <c r="I4186" s="14">
        <f>DATE(2012,12,31)-1440</f>
        <v>39834</v>
      </c>
      <c r="J4186" s="15" t="s">
        <v>30</v>
      </c>
      <c r="K4186" s="9">
        <v>34</v>
      </c>
      <c r="L4186" s="16" t="s">
        <v>27</v>
      </c>
      <c r="M4186" s="16">
        <f t="shared" si="393"/>
        <v>0.58205411681129504</v>
      </c>
      <c r="N4186">
        <f t="shared" si="394"/>
        <v>0</v>
      </c>
      <c r="O4186">
        <f t="shared" si="395"/>
        <v>0</v>
      </c>
      <c r="P4186">
        <f t="shared" si="392"/>
        <v>5100</v>
      </c>
      <c r="Q4186">
        <f t="shared" si="396"/>
        <v>5100</v>
      </c>
      <c r="T4186" s="16">
        <f t="shared" si="397"/>
        <v>0.58205411681129471</v>
      </c>
    </row>
    <row r="4187" spans="7:20" ht="14.4" x14ac:dyDescent="0.25">
      <c r="G4187" s="10">
        <v>6966</v>
      </c>
      <c r="H4187" s="9">
        <v>49797</v>
      </c>
      <c r="I4187" s="14">
        <f>DATE(2012,12,31)-664</f>
        <v>40610</v>
      </c>
      <c r="J4187" s="15" t="s">
        <v>28</v>
      </c>
      <c r="K4187" s="9">
        <v>27</v>
      </c>
      <c r="L4187" s="16" t="s">
        <v>26</v>
      </c>
      <c r="M4187" s="16">
        <f t="shared" si="393"/>
        <v>9.8635680476745008E-2</v>
      </c>
      <c r="N4187">
        <f t="shared" si="394"/>
        <v>0</v>
      </c>
      <c r="O4187">
        <f t="shared" si="395"/>
        <v>0</v>
      </c>
      <c r="P4187">
        <f t="shared" si="392"/>
        <v>4750</v>
      </c>
      <c r="Q4187">
        <f t="shared" si="396"/>
        <v>4750</v>
      </c>
      <c r="T4187" s="16">
        <f t="shared" si="397"/>
        <v>9.8635680476744619E-2</v>
      </c>
    </row>
    <row r="4188" spans="7:20" ht="14.4" x14ac:dyDescent="0.25">
      <c r="G4188" s="10">
        <v>6967</v>
      </c>
      <c r="H4188" s="9">
        <v>49797</v>
      </c>
      <c r="I4188" s="14">
        <f>DATE(2012,12,31)-664</f>
        <v>40610</v>
      </c>
      <c r="J4188" s="15" t="s">
        <v>28</v>
      </c>
      <c r="K4188" s="9">
        <v>26</v>
      </c>
      <c r="L4188" s="16" t="s">
        <v>26</v>
      </c>
      <c r="M4188" s="16">
        <f t="shared" si="393"/>
        <v>2.9575903857523567E-2</v>
      </c>
      <c r="N4188">
        <f t="shared" si="394"/>
        <v>0</v>
      </c>
      <c r="O4188">
        <f t="shared" si="395"/>
        <v>0</v>
      </c>
      <c r="P4188">
        <f t="shared" si="392"/>
        <v>4700</v>
      </c>
      <c r="Q4188">
        <f t="shared" si="396"/>
        <v>4700</v>
      </c>
      <c r="T4188" s="16">
        <f t="shared" si="397"/>
        <v>2.9575903857523185E-2</v>
      </c>
    </row>
    <row r="4189" spans="7:20" ht="14.4" x14ac:dyDescent="0.25">
      <c r="G4189" s="10">
        <v>7007</v>
      </c>
      <c r="H4189" s="9">
        <v>50017</v>
      </c>
      <c r="I4189" s="14">
        <f>DATE(2012,12,31)-41</f>
        <v>41233</v>
      </c>
      <c r="J4189" s="15" t="s">
        <v>25</v>
      </c>
      <c r="K4189" s="9">
        <v>43</v>
      </c>
      <c r="L4189" s="16" t="s">
        <v>26</v>
      </c>
      <c r="M4189" s="16">
        <f t="shared" si="393"/>
        <v>1.203592106384288</v>
      </c>
      <c r="N4189">
        <f t="shared" si="394"/>
        <v>0</v>
      </c>
      <c r="O4189">
        <f t="shared" si="395"/>
        <v>0</v>
      </c>
      <c r="P4189">
        <f t="shared" si="392"/>
        <v>5550</v>
      </c>
      <c r="Q4189">
        <f t="shared" si="396"/>
        <v>5550</v>
      </c>
      <c r="T4189" s="16">
        <f t="shared" si="397"/>
        <v>1.2035921063842876</v>
      </c>
    </row>
    <row r="4190" spans="7:20" ht="14.4" x14ac:dyDescent="0.25">
      <c r="G4190" s="10">
        <v>7008</v>
      </c>
      <c r="H4190" s="9">
        <v>50017</v>
      </c>
      <c r="I4190" s="14">
        <f>DATE(2012,12,31)-41</f>
        <v>41233</v>
      </c>
      <c r="J4190" s="15" t="s">
        <v>25</v>
      </c>
      <c r="K4190" s="9">
        <v>24</v>
      </c>
      <c r="L4190" s="16" t="s">
        <v>26</v>
      </c>
      <c r="M4190" s="16">
        <f t="shared" si="393"/>
        <v>-0.1085436493809193</v>
      </c>
      <c r="N4190">
        <f t="shared" si="394"/>
        <v>0</v>
      </c>
      <c r="O4190">
        <f t="shared" si="395"/>
        <v>0</v>
      </c>
      <c r="P4190">
        <f t="shared" si="392"/>
        <v>4600</v>
      </c>
      <c r="Q4190">
        <f t="shared" si="396"/>
        <v>4600</v>
      </c>
      <c r="T4190" s="16">
        <f t="shared" si="397"/>
        <v>-0.10854364938091969</v>
      </c>
    </row>
    <row r="4191" spans="7:20" ht="14.4" x14ac:dyDescent="0.25">
      <c r="G4191" s="10">
        <v>7013</v>
      </c>
      <c r="H4191" s="9">
        <v>50051</v>
      </c>
      <c r="I4191" s="14">
        <f>DATE(2012,12,31)-1184</f>
        <v>40090</v>
      </c>
      <c r="J4191" s="15" t="s">
        <v>16</v>
      </c>
      <c r="K4191" s="9">
        <v>15</v>
      </c>
      <c r="L4191" s="16" t="s">
        <v>29</v>
      </c>
      <c r="M4191" s="16">
        <f t="shared" si="393"/>
        <v>-0.7300816389539122</v>
      </c>
      <c r="N4191">
        <f t="shared" si="394"/>
        <v>0</v>
      </c>
      <c r="O4191">
        <f t="shared" si="395"/>
        <v>0</v>
      </c>
      <c r="P4191">
        <f t="shared" si="392"/>
        <v>4150</v>
      </c>
      <c r="Q4191">
        <f t="shared" si="396"/>
        <v>4150</v>
      </c>
      <c r="T4191" s="16">
        <f t="shared" si="397"/>
        <v>-0.73008163895391265</v>
      </c>
    </row>
    <row r="4192" spans="7:20" ht="14.4" x14ac:dyDescent="0.25">
      <c r="G4192" s="10">
        <v>7019</v>
      </c>
      <c r="H4192" s="9">
        <v>50083</v>
      </c>
      <c r="I4192" s="14">
        <f>DATE(2012,12,31)-633</f>
        <v>40641</v>
      </c>
      <c r="J4192" s="15" t="s">
        <v>28</v>
      </c>
      <c r="K4192" s="9">
        <v>33</v>
      </c>
      <c r="L4192" s="16" t="s">
        <v>27</v>
      </c>
      <c r="M4192" s="16">
        <f t="shared" si="393"/>
        <v>0.51299434019207357</v>
      </c>
      <c r="N4192">
        <f t="shared" si="394"/>
        <v>0</v>
      </c>
      <c r="O4192">
        <f t="shared" si="395"/>
        <v>0</v>
      </c>
      <c r="P4192">
        <f t="shared" si="392"/>
        <v>5050</v>
      </c>
      <c r="Q4192">
        <f t="shared" si="396"/>
        <v>5050</v>
      </c>
      <c r="T4192" s="16">
        <f t="shared" si="397"/>
        <v>0.51299434019207324</v>
      </c>
    </row>
    <row r="4193" spans="7:20" ht="14.4" x14ac:dyDescent="0.25">
      <c r="G4193" s="10">
        <v>7047</v>
      </c>
      <c r="H4193" s="9">
        <v>50307</v>
      </c>
      <c r="I4193" s="14">
        <f>DATE(2012,12,31)-808</f>
        <v>40466</v>
      </c>
      <c r="J4193" s="15" t="s">
        <v>25</v>
      </c>
      <c r="K4193" s="9">
        <v>31</v>
      </c>
      <c r="L4193" s="16" t="s">
        <v>27</v>
      </c>
      <c r="M4193" s="16">
        <f t="shared" si="393"/>
        <v>0.37487478695363075</v>
      </c>
      <c r="N4193">
        <f t="shared" si="394"/>
        <v>0</v>
      </c>
      <c r="O4193">
        <f t="shared" si="395"/>
        <v>0</v>
      </c>
      <c r="P4193">
        <f t="shared" si="392"/>
        <v>4950</v>
      </c>
      <c r="Q4193">
        <f t="shared" si="396"/>
        <v>4950</v>
      </c>
      <c r="T4193" s="16">
        <f t="shared" si="397"/>
        <v>0.37487478695363036</v>
      </c>
    </row>
    <row r="4194" spans="7:20" ht="14.4" x14ac:dyDescent="0.25">
      <c r="G4194" s="10">
        <v>7048</v>
      </c>
      <c r="H4194" s="9">
        <v>50307</v>
      </c>
      <c r="I4194" s="14">
        <f>DATE(2012,12,31)-808</f>
        <v>40466</v>
      </c>
      <c r="J4194" s="15" t="s">
        <v>25</v>
      </c>
      <c r="K4194" s="9">
        <v>32</v>
      </c>
      <c r="L4194" s="16" t="s">
        <v>26</v>
      </c>
      <c r="M4194" s="16">
        <f t="shared" si="393"/>
        <v>0.44393456357285216</v>
      </c>
      <c r="N4194">
        <f t="shared" si="394"/>
        <v>0</v>
      </c>
      <c r="O4194">
        <f t="shared" si="395"/>
        <v>0</v>
      </c>
      <c r="P4194">
        <f t="shared" si="392"/>
        <v>5000</v>
      </c>
      <c r="Q4194">
        <f t="shared" si="396"/>
        <v>5000</v>
      </c>
      <c r="T4194" s="16">
        <f t="shared" si="397"/>
        <v>0.44393456357285183</v>
      </c>
    </row>
    <row r="4195" spans="7:20" ht="14.4" x14ac:dyDescent="0.25">
      <c r="G4195" s="10">
        <v>7102</v>
      </c>
      <c r="H4195" s="9">
        <v>50663</v>
      </c>
      <c r="I4195" s="14">
        <f>DATE(2012,12,31)-783</f>
        <v>40491</v>
      </c>
      <c r="J4195" s="15" t="s">
        <v>30</v>
      </c>
      <c r="K4195" s="9">
        <v>26</v>
      </c>
      <c r="L4195" s="16" t="s">
        <v>26</v>
      </c>
      <c r="M4195" s="16">
        <f t="shared" si="393"/>
        <v>2.9575903857523567E-2</v>
      </c>
      <c r="N4195">
        <f t="shared" si="394"/>
        <v>0</v>
      </c>
      <c r="O4195">
        <f t="shared" si="395"/>
        <v>0</v>
      </c>
      <c r="P4195">
        <f t="shared" si="392"/>
        <v>4700</v>
      </c>
      <c r="Q4195">
        <f t="shared" si="396"/>
        <v>4700</v>
      </c>
      <c r="T4195" s="16">
        <f t="shared" si="397"/>
        <v>2.9575903857523185E-2</v>
      </c>
    </row>
    <row r="4196" spans="7:20" ht="14.4" x14ac:dyDescent="0.25">
      <c r="G4196" s="10">
        <v>7137</v>
      </c>
      <c r="H4196" s="9">
        <v>50917</v>
      </c>
      <c r="I4196" s="14">
        <f>DATE(2012,12,31)-1259</f>
        <v>40015</v>
      </c>
      <c r="J4196" s="15" t="s">
        <v>25</v>
      </c>
      <c r="K4196" s="9">
        <v>33</v>
      </c>
      <c r="L4196" s="16" t="s">
        <v>27</v>
      </c>
      <c r="M4196" s="16">
        <f t="shared" si="393"/>
        <v>0.51299434019207357</v>
      </c>
      <c r="N4196">
        <f t="shared" si="394"/>
        <v>0</v>
      </c>
      <c r="O4196">
        <f t="shared" si="395"/>
        <v>0</v>
      </c>
      <c r="P4196">
        <f t="shared" si="392"/>
        <v>5050</v>
      </c>
      <c r="Q4196">
        <f t="shared" si="396"/>
        <v>5050</v>
      </c>
      <c r="T4196" s="16">
        <f t="shared" si="397"/>
        <v>0.51299434019207324</v>
      </c>
    </row>
    <row r="4197" spans="7:20" ht="14.4" x14ac:dyDescent="0.25">
      <c r="G4197" s="10">
        <v>7145</v>
      </c>
      <c r="H4197" s="9">
        <v>50981</v>
      </c>
      <c r="I4197" s="14">
        <f>DATE(2012,12,31)-1245</f>
        <v>40029</v>
      </c>
      <c r="J4197" s="15" t="s">
        <v>30</v>
      </c>
      <c r="K4197" s="9">
        <v>42</v>
      </c>
      <c r="L4197" s="16" t="s">
        <v>27</v>
      </c>
      <c r="M4197" s="16">
        <f t="shared" si="393"/>
        <v>1.1345323297650665</v>
      </c>
      <c r="N4197">
        <f t="shared" si="394"/>
        <v>0</v>
      </c>
      <c r="O4197">
        <f t="shared" si="395"/>
        <v>0</v>
      </c>
      <c r="P4197">
        <f t="shared" si="392"/>
        <v>5500</v>
      </c>
      <c r="Q4197">
        <f t="shared" si="396"/>
        <v>5500</v>
      </c>
      <c r="T4197" s="16">
        <f t="shared" si="397"/>
        <v>1.1345323297650662</v>
      </c>
    </row>
    <row r="4198" spans="7:20" ht="14.4" x14ac:dyDescent="0.25">
      <c r="G4198" s="10">
        <v>7165</v>
      </c>
      <c r="H4198" s="9">
        <v>51140</v>
      </c>
      <c r="I4198" s="14">
        <f>DATE(2012,12,31)-108</f>
        <v>41166</v>
      </c>
      <c r="J4198" s="15" t="s">
        <v>25</v>
      </c>
      <c r="K4198" s="9">
        <v>28</v>
      </c>
      <c r="L4198" s="16" t="s">
        <v>26</v>
      </c>
      <c r="M4198" s="16">
        <f t="shared" si="393"/>
        <v>0.16769545709596645</v>
      </c>
      <c r="N4198">
        <f t="shared" si="394"/>
        <v>0</v>
      </c>
      <c r="O4198">
        <f t="shared" si="395"/>
        <v>0</v>
      </c>
      <c r="P4198">
        <f t="shared" si="392"/>
        <v>4800</v>
      </c>
      <c r="Q4198">
        <f t="shared" si="396"/>
        <v>4800</v>
      </c>
      <c r="T4198" s="16">
        <f t="shared" si="397"/>
        <v>0.16769545709596606</v>
      </c>
    </row>
    <row r="4199" spans="7:20" ht="14.4" x14ac:dyDescent="0.25">
      <c r="G4199" s="10">
        <v>7166</v>
      </c>
      <c r="H4199" s="9">
        <v>51140</v>
      </c>
      <c r="I4199" s="14">
        <f>DATE(2012,12,31)-108</f>
        <v>41166</v>
      </c>
      <c r="J4199" s="15" t="s">
        <v>25</v>
      </c>
      <c r="K4199" s="9">
        <v>14</v>
      </c>
      <c r="L4199" s="16" t="s">
        <v>27</v>
      </c>
      <c r="M4199" s="16">
        <f t="shared" si="393"/>
        <v>-0.79914141557313367</v>
      </c>
      <c r="N4199">
        <f t="shared" si="394"/>
        <v>0</v>
      </c>
      <c r="O4199">
        <f t="shared" si="395"/>
        <v>0</v>
      </c>
      <c r="P4199">
        <f t="shared" si="392"/>
        <v>4100</v>
      </c>
      <c r="Q4199">
        <f t="shared" si="396"/>
        <v>4100</v>
      </c>
      <c r="T4199" s="16">
        <f t="shared" si="397"/>
        <v>-0.79914141557313401</v>
      </c>
    </row>
    <row r="4200" spans="7:20" ht="14.4" x14ac:dyDescent="0.25">
      <c r="G4200" s="10">
        <v>7167</v>
      </c>
      <c r="H4200" s="9">
        <v>51140</v>
      </c>
      <c r="I4200" s="14">
        <f>DATE(2012,12,31)-108</f>
        <v>41166</v>
      </c>
      <c r="J4200" s="15" t="s">
        <v>25</v>
      </c>
      <c r="K4200" s="9">
        <v>3</v>
      </c>
      <c r="L4200" s="16" t="s">
        <v>29</v>
      </c>
      <c r="M4200" s="16">
        <f t="shared" si="393"/>
        <v>-1.5587989583845694</v>
      </c>
      <c r="N4200">
        <f t="shared" si="394"/>
        <v>0</v>
      </c>
      <c r="O4200">
        <f t="shared" si="395"/>
        <v>0</v>
      </c>
      <c r="P4200">
        <f t="shared" si="392"/>
        <v>3550</v>
      </c>
      <c r="Q4200">
        <f t="shared" si="396"/>
        <v>3550</v>
      </c>
      <c r="T4200" s="16">
        <f t="shared" si="397"/>
        <v>-1.5587989583845698</v>
      </c>
    </row>
    <row r="4201" spans="7:20" ht="14.4" x14ac:dyDescent="0.25">
      <c r="G4201" s="10">
        <v>7177</v>
      </c>
      <c r="H4201" s="9">
        <v>51205</v>
      </c>
      <c r="I4201" s="14">
        <f>DATE(2012,12,31)-21</f>
        <v>41253</v>
      </c>
      <c r="J4201" s="15" t="s">
        <v>17</v>
      </c>
      <c r="K4201" s="9">
        <v>17</v>
      </c>
      <c r="L4201" s="16" t="s">
        <v>26</v>
      </c>
      <c r="M4201" s="16">
        <f t="shared" si="393"/>
        <v>-0.59196208571546938</v>
      </c>
      <c r="N4201">
        <f t="shared" si="394"/>
        <v>0</v>
      </c>
      <c r="O4201">
        <f t="shared" si="395"/>
        <v>0</v>
      </c>
      <c r="P4201">
        <f t="shared" si="392"/>
        <v>4250</v>
      </c>
      <c r="Q4201">
        <f t="shared" si="396"/>
        <v>4250</v>
      </c>
      <c r="T4201" s="16">
        <f t="shared" si="397"/>
        <v>-0.59196208571546971</v>
      </c>
    </row>
    <row r="4202" spans="7:20" ht="14.4" x14ac:dyDescent="0.25">
      <c r="G4202" s="10">
        <v>7178</v>
      </c>
      <c r="H4202" s="9">
        <v>51205</v>
      </c>
      <c r="I4202" s="14">
        <f>DATE(2012,12,31)-21</f>
        <v>41253</v>
      </c>
      <c r="J4202" s="15" t="s">
        <v>17</v>
      </c>
      <c r="K4202" s="9">
        <v>5</v>
      </c>
      <c r="L4202" s="16" t="s">
        <v>26</v>
      </c>
      <c r="M4202" s="16">
        <f t="shared" si="393"/>
        <v>-1.4206794051461267</v>
      </c>
      <c r="N4202">
        <f t="shared" si="394"/>
        <v>0</v>
      </c>
      <c r="O4202">
        <f t="shared" si="395"/>
        <v>0</v>
      </c>
      <c r="P4202">
        <f t="shared" si="392"/>
        <v>3650</v>
      </c>
      <c r="Q4202">
        <f t="shared" si="396"/>
        <v>3650</v>
      </c>
      <c r="T4202" s="16">
        <f t="shared" si="397"/>
        <v>-1.4206794051461269</v>
      </c>
    </row>
    <row r="4203" spans="7:20" ht="14.4" x14ac:dyDescent="0.25">
      <c r="G4203" s="10">
        <v>7180</v>
      </c>
      <c r="H4203" s="9">
        <v>51237</v>
      </c>
      <c r="I4203" s="14">
        <f>DATE(2012,12,31)-296</f>
        <v>40978</v>
      </c>
      <c r="J4203" s="15" t="s">
        <v>16</v>
      </c>
      <c r="K4203" s="9">
        <v>26</v>
      </c>
      <c r="L4203" s="16" t="s">
        <v>27</v>
      </c>
      <c r="M4203" s="16">
        <f t="shared" si="393"/>
        <v>2.9575903857523567E-2</v>
      </c>
      <c r="N4203">
        <f t="shared" si="394"/>
        <v>0</v>
      </c>
      <c r="O4203">
        <f t="shared" si="395"/>
        <v>0</v>
      </c>
      <c r="P4203">
        <f t="shared" si="392"/>
        <v>4700</v>
      </c>
      <c r="Q4203">
        <f t="shared" si="396"/>
        <v>4700</v>
      </c>
      <c r="T4203" s="16">
        <f t="shared" si="397"/>
        <v>2.9575903857523185E-2</v>
      </c>
    </row>
    <row r="4204" spans="7:20" ht="14.4" x14ac:dyDescent="0.25">
      <c r="G4204" s="10">
        <v>7236</v>
      </c>
      <c r="H4204" s="9">
        <v>51619</v>
      </c>
      <c r="I4204" s="14">
        <f>DATE(2012,12,31)-1216</f>
        <v>40058</v>
      </c>
      <c r="J4204" s="15" t="s">
        <v>28</v>
      </c>
      <c r="K4204" s="9">
        <v>46</v>
      </c>
      <c r="L4204" s="16" t="s">
        <v>26</v>
      </c>
      <c r="M4204" s="16">
        <f t="shared" si="393"/>
        <v>1.4107714362419523</v>
      </c>
      <c r="N4204">
        <f t="shared" si="394"/>
        <v>0</v>
      </c>
      <c r="O4204">
        <f t="shared" si="395"/>
        <v>0</v>
      </c>
      <c r="P4204">
        <f t="shared" si="392"/>
        <v>5700</v>
      </c>
      <c r="Q4204">
        <f t="shared" si="396"/>
        <v>5700</v>
      </c>
      <c r="T4204" s="16">
        <f t="shared" si="397"/>
        <v>1.4107714362419519</v>
      </c>
    </row>
    <row r="4205" spans="7:20" ht="14.4" x14ac:dyDescent="0.25">
      <c r="G4205" s="10">
        <v>7237</v>
      </c>
      <c r="H4205" s="9">
        <v>51619</v>
      </c>
      <c r="I4205" s="14">
        <f>DATE(2012,12,31)-1216</f>
        <v>40058</v>
      </c>
      <c r="J4205" s="15" t="s">
        <v>28</v>
      </c>
      <c r="K4205" s="9">
        <v>6</v>
      </c>
      <c r="L4205" s="16" t="s">
        <v>26</v>
      </c>
      <c r="M4205" s="16">
        <f t="shared" si="393"/>
        <v>-1.3516196285269051</v>
      </c>
      <c r="N4205">
        <f t="shared" si="394"/>
        <v>0</v>
      </c>
      <c r="O4205">
        <f t="shared" si="395"/>
        <v>0</v>
      </c>
      <c r="P4205">
        <f t="shared" si="392"/>
        <v>3700</v>
      </c>
      <c r="Q4205">
        <f t="shared" si="396"/>
        <v>3700</v>
      </c>
      <c r="T4205" s="16">
        <f t="shared" si="397"/>
        <v>-1.3516196285269055</v>
      </c>
    </row>
    <row r="4206" spans="7:20" ht="14.4" x14ac:dyDescent="0.25">
      <c r="G4206" s="10">
        <v>7238</v>
      </c>
      <c r="H4206" s="9">
        <v>51619</v>
      </c>
      <c r="I4206" s="14">
        <f>DATE(2012,12,31)-1216</f>
        <v>40058</v>
      </c>
      <c r="J4206" s="15" t="s">
        <v>28</v>
      </c>
      <c r="K4206" s="9">
        <v>2</v>
      </c>
      <c r="L4206" s="16" t="s">
        <v>26</v>
      </c>
      <c r="M4206" s="16">
        <f t="shared" si="393"/>
        <v>-1.627858735003791</v>
      </c>
      <c r="N4206">
        <f t="shared" si="394"/>
        <v>0</v>
      </c>
      <c r="O4206">
        <f t="shared" si="395"/>
        <v>0</v>
      </c>
      <c r="P4206">
        <f t="shared" si="392"/>
        <v>3500</v>
      </c>
      <c r="Q4206">
        <f t="shared" si="396"/>
        <v>3500</v>
      </c>
      <c r="T4206" s="16">
        <f t="shared" si="397"/>
        <v>-1.6278587350037912</v>
      </c>
    </row>
    <row r="4207" spans="7:20" ht="14.4" x14ac:dyDescent="0.25">
      <c r="G4207" s="10">
        <v>7239</v>
      </c>
      <c r="H4207" s="9">
        <v>51619</v>
      </c>
      <c r="I4207" s="14">
        <f>DATE(2012,12,31)-1216</f>
        <v>40058</v>
      </c>
      <c r="J4207" s="15" t="s">
        <v>28</v>
      </c>
      <c r="K4207" s="9">
        <v>31</v>
      </c>
      <c r="L4207" s="16" t="s">
        <v>29</v>
      </c>
      <c r="M4207" s="16">
        <f t="shared" si="393"/>
        <v>0.37487478695363075</v>
      </c>
      <c r="N4207">
        <f t="shared" si="394"/>
        <v>0</v>
      </c>
      <c r="O4207">
        <f t="shared" si="395"/>
        <v>0</v>
      </c>
      <c r="P4207">
        <f t="shared" si="392"/>
        <v>4950</v>
      </c>
      <c r="Q4207">
        <f t="shared" si="396"/>
        <v>4950</v>
      </c>
      <c r="T4207" s="16">
        <f t="shared" si="397"/>
        <v>0.37487478695363036</v>
      </c>
    </row>
    <row r="4208" spans="7:20" ht="14.4" x14ac:dyDescent="0.25">
      <c r="G4208" s="10">
        <v>7250</v>
      </c>
      <c r="H4208" s="9">
        <v>51713</v>
      </c>
      <c r="I4208" s="14">
        <f>DATE(2012,12,31)-653</f>
        <v>40621</v>
      </c>
      <c r="J4208" s="15" t="s">
        <v>28</v>
      </c>
      <c r="K4208" s="9">
        <v>35</v>
      </c>
      <c r="L4208" s="16" t="s">
        <v>26</v>
      </c>
      <c r="M4208" s="16">
        <f t="shared" si="393"/>
        <v>0.65111389343051651</v>
      </c>
      <c r="N4208">
        <f t="shared" si="394"/>
        <v>0</v>
      </c>
      <c r="O4208">
        <f t="shared" si="395"/>
        <v>0</v>
      </c>
      <c r="P4208">
        <f t="shared" si="392"/>
        <v>5150</v>
      </c>
      <c r="Q4208">
        <f t="shared" si="396"/>
        <v>5150</v>
      </c>
      <c r="T4208" s="16">
        <f t="shared" si="397"/>
        <v>0.65111389343051607</v>
      </c>
    </row>
    <row r="4209" spans="7:20" ht="14.4" x14ac:dyDescent="0.25">
      <c r="G4209" s="10">
        <v>7296</v>
      </c>
      <c r="H4209" s="9">
        <v>52007</v>
      </c>
      <c r="I4209" s="14">
        <f>DATE(2012,12,31)-261</f>
        <v>41013</v>
      </c>
      <c r="J4209" s="15" t="s">
        <v>16</v>
      </c>
      <c r="K4209" s="9">
        <v>25</v>
      </c>
      <c r="L4209" s="16" t="s">
        <v>26</v>
      </c>
      <c r="M4209" s="16">
        <f t="shared" si="393"/>
        <v>-3.9483872761697868E-2</v>
      </c>
      <c r="N4209">
        <f t="shared" si="394"/>
        <v>0</v>
      </c>
      <c r="O4209">
        <f t="shared" si="395"/>
        <v>0</v>
      </c>
      <c r="P4209">
        <f t="shared" si="392"/>
        <v>4650</v>
      </c>
      <c r="Q4209">
        <f t="shared" si="396"/>
        <v>4650</v>
      </c>
      <c r="T4209" s="16">
        <f t="shared" si="397"/>
        <v>-3.9483872761698249E-2</v>
      </c>
    </row>
    <row r="4210" spans="7:20" ht="14.4" x14ac:dyDescent="0.25">
      <c r="G4210" s="10">
        <v>7297</v>
      </c>
      <c r="H4210" s="9">
        <v>52007</v>
      </c>
      <c r="I4210" s="14">
        <f>DATE(2012,12,31)-261</f>
        <v>41013</v>
      </c>
      <c r="J4210" s="15" t="s">
        <v>16</v>
      </c>
      <c r="K4210" s="9">
        <v>19</v>
      </c>
      <c r="L4210" s="16" t="s">
        <v>29</v>
      </c>
      <c r="M4210" s="16">
        <f t="shared" si="393"/>
        <v>-0.45384253247702649</v>
      </c>
      <c r="N4210">
        <f t="shared" si="394"/>
        <v>0</v>
      </c>
      <c r="O4210">
        <f t="shared" si="395"/>
        <v>0</v>
      </c>
      <c r="P4210">
        <f t="shared" si="392"/>
        <v>4350</v>
      </c>
      <c r="Q4210">
        <f t="shared" si="396"/>
        <v>4350</v>
      </c>
      <c r="T4210" s="16">
        <f t="shared" si="397"/>
        <v>-0.45384253247702688</v>
      </c>
    </row>
    <row r="4211" spans="7:20" ht="14.4" x14ac:dyDescent="0.25">
      <c r="G4211" s="10">
        <v>7317</v>
      </c>
      <c r="H4211" s="9">
        <v>52164</v>
      </c>
      <c r="I4211" s="14">
        <f>DATE(2012,12,31)-262</f>
        <v>41012</v>
      </c>
      <c r="J4211" s="15" t="s">
        <v>28</v>
      </c>
      <c r="K4211" s="9">
        <v>30</v>
      </c>
      <c r="L4211" s="16" t="s">
        <v>27</v>
      </c>
      <c r="M4211" s="16">
        <f t="shared" si="393"/>
        <v>0.30581501033440933</v>
      </c>
      <c r="N4211">
        <f t="shared" si="394"/>
        <v>0</v>
      </c>
      <c r="O4211">
        <f t="shared" si="395"/>
        <v>0</v>
      </c>
      <c r="P4211">
        <f t="shared" si="392"/>
        <v>4900</v>
      </c>
      <c r="Q4211">
        <f t="shared" si="396"/>
        <v>4900</v>
      </c>
      <c r="T4211" s="16">
        <f t="shared" si="397"/>
        <v>0.30581501033440894</v>
      </c>
    </row>
    <row r="4212" spans="7:20" ht="14.4" x14ac:dyDescent="0.25">
      <c r="G4212" s="10">
        <v>7367</v>
      </c>
      <c r="H4212" s="9">
        <v>52512</v>
      </c>
      <c r="I4212" s="14">
        <f>DATE(2012,12,31)-543</f>
        <v>40731</v>
      </c>
      <c r="J4212" s="15" t="s">
        <v>17</v>
      </c>
      <c r="K4212" s="9">
        <v>4</v>
      </c>
      <c r="L4212" s="16" t="s">
        <v>26</v>
      </c>
      <c r="M4212" s="16">
        <f t="shared" si="393"/>
        <v>-1.489739181765348</v>
      </c>
      <c r="N4212">
        <f t="shared" si="394"/>
        <v>0</v>
      </c>
      <c r="O4212">
        <f t="shared" si="395"/>
        <v>0</v>
      </c>
      <c r="P4212">
        <f t="shared" si="392"/>
        <v>3600</v>
      </c>
      <c r="Q4212">
        <f t="shared" si="396"/>
        <v>3600</v>
      </c>
      <c r="T4212" s="16">
        <f t="shared" si="397"/>
        <v>-1.4897391817653485</v>
      </c>
    </row>
    <row r="4213" spans="7:20" ht="14.4" x14ac:dyDescent="0.25">
      <c r="G4213" s="10">
        <v>7368</v>
      </c>
      <c r="H4213" s="9">
        <v>52512</v>
      </c>
      <c r="I4213" s="14">
        <f>DATE(2012,12,31)-543</f>
        <v>40731</v>
      </c>
      <c r="J4213" s="15" t="s">
        <v>17</v>
      </c>
      <c r="K4213" s="9">
        <v>32</v>
      </c>
      <c r="L4213" s="16" t="s">
        <v>26</v>
      </c>
      <c r="M4213" s="16">
        <f t="shared" si="393"/>
        <v>0.44393456357285216</v>
      </c>
      <c r="N4213">
        <f t="shared" si="394"/>
        <v>0</v>
      </c>
      <c r="O4213">
        <f t="shared" si="395"/>
        <v>0</v>
      </c>
      <c r="P4213">
        <f t="shared" si="392"/>
        <v>5000</v>
      </c>
      <c r="Q4213">
        <f t="shared" si="396"/>
        <v>5000</v>
      </c>
      <c r="T4213" s="16">
        <f t="shared" si="397"/>
        <v>0.44393456357285183</v>
      </c>
    </row>
    <row r="4214" spans="7:20" ht="14.4" x14ac:dyDescent="0.25">
      <c r="G4214" s="10">
        <v>7379</v>
      </c>
      <c r="H4214" s="9">
        <v>52611</v>
      </c>
      <c r="I4214" s="14">
        <f>DATE(2012,12,31)-616</f>
        <v>40658</v>
      </c>
      <c r="J4214" s="15" t="s">
        <v>16</v>
      </c>
      <c r="K4214" s="9">
        <v>11</v>
      </c>
      <c r="L4214" s="16" t="s">
        <v>26</v>
      </c>
      <c r="M4214" s="16">
        <f t="shared" si="393"/>
        <v>-1.0063207454307979</v>
      </c>
      <c r="N4214">
        <f t="shared" si="394"/>
        <v>0</v>
      </c>
      <c r="O4214">
        <f t="shared" si="395"/>
        <v>0</v>
      </c>
      <c r="P4214">
        <f t="shared" si="392"/>
        <v>3950</v>
      </c>
      <c r="Q4214">
        <f t="shared" si="396"/>
        <v>3950</v>
      </c>
      <c r="T4214" s="16">
        <f t="shared" si="397"/>
        <v>-1.0063207454307983</v>
      </c>
    </row>
    <row r="4215" spans="7:20" ht="14.4" x14ac:dyDescent="0.25">
      <c r="G4215" s="10">
        <v>7403</v>
      </c>
      <c r="H4215" s="9">
        <v>52805</v>
      </c>
      <c r="I4215" s="14">
        <f>DATE(2012,12,31)-460</f>
        <v>40814</v>
      </c>
      <c r="J4215" s="15" t="s">
        <v>17</v>
      </c>
      <c r="K4215" s="9">
        <v>20</v>
      </c>
      <c r="L4215" s="16" t="s">
        <v>27</v>
      </c>
      <c r="M4215" s="16">
        <f t="shared" si="393"/>
        <v>-0.38478275585780503</v>
      </c>
      <c r="N4215">
        <f t="shared" si="394"/>
        <v>0</v>
      </c>
      <c r="O4215">
        <f t="shared" si="395"/>
        <v>0</v>
      </c>
      <c r="P4215">
        <f t="shared" si="392"/>
        <v>4400</v>
      </c>
      <c r="Q4215">
        <f t="shared" si="396"/>
        <v>4400</v>
      </c>
      <c r="T4215" s="16">
        <f t="shared" si="397"/>
        <v>-0.38478275585780541</v>
      </c>
    </row>
    <row r="4216" spans="7:20" ht="14.4" x14ac:dyDescent="0.25">
      <c r="G4216" s="10">
        <v>7405</v>
      </c>
      <c r="H4216" s="9">
        <v>52833</v>
      </c>
      <c r="I4216" s="14">
        <f>DATE(2012,12,31)-373</f>
        <v>40901</v>
      </c>
      <c r="J4216" s="15" t="s">
        <v>16</v>
      </c>
      <c r="K4216" s="9">
        <v>8</v>
      </c>
      <c r="L4216" s="16" t="s">
        <v>26</v>
      </c>
      <c r="M4216" s="16">
        <f t="shared" si="393"/>
        <v>-1.2135000752884624</v>
      </c>
      <c r="N4216">
        <f t="shared" si="394"/>
        <v>0</v>
      </c>
      <c r="O4216">
        <f t="shared" si="395"/>
        <v>0</v>
      </c>
      <c r="P4216">
        <f t="shared" si="392"/>
        <v>3800</v>
      </c>
      <c r="Q4216">
        <f t="shared" si="396"/>
        <v>3800</v>
      </c>
      <c r="T4216" s="16">
        <f t="shared" si="397"/>
        <v>-1.2135000752884626</v>
      </c>
    </row>
    <row r="4217" spans="7:20" ht="14.4" x14ac:dyDescent="0.25">
      <c r="G4217" s="10">
        <v>7423</v>
      </c>
      <c r="H4217" s="9">
        <v>52930</v>
      </c>
      <c r="I4217" s="14">
        <f>DATE(2012,12,31)-419</f>
        <v>40855</v>
      </c>
      <c r="J4217" s="15" t="s">
        <v>25</v>
      </c>
      <c r="K4217" s="9">
        <v>16</v>
      </c>
      <c r="L4217" s="16" t="s">
        <v>26</v>
      </c>
      <c r="M4217" s="16">
        <f t="shared" si="393"/>
        <v>-0.66102186233469074</v>
      </c>
      <c r="N4217">
        <f t="shared" si="394"/>
        <v>0</v>
      </c>
      <c r="O4217">
        <f t="shared" si="395"/>
        <v>0</v>
      </c>
      <c r="P4217">
        <f t="shared" si="392"/>
        <v>4200</v>
      </c>
      <c r="Q4217">
        <f t="shared" si="396"/>
        <v>4200</v>
      </c>
      <c r="T4217" s="16">
        <f t="shared" si="397"/>
        <v>-0.66102186233469118</v>
      </c>
    </row>
    <row r="4218" spans="7:20" ht="14.4" x14ac:dyDescent="0.25">
      <c r="G4218" s="10">
        <v>7424</v>
      </c>
      <c r="H4218" s="9">
        <v>52930</v>
      </c>
      <c r="I4218" s="14">
        <f>DATE(2012,12,31)-419</f>
        <v>40855</v>
      </c>
      <c r="J4218" s="15" t="s">
        <v>25</v>
      </c>
      <c r="K4218" s="9">
        <v>39</v>
      </c>
      <c r="L4218" s="16" t="s">
        <v>26</v>
      </c>
      <c r="M4218" s="16">
        <f t="shared" si="393"/>
        <v>0.92735299990740228</v>
      </c>
      <c r="N4218">
        <f t="shared" si="394"/>
        <v>0</v>
      </c>
      <c r="O4218">
        <f t="shared" si="395"/>
        <v>0</v>
      </c>
      <c r="P4218">
        <f t="shared" si="392"/>
        <v>5350</v>
      </c>
      <c r="Q4218">
        <f t="shared" si="396"/>
        <v>5350</v>
      </c>
      <c r="T4218" s="16">
        <f t="shared" si="397"/>
        <v>0.92735299990740183</v>
      </c>
    </row>
    <row r="4219" spans="7:20" ht="14.4" x14ac:dyDescent="0.25">
      <c r="G4219" s="10">
        <v>7425</v>
      </c>
      <c r="H4219" s="9">
        <v>52930</v>
      </c>
      <c r="I4219" s="14">
        <f>DATE(2012,12,31)-419</f>
        <v>40855</v>
      </c>
      <c r="J4219" s="15" t="s">
        <v>25</v>
      </c>
      <c r="K4219" s="9">
        <v>24</v>
      </c>
      <c r="L4219" s="16" t="s">
        <v>27</v>
      </c>
      <c r="M4219" s="16">
        <f t="shared" si="393"/>
        <v>-0.1085436493809193</v>
      </c>
      <c r="N4219">
        <f t="shared" si="394"/>
        <v>0</v>
      </c>
      <c r="O4219">
        <f t="shared" si="395"/>
        <v>0</v>
      </c>
      <c r="P4219">
        <f t="shared" si="392"/>
        <v>4600</v>
      </c>
      <c r="Q4219">
        <f t="shared" si="396"/>
        <v>4600</v>
      </c>
      <c r="T4219" s="16">
        <f t="shared" si="397"/>
        <v>-0.10854364938091969</v>
      </c>
    </row>
    <row r="4220" spans="7:20" ht="14.4" x14ac:dyDescent="0.25">
      <c r="G4220" s="10">
        <v>7426</v>
      </c>
      <c r="H4220" s="9">
        <v>52930</v>
      </c>
      <c r="I4220" s="14">
        <f>DATE(2012,12,31)-419</f>
        <v>40855</v>
      </c>
      <c r="J4220" s="15" t="s">
        <v>25</v>
      </c>
      <c r="K4220" s="9">
        <v>40</v>
      </c>
      <c r="L4220" s="16" t="s">
        <v>27</v>
      </c>
      <c r="M4220" s="16">
        <f t="shared" si="393"/>
        <v>0.99641277652662363</v>
      </c>
      <c r="N4220">
        <f t="shared" si="394"/>
        <v>0</v>
      </c>
      <c r="O4220">
        <f t="shared" si="395"/>
        <v>0</v>
      </c>
      <c r="P4220">
        <f t="shared" si="392"/>
        <v>5400</v>
      </c>
      <c r="Q4220">
        <f t="shared" si="396"/>
        <v>5400</v>
      </c>
      <c r="T4220" s="16">
        <f t="shared" si="397"/>
        <v>0.9964127765266233</v>
      </c>
    </row>
    <row r="4221" spans="7:20" ht="14.4" x14ac:dyDescent="0.25">
      <c r="G4221" s="10">
        <v>7446</v>
      </c>
      <c r="H4221" s="9">
        <v>53127</v>
      </c>
      <c r="I4221" s="14">
        <f>DATE(2012,12,31)-600</f>
        <v>40674</v>
      </c>
      <c r="J4221" s="15" t="s">
        <v>17</v>
      </c>
      <c r="K4221" s="9">
        <v>50</v>
      </c>
      <c r="L4221" s="16" t="s">
        <v>26</v>
      </c>
      <c r="M4221" s="16">
        <f t="shared" si="393"/>
        <v>1.687010542718838</v>
      </c>
      <c r="N4221">
        <f t="shared" si="394"/>
        <v>0</v>
      </c>
      <c r="O4221">
        <f t="shared" si="395"/>
        <v>0</v>
      </c>
      <c r="P4221">
        <f t="shared" si="392"/>
        <v>5900</v>
      </c>
      <c r="Q4221">
        <f t="shared" si="396"/>
        <v>5900</v>
      </c>
      <c r="T4221" s="16">
        <f t="shared" si="397"/>
        <v>1.6870105427188375</v>
      </c>
    </row>
    <row r="4222" spans="7:20" ht="14.4" x14ac:dyDescent="0.25">
      <c r="G4222" s="10">
        <v>7447</v>
      </c>
      <c r="H4222" s="9">
        <v>53127</v>
      </c>
      <c r="I4222" s="14">
        <f>DATE(2012,12,31)-600</f>
        <v>40674</v>
      </c>
      <c r="J4222" s="15" t="s">
        <v>17</v>
      </c>
      <c r="K4222" s="9">
        <v>49</v>
      </c>
      <c r="L4222" s="16" t="s">
        <v>27</v>
      </c>
      <c r="M4222" s="16">
        <f t="shared" si="393"/>
        <v>1.6179507660996166</v>
      </c>
      <c r="N4222">
        <f t="shared" si="394"/>
        <v>0</v>
      </c>
      <c r="O4222">
        <f t="shared" si="395"/>
        <v>0</v>
      </c>
      <c r="P4222">
        <f t="shared" si="392"/>
        <v>5850</v>
      </c>
      <c r="Q4222">
        <f t="shared" si="396"/>
        <v>5850</v>
      </c>
      <c r="T4222" s="16">
        <f t="shared" si="397"/>
        <v>1.6179507660996162</v>
      </c>
    </row>
    <row r="4223" spans="7:20" ht="14.4" x14ac:dyDescent="0.25">
      <c r="G4223" s="10">
        <v>7472</v>
      </c>
      <c r="H4223" s="9">
        <v>53349</v>
      </c>
      <c r="I4223" s="14">
        <f>DATE(2012,12,31)-996</f>
        <v>40278</v>
      </c>
      <c r="J4223" s="15" t="s">
        <v>25</v>
      </c>
      <c r="K4223" s="9">
        <v>46</v>
      </c>
      <c r="L4223" s="16" t="s">
        <v>29</v>
      </c>
      <c r="M4223" s="16">
        <f t="shared" si="393"/>
        <v>1.4107714362419523</v>
      </c>
      <c r="N4223">
        <f t="shared" si="394"/>
        <v>0</v>
      </c>
      <c r="O4223">
        <f t="shared" si="395"/>
        <v>0</v>
      </c>
      <c r="P4223">
        <f t="shared" si="392"/>
        <v>5700</v>
      </c>
      <c r="Q4223">
        <f t="shared" si="396"/>
        <v>5700</v>
      </c>
      <c r="T4223" s="16">
        <f t="shared" si="397"/>
        <v>1.4107714362419519</v>
      </c>
    </row>
    <row r="4224" spans="7:20" ht="14.4" x14ac:dyDescent="0.25">
      <c r="G4224" s="10">
        <v>7489</v>
      </c>
      <c r="H4224" s="9">
        <v>53476</v>
      </c>
      <c r="I4224" s="14">
        <f>DATE(2012,12,31)-1299</f>
        <v>39975</v>
      </c>
      <c r="J4224" s="15" t="s">
        <v>28</v>
      </c>
      <c r="K4224" s="9">
        <v>14</v>
      </c>
      <c r="L4224" s="16" t="s">
        <v>26</v>
      </c>
      <c r="M4224" s="16">
        <f t="shared" si="393"/>
        <v>-0.79914141557313367</v>
      </c>
      <c r="N4224">
        <f t="shared" si="394"/>
        <v>0</v>
      </c>
      <c r="O4224">
        <f t="shared" si="395"/>
        <v>0</v>
      </c>
      <c r="P4224">
        <f t="shared" si="392"/>
        <v>4100</v>
      </c>
      <c r="Q4224">
        <f t="shared" si="396"/>
        <v>4100</v>
      </c>
      <c r="T4224" s="16">
        <f t="shared" si="397"/>
        <v>-0.79914141557313401</v>
      </c>
    </row>
    <row r="4225" spans="7:20" ht="14.4" x14ac:dyDescent="0.25">
      <c r="G4225" s="10">
        <v>7490</v>
      </c>
      <c r="H4225" s="9">
        <v>53476</v>
      </c>
      <c r="I4225" s="14">
        <f>DATE(2012,12,31)-1299</f>
        <v>39975</v>
      </c>
      <c r="J4225" s="15" t="s">
        <v>28</v>
      </c>
      <c r="K4225" s="9">
        <v>24</v>
      </c>
      <c r="L4225" s="16" t="s">
        <v>26</v>
      </c>
      <c r="M4225" s="16">
        <f t="shared" si="393"/>
        <v>-0.1085436493809193</v>
      </c>
      <c r="N4225">
        <f t="shared" si="394"/>
        <v>0</v>
      </c>
      <c r="O4225">
        <f t="shared" si="395"/>
        <v>0</v>
      </c>
      <c r="P4225">
        <f t="shared" si="392"/>
        <v>4600</v>
      </c>
      <c r="Q4225">
        <f t="shared" si="396"/>
        <v>4600</v>
      </c>
      <c r="T4225" s="16">
        <f t="shared" si="397"/>
        <v>-0.10854364938091969</v>
      </c>
    </row>
    <row r="4226" spans="7:20" ht="14.4" x14ac:dyDescent="0.25">
      <c r="G4226" s="10">
        <v>7491</v>
      </c>
      <c r="H4226" s="9">
        <v>53476</v>
      </c>
      <c r="I4226" s="14">
        <f>DATE(2012,12,31)-1299</f>
        <v>39975</v>
      </c>
      <c r="J4226" s="15" t="s">
        <v>28</v>
      </c>
      <c r="K4226" s="9">
        <v>47</v>
      </c>
      <c r="L4226" s="16" t="s">
        <v>26</v>
      </c>
      <c r="M4226" s="16">
        <f t="shared" si="393"/>
        <v>1.4798312128611737</v>
      </c>
      <c r="N4226">
        <f t="shared" si="394"/>
        <v>0</v>
      </c>
      <c r="O4226">
        <f t="shared" si="395"/>
        <v>0</v>
      </c>
      <c r="P4226">
        <f t="shared" si="392"/>
        <v>5750</v>
      </c>
      <c r="Q4226">
        <f t="shared" si="396"/>
        <v>5750</v>
      </c>
      <c r="T4226" s="16">
        <f t="shared" si="397"/>
        <v>1.4798312128611733</v>
      </c>
    </row>
    <row r="4227" spans="7:20" ht="14.4" x14ac:dyDescent="0.25">
      <c r="G4227" s="10">
        <v>7492</v>
      </c>
      <c r="H4227" s="9">
        <v>53476</v>
      </c>
      <c r="I4227" s="14">
        <f>DATE(2012,12,31)-1299</f>
        <v>39975</v>
      </c>
      <c r="J4227" s="15" t="s">
        <v>28</v>
      </c>
      <c r="K4227" s="9">
        <v>42</v>
      </c>
      <c r="L4227" s="16" t="s">
        <v>26</v>
      </c>
      <c r="M4227" s="16">
        <f t="shared" si="393"/>
        <v>1.1345323297650665</v>
      </c>
      <c r="N4227">
        <f t="shared" si="394"/>
        <v>0</v>
      </c>
      <c r="O4227">
        <f t="shared" si="395"/>
        <v>0</v>
      </c>
      <c r="P4227">
        <f t="shared" si="392"/>
        <v>5500</v>
      </c>
      <c r="Q4227">
        <f t="shared" si="396"/>
        <v>5500</v>
      </c>
      <c r="T4227" s="16">
        <f t="shared" si="397"/>
        <v>1.1345323297650662</v>
      </c>
    </row>
    <row r="4228" spans="7:20" ht="14.4" x14ac:dyDescent="0.25">
      <c r="G4228" s="10">
        <v>7518</v>
      </c>
      <c r="H4228" s="9">
        <v>53671</v>
      </c>
      <c r="I4228" s="14">
        <f>DATE(2012,12,31)-570</f>
        <v>40704</v>
      </c>
      <c r="J4228" s="15" t="s">
        <v>16</v>
      </c>
      <c r="K4228" s="9">
        <v>41</v>
      </c>
      <c r="L4228" s="16" t="s">
        <v>26</v>
      </c>
      <c r="M4228" s="16">
        <f t="shared" si="393"/>
        <v>1.0654725531458451</v>
      </c>
      <c r="N4228">
        <f t="shared" si="394"/>
        <v>0</v>
      </c>
      <c r="O4228">
        <f t="shared" si="395"/>
        <v>0</v>
      </c>
      <c r="P4228">
        <f t="shared" si="392"/>
        <v>5450</v>
      </c>
      <c r="Q4228">
        <f t="shared" si="396"/>
        <v>5450</v>
      </c>
      <c r="T4228" s="16">
        <f t="shared" si="397"/>
        <v>1.0654725531458447</v>
      </c>
    </row>
    <row r="4229" spans="7:20" ht="14.4" x14ac:dyDescent="0.25">
      <c r="G4229" s="10">
        <v>7519</v>
      </c>
      <c r="H4229" s="9">
        <v>53671</v>
      </c>
      <c r="I4229" s="14">
        <f>DATE(2012,12,31)-570</f>
        <v>40704</v>
      </c>
      <c r="J4229" s="15" t="s">
        <v>16</v>
      </c>
      <c r="K4229" s="9">
        <v>43</v>
      </c>
      <c r="L4229" s="16" t="s">
        <v>26</v>
      </c>
      <c r="M4229" s="16">
        <f t="shared" si="393"/>
        <v>1.203592106384288</v>
      </c>
      <c r="N4229">
        <f t="shared" si="394"/>
        <v>0</v>
      </c>
      <c r="O4229">
        <f t="shared" si="395"/>
        <v>0</v>
      </c>
      <c r="P4229">
        <f t="shared" si="392"/>
        <v>5550</v>
      </c>
      <c r="Q4229">
        <f t="shared" si="396"/>
        <v>5550</v>
      </c>
      <c r="T4229" s="16">
        <f t="shared" si="397"/>
        <v>1.2035921063842876</v>
      </c>
    </row>
    <row r="4230" spans="7:20" ht="14.4" x14ac:dyDescent="0.25">
      <c r="G4230" s="10">
        <v>7520</v>
      </c>
      <c r="H4230" s="9">
        <v>53671</v>
      </c>
      <c r="I4230" s="14">
        <f>DATE(2012,12,31)-570</f>
        <v>40704</v>
      </c>
      <c r="J4230" s="15" t="s">
        <v>16</v>
      </c>
      <c r="K4230" s="9">
        <v>39</v>
      </c>
      <c r="L4230" s="16" t="s">
        <v>26</v>
      </c>
      <c r="M4230" s="16">
        <f t="shared" si="393"/>
        <v>0.92735299990740228</v>
      </c>
      <c r="N4230">
        <f t="shared" si="394"/>
        <v>0</v>
      </c>
      <c r="O4230">
        <f t="shared" si="395"/>
        <v>0</v>
      </c>
      <c r="P4230">
        <f t="shared" si="392"/>
        <v>5350</v>
      </c>
      <c r="Q4230">
        <f t="shared" si="396"/>
        <v>5350</v>
      </c>
      <c r="T4230" s="16">
        <f t="shared" si="397"/>
        <v>0.92735299990740183</v>
      </c>
    </row>
    <row r="4231" spans="7:20" ht="14.4" x14ac:dyDescent="0.25">
      <c r="G4231" s="10">
        <v>7526</v>
      </c>
      <c r="H4231" s="9">
        <v>53766</v>
      </c>
      <c r="I4231" s="14">
        <f>DATE(2012,12,31)-1175</f>
        <v>40099</v>
      </c>
      <c r="J4231" s="15" t="s">
        <v>28</v>
      </c>
      <c r="K4231" s="9">
        <v>22</v>
      </c>
      <c r="L4231" s="16" t="s">
        <v>29</v>
      </c>
      <c r="M4231" s="16">
        <f t="shared" si="393"/>
        <v>-0.24666320261936217</v>
      </c>
      <c r="N4231">
        <f t="shared" si="394"/>
        <v>0</v>
      </c>
      <c r="O4231">
        <f t="shared" si="395"/>
        <v>0</v>
      </c>
      <c r="P4231">
        <f t="shared" si="392"/>
        <v>4500</v>
      </c>
      <c r="Q4231">
        <f t="shared" si="396"/>
        <v>4500</v>
      </c>
      <c r="T4231" s="16">
        <f t="shared" si="397"/>
        <v>-0.24666320261936256</v>
      </c>
    </row>
    <row r="4232" spans="7:20" ht="14.4" x14ac:dyDescent="0.25">
      <c r="G4232" s="10">
        <v>7528</v>
      </c>
      <c r="H4232" s="9">
        <v>53795</v>
      </c>
      <c r="I4232" s="14">
        <f>DATE(2012,12,31)-336</f>
        <v>40938</v>
      </c>
      <c r="J4232" s="15" t="s">
        <v>17</v>
      </c>
      <c r="K4232" s="9">
        <v>40</v>
      </c>
      <c r="L4232" s="16" t="s">
        <v>26</v>
      </c>
      <c r="M4232" s="16">
        <f t="shared" si="393"/>
        <v>0.99641277652662363</v>
      </c>
      <c r="N4232">
        <f t="shared" si="394"/>
        <v>0</v>
      </c>
      <c r="O4232">
        <f t="shared" si="395"/>
        <v>0</v>
      </c>
      <c r="P4232">
        <f t="shared" si="392"/>
        <v>5400</v>
      </c>
      <c r="Q4232">
        <f t="shared" si="396"/>
        <v>5400</v>
      </c>
      <c r="T4232" s="16">
        <f t="shared" si="397"/>
        <v>0.9964127765266233</v>
      </c>
    </row>
    <row r="4233" spans="7:20" ht="14.4" x14ac:dyDescent="0.25">
      <c r="G4233" s="10">
        <v>7529</v>
      </c>
      <c r="H4233" s="9">
        <v>53795</v>
      </c>
      <c r="I4233" s="14">
        <f>DATE(2012,12,31)-336</f>
        <v>40938</v>
      </c>
      <c r="J4233" s="15" t="s">
        <v>17</v>
      </c>
      <c r="K4233" s="9">
        <v>21</v>
      </c>
      <c r="L4233" s="16" t="s">
        <v>27</v>
      </c>
      <c r="M4233" s="16">
        <f t="shared" si="393"/>
        <v>-0.31572297923858361</v>
      </c>
      <c r="N4233">
        <f t="shared" si="394"/>
        <v>0</v>
      </c>
      <c r="O4233">
        <f t="shared" si="395"/>
        <v>0</v>
      </c>
      <c r="P4233">
        <f t="shared" si="392"/>
        <v>4450</v>
      </c>
      <c r="Q4233">
        <f t="shared" si="396"/>
        <v>4450</v>
      </c>
      <c r="T4233" s="16">
        <f t="shared" si="397"/>
        <v>-0.315722979238584</v>
      </c>
    </row>
    <row r="4234" spans="7:20" ht="14.4" x14ac:dyDescent="0.25">
      <c r="G4234" s="10">
        <v>7579</v>
      </c>
      <c r="H4234" s="9">
        <v>54209</v>
      </c>
      <c r="I4234" s="14">
        <f>DATE(2012,12,31)-138</f>
        <v>41136</v>
      </c>
      <c r="J4234" s="15" t="s">
        <v>16</v>
      </c>
      <c r="K4234" s="9">
        <v>21</v>
      </c>
      <c r="L4234" s="16" t="s">
        <v>27</v>
      </c>
      <c r="M4234" s="16">
        <f t="shared" si="393"/>
        <v>-0.31572297923858361</v>
      </c>
      <c r="N4234">
        <f t="shared" si="394"/>
        <v>0</v>
      </c>
      <c r="O4234">
        <f t="shared" si="395"/>
        <v>0</v>
      </c>
      <c r="P4234">
        <f t="shared" si="392"/>
        <v>4450</v>
      </c>
      <c r="Q4234">
        <f t="shared" si="396"/>
        <v>4450</v>
      </c>
      <c r="T4234" s="16">
        <f t="shared" si="397"/>
        <v>-0.315722979238584</v>
      </c>
    </row>
    <row r="4235" spans="7:20" ht="14.4" x14ac:dyDescent="0.25">
      <c r="G4235" s="10">
        <v>7599</v>
      </c>
      <c r="H4235" s="9">
        <v>54369</v>
      </c>
      <c r="I4235" s="14">
        <f>DATE(2012,12,31)-1400</f>
        <v>39874</v>
      </c>
      <c r="J4235" s="15" t="s">
        <v>28</v>
      </c>
      <c r="K4235" s="9">
        <v>47</v>
      </c>
      <c r="L4235" s="16" t="s">
        <v>27</v>
      </c>
      <c r="M4235" s="16">
        <f t="shared" si="393"/>
        <v>1.4798312128611737</v>
      </c>
      <c r="N4235">
        <f t="shared" si="394"/>
        <v>0</v>
      </c>
      <c r="O4235">
        <f t="shared" si="395"/>
        <v>0</v>
      </c>
      <c r="P4235">
        <f t="shared" si="392"/>
        <v>5750</v>
      </c>
      <c r="Q4235">
        <f t="shared" si="396"/>
        <v>5750</v>
      </c>
      <c r="T4235" s="16">
        <f t="shared" si="397"/>
        <v>1.4798312128611733</v>
      </c>
    </row>
    <row r="4236" spans="7:20" ht="14.4" x14ac:dyDescent="0.25">
      <c r="G4236" s="10">
        <v>7652</v>
      </c>
      <c r="H4236" s="9">
        <v>54850</v>
      </c>
      <c r="I4236" s="14">
        <f>DATE(2012,12,31)-738</f>
        <v>40536</v>
      </c>
      <c r="J4236" s="15" t="s">
        <v>28</v>
      </c>
      <c r="K4236" s="9">
        <v>16</v>
      </c>
      <c r="L4236" s="16" t="s">
        <v>26</v>
      </c>
      <c r="M4236" s="16">
        <f t="shared" si="393"/>
        <v>-0.66102186233469074</v>
      </c>
      <c r="N4236">
        <f t="shared" si="394"/>
        <v>0</v>
      </c>
      <c r="O4236">
        <f t="shared" si="395"/>
        <v>0</v>
      </c>
      <c r="P4236">
        <f t="shared" ref="P4236:P4299" si="398">50*K4236+$P$10</f>
        <v>4200</v>
      </c>
      <c r="Q4236">
        <f t="shared" si="396"/>
        <v>4200</v>
      </c>
      <c r="T4236" s="16">
        <f t="shared" si="397"/>
        <v>-0.66102186233469118</v>
      </c>
    </row>
    <row r="4237" spans="7:20" ht="14.4" x14ac:dyDescent="0.25">
      <c r="G4237" s="10">
        <v>7653</v>
      </c>
      <c r="H4237" s="9">
        <v>54850</v>
      </c>
      <c r="I4237" s="14">
        <f>DATE(2012,12,31)-738</f>
        <v>40536</v>
      </c>
      <c r="J4237" s="15" t="s">
        <v>28</v>
      </c>
      <c r="K4237" s="9">
        <v>9</v>
      </c>
      <c r="L4237" s="16" t="s">
        <v>27</v>
      </c>
      <c r="M4237" s="16">
        <f t="shared" ref="M4237:M4300" si="399">(K4237-$K$4)/$K$7</f>
        <v>-1.1444402986692408</v>
      </c>
      <c r="N4237">
        <f t="shared" ref="N4237:N4300" si="400">IF(MOD($B$20+G4237,1000)=0,1,0)</f>
        <v>0</v>
      </c>
      <c r="O4237">
        <f t="shared" ref="O4237:O4300" si="401">+ROUND(N4237*(IF(K4237&lt;$K$4,-4.5,10.5)*$P$5),-2)</f>
        <v>0</v>
      </c>
      <c r="P4237">
        <f t="shared" si="398"/>
        <v>3850</v>
      </c>
      <c r="Q4237">
        <f t="shared" ref="Q4237:Q4300" si="402">P4237+O4237</f>
        <v>3850</v>
      </c>
      <c r="T4237" s="16">
        <f t="shared" ref="T4237:T4300" si="403">(Q4237-$P$4)/$P$5</f>
        <v>-1.1444402986692412</v>
      </c>
    </row>
    <row r="4238" spans="7:20" ht="14.4" x14ac:dyDescent="0.25">
      <c r="G4238" s="10">
        <v>7666</v>
      </c>
      <c r="H4238" s="9">
        <v>54950</v>
      </c>
      <c r="I4238" s="14">
        <f>DATE(2012,12,31)-757</f>
        <v>40517</v>
      </c>
      <c r="J4238" s="15" t="s">
        <v>17</v>
      </c>
      <c r="K4238" s="9">
        <v>26</v>
      </c>
      <c r="L4238" s="16" t="s">
        <v>26</v>
      </c>
      <c r="M4238" s="16">
        <f t="shared" si="399"/>
        <v>2.9575903857523567E-2</v>
      </c>
      <c r="N4238">
        <f t="shared" si="400"/>
        <v>0</v>
      </c>
      <c r="O4238">
        <f t="shared" si="401"/>
        <v>0</v>
      </c>
      <c r="P4238">
        <f t="shared" si="398"/>
        <v>4700</v>
      </c>
      <c r="Q4238">
        <f t="shared" si="402"/>
        <v>4700</v>
      </c>
      <c r="T4238" s="16">
        <f t="shared" si="403"/>
        <v>2.9575903857523185E-2</v>
      </c>
    </row>
    <row r="4239" spans="7:20" ht="14.4" x14ac:dyDescent="0.25">
      <c r="G4239" s="10">
        <v>7667</v>
      </c>
      <c r="H4239" s="9">
        <v>54950</v>
      </c>
      <c r="I4239" s="14">
        <f>DATE(2012,12,31)-757</f>
        <v>40517</v>
      </c>
      <c r="J4239" s="15" t="s">
        <v>17</v>
      </c>
      <c r="K4239" s="9">
        <v>22</v>
      </c>
      <c r="L4239" s="16" t="s">
        <v>29</v>
      </c>
      <c r="M4239" s="16">
        <f t="shared" si="399"/>
        <v>-0.24666320261936217</v>
      </c>
      <c r="N4239">
        <f t="shared" si="400"/>
        <v>0</v>
      </c>
      <c r="O4239">
        <f t="shared" si="401"/>
        <v>0</v>
      </c>
      <c r="P4239">
        <f t="shared" si="398"/>
        <v>4500</v>
      </c>
      <c r="Q4239">
        <f t="shared" si="402"/>
        <v>4500</v>
      </c>
      <c r="T4239" s="16">
        <f t="shared" si="403"/>
        <v>-0.24666320261936256</v>
      </c>
    </row>
    <row r="4240" spans="7:20" ht="14.4" x14ac:dyDescent="0.25">
      <c r="G4240" s="10">
        <v>7697</v>
      </c>
      <c r="H4240" s="9">
        <v>55172</v>
      </c>
      <c r="I4240" s="14">
        <f>DATE(2012,12,31)-759</f>
        <v>40515</v>
      </c>
      <c r="J4240" s="15" t="s">
        <v>28</v>
      </c>
      <c r="K4240" s="9">
        <v>1</v>
      </c>
      <c r="L4240" s="16" t="s">
        <v>27</v>
      </c>
      <c r="M4240" s="16">
        <f t="shared" si="399"/>
        <v>-1.6969185116230123</v>
      </c>
      <c r="N4240">
        <f t="shared" si="400"/>
        <v>0</v>
      </c>
      <c r="O4240">
        <f t="shared" si="401"/>
        <v>0</v>
      </c>
      <c r="P4240">
        <f t="shared" si="398"/>
        <v>3450</v>
      </c>
      <c r="Q4240">
        <f t="shared" si="402"/>
        <v>3450</v>
      </c>
      <c r="T4240" s="16">
        <f t="shared" si="403"/>
        <v>-1.6969185116230128</v>
      </c>
    </row>
    <row r="4241" spans="7:20" ht="14.4" x14ac:dyDescent="0.25">
      <c r="G4241" s="10">
        <v>7706</v>
      </c>
      <c r="H4241" s="9">
        <v>55235</v>
      </c>
      <c r="I4241" s="14">
        <f>DATE(2012,12,31)-817</f>
        <v>40457</v>
      </c>
      <c r="J4241" s="15" t="s">
        <v>25</v>
      </c>
      <c r="K4241" s="9">
        <v>33</v>
      </c>
      <c r="L4241" s="16" t="s">
        <v>27</v>
      </c>
      <c r="M4241" s="16">
        <f t="shared" si="399"/>
        <v>0.51299434019207357</v>
      </c>
      <c r="N4241">
        <f t="shared" si="400"/>
        <v>0</v>
      </c>
      <c r="O4241">
        <f t="shared" si="401"/>
        <v>0</v>
      </c>
      <c r="P4241">
        <f t="shared" si="398"/>
        <v>5050</v>
      </c>
      <c r="Q4241">
        <f t="shared" si="402"/>
        <v>5050</v>
      </c>
      <c r="T4241" s="16">
        <f t="shared" si="403"/>
        <v>0.51299434019207324</v>
      </c>
    </row>
    <row r="4242" spans="7:20" ht="14.4" x14ac:dyDescent="0.25">
      <c r="G4242" s="10">
        <v>7718</v>
      </c>
      <c r="H4242" s="9">
        <v>55300</v>
      </c>
      <c r="I4242" s="14">
        <f>DATE(2012,12,31)-1410</f>
        <v>39864</v>
      </c>
      <c r="J4242" s="15" t="s">
        <v>17</v>
      </c>
      <c r="K4242" s="9">
        <v>37</v>
      </c>
      <c r="L4242" s="16" t="s">
        <v>26</v>
      </c>
      <c r="M4242" s="16">
        <f t="shared" si="399"/>
        <v>0.78923344666895934</v>
      </c>
      <c r="N4242">
        <f t="shared" si="400"/>
        <v>0</v>
      </c>
      <c r="O4242">
        <f t="shared" si="401"/>
        <v>0</v>
      </c>
      <c r="P4242">
        <f t="shared" si="398"/>
        <v>5250</v>
      </c>
      <c r="Q4242">
        <f t="shared" si="402"/>
        <v>5250</v>
      </c>
      <c r="T4242" s="16">
        <f t="shared" si="403"/>
        <v>0.789233446668959</v>
      </c>
    </row>
    <row r="4243" spans="7:20" ht="14.4" x14ac:dyDescent="0.25">
      <c r="G4243" s="10">
        <v>7719</v>
      </c>
      <c r="H4243" s="9">
        <v>55300</v>
      </c>
      <c r="I4243" s="14">
        <f>DATE(2012,12,31)-1410</f>
        <v>39864</v>
      </c>
      <c r="J4243" s="15" t="s">
        <v>17</v>
      </c>
      <c r="K4243" s="9">
        <v>48</v>
      </c>
      <c r="L4243" s="16" t="s">
        <v>26</v>
      </c>
      <c r="M4243" s="16">
        <f t="shared" si="399"/>
        <v>1.5488909894803951</v>
      </c>
      <c r="N4243">
        <f t="shared" si="400"/>
        <v>0</v>
      </c>
      <c r="O4243">
        <f t="shared" si="401"/>
        <v>0</v>
      </c>
      <c r="P4243">
        <f t="shared" si="398"/>
        <v>5800</v>
      </c>
      <c r="Q4243">
        <f t="shared" si="402"/>
        <v>5800</v>
      </c>
      <c r="T4243" s="16">
        <f t="shared" si="403"/>
        <v>1.5488909894803948</v>
      </c>
    </row>
    <row r="4244" spans="7:20" ht="14.4" x14ac:dyDescent="0.25">
      <c r="G4244" s="10">
        <v>7720</v>
      </c>
      <c r="H4244" s="9">
        <v>55300</v>
      </c>
      <c r="I4244" s="14">
        <f>DATE(2012,12,31)-1410</f>
        <v>39864</v>
      </c>
      <c r="J4244" s="15" t="s">
        <v>17</v>
      </c>
      <c r="K4244" s="9">
        <v>31</v>
      </c>
      <c r="L4244" s="16" t="s">
        <v>29</v>
      </c>
      <c r="M4244" s="16">
        <f t="shared" si="399"/>
        <v>0.37487478695363075</v>
      </c>
      <c r="N4244">
        <f t="shared" si="400"/>
        <v>0</v>
      </c>
      <c r="O4244">
        <f t="shared" si="401"/>
        <v>0</v>
      </c>
      <c r="P4244">
        <f t="shared" si="398"/>
        <v>4950</v>
      </c>
      <c r="Q4244">
        <f t="shared" si="402"/>
        <v>4950</v>
      </c>
      <c r="T4244" s="16">
        <f t="shared" si="403"/>
        <v>0.37487478695363036</v>
      </c>
    </row>
    <row r="4245" spans="7:20" ht="14.4" x14ac:dyDescent="0.25">
      <c r="G4245" s="10">
        <v>7736</v>
      </c>
      <c r="H4245" s="9">
        <v>55398</v>
      </c>
      <c r="I4245" s="14">
        <f>DATE(2012,12,31)-1076</f>
        <v>40198</v>
      </c>
      <c r="J4245" s="15" t="s">
        <v>16</v>
      </c>
      <c r="K4245" s="9">
        <v>21</v>
      </c>
      <c r="L4245" s="16" t="s">
        <v>26</v>
      </c>
      <c r="M4245" s="16">
        <f t="shared" si="399"/>
        <v>-0.31572297923858361</v>
      </c>
      <c r="N4245">
        <f t="shared" si="400"/>
        <v>0</v>
      </c>
      <c r="O4245">
        <f t="shared" si="401"/>
        <v>0</v>
      </c>
      <c r="P4245">
        <f t="shared" si="398"/>
        <v>4450</v>
      </c>
      <c r="Q4245">
        <f t="shared" si="402"/>
        <v>4450</v>
      </c>
      <c r="T4245" s="16">
        <f t="shared" si="403"/>
        <v>-0.315722979238584</v>
      </c>
    </row>
    <row r="4246" spans="7:20" ht="14.4" x14ac:dyDescent="0.25">
      <c r="G4246" s="10">
        <v>7761</v>
      </c>
      <c r="H4246" s="9">
        <v>55553</v>
      </c>
      <c r="I4246" s="14">
        <f>DATE(2012,12,31)-1263</f>
        <v>40011</v>
      </c>
      <c r="J4246" s="15" t="s">
        <v>16</v>
      </c>
      <c r="K4246" s="9">
        <v>32</v>
      </c>
      <c r="L4246" s="16" t="s">
        <v>26</v>
      </c>
      <c r="M4246" s="16">
        <f t="shared" si="399"/>
        <v>0.44393456357285216</v>
      </c>
      <c r="N4246">
        <f t="shared" si="400"/>
        <v>0</v>
      </c>
      <c r="O4246">
        <f t="shared" si="401"/>
        <v>0</v>
      </c>
      <c r="P4246">
        <f t="shared" si="398"/>
        <v>5000</v>
      </c>
      <c r="Q4246">
        <f t="shared" si="402"/>
        <v>5000</v>
      </c>
      <c r="T4246" s="16">
        <f t="shared" si="403"/>
        <v>0.44393456357285183</v>
      </c>
    </row>
    <row r="4247" spans="7:20" ht="14.4" x14ac:dyDescent="0.25">
      <c r="G4247" s="10">
        <v>7791</v>
      </c>
      <c r="H4247" s="9">
        <v>55747</v>
      </c>
      <c r="I4247" s="14">
        <f>DATE(2012,12,31)-29</f>
        <v>41245</v>
      </c>
      <c r="J4247" s="15" t="s">
        <v>17</v>
      </c>
      <c r="K4247" s="9">
        <v>36</v>
      </c>
      <c r="L4247" s="16" t="s">
        <v>29</v>
      </c>
      <c r="M4247" s="16">
        <f t="shared" si="399"/>
        <v>0.72017367004973787</v>
      </c>
      <c r="N4247">
        <f t="shared" si="400"/>
        <v>0</v>
      </c>
      <c r="O4247">
        <f t="shared" si="401"/>
        <v>0</v>
      </c>
      <c r="P4247">
        <f t="shared" si="398"/>
        <v>5200</v>
      </c>
      <c r="Q4247">
        <f t="shared" si="402"/>
        <v>5200</v>
      </c>
      <c r="T4247" s="16">
        <f t="shared" si="403"/>
        <v>0.72017367004973754</v>
      </c>
    </row>
    <row r="4248" spans="7:20" ht="14.4" x14ac:dyDescent="0.25">
      <c r="G4248" s="10">
        <v>7792</v>
      </c>
      <c r="H4248" s="9">
        <v>55747</v>
      </c>
      <c r="I4248" s="14">
        <f>DATE(2012,12,31)-29</f>
        <v>41245</v>
      </c>
      <c r="J4248" s="15" t="s">
        <v>17</v>
      </c>
      <c r="K4248" s="9">
        <v>42</v>
      </c>
      <c r="L4248" s="16" t="s">
        <v>29</v>
      </c>
      <c r="M4248" s="16">
        <f t="shared" si="399"/>
        <v>1.1345323297650665</v>
      </c>
      <c r="N4248">
        <f t="shared" si="400"/>
        <v>0</v>
      </c>
      <c r="O4248">
        <f t="shared" si="401"/>
        <v>0</v>
      </c>
      <c r="P4248">
        <f t="shared" si="398"/>
        <v>5500</v>
      </c>
      <c r="Q4248">
        <f t="shared" si="402"/>
        <v>5500</v>
      </c>
      <c r="T4248" s="16">
        <f t="shared" si="403"/>
        <v>1.1345323297650662</v>
      </c>
    </row>
    <row r="4249" spans="7:20" ht="14.4" x14ac:dyDescent="0.25">
      <c r="G4249" s="10">
        <v>7798</v>
      </c>
      <c r="H4249" s="9">
        <v>55779</v>
      </c>
      <c r="I4249" s="14">
        <f>DATE(2012,12,31)-296</f>
        <v>40978</v>
      </c>
      <c r="J4249" s="15" t="s">
        <v>30</v>
      </c>
      <c r="K4249" s="9">
        <v>26</v>
      </c>
      <c r="L4249" s="16" t="s">
        <v>29</v>
      </c>
      <c r="M4249" s="16">
        <f t="shared" si="399"/>
        <v>2.9575903857523567E-2</v>
      </c>
      <c r="N4249">
        <f t="shared" si="400"/>
        <v>0</v>
      </c>
      <c r="O4249">
        <f t="shared" si="401"/>
        <v>0</v>
      </c>
      <c r="P4249">
        <f t="shared" si="398"/>
        <v>4700</v>
      </c>
      <c r="Q4249">
        <f t="shared" si="402"/>
        <v>4700</v>
      </c>
      <c r="T4249" s="16">
        <f t="shared" si="403"/>
        <v>2.9575903857523185E-2</v>
      </c>
    </row>
    <row r="4250" spans="7:20" ht="14.4" x14ac:dyDescent="0.25">
      <c r="G4250" s="10">
        <v>7886</v>
      </c>
      <c r="H4250" s="9">
        <v>56418</v>
      </c>
      <c r="I4250" s="14">
        <f>DATE(2012,12,31)-263</f>
        <v>41011</v>
      </c>
      <c r="J4250" s="15" t="s">
        <v>30</v>
      </c>
      <c r="K4250" s="9">
        <v>47</v>
      </c>
      <c r="L4250" s="16" t="s">
        <v>26</v>
      </c>
      <c r="M4250" s="16">
        <f t="shared" si="399"/>
        <v>1.4798312128611737</v>
      </c>
      <c r="N4250">
        <f t="shared" si="400"/>
        <v>0</v>
      </c>
      <c r="O4250">
        <f t="shared" si="401"/>
        <v>0</v>
      </c>
      <c r="P4250">
        <f t="shared" si="398"/>
        <v>5750</v>
      </c>
      <c r="Q4250">
        <f t="shared" si="402"/>
        <v>5750</v>
      </c>
      <c r="T4250" s="16">
        <f t="shared" si="403"/>
        <v>1.4798312128611733</v>
      </c>
    </row>
    <row r="4251" spans="7:20" ht="14.4" x14ac:dyDescent="0.25">
      <c r="G4251" s="10">
        <v>7911</v>
      </c>
      <c r="H4251" s="9">
        <v>56580</v>
      </c>
      <c r="I4251" s="14">
        <f>DATE(2012,12,31)-505</f>
        <v>40769</v>
      </c>
      <c r="J4251" s="15" t="s">
        <v>28</v>
      </c>
      <c r="K4251" s="9">
        <v>9</v>
      </c>
      <c r="L4251" s="16" t="s">
        <v>26</v>
      </c>
      <c r="M4251" s="16">
        <f t="shared" si="399"/>
        <v>-1.1444402986692408</v>
      </c>
      <c r="N4251">
        <f t="shared" si="400"/>
        <v>0</v>
      </c>
      <c r="O4251">
        <f t="shared" si="401"/>
        <v>0</v>
      </c>
      <c r="P4251">
        <f t="shared" si="398"/>
        <v>3850</v>
      </c>
      <c r="Q4251">
        <f t="shared" si="402"/>
        <v>3850</v>
      </c>
      <c r="T4251" s="16">
        <f t="shared" si="403"/>
        <v>-1.1444402986692412</v>
      </c>
    </row>
    <row r="4252" spans="7:20" ht="14.4" x14ac:dyDescent="0.25">
      <c r="G4252" s="10">
        <v>7912</v>
      </c>
      <c r="H4252" s="9">
        <v>56580</v>
      </c>
      <c r="I4252" s="14">
        <f>DATE(2012,12,31)-505</f>
        <v>40769</v>
      </c>
      <c r="J4252" s="15" t="s">
        <v>28</v>
      </c>
      <c r="K4252" s="9">
        <v>44</v>
      </c>
      <c r="L4252" s="16" t="s">
        <v>26</v>
      </c>
      <c r="M4252" s="16">
        <f t="shared" si="399"/>
        <v>1.2726518830035094</v>
      </c>
      <c r="N4252">
        <f t="shared" si="400"/>
        <v>0</v>
      </c>
      <c r="O4252">
        <f t="shared" si="401"/>
        <v>0</v>
      </c>
      <c r="P4252">
        <f t="shared" si="398"/>
        <v>5600</v>
      </c>
      <c r="Q4252">
        <f t="shared" si="402"/>
        <v>5600</v>
      </c>
      <c r="T4252" s="16">
        <f t="shared" si="403"/>
        <v>1.272651883003509</v>
      </c>
    </row>
    <row r="4253" spans="7:20" ht="14.4" x14ac:dyDescent="0.25">
      <c r="G4253" s="10">
        <v>7913</v>
      </c>
      <c r="H4253" s="9">
        <v>56580</v>
      </c>
      <c r="I4253" s="14">
        <f>DATE(2012,12,31)-505</f>
        <v>40769</v>
      </c>
      <c r="J4253" s="15" t="s">
        <v>28</v>
      </c>
      <c r="K4253" s="9">
        <v>29</v>
      </c>
      <c r="L4253" s="16" t="s">
        <v>29</v>
      </c>
      <c r="M4253" s="16">
        <f t="shared" si="399"/>
        <v>0.23675523371518786</v>
      </c>
      <c r="N4253">
        <f t="shared" si="400"/>
        <v>0</v>
      </c>
      <c r="O4253">
        <f t="shared" si="401"/>
        <v>0</v>
      </c>
      <c r="P4253">
        <f t="shared" si="398"/>
        <v>4850</v>
      </c>
      <c r="Q4253">
        <f t="shared" si="402"/>
        <v>4850</v>
      </c>
      <c r="T4253" s="16">
        <f t="shared" si="403"/>
        <v>0.2367552337151875</v>
      </c>
    </row>
    <row r="4254" spans="7:20" ht="14.4" x14ac:dyDescent="0.25">
      <c r="G4254" s="10">
        <v>7953</v>
      </c>
      <c r="H4254" s="9">
        <v>56807</v>
      </c>
      <c r="I4254" s="14">
        <f>DATE(2012,12,31)-1350</f>
        <v>39924</v>
      </c>
      <c r="J4254" s="15" t="s">
        <v>17</v>
      </c>
      <c r="K4254" s="9">
        <v>1</v>
      </c>
      <c r="L4254" s="16" t="s">
        <v>26</v>
      </c>
      <c r="M4254" s="16">
        <f t="shared" si="399"/>
        <v>-1.6969185116230123</v>
      </c>
      <c r="N4254">
        <f t="shared" si="400"/>
        <v>0</v>
      </c>
      <c r="O4254">
        <f t="shared" si="401"/>
        <v>0</v>
      </c>
      <c r="P4254">
        <f t="shared" si="398"/>
        <v>3450</v>
      </c>
      <c r="Q4254">
        <f t="shared" si="402"/>
        <v>3450</v>
      </c>
      <c r="T4254" s="16">
        <f t="shared" si="403"/>
        <v>-1.6969185116230128</v>
      </c>
    </row>
    <row r="4255" spans="7:20" ht="14.4" x14ac:dyDescent="0.25">
      <c r="G4255" s="10">
        <v>7957</v>
      </c>
      <c r="H4255" s="9">
        <v>56837</v>
      </c>
      <c r="I4255" s="14">
        <f>DATE(2012,12,31)-748</f>
        <v>40526</v>
      </c>
      <c r="J4255" s="15" t="s">
        <v>25</v>
      </c>
      <c r="K4255" s="9">
        <v>10</v>
      </c>
      <c r="L4255" s="16" t="s">
        <v>29</v>
      </c>
      <c r="M4255" s="16">
        <f t="shared" si="399"/>
        <v>-1.0753805220500194</v>
      </c>
      <c r="N4255">
        <f t="shared" si="400"/>
        <v>0</v>
      </c>
      <c r="O4255">
        <f t="shared" si="401"/>
        <v>0</v>
      </c>
      <c r="P4255">
        <f t="shared" si="398"/>
        <v>3900</v>
      </c>
      <c r="Q4255">
        <f t="shared" si="402"/>
        <v>3900</v>
      </c>
      <c r="T4255" s="16">
        <f t="shared" si="403"/>
        <v>-1.0753805220500199</v>
      </c>
    </row>
    <row r="4256" spans="7:20" ht="14.4" x14ac:dyDescent="0.25">
      <c r="G4256" s="10">
        <v>7970</v>
      </c>
      <c r="H4256" s="9">
        <v>56995</v>
      </c>
      <c r="I4256" s="14">
        <f>DATE(2012,12,31)-1173</f>
        <v>40101</v>
      </c>
      <c r="J4256" s="15" t="s">
        <v>16</v>
      </c>
      <c r="K4256" s="9">
        <v>27</v>
      </c>
      <c r="L4256" s="16" t="s">
        <v>26</v>
      </c>
      <c r="M4256" s="16">
        <f t="shared" si="399"/>
        <v>9.8635680476745008E-2</v>
      </c>
      <c r="N4256">
        <f t="shared" si="400"/>
        <v>0</v>
      </c>
      <c r="O4256">
        <f t="shared" si="401"/>
        <v>0</v>
      </c>
      <c r="P4256">
        <f t="shared" si="398"/>
        <v>4750</v>
      </c>
      <c r="Q4256">
        <f t="shared" si="402"/>
        <v>4750</v>
      </c>
      <c r="T4256" s="16">
        <f t="shared" si="403"/>
        <v>9.8635680476744619E-2</v>
      </c>
    </row>
    <row r="4257" spans="7:20" ht="14.4" x14ac:dyDescent="0.25">
      <c r="G4257" s="10">
        <v>7984</v>
      </c>
      <c r="H4257" s="9">
        <v>57091</v>
      </c>
      <c r="I4257" s="14">
        <f>DATE(2012,12,31)-427</f>
        <v>40847</v>
      </c>
      <c r="J4257" s="15" t="s">
        <v>16</v>
      </c>
      <c r="K4257" s="9">
        <v>6</v>
      </c>
      <c r="L4257" s="16" t="s">
        <v>26</v>
      </c>
      <c r="M4257" s="16">
        <f t="shared" si="399"/>
        <v>-1.3516196285269051</v>
      </c>
      <c r="N4257">
        <f t="shared" si="400"/>
        <v>0</v>
      </c>
      <c r="O4257">
        <f t="shared" si="401"/>
        <v>0</v>
      </c>
      <c r="P4257">
        <f t="shared" si="398"/>
        <v>3700</v>
      </c>
      <c r="Q4257">
        <f t="shared" si="402"/>
        <v>3700</v>
      </c>
      <c r="T4257" s="16">
        <f t="shared" si="403"/>
        <v>-1.3516196285269055</v>
      </c>
    </row>
    <row r="4258" spans="7:20" ht="14.4" x14ac:dyDescent="0.25">
      <c r="G4258" s="10">
        <v>7998</v>
      </c>
      <c r="H4258" s="9">
        <v>57155</v>
      </c>
      <c r="I4258" s="14">
        <f>DATE(2012,12,31)-1293</f>
        <v>39981</v>
      </c>
      <c r="J4258" s="15" t="s">
        <v>30</v>
      </c>
      <c r="K4258" s="9">
        <v>23</v>
      </c>
      <c r="L4258" s="16" t="s">
        <v>26</v>
      </c>
      <c r="M4258" s="16">
        <f t="shared" si="399"/>
        <v>-0.17760342600014073</v>
      </c>
      <c r="N4258">
        <f t="shared" si="400"/>
        <v>0</v>
      </c>
      <c r="O4258">
        <f t="shared" si="401"/>
        <v>0</v>
      </c>
      <c r="P4258">
        <f t="shared" si="398"/>
        <v>4550</v>
      </c>
      <c r="Q4258">
        <f t="shared" si="402"/>
        <v>4550</v>
      </c>
      <c r="T4258" s="16">
        <f t="shared" si="403"/>
        <v>-0.17760342600014112</v>
      </c>
    </row>
    <row r="4259" spans="7:20" ht="14.4" x14ac:dyDescent="0.25">
      <c r="G4259" s="10">
        <v>7999</v>
      </c>
      <c r="H4259" s="9">
        <v>57155</v>
      </c>
      <c r="I4259" s="14">
        <f>DATE(2012,12,31)-1293</f>
        <v>39981</v>
      </c>
      <c r="J4259" s="15" t="s">
        <v>30</v>
      </c>
      <c r="K4259" s="9">
        <v>16</v>
      </c>
      <c r="L4259" s="16" t="s">
        <v>26</v>
      </c>
      <c r="M4259" s="16">
        <f t="shared" si="399"/>
        <v>-0.66102186233469074</v>
      </c>
      <c r="N4259">
        <f t="shared" si="400"/>
        <v>0</v>
      </c>
      <c r="O4259">
        <f t="shared" si="401"/>
        <v>0</v>
      </c>
      <c r="P4259">
        <f t="shared" si="398"/>
        <v>4200</v>
      </c>
      <c r="Q4259">
        <f t="shared" si="402"/>
        <v>4200</v>
      </c>
      <c r="T4259" s="16">
        <f t="shared" si="403"/>
        <v>-0.66102186233469118</v>
      </c>
    </row>
    <row r="4260" spans="7:20" ht="14.4" x14ac:dyDescent="0.25">
      <c r="G4260" s="10">
        <v>8003</v>
      </c>
      <c r="H4260" s="9">
        <v>57185</v>
      </c>
      <c r="I4260" s="14">
        <f>DATE(2012,12,31)-588</f>
        <v>40686</v>
      </c>
      <c r="J4260" s="15" t="s">
        <v>16</v>
      </c>
      <c r="K4260" s="9">
        <v>28</v>
      </c>
      <c r="L4260" s="16" t="s">
        <v>29</v>
      </c>
      <c r="M4260" s="16">
        <f t="shared" si="399"/>
        <v>0.16769545709596645</v>
      </c>
      <c r="N4260">
        <f t="shared" si="400"/>
        <v>0</v>
      </c>
      <c r="O4260">
        <f t="shared" si="401"/>
        <v>0</v>
      </c>
      <c r="P4260">
        <f t="shared" si="398"/>
        <v>4800</v>
      </c>
      <c r="Q4260">
        <f t="shared" si="402"/>
        <v>4800</v>
      </c>
      <c r="T4260" s="16">
        <f t="shared" si="403"/>
        <v>0.16769545709596606</v>
      </c>
    </row>
    <row r="4261" spans="7:20" ht="14.4" x14ac:dyDescent="0.25">
      <c r="G4261" s="10">
        <v>8036</v>
      </c>
      <c r="H4261" s="9">
        <v>57409</v>
      </c>
      <c r="I4261" s="14">
        <f>DATE(2012,12,31)-1137</f>
        <v>40137</v>
      </c>
      <c r="J4261" s="15" t="s">
        <v>28</v>
      </c>
      <c r="K4261" s="9">
        <v>1</v>
      </c>
      <c r="L4261" s="16" t="s">
        <v>27</v>
      </c>
      <c r="M4261" s="16">
        <f t="shared" si="399"/>
        <v>-1.6969185116230123</v>
      </c>
      <c r="N4261">
        <f t="shared" si="400"/>
        <v>0</v>
      </c>
      <c r="O4261">
        <f t="shared" si="401"/>
        <v>0</v>
      </c>
      <c r="P4261">
        <f t="shared" si="398"/>
        <v>3450</v>
      </c>
      <c r="Q4261">
        <f t="shared" si="402"/>
        <v>3450</v>
      </c>
      <c r="T4261" s="16">
        <f t="shared" si="403"/>
        <v>-1.6969185116230128</v>
      </c>
    </row>
    <row r="4262" spans="7:20" ht="14.4" x14ac:dyDescent="0.25">
      <c r="G4262" s="10">
        <v>8037</v>
      </c>
      <c r="H4262" s="9">
        <v>57409</v>
      </c>
      <c r="I4262" s="14">
        <f>DATE(2012,12,31)-1137</f>
        <v>40137</v>
      </c>
      <c r="J4262" s="15" t="s">
        <v>28</v>
      </c>
      <c r="K4262" s="9">
        <v>34</v>
      </c>
      <c r="L4262" s="16" t="s">
        <v>27</v>
      </c>
      <c r="M4262" s="16">
        <f t="shared" si="399"/>
        <v>0.58205411681129504</v>
      </c>
      <c r="N4262">
        <f t="shared" si="400"/>
        <v>0</v>
      </c>
      <c r="O4262">
        <f t="shared" si="401"/>
        <v>0</v>
      </c>
      <c r="P4262">
        <f t="shared" si="398"/>
        <v>5100</v>
      </c>
      <c r="Q4262">
        <f t="shared" si="402"/>
        <v>5100</v>
      </c>
      <c r="T4262" s="16">
        <f t="shared" si="403"/>
        <v>0.58205411681129471</v>
      </c>
    </row>
    <row r="4263" spans="7:20" ht="14.4" x14ac:dyDescent="0.25">
      <c r="G4263" s="10">
        <v>8066</v>
      </c>
      <c r="H4263" s="9">
        <v>57542</v>
      </c>
      <c r="I4263" s="14">
        <f>DATE(2012,12,31)-1227</f>
        <v>40047</v>
      </c>
      <c r="J4263" s="15" t="s">
        <v>17</v>
      </c>
      <c r="K4263" s="9">
        <v>23</v>
      </c>
      <c r="L4263" s="16" t="s">
        <v>26</v>
      </c>
      <c r="M4263" s="16">
        <f t="shared" si="399"/>
        <v>-0.17760342600014073</v>
      </c>
      <c r="N4263">
        <f t="shared" si="400"/>
        <v>0</v>
      </c>
      <c r="O4263">
        <f t="shared" si="401"/>
        <v>0</v>
      </c>
      <c r="P4263">
        <f t="shared" si="398"/>
        <v>4550</v>
      </c>
      <c r="Q4263">
        <f t="shared" si="402"/>
        <v>4550</v>
      </c>
      <c r="T4263" s="16">
        <f t="shared" si="403"/>
        <v>-0.17760342600014112</v>
      </c>
    </row>
    <row r="4264" spans="7:20" ht="14.4" x14ac:dyDescent="0.25">
      <c r="G4264" s="10">
        <v>8082</v>
      </c>
      <c r="H4264" s="9">
        <v>57639</v>
      </c>
      <c r="I4264" s="14">
        <f>DATE(2012,12,31)-894</f>
        <v>40380</v>
      </c>
      <c r="J4264" s="15" t="s">
        <v>30</v>
      </c>
      <c r="K4264" s="9">
        <v>24</v>
      </c>
      <c r="L4264" s="16" t="s">
        <v>29</v>
      </c>
      <c r="M4264" s="16">
        <f t="shared" si="399"/>
        <v>-0.1085436493809193</v>
      </c>
      <c r="N4264">
        <f t="shared" si="400"/>
        <v>0</v>
      </c>
      <c r="O4264">
        <f t="shared" si="401"/>
        <v>0</v>
      </c>
      <c r="P4264">
        <f t="shared" si="398"/>
        <v>4600</v>
      </c>
      <c r="Q4264">
        <f t="shared" si="402"/>
        <v>4600</v>
      </c>
      <c r="T4264" s="16">
        <f t="shared" si="403"/>
        <v>-0.10854364938091969</v>
      </c>
    </row>
    <row r="4265" spans="7:20" ht="14.4" x14ac:dyDescent="0.25">
      <c r="G4265" s="10">
        <v>8104</v>
      </c>
      <c r="H4265" s="9">
        <v>57856</v>
      </c>
      <c r="I4265" s="14">
        <f>DATE(2012,12,31)-1418</f>
        <v>39856</v>
      </c>
      <c r="J4265" s="15" t="s">
        <v>16</v>
      </c>
      <c r="K4265" s="9">
        <v>17</v>
      </c>
      <c r="L4265" s="16" t="s">
        <v>26</v>
      </c>
      <c r="M4265" s="16">
        <f t="shared" si="399"/>
        <v>-0.59196208571546938</v>
      </c>
      <c r="N4265">
        <f t="shared" si="400"/>
        <v>0</v>
      </c>
      <c r="O4265">
        <f t="shared" si="401"/>
        <v>0</v>
      </c>
      <c r="P4265">
        <f t="shared" si="398"/>
        <v>4250</v>
      </c>
      <c r="Q4265">
        <f t="shared" si="402"/>
        <v>4250</v>
      </c>
      <c r="T4265" s="16">
        <f t="shared" si="403"/>
        <v>-0.59196208571546971</v>
      </c>
    </row>
    <row r="4266" spans="7:20" ht="14.4" x14ac:dyDescent="0.25">
      <c r="G4266" s="10">
        <v>8105</v>
      </c>
      <c r="H4266" s="9">
        <v>57856</v>
      </c>
      <c r="I4266" s="14">
        <f>DATE(2012,12,31)-1418</f>
        <v>39856</v>
      </c>
      <c r="J4266" s="15" t="s">
        <v>16</v>
      </c>
      <c r="K4266" s="9">
        <v>31</v>
      </c>
      <c r="L4266" s="16" t="s">
        <v>26</v>
      </c>
      <c r="M4266" s="16">
        <f t="shared" si="399"/>
        <v>0.37487478695363075</v>
      </c>
      <c r="N4266">
        <f t="shared" si="400"/>
        <v>0</v>
      </c>
      <c r="O4266">
        <f t="shared" si="401"/>
        <v>0</v>
      </c>
      <c r="P4266">
        <f t="shared" si="398"/>
        <v>4950</v>
      </c>
      <c r="Q4266">
        <f t="shared" si="402"/>
        <v>4950</v>
      </c>
      <c r="T4266" s="16">
        <f t="shared" si="403"/>
        <v>0.37487478695363036</v>
      </c>
    </row>
    <row r="4267" spans="7:20" ht="14.4" x14ac:dyDescent="0.25">
      <c r="G4267" s="10">
        <v>8177</v>
      </c>
      <c r="H4267" s="9">
        <v>58435</v>
      </c>
      <c r="I4267" s="14">
        <f>DATE(2012,12,31)-238</f>
        <v>41036</v>
      </c>
      <c r="J4267" s="15" t="s">
        <v>25</v>
      </c>
      <c r="K4267" s="9">
        <v>11</v>
      </c>
      <c r="L4267" s="16" t="s">
        <v>26</v>
      </c>
      <c r="M4267" s="16">
        <f t="shared" si="399"/>
        <v>-1.0063207454307979</v>
      </c>
      <c r="N4267">
        <f t="shared" si="400"/>
        <v>0</v>
      </c>
      <c r="O4267">
        <f t="shared" si="401"/>
        <v>0</v>
      </c>
      <c r="P4267">
        <f t="shared" si="398"/>
        <v>3950</v>
      </c>
      <c r="Q4267">
        <f t="shared" si="402"/>
        <v>3950</v>
      </c>
      <c r="T4267" s="16">
        <f t="shared" si="403"/>
        <v>-1.0063207454307983</v>
      </c>
    </row>
    <row r="4268" spans="7:20" ht="14.4" x14ac:dyDescent="0.25">
      <c r="G4268" s="10">
        <v>8251</v>
      </c>
      <c r="H4268" s="9">
        <v>59009</v>
      </c>
      <c r="I4268" s="14">
        <f>DATE(2012,12,31)-409</f>
        <v>40865</v>
      </c>
      <c r="J4268" s="15" t="s">
        <v>30</v>
      </c>
      <c r="K4268" s="9">
        <v>19</v>
      </c>
      <c r="L4268" s="16" t="s">
        <v>26</v>
      </c>
      <c r="M4268" s="16">
        <f t="shared" si="399"/>
        <v>-0.45384253247702649</v>
      </c>
      <c r="N4268">
        <f t="shared" si="400"/>
        <v>0</v>
      </c>
      <c r="O4268">
        <f t="shared" si="401"/>
        <v>0</v>
      </c>
      <c r="P4268">
        <f t="shared" si="398"/>
        <v>4350</v>
      </c>
      <c r="Q4268">
        <f t="shared" si="402"/>
        <v>4350</v>
      </c>
      <c r="T4268" s="16">
        <f t="shared" si="403"/>
        <v>-0.45384253247702688</v>
      </c>
    </row>
    <row r="4269" spans="7:20" ht="14.4" x14ac:dyDescent="0.25">
      <c r="G4269" s="10">
        <v>8325</v>
      </c>
      <c r="H4269" s="9">
        <v>59491</v>
      </c>
      <c r="I4269" s="14">
        <f>DATE(2012,12,31)-282</f>
        <v>40992</v>
      </c>
      <c r="J4269" s="15" t="s">
        <v>17</v>
      </c>
      <c r="K4269" s="9">
        <v>31</v>
      </c>
      <c r="L4269" s="16" t="s">
        <v>26</v>
      </c>
      <c r="M4269" s="16">
        <f t="shared" si="399"/>
        <v>0.37487478695363075</v>
      </c>
      <c r="N4269">
        <f t="shared" si="400"/>
        <v>0</v>
      </c>
      <c r="O4269">
        <f t="shared" si="401"/>
        <v>0</v>
      </c>
      <c r="P4269">
        <f t="shared" si="398"/>
        <v>4950</v>
      </c>
      <c r="Q4269">
        <f t="shared" si="402"/>
        <v>4950</v>
      </c>
      <c r="T4269" s="16">
        <f t="shared" si="403"/>
        <v>0.37487478695363036</v>
      </c>
    </row>
    <row r="4270" spans="7:20" ht="14.4" x14ac:dyDescent="0.25">
      <c r="G4270" s="10">
        <v>8330</v>
      </c>
      <c r="H4270" s="9">
        <v>59554</v>
      </c>
      <c r="I4270" s="14">
        <f>DATE(2012,12,31)-412</f>
        <v>40862</v>
      </c>
      <c r="J4270" s="15" t="s">
        <v>30</v>
      </c>
      <c r="K4270" s="9">
        <v>40</v>
      </c>
      <c r="L4270" s="16" t="s">
        <v>27</v>
      </c>
      <c r="M4270" s="16">
        <f t="shared" si="399"/>
        <v>0.99641277652662363</v>
      </c>
      <c r="N4270">
        <f t="shared" si="400"/>
        <v>0</v>
      </c>
      <c r="O4270">
        <f t="shared" si="401"/>
        <v>0</v>
      </c>
      <c r="P4270">
        <f t="shared" si="398"/>
        <v>5400</v>
      </c>
      <c r="Q4270">
        <f t="shared" si="402"/>
        <v>5400</v>
      </c>
      <c r="T4270" s="16">
        <f t="shared" si="403"/>
        <v>0.9964127765266233</v>
      </c>
    </row>
    <row r="4271" spans="7:20" ht="14.4" x14ac:dyDescent="0.25">
      <c r="G4271" s="10">
        <v>8334</v>
      </c>
      <c r="H4271" s="9">
        <v>59559</v>
      </c>
      <c r="I4271" s="14">
        <f>DATE(2012,12,31)-836</f>
        <v>40438</v>
      </c>
      <c r="J4271" s="15" t="s">
        <v>30</v>
      </c>
      <c r="K4271" s="9">
        <v>30</v>
      </c>
      <c r="L4271" s="16" t="s">
        <v>29</v>
      </c>
      <c r="M4271" s="16">
        <f t="shared" si="399"/>
        <v>0.30581501033440933</v>
      </c>
      <c r="N4271">
        <f t="shared" si="400"/>
        <v>0</v>
      </c>
      <c r="O4271">
        <f t="shared" si="401"/>
        <v>0</v>
      </c>
      <c r="P4271">
        <f t="shared" si="398"/>
        <v>4900</v>
      </c>
      <c r="Q4271">
        <f t="shared" si="402"/>
        <v>4900</v>
      </c>
      <c r="T4271" s="16">
        <f t="shared" si="403"/>
        <v>0.30581501033440894</v>
      </c>
    </row>
    <row r="4272" spans="7:20" ht="14.4" x14ac:dyDescent="0.25">
      <c r="G4272" s="10">
        <v>8359</v>
      </c>
      <c r="H4272" s="9">
        <v>59745</v>
      </c>
      <c r="I4272" s="14">
        <f>DATE(2012,12,31)-1352</f>
        <v>39922</v>
      </c>
      <c r="J4272" s="15" t="s">
        <v>28</v>
      </c>
      <c r="K4272" s="9">
        <v>36</v>
      </c>
      <c r="L4272" s="16" t="s">
        <v>26</v>
      </c>
      <c r="M4272" s="16">
        <f t="shared" si="399"/>
        <v>0.72017367004973787</v>
      </c>
      <c r="N4272">
        <f t="shared" si="400"/>
        <v>0</v>
      </c>
      <c r="O4272">
        <f t="shared" si="401"/>
        <v>0</v>
      </c>
      <c r="P4272">
        <f t="shared" si="398"/>
        <v>5200</v>
      </c>
      <c r="Q4272">
        <f t="shared" si="402"/>
        <v>5200</v>
      </c>
      <c r="T4272" s="16">
        <f t="shared" si="403"/>
        <v>0.72017367004973754</v>
      </c>
    </row>
    <row r="4273" spans="7:20" ht="14.4" x14ac:dyDescent="0.25">
      <c r="G4273" s="10">
        <v>8385</v>
      </c>
      <c r="H4273" s="9">
        <v>59906</v>
      </c>
      <c r="I4273" s="14">
        <f>DATE(2012,12,31)-956</f>
        <v>40318</v>
      </c>
      <c r="J4273" s="15" t="s">
        <v>17</v>
      </c>
      <c r="K4273" s="9">
        <v>32</v>
      </c>
      <c r="L4273" s="16" t="s">
        <v>26</v>
      </c>
      <c r="M4273" s="16">
        <f t="shared" si="399"/>
        <v>0.44393456357285216</v>
      </c>
      <c r="N4273">
        <f t="shared" si="400"/>
        <v>0</v>
      </c>
      <c r="O4273">
        <f t="shared" si="401"/>
        <v>0</v>
      </c>
      <c r="P4273">
        <f t="shared" si="398"/>
        <v>5000</v>
      </c>
      <c r="Q4273">
        <f t="shared" si="402"/>
        <v>5000</v>
      </c>
      <c r="T4273" s="16">
        <f t="shared" si="403"/>
        <v>0.44393456357285183</v>
      </c>
    </row>
    <row r="4274" spans="7:20" ht="14.4" x14ac:dyDescent="0.25">
      <c r="G4274" s="10">
        <v>78</v>
      </c>
      <c r="H4274" s="9">
        <v>454</v>
      </c>
      <c r="I4274" s="14">
        <f>DATE(2012,12,31)-371</f>
        <v>40903</v>
      </c>
      <c r="J4274" s="15" t="s">
        <v>25</v>
      </c>
      <c r="K4274" s="9">
        <v>42</v>
      </c>
      <c r="L4274" s="16" t="s">
        <v>26</v>
      </c>
      <c r="M4274" s="16">
        <f t="shared" si="399"/>
        <v>1.1345323297650665</v>
      </c>
      <c r="N4274">
        <f t="shared" si="400"/>
        <v>0</v>
      </c>
      <c r="O4274">
        <f t="shared" si="401"/>
        <v>0</v>
      </c>
      <c r="P4274">
        <f t="shared" si="398"/>
        <v>5500</v>
      </c>
      <c r="Q4274">
        <f t="shared" si="402"/>
        <v>5500</v>
      </c>
      <c r="T4274" s="16">
        <f t="shared" si="403"/>
        <v>1.1345323297650662</v>
      </c>
    </row>
    <row r="4275" spans="7:20" ht="14.4" x14ac:dyDescent="0.25">
      <c r="G4275" s="10">
        <v>90</v>
      </c>
      <c r="H4275" s="9">
        <v>549</v>
      </c>
      <c r="I4275" s="14">
        <f>DATE(2012,12,31)-172</f>
        <v>41102</v>
      </c>
      <c r="J4275" s="15" t="s">
        <v>30</v>
      </c>
      <c r="K4275" s="9">
        <v>13</v>
      </c>
      <c r="L4275" s="16" t="s">
        <v>26</v>
      </c>
      <c r="M4275" s="16">
        <f t="shared" si="399"/>
        <v>-0.86820119219235514</v>
      </c>
      <c r="N4275">
        <f t="shared" si="400"/>
        <v>0</v>
      </c>
      <c r="O4275">
        <f t="shared" si="401"/>
        <v>0</v>
      </c>
      <c r="P4275">
        <f t="shared" si="398"/>
        <v>4050</v>
      </c>
      <c r="Q4275">
        <f t="shared" si="402"/>
        <v>4050</v>
      </c>
      <c r="T4275" s="16">
        <f t="shared" si="403"/>
        <v>-0.86820119219235548</v>
      </c>
    </row>
    <row r="4276" spans="7:20" ht="14.4" x14ac:dyDescent="0.25">
      <c r="G4276" s="10">
        <v>91</v>
      </c>
      <c r="H4276" s="9">
        <v>549</v>
      </c>
      <c r="I4276" s="14">
        <f>DATE(2012,12,31)-172</f>
        <v>41102</v>
      </c>
      <c r="J4276" s="15" t="s">
        <v>30</v>
      </c>
      <c r="K4276" s="9">
        <v>5</v>
      </c>
      <c r="L4276" s="16" t="s">
        <v>26</v>
      </c>
      <c r="M4276" s="16">
        <f t="shared" si="399"/>
        <v>-1.4206794051461267</v>
      </c>
      <c r="N4276">
        <f t="shared" si="400"/>
        <v>0</v>
      </c>
      <c r="O4276">
        <f t="shared" si="401"/>
        <v>0</v>
      </c>
      <c r="P4276">
        <f t="shared" si="398"/>
        <v>3650</v>
      </c>
      <c r="Q4276">
        <f t="shared" si="402"/>
        <v>3650</v>
      </c>
      <c r="T4276" s="16">
        <f t="shared" si="403"/>
        <v>-1.4206794051461269</v>
      </c>
    </row>
    <row r="4277" spans="7:20" ht="14.4" x14ac:dyDescent="0.25">
      <c r="G4277" s="10">
        <v>92</v>
      </c>
      <c r="H4277" s="9">
        <v>549</v>
      </c>
      <c r="I4277" s="14">
        <f>DATE(2012,12,31)-172</f>
        <v>41102</v>
      </c>
      <c r="J4277" s="15" t="s">
        <v>30</v>
      </c>
      <c r="K4277" s="9">
        <v>30</v>
      </c>
      <c r="L4277" s="16" t="s">
        <v>26</v>
      </c>
      <c r="M4277" s="16">
        <f t="shared" si="399"/>
        <v>0.30581501033440933</v>
      </c>
      <c r="N4277">
        <f t="shared" si="400"/>
        <v>0</v>
      </c>
      <c r="O4277">
        <f t="shared" si="401"/>
        <v>0</v>
      </c>
      <c r="P4277">
        <f t="shared" si="398"/>
        <v>4900</v>
      </c>
      <c r="Q4277">
        <f t="shared" si="402"/>
        <v>4900</v>
      </c>
      <c r="T4277" s="16">
        <f t="shared" si="403"/>
        <v>0.30581501033440894</v>
      </c>
    </row>
    <row r="4278" spans="7:20" ht="14.4" x14ac:dyDescent="0.25">
      <c r="G4278" s="10">
        <v>162</v>
      </c>
      <c r="H4278" s="9">
        <v>999</v>
      </c>
      <c r="I4278" s="14">
        <f>DATE(2012,12,31)-849</f>
        <v>40425</v>
      </c>
      <c r="J4278" s="15" t="s">
        <v>25</v>
      </c>
      <c r="K4278" s="9">
        <v>6</v>
      </c>
      <c r="L4278" s="16" t="s">
        <v>26</v>
      </c>
      <c r="M4278" s="16">
        <f t="shared" si="399"/>
        <v>-1.3516196285269051</v>
      </c>
      <c r="N4278">
        <f t="shared" si="400"/>
        <v>0</v>
      </c>
      <c r="O4278">
        <f t="shared" si="401"/>
        <v>0</v>
      </c>
      <c r="P4278">
        <f t="shared" si="398"/>
        <v>3700</v>
      </c>
      <c r="Q4278">
        <f t="shared" si="402"/>
        <v>3700</v>
      </c>
      <c r="T4278" s="16">
        <f t="shared" si="403"/>
        <v>-1.3516196285269055</v>
      </c>
    </row>
    <row r="4279" spans="7:20" ht="14.4" x14ac:dyDescent="0.25">
      <c r="G4279" s="10">
        <v>195</v>
      </c>
      <c r="H4279" s="9">
        <v>1286</v>
      </c>
      <c r="I4279" s="14">
        <f>DATE(2012,12,31)-963</f>
        <v>40311</v>
      </c>
      <c r="J4279" s="15" t="s">
        <v>28</v>
      </c>
      <c r="K4279" s="9">
        <v>46</v>
      </c>
      <c r="L4279" s="16" t="s">
        <v>26</v>
      </c>
      <c r="M4279" s="16">
        <f t="shared" si="399"/>
        <v>1.4107714362419523</v>
      </c>
      <c r="N4279">
        <f t="shared" si="400"/>
        <v>0</v>
      </c>
      <c r="O4279">
        <f t="shared" si="401"/>
        <v>0</v>
      </c>
      <c r="P4279">
        <f t="shared" si="398"/>
        <v>5700</v>
      </c>
      <c r="Q4279">
        <f t="shared" si="402"/>
        <v>5700</v>
      </c>
      <c r="T4279" s="16">
        <f t="shared" si="403"/>
        <v>1.4107714362419519</v>
      </c>
    </row>
    <row r="4280" spans="7:20" ht="14.4" x14ac:dyDescent="0.25">
      <c r="G4280" s="10">
        <v>196</v>
      </c>
      <c r="H4280" s="9">
        <v>1286</v>
      </c>
      <c r="I4280" s="14">
        <f>DATE(2012,12,31)-963</f>
        <v>40311</v>
      </c>
      <c r="J4280" s="15" t="s">
        <v>28</v>
      </c>
      <c r="K4280" s="9">
        <v>14</v>
      </c>
      <c r="L4280" s="16" t="s">
        <v>27</v>
      </c>
      <c r="M4280" s="16">
        <f t="shared" si="399"/>
        <v>-0.79914141557313367</v>
      </c>
      <c r="N4280">
        <f t="shared" si="400"/>
        <v>0</v>
      </c>
      <c r="O4280">
        <f t="shared" si="401"/>
        <v>0</v>
      </c>
      <c r="P4280">
        <f t="shared" si="398"/>
        <v>4100</v>
      </c>
      <c r="Q4280">
        <f t="shared" si="402"/>
        <v>4100</v>
      </c>
      <c r="T4280" s="16">
        <f t="shared" si="403"/>
        <v>-0.79914141557313401</v>
      </c>
    </row>
    <row r="4281" spans="7:20" ht="14.4" x14ac:dyDescent="0.25">
      <c r="G4281" s="10">
        <v>266</v>
      </c>
      <c r="H4281" s="9">
        <v>1831</v>
      </c>
      <c r="I4281" s="14">
        <f>DATE(2012,12,31)-761</f>
        <v>40513</v>
      </c>
      <c r="J4281" s="15" t="s">
        <v>30</v>
      </c>
      <c r="K4281" s="9">
        <v>33</v>
      </c>
      <c r="L4281" s="16" t="s">
        <v>26</v>
      </c>
      <c r="M4281" s="16">
        <f t="shared" si="399"/>
        <v>0.51299434019207357</v>
      </c>
      <c r="N4281">
        <f t="shared" si="400"/>
        <v>0</v>
      </c>
      <c r="O4281">
        <f t="shared" si="401"/>
        <v>0</v>
      </c>
      <c r="P4281">
        <f t="shared" si="398"/>
        <v>5050</v>
      </c>
      <c r="Q4281">
        <f t="shared" si="402"/>
        <v>5050</v>
      </c>
      <c r="T4281" s="16">
        <f t="shared" si="403"/>
        <v>0.51299434019207324</v>
      </c>
    </row>
    <row r="4282" spans="7:20" ht="14.4" x14ac:dyDescent="0.25">
      <c r="G4282" s="10">
        <v>275</v>
      </c>
      <c r="H4282" s="9">
        <v>1892</v>
      </c>
      <c r="I4282" s="14">
        <f>DATE(2012,12,31)-1377</f>
        <v>39897</v>
      </c>
      <c r="J4282" s="15" t="s">
        <v>25</v>
      </c>
      <c r="K4282" s="9">
        <v>47</v>
      </c>
      <c r="L4282" s="16" t="s">
        <v>26</v>
      </c>
      <c r="M4282" s="16">
        <f t="shared" si="399"/>
        <v>1.4798312128611737</v>
      </c>
      <c r="N4282">
        <f t="shared" si="400"/>
        <v>0</v>
      </c>
      <c r="O4282">
        <f t="shared" si="401"/>
        <v>0</v>
      </c>
      <c r="P4282">
        <f t="shared" si="398"/>
        <v>5750</v>
      </c>
      <c r="Q4282">
        <f t="shared" si="402"/>
        <v>5750</v>
      </c>
      <c r="T4282" s="16">
        <f t="shared" si="403"/>
        <v>1.4798312128611733</v>
      </c>
    </row>
    <row r="4283" spans="7:20" ht="14.4" x14ac:dyDescent="0.25">
      <c r="G4283" s="10">
        <v>276</v>
      </c>
      <c r="H4283" s="9">
        <v>1892</v>
      </c>
      <c r="I4283" s="14">
        <f>DATE(2012,12,31)-1377</f>
        <v>39897</v>
      </c>
      <c r="J4283" s="15" t="s">
        <v>25</v>
      </c>
      <c r="K4283" s="9">
        <v>9</v>
      </c>
      <c r="L4283" s="16" t="s">
        <v>26</v>
      </c>
      <c r="M4283" s="16">
        <f t="shared" si="399"/>
        <v>-1.1444402986692408</v>
      </c>
      <c r="N4283">
        <f t="shared" si="400"/>
        <v>0</v>
      </c>
      <c r="O4283">
        <f t="shared" si="401"/>
        <v>0</v>
      </c>
      <c r="P4283">
        <f t="shared" si="398"/>
        <v>3850</v>
      </c>
      <c r="Q4283">
        <f t="shared" si="402"/>
        <v>3850</v>
      </c>
      <c r="T4283" s="16">
        <f t="shared" si="403"/>
        <v>-1.1444402986692412</v>
      </c>
    </row>
    <row r="4284" spans="7:20" ht="14.4" x14ac:dyDescent="0.25">
      <c r="G4284" s="10">
        <v>286</v>
      </c>
      <c r="H4284" s="9">
        <v>1991</v>
      </c>
      <c r="I4284" s="14">
        <f>DATE(2012,12,31)-116</f>
        <v>41158</v>
      </c>
      <c r="J4284" s="15" t="s">
        <v>28</v>
      </c>
      <c r="K4284" s="9">
        <v>27</v>
      </c>
      <c r="L4284" s="16" t="s">
        <v>29</v>
      </c>
      <c r="M4284" s="16">
        <f t="shared" si="399"/>
        <v>9.8635680476745008E-2</v>
      </c>
      <c r="N4284">
        <f t="shared" si="400"/>
        <v>0</v>
      </c>
      <c r="O4284">
        <f t="shared" si="401"/>
        <v>0</v>
      </c>
      <c r="P4284">
        <f t="shared" si="398"/>
        <v>4750</v>
      </c>
      <c r="Q4284">
        <f t="shared" si="402"/>
        <v>4750</v>
      </c>
      <c r="T4284" s="16">
        <f t="shared" si="403"/>
        <v>9.8635680476744619E-2</v>
      </c>
    </row>
    <row r="4285" spans="7:20" ht="14.4" x14ac:dyDescent="0.25">
      <c r="G4285" s="10">
        <v>287</v>
      </c>
      <c r="H4285" s="9">
        <v>1991</v>
      </c>
      <c r="I4285" s="14">
        <f>DATE(2012,12,31)-116</f>
        <v>41158</v>
      </c>
      <c r="J4285" s="15" t="s">
        <v>28</v>
      </c>
      <c r="K4285" s="9">
        <v>37</v>
      </c>
      <c r="L4285" s="16" t="s">
        <v>27</v>
      </c>
      <c r="M4285" s="16">
        <f t="shared" si="399"/>
        <v>0.78923344666895934</v>
      </c>
      <c r="N4285">
        <f t="shared" si="400"/>
        <v>0</v>
      </c>
      <c r="O4285">
        <f t="shared" si="401"/>
        <v>0</v>
      </c>
      <c r="P4285">
        <f t="shared" si="398"/>
        <v>5250</v>
      </c>
      <c r="Q4285">
        <f t="shared" si="402"/>
        <v>5250</v>
      </c>
      <c r="T4285" s="16">
        <f t="shared" si="403"/>
        <v>0.789233446668959</v>
      </c>
    </row>
    <row r="4286" spans="7:20" ht="14.4" x14ac:dyDescent="0.25">
      <c r="G4286" s="10">
        <v>653</v>
      </c>
      <c r="H4286" s="9">
        <v>4610</v>
      </c>
      <c r="I4286" s="14">
        <f>DATE(2012,12,31)-928</f>
        <v>40346</v>
      </c>
      <c r="J4286" s="15" t="s">
        <v>25</v>
      </c>
      <c r="K4286" s="9">
        <v>8</v>
      </c>
      <c r="L4286" s="16" t="s">
        <v>27</v>
      </c>
      <c r="M4286" s="16">
        <f t="shared" si="399"/>
        <v>-1.2135000752884624</v>
      </c>
      <c r="N4286">
        <f t="shared" si="400"/>
        <v>0</v>
      </c>
      <c r="O4286">
        <f t="shared" si="401"/>
        <v>0</v>
      </c>
      <c r="P4286">
        <f t="shared" si="398"/>
        <v>3800</v>
      </c>
      <c r="Q4286">
        <f t="shared" si="402"/>
        <v>3800</v>
      </c>
      <c r="T4286" s="16">
        <f t="shared" si="403"/>
        <v>-1.2135000752884626</v>
      </c>
    </row>
    <row r="4287" spans="7:20" ht="14.4" x14ac:dyDescent="0.25">
      <c r="G4287" s="10">
        <v>654</v>
      </c>
      <c r="H4287" s="9">
        <v>4610</v>
      </c>
      <c r="I4287" s="14">
        <f>DATE(2012,12,31)-928</f>
        <v>40346</v>
      </c>
      <c r="J4287" s="15" t="s">
        <v>25</v>
      </c>
      <c r="K4287" s="9">
        <v>29</v>
      </c>
      <c r="L4287" s="16" t="s">
        <v>26</v>
      </c>
      <c r="M4287" s="16">
        <f t="shared" si="399"/>
        <v>0.23675523371518786</v>
      </c>
      <c r="N4287">
        <f t="shared" si="400"/>
        <v>0</v>
      </c>
      <c r="O4287">
        <f t="shared" si="401"/>
        <v>0</v>
      </c>
      <c r="P4287">
        <f t="shared" si="398"/>
        <v>4850</v>
      </c>
      <c r="Q4287">
        <f t="shared" si="402"/>
        <v>4850</v>
      </c>
      <c r="T4287" s="16">
        <f t="shared" si="403"/>
        <v>0.2367552337151875</v>
      </c>
    </row>
    <row r="4288" spans="7:20" ht="14.4" x14ac:dyDescent="0.25">
      <c r="G4288" s="10">
        <v>794</v>
      </c>
      <c r="H4288" s="9">
        <v>5697</v>
      </c>
      <c r="I4288" s="14">
        <f>DATE(2012,12,31)-88</f>
        <v>41186</v>
      </c>
      <c r="J4288" s="15" t="s">
        <v>30</v>
      </c>
      <c r="K4288" s="9">
        <v>31</v>
      </c>
      <c r="L4288" s="16" t="s">
        <v>26</v>
      </c>
      <c r="M4288" s="16">
        <f t="shared" si="399"/>
        <v>0.37487478695363075</v>
      </c>
      <c r="N4288">
        <f t="shared" si="400"/>
        <v>0</v>
      </c>
      <c r="O4288">
        <f t="shared" si="401"/>
        <v>0</v>
      </c>
      <c r="P4288">
        <f t="shared" si="398"/>
        <v>4950</v>
      </c>
      <c r="Q4288">
        <f t="shared" si="402"/>
        <v>4950</v>
      </c>
      <c r="T4288" s="16">
        <f t="shared" si="403"/>
        <v>0.37487478695363036</v>
      </c>
    </row>
    <row r="4289" spans="7:20" ht="14.4" x14ac:dyDescent="0.25">
      <c r="G4289" s="10">
        <v>832</v>
      </c>
      <c r="H4289" s="9">
        <v>5986</v>
      </c>
      <c r="I4289" s="14">
        <f>DATE(2012,12,31)-254</f>
        <v>41020</v>
      </c>
      <c r="J4289" s="15" t="s">
        <v>17</v>
      </c>
      <c r="K4289" s="9">
        <v>48</v>
      </c>
      <c r="L4289" s="16" t="s">
        <v>26</v>
      </c>
      <c r="M4289" s="16">
        <f t="shared" si="399"/>
        <v>1.5488909894803951</v>
      </c>
      <c r="N4289">
        <f t="shared" si="400"/>
        <v>0</v>
      </c>
      <c r="O4289">
        <f t="shared" si="401"/>
        <v>0</v>
      </c>
      <c r="P4289">
        <f t="shared" si="398"/>
        <v>5800</v>
      </c>
      <c r="Q4289">
        <f t="shared" si="402"/>
        <v>5800</v>
      </c>
      <c r="T4289" s="16">
        <f t="shared" si="403"/>
        <v>1.5488909894803948</v>
      </c>
    </row>
    <row r="4290" spans="7:20" ht="14.4" x14ac:dyDescent="0.25">
      <c r="G4290" s="10">
        <v>833</v>
      </c>
      <c r="H4290" s="9">
        <v>5986</v>
      </c>
      <c r="I4290" s="14">
        <f>DATE(2012,12,31)-254</f>
        <v>41020</v>
      </c>
      <c r="J4290" s="15" t="s">
        <v>17</v>
      </c>
      <c r="K4290" s="9">
        <v>20</v>
      </c>
      <c r="L4290" s="16" t="s">
        <v>29</v>
      </c>
      <c r="M4290" s="16">
        <f t="shared" si="399"/>
        <v>-0.38478275585780503</v>
      </c>
      <c r="N4290">
        <f t="shared" si="400"/>
        <v>0</v>
      </c>
      <c r="O4290">
        <f t="shared" si="401"/>
        <v>0</v>
      </c>
      <c r="P4290">
        <f t="shared" si="398"/>
        <v>4400</v>
      </c>
      <c r="Q4290">
        <f t="shared" si="402"/>
        <v>4400</v>
      </c>
      <c r="T4290" s="16">
        <f t="shared" si="403"/>
        <v>-0.38478275585780541</v>
      </c>
    </row>
    <row r="4291" spans="7:20" ht="14.4" x14ac:dyDescent="0.25">
      <c r="G4291" s="10">
        <v>834</v>
      </c>
      <c r="H4291" s="9">
        <v>5986</v>
      </c>
      <c r="I4291" s="14">
        <f>DATE(2012,12,31)-254</f>
        <v>41020</v>
      </c>
      <c r="J4291" s="15" t="s">
        <v>17</v>
      </c>
      <c r="K4291" s="9">
        <v>41</v>
      </c>
      <c r="L4291" s="16" t="s">
        <v>27</v>
      </c>
      <c r="M4291" s="16">
        <f t="shared" si="399"/>
        <v>1.0654725531458451</v>
      </c>
      <c r="N4291">
        <f t="shared" si="400"/>
        <v>0</v>
      </c>
      <c r="O4291">
        <f t="shared" si="401"/>
        <v>0</v>
      </c>
      <c r="P4291">
        <f t="shared" si="398"/>
        <v>5450</v>
      </c>
      <c r="Q4291">
        <f t="shared" si="402"/>
        <v>5450</v>
      </c>
      <c r="T4291" s="16">
        <f t="shared" si="403"/>
        <v>1.0654725531458447</v>
      </c>
    </row>
    <row r="4292" spans="7:20" ht="14.4" x14ac:dyDescent="0.25">
      <c r="G4292" s="10">
        <v>845</v>
      </c>
      <c r="H4292" s="9">
        <v>6053</v>
      </c>
      <c r="I4292" s="14">
        <f>DATE(2012,12,31)-751</f>
        <v>40523</v>
      </c>
      <c r="J4292" s="15" t="s">
        <v>16</v>
      </c>
      <c r="K4292" s="9">
        <v>4</v>
      </c>
      <c r="L4292" s="16" t="s">
        <v>26</v>
      </c>
      <c r="M4292" s="16">
        <f t="shared" si="399"/>
        <v>-1.489739181765348</v>
      </c>
      <c r="N4292">
        <f t="shared" si="400"/>
        <v>0</v>
      </c>
      <c r="O4292">
        <f t="shared" si="401"/>
        <v>0</v>
      </c>
      <c r="P4292">
        <f t="shared" si="398"/>
        <v>3600</v>
      </c>
      <c r="Q4292">
        <f t="shared" si="402"/>
        <v>3600</v>
      </c>
      <c r="T4292" s="16">
        <f t="shared" si="403"/>
        <v>-1.4897391817653485</v>
      </c>
    </row>
    <row r="4293" spans="7:20" ht="14.4" x14ac:dyDescent="0.25">
      <c r="G4293" s="10">
        <v>893</v>
      </c>
      <c r="H4293" s="9">
        <v>6432</v>
      </c>
      <c r="I4293" s="14">
        <f>DATE(2012,12,31)-417</f>
        <v>40857</v>
      </c>
      <c r="J4293" s="15" t="s">
        <v>30</v>
      </c>
      <c r="K4293" s="9">
        <v>30</v>
      </c>
      <c r="L4293" s="16" t="s">
        <v>26</v>
      </c>
      <c r="M4293" s="16">
        <f t="shared" si="399"/>
        <v>0.30581501033440933</v>
      </c>
      <c r="N4293">
        <f t="shared" si="400"/>
        <v>0</v>
      </c>
      <c r="O4293">
        <f t="shared" si="401"/>
        <v>0</v>
      </c>
      <c r="P4293">
        <f t="shared" si="398"/>
        <v>4900</v>
      </c>
      <c r="Q4293">
        <f t="shared" si="402"/>
        <v>4900</v>
      </c>
      <c r="T4293" s="16">
        <f t="shared" si="403"/>
        <v>0.30581501033440894</v>
      </c>
    </row>
    <row r="4294" spans="7:20" ht="14.4" x14ac:dyDescent="0.25">
      <c r="G4294" s="10">
        <v>906</v>
      </c>
      <c r="H4294" s="9">
        <v>6502</v>
      </c>
      <c r="I4294" s="14">
        <f>DATE(2012,12,31)-499</f>
        <v>40775</v>
      </c>
      <c r="J4294" s="15" t="s">
        <v>16</v>
      </c>
      <c r="K4294" s="9">
        <v>16</v>
      </c>
      <c r="L4294" s="16" t="s">
        <v>26</v>
      </c>
      <c r="M4294" s="16">
        <f t="shared" si="399"/>
        <v>-0.66102186233469074</v>
      </c>
      <c r="N4294">
        <f t="shared" si="400"/>
        <v>0</v>
      </c>
      <c r="O4294">
        <f t="shared" si="401"/>
        <v>0</v>
      </c>
      <c r="P4294">
        <f t="shared" si="398"/>
        <v>4200</v>
      </c>
      <c r="Q4294">
        <f t="shared" si="402"/>
        <v>4200</v>
      </c>
      <c r="T4294" s="16">
        <f t="shared" si="403"/>
        <v>-0.66102186233469118</v>
      </c>
    </row>
    <row r="4295" spans="7:20" ht="14.4" x14ac:dyDescent="0.25">
      <c r="G4295" s="10">
        <v>907</v>
      </c>
      <c r="H4295" s="9">
        <v>6502</v>
      </c>
      <c r="I4295" s="14">
        <f>DATE(2012,12,31)-499</f>
        <v>40775</v>
      </c>
      <c r="J4295" s="15" t="s">
        <v>16</v>
      </c>
      <c r="K4295" s="9">
        <v>30</v>
      </c>
      <c r="L4295" s="16" t="s">
        <v>26</v>
      </c>
      <c r="M4295" s="16">
        <f t="shared" si="399"/>
        <v>0.30581501033440933</v>
      </c>
      <c r="N4295">
        <f t="shared" si="400"/>
        <v>0</v>
      </c>
      <c r="O4295">
        <f t="shared" si="401"/>
        <v>0</v>
      </c>
      <c r="P4295">
        <f t="shared" si="398"/>
        <v>4900</v>
      </c>
      <c r="Q4295">
        <f t="shared" si="402"/>
        <v>4900</v>
      </c>
      <c r="T4295" s="16">
        <f t="shared" si="403"/>
        <v>0.30581501033440894</v>
      </c>
    </row>
    <row r="4296" spans="7:20" ht="14.4" x14ac:dyDescent="0.25">
      <c r="G4296" s="10">
        <v>921</v>
      </c>
      <c r="H4296" s="9">
        <v>6656</v>
      </c>
      <c r="I4296" s="14">
        <f>DATE(2012,12,31)-1326</f>
        <v>39948</v>
      </c>
      <c r="J4296" s="15" t="s">
        <v>30</v>
      </c>
      <c r="K4296" s="9">
        <v>45</v>
      </c>
      <c r="L4296" s="16" t="s">
        <v>26</v>
      </c>
      <c r="M4296" s="16">
        <f t="shared" si="399"/>
        <v>1.3417116596227308</v>
      </c>
      <c r="N4296">
        <f t="shared" si="400"/>
        <v>0</v>
      </c>
      <c r="O4296">
        <f t="shared" si="401"/>
        <v>0</v>
      </c>
      <c r="P4296">
        <f t="shared" si="398"/>
        <v>5650</v>
      </c>
      <c r="Q4296">
        <f t="shared" si="402"/>
        <v>5650</v>
      </c>
      <c r="T4296" s="16">
        <f t="shared" si="403"/>
        <v>1.3417116596227305</v>
      </c>
    </row>
    <row r="4297" spans="7:20" ht="14.4" x14ac:dyDescent="0.25">
      <c r="G4297" s="10">
        <v>922</v>
      </c>
      <c r="H4297" s="9">
        <v>6656</v>
      </c>
      <c r="I4297" s="14">
        <f>DATE(2012,12,31)-1326</f>
        <v>39948</v>
      </c>
      <c r="J4297" s="15" t="s">
        <v>30</v>
      </c>
      <c r="K4297" s="9">
        <v>50</v>
      </c>
      <c r="L4297" s="16" t="s">
        <v>26</v>
      </c>
      <c r="M4297" s="16">
        <f t="shared" si="399"/>
        <v>1.687010542718838</v>
      </c>
      <c r="N4297">
        <f t="shared" si="400"/>
        <v>0</v>
      </c>
      <c r="O4297">
        <f t="shared" si="401"/>
        <v>0</v>
      </c>
      <c r="P4297">
        <f t="shared" si="398"/>
        <v>5900</v>
      </c>
      <c r="Q4297">
        <f t="shared" si="402"/>
        <v>5900</v>
      </c>
      <c r="T4297" s="16">
        <f t="shared" si="403"/>
        <v>1.6870105427188375</v>
      </c>
    </row>
    <row r="4298" spans="7:20" ht="14.4" x14ac:dyDescent="0.25">
      <c r="G4298" s="10">
        <v>971</v>
      </c>
      <c r="H4298" s="9">
        <v>7072</v>
      </c>
      <c r="I4298" s="14">
        <f>DATE(2012,12,31)-331</f>
        <v>40943</v>
      </c>
      <c r="J4298" s="15" t="s">
        <v>30</v>
      </c>
      <c r="K4298" s="9">
        <v>29</v>
      </c>
      <c r="L4298" s="16" t="s">
        <v>26</v>
      </c>
      <c r="M4298" s="16">
        <f t="shared" si="399"/>
        <v>0.23675523371518786</v>
      </c>
      <c r="N4298">
        <f t="shared" si="400"/>
        <v>0</v>
      </c>
      <c r="O4298">
        <f t="shared" si="401"/>
        <v>0</v>
      </c>
      <c r="P4298">
        <f t="shared" si="398"/>
        <v>4850</v>
      </c>
      <c r="Q4298">
        <f t="shared" si="402"/>
        <v>4850</v>
      </c>
      <c r="T4298" s="16">
        <f t="shared" si="403"/>
        <v>0.2367552337151875</v>
      </c>
    </row>
    <row r="4299" spans="7:20" ht="14.4" x14ac:dyDescent="0.25">
      <c r="G4299" s="10">
        <v>1015</v>
      </c>
      <c r="H4299" s="9">
        <v>7429</v>
      </c>
      <c r="I4299" s="14">
        <f>DATE(2012,12,31)-950</f>
        <v>40324</v>
      </c>
      <c r="J4299" s="15" t="s">
        <v>28</v>
      </c>
      <c r="K4299" s="9">
        <v>33</v>
      </c>
      <c r="L4299" s="16" t="s">
        <v>27</v>
      </c>
      <c r="M4299" s="16">
        <f t="shared" si="399"/>
        <v>0.51299434019207357</v>
      </c>
      <c r="N4299">
        <f t="shared" si="400"/>
        <v>0</v>
      </c>
      <c r="O4299">
        <f t="shared" si="401"/>
        <v>0</v>
      </c>
      <c r="P4299">
        <f t="shared" si="398"/>
        <v>5050</v>
      </c>
      <c r="Q4299">
        <f t="shared" si="402"/>
        <v>5050</v>
      </c>
      <c r="T4299" s="16">
        <f t="shared" si="403"/>
        <v>0.51299434019207324</v>
      </c>
    </row>
    <row r="4300" spans="7:20" ht="14.4" x14ac:dyDescent="0.25">
      <c r="G4300" s="10">
        <v>1016</v>
      </c>
      <c r="H4300" s="9">
        <v>7429</v>
      </c>
      <c r="I4300" s="14">
        <f>DATE(2012,12,31)-950</f>
        <v>40324</v>
      </c>
      <c r="J4300" s="15" t="s">
        <v>28</v>
      </c>
      <c r="K4300" s="9">
        <v>6</v>
      </c>
      <c r="L4300" s="16" t="s">
        <v>29</v>
      </c>
      <c r="M4300" s="16">
        <f t="shared" si="399"/>
        <v>-1.3516196285269051</v>
      </c>
      <c r="N4300">
        <f t="shared" si="400"/>
        <v>0</v>
      </c>
      <c r="O4300">
        <f t="shared" si="401"/>
        <v>0</v>
      </c>
      <c r="P4300">
        <f t="shared" ref="P4300:P4363" si="404">50*K4300+$P$10</f>
        <v>3700</v>
      </c>
      <c r="Q4300">
        <f t="shared" si="402"/>
        <v>3700</v>
      </c>
      <c r="T4300" s="16">
        <f t="shared" si="403"/>
        <v>-1.3516196285269055</v>
      </c>
    </row>
    <row r="4301" spans="7:20" ht="14.4" x14ac:dyDescent="0.25">
      <c r="G4301" s="10">
        <v>1075</v>
      </c>
      <c r="H4301" s="9">
        <v>7910</v>
      </c>
      <c r="I4301" s="14">
        <f>DATE(2012,12,31)-986</f>
        <v>40288</v>
      </c>
      <c r="J4301" s="15" t="s">
        <v>30</v>
      </c>
      <c r="K4301" s="9">
        <v>41</v>
      </c>
      <c r="L4301" s="16" t="s">
        <v>29</v>
      </c>
      <c r="M4301" s="16">
        <f t="shared" ref="M4301:M4364" si="405">(K4301-$K$4)/$K$7</f>
        <v>1.0654725531458451</v>
      </c>
      <c r="N4301">
        <f t="shared" ref="N4301:N4364" si="406">IF(MOD($B$20+G4301,1000)=0,1,0)</f>
        <v>0</v>
      </c>
      <c r="O4301">
        <f t="shared" ref="O4301:O4364" si="407">+ROUND(N4301*(IF(K4301&lt;$K$4,-4.5,10.5)*$P$5),-2)</f>
        <v>0</v>
      </c>
      <c r="P4301">
        <f t="shared" si="404"/>
        <v>5450</v>
      </c>
      <c r="Q4301">
        <f t="shared" ref="Q4301:Q4364" si="408">P4301+O4301</f>
        <v>5450</v>
      </c>
      <c r="T4301" s="16">
        <f t="shared" ref="T4301:T4364" si="409">(Q4301-$P$4)/$P$5</f>
        <v>1.0654725531458447</v>
      </c>
    </row>
    <row r="4302" spans="7:20" ht="14.4" x14ac:dyDescent="0.25">
      <c r="G4302" s="10">
        <v>1076</v>
      </c>
      <c r="H4302" s="9">
        <v>7910</v>
      </c>
      <c r="I4302" s="14">
        <f>DATE(2012,12,31)-986</f>
        <v>40288</v>
      </c>
      <c r="J4302" s="15" t="s">
        <v>30</v>
      </c>
      <c r="K4302" s="9">
        <v>22</v>
      </c>
      <c r="L4302" s="16" t="s">
        <v>26</v>
      </c>
      <c r="M4302" s="16">
        <f t="shared" si="405"/>
        <v>-0.24666320261936217</v>
      </c>
      <c r="N4302">
        <f t="shared" si="406"/>
        <v>0</v>
      </c>
      <c r="O4302">
        <f t="shared" si="407"/>
        <v>0</v>
      </c>
      <c r="P4302">
        <f t="shared" si="404"/>
        <v>4500</v>
      </c>
      <c r="Q4302">
        <f t="shared" si="408"/>
        <v>4500</v>
      </c>
      <c r="T4302" s="16">
        <f t="shared" si="409"/>
        <v>-0.24666320261936256</v>
      </c>
    </row>
    <row r="4303" spans="7:20" ht="14.4" x14ac:dyDescent="0.25">
      <c r="G4303" s="10">
        <v>1096</v>
      </c>
      <c r="H4303" s="9">
        <v>8035</v>
      </c>
      <c r="I4303" s="14">
        <f>DATE(2012,12,31)-305</f>
        <v>40969</v>
      </c>
      <c r="J4303" s="15" t="s">
        <v>16</v>
      </c>
      <c r="K4303" s="9">
        <v>7</v>
      </c>
      <c r="L4303" s="16" t="s">
        <v>26</v>
      </c>
      <c r="M4303" s="16">
        <f t="shared" si="405"/>
        <v>-1.2825598519076837</v>
      </c>
      <c r="N4303">
        <f t="shared" si="406"/>
        <v>0</v>
      </c>
      <c r="O4303">
        <f t="shared" si="407"/>
        <v>0</v>
      </c>
      <c r="P4303">
        <f t="shared" si="404"/>
        <v>3750</v>
      </c>
      <c r="Q4303">
        <f t="shared" si="408"/>
        <v>3750</v>
      </c>
      <c r="T4303" s="16">
        <f t="shared" si="409"/>
        <v>-1.2825598519076842</v>
      </c>
    </row>
    <row r="4304" spans="7:20" ht="14.4" x14ac:dyDescent="0.25">
      <c r="G4304" s="10">
        <v>1220</v>
      </c>
      <c r="H4304" s="9">
        <v>8961</v>
      </c>
      <c r="I4304" s="14">
        <f>DATE(2012,12,31)-552</f>
        <v>40722</v>
      </c>
      <c r="J4304" s="15" t="s">
        <v>25</v>
      </c>
      <c r="K4304" s="9">
        <v>15</v>
      </c>
      <c r="L4304" s="16" t="s">
        <v>27</v>
      </c>
      <c r="M4304" s="16">
        <f t="shared" si="405"/>
        <v>-0.7300816389539122</v>
      </c>
      <c r="N4304">
        <f t="shared" si="406"/>
        <v>0</v>
      </c>
      <c r="O4304">
        <f t="shared" si="407"/>
        <v>0</v>
      </c>
      <c r="P4304">
        <f t="shared" si="404"/>
        <v>4150</v>
      </c>
      <c r="Q4304">
        <f t="shared" si="408"/>
        <v>4150</v>
      </c>
      <c r="T4304" s="16">
        <f t="shared" si="409"/>
        <v>-0.73008163895391265</v>
      </c>
    </row>
    <row r="4305" spans="7:20" ht="14.4" x14ac:dyDescent="0.25">
      <c r="G4305" s="10">
        <v>1311</v>
      </c>
      <c r="H4305" s="9">
        <v>9606</v>
      </c>
      <c r="I4305" s="14">
        <f>DATE(2012,12,31)-1253</f>
        <v>40021</v>
      </c>
      <c r="J4305" s="15" t="s">
        <v>28</v>
      </c>
      <c r="K4305" s="9">
        <v>39</v>
      </c>
      <c r="L4305" s="16" t="s">
        <v>26</v>
      </c>
      <c r="M4305" s="16">
        <f t="shared" si="405"/>
        <v>0.92735299990740228</v>
      </c>
      <c r="N4305">
        <f t="shared" si="406"/>
        <v>0</v>
      </c>
      <c r="O4305">
        <f t="shared" si="407"/>
        <v>0</v>
      </c>
      <c r="P4305">
        <f t="shared" si="404"/>
        <v>5350</v>
      </c>
      <c r="Q4305">
        <f t="shared" si="408"/>
        <v>5350</v>
      </c>
      <c r="T4305" s="16">
        <f t="shared" si="409"/>
        <v>0.92735299990740183</v>
      </c>
    </row>
    <row r="4306" spans="7:20" ht="14.4" x14ac:dyDescent="0.25">
      <c r="G4306" s="10">
        <v>1312</v>
      </c>
      <c r="H4306" s="9">
        <v>9606</v>
      </c>
      <c r="I4306" s="14">
        <f>DATE(2012,12,31)-1253</f>
        <v>40021</v>
      </c>
      <c r="J4306" s="15" t="s">
        <v>28</v>
      </c>
      <c r="K4306" s="9">
        <v>37</v>
      </c>
      <c r="L4306" s="16" t="s">
        <v>26</v>
      </c>
      <c r="M4306" s="16">
        <f t="shared" si="405"/>
        <v>0.78923344666895934</v>
      </c>
      <c r="N4306">
        <f t="shared" si="406"/>
        <v>0</v>
      </c>
      <c r="O4306">
        <f t="shared" si="407"/>
        <v>0</v>
      </c>
      <c r="P4306">
        <f t="shared" si="404"/>
        <v>5250</v>
      </c>
      <c r="Q4306">
        <f t="shared" si="408"/>
        <v>5250</v>
      </c>
      <c r="T4306" s="16">
        <f t="shared" si="409"/>
        <v>0.789233446668959</v>
      </c>
    </row>
    <row r="4307" spans="7:20" ht="14.4" x14ac:dyDescent="0.25">
      <c r="G4307" s="10">
        <v>1348</v>
      </c>
      <c r="H4307" s="9">
        <v>9857</v>
      </c>
      <c r="I4307" s="14">
        <f>DATE(2012,12,31)-965</f>
        <v>40309</v>
      </c>
      <c r="J4307" s="15" t="s">
        <v>17</v>
      </c>
      <c r="K4307" s="9">
        <v>16</v>
      </c>
      <c r="L4307" s="16" t="s">
        <v>26</v>
      </c>
      <c r="M4307" s="16">
        <f t="shared" si="405"/>
        <v>-0.66102186233469074</v>
      </c>
      <c r="N4307">
        <f t="shared" si="406"/>
        <v>0</v>
      </c>
      <c r="O4307">
        <f t="shared" si="407"/>
        <v>0</v>
      </c>
      <c r="P4307">
        <f t="shared" si="404"/>
        <v>4200</v>
      </c>
      <c r="Q4307">
        <f t="shared" si="408"/>
        <v>4200</v>
      </c>
      <c r="T4307" s="16">
        <f t="shared" si="409"/>
        <v>-0.66102186233469118</v>
      </c>
    </row>
    <row r="4308" spans="7:20" ht="14.4" x14ac:dyDescent="0.25">
      <c r="G4308" s="10">
        <v>1349</v>
      </c>
      <c r="H4308" s="9">
        <v>9857</v>
      </c>
      <c r="I4308" s="14">
        <f>DATE(2012,12,31)-965</f>
        <v>40309</v>
      </c>
      <c r="J4308" s="15" t="s">
        <v>17</v>
      </c>
      <c r="K4308" s="9">
        <v>49</v>
      </c>
      <c r="L4308" s="16" t="s">
        <v>29</v>
      </c>
      <c r="M4308" s="16">
        <f t="shared" si="405"/>
        <v>1.6179507660996166</v>
      </c>
      <c r="N4308">
        <f t="shared" si="406"/>
        <v>0</v>
      </c>
      <c r="O4308">
        <f t="shared" si="407"/>
        <v>0</v>
      </c>
      <c r="P4308">
        <f t="shared" si="404"/>
        <v>5850</v>
      </c>
      <c r="Q4308">
        <f t="shared" si="408"/>
        <v>5850</v>
      </c>
      <c r="T4308" s="16">
        <f t="shared" si="409"/>
        <v>1.6179507660996162</v>
      </c>
    </row>
    <row r="4309" spans="7:20" ht="14.4" x14ac:dyDescent="0.25">
      <c r="G4309" s="10">
        <v>1350</v>
      </c>
      <c r="H4309" s="9">
        <v>9857</v>
      </c>
      <c r="I4309" s="14">
        <f>DATE(2012,12,31)-965</f>
        <v>40309</v>
      </c>
      <c r="J4309" s="15" t="s">
        <v>17</v>
      </c>
      <c r="K4309" s="9">
        <v>16</v>
      </c>
      <c r="L4309" s="16" t="s">
        <v>27</v>
      </c>
      <c r="M4309" s="16">
        <f t="shared" si="405"/>
        <v>-0.66102186233469074</v>
      </c>
      <c r="N4309">
        <f t="shared" si="406"/>
        <v>0</v>
      </c>
      <c r="O4309">
        <f t="shared" si="407"/>
        <v>0</v>
      </c>
      <c r="P4309">
        <f t="shared" si="404"/>
        <v>4200</v>
      </c>
      <c r="Q4309">
        <f t="shared" si="408"/>
        <v>4200</v>
      </c>
      <c r="T4309" s="16">
        <f t="shared" si="409"/>
        <v>-0.66102186233469118</v>
      </c>
    </row>
    <row r="4310" spans="7:20" ht="14.4" x14ac:dyDescent="0.25">
      <c r="G4310" s="10">
        <v>1502</v>
      </c>
      <c r="H4310" s="9">
        <v>10851</v>
      </c>
      <c r="I4310" s="14">
        <f>DATE(2012,12,31)-1365</f>
        <v>39909</v>
      </c>
      <c r="J4310" s="15" t="s">
        <v>17</v>
      </c>
      <c r="K4310" s="9">
        <v>14</v>
      </c>
      <c r="L4310" s="16" t="s">
        <v>27</v>
      </c>
      <c r="M4310" s="16">
        <f t="shared" si="405"/>
        <v>-0.79914141557313367</v>
      </c>
      <c r="N4310">
        <f t="shared" si="406"/>
        <v>0</v>
      </c>
      <c r="O4310">
        <f t="shared" si="407"/>
        <v>0</v>
      </c>
      <c r="P4310">
        <f t="shared" si="404"/>
        <v>4100</v>
      </c>
      <c r="Q4310">
        <f t="shared" si="408"/>
        <v>4100</v>
      </c>
      <c r="T4310" s="16">
        <f t="shared" si="409"/>
        <v>-0.79914141557313401</v>
      </c>
    </row>
    <row r="4311" spans="7:20" ht="14.4" x14ac:dyDescent="0.25">
      <c r="G4311" s="10">
        <v>1554</v>
      </c>
      <c r="H4311" s="9">
        <v>11233</v>
      </c>
      <c r="I4311" s="14">
        <f>DATE(2012,12,31)-489</f>
        <v>40785</v>
      </c>
      <c r="J4311" s="15" t="s">
        <v>28</v>
      </c>
      <c r="K4311" s="9">
        <v>25</v>
      </c>
      <c r="L4311" s="16" t="s">
        <v>26</v>
      </c>
      <c r="M4311" s="16">
        <f t="shared" si="405"/>
        <v>-3.9483872761697868E-2</v>
      </c>
      <c r="N4311">
        <f t="shared" si="406"/>
        <v>0</v>
      </c>
      <c r="O4311">
        <f t="shared" si="407"/>
        <v>0</v>
      </c>
      <c r="P4311">
        <f t="shared" si="404"/>
        <v>4650</v>
      </c>
      <c r="Q4311">
        <f t="shared" si="408"/>
        <v>4650</v>
      </c>
      <c r="T4311" s="16">
        <f t="shared" si="409"/>
        <v>-3.9483872761698249E-2</v>
      </c>
    </row>
    <row r="4312" spans="7:20" ht="14.4" x14ac:dyDescent="0.25">
      <c r="G4312" s="10">
        <v>1593</v>
      </c>
      <c r="H4312" s="9">
        <v>11493</v>
      </c>
      <c r="I4312" s="14">
        <f>DATE(2012,12,31)-438</f>
        <v>40836</v>
      </c>
      <c r="J4312" s="15" t="s">
        <v>30</v>
      </c>
      <c r="K4312" s="9">
        <v>16</v>
      </c>
      <c r="L4312" s="16" t="s">
        <v>26</v>
      </c>
      <c r="M4312" s="16">
        <f t="shared" si="405"/>
        <v>-0.66102186233469074</v>
      </c>
      <c r="N4312">
        <f t="shared" si="406"/>
        <v>0</v>
      </c>
      <c r="O4312">
        <f t="shared" si="407"/>
        <v>0</v>
      </c>
      <c r="P4312">
        <f t="shared" si="404"/>
        <v>4200</v>
      </c>
      <c r="Q4312">
        <f t="shared" si="408"/>
        <v>4200</v>
      </c>
      <c r="T4312" s="16">
        <f t="shared" si="409"/>
        <v>-0.66102186233469118</v>
      </c>
    </row>
    <row r="4313" spans="7:20" ht="14.4" x14ac:dyDescent="0.25">
      <c r="G4313" s="10">
        <v>1614</v>
      </c>
      <c r="H4313" s="9">
        <v>11684</v>
      </c>
      <c r="I4313" s="14">
        <f>DATE(2012,12,31)-157</f>
        <v>41117</v>
      </c>
      <c r="J4313" s="15" t="s">
        <v>17</v>
      </c>
      <c r="K4313" s="9">
        <v>8</v>
      </c>
      <c r="L4313" s="16" t="s">
        <v>29</v>
      </c>
      <c r="M4313" s="16">
        <f t="shared" si="405"/>
        <v>-1.2135000752884624</v>
      </c>
      <c r="N4313">
        <f t="shared" si="406"/>
        <v>0</v>
      </c>
      <c r="O4313">
        <f t="shared" si="407"/>
        <v>0</v>
      </c>
      <c r="P4313">
        <f t="shared" si="404"/>
        <v>3800</v>
      </c>
      <c r="Q4313">
        <f t="shared" si="408"/>
        <v>3800</v>
      </c>
      <c r="T4313" s="16">
        <f t="shared" si="409"/>
        <v>-1.2135000752884626</v>
      </c>
    </row>
    <row r="4314" spans="7:20" ht="14.4" x14ac:dyDescent="0.25">
      <c r="G4314" s="10">
        <v>1664</v>
      </c>
      <c r="H4314" s="9">
        <v>11975</v>
      </c>
      <c r="I4314" s="14">
        <f>DATE(2012,12,31)-628</f>
        <v>40646</v>
      </c>
      <c r="J4314" s="15" t="s">
        <v>30</v>
      </c>
      <c r="K4314" s="9">
        <v>43</v>
      </c>
      <c r="L4314" s="16" t="s">
        <v>26</v>
      </c>
      <c r="M4314" s="16">
        <f t="shared" si="405"/>
        <v>1.203592106384288</v>
      </c>
      <c r="N4314">
        <f t="shared" si="406"/>
        <v>0</v>
      </c>
      <c r="O4314">
        <f t="shared" si="407"/>
        <v>0</v>
      </c>
      <c r="P4314">
        <f t="shared" si="404"/>
        <v>5550</v>
      </c>
      <c r="Q4314">
        <f t="shared" si="408"/>
        <v>5550</v>
      </c>
      <c r="T4314" s="16">
        <f t="shared" si="409"/>
        <v>1.2035921063842876</v>
      </c>
    </row>
    <row r="4315" spans="7:20" ht="14.4" x14ac:dyDescent="0.25">
      <c r="G4315" s="10">
        <v>1878</v>
      </c>
      <c r="H4315" s="9">
        <v>13537</v>
      </c>
      <c r="I4315" s="14">
        <f>DATE(2012,12,31)-946</f>
        <v>40328</v>
      </c>
      <c r="J4315" s="15" t="s">
        <v>25</v>
      </c>
      <c r="K4315" s="9">
        <v>41</v>
      </c>
      <c r="L4315" s="16" t="s">
        <v>26</v>
      </c>
      <c r="M4315" s="16">
        <f t="shared" si="405"/>
        <v>1.0654725531458451</v>
      </c>
      <c r="N4315">
        <f t="shared" si="406"/>
        <v>0</v>
      </c>
      <c r="O4315">
        <f t="shared" si="407"/>
        <v>0</v>
      </c>
      <c r="P4315">
        <f t="shared" si="404"/>
        <v>5450</v>
      </c>
      <c r="Q4315">
        <f t="shared" si="408"/>
        <v>5450</v>
      </c>
      <c r="T4315" s="16">
        <f t="shared" si="409"/>
        <v>1.0654725531458447</v>
      </c>
    </row>
    <row r="4316" spans="7:20" ht="14.4" x14ac:dyDescent="0.25">
      <c r="G4316" s="10">
        <v>1912</v>
      </c>
      <c r="H4316" s="9">
        <v>13670</v>
      </c>
      <c r="I4316" s="14">
        <f>DATE(2012,12,31)-222</f>
        <v>41052</v>
      </c>
      <c r="J4316" s="15" t="s">
        <v>30</v>
      </c>
      <c r="K4316" s="9">
        <v>27</v>
      </c>
      <c r="L4316" s="16" t="s">
        <v>26</v>
      </c>
      <c r="M4316" s="16">
        <f t="shared" si="405"/>
        <v>9.8635680476745008E-2</v>
      </c>
      <c r="N4316">
        <f t="shared" si="406"/>
        <v>0</v>
      </c>
      <c r="O4316">
        <f t="shared" si="407"/>
        <v>0</v>
      </c>
      <c r="P4316">
        <f t="shared" si="404"/>
        <v>4750</v>
      </c>
      <c r="Q4316">
        <f t="shared" si="408"/>
        <v>4750</v>
      </c>
      <c r="T4316" s="16">
        <f t="shared" si="409"/>
        <v>9.8635680476744619E-2</v>
      </c>
    </row>
    <row r="4317" spans="7:20" ht="14.4" x14ac:dyDescent="0.25">
      <c r="G4317" s="10">
        <v>1922</v>
      </c>
      <c r="H4317" s="9">
        <v>13764</v>
      </c>
      <c r="I4317" s="14">
        <f>DATE(2012,12,31)-537</f>
        <v>40737</v>
      </c>
      <c r="J4317" s="15" t="s">
        <v>16</v>
      </c>
      <c r="K4317" s="9">
        <v>31</v>
      </c>
      <c r="L4317" s="16" t="s">
        <v>26</v>
      </c>
      <c r="M4317" s="16">
        <f t="shared" si="405"/>
        <v>0.37487478695363075</v>
      </c>
      <c r="N4317">
        <f t="shared" si="406"/>
        <v>0</v>
      </c>
      <c r="O4317">
        <f t="shared" si="407"/>
        <v>0</v>
      </c>
      <c r="P4317">
        <f t="shared" si="404"/>
        <v>4950</v>
      </c>
      <c r="Q4317">
        <f t="shared" si="408"/>
        <v>4950</v>
      </c>
      <c r="T4317" s="16">
        <f t="shared" si="409"/>
        <v>0.37487478695363036</v>
      </c>
    </row>
    <row r="4318" spans="7:20" ht="14.4" x14ac:dyDescent="0.25">
      <c r="G4318" s="10">
        <v>1948</v>
      </c>
      <c r="H4318" s="9">
        <v>13953</v>
      </c>
      <c r="I4318" s="14">
        <f>DATE(2012,12,31)-580</f>
        <v>40694</v>
      </c>
      <c r="J4318" s="15" t="s">
        <v>30</v>
      </c>
      <c r="K4318" s="9">
        <v>32</v>
      </c>
      <c r="L4318" s="16" t="s">
        <v>26</v>
      </c>
      <c r="M4318" s="16">
        <f t="shared" si="405"/>
        <v>0.44393456357285216</v>
      </c>
      <c r="N4318">
        <f t="shared" si="406"/>
        <v>0</v>
      </c>
      <c r="O4318">
        <f t="shared" si="407"/>
        <v>0</v>
      </c>
      <c r="P4318">
        <f t="shared" si="404"/>
        <v>5000</v>
      </c>
      <c r="Q4318">
        <f t="shared" si="408"/>
        <v>5000</v>
      </c>
      <c r="T4318" s="16">
        <f t="shared" si="409"/>
        <v>0.44393456357285183</v>
      </c>
    </row>
    <row r="4319" spans="7:20" ht="14.4" x14ac:dyDescent="0.25">
      <c r="G4319" s="10">
        <v>1981</v>
      </c>
      <c r="H4319" s="9">
        <v>14119</v>
      </c>
      <c r="I4319" s="14">
        <f>DATE(2012,12,31)-945</f>
        <v>40329</v>
      </c>
      <c r="J4319" s="15" t="s">
        <v>25</v>
      </c>
      <c r="K4319" s="9">
        <v>24</v>
      </c>
      <c r="L4319" s="16" t="s">
        <v>29</v>
      </c>
      <c r="M4319" s="16">
        <f t="shared" si="405"/>
        <v>-0.1085436493809193</v>
      </c>
      <c r="N4319">
        <f t="shared" si="406"/>
        <v>0</v>
      </c>
      <c r="O4319">
        <f t="shared" si="407"/>
        <v>0</v>
      </c>
      <c r="P4319">
        <f t="shared" si="404"/>
        <v>4600</v>
      </c>
      <c r="Q4319">
        <f t="shared" si="408"/>
        <v>4600</v>
      </c>
      <c r="T4319" s="16">
        <f t="shared" si="409"/>
        <v>-0.10854364938091969</v>
      </c>
    </row>
    <row r="4320" spans="7:20" ht="14.4" x14ac:dyDescent="0.25">
      <c r="G4320" s="10">
        <v>1982</v>
      </c>
      <c r="H4320" s="9">
        <v>14119</v>
      </c>
      <c r="I4320" s="14">
        <f>DATE(2012,12,31)-945</f>
        <v>40329</v>
      </c>
      <c r="J4320" s="15" t="s">
        <v>25</v>
      </c>
      <c r="K4320" s="9">
        <v>35</v>
      </c>
      <c r="L4320" s="16" t="s">
        <v>27</v>
      </c>
      <c r="M4320" s="16">
        <f t="shared" si="405"/>
        <v>0.65111389343051651</v>
      </c>
      <c r="N4320">
        <f t="shared" si="406"/>
        <v>0</v>
      </c>
      <c r="O4320">
        <f t="shared" si="407"/>
        <v>0</v>
      </c>
      <c r="P4320">
        <f t="shared" si="404"/>
        <v>5150</v>
      </c>
      <c r="Q4320">
        <f t="shared" si="408"/>
        <v>5150</v>
      </c>
      <c r="T4320" s="16">
        <f t="shared" si="409"/>
        <v>0.65111389343051607</v>
      </c>
    </row>
    <row r="4321" spans="7:20" ht="14.4" x14ac:dyDescent="0.25">
      <c r="G4321" s="10">
        <v>1983</v>
      </c>
      <c r="H4321" s="9">
        <v>14119</v>
      </c>
      <c r="I4321" s="14">
        <f>DATE(2012,12,31)-945</f>
        <v>40329</v>
      </c>
      <c r="J4321" s="15" t="s">
        <v>25</v>
      </c>
      <c r="K4321" s="9">
        <v>31</v>
      </c>
      <c r="L4321" s="16" t="s">
        <v>27</v>
      </c>
      <c r="M4321" s="16">
        <f t="shared" si="405"/>
        <v>0.37487478695363075</v>
      </c>
      <c r="N4321">
        <f t="shared" si="406"/>
        <v>0</v>
      </c>
      <c r="O4321">
        <f t="shared" si="407"/>
        <v>0</v>
      </c>
      <c r="P4321">
        <f t="shared" si="404"/>
        <v>4950</v>
      </c>
      <c r="Q4321">
        <f t="shared" si="408"/>
        <v>4950</v>
      </c>
      <c r="T4321" s="16">
        <f t="shared" si="409"/>
        <v>0.37487478695363036</v>
      </c>
    </row>
    <row r="4322" spans="7:20" ht="14.4" x14ac:dyDescent="0.25">
      <c r="G4322" s="10">
        <v>2020</v>
      </c>
      <c r="H4322" s="9">
        <v>14402</v>
      </c>
      <c r="I4322" s="14">
        <f>DATE(2012,12,31)-809</f>
        <v>40465</v>
      </c>
      <c r="J4322" s="15" t="s">
        <v>16</v>
      </c>
      <c r="K4322" s="9">
        <v>1</v>
      </c>
      <c r="L4322" s="16" t="s">
        <v>29</v>
      </c>
      <c r="M4322" s="16">
        <f t="shared" si="405"/>
        <v>-1.6969185116230123</v>
      </c>
      <c r="N4322">
        <f t="shared" si="406"/>
        <v>0</v>
      </c>
      <c r="O4322">
        <f t="shared" si="407"/>
        <v>0</v>
      </c>
      <c r="P4322">
        <f t="shared" si="404"/>
        <v>3450</v>
      </c>
      <c r="Q4322">
        <f t="shared" si="408"/>
        <v>3450</v>
      </c>
      <c r="T4322" s="16">
        <f t="shared" si="409"/>
        <v>-1.6969185116230128</v>
      </c>
    </row>
    <row r="4323" spans="7:20" ht="14.4" x14ac:dyDescent="0.25">
      <c r="G4323" s="10">
        <v>2032</v>
      </c>
      <c r="H4323" s="9">
        <v>14499</v>
      </c>
      <c r="I4323" s="14">
        <f>DATE(2012,12,31)-778</f>
        <v>40496</v>
      </c>
      <c r="J4323" s="15" t="s">
        <v>25</v>
      </c>
      <c r="K4323" s="9">
        <v>28</v>
      </c>
      <c r="L4323" s="16" t="s">
        <v>27</v>
      </c>
      <c r="M4323" s="16">
        <f t="shared" si="405"/>
        <v>0.16769545709596645</v>
      </c>
      <c r="N4323">
        <f t="shared" si="406"/>
        <v>0</v>
      </c>
      <c r="O4323">
        <f t="shared" si="407"/>
        <v>0</v>
      </c>
      <c r="P4323">
        <f t="shared" si="404"/>
        <v>4800</v>
      </c>
      <c r="Q4323">
        <f t="shared" si="408"/>
        <v>4800</v>
      </c>
      <c r="T4323" s="16">
        <f t="shared" si="409"/>
        <v>0.16769545709596606</v>
      </c>
    </row>
    <row r="4324" spans="7:20" ht="14.4" x14ac:dyDescent="0.25">
      <c r="G4324" s="10">
        <v>2110</v>
      </c>
      <c r="H4324" s="9">
        <v>15079</v>
      </c>
      <c r="I4324" s="14">
        <f>DATE(2012,12,31)-1081</f>
        <v>40193</v>
      </c>
      <c r="J4324" s="15" t="s">
        <v>16</v>
      </c>
      <c r="K4324" s="9">
        <v>45</v>
      </c>
      <c r="L4324" s="16" t="s">
        <v>27</v>
      </c>
      <c r="M4324" s="16">
        <f t="shared" si="405"/>
        <v>1.3417116596227308</v>
      </c>
      <c r="N4324">
        <f t="shared" si="406"/>
        <v>0</v>
      </c>
      <c r="O4324">
        <f t="shared" si="407"/>
        <v>0</v>
      </c>
      <c r="P4324">
        <f t="shared" si="404"/>
        <v>5650</v>
      </c>
      <c r="Q4324">
        <f t="shared" si="408"/>
        <v>5650</v>
      </c>
      <c r="T4324" s="16">
        <f t="shared" si="409"/>
        <v>1.3417116596227305</v>
      </c>
    </row>
    <row r="4325" spans="7:20" ht="14.4" x14ac:dyDescent="0.25">
      <c r="G4325" s="10">
        <v>2111</v>
      </c>
      <c r="H4325" s="9">
        <v>15079</v>
      </c>
      <c r="I4325" s="14">
        <f>DATE(2012,12,31)-1081</f>
        <v>40193</v>
      </c>
      <c r="J4325" s="15" t="s">
        <v>16</v>
      </c>
      <c r="K4325" s="9">
        <v>23</v>
      </c>
      <c r="L4325" s="16" t="s">
        <v>26</v>
      </c>
      <c r="M4325" s="16">
        <f t="shared" si="405"/>
        <v>-0.17760342600014073</v>
      </c>
      <c r="N4325">
        <f t="shared" si="406"/>
        <v>0</v>
      </c>
      <c r="O4325">
        <f t="shared" si="407"/>
        <v>0</v>
      </c>
      <c r="P4325">
        <f t="shared" si="404"/>
        <v>4550</v>
      </c>
      <c r="Q4325">
        <f t="shared" si="408"/>
        <v>4550</v>
      </c>
      <c r="T4325" s="16">
        <f t="shared" si="409"/>
        <v>-0.17760342600014112</v>
      </c>
    </row>
    <row r="4326" spans="7:20" ht="14.4" x14ac:dyDescent="0.25">
      <c r="G4326" s="10">
        <v>2134</v>
      </c>
      <c r="H4326" s="9">
        <v>15236</v>
      </c>
      <c r="I4326" s="14">
        <f>DATE(2012,12,31)-266</f>
        <v>41008</v>
      </c>
      <c r="J4326" s="15" t="s">
        <v>28</v>
      </c>
      <c r="K4326" s="9">
        <v>33</v>
      </c>
      <c r="L4326" s="16" t="s">
        <v>26</v>
      </c>
      <c r="M4326" s="16">
        <f t="shared" si="405"/>
        <v>0.51299434019207357</v>
      </c>
      <c r="N4326">
        <f t="shared" si="406"/>
        <v>0</v>
      </c>
      <c r="O4326">
        <f t="shared" si="407"/>
        <v>0</v>
      </c>
      <c r="P4326">
        <f t="shared" si="404"/>
        <v>5050</v>
      </c>
      <c r="Q4326">
        <f t="shared" si="408"/>
        <v>5050</v>
      </c>
      <c r="T4326" s="16">
        <f t="shared" si="409"/>
        <v>0.51299434019207324</v>
      </c>
    </row>
    <row r="4327" spans="7:20" ht="14.4" x14ac:dyDescent="0.25">
      <c r="G4327" s="10">
        <v>2135</v>
      </c>
      <c r="H4327" s="9">
        <v>15236</v>
      </c>
      <c r="I4327" s="14">
        <f>DATE(2012,12,31)-266</f>
        <v>41008</v>
      </c>
      <c r="J4327" s="15" t="s">
        <v>28</v>
      </c>
      <c r="K4327" s="9">
        <v>30</v>
      </c>
      <c r="L4327" s="16" t="s">
        <v>29</v>
      </c>
      <c r="M4327" s="16">
        <f t="shared" si="405"/>
        <v>0.30581501033440933</v>
      </c>
      <c r="N4327">
        <f t="shared" si="406"/>
        <v>0</v>
      </c>
      <c r="O4327">
        <f t="shared" si="407"/>
        <v>0</v>
      </c>
      <c r="P4327">
        <f t="shared" si="404"/>
        <v>4900</v>
      </c>
      <c r="Q4327">
        <f t="shared" si="408"/>
        <v>4900</v>
      </c>
      <c r="T4327" s="16">
        <f t="shared" si="409"/>
        <v>0.30581501033440894</v>
      </c>
    </row>
    <row r="4328" spans="7:20" ht="14.4" x14ac:dyDescent="0.25">
      <c r="G4328" s="10">
        <v>2148</v>
      </c>
      <c r="H4328" s="9">
        <v>15397</v>
      </c>
      <c r="I4328" s="14">
        <f>DATE(2012,12,31)-1059</f>
        <v>40215</v>
      </c>
      <c r="J4328" s="15" t="s">
        <v>30</v>
      </c>
      <c r="K4328" s="9">
        <v>42</v>
      </c>
      <c r="L4328" s="16" t="s">
        <v>27</v>
      </c>
      <c r="M4328" s="16">
        <f t="shared" si="405"/>
        <v>1.1345323297650665</v>
      </c>
      <c r="N4328">
        <f t="shared" si="406"/>
        <v>0</v>
      </c>
      <c r="O4328">
        <f t="shared" si="407"/>
        <v>0</v>
      </c>
      <c r="P4328">
        <f t="shared" si="404"/>
        <v>5500</v>
      </c>
      <c r="Q4328">
        <f t="shared" si="408"/>
        <v>5500</v>
      </c>
      <c r="T4328" s="16">
        <f t="shared" si="409"/>
        <v>1.1345323297650662</v>
      </c>
    </row>
    <row r="4329" spans="7:20" ht="14.4" x14ac:dyDescent="0.25">
      <c r="G4329" s="10">
        <v>2149</v>
      </c>
      <c r="H4329" s="9">
        <v>15397</v>
      </c>
      <c r="I4329" s="14">
        <f>DATE(2012,12,31)-1059</f>
        <v>40215</v>
      </c>
      <c r="J4329" s="15" t="s">
        <v>30</v>
      </c>
      <c r="K4329" s="9">
        <v>29</v>
      </c>
      <c r="L4329" s="16" t="s">
        <v>27</v>
      </c>
      <c r="M4329" s="16">
        <f t="shared" si="405"/>
        <v>0.23675523371518786</v>
      </c>
      <c r="N4329">
        <f t="shared" si="406"/>
        <v>0</v>
      </c>
      <c r="O4329">
        <f t="shared" si="407"/>
        <v>0</v>
      </c>
      <c r="P4329">
        <f t="shared" si="404"/>
        <v>4850</v>
      </c>
      <c r="Q4329">
        <f t="shared" si="408"/>
        <v>4850</v>
      </c>
      <c r="T4329" s="16">
        <f t="shared" si="409"/>
        <v>0.2367552337151875</v>
      </c>
    </row>
    <row r="4330" spans="7:20" ht="14.4" x14ac:dyDescent="0.25">
      <c r="G4330" s="10">
        <v>2150</v>
      </c>
      <c r="H4330" s="9">
        <v>15397</v>
      </c>
      <c r="I4330" s="14">
        <f>DATE(2012,12,31)-1059</f>
        <v>40215</v>
      </c>
      <c r="J4330" s="15" t="s">
        <v>30</v>
      </c>
      <c r="K4330" s="9">
        <v>43</v>
      </c>
      <c r="L4330" s="16" t="s">
        <v>26</v>
      </c>
      <c r="M4330" s="16">
        <f t="shared" si="405"/>
        <v>1.203592106384288</v>
      </c>
      <c r="N4330">
        <f t="shared" si="406"/>
        <v>0</v>
      </c>
      <c r="O4330">
        <f t="shared" si="407"/>
        <v>0</v>
      </c>
      <c r="P4330">
        <f t="shared" si="404"/>
        <v>5550</v>
      </c>
      <c r="Q4330">
        <f t="shared" si="408"/>
        <v>5550</v>
      </c>
      <c r="T4330" s="16">
        <f t="shared" si="409"/>
        <v>1.2035921063842876</v>
      </c>
    </row>
    <row r="4331" spans="7:20" ht="14.4" x14ac:dyDescent="0.25">
      <c r="G4331" s="10">
        <v>2185</v>
      </c>
      <c r="H4331" s="9">
        <v>15719</v>
      </c>
      <c r="I4331" s="14">
        <f>DATE(2012,12,31)-713</f>
        <v>40561</v>
      </c>
      <c r="J4331" s="15" t="s">
        <v>30</v>
      </c>
      <c r="K4331" s="9">
        <v>18</v>
      </c>
      <c r="L4331" s="16" t="s">
        <v>29</v>
      </c>
      <c r="M4331" s="16">
        <f t="shared" si="405"/>
        <v>-0.52290230909624791</v>
      </c>
      <c r="N4331">
        <f t="shared" si="406"/>
        <v>0</v>
      </c>
      <c r="O4331">
        <f t="shared" si="407"/>
        <v>0</v>
      </c>
      <c r="P4331">
        <f t="shared" si="404"/>
        <v>4300</v>
      </c>
      <c r="Q4331">
        <f t="shared" si="408"/>
        <v>4300</v>
      </c>
      <c r="T4331" s="16">
        <f t="shared" si="409"/>
        <v>-0.52290230909624835</v>
      </c>
    </row>
    <row r="4332" spans="7:20" ht="14.4" x14ac:dyDescent="0.25">
      <c r="G4332" s="10">
        <v>2226</v>
      </c>
      <c r="H4332" s="9">
        <v>16098</v>
      </c>
      <c r="I4332" s="14">
        <f>DATE(2012,12,31)-163</f>
        <v>41111</v>
      </c>
      <c r="J4332" s="15" t="s">
        <v>25</v>
      </c>
      <c r="K4332" s="9">
        <v>44</v>
      </c>
      <c r="L4332" s="16" t="s">
        <v>26</v>
      </c>
      <c r="M4332" s="16">
        <f t="shared" si="405"/>
        <v>1.2726518830035094</v>
      </c>
      <c r="N4332">
        <f t="shared" si="406"/>
        <v>0</v>
      </c>
      <c r="O4332">
        <f t="shared" si="407"/>
        <v>0</v>
      </c>
      <c r="P4332">
        <f t="shared" si="404"/>
        <v>5600</v>
      </c>
      <c r="Q4332">
        <f t="shared" si="408"/>
        <v>5600</v>
      </c>
      <c r="T4332" s="16">
        <f t="shared" si="409"/>
        <v>1.272651883003509</v>
      </c>
    </row>
    <row r="4333" spans="7:20" ht="14.4" x14ac:dyDescent="0.25">
      <c r="G4333" s="10">
        <v>2282</v>
      </c>
      <c r="H4333" s="9">
        <v>16450</v>
      </c>
      <c r="I4333" s="14">
        <f>DATE(2012,12,31)-596</f>
        <v>40678</v>
      </c>
      <c r="J4333" s="15" t="s">
        <v>16</v>
      </c>
      <c r="K4333" s="9">
        <v>12</v>
      </c>
      <c r="L4333" s="16" t="s">
        <v>26</v>
      </c>
      <c r="M4333" s="16">
        <f t="shared" si="405"/>
        <v>-0.9372609688115765</v>
      </c>
      <c r="N4333">
        <f t="shared" si="406"/>
        <v>0</v>
      </c>
      <c r="O4333">
        <f t="shared" si="407"/>
        <v>0</v>
      </c>
      <c r="P4333">
        <f t="shared" si="404"/>
        <v>4000</v>
      </c>
      <c r="Q4333">
        <f t="shared" si="408"/>
        <v>4000</v>
      </c>
      <c r="T4333" s="16">
        <f t="shared" si="409"/>
        <v>-0.93726096881157694</v>
      </c>
    </row>
    <row r="4334" spans="7:20" ht="14.4" x14ac:dyDescent="0.25">
      <c r="G4334" s="10">
        <v>2371</v>
      </c>
      <c r="H4334" s="9">
        <v>17186</v>
      </c>
      <c r="I4334" s="14">
        <f>DATE(2012,12,31)-1435</f>
        <v>39839</v>
      </c>
      <c r="J4334" s="15" t="s">
        <v>16</v>
      </c>
      <c r="K4334" s="9">
        <v>49</v>
      </c>
      <c r="L4334" s="16" t="s">
        <v>29</v>
      </c>
      <c r="M4334" s="16">
        <f t="shared" si="405"/>
        <v>1.6179507660996166</v>
      </c>
      <c r="N4334">
        <f t="shared" si="406"/>
        <v>0</v>
      </c>
      <c r="O4334">
        <f t="shared" si="407"/>
        <v>0</v>
      </c>
      <c r="P4334">
        <f t="shared" si="404"/>
        <v>5850</v>
      </c>
      <c r="Q4334">
        <f t="shared" si="408"/>
        <v>5850</v>
      </c>
      <c r="T4334" s="16">
        <f t="shared" si="409"/>
        <v>1.6179507660996162</v>
      </c>
    </row>
    <row r="4335" spans="7:20" ht="14.4" x14ac:dyDescent="0.25">
      <c r="G4335" s="10">
        <v>2372</v>
      </c>
      <c r="H4335" s="9">
        <v>17186</v>
      </c>
      <c r="I4335" s="14">
        <f>DATE(2012,12,31)-1435</f>
        <v>39839</v>
      </c>
      <c r="J4335" s="15" t="s">
        <v>16</v>
      </c>
      <c r="K4335" s="9">
        <v>11</v>
      </c>
      <c r="L4335" s="16" t="s">
        <v>26</v>
      </c>
      <c r="M4335" s="16">
        <f t="shared" si="405"/>
        <v>-1.0063207454307979</v>
      </c>
      <c r="N4335">
        <f t="shared" si="406"/>
        <v>0</v>
      </c>
      <c r="O4335">
        <f t="shared" si="407"/>
        <v>0</v>
      </c>
      <c r="P4335">
        <f t="shared" si="404"/>
        <v>3950</v>
      </c>
      <c r="Q4335">
        <f t="shared" si="408"/>
        <v>3950</v>
      </c>
      <c r="T4335" s="16">
        <f t="shared" si="409"/>
        <v>-1.0063207454307983</v>
      </c>
    </row>
    <row r="4336" spans="7:20" ht="14.4" x14ac:dyDescent="0.25">
      <c r="G4336" s="10">
        <v>2397</v>
      </c>
      <c r="H4336" s="9">
        <v>17379</v>
      </c>
      <c r="I4336" s="14">
        <f>DATE(2012,12,31)-505</f>
        <v>40769</v>
      </c>
      <c r="J4336" s="15" t="s">
        <v>30</v>
      </c>
      <c r="K4336" s="9">
        <v>29</v>
      </c>
      <c r="L4336" s="16" t="s">
        <v>29</v>
      </c>
      <c r="M4336" s="16">
        <f t="shared" si="405"/>
        <v>0.23675523371518786</v>
      </c>
      <c r="N4336">
        <f t="shared" si="406"/>
        <v>0</v>
      </c>
      <c r="O4336">
        <f t="shared" si="407"/>
        <v>0</v>
      </c>
      <c r="P4336">
        <f t="shared" si="404"/>
        <v>4850</v>
      </c>
      <c r="Q4336">
        <f t="shared" si="408"/>
        <v>4850</v>
      </c>
      <c r="T4336" s="16">
        <f t="shared" si="409"/>
        <v>0.2367552337151875</v>
      </c>
    </row>
    <row r="4337" spans="7:20" ht="14.4" x14ac:dyDescent="0.25">
      <c r="G4337" s="10">
        <v>2424</v>
      </c>
      <c r="H4337" s="9">
        <v>17573</v>
      </c>
      <c r="I4337" s="14">
        <f>DATE(2012,12,31)-484</f>
        <v>40790</v>
      </c>
      <c r="J4337" s="15" t="s">
        <v>25</v>
      </c>
      <c r="K4337" s="9">
        <v>23</v>
      </c>
      <c r="L4337" s="16" t="s">
        <v>29</v>
      </c>
      <c r="M4337" s="16">
        <f t="shared" si="405"/>
        <v>-0.17760342600014073</v>
      </c>
      <c r="N4337">
        <f t="shared" si="406"/>
        <v>0</v>
      </c>
      <c r="O4337">
        <f t="shared" si="407"/>
        <v>0</v>
      </c>
      <c r="P4337">
        <f t="shared" si="404"/>
        <v>4550</v>
      </c>
      <c r="Q4337">
        <f t="shared" si="408"/>
        <v>4550</v>
      </c>
      <c r="T4337" s="16">
        <f t="shared" si="409"/>
        <v>-0.17760342600014112</v>
      </c>
    </row>
    <row r="4338" spans="7:20" ht="14.4" x14ac:dyDescent="0.25">
      <c r="G4338" s="10">
        <v>2441</v>
      </c>
      <c r="H4338" s="9">
        <v>17702</v>
      </c>
      <c r="I4338" s="14">
        <f>DATE(2012,12,31)-262</f>
        <v>41012</v>
      </c>
      <c r="J4338" s="15" t="s">
        <v>17</v>
      </c>
      <c r="K4338" s="9">
        <v>48</v>
      </c>
      <c r="L4338" s="16" t="s">
        <v>26</v>
      </c>
      <c r="M4338" s="16">
        <f t="shared" si="405"/>
        <v>1.5488909894803951</v>
      </c>
      <c r="N4338">
        <f t="shared" si="406"/>
        <v>0</v>
      </c>
      <c r="O4338">
        <f t="shared" si="407"/>
        <v>0</v>
      </c>
      <c r="P4338">
        <f t="shared" si="404"/>
        <v>5800</v>
      </c>
      <c r="Q4338">
        <f t="shared" si="408"/>
        <v>5800</v>
      </c>
      <c r="T4338" s="16">
        <f t="shared" si="409"/>
        <v>1.5488909894803948</v>
      </c>
    </row>
    <row r="4339" spans="7:20" ht="14.4" x14ac:dyDescent="0.25">
      <c r="G4339" s="10">
        <v>2576</v>
      </c>
      <c r="H4339" s="9">
        <v>18595</v>
      </c>
      <c r="I4339" s="14">
        <f>DATE(2012,12,31)-1430</f>
        <v>39844</v>
      </c>
      <c r="J4339" s="15" t="s">
        <v>30</v>
      </c>
      <c r="K4339" s="9">
        <v>6</v>
      </c>
      <c r="L4339" s="16" t="s">
        <v>26</v>
      </c>
      <c r="M4339" s="16">
        <f t="shared" si="405"/>
        <v>-1.3516196285269051</v>
      </c>
      <c r="N4339">
        <f t="shared" si="406"/>
        <v>0</v>
      </c>
      <c r="O4339">
        <f t="shared" si="407"/>
        <v>0</v>
      </c>
      <c r="P4339">
        <f t="shared" si="404"/>
        <v>3700</v>
      </c>
      <c r="Q4339">
        <f t="shared" si="408"/>
        <v>3700</v>
      </c>
      <c r="T4339" s="16">
        <f t="shared" si="409"/>
        <v>-1.3516196285269055</v>
      </c>
    </row>
    <row r="4340" spans="7:20" ht="14.4" x14ac:dyDescent="0.25">
      <c r="G4340" s="10">
        <v>2577</v>
      </c>
      <c r="H4340" s="9">
        <v>18595</v>
      </c>
      <c r="I4340" s="14">
        <f>DATE(2012,12,31)-1430</f>
        <v>39844</v>
      </c>
      <c r="J4340" s="15" t="s">
        <v>30</v>
      </c>
      <c r="K4340" s="9">
        <v>16</v>
      </c>
      <c r="L4340" s="16" t="s">
        <v>26</v>
      </c>
      <c r="M4340" s="16">
        <f t="shared" si="405"/>
        <v>-0.66102186233469074</v>
      </c>
      <c r="N4340">
        <f t="shared" si="406"/>
        <v>0</v>
      </c>
      <c r="O4340">
        <f t="shared" si="407"/>
        <v>0</v>
      </c>
      <c r="P4340">
        <f t="shared" si="404"/>
        <v>4200</v>
      </c>
      <c r="Q4340">
        <f t="shared" si="408"/>
        <v>4200</v>
      </c>
      <c r="T4340" s="16">
        <f t="shared" si="409"/>
        <v>-0.66102186233469118</v>
      </c>
    </row>
    <row r="4341" spans="7:20" ht="14.4" x14ac:dyDescent="0.25">
      <c r="G4341" s="10">
        <v>2655</v>
      </c>
      <c r="H4341" s="9">
        <v>19205</v>
      </c>
      <c r="I4341" s="14">
        <f>DATE(2012,12,31)-889</f>
        <v>40385</v>
      </c>
      <c r="J4341" s="15" t="s">
        <v>16</v>
      </c>
      <c r="K4341" s="9">
        <v>47</v>
      </c>
      <c r="L4341" s="16" t="s">
        <v>26</v>
      </c>
      <c r="M4341" s="16">
        <f t="shared" si="405"/>
        <v>1.4798312128611737</v>
      </c>
      <c r="N4341">
        <f t="shared" si="406"/>
        <v>0</v>
      </c>
      <c r="O4341">
        <f t="shared" si="407"/>
        <v>0</v>
      </c>
      <c r="P4341">
        <f t="shared" si="404"/>
        <v>5750</v>
      </c>
      <c r="Q4341">
        <f t="shared" si="408"/>
        <v>5750</v>
      </c>
      <c r="T4341" s="16">
        <f t="shared" si="409"/>
        <v>1.4798312128611733</v>
      </c>
    </row>
    <row r="4342" spans="7:20" ht="14.4" x14ac:dyDescent="0.25">
      <c r="G4342" s="10">
        <v>2656</v>
      </c>
      <c r="H4342" s="9">
        <v>19205</v>
      </c>
      <c r="I4342" s="14">
        <f>DATE(2012,12,31)-889</f>
        <v>40385</v>
      </c>
      <c r="J4342" s="15" t="s">
        <v>16</v>
      </c>
      <c r="K4342" s="9">
        <v>31</v>
      </c>
      <c r="L4342" s="16" t="s">
        <v>26</v>
      </c>
      <c r="M4342" s="16">
        <f t="shared" si="405"/>
        <v>0.37487478695363075</v>
      </c>
      <c r="N4342">
        <f t="shared" si="406"/>
        <v>0</v>
      </c>
      <c r="O4342">
        <f t="shared" si="407"/>
        <v>0</v>
      </c>
      <c r="P4342">
        <f t="shared" si="404"/>
        <v>4950</v>
      </c>
      <c r="Q4342">
        <f t="shared" si="408"/>
        <v>4950</v>
      </c>
      <c r="T4342" s="16">
        <f t="shared" si="409"/>
        <v>0.37487478695363036</v>
      </c>
    </row>
    <row r="4343" spans="7:20" ht="14.4" x14ac:dyDescent="0.25">
      <c r="G4343" s="10">
        <v>2694</v>
      </c>
      <c r="H4343" s="9">
        <v>19494</v>
      </c>
      <c r="I4343" s="14">
        <f>DATE(2012,12,31)-1084</f>
        <v>40190</v>
      </c>
      <c r="J4343" s="15" t="s">
        <v>17</v>
      </c>
      <c r="K4343" s="9">
        <v>39</v>
      </c>
      <c r="L4343" s="16" t="s">
        <v>29</v>
      </c>
      <c r="M4343" s="16">
        <f t="shared" si="405"/>
        <v>0.92735299990740228</v>
      </c>
      <c r="N4343">
        <f t="shared" si="406"/>
        <v>0</v>
      </c>
      <c r="O4343">
        <f t="shared" si="407"/>
        <v>0</v>
      </c>
      <c r="P4343">
        <f t="shared" si="404"/>
        <v>5350</v>
      </c>
      <c r="Q4343">
        <f t="shared" si="408"/>
        <v>5350</v>
      </c>
      <c r="T4343" s="16">
        <f t="shared" si="409"/>
        <v>0.92735299990740183</v>
      </c>
    </row>
    <row r="4344" spans="7:20" ht="14.4" x14ac:dyDescent="0.25">
      <c r="G4344" s="10">
        <v>2695</v>
      </c>
      <c r="H4344" s="9">
        <v>19494</v>
      </c>
      <c r="I4344" s="14">
        <f>DATE(2012,12,31)-1084</f>
        <v>40190</v>
      </c>
      <c r="J4344" s="15" t="s">
        <v>17</v>
      </c>
      <c r="K4344" s="9">
        <v>2</v>
      </c>
      <c r="L4344" s="16" t="s">
        <v>26</v>
      </c>
      <c r="M4344" s="16">
        <f t="shared" si="405"/>
        <v>-1.627858735003791</v>
      </c>
      <c r="N4344">
        <f t="shared" si="406"/>
        <v>0</v>
      </c>
      <c r="O4344">
        <f t="shared" si="407"/>
        <v>0</v>
      </c>
      <c r="P4344">
        <f t="shared" si="404"/>
        <v>3500</v>
      </c>
      <c r="Q4344">
        <f t="shared" si="408"/>
        <v>3500</v>
      </c>
      <c r="T4344" s="16">
        <f t="shared" si="409"/>
        <v>-1.6278587350037912</v>
      </c>
    </row>
    <row r="4345" spans="7:20" ht="14.4" x14ac:dyDescent="0.25">
      <c r="G4345" s="10">
        <v>2699</v>
      </c>
      <c r="H4345" s="9">
        <v>19523</v>
      </c>
      <c r="I4345" s="14">
        <f>DATE(2012,12,31)-397</f>
        <v>40877</v>
      </c>
      <c r="J4345" s="15" t="s">
        <v>17</v>
      </c>
      <c r="K4345" s="9">
        <v>44</v>
      </c>
      <c r="L4345" s="16" t="s">
        <v>26</v>
      </c>
      <c r="M4345" s="16">
        <f t="shared" si="405"/>
        <v>1.2726518830035094</v>
      </c>
      <c r="N4345">
        <f t="shared" si="406"/>
        <v>0</v>
      </c>
      <c r="O4345">
        <f t="shared" si="407"/>
        <v>0</v>
      </c>
      <c r="P4345">
        <f t="shared" si="404"/>
        <v>5600</v>
      </c>
      <c r="Q4345">
        <f t="shared" si="408"/>
        <v>5600</v>
      </c>
      <c r="T4345" s="16">
        <f t="shared" si="409"/>
        <v>1.272651883003509</v>
      </c>
    </row>
    <row r="4346" spans="7:20" ht="14.4" x14ac:dyDescent="0.25">
      <c r="G4346" s="10">
        <v>2842</v>
      </c>
      <c r="H4346" s="9">
        <v>20482</v>
      </c>
      <c r="I4346" s="14">
        <f>DATE(2012,12,31)-532</f>
        <v>40742</v>
      </c>
      <c r="J4346" s="15" t="s">
        <v>16</v>
      </c>
      <c r="K4346" s="9">
        <v>38</v>
      </c>
      <c r="L4346" s="16" t="s">
        <v>29</v>
      </c>
      <c r="M4346" s="16">
        <f t="shared" si="405"/>
        <v>0.85829322328818081</v>
      </c>
      <c r="N4346">
        <f t="shared" si="406"/>
        <v>0</v>
      </c>
      <c r="O4346">
        <f t="shared" si="407"/>
        <v>0</v>
      </c>
      <c r="P4346">
        <f t="shared" si="404"/>
        <v>5300</v>
      </c>
      <c r="Q4346">
        <f t="shared" si="408"/>
        <v>5300</v>
      </c>
      <c r="T4346" s="16">
        <f t="shared" si="409"/>
        <v>0.85829322328818036</v>
      </c>
    </row>
    <row r="4347" spans="7:20" ht="14.4" x14ac:dyDescent="0.25">
      <c r="G4347" s="10">
        <v>2843</v>
      </c>
      <c r="H4347" s="9">
        <v>20482</v>
      </c>
      <c r="I4347" s="14">
        <f>DATE(2012,12,31)-532</f>
        <v>40742</v>
      </c>
      <c r="J4347" s="15" t="s">
        <v>16</v>
      </c>
      <c r="K4347" s="9">
        <v>39</v>
      </c>
      <c r="L4347" s="16" t="s">
        <v>26</v>
      </c>
      <c r="M4347" s="16">
        <f t="shared" si="405"/>
        <v>0.92735299990740228</v>
      </c>
      <c r="N4347">
        <f t="shared" si="406"/>
        <v>0</v>
      </c>
      <c r="O4347">
        <f t="shared" si="407"/>
        <v>0</v>
      </c>
      <c r="P4347">
        <f t="shared" si="404"/>
        <v>5350</v>
      </c>
      <c r="Q4347">
        <f t="shared" si="408"/>
        <v>5350</v>
      </c>
      <c r="T4347" s="16">
        <f t="shared" si="409"/>
        <v>0.92735299990740183</v>
      </c>
    </row>
    <row r="4348" spans="7:20" ht="14.4" x14ac:dyDescent="0.25">
      <c r="G4348" s="10">
        <v>2963</v>
      </c>
      <c r="H4348" s="9">
        <v>21414</v>
      </c>
      <c r="I4348" s="14">
        <f>DATE(2012,12,31)-607</f>
        <v>40667</v>
      </c>
      <c r="J4348" s="15" t="s">
        <v>30</v>
      </c>
      <c r="K4348" s="9">
        <v>43</v>
      </c>
      <c r="L4348" s="16" t="s">
        <v>26</v>
      </c>
      <c r="M4348" s="16">
        <f t="shared" si="405"/>
        <v>1.203592106384288</v>
      </c>
      <c r="N4348">
        <f t="shared" si="406"/>
        <v>0</v>
      </c>
      <c r="O4348">
        <f t="shared" si="407"/>
        <v>0</v>
      </c>
      <c r="P4348">
        <f t="shared" si="404"/>
        <v>5550</v>
      </c>
      <c r="Q4348">
        <f t="shared" si="408"/>
        <v>5550</v>
      </c>
      <c r="T4348" s="16">
        <f t="shared" si="409"/>
        <v>1.2035921063842876</v>
      </c>
    </row>
    <row r="4349" spans="7:20" ht="14.4" x14ac:dyDescent="0.25">
      <c r="G4349" s="10">
        <v>2967</v>
      </c>
      <c r="H4349" s="9">
        <v>21445</v>
      </c>
      <c r="I4349" s="14">
        <f>DATE(2012,12,31)-1140</f>
        <v>40134</v>
      </c>
      <c r="J4349" s="15" t="s">
        <v>25</v>
      </c>
      <c r="K4349" s="9">
        <v>14</v>
      </c>
      <c r="L4349" s="16" t="s">
        <v>26</v>
      </c>
      <c r="M4349" s="16">
        <f t="shared" si="405"/>
        <v>-0.79914141557313367</v>
      </c>
      <c r="N4349">
        <f t="shared" si="406"/>
        <v>0</v>
      </c>
      <c r="O4349">
        <f t="shared" si="407"/>
        <v>0</v>
      </c>
      <c r="P4349">
        <f t="shared" si="404"/>
        <v>4100</v>
      </c>
      <c r="Q4349">
        <f t="shared" si="408"/>
        <v>4100</v>
      </c>
      <c r="T4349" s="16">
        <f t="shared" si="409"/>
        <v>-0.79914141557313401</v>
      </c>
    </row>
    <row r="4350" spans="7:20" ht="14.4" x14ac:dyDescent="0.25">
      <c r="G4350" s="10">
        <v>2968</v>
      </c>
      <c r="H4350" s="9">
        <v>21445</v>
      </c>
      <c r="I4350" s="14">
        <f>DATE(2012,12,31)-1140</f>
        <v>40134</v>
      </c>
      <c r="J4350" s="15" t="s">
        <v>25</v>
      </c>
      <c r="K4350" s="9">
        <v>43</v>
      </c>
      <c r="L4350" s="16" t="s">
        <v>27</v>
      </c>
      <c r="M4350" s="16">
        <f t="shared" si="405"/>
        <v>1.203592106384288</v>
      </c>
      <c r="N4350">
        <f t="shared" si="406"/>
        <v>0</v>
      </c>
      <c r="O4350">
        <f t="shared" si="407"/>
        <v>0</v>
      </c>
      <c r="P4350">
        <f t="shared" si="404"/>
        <v>5550</v>
      </c>
      <c r="Q4350">
        <f t="shared" si="408"/>
        <v>5550</v>
      </c>
      <c r="T4350" s="16">
        <f t="shared" si="409"/>
        <v>1.2035921063842876</v>
      </c>
    </row>
    <row r="4351" spans="7:20" ht="14.4" x14ac:dyDescent="0.25">
      <c r="G4351" s="10">
        <v>2987</v>
      </c>
      <c r="H4351" s="9">
        <v>21573</v>
      </c>
      <c r="I4351" s="14">
        <f>DATE(2012,12,31)-250</f>
        <v>41024</v>
      </c>
      <c r="J4351" s="15" t="s">
        <v>30</v>
      </c>
      <c r="K4351" s="9">
        <v>31</v>
      </c>
      <c r="L4351" s="16" t="s">
        <v>26</v>
      </c>
      <c r="M4351" s="16">
        <f t="shared" si="405"/>
        <v>0.37487478695363075</v>
      </c>
      <c r="N4351">
        <f t="shared" si="406"/>
        <v>0</v>
      </c>
      <c r="O4351">
        <f t="shared" si="407"/>
        <v>0</v>
      </c>
      <c r="P4351">
        <f t="shared" si="404"/>
        <v>4950</v>
      </c>
      <c r="Q4351">
        <f t="shared" si="408"/>
        <v>4950</v>
      </c>
      <c r="T4351" s="16">
        <f t="shared" si="409"/>
        <v>0.37487478695363036</v>
      </c>
    </row>
    <row r="4352" spans="7:20" ht="14.4" x14ac:dyDescent="0.25">
      <c r="G4352" s="10">
        <v>2988</v>
      </c>
      <c r="H4352" s="9">
        <v>21573</v>
      </c>
      <c r="I4352" s="14">
        <f>DATE(2012,12,31)-250</f>
        <v>41024</v>
      </c>
      <c r="J4352" s="15" t="s">
        <v>30</v>
      </c>
      <c r="K4352" s="9">
        <v>7</v>
      </c>
      <c r="L4352" s="16" t="s">
        <v>29</v>
      </c>
      <c r="M4352" s="16">
        <f t="shared" si="405"/>
        <v>-1.2825598519076837</v>
      </c>
      <c r="N4352">
        <f t="shared" si="406"/>
        <v>0</v>
      </c>
      <c r="O4352">
        <f t="shared" si="407"/>
        <v>0</v>
      </c>
      <c r="P4352">
        <f t="shared" si="404"/>
        <v>3750</v>
      </c>
      <c r="Q4352">
        <f t="shared" si="408"/>
        <v>3750</v>
      </c>
      <c r="T4352" s="16">
        <f t="shared" si="409"/>
        <v>-1.2825598519076842</v>
      </c>
    </row>
    <row r="4353" spans="7:20" ht="14.4" x14ac:dyDescent="0.25">
      <c r="G4353" s="10">
        <v>2989</v>
      </c>
      <c r="H4353" s="9">
        <v>21573</v>
      </c>
      <c r="I4353" s="14">
        <f>DATE(2012,12,31)-250</f>
        <v>41024</v>
      </c>
      <c r="J4353" s="15" t="s">
        <v>30</v>
      </c>
      <c r="K4353" s="9">
        <v>3</v>
      </c>
      <c r="L4353" s="16" t="s">
        <v>29</v>
      </c>
      <c r="M4353" s="16">
        <f t="shared" si="405"/>
        <v>-1.5587989583845694</v>
      </c>
      <c r="N4353">
        <f t="shared" si="406"/>
        <v>0</v>
      </c>
      <c r="O4353">
        <f t="shared" si="407"/>
        <v>0</v>
      </c>
      <c r="P4353">
        <f t="shared" si="404"/>
        <v>3550</v>
      </c>
      <c r="Q4353">
        <f t="shared" si="408"/>
        <v>3550</v>
      </c>
      <c r="T4353" s="16">
        <f t="shared" si="409"/>
        <v>-1.5587989583845698</v>
      </c>
    </row>
    <row r="4354" spans="7:20" ht="14.4" x14ac:dyDescent="0.25">
      <c r="G4354" s="10">
        <v>3004</v>
      </c>
      <c r="H4354" s="9">
        <v>21636</v>
      </c>
      <c r="I4354" s="14">
        <f>DATE(2012,12,31)-1239</f>
        <v>40035</v>
      </c>
      <c r="J4354" s="15" t="s">
        <v>25</v>
      </c>
      <c r="K4354" s="9">
        <v>16</v>
      </c>
      <c r="L4354" s="16" t="s">
        <v>26</v>
      </c>
      <c r="M4354" s="16">
        <f t="shared" si="405"/>
        <v>-0.66102186233469074</v>
      </c>
      <c r="N4354">
        <f t="shared" si="406"/>
        <v>0</v>
      </c>
      <c r="O4354">
        <f t="shared" si="407"/>
        <v>0</v>
      </c>
      <c r="P4354">
        <f t="shared" si="404"/>
        <v>4200</v>
      </c>
      <c r="Q4354">
        <f t="shared" si="408"/>
        <v>4200</v>
      </c>
      <c r="T4354" s="16">
        <f t="shared" si="409"/>
        <v>-0.66102186233469118</v>
      </c>
    </row>
    <row r="4355" spans="7:20" ht="14.4" x14ac:dyDescent="0.25">
      <c r="G4355" s="10">
        <v>3005</v>
      </c>
      <c r="H4355" s="9">
        <v>21636</v>
      </c>
      <c r="I4355" s="14">
        <f>DATE(2012,12,31)-1239</f>
        <v>40035</v>
      </c>
      <c r="J4355" s="15" t="s">
        <v>25</v>
      </c>
      <c r="K4355" s="9">
        <v>6</v>
      </c>
      <c r="L4355" s="16" t="s">
        <v>26</v>
      </c>
      <c r="M4355" s="16">
        <f t="shared" si="405"/>
        <v>-1.3516196285269051</v>
      </c>
      <c r="N4355">
        <f t="shared" si="406"/>
        <v>0</v>
      </c>
      <c r="O4355">
        <f t="shared" si="407"/>
        <v>0</v>
      </c>
      <c r="P4355">
        <f t="shared" si="404"/>
        <v>3700</v>
      </c>
      <c r="Q4355">
        <f t="shared" si="408"/>
        <v>3700</v>
      </c>
      <c r="T4355" s="16">
        <f t="shared" si="409"/>
        <v>-1.3516196285269055</v>
      </c>
    </row>
    <row r="4356" spans="7:20" ht="14.4" x14ac:dyDescent="0.25">
      <c r="G4356" s="10">
        <v>3030</v>
      </c>
      <c r="H4356" s="9">
        <v>21795</v>
      </c>
      <c r="I4356" s="14">
        <f>DATE(2012,12,31)-932</f>
        <v>40342</v>
      </c>
      <c r="J4356" s="15" t="s">
        <v>28</v>
      </c>
      <c r="K4356" s="9">
        <v>10</v>
      </c>
      <c r="L4356" s="16" t="s">
        <v>27</v>
      </c>
      <c r="M4356" s="16">
        <f t="shared" si="405"/>
        <v>-1.0753805220500194</v>
      </c>
      <c r="N4356">
        <f t="shared" si="406"/>
        <v>0</v>
      </c>
      <c r="O4356">
        <f t="shared" si="407"/>
        <v>0</v>
      </c>
      <c r="P4356">
        <f t="shared" si="404"/>
        <v>3900</v>
      </c>
      <c r="Q4356">
        <f t="shared" si="408"/>
        <v>3900</v>
      </c>
      <c r="T4356" s="16">
        <f t="shared" si="409"/>
        <v>-1.0753805220500199</v>
      </c>
    </row>
    <row r="4357" spans="7:20" ht="14.4" x14ac:dyDescent="0.25">
      <c r="G4357" s="10">
        <v>3031</v>
      </c>
      <c r="H4357" s="9">
        <v>21795</v>
      </c>
      <c r="I4357" s="14">
        <f>DATE(2012,12,31)-932</f>
        <v>40342</v>
      </c>
      <c r="J4357" s="15" t="s">
        <v>28</v>
      </c>
      <c r="K4357" s="9">
        <v>28</v>
      </c>
      <c r="L4357" s="16" t="s">
        <v>26</v>
      </c>
      <c r="M4357" s="16">
        <f t="shared" si="405"/>
        <v>0.16769545709596645</v>
      </c>
      <c r="N4357">
        <f t="shared" si="406"/>
        <v>0</v>
      </c>
      <c r="O4357">
        <f t="shared" si="407"/>
        <v>0</v>
      </c>
      <c r="P4357">
        <f t="shared" si="404"/>
        <v>4800</v>
      </c>
      <c r="Q4357">
        <f t="shared" si="408"/>
        <v>4800</v>
      </c>
      <c r="T4357" s="16">
        <f t="shared" si="409"/>
        <v>0.16769545709596606</v>
      </c>
    </row>
    <row r="4358" spans="7:20" ht="14.4" x14ac:dyDescent="0.25">
      <c r="G4358" s="10">
        <v>3044</v>
      </c>
      <c r="H4358" s="9">
        <v>21859</v>
      </c>
      <c r="I4358" s="14">
        <f>DATE(2012,12,31)-409</f>
        <v>40865</v>
      </c>
      <c r="J4358" s="15" t="s">
        <v>17</v>
      </c>
      <c r="K4358" s="9">
        <v>42</v>
      </c>
      <c r="L4358" s="16" t="s">
        <v>29</v>
      </c>
      <c r="M4358" s="16">
        <f t="shared" si="405"/>
        <v>1.1345323297650665</v>
      </c>
      <c r="N4358">
        <f t="shared" si="406"/>
        <v>0</v>
      </c>
      <c r="O4358">
        <f t="shared" si="407"/>
        <v>0</v>
      </c>
      <c r="P4358">
        <f t="shared" si="404"/>
        <v>5500</v>
      </c>
      <c r="Q4358">
        <f t="shared" si="408"/>
        <v>5500</v>
      </c>
      <c r="T4358" s="16">
        <f t="shared" si="409"/>
        <v>1.1345323297650662</v>
      </c>
    </row>
    <row r="4359" spans="7:20" ht="14.4" x14ac:dyDescent="0.25">
      <c r="G4359" s="10">
        <v>3069</v>
      </c>
      <c r="H4359" s="9">
        <v>21989</v>
      </c>
      <c r="I4359" s="14">
        <f>DATE(2012,12,31)-690</f>
        <v>40584</v>
      </c>
      <c r="J4359" s="15" t="s">
        <v>25</v>
      </c>
      <c r="K4359" s="9">
        <v>9</v>
      </c>
      <c r="L4359" s="16" t="s">
        <v>29</v>
      </c>
      <c r="M4359" s="16">
        <f t="shared" si="405"/>
        <v>-1.1444402986692408</v>
      </c>
      <c r="N4359">
        <f t="shared" si="406"/>
        <v>0</v>
      </c>
      <c r="O4359">
        <f t="shared" si="407"/>
        <v>0</v>
      </c>
      <c r="P4359">
        <f t="shared" si="404"/>
        <v>3850</v>
      </c>
      <c r="Q4359">
        <f t="shared" si="408"/>
        <v>3850</v>
      </c>
      <c r="T4359" s="16">
        <f t="shared" si="409"/>
        <v>-1.1444402986692412</v>
      </c>
    </row>
    <row r="4360" spans="7:20" ht="14.4" x14ac:dyDescent="0.25">
      <c r="G4360" s="10">
        <v>3070</v>
      </c>
      <c r="H4360" s="9">
        <v>21989</v>
      </c>
      <c r="I4360" s="14">
        <f>DATE(2012,12,31)-690</f>
        <v>40584</v>
      </c>
      <c r="J4360" s="15" t="s">
        <v>25</v>
      </c>
      <c r="K4360" s="9">
        <v>35</v>
      </c>
      <c r="L4360" s="16" t="s">
        <v>27</v>
      </c>
      <c r="M4360" s="16">
        <f t="shared" si="405"/>
        <v>0.65111389343051651</v>
      </c>
      <c r="N4360">
        <f t="shared" si="406"/>
        <v>0</v>
      </c>
      <c r="O4360">
        <f t="shared" si="407"/>
        <v>0</v>
      </c>
      <c r="P4360">
        <f t="shared" si="404"/>
        <v>5150</v>
      </c>
      <c r="Q4360">
        <f t="shared" si="408"/>
        <v>5150</v>
      </c>
      <c r="T4360" s="16">
        <f t="shared" si="409"/>
        <v>0.65111389343051607</v>
      </c>
    </row>
    <row r="4361" spans="7:20" ht="14.4" x14ac:dyDescent="0.25">
      <c r="G4361" s="10">
        <v>3090</v>
      </c>
      <c r="H4361" s="9">
        <v>22151</v>
      </c>
      <c r="I4361" s="14">
        <f>DATE(2012,12,31)-884</f>
        <v>40390</v>
      </c>
      <c r="J4361" s="15" t="s">
        <v>17</v>
      </c>
      <c r="K4361" s="9">
        <v>20</v>
      </c>
      <c r="L4361" s="16" t="s">
        <v>26</v>
      </c>
      <c r="M4361" s="16">
        <f t="shared" si="405"/>
        <v>-0.38478275585780503</v>
      </c>
      <c r="N4361">
        <f t="shared" si="406"/>
        <v>0</v>
      </c>
      <c r="O4361">
        <f t="shared" si="407"/>
        <v>0</v>
      </c>
      <c r="P4361">
        <f t="shared" si="404"/>
        <v>4400</v>
      </c>
      <c r="Q4361">
        <f t="shared" si="408"/>
        <v>4400</v>
      </c>
      <c r="T4361" s="16">
        <f t="shared" si="409"/>
        <v>-0.38478275585780541</v>
      </c>
    </row>
    <row r="4362" spans="7:20" ht="14.4" x14ac:dyDescent="0.25">
      <c r="G4362" s="10">
        <v>3161</v>
      </c>
      <c r="H4362" s="9">
        <v>22688</v>
      </c>
      <c r="I4362" s="14">
        <f>DATE(2012,12,31)-258</f>
        <v>41016</v>
      </c>
      <c r="J4362" s="15" t="s">
        <v>16</v>
      </c>
      <c r="K4362" s="9">
        <v>40</v>
      </c>
      <c r="L4362" s="16" t="s">
        <v>27</v>
      </c>
      <c r="M4362" s="16">
        <f t="shared" si="405"/>
        <v>0.99641277652662363</v>
      </c>
      <c r="N4362">
        <f t="shared" si="406"/>
        <v>0</v>
      </c>
      <c r="O4362">
        <f t="shared" si="407"/>
        <v>0</v>
      </c>
      <c r="P4362">
        <f t="shared" si="404"/>
        <v>5400</v>
      </c>
      <c r="Q4362">
        <f t="shared" si="408"/>
        <v>5400</v>
      </c>
      <c r="T4362" s="16">
        <f t="shared" si="409"/>
        <v>0.9964127765266233</v>
      </c>
    </row>
    <row r="4363" spans="7:20" ht="14.4" x14ac:dyDescent="0.25">
      <c r="G4363" s="10">
        <v>3197</v>
      </c>
      <c r="H4363" s="9">
        <v>22916</v>
      </c>
      <c r="I4363" s="14">
        <f>DATE(2012,12,31)-333</f>
        <v>40941</v>
      </c>
      <c r="J4363" s="15" t="s">
        <v>16</v>
      </c>
      <c r="K4363" s="9">
        <v>18</v>
      </c>
      <c r="L4363" s="16" t="s">
        <v>26</v>
      </c>
      <c r="M4363" s="16">
        <f t="shared" si="405"/>
        <v>-0.52290230909624791</v>
      </c>
      <c r="N4363">
        <f t="shared" si="406"/>
        <v>0</v>
      </c>
      <c r="O4363">
        <f t="shared" si="407"/>
        <v>0</v>
      </c>
      <c r="P4363">
        <f t="shared" si="404"/>
        <v>4300</v>
      </c>
      <c r="Q4363">
        <f t="shared" si="408"/>
        <v>4300</v>
      </c>
      <c r="T4363" s="16">
        <f t="shared" si="409"/>
        <v>-0.52290230909624835</v>
      </c>
    </row>
    <row r="4364" spans="7:20" ht="14.4" x14ac:dyDescent="0.25">
      <c r="G4364" s="10">
        <v>3202</v>
      </c>
      <c r="H4364" s="9">
        <v>22951</v>
      </c>
      <c r="I4364" s="14">
        <f>DATE(2012,12,31)-242</f>
        <v>41032</v>
      </c>
      <c r="J4364" s="15" t="s">
        <v>16</v>
      </c>
      <c r="K4364" s="9">
        <v>24</v>
      </c>
      <c r="L4364" s="16" t="s">
        <v>27</v>
      </c>
      <c r="M4364" s="16">
        <f t="shared" si="405"/>
        <v>-0.1085436493809193</v>
      </c>
      <c r="N4364">
        <f t="shared" si="406"/>
        <v>0</v>
      </c>
      <c r="O4364">
        <f t="shared" si="407"/>
        <v>0</v>
      </c>
      <c r="P4364">
        <f t="shared" ref="P4364:P4427" si="410">50*K4364+$P$10</f>
        <v>4600</v>
      </c>
      <c r="Q4364">
        <f t="shared" si="408"/>
        <v>4600</v>
      </c>
      <c r="T4364" s="16">
        <f t="shared" si="409"/>
        <v>-0.10854364938091969</v>
      </c>
    </row>
    <row r="4365" spans="7:20" ht="14.4" x14ac:dyDescent="0.25">
      <c r="G4365" s="10">
        <v>3205</v>
      </c>
      <c r="H4365" s="9">
        <v>22980</v>
      </c>
      <c r="I4365" s="14">
        <f>DATE(2012,12,31)-91</f>
        <v>41183</v>
      </c>
      <c r="J4365" s="15" t="s">
        <v>28</v>
      </c>
      <c r="K4365" s="9">
        <v>10</v>
      </c>
      <c r="L4365" s="16" t="s">
        <v>26</v>
      </c>
      <c r="M4365" s="16">
        <f t="shared" ref="M4365:M4428" si="411">(K4365-$K$4)/$K$7</f>
        <v>-1.0753805220500194</v>
      </c>
      <c r="N4365">
        <f t="shared" ref="N4365:N4428" si="412">IF(MOD($B$20+G4365,1000)=0,1,0)</f>
        <v>0</v>
      </c>
      <c r="O4365">
        <f t="shared" ref="O4365:O4428" si="413">+ROUND(N4365*(IF(K4365&lt;$K$4,-4.5,10.5)*$P$5),-2)</f>
        <v>0</v>
      </c>
      <c r="P4365">
        <f t="shared" si="410"/>
        <v>3900</v>
      </c>
      <c r="Q4365">
        <f t="shared" ref="Q4365:Q4428" si="414">P4365+O4365</f>
        <v>3900</v>
      </c>
      <c r="T4365" s="16">
        <f t="shared" ref="T4365:T4428" si="415">(Q4365-$P$4)/$P$5</f>
        <v>-1.0753805220500199</v>
      </c>
    </row>
    <row r="4366" spans="7:20" ht="14.4" x14ac:dyDescent="0.25">
      <c r="G4366" s="10">
        <v>3281</v>
      </c>
      <c r="H4366" s="9">
        <v>23429</v>
      </c>
      <c r="I4366" s="14">
        <f>DATE(2012,12,31)-1383</f>
        <v>39891</v>
      </c>
      <c r="J4366" s="15" t="s">
        <v>30</v>
      </c>
      <c r="K4366" s="9">
        <v>28</v>
      </c>
      <c r="L4366" s="16" t="s">
        <v>26</v>
      </c>
      <c r="M4366" s="16">
        <f t="shared" si="411"/>
        <v>0.16769545709596645</v>
      </c>
      <c r="N4366">
        <f t="shared" si="412"/>
        <v>0</v>
      </c>
      <c r="O4366">
        <f t="shared" si="413"/>
        <v>0</v>
      </c>
      <c r="P4366">
        <f t="shared" si="410"/>
        <v>4800</v>
      </c>
      <c r="Q4366">
        <f t="shared" si="414"/>
        <v>4800</v>
      </c>
      <c r="T4366" s="16">
        <f t="shared" si="415"/>
        <v>0.16769545709596606</v>
      </c>
    </row>
    <row r="4367" spans="7:20" ht="14.4" x14ac:dyDescent="0.25">
      <c r="G4367" s="10">
        <v>3282</v>
      </c>
      <c r="H4367" s="9">
        <v>23429</v>
      </c>
      <c r="I4367" s="14">
        <f>DATE(2012,12,31)-1383</f>
        <v>39891</v>
      </c>
      <c r="J4367" s="15" t="s">
        <v>30</v>
      </c>
      <c r="K4367" s="9">
        <v>19</v>
      </c>
      <c r="L4367" s="16" t="s">
        <v>27</v>
      </c>
      <c r="M4367" s="16">
        <f t="shared" si="411"/>
        <v>-0.45384253247702649</v>
      </c>
      <c r="N4367">
        <f t="shared" si="412"/>
        <v>0</v>
      </c>
      <c r="O4367">
        <f t="shared" si="413"/>
        <v>0</v>
      </c>
      <c r="P4367">
        <f t="shared" si="410"/>
        <v>4350</v>
      </c>
      <c r="Q4367">
        <f t="shared" si="414"/>
        <v>4350</v>
      </c>
      <c r="T4367" s="16">
        <f t="shared" si="415"/>
        <v>-0.45384253247702688</v>
      </c>
    </row>
    <row r="4368" spans="7:20" ht="14.4" x14ac:dyDescent="0.25">
      <c r="G4368" s="10">
        <v>3315</v>
      </c>
      <c r="H4368" s="9">
        <v>23681</v>
      </c>
      <c r="I4368" s="14">
        <f>DATE(2012,12,31)-226</f>
        <v>41048</v>
      </c>
      <c r="J4368" s="15" t="s">
        <v>17</v>
      </c>
      <c r="K4368" s="9">
        <v>42</v>
      </c>
      <c r="L4368" s="16" t="s">
        <v>26</v>
      </c>
      <c r="M4368" s="16">
        <f t="shared" si="411"/>
        <v>1.1345323297650665</v>
      </c>
      <c r="N4368">
        <f t="shared" si="412"/>
        <v>0</v>
      </c>
      <c r="O4368">
        <f t="shared" si="413"/>
        <v>0</v>
      </c>
      <c r="P4368">
        <f t="shared" si="410"/>
        <v>5500</v>
      </c>
      <c r="Q4368">
        <f t="shared" si="414"/>
        <v>5500</v>
      </c>
      <c r="T4368" s="16">
        <f t="shared" si="415"/>
        <v>1.1345323297650662</v>
      </c>
    </row>
    <row r="4369" spans="7:20" ht="14.4" x14ac:dyDescent="0.25">
      <c r="G4369" s="10">
        <v>3405</v>
      </c>
      <c r="H4369" s="9">
        <v>24263</v>
      </c>
      <c r="I4369" s="14">
        <f>DATE(2012,12,31)-107</f>
        <v>41167</v>
      </c>
      <c r="J4369" s="15" t="s">
        <v>25</v>
      </c>
      <c r="K4369" s="9">
        <v>16</v>
      </c>
      <c r="L4369" s="16" t="s">
        <v>29</v>
      </c>
      <c r="M4369" s="16">
        <f t="shared" si="411"/>
        <v>-0.66102186233469074</v>
      </c>
      <c r="N4369">
        <f t="shared" si="412"/>
        <v>0</v>
      </c>
      <c r="O4369">
        <f t="shared" si="413"/>
        <v>0</v>
      </c>
      <c r="P4369">
        <f t="shared" si="410"/>
        <v>4200</v>
      </c>
      <c r="Q4369">
        <f t="shared" si="414"/>
        <v>4200</v>
      </c>
      <c r="T4369" s="16">
        <f t="shared" si="415"/>
        <v>-0.66102186233469118</v>
      </c>
    </row>
    <row r="4370" spans="7:20" ht="14.4" x14ac:dyDescent="0.25">
      <c r="G4370" s="10">
        <v>3430</v>
      </c>
      <c r="H4370" s="9">
        <v>24455</v>
      </c>
      <c r="I4370" s="14">
        <f>DATE(2012,12,31)-1121</f>
        <v>40153</v>
      </c>
      <c r="J4370" s="15" t="s">
        <v>28</v>
      </c>
      <c r="K4370" s="9">
        <v>8</v>
      </c>
      <c r="L4370" s="16" t="s">
        <v>27</v>
      </c>
      <c r="M4370" s="16">
        <f t="shared" si="411"/>
        <v>-1.2135000752884624</v>
      </c>
      <c r="N4370">
        <f t="shared" si="412"/>
        <v>0</v>
      </c>
      <c r="O4370">
        <f t="shared" si="413"/>
        <v>0</v>
      </c>
      <c r="P4370">
        <f t="shared" si="410"/>
        <v>3800</v>
      </c>
      <c r="Q4370">
        <f t="shared" si="414"/>
        <v>3800</v>
      </c>
      <c r="T4370" s="16">
        <f t="shared" si="415"/>
        <v>-1.2135000752884626</v>
      </c>
    </row>
    <row r="4371" spans="7:20" ht="14.4" x14ac:dyDescent="0.25">
      <c r="G4371" s="10">
        <v>3431</v>
      </c>
      <c r="H4371" s="9">
        <v>24455</v>
      </c>
      <c r="I4371" s="14">
        <f>DATE(2012,12,31)-1121</f>
        <v>40153</v>
      </c>
      <c r="J4371" s="15" t="s">
        <v>28</v>
      </c>
      <c r="K4371" s="9">
        <v>41</v>
      </c>
      <c r="L4371" s="16" t="s">
        <v>26</v>
      </c>
      <c r="M4371" s="16">
        <f t="shared" si="411"/>
        <v>1.0654725531458451</v>
      </c>
      <c r="N4371">
        <f t="shared" si="412"/>
        <v>0</v>
      </c>
      <c r="O4371">
        <f t="shared" si="413"/>
        <v>0</v>
      </c>
      <c r="P4371">
        <f t="shared" si="410"/>
        <v>5450</v>
      </c>
      <c r="Q4371">
        <f t="shared" si="414"/>
        <v>5450</v>
      </c>
      <c r="T4371" s="16">
        <f t="shared" si="415"/>
        <v>1.0654725531458447</v>
      </c>
    </row>
    <row r="4372" spans="7:20" ht="14.4" x14ac:dyDescent="0.25">
      <c r="G4372" s="10">
        <v>3471</v>
      </c>
      <c r="H4372" s="9">
        <v>24707</v>
      </c>
      <c r="I4372" s="14">
        <f>DATE(2012,12,31)-296</f>
        <v>40978</v>
      </c>
      <c r="J4372" s="15" t="s">
        <v>16</v>
      </c>
      <c r="K4372" s="9">
        <v>14</v>
      </c>
      <c r="L4372" s="16" t="s">
        <v>29</v>
      </c>
      <c r="M4372" s="16">
        <f t="shared" si="411"/>
        <v>-0.79914141557313367</v>
      </c>
      <c r="N4372">
        <f t="shared" si="412"/>
        <v>0</v>
      </c>
      <c r="O4372">
        <f t="shared" si="413"/>
        <v>0</v>
      </c>
      <c r="P4372">
        <f t="shared" si="410"/>
        <v>4100</v>
      </c>
      <c r="Q4372">
        <f t="shared" si="414"/>
        <v>4100</v>
      </c>
      <c r="T4372" s="16">
        <f t="shared" si="415"/>
        <v>-0.79914141557313401</v>
      </c>
    </row>
    <row r="4373" spans="7:20" ht="14.4" x14ac:dyDescent="0.25">
      <c r="G4373" s="10">
        <v>3472</v>
      </c>
      <c r="H4373" s="9">
        <v>24707</v>
      </c>
      <c r="I4373" s="14">
        <f>DATE(2012,12,31)-296</f>
        <v>40978</v>
      </c>
      <c r="J4373" s="15" t="s">
        <v>16</v>
      </c>
      <c r="K4373" s="9">
        <v>3</v>
      </c>
      <c r="L4373" s="16" t="s">
        <v>26</v>
      </c>
      <c r="M4373" s="16">
        <f t="shared" si="411"/>
        <v>-1.5587989583845694</v>
      </c>
      <c r="N4373">
        <f t="shared" si="412"/>
        <v>0</v>
      </c>
      <c r="O4373">
        <f t="shared" si="413"/>
        <v>0</v>
      </c>
      <c r="P4373">
        <f t="shared" si="410"/>
        <v>3550</v>
      </c>
      <c r="Q4373">
        <f t="shared" si="414"/>
        <v>3550</v>
      </c>
      <c r="T4373" s="16">
        <f t="shared" si="415"/>
        <v>-1.5587989583845698</v>
      </c>
    </row>
    <row r="4374" spans="7:20" ht="14.4" x14ac:dyDescent="0.25">
      <c r="G4374" s="10">
        <v>3523</v>
      </c>
      <c r="H4374" s="9">
        <v>25091</v>
      </c>
      <c r="I4374" s="14">
        <f>DATE(2012,12,31)-1046</f>
        <v>40228</v>
      </c>
      <c r="J4374" s="15" t="s">
        <v>16</v>
      </c>
      <c r="K4374" s="9">
        <v>4</v>
      </c>
      <c r="L4374" s="16" t="s">
        <v>26</v>
      </c>
      <c r="M4374" s="16">
        <f t="shared" si="411"/>
        <v>-1.489739181765348</v>
      </c>
      <c r="N4374">
        <f t="shared" si="412"/>
        <v>0</v>
      </c>
      <c r="O4374">
        <f t="shared" si="413"/>
        <v>0</v>
      </c>
      <c r="P4374">
        <f t="shared" si="410"/>
        <v>3600</v>
      </c>
      <c r="Q4374">
        <f t="shared" si="414"/>
        <v>3600</v>
      </c>
      <c r="T4374" s="16">
        <f t="shared" si="415"/>
        <v>-1.4897391817653485</v>
      </c>
    </row>
    <row r="4375" spans="7:20" ht="14.4" x14ac:dyDescent="0.25">
      <c r="G4375" s="10">
        <v>3673</v>
      </c>
      <c r="H4375" s="9">
        <v>26305</v>
      </c>
      <c r="I4375" s="14">
        <f>DATE(2012,12,31)-760</f>
        <v>40514</v>
      </c>
      <c r="J4375" s="15" t="s">
        <v>16</v>
      </c>
      <c r="K4375" s="9">
        <v>50</v>
      </c>
      <c r="L4375" s="16" t="s">
        <v>26</v>
      </c>
      <c r="M4375" s="16">
        <f t="shared" si="411"/>
        <v>1.687010542718838</v>
      </c>
      <c r="N4375">
        <f t="shared" si="412"/>
        <v>0</v>
      </c>
      <c r="O4375">
        <f t="shared" si="413"/>
        <v>0</v>
      </c>
      <c r="P4375">
        <f t="shared" si="410"/>
        <v>5900</v>
      </c>
      <c r="Q4375">
        <f t="shared" si="414"/>
        <v>5900</v>
      </c>
      <c r="T4375" s="16">
        <f t="shared" si="415"/>
        <v>1.6870105427188375</v>
      </c>
    </row>
    <row r="4376" spans="7:20" ht="14.4" x14ac:dyDescent="0.25">
      <c r="G4376" s="10">
        <v>3674</v>
      </c>
      <c r="H4376" s="9">
        <v>26305</v>
      </c>
      <c r="I4376" s="14">
        <f>DATE(2012,12,31)-760</f>
        <v>40514</v>
      </c>
      <c r="J4376" s="15" t="s">
        <v>16</v>
      </c>
      <c r="K4376" s="9">
        <v>13</v>
      </c>
      <c r="L4376" s="16" t="s">
        <v>29</v>
      </c>
      <c r="M4376" s="16">
        <f t="shared" si="411"/>
        <v>-0.86820119219235514</v>
      </c>
      <c r="N4376">
        <f t="shared" si="412"/>
        <v>0</v>
      </c>
      <c r="O4376">
        <f t="shared" si="413"/>
        <v>0</v>
      </c>
      <c r="P4376">
        <f t="shared" si="410"/>
        <v>4050</v>
      </c>
      <c r="Q4376">
        <f t="shared" si="414"/>
        <v>4050</v>
      </c>
      <c r="T4376" s="16">
        <f t="shared" si="415"/>
        <v>-0.86820119219235548</v>
      </c>
    </row>
    <row r="4377" spans="7:20" ht="14.4" x14ac:dyDescent="0.25">
      <c r="G4377" s="10">
        <v>3789</v>
      </c>
      <c r="H4377" s="9">
        <v>26982</v>
      </c>
      <c r="I4377" s="14">
        <f>DATE(2012,12,31)-247</f>
        <v>41027</v>
      </c>
      <c r="J4377" s="15" t="s">
        <v>28</v>
      </c>
      <c r="K4377" s="9">
        <v>37</v>
      </c>
      <c r="L4377" s="16" t="s">
        <v>26</v>
      </c>
      <c r="M4377" s="16">
        <f t="shared" si="411"/>
        <v>0.78923344666895934</v>
      </c>
      <c r="N4377">
        <f t="shared" si="412"/>
        <v>0</v>
      </c>
      <c r="O4377">
        <f t="shared" si="413"/>
        <v>0</v>
      </c>
      <c r="P4377">
        <f t="shared" si="410"/>
        <v>5250</v>
      </c>
      <c r="Q4377">
        <f t="shared" si="414"/>
        <v>5250</v>
      </c>
      <c r="T4377" s="16">
        <f t="shared" si="415"/>
        <v>0.789233446668959</v>
      </c>
    </row>
    <row r="4378" spans="7:20" ht="14.4" x14ac:dyDescent="0.25">
      <c r="G4378" s="10">
        <v>3800</v>
      </c>
      <c r="H4378" s="9">
        <v>27106</v>
      </c>
      <c r="I4378" s="14">
        <f>DATE(2012,12,31)-396</f>
        <v>40878</v>
      </c>
      <c r="J4378" s="15" t="s">
        <v>17</v>
      </c>
      <c r="K4378" s="9">
        <v>1</v>
      </c>
      <c r="L4378" s="16" t="s">
        <v>26</v>
      </c>
      <c r="M4378" s="16">
        <f t="shared" si="411"/>
        <v>-1.6969185116230123</v>
      </c>
      <c r="N4378">
        <f t="shared" si="412"/>
        <v>0</v>
      </c>
      <c r="O4378">
        <f t="shared" si="413"/>
        <v>0</v>
      </c>
      <c r="P4378">
        <f t="shared" si="410"/>
        <v>3450</v>
      </c>
      <c r="Q4378">
        <f t="shared" si="414"/>
        <v>3450</v>
      </c>
      <c r="T4378" s="16">
        <f t="shared" si="415"/>
        <v>-1.6969185116230128</v>
      </c>
    </row>
    <row r="4379" spans="7:20" ht="14.4" x14ac:dyDescent="0.25">
      <c r="G4379" s="10">
        <v>3801</v>
      </c>
      <c r="H4379" s="9">
        <v>27106</v>
      </c>
      <c r="I4379" s="14">
        <f>DATE(2012,12,31)-396</f>
        <v>40878</v>
      </c>
      <c r="J4379" s="15" t="s">
        <v>17</v>
      </c>
      <c r="K4379" s="9">
        <v>50</v>
      </c>
      <c r="L4379" s="16" t="s">
        <v>26</v>
      </c>
      <c r="M4379" s="16">
        <f t="shared" si="411"/>
        <v>1.687010542718838</v>
      </c>
      <c r="N4379">
        <f t="shared" si="412"/>
        <v>0</v>
      </c>
      <c r="O4379">
        <f t="shared" si="413"/>
        <v>0</v>
      </c>
      <c r="P4379">
        <f t="shared" si="410"/>
        <v>5900</v>
      </c>
      <c r="Q4379">
        <f t="shared" si="414"/>
        <v>5900</v>
      </c>
      <c r="T4379" s="16">
        <f t="shared" si="415"/>
        <v>1.6870105427188375</v>
      </c>
    </row>
    <row r="4380" spans="7:20" ht="14.4" x14ac:dyDescent="0.25">
      <c r="G4380" s="10">
        <v>3802</v>
      </c>
      <c r="H4380" s="9">
        <v>27106</v>
      </c>
      <c r="I4380" s="14">
        <f>DATE(2012,12,31)-396</f>
        <v>40878</v>
      </c>
      <c r="J4380" s="15" t="s">
        <v>17</v>
      </c>
      <c r="K4380" s="9">
        <v>29</v>
      </c>
      <c r="L4380" s="16" t="s">
        <v>29</v>
      </c>
      <c r="M4380" s="16">
        <f t="shared" si="411"/>
        <v>0.23675523371518786</v>
      </c>
      <c r="N4380">
        <f t="shared" si="412"/>
        <v>0</v>
      </c>
      <c r="O4380">
        <f t="shared" si="413"/>
        <v>0</v>
      </c>
      <c r="P4380">
        <f t="shared" si="410"/>
        <v>4850</v>
      </c>
      <c r="Q4380">
        <f t="shared" si="414"/>
        <v>4850</v>
      </c>
      <c r="T4380" s="16">
        <f t="shared" si="415"/>
        <v>0.2367552337151875</v>
      </c>
    </row>
    <row r="4381" spans="7:20" ht="14.4" x14ac:dyDescent="0.25">
      <c r="G4381" s="10">
        <v>3803</v>
      </c>
      <c r="H4381" s="9">
        <v>27106</v>
      </c>
      <c r="I4381" s="14">
        <f>DATE(2012,12,31)-396</f>
        <v>40878</v>
      </c>
      <c r="J4381" s="15" t="s">
        <v>17</v>
      </c>
      <c r="K4381" s="9">
        <v>42</v>
      </c>
      <c r="L4381" s="16" t="s">
        <v>29</v>
      </c>
      <c r="M4381" s="16">
        <f t="shared" si="411"/>
        <v>1.1345323297650665</v>
      </c>
      <c r="N4381">
        <f t="shared" si="412"/>
        <v>0</v>
      </c>
      <c r="O4381">
        <f t="shared" si="413"/>
        <v>0</v>
      </c>
      <c r="P4381">
        <f t="shared" si="410"/>
        <v>5500</v>
      </c>
      <c r="Q4381">
        <f t="shared" si="414"/>
        <v>5500</v>
      </c>
      <c r="T4381" s="16">
        <f t="shared" si="415"/>
        <v>1.1345323297650662</v>
      </c>
    </row>
    <row r="4382" spans="7:20" ht="14.4" x14ac:dyDescent="0.25">
      <c r="G4382" s="10">
        <v>3804</v>
      </c>
      <c r="H4382" s="9">
        <v>27106</v>
      </c>
      <c r="I4382" s="14">
        <f>DATE(2012,12,31)-396</f>
        <v>40878</v>
      </c>
      <c r="J4382" s="15" t="s">
        <v>17</v>
      </c>
      <c r="K4382" s="9">
        <v>10</v>
      </c>
      <c r="L4382" s="16" t="s">
        <v>26</v>
      </c>
      <c r="M4382" s="16">
        <f t="shared" si="411"/>
        <v>-1.0753805220500194</v>
      </c>
      <c r="N4382">
        <f t="shared" si="412"/>
        <v>0</v>
      </c>
      <c r="O4382">
        <f t="shared" si="413"/>
        <v>0</v>
      </c>
      <c r="P4382">
        <f t="shared" si="410"/>
        <v>3900</v>
      </c>
      <c r="Q4382">
        <f t="shared" si="414"/>
        <v>3900</v>
      </c>
      <c r="T4382" s="16">
        <f t="shared" si="415"/>
        <v>-1.0753805220500199</v>
      </c>
    </row>
    <row r="4383" spans="7:20" ht="14.4" x14ac:dyDescent="0.25">
      <c r="G4383" s="10">
        <v>3859</v>
      </c>
      <c r="H4383" s="9">
        <v>27527</v>
      </c>
      <c r="I4383" s="14">
        <f>DATE(2012,12,31)-762</f>
        <v>40512</v>
      </c>
      <c r="J4383" s="15" t="s">
        <v>16</v>
      </c>
      <c r="K4383" s="9">
        <v>37</v>
      </c>
      <c r="L4383" s="16" t="s">
        <v>29</v>
      </c>
      <c r="M4383" s="16">
        <f t="shared" si="411"/>
        <v>0.78923344666895934</v>
      </c>
      <c r="N4383">
        <f t="shared" si="412"/>
        <v>0</v>
      </c>
      <c r="O4383">
        <f t="shared" si="413"/>
        <v>0</v>
      </c>
      <c r="P4383">
        <f t="shared" si="410"/>
        <v>5250</v>
      </c>
      <c r="Q4383">
        <f t="shared" si="414"/>
        <v>5250</v>
      </c>
      <c r="T4383" s="16">
        <f t="shared" si="415"/>
        <v>0.789233446668959</v>
      </c>
    </row>
    <row r="4384" spans="7:20" ht="14.4" x14ac:dyDescent="0.25">
      <c r="G4384" s="10">
        <v>3886</v>
      </c>
      <c r="H4384" s="9">
        <v>27746</v>
      </c>
      <c r="I4384" s="14">
        <f>DATE(2012,12,31)-758</f>
        <v>40516</v>
      </c>
      <c r="J4384" s="15" t="s">
        <v>30</v>
      </c>
      <c r="K4384" s="9">
        <v>3</v>
      </c>
      <c r="L4384" s="16" t="s">
        <v>27</v>
      </c>
      <c r="M4384" s="16">
        <f t="shared" si="411"/>
        <v>-1.5587989583845694</v>
      </c>
      <c r="N4384">
        <f t="shared" si="412"/>
        <v>0</v>
      </c>
      <c r="O4384">
        <f t="shared" si="413"/>
        <v>0</v>
      </c>
      <c r="P4384">
        <f t="shared" si="410"/>
        <v>3550</v>
      </c>
      <c r="Q4384">
        <f t="shared" si="414"/>
        <v>3550</v>
      </c>
      <c r="T4384" s="16">
        <f t="shared" si="415"/>
        <v>-1.5587989583845698</v>
      </c>
    </row>
    <row r="4385" spans="7:20" ht="14.4" x14ac:dyDescent="0.25">
      <c r="G4385" s="10">
        <v>3900</v>
      </c>
      <c r="H4385" s="9">
        <v>27811</v>
      </c>
      <c r="I4385" s="14">
        <f>DATE(2012,12,31)-668</f>
        <v>40606</v>
      </c>
      <c r="J4385" s="15" t="s">
        <v>28</v>
      </c>
      <c r="K4385" s="9">
        <v>4</v>
      </c>
      <c r="L4385" s="16" t="s">
        <v>26</v>
      </c>
      <c r="M4385" s="16">
        <f t="shared" si="411"/>
        <v>-1.489739181765348</v>
      </c>
      <c r="N4385">
        <f t="shared" si="412"/>
        <v>0</v>
      </c>
      <c r="O4385">
        <f t="shared" si="413"/>
        <v>0</v>
      </c>
      <c r="P4385">
        <f t="shared" si="410"/>
        <v>3600</v>
      </c>
      <c r="Q4385">
        <f t="shared" si="414"/>
        <v>3600</v>
      </c>
      <c r="T4385" s="16">
        <f t="shared" si="415"/>
        <v>-1.4897391817653485</v>
      </c>
    </row>
    <row r="4386" spans="7:20" ht="14.4" x14ac:dyDescent="0.25">
      <c r="G4386" s="10">
        <v>3923</v>
      </c>
      <c r="H4386" s="9">
        <v>27974</v>
      </c>
      <c r="I4386" s="14">
        <f>DATE(2012,12,31)-816</f>
        <v>40458</v>
      </c>
      <c r="J4386" s="15" t="s">
        <v>17</v>
      </c>
      <c r="K4386" s="9">
        <v>35</v>
      </c>
      <c r="L4386" s="16" t="s">
        <v>29</v>
      </c>
      <c r="M4386" s="16">
        <f t="shared" si="411"/>
        <v>0.65111389343051651</v>
      </c>
      <c r="N4386">
        <f t="shared" si="412"/>
        <v>0</v>
      </c>
      <c r="O4386">
        <f t="shared" si="413"/>
        <v>0</v>
      </c>
      <c r="P4386">
        <f t="shared" si="410"/>
        <v>5150</v>
      </c>
      <c r="Q4386">
        <f t="shared" si="414"/>
        <v>5150</v>
      </c>
      <c r="T4386" s="16">
        <f t="shared" si="415"/>
        <v>0.65111389343051607</v>
      </c>
    </row>
    <row r="4387" spans="7:20" ht="14.4" x14ac:dyDescent="0.25">
      <c r="G4387" s="10">
        <v>3924</v>
      </c>
      <c r="H4387" s="9">
        <v>27974</v>
      </c>
      <c r="I4387" s="14">
        <f>DATE(2012,12,31)-816</f>
        <v>40458</v>
      </c>
      <c r="J4387" s="15" t="s">
        <v>17</v>
      </c>
      <c r="K4387" s="9">
        <v>27</v>
      </c>
      <c r="L4387" s="16" t="s">
        <v>29</v>
      </c>
      <c r="M4387" s="16">
        <f t="shared" si="411"/>
        <v>9.8635680476745008E-2</v>
      </c>
      <c r="N4387">
        <f t="shared" si="412"/>
        <v>0</v>
      </c>
      <c r="O4387">
        <f t="shared" si="413"/>
        <v>0</v>
      </c>
      <c r="P4387">
        <f t="shared" si="410"/>
        <v>4750</v>
      </c>
      <c r="Q4387">
        <f t="shared" si="414"/>
        <v>4750</v>
      </c>
      <c r="T4387" s="16">
        <f t="shared" si="415"/>
        <v>9.8635680476744619E-2</v>
      </c>
    </row>
    <row r="4388" spans="7:20" ht="14.4" x14ac:dyDescent="0.25">
      <c r="G4388" s="10">
        <v>4031</v>
      </c>
      <c r="H4388" s="9">
        <v>28774</v>
      </c>
      <c r="I4388" s="14">
        <f>DATE(2012,12,31)-1460</f>
        <v>39814</v>
      </c>
      <c r="J4388" s="15" t="s">
        <v>17</v>
      </c>
      <c r="K4388" s="9">
        <v>32</v>
      </c>
      <c r="L4388" s="16" t="s">
        <v>26</v>
      </c>
      <c r="M4388" s="16">
        <f t="shared" si="411"/>
        <v>0.44393456357285216</v>
      </c>
      <c r="N4388">
        <f t="shared" si="412"/>
        <v>0</v>
      </c>
      <c r="O4388">
        <f t="shared" si="413"/>
        <v>0</v>
      </c>
      <c r="P4388">
        <f t="shared" si="410"/>
        <v>5000</v>
      </c>
      <c r="Q4388">
        <f t="shared" si="414"/>
        <v>5000</v>
      </c>
      <c r="T4388" s="16">
        <f t="shared" si="415"/>
        <v>0.44393456357285183</v>
      </c>
    </row>
    <row r="4389" spans="7:20" ht="14.4" x14ac:dyDescent="0.25">
      <c r="G4389" s="10">
        <v>4174</v>
      </c>
      <c r="H4389" s="9">
        <v>29607</v>
      </c>
      <c r="I4389" s="14">
        <f>DATE(2012,12,31)-293</f>
        <v>40981</v>
      </c>
      <c r="J4389" s="15" t="s">
        <v>16</v>
      </c>
      <c r="K4389" s="9">
        <v>20</v>
      </c>
      <c r="L4389" s="16" t="s">
        <v>26</v>
      </c>
      <c r="M4389" s="16">
        <f t="shared" si="411"/>
        <v>-0.38478275585780503</v>
      </c>
      <c r="N4389">
        <f t="shared" si="412"/>
        <v>0</v>
      </c>
      <c r="O4389">
        <f t="shared" si="413"/>
        <v>0</v>
      </c>
      <c r="P4389">
        <f t="shared" si="410"/>
        <v>4400</v>
      </c>
      <c r="Q4389">
        <f t="shared" si="414"/>
        <v>4400</v>
      </c>
      <c r="T4389" s="16">
        <f t="shared" si="415"/>
        <v>-0.38478275585780541</v>
      </c>
    </row>
    <row r="4390" spans="7:20" ht="14.4" x14ac:dyDescent="0.25">
      <c r="G4390" s="10">
        <v>4183</v>
      </c>
      <c r="H4390" s="9">
        <v>29730</v>
      </c>
      <c r="I4390" s="14">
        <f>DATE(2012,12,31)-929</f>
        <v>40345</v>
      </c>
      <c r="J4390" s="15" t="s">
        <v>30</v>
      </c>
      <c r="K4390" s="9">
        <v>21</v>
      </c>
      <c r="L4390" s="16" t="s">
        <v>29</v>
      </c>
      <c r="M4390" s="16">
        <f t="shared" si="411"/>
        <v>-0.31572297923858361</v>
      </c>
      <c r="N4390">
        <f t="shared" si="412"/>
        <v>0</v>
      </c>
      <c r="O4390">
        <f t="shared" si="413"/>
        <v>0</v>
      </c>
      <c r="P4390">
        <f t="shared" si="410"/>
        <v>4450</v>
      </c>
      <c r="Q4390">
        <f t="shared" si="414"/>
        <v>4450</v>
      </c>
      <c r="T4390" s="16">
        <f t="shared" si="415"/>
        <v>-0.315722979238584</v>
      </c>
    </row>
    <row r="4391" spans="7:20" ht="14.4" x14ac:dyDescent="0.25">
      <c r="G4391" s="10">
        <v>4236</v>
      </c>
      <c r="H4391" s="9">
        <v>30144</v>
      </c>
      <c r="I4391" s="14">
        <f>DATE(2012,12,31)-513</f>
        <v>40761</v>
      </c>
      <c r="J4391" s="15" t="s">
        <v>25</v>
      </c>
      <c r="K4391" s="9">
        <v>25</v>
      </c>
      <c r="L4391" s="16" t="s">
        <v>29</v>
      </c>
      <c r="M4391" s="16">
        <f t="shared" si="411"/>
        <v>-3.9483872761697868E-2</v>
      </c>
      <c r="N4391">
        <f t="shared" si="412"/>
        <v>0</v>
      </c>
      <c r="O4391">
        <f t="shared" si="413"/>
        <v>0</v>
      </c>
      <c r="P4391">
        <f t="shared" si="410"/>
        <v>4650</v>
      </c>
      <c r="Q4391">
        <f t="shared" si="414"/>
        <v>4650</v>
      </c>
      <c r="T4391" s="16">
        <f t="shared" si="415"/>
        <v>-3.9483872761698249E-2</v>
      </c>
    </row>
    <row r="4392" spans="7:20" ht="14.4" x14ac:dyDescent="0.25">
      <c r="G4392" s="10">
        <v>4389</v>
      </c>
      <c r="H4392" s="9">
        <v>31266</v>
      </c>
      <c r="I4392" s="14">
        <f>DATE(2012,12,31)-89</f>
        <v>41185</v>
      </c>
      <c r="J4392" s="15" t="s">
        <v>17</v>
      </c>
      <c r="K4392" s="9">
        <v>16</v>
      </c>
      <c r="L4392" s="16" t="s">
        <v>27</v>
      </c>
      <c r="M4392" s="16">
        <f t="shared" si="411"/>
        <v>-0.66102186233469074</v>
      </c>
      <c r="N4392">
        <f t="shared" si="412"/>
        <v>0</v>
      </c>
      <c r="O4392">
        <f t="shared" si="413"/>
        <v>0</v>
      </c>
      <c r="P4392">
        <f t="shared" si="410"/>
        <v>4200</v>
      </c>
      <c r="Q4392">
        <f t="shared" si="414"/>
        <v>4200</v>
      </c>
      <c r="T4392" s="16">
        <f t="shared" si="415"/>
        <v>-0.66102186233469118</v>
      </c>
    </row>
    <row r="4393" spans="7:20" ht="14.4" x14ac:dyDescent="0.25">
      <c r="G4393" s="10">
        <v>4408</v>
      </c>
      <c r="H4393" s="9">
        <v>31456</v>
      </c>
      <c r="I4393" s="14">
        <f>DATE(2012,12,31)-46</f>
        <v>41228</v>
      </c>
      <c r="J4393" s="15" t="s">
        <v>17</v>
      </c>
      <c r="K4393" s="9">
        <v>10</v>
      </c>
      <c r="L4393" s="16" t="s">
        <v>26</v>
      </c>
      <c r="M4393" s="16">
        <f t="shared" si="411"/>
        <v>-1.0753805220500194</v>
      </c>
      <c r="N4393">
        <f t="shared" si="412"/>
        <v>0</v>
      </c>
      <c r="O4393">
        <f t="shared" si="413"/>
        <v>0</v>
      </c>
      <c r="P4393">
        <f t="shared" si="410"/>
        <v>3900</v>
      </c>
      <c r="Q4393">
        <f t="shared" si="414"/>
        <v>3900</v>
      </c>
      <c r="T4393" s="16">
        <f t="shared" si="415"/>
        <v>-1.0753805220500199</v>
      </c>
    </row>
    <row r="4394" spans="7:20" ht="14.4" x14ac:dyDescent="0.25">
      <c r="G4394" s="10">
        <v>4418</v>
      </c>
      <c r="H4394" s="9">
        <v>31522</v>
      </c>
      <c r="I4394" s="14">
        <f>DATE(2012,12,31)-951</f>
        <v>40323</v>
      </c>
      <c r="J4394" s="15" t="s">
        <v>16</v>
      </c>
      <c r="K4394" s="9">
        <v>14</v>
      </c>
      <c r="L4394" s="16" t="s">
        <v>29</v>
      </c>
      <c r="M4394" s="16">
        <f t="shared" si="411"/>
        <v>-0.79914141557313367</v>
      </c>
      <c r="N4394">
        <f t="shared" si="412"/>
        <v>0</v>
      </c>
      <c r="O4394">
        <f t="shared" si="413"/>
        <v>0</v>
      </c>
      <c r="P4394">
        <f t="shared" si="410"/>
        <v>4100</v>
      </c>
      <c r="Q4394">
        <f t="shared" si="414"/>
        <v>4100</v>
      </c>
      <c r="T4394" s="16">
        <f t="shared" si="415"/>
        <v>-0.79914141557313401</v>
      </c>
    </row>
    <row r="4395" spans="7:20" ht="14.4" x14ac:dyDescent="0.25">
      <c r="G4395" s="10">
        <v>4419</v>
      </c>
      <c r="H4395" s="9">
        <v>31522</v>
      </c>
      <c r="I4395" s="14">
        <f>DATE(2012,12,31)-951</f>
        <v>40323</v>
      </c>
      <c r="J4395" s="15" t="s">
        <v>16</v>
      </c>
      <c r="K4395" s="9">
        <v>42</v>
      </c>
      <c r="L4395" s="16" t="s">
        <v>29</v>
      </c>
      <c r="M4395" s="16">
        <f t="shared" si="411"/>
        <v>1.1345323297650665</v>
      </c>
      <c r="N4395">
        <f t="shared" si="412"/>
        <v>0</v>
      </c>
      <c r="O4395">
        <f t="shared" si="413"/>
        <v>0</v>
      </c>
      <c r="P4395">
        <f t="shared" si="410"/>
        <v>5500</v>
      </c>
      <c r="Q4395">
        <f t="shared" si="414"/>
        <v>5500</v>
      </c>
      <c r="T4395" s="16">
        <f t="shared" si="415"/>
        <v>1.1345323297650662</v>
      </c>
    </row>
    <row r="4396" spans="7:20" ht="14.4" x14ac:dyDescent="0.25">
      <c r="G4396" s="10">
        <v>4685</v>
      </c>
      <c r="H4396" s="9">
        <v>33319</v>
      </c>
      <c r="I4396" s="14">
        <f>DATE(2012,12,31)-1375</f>
        <v>39899</v>
      </c>
      <c r="J4396" s="15" t="s">
        <v>28</v>
      </c>
      <c r="K4396" s="9">
        <v>11</v>
      </c>
      <c r="L4396" s="16" t="s">
        <v>29</v>
      </c>
      <c r="M4396" s="16">
        <f t="shared" si="411"/>
        <v>-1.0063207454307979</v>
      </c>
      <c r="N4396">
        <f t="shared" si="412"/>
        <v>0</v>
      </c>
      <c r="O4396">
        <f t="shared" si="413"/>
        <v>0</v>
      </c>
      <c r="P4396">
        <f t="shared" si="410"/>
        <v>3950</v>
      </c>
      <c r="Q4396">
        <f t="shared" si="414"/>
        <v>3950</v>
      </c>
      <c r="T4396" s="16">
        <f t="shared" si="415"/>
        <v>-1.0063207454307983</v>
      </c>
    </row>
    <row r="4397" spans="7:20" ht="14.4" x14ac:dyDescent="0.25">
      <c r="G4397" s="10">
        <v>4724</v>
      </c>
      <c r="H4397" s="9">
        <v>33635</v>
      </c>
      <c r="I4397" s="14">
        <f>DATE(2012,12,31)-1268</f>
        <v>40006</v>
      </c>
      <c r="J4397" s="15" t="s">
        <v>17</v>
      </c>
      <c r="K4397" s="9">
        <v>5</v>
      </c>
      <c r="L4397" s="16" t="s">
        <v>27</v>
      </c>
      <c r="M4397" s="16">
        <f t="shared" si="411"/>
        <v>-1.4206794051461267</v>
      </c>
      <c r="N4397">
        <f t="shared" si="412"/>
        <v>0</v>
      </c>
      <c r="O4397">
        <f t="shared" si="413"/>
        <v>0</v>
      </c>
      <c r="P4397">
        <f t="shared" si="410"/>
        <v>3650</v>
      </c>
      <c r="Q4397">
        <f t="shared" si="414"/>
        <v>3650</v>
      </c>
      <c r="T4397" s="16">
        <f t="shared" si="415"/>
        <v>-1.4206794051461269</v>
      </c>
    </row>
    <row r="4398" spans="7:20" ht="14.4" x14ac:dyDescent="0.25">
      <c r="G4398" s="10">
        <v>4725</v>
      </c>
      <c r="H4398" s="9">
        <v>33635</v>
      </c>
      <c r="I4398" s="14">
        <f>DATE(2012,12,31)-1268</f>
        <v>40006</v>
      </c>
      <c r="J4398" s="15" t="s">
        <v>17</v>
      </c>
      <c r="K4398" s="9">
        <v>4</v>
      </c>
      <c r="L4398" s="16" t="s">
        <v>26</v>
      </c>
      <c r="M4398" s="16">
        <f t="shared" si="411"/>
        <v>-1.489739181765348</v>
      </c>
      <c r="N4398">
        <f t="shared" si="412"/>
        <v>0</v>
      </c>
      <c r="O4398">
        <f t="shared" si="413"/>
        <v>0</v>
      </c>
      <c r="P4398">
        <f t="shared" si="410"/>
        <v>3600</v>
      </c>
      <c r="Q4398">
        <f t="shared" si="414"/>
        <v>3600</v>
      </c>
      <c r="T4398" s="16">
        <f t="shared" si="415"/>
        <v>-1.4897391817653485</v>
      </c>
    </row>
    <row r="4399" spans="7:20" ht="14.4" x14ac:dyDescent="0.25">
      <c r="G4399" s="10">
        <v>4787</v>
      </c>
      <c r="H4399" s="9">
        <v>33988</v>
      </c>
      <c r="I4399" s="14">
        <f>DATE(2012,12,31)-1451</f>
        <v>39823</v>
      </c>
      <c r="J4399" s="15" t="s">
        <v>16</v>
      </c>
      <c r="K4399" s="9">
        <v>30</v>
      </c>
      <c r="L4399" s="16" t="s">
        <v>27</v>
      </c>
      <c r="M4399" s="16">
        <f t="shared" si="411"/>
        <v>0.30581501033440933</v>
      </c>
      <c r="N4399">
        <f t="shared" si="412"/>
        <v>0</v>
      </c>
      <c r="O4399">
        <f t="shared" si="413"/>
        <v>0</v>
      </c>
      <c r="P4399">
        <f t="shared" si="410"/>
        <v>4900</v>
      </c>
      <c r="Q4399">
        <f t="shared" si="414"/>
        <v>4900</v>
      </c>
      <c r="T4399" s="16">
        <f t="shared" si="415"/>
        <v>0.30581501033440894</v>
      </c>
    </row>
    <row r="4400" spans="7:20" ht="14.4" x14ac:dyDescent="0.25">
      <c r="G4400" s="10">
        <v>4798</v>
      </c>
      <c r="H4400" s="9">
        <v>34087</v>
      </c>
      <c r="I4400" s="14">
        <f>DATE(2012,12,31)-1256</f>
        <v>40018</v>
      </c>
      <c r="J4400" s="15" t="s">
        <v>25</v>
      </c>
      <c r="K4400" s="9">
        <v>31</v>
      </c>
      <c r="L4400" s="16" t="s">
        <v>27</v>
      </c>
      <c r="M4400" s="16">
        <f t="shared" si="411"/>
        <v>0.37487478695363075</v>
      </c>
      <c r="N4400">
        <f t="shared" si="412"/>
        <v>0</v>
      </c>
      <c r="O4400">
        <f t="shared" si="413"/>
        <v>0</v>
      </c>
      <c r="P4400">
        <f t="shared" si="410"/>
        <v>4950</v>
      </c>
      <c r="Q4400">
        <f t="shared" si="414"/>
        <v>4950</v>
      </c>
      <c r="T4400" s="16">
        <f t="shared" si="415"/>
        <v>0.37487478695363036</v>
      </c>
    </row>
    <row r="4401" spans="7:20" ht="14.4" x14ac:dyDescent="0.25">
      <c r="G4401" s="10">
        <v>4875</v>
      </c>
      <c r="H4401" s="9">
        <v>34691</v>
      </c>
      <c r="I4401" s="14">
        <f>DATE(2012,12,31)-1447</f>
        <v>39827</v>
      </c>
      <c r="J4401" s="15" t="s">
        <v>30</v>
      </c>
      <c r="K4401" s="9">
        <v>27</v>
      </c>
      <c r="L4401" s="16" t="s">
        <v>26</v>
      </c>
      <c r="M4401" s="16">
        <f t="shared" si="411"/>
        <v>9.8635680476745008E-2</v>
      </c>
      <c r="N4401">
        <f t="shared" si="412"/>
        <v>0</v>
      </c>
      <c r="O4401">
        <f t="shared" si="413"/>
        <v>0</v>
      </c>
      <c r="P4401">
        <f t="shared" si="410"/>
        <v>4750</v>
      </c>
      <c r="Q4401">
        <f t="shared" si="414"/>
        <v>4750</v>
      </c>
      <c r="T4401" s="16">
        <f t="shared" si="415"/>
        <v>9.8635680476744619E-2</v>
      </c>
    </row>
    <row r="4402" spans="7:20" ht="14.4" x14ac:dyDescent="0.25">
      <c r="G4402" s="10">
        <v>4876</v>
      </c>
      <c r="H4402" s="9">
        <v>34691</v>
      </c>
      <c r="I4402" s="14">
        <f>DATE(2012,12,31)-1447</f>
        <v>39827</v>
      </c>
      <c r="J4402" s="15" t="s">
        <v>30</v>
      </c>
      <c r="K4402" s="9">
        <v>23</v>
      </c>
      <c r="L4402" s="16" t="s">
        <v>27</v>
      </c>
      <c r="M4402" s="16">
        <f t="shared" si="411"/>
        <v>-0.17760342600014073</v>
      </c>
      <c r="N4402">
        <f t="shared" si="412"/>
        <v>0</v>
      </c>
      <c r="O4402">
        <f t="shared" si="413"/>
        <v>0</v>
      </c>
      <c r="P4402">
        <f t="shared" si="410"/>
        <v>4550</v>
      </c>
      <c r="Q4402">
        <f t="shared" si="414"/>
        <v>4550</v>
      </c>
      <c r="T4402" s="16">
        <f t="shared" si="415"/>
        <v>-0.17760342600014112</v>
      </c>
    </row>
    <row r="4403" spans="7:20" ht="14.4" x14ac:dyDescent="0.25">
      <c r="G4403" s="10">
        <v>4877</v>
      </c>
      <c r="H4403" s="9">
        <v>34691</v>
      </c>
      <c r="I4403" s="14">
        <f>DATE(2012,12,31)-1447</f>
        <v>39827</v>
      </c>
      <c r="J4403" s="15" t="s">
        <v>30</v>
      </c>
      <c r="K4403" s="9">
        <v>13</v>
      </c>
      <c r="L4403" s="16" t="s">
        <v>26</v>
      </c>
      <c r="M4403" s="16">
        <f t="shared" si="411"/>
        <v>-0.86820119219235514</v>
      </c>
      <c r="N4403">
        <f t="shared" si="412"/>
        <v>0</v>
      </c>
      <c r="O4403">
        <f t="shared" si="413"/>
        <v>0</v>
      </c>
      <c r="P4403">
        <f t="shared" si="410"/>
        <v>4050</v>
      </c>
      <c r="Q4403">
        <f t="shared" si="414"/>
        <v>4050</v>
      </c>
      <c r="T4403" s="16">
        <f t="shared" si="415"/>
        <v>-0.86820119219235548</v>
      </c>
    </row>
    <row r="4404" spans="7:20" ht="14.4" x14ac:dyDescent="0.25">
      <c r="G4404" s="10">
        <v>4888</v>
      </c>
      <c r="H4404" s="9">
        <v>34785</v>
      </c>
      <c r="I4404" s="14">
        <f>DATE(2012,12,31)-1071</f>
        <v>40203</v>
      </c>
      <c r="J4404" s="15" t="s">
        <v>30</v>
      </c>
      <c r="K4404" s="9">
        <v>45</v>
      </c>
      <c r="L4404" s="16" t="s">
        <v>29</v>
      </c>
      <c r="M4404" s="16">
        <f t="shared" si="411"/>
        <v>1.3417116596227308</v>
      </c>
      <c r="N4404">
        <f t="shared" si="412"/>
        <v>0</v>
      </c>
      <c r="O4404">
        <f t="shared" si="413"/>
        <v>0</v>
      </c>
      <c r="P4404">
        <f t="shared" si="410"/>
        <v>5650</v>
      </c>
      <c r="Q4404">
        <f t="shared" si="414"/>
        <v>5650</v>
      </c>
      <c r="T4404" s="16">
        <f t="shared" si="415"/>
        <v>1.3417116596227305</v>
      </c>
    </row>
    <row r="4405" spans="7:20" ht="14.4" x14ac:dyDescent="0.25">
      <c r="G4405" s="10">
        <v>4904</v>
      </c>
      <c r="H4405" s="9">
        <v>34883</v>
      </c>
      <c r="I4405" s="14">
        <f>DATE(2012,12,31)-1153</f>
        <v>40121</v>
      </c>
      <c r="J4405" s="15" t="s">
        <v>30</v>
      </c>
      <c r="K4405" s="9">
        <v>31</v>
      </c>
      <c r="L4405" s="16" t="s">
        <v>27</v>
      </c>
      <c r="M4405" s="16">
        <f t="shared" si="411"/>
        <v>0.37487478695363075</v>
      </c>
      <c r="N4405">
        <f t="shared" si="412"/>
        <v>0</v>
      </c>
      <c r="O4405">
        <f t="shared" si="413"/>
        <v>0</v>
      </c>
      <c r="P4405">
        <f t="shared" si="410"/>
        <v>4950</v>
      </c>
      <c r="Q4405">
        <f t="shared" si="414"/>
        <v>4950</v>
      </c>
      <c r="T4405" s="16">
        <f t="shared" si="415"/>
        <v>0.37487478695363036</v>
      </c>
    </row>
    <row r="4406" spans="7:20" ht="14.4" x14ac:dyDescent="0.25">
      <c r="G4406" s="10">
        <v>4930</v>
      </c>
      <c r="H4406" s="9">
        <v>35077</v>
      </c>
      <c r="I4406" s="14">
        <f>DATE(2012,12,31)-451</f>
        <v>40823</v>
      </c>
      <c r="J4406" s="15" t="s">
        <v>17</v>
      </c>
      <c r="K4406" s="9">
        <v>29</v>
      </c>
      <c r="L4406" s="16" t="s">
        <v>26</v>
      </c>
      <c r="M4406" s="16">
        <f t="shared" si="411"/>
        <v>0.23675523371518786</v>
      </c>
      <c r="N4406">
        <f t="shared" si="412"/>
        <v>0</v>
      </c>
      <c r="O4406">
        <f t="shared" si="413"/>
        <v>0</v>
      </c>
      <c r="P4406">
        <f t="shared" si="410"/>
        <v>4850</v>
      </c>
      <c r="Q4406">
        <f t="shared" si="414"/>
        <v>4850</v>
      </c>
      <c r="T4406" s="16">
        <f t="shared" si="415"/>
        <v>0.2367552337151875</v>
      </c>
    </row>
    <row r="4407" spans="7:20" ht="14.4" x14ac:dyDescent="0.25">
      <c r="G4407" s="10">
        <v>5072</v>
      </c>
      <c r="H4407" s="9">
        <v>36132</v>
      </c>
      <c r="I4407" s="14">
        <f>DATE(2012,12,31)-266</f>
        <v>41008</v>
      </c>
      <c r="J4407" s="15" t="s">
        <v>25</v>
      </c>
      <c r="K4407" s="9">
        <v>3</v>
      </c>
      <c r="L4407" s="16" t="s">
        <v>29</v>
      </c>
      <c r="M4407" s="16">
        <f t="shared" si="411"/>
        <v>-1.5587989583845694</v>
      </c>
      <c r="N4407">
        <f t="shared" si="412"/>
        <v>0</v>
      </c>
      <c r="O4407">
        <f t="shared" si="413"/>
        <v>0</v>
      </c>
      <c r="P4407">
        <f t="shared" si="410"/>
        <v>3550</v>
      </c>
      <c r="Q4407">
        <f t="shared" si="414"/>
        <v>3550</v>
      </c>
      <c r="T4407" s="16">
        <f t="shared" si="415"/>
        <v>-1.5587989583845698</v>
      </c>
    </row>
    <row r="4408" spans="7:20" ht="14.4" x14ac:dyDescent="0.25">
      <c r="G4408" s="10">
        <v>5073</v>
      </c>
      <c r="H4408" s="9">
        <v>36133</v>
      </c>
      <c r="I4408" s="14">
        <f>DATE(2012,12,31)-499</f>
        <v>40775</v>
      </c>
      <c r="J4408" s="15" t="s">
        <v>16</v>
      </c>
      <c r="K4408" s="9">
        <v>6</v>
      </c>
      <c r="L4408" s="16" t="s">
        <v>26</v>
      </c>
      <c r="M4408" s="16">
        <f t="shared" si="411"/>
        <v>-1.3516196285269051</v>
      </c>
      <c r="N4408">
        <f t="shared" si="412"/>
        <v>0</v>
      </c>
      <c r="O4408">
        <f t="shared" si="413"/>
        <v>0</v>
      </c>
      <c r="P4408">
        <f t="shared" si="410"/>
        <v>3700</v>
      </c>
      <c r="Q4408">
        <f t="shared" si="414"/>
        <v>3700</v>
      </c>
      <c r="T4408" s="16">
        <f t="shared" si="415"/>
        <v>-1.3516196285269055</v>
      </c>
    </row>
    <row r="4409" spans="7:20" ht="14.4" x14ac:dyDescent="0.25">
      <c r="G4409" s="10">
        <v>5330</v>
      </c>
      <c r="H4409" s="9">
        <v>37891</v>
      </c>
      <c r="I4409" s="14">
        <f>DATE(2012,12,31)-438</f>
        <v>40836</v>
      </c>
      <c r="J4409" s="15" t="s">
        <v>17</v>
      </c>
      <c r="K4409" s="9">
        <v>24</v>
      </c>
      <c r="L4409" s="16" t="s">
        <v>26</v>
      </c>
      <c r="M4409" s="16">
        <f t="shared" si="411"/>
        <v>-0.1085436493809193</v>
      </c>
      <c r="N4409">
        <f t="shared" si="412"/>
        <v>0</v>
      </c>
      <c r="O4409">
        <f t="shared" si="413"/>
        <v>0</v>
      </c>
      <c r="P4409">
        <f t="shared" si="410"/>
        <v>4600</v>
      </c>
      <c r="Q4409">
        <f t="shared" si="414"/>
        <v>4600</v>
      </c>
      <c r="T4409" s="16">
        <f t="shared" si="415"/>
        <v>-0.10854364938091969</v>
      </c>
    </row>
    <row r="4410" spans="7:20" ht="14.4" x14ac:dyDescent="0.25">
      <c r="G4410" s="10">
        <v>5331</v>
      </c>
      <c r="H4410" s="9">
        <v>37891</v>
      </c>
      <c r="I4410" s="14">
        <f>DATE(2012,12,31)-438</f>
        <v>40836</v>
      </c>
      <c r="J4410" s="15" t="s">
        <v>17</v>
      </c>
      <c r="K4410" s="9">
        <v>21</v>
      </c>
      <c r="L4410" s="16" t="s">
        <v>26</v>
      </c>
      <c r="M4410" s="16">
        <f t="shared" si="411"/>
        <v>-0.31572297923858361</v>
      </c>
      <c r="N4410">
        <f t="shared" si="412"/>
        <v>0</v>
      </c>
      <c r="O4410">
        <f t="shared" si="413"/>
        <v>0</v>
      </c>
      <c r="P4410">
        <f t="shared" si="410"/>
        <v>4450</v>
      </c>
      <c r="Q4410">
        <f t="shared" si="414"/>
        <v>4450</v>
      </c>
      <c r="T4410" s="16">
        <f t="shared" si="415"/>
        <v>-0.315722979238584</v>
      </c>
    </row>
    <row r="4411" spans="7:20" ht="14.4" x14ac:dyDescent="0.25">
      <c r="G4411" s="10">
        <v>5332</v>
      </c>
      <c r="H4411" s="9">
        <v>37891</v>
      </c>
      <c r="I4411" s="14">
        <f>DATE(2012,12,31)-438</f>
        <v>40836</v>
      </c>
      <c r="J4411" s="15" t="s">
        <v>17</v>
      </c>
      <c r="K4411" s="9">
        <v>4</v>
      </c>
      <c r="L4411" s="16" t="s">
        <v>29</v>
      </c>
      <c r="M4411" s="16">
        <f t="shared" si="411"/>
        <v>-1.489739181765348</v>
      </c>
      <c r="N4411">
        <f t="shared" si="412"/>
        <v>0</v>
      </c>
      <c r="O4411">
        <f t="shared" si="413"/>
        <v>0</v>
      </c>
      <c r="P4411">
        <f t="shared" si="410"/>
        <v>3600</v>
      </c>
      <c r="Q4411">
        <f t="shared" si="414"/>
        <v>3600</v>
      </c>
      <c r="T4411" s="16">
        <f t="shared" si="415"/>
        <v>-1.4897391817653485</v>
      </c>
    </row>
    <row r="4412" spans="7:20" ht="14.4" x14ac:dyDescent="0.25">
      <c r="G4412" s="10">
        <v>5333</v>
      </c>
      <c r="H4412" s="9">
        <v>37891</v>
      </c>
      <c r="I4412" s="14">
        <f>DATE(2012,12,31)-438</f>
        <v>40836</v>
      </c>
      <c r="J4412" s="15" t="s">
        <v>17</v>
      </c>
      <c r="K4412" s="9">
        <v>33</v>
      </c>
      <c r="L4412" s="16" t="s">
        <v>27</v>
      </c>
      <c r="M4412" s="16">
        <f t="shared" si="411"/>
        <v>0.51299434019207357</v>
      </c>
      <c r="N4412">
        <f t="shared" si="412"/>
        <v>0</v>
      </c>
      <c r="O4412">
        <f t="shared" si="413"/>
        <v>0</v>
      </c>
      <c r="P4412">
        <f t="shared" si="410"/>
        <v>5050</v>
      </c>
      <c r="Q4412">
        <f t="shared" si="414"/>
        <v>5050</v>
      </c>
      <c r="T4412" s="16">
        <f t="shared" si="415"/>
        <v>0.51299434019207324</v>
      </c>
    </row>
    <row r="4413" spans="7:20" ht="14.4" x14ac:dyDescent="0.25">
      <c r="G4413" s="10">
        <v>5349</v>
      </c>
      <c r="H4413" s="9">
        <v>38021</v>
      </c>
      <c r="I4413" s="14">
        <f>DATE(2012,12,31)-1440</f>
        <v>39834</v>
      </c>
      <c r="J4413" s="15" t="s">
        <v>16</v>
      </c>
      <c r="K4413" s="9">
        <v>16</v>
      </c>
      <c r="L4413" s="16" t="s">
        <v>26</v>
      </c>
      <c r="M4413" s="16">
        <f t="shared" si="411"/>
        <v>-0.66102186233469074</v>
      </c>
      <c r="N4413">
        <f t="shared" si="412"/>
        <v>0</v>
      </c>
      <c r="O4413">
        <f t="shared" si="413"/>
        <v>0</v>
      </c>
      <c r="P4413">
        <f t="shared" si="410"/>
        <v>4200</v>
      </c>
      <c r="Q4413">
        <f t="shared" si="414"/>
        <v>4200</v>
      </c>
      <c r="T4413" s="16">
        <f t="shared" si="415"/>
        <v>-0.66102186233469118</v>
      </c>
    </row>
    <row r="4414" spans="7:20" ht="14.4" x14ac:dyDescent="0.25">
      <c r="G4414" s="10">
        <v>5350</v>
      </c>
      <c r="H4414" s="9">
        <v>38021</v>
      </c>
      <c r="I4414" s="14">
        <f>DATE(2012,12,31)-1440</f>
        <v>39834</v>
      </c>
      <c r="J4414" s="15" t="s">
        <v>16</v>
      </c>
      <c r="K4414" s="9">
        <v>36</v>
      </c>
      <c r="L4414" s="16" t="s">
        <v>26</v>
      </c>
      <c r="M4414" s="16">
        <f t="shared" si="411"/>
        <v>0.72017367004973787</v>
      </c>
      <c r="N4414">
        <f t="shared" si="412"/>
        <v>0</v>
      </c>
      <c r="O4414">
        <f t="shared" si="413"/>
        <v>0</v>
      </c>
      <c r="P4414">
        <f t="shared" si="410"/>
        <v>5200</v>
      </c>
      <c r="Q4414">
        <f t="shared" si="414"/>
        <v>5200</v>
      </c>
      <c r="T4414" s="16">
        <f t="shared" si="415"/>
        <v>0.72017367004973754</v>
      </c>
    </row>
    <row r="4415" spans="7:20" ht="14.4" x14ac:dyDescent="0.25">
      <c r="G4415" s="10">
        <v>5366</v>
      </c>
      <c r="H4415" s="9">
        <v>38146</v>
      </c>
      <c r="I4415" s="14">
        <f>DATE(2012,12,31)-390</f>
        <v>40884</v>
      </c>
      <c r="J4415" s="15" t="s">
        <v>25</v>
      </c>
      <c r="K4415" s="9">
        <v>41</v>
      </c>
      <c r="L4415" s="16" t="s">
        <v>29</v>
      </c>
      <c r="M4415" s="16">
        <f t="shared" si="411"/>
        <v>1.0654725531458451</v>
      </c>
      <c r="N4415">
        <f t="shared" si="412"/>
        <v>0</v>
      </c>
      <c r="O4415">
        <f t="shared" si="413"/>
        <v>0</v>
      </c>
      <c r="P4415">
        <f t="shared" si="410"/>
        <v>5450</v>
      </c>
      <c r="Q4415">
        <f t="shared" si="414"/>
        <v>5450</v>
      </c>
      <c r="T4415" s="16">
        <f t="shared" si="415"/>
        <v>1.0654725531458447</v>
      </c>
    </row>
    <row r="4416" spans="7:20" ht="14.4" x14ac:dyDescent="0.25">
      <c r="G4416" s="10">
        <v>5441</v>
      </c>
      <c r="H4416" s="9">
        <v>38656</v>
      </c>
      <c r="I4416" s="14">
        <f>DATE(2012,12,31)-143</f>
        <v>41131</v>
      </c>
      <c r="J4416" s="15" t="s">
        <v>25</v>
      </c>
      <c r="K4416" s="9">
        <v>41</v>
      </c>
      <c r="L4416" s="16" t="s">
        <v>26</v>
      </c>
      <c r="M4416" s="16">
        <f t="shared" si="411"/>
        <v>1.0654725531458451</v>
      </c>
      <c r="N4416">
        <f t="shared" si="412"/>
        <v>0</v>
      </c>
      <c r="O4416">
        <f t="shared" si="413"/>
        <v>0</v>
      </c>
      <c r="P4416">
        <f t="shared" si="410"/>
        <v>5450</v>
      </c>
      <c r="Q4416">
        <f t="shared" si="414"/>
        <v>5450</v>
      </c>
      <c r="T4416" s="16">
        <f t="shared" si="415"/>
        <v>1.0654725531458447</v>
      </c>
    </row>
    <row r="4417" spans="7:20" ht="14.4" x14ac:dyDescent="0.25">
      <c r="G4417" s="10">
        <v>5442</v>
      </c>
      <c r="H4417" s="9">
        <v>38656</v>
      </c>
      <c r="I4417" s="14">
        <f>DATE(2012,12,31)-143</f>
        <v>41131</v>
      </c>
      <c r="J4417" s="15" t="s">
        <v>25</v>
      </c>
      <c r="K4417" s="9">
        <v>3</v>
      </c>
      <c r="L4417" s="16" t="s">
        <v>29</v>
      </c>
      <c r="M4417" s="16">
        <f t="shared" si="411"/>
        <v>-1.5587989583845694</v>
      </c>
      <c r="N4417">
        <f t="shared" si="412"/>
        <v>0</v>
      </c>
      <c r="O4417">
        <f t="shared" si="413"/>
        <v>0</v>
      </c>
      <c r="P4417">
        <f t="shared" si="410"/>
        <v>3550</v>
      </c>
      <c r="Q4417">
        <f t="shared" si="414"/>
        <v>3550</v>
      </c>
      <c r="T4417" s="16">
        <f t="shared" si="415"/>
        <v>-1.5587989583845698</v>
      </c>
    </row>
    <row r="4418" spans="7:20" ht="14.4" x14ac:dyDescent="0.25">
      <c r="G4418" s="10">
        <v>5456</v>
      </c>
      <c r="H4418" s="9">
        <v>38756</v>
      </c>
      <c r="I4418" s="14">
        <f>DATE(2012,12,31)-1334</f>
        <v>39940</v>
      </c>
      <c r="J4418" s="15" t="s">
        <v>30</v>
      </c>
      <c r="K4418" s="9">
        <v>43</v>
      </c>
      <c r="L4418" s="16" t="s">
        <v>27</v>
      </c>
      <c r="M4418" s="16">
        <f t="shared" si="411"/>
        <v>1.203592106384288</v>
      </c>
      <c r="N4418">
        <f t="shared" si="412"/>
        <v>0</v>
      </c>
      <c r="O4418">
        <f t="shared" si="413"/>
        <v>0</v>
      </c>
      <c r="P4418">
        <f t="shared" si="410"/>
        <v>5550</v>
      </c>
      <c r="Q4418">
        <f t="shared" si="414"/>
        <v>5550</v>
      </c>
      <c r="T4418" s="16">
        <f t="shared" si="415"/>
        <v>1.2035921063842876</v>
      </c>
    </row>
    <row r="4419" spans="7:20" ht="14.4" x14ac:dyDescent="0.25">
      <c r="G4419" s="10">
        <v>5545</v>
      </c>
      <c r="H4419" s="9">
        <v>39268</v>
      </c>
      <c r="I4419" s="14">
        <f>DATE(2012,12,31)-619</f>
        <v>40655</v>
      </c>
      <c r="J4419" s="15" t="s">
        <v>28</v>
      </c>
      <c r="K4419" s="9">
        <v>44</v>
      </c>
      <c r="L4419" s="16" t="s">
        <v>26</v>
      </c>
      <c r="M4419" s="16">
        <f t="shared" si="411"/>
        <v>1.2726518830035094</v>
      </c>
      <c r="N4419">
        <f t="shared" si="412"/>
        <v>0</v>
      </c>
      <c r="O4419">
        <f t="shared" si="413"/>
        <v>0</v>
      </c>
      <c r="P4419">
        <f t="shared" si="410"/>
        <v>5600</v>
      </c>
      <c r="Q4419">
        <f t="shared" si="414"/>
        <v>5600</v>
      </c>
      <c r="T4419" s="16">
        <f t="shared" si="415"/>
        <v>1.272651883003509</v>
      </c>
    </row>
    <row r="4420" spans="7:20" ht="14.4" x14ac:dyDescent="0.25">
      <c r="G4420" s="10">
        <v>5546</v>
      </c>
      <c r="H4420" s="9">
        <v>39268</v>
      </c>
      <c r="I4420" s="14">
        <f>DATE(2012,12,31)-619</f>
        <v>40655</v>
      </c>
      <c r="J4420" s="15" t="s">
        <v>28</v>
      </c>
      <c r="K4420" s="9">
        <v>45</v>
      </c>
      <c r="L4420" s="16" t="s">
        <v>26</v>
      </c>
      <c r="M4420" s="16">
        <f t="shared" si="411"/>
        <v>1.3417116596227308</v>
      </c>
      <c r="N4420">
        <f t="shared" si="412"/>
        <v>0</v>
      </c>
      <c r="O4420">
        <f t="shared" si="413"/>
        <v>0</v>
      </c>
      <c r="P4420">
        <f t="shared" si="410"/>
        <v>5650</v>
      </c>
      <c r="Q4420">
        <f t="shared" si="414"/>
        <v>5650</v>
      </c>
      <c r="T4420" s="16">
        <f t="shared" si="415"/>
        <v>1.3417116596227305</v>
      </c>
    </row>
    <row r="4421" spans="7:20" ht="14.4" x14ac:dyDescent="0.25">
      <c r="G4421" s="10">
        <v>5572</v>
      </c>
      <c r="H4421" s="9">
        <v>39488</v>
      </c>
      <c r="I4421" s="14">
        <f>DATE(2012,12,31)-1288</f>
        <v>39986</v>
      </c>
      <c r="J4421" s="15" t="s">
        <v>25</v>
      </c>
      <c r="K4421" s="9">
        <v>18</v>
      </c>
      <c r="L4421" s="16" t="s">
        <v>26</v>
      </c>
      <c r="M4421" s="16">
        <f t="shared" si="411"/>
        <v>-0.52290230909624791</v>
      </c>
      <c r="N4421">
        <f t="shared" si="412"/>
        <v>0</v>
      </c>
      <c r="O4421">
        <f t="shared" si="413"/>
        <v>0</v>
      </c>
      <c r="P4421">
        <f t="shared" si="410"/>
        <v>4300</v>
      </c>
      <c r="Q4421">
        <f t="shared" si="414"/>
        <v>4300</v>
      </c>
      <c r="T4421" s="16">
        <f t="shared" si="415"/>
        <v>-0.52290230909624835</v>
      </c>
    </row>
    <row r="4422" spans="7:20" ht="14.4" x14ac:dyDescent="0.25">
      <c r="G4422" s="10">
        <v>5591</v>
      </c>
      <c r="H4422" s="9">
        <v>39650</v>
      </c>
      <c r="I4422" s="14">
        <f>DATE(2012,12,31)-885</f>
        <v>40389</v>
      </c>
      <c r="J4422" s="15" t="s">
        <v>28</v>
      </c>
      <c r="K4422" s="9">
        <v>10</v>
      </c>
      <c r="L4422" s="16" t="s">
        <v>29</v>
      </c>
      <c r="M4422" s="16">
        <f t="shared" si="411"/>
        <v>-1.0753805220500194</v>
      </c>
      <c r="N4422">
        <f t="shared" si="412"/>
        <v>0</v>
      </c>
      <c r="O4422">
        <f t="shared" si="413"/>
        <v>0</v>
      </c>
      <c r="P4422">
        <f t="shared" si="410"/>
        <v>3900</v>
      </c>
      <c r="Q4422">
        <f t="shared" si="414"/>
        <v>3900</v>
      </c>
      <c r="T4422" s="16">
        <f t="shared" si="415"/>
        <v>-1.0753805220500199</v>
      </c>
    </row>
    <row r="4423" spans="7:20" ht="14.4" x14ac:dyDescent="0.25">
      <c r="G4423" s="10">
        <v>5592</v>
      </c>
      <c r="H4423" s="9">
        <v>39650</v>
      </c>
      <c r="I4423" s="14">
        <f>DATE(2012,12,31)-885</f>
        <v>40389</v>
      </c>
      <c r="J4423" s="15" t="s">
        <v>28</v>
      </c>
      <c r="K4423" s="9">
        <v>47</v>
      </c>
      <c r="L4423" s="16" t="s">
        <v>29</v>
      </c>
      <c r="M4423" s="16">
        <f t="shared" si="411"/>
        <v>1.4798312128611737</v>
      </c>
      <c r="N4423">
        <f t="shared" si="412"/>
        <v>0</v>
      </c>
      <c r="O4423">
        <f t="shared" si="413"/>
        <v>0</v>
      </c>
      <c r="P4423">
        <f t="shared" si="410"/>
        <v>5750</v>
      </c>
      <c r="Q4423">
        <f t="shared" si="414"/>
        <v>5750</v>
      </c>
      <c r="T4423" s="16">
        <f t="shared" si="415"/>
        <v>1.4798312128611733</v>
      </c>
    </row>
    <row r="4424" spans="7:20" ht="14.4" x14ac:dyDescent="0.25">
      <c r="G4424" s="10">
        <v>5626</v>
      </c>
      <c r="H4424" s="9">
        <v>39844</v>
      </c>
      <c r="I4424" s="14">
        <f>DATE(2012,12,31)-1126</f>
        <v>40148</v>
      </c>
      <c r="J4424" s="15" t="s">
        <v>28</v>
      </c>
      <c r="K4424" s="9">
        <v>47</v>
      </c>
      <c r="L4424" s="16" t="s">
        <v>26</v>
      </c>
      <c r="M4424" s="16">
        <f t="shared" si="411"/>
        <v>1.4798312128611737</v>
      </c>
      <c r="N4424">
        <f t="shared" si="412"/>
        <v>0</v>
      </c>
      <c r="O4424">
        <f t="shared" si="413"/>
        <v>0</v>
      </c>
      <c r="P4424">
        <f t="shared" si="410"/>
        <v>5750</v>
      </c>
      <c r="Q4424">
        <f t="shared" si="414"/>
        <v>5750</v>
      </c>
      <c r="T4424" s="16">
        <f t="shared" si="415"/>
        <v>1.4798312128611733</v>
      </c>
    </row>
    <row r="4425" spans="7:20" ht="14.4" x14ac:dyDescent="0.25">
      <c r="G4425" s="10">
        <v>5740</v>
      </c>
      <c r="H4425" s="9">
        <v>40800</v>
      </c>
      <c r="I4425" s="14">
        <f>DATE(2012,12,31)-758</f>
        <v>40516</v>
      </c>
      <c r="J4425" s="15" t="s">
        <v>28</v>
      </c>
      <c r="K4425" s="9">
        <v>41</v>
      </c>
      <c r="L4425" s="16" t="s">
        <v>26</v>
      </c>
      <c r="M4425" s="16">
        <f t="shared" si="411"/>
        <v>1.0654725531458451</v>
      </c>
      <c r="N4425">
        <f t="shared" si="412"/>
        <v>0</v>
      </c>
      <c r="O4425">
        <f t="shared" si="413"/>
        <v>0</v>
      </c>
      <c r="P4425">
        <f t="shared" si="410"/>
        <v>5450</v>
      </c>
      <c r="Q4425">
        <f t="shared" si="414"/>
        <v>5450</v>
      </c>
      <c r="T4425" s="16">
        <f t="shared" si="415"/>
        <v>1.0654725531458447</v>
      </c>
    </row>
    <row r="4426" spans="7:20" ht="14.4" x14ac:dyDescent="0.25">
      <c r="G4426" s="10">
        <v>5773</v>
      </c>
      <c r="H4426" s="9">
        <v>40965</v>
      </c>
      <c r="I4426" s="14">
        <f>DATE(2012,12,31)-1137</f>
        <v>40137</v>
      </c>
      <c r="J4426" s="15" t="s">
        <v>16</v>
      </c>
      <c r="K4426" s="9">
        <v>48</v>
      </c>
      <c r="L4426" s="16" t="s">
        <v>29</v>
      </c>
      <c r="M4426" s="16">
        <f t="shared" si="411"/>
        <v>1.5488909894803951</v>
      </c>
      <c r="N4426">
        <f t="shared" si="412"/>
        <v>0</v>
      </c>
      <c r="O4426">
        <f t="shared" si="413"/>
        <v>0</v>
      </c>
      <c r="P4426">
        <f t="shared" si="410"/>
        <v>5800</v>
      </c>
      <c r="Q4426">
        <f t="shared" si="414"/>
        <v>5800</v>
      </c>
      <c r="T4426" s="16">
        <f t="shared" si="415"/>
        <v>1.5488909894803948</v>
      </c>
    </row>
    <row r="4427" spans="7:20" ht="14.4" x14ac:dyDescent="0.25">
      <c r="G4427" s="10">
        <v>5774</v>
      </c>
      <c r="H4427" s="9">
        <v>40965</v>
      </c>
      <c r="I4427" s="14">
        <f>DATE(2012,12,31)-1137</f>
        <v>40137</v>
      </c>
      <c r="J4427" s="15" t="s">
        <v>16</v>
      </c>
      <c r="K4427" s="9">
        <v>39</v>
      </c>
      <c r="L4427" s="16" t="s">
        <v>27</v>
      </c>
      <c r="M4427" s="16">
        <f t="shared" si="411"/>
        <v>0.92735299990740228</v>
      </c>
      <c r="N4427">
        <f t="shared" si="412"/>
        <v>0</v>
      </c>
      <c r="O4427">
        <f t="shared" si="413"/>
        <v>0</v>
      </c>
      <c r="P4427">
        <f t="shared" si="410"/>
        <v>5350</v>
      </c>
      <c r="Q4427">
        <f t="shared" si="414"/>
        <v>5350</v>
      </c>
      <c r="T4427" s="16">
        <f t="shared" si="415"/>
        <v>0.92735299990740183</v>
      </c>
    </row>
    <row r="4428" spans="7:20" ht="14.4" x14ac:dyDescent="0.25">
      <c r="G4428" s="10">
        <v>5822</v>
      </c>
      <c r="H4428" s="9">
        <v>41316</v>
      </c>
      <c r="I4428" s="14">
        <f>DATE(2012,12,31)-1259</f>
        <v>40015</v>
      </c>
      <c r="J4428" s="15" t="s">
        <v>28</v>
      </c>
      <c r="K4428" s="9">
        <v>8</v>
      </c>
      <c r="L4428" s="16" t="s">
        <v>26</v>
      </c>
      <c r="M4428" s="16">
        <f t="shared" si="411"/>
        <v>-1.2135000752884624</v>
      </c>
      <c r="N4428">
        <f t="shared" si="412"/>
        <v>0</v>
      </c>
      <c r="O4428">
        <f t="shared" si="413"/>
        <v>0</v>
      </c>
      <c r="P4428">
        <f t="shared" ref="P4428:P4491" si="416">50*K4428+$P$10</f>
        <v>3800</v>
      </c>
      <c r="Q4428">
        <f t="shared" si="414"/>
        <v>3800</v>
      </c>
      <c r="T4428" s="16">
        <f t="shared" si="415"/>
        <v>-1.2135000752884626</v>
      </c>
    </row>
    <row r="4429" spans="7:20" ht="14.4" x14ac:dyDescent="0.25">
      <c r="G4429" s="10">
        <v>5823</v>
      </c>
      <c r="H4429" s="9">
        <v>41316</v>
      </c>
      <c r="I4429" s="14">
        <f>DATE(2012,12,31)-1259</f>
        <v>40015</v>
      </c>
      <c r="J4429" s="15" t="s">
        <v>28</v>
      </c>
      <c r="K4429" s="9">
        <v>4</v>
      </c>
      <c r="L4429" s="16" t="s">
        <v>27</v>
      </c>
      <c r="M4429" s="16">
        <f t="shared" ref="M4429:M4492" si="417">(K4429-$K$4)/$K$7</f>
        <v>-1.489739181765348</v>
      </c>
      <c r="N4429">
        <f t="shared" ref="N4429:N4492" si="418">IF(MOD($B$20+G4429,1000)=0,1,0)</f>
        <v>0</v>
      </c>
      <c r="O4429">
        <f t="shared" ref="O4429:O4492" si="419">+ROUND(N4429*(IF(K4429&lt;$K$4,-4.5,10.5)*$P$5),-2)</f>
        <v>0</v>
      </c>
      <c r="P4429">
        <f t="shared" si="416"/>
        <v>3600</v>
      </c>
      <c r="Q4429">
        <f t="shared" ref="Q4429:Q4492" si="420">P4429+O4429</f>
        <v>3600</v>
      </c>
      <c r="T4429" s="16">
        <f t="shared" ref="T4429:T4492" si="421">(Q4429-$P$4)/$P$5</f>
        <v>-1.4897391817653485</v>
      </c>
    </row>
    <row r="4430" spans="7:20" ht="14.4" x14ac:dyDescent="0.25">
      <c r="G4430" s="10">
        <v>5847</v>
      </c>
      <c r="H4430" s="9">
        <v>41476</v>
      </c>
      <c r="I4430" s="14">
        <f>DATE(2012,12,31)-945</f>
        <v>40329</v>
      </c>
      <c r="J4430" s="15" t="s">
        <v>17</v>
      </c>
      <c r="K4430" s="9">
        <v>48</v>
      </c>
      <c r="L4430" s="16" t="s">
        <v>26</v>
      </c>
      <c r="M4430" s="16">
        <f t="shared" si="417"/>
        <v>1.5488909894803951</v>
      </c>
      <c r="N4430">
        <f t="shared" si="418"/>
        <v>0</v>
      </c>
      <c r="O4430">
        <f t="shared" si="419"/>
        <v>0</v>
      </c>
      <c r="P4430">
        <f t="shared" si="416"/>
        <v>5800</v>
      </c>
      <c r="Q4430">
        <f t="shared" si="420"/>
        <v>5800</v>
      </c>
      <c r="T4430" s="16">
        <f t="shared" si="421"/>
        <v>1.5488909894803948</v>
      </c>
    </row>
    <row r="4431" spans="7:20" ht="14.4" x14ac:dyDescent="0.25">
      <c r="G4431" s="10">
        <v>5905</v>
      </c>
      <c r="H4431" s="9">
        <v>41861</v>
      </c>
      <c r="I4431" s="14">
        <f>DATE(2012,12,31)-766</f>
        <v>40508</v>
      </c>
      <c r="J4431" s="15" t="s">
        <v>25</v>
      </c>
      <c r="K4431" s="9">
        <v>24</v>
      </c>
      <c r="L4431" s="16" t="s">
        <v>26</v>
      </c>
      <c r="M4431" s="16">
        <f t="shared" si="417"/>
        <v>-0.1085436493809193</v>
      </c>
      <c r="N4431">
        <f t="shared" si="418"/>
        <v>0</v>
      </c>
      <c r="O4431">
        <f t="shared" si="419"/>
        <v>0</v>
      </c>
      <c r="P4431">
        <f t="shared" si="416"/>
        <v>4600</v>
      </c>
      <c r="Q4431">
        <f t="shared" si="420"/>
        <v>4600</v>
      </c>
      <c r="T4431" s="16">
        <f t="shared" si="421"/>
        <v>-0.10854364938091969</v>
      </c>
    </row>
    <row r="4432" spans="7:20" ht="14.4" x14ac:dyDescent="0.25">
      <c r="G4432" s="10">
        <v>5956</v>
      </c>
      <c r="H4432" s="9">
        <v>42274</v>
      </c>
      <c r="I4432" s="14">
        <f>DATE(2012,12,31)-485</f>
        <v>40789</v>
      </c>
      <c r="J4432" s="15" t="s">
        <v>17</v>
      </c>
      <c r="K4432" s="9">
        <v>23</v>
      </c>
      <c r="L4432" s="16" t="s">
        <v>27</v>
      </c>
      <c r="M4432" s="16">
        <f t="shared" si="417"/>
        <v>-0.17760342600014073</v>
      </c>
      <c r="N4432">
        <f t="shared" si="418"/>
        <v>0</v>
      </c>
      <c r="O4432">
        <f t="shared" si="419"/>
        <v>0</v>
      </c>
      <c r="P4432">
        <f t="shared" si="416"/>
        <v>4550</v>
      </c>
      <c r="Q4432">
        <f t="shared" si="420"/>
        <v>4550</v>
      </c>
      <c r="T4432" s="16">
        <f t="shared" si="421"/>
        <v>-0.17760342600014112</v>
      </c>
    </row>
    <row r="4433" spans="7:20" ht="14.4" x14ac:dyDescent="0.25">
      <c r="G4433" s="10">
        <v>5957</v>
      </c>
      <c r="H4433" s="9">
        <v>42274</v>
      </c>
      <c r="I4433" s="14">
        <f>DATE(2012,12,31)-485</f>
        <v>40789</v>
      </c>
      <c r="J4433" s="15" t="s">
        <v>17</v>
      </c>
      <c r="K4433" s="9">
        <v>45</v>
      </c>
      <c r="L4433" s="16" t="s">
        <v>29</v>
      </c>
      <c r="M4433" s="16">
        <f t="shared" si="417"/>
        <v>1.3417116596227308</v>
      </c>
      <c r="N4433">
        <f t="shared" si="418"/>
        <v>0</v>
      </c>
      <c r="O4433">
        <f t="shared" si="419"/>
        <v>0</v>
      </c>
      <c r="P4433">
        <f t="shared" si="416"/>
        <v>5650</v>
      </c>
      <c r="Q4433">
        <f t="shared" si="420"/>
        <v>5650</v>
      </c>
      <c r="T4433" s="16">
        <f t="shared" si="421"/>
        <v>1.3417116596227305</v>
      </c>
    </row>
    <row r="4434" spans="7:20" ht="14.4" x14ac:dyDescent="0.25">
      <c r="G4434" s="10">
        <v>6048</v>
      </c>
      <c r="H4434" s="9">
        <v>42882</v>
      </c>
      <c r="I4434" s="14">
        <f>DATE(2012,12,31)-796</f>
        <v>40478</v>
      </c>
      <c r="J4434" s="15" t="s">
        <v>25</v>
      </c>
      <c r="K4434" s="9">
        <v>17</v>
      </c>
      <c r="L4434" s="16" t="s">
        <v>26</v>
      </c>
      <c r="M4434" s="16">
        <f t="shared" si="417"/>
        <v>-0.59196208571546938</v>
      </c>
      <c r="N4434">
        <f t="shared" si="418"/>
        <v>0</v>
      </c>
      <c r="O4434">
        <f t="shared" si="419"/>
        <v>0</v>
      </c>
      <c r="P4434">
        <f t="shared" si="416"/>
        <v>4250</v>
      </c>
      <c r="Q4434">
        <f t="shared" si="420"/>
        <v>4250</v>
      </c>
      <c r="T4434" s="16">
        <f t="shared" si="421"/>
        <v>-0.59196208571546971</v>
      </c>
    </row>
    <row r="4435" spans="7:20" ht="14.4" x14ac:dyDescent="0.25">
      <c r="G4435" s="10">
        <v>6121</v>
      </c>
      <c r="H4435" s="9">
        <v>43360</v>
      </c>
      <c r="I4435" s="14">
        <f>DATE(2012,12,31)-1175</f>
        <v>40099</v>
      </c>
      <c r="J4435" s="15" t="s">
        <v>25</v>
      </c>
      <c r="K4435" s="9">
        <v>48</v>
      </c>
      <c r="L4435" s="16" t="s">
        <v>29</v>
      </c>
      <c r="M4435" s="16">
        <f t="shared" si="417"/>
        <v>1.5488909894803951</v>
      </c>
      <c r="N4435">
        <f t="shared" si="418"/>
        <v>0</v>
      </c>
      <c r="O4435">
        <f t="shared" si="419"/>
        <v>0</v>
      </c>
      <c r="P4435">
        <f t="shared" si="416"/>
        <v>5800</v>
      </c>
      <c r="Q4435">
        <f t="shared" si="420"/>
        <v>5800</v>
      </c>
      <c r="T4435" s="16">
        <f t="shared" si="421"/>
        <v>1.5488909894803948</v>
      </c>
    </row>
    <row r="4436" spans="7:20" ht="14.4" x14ac:dyDescent="0.25">
      <c r="G4436" s="10">
        <v>6167</v>
      </c>
      <c r="H4436" s="9">
        <v>43713</v>
      </c>
      <c r="I4436" s="14">
        <f>DATE(2012,12,31)-115</f>
        <v>41159</v>
      </c>
      <c r="J4436" s="15" t="s">
        <v>16</v>
      </c>
      <c r="K4436" s="9">
        <v>12</v>
      </c>
      <c r="L4436" s="16" t="s">
        <v>26</v>
      </c>
      <c r="M4436" s="16">
        <f t="shared" si="417"/>
        <v>-0.9372609688115765</v>
      </c>
      <c r="N4436">
        <f t="shared" si="418"/>
        <v>0</v>
      </c>
      <c r="O4436">
        <f t="shared" si="419"/>
        <v>0</v>
      </c>
      <c r="P4436">
        <f t="shared" si="416"/>
        <v>4000</v>
      </c>
      <c r="Q4436">
        <f t="shared" si="420"/>
        <v>4000</v>
      </c>
      <c r="T4436" s="16">
        <f t="shared" si="421"/>
        <v>-0.93726096881157694</v>
      </c>
    </row>
    <row r="4437" spans="7:20" ht="14.4" x14ac:dyDescent="0.25">
      <c r="G4437" s="10">
        <v>6262</v>
      </c>
      <c r="H4437" s="9">
        <v>44322</v>
      </c>
      <c r="I4437" s="14">
        <f>DATE(2012,12,31)-446</f>
        <v>40828</v>
      </c>
      <c r="J4437" s="15" t="s">
        <v>28</v>
      </c>
      <c r="K4437" s="9">
        <v>15</v>
      </c>
      <c r="L4437" s="16" t="s">
        <v>26</v>
      </c>
      <c r="M4437" s="16">
        <f t="shared" si="417"/>
        <v>-0.7300816389539122</v>
      </c>
      <c r="N4437">
        <f t="shared" si="418"/>
        <v>0</v>
      </c>
      <c r="O4437">
        <f t="shared" si="419"/>
        <v>0</v>
      </c>
      <c r="P4437">
        <f t="shared" si="416"/>
        <v>4150</v>
      </c>
      <c r="Q4437">
        <f t="shared" si="420"/>
        <v>4150</v>
      </c>
      <c r="T4437" s="16">
        <f t="shared" si="421"/>
        <v>-0.73008163895391265</v>
      </c>
    </row>
    <row r="4438" spans="7:20" ht="14.4" x14ac:dyDescent="0.25">
      <c r="G4438" s="10">
        <v>6297</v>
      </c>
      <c r="H4438" s="9">
        <v>44579</v>
      </c>
      <c r="I4438" s="14">
        <f>DATE(2012,12,31)-577</f>
        <v>40697</v>
      </c>
      <c r="J4438" s="15" t="s">
        <v>28</v>
      </c>
      <c r="K4438" s="9">
        <v>19</v>
      </c>
      <c r="L4438" s="16" t="s">
        <v>29</v>
      </c>
      <c r="M4438" s="16">
        <f t="shared" si="417"/>
        <v>-0.45384253247702649</v>
      </c>
      <c r="N4438">
        <f t="shared" si="418"/>
        <v>0</v>
      </c>
      <c r="O4438">
        <f t="shared" si="419"/>
        <v>0</v>
      </c>
      <c r="P4438">
        <f t="shared" si="416"/>
        <v>4350</v>
      </c>
      <c r="Q4438">
        <f t="shared" si="420"/>
        <v>4350</v>
      </c>
      <c r="T4438" s="16">
        <f t="shared" si="421"/>
        <v>-0.45384253247702688</v>
      </c>
    </row>
    <row r="4439" spans="7:20" ht="14.4" x14ac:dyDescent="0.25">
      <c r="G4439" s="10">
        <v>6320</v>
      </c>
      <c r="H4439" s="9">
        <v>44737</v>
      </c>
      <c r="I4439" s="14">
        <f>DATE(2012,12,31)-42</f>
        <v>41232</v>
      </c>
      <c r="J4439" s="15" t="s">
        <v>16</v>
      </c>
      <c r="K4439" s="9">
        <v>11</v>
      </c>
      <c r="L4439" s="16" t="s">
        <v>26</v>
      </c>
      <c r="M4439" s="16">
        <f t="shared" si="417"/>
        <v>-1.0063207454307979</v>
      </c>
      <c r="N4439">
        <f t="shared" si="418"/>
        <v>0</v>
      </c>
      <c r="O4439">
        <f t="shared" si="419"/>
        <v>0</v>
      </c>
      <c r="P4439">
        <f t="shared" si="416"/>
        <v>3950</v>
      </c>
      <c r="Q4439">
        <f t="shared" si="420"/>
        <v>3950</v>
      </c>
      <c r="T4439" s="16">
        <f t="shared" si="421"/>
        <v>-1.0063207454307983</v>
      </c>
    </row>
    <row r="4440" spans="7:20" ht="14.4" x14ac:dyDescent="0.25">
      <c r="G4440" s="10">
        <v>6321</v>
      </c>
      <c r="H4440" s="9">
        <v>44737</v>
      </c>
      <c r="I4440" s="14">
        <f>DATE(2012,12,31)-42</f>
        <v>41232</v>
      </c>
      <c r="J4440" s="15" t="s">
        <v>16</v>
      </c>
      <c r="K4440" s="9">
        <v>16</v>
      </c>
      <c r="L4440" s="16" t="s">
        <v>27</v>
      </c>
      <c r="M4440" s="16">
        <f t="shared" si="417"/>
        <v>-0.66102186233469074</v>
      </c>
      <c r="N4440">
        <f t="shared" si="418"/>
        <v>0</v>
      </c>
      <c r="O4440">
        <f t="shared" si="419"/>
        <v>0</v>
      </c>
      <c r="P4440">
        <f t="shared" si="416"/>
        <v>4200</v>
      </c>
      <c r="Q4440">
        <f t="shared" si="420"/>
        <v>4200</v>
      </c>
      <c r="T4440" s="16">
        <f t="shared" si="421"/>
        <v>-0.66102186233469118</v>
      </c>
    </row>
    <row r="4441" spans="7:20" ht="14.4" x14ac:dyDescent="0.25">
      <c r="G4441" s="10">
        <v>6322</v>
      </c>
      <c r="H4441" s="9">
        <v>44738</v>
      </c>
      <c r="I4441" s="14">
        <f>DATE(2012,12,31)-757</f>
        <v>40517</v>
      </c>
      <c r="J4441" s="15" t="s">
        <v>28</v>
      </c>
      <c r="K4441" s="9">
        <v>34</v>
      </c>
      <c r="L4441" s="16" t="s">
        <v>26</v>
      </c>
      <c r="M4441" s="16">
        <f t="shared" si="417"/>
        <v>0.58205411681129504</v>
      </c>
      <c r="N4441">
        <f t="shared" si="418"/>
        <v>0</v>
      </c>
      <c r="O4441">
        <f t="shared" si="419"/>
        <v>0</v>
      </c>
      <c r="P4441">
        <f t="shared" si="416"/>
        <v>5100</v>
      </c>
      <c r="Q4441">
        <f t="shared" si="420"/>
        <v>5100</v>
      </c>
      <c r="T4441" s="16">
        <f t="shared" si="421"/>
        <v>0.58205411681129471</v>
      </c>
    </row>
    <row r="4442" spans="7:20" ht="14.4" x14ac:dyDescent="0.25">
      <c r="G4442" s="10">
        <v>6323</v>
      </c>
      <c r="H4442" s="9">
        <v>44768</v>
      </c>
      <c r="I4442" s="14">
        <f>DATE(2012,12,31)-219</f>
        <v>41055</v>
      </c>
      <c r="J4442" s="15" t="s">
        <v>28</v>
      </c>
      <c r="K4442" s="9">
        <v>45</v>
      </c>
      <c r="L4442" s="16" t="s">
        <v>29</v>
      </c>
      <c r="M4442" s="16">
        <f t="shared" si="417"/>
        <v>1.3417116596227308</v>
      </c>
      <c r="N4442">
        <f t="shared" si="418"/>
        <v>0</v>
      </c>
      <c r="O4442">
        <f t="shared" si="419"/>
        <v>0</v>
      </c>
      <c r="P4442">
        <f t="shared" si="416"/>
        <v>5650</v>
      </c>
      <c r="Q4442">
        <f t="shared" si="420"/>
        <v>5650</v>
      </c>
      <c r="T4442" s="16">
        <f t="shared" si="421"/>
        <v>1.3417116596227305</v>
      </c>
    </row>
    <row r="4443" spans="7:20" ht="14.4" x14ac:dyDescent="0.25">
      <c r="G4443" s="10">
        <v>6332</v>
      </c>
      <c r="H4443" s="9">
        <v>44867</v>
      </c>
      <c r="I4443" s="14">
        <f>DATE(2012,12,31)-1254</f>
        <v>40020</v>
      </c>
      <c r="J4443" s="15" t="s">
        <v>17</v>
      </c>
      <c r="K4443" s="9">
        <v>40</v>
      </c>
      <c r="L4443" s="16" t="s">
        <v>29</v>
      </c>
      <c r="M4443" s="16">
        <f t="shared" si="417"/>
        <v>0.99641277652662363</v>
      </c>
      <c r="N4443">
        <f t="shared" si="418"/>
        <v>0</v>
      </c>
      <c r="O4443">
        <f t="shared" si="419"/>
        <v>0</v>
      </c>
      <c r="P4443">
        <f t="shared" si="416"/>
        <v>5400</v>
      </c>
      <c r="Q4443">
        <f t="shared" si="420"/>
        <v>5400</v>
      </c>
      <c r="T4443" s="16">
        <f t="shared" si="421"/>
        <v>0.9964127765266233</v>
      </c>
    </row>
    <row r="4444" spans="7:20" ht="14.4" x14ac:dyDescent="0.25">
      <c r="G4444" s="10">
        <v>6352</v>
      </c>
      <c r="H4444" s="9">
        <v>45029</v>
      </c>
      <c r="I4444" s="14">
        <f>DATE(2012,12,31)-912</f>
        <v>40362</v>
      </c>
      <c r="J4444" s="15" t="s">
        <v>17</v>
      </c>
      <c r="K4444" s="9">
        <v>20</v>
      </c>
      <c r="L4444" s="16" t="s">
        <v>29</v>
      </c>
      <c r="M4444" s="16">
        <f t="shared" si="417"/>
        <v>-0.38478275585780503</v>
      </c>
      <c r="N4444">
        <f t="shared" si="418"/>
        <v>0</v>
      </c>
      <c r="O4444">
        <f t="shared" si="419"/>
        <v>0</v>
      </c>
      <c r="P4444">
        <f t="shared" si="416"/>
        <v>4400</v>
      </c>
      <c r="Q4444">
        <f t="shared" si="420"/>
        <v>4400</v>
      </c>
      <c r="T4444" s="16">
        <f t="shared" si="421"/>
        <v>-0.38478275585780541</v>
      </c>
    </row>
    <row r="4445" spans="7:20" ht="14.4" x14ac:dyDescent="0.25">
      <c r="G4445" s="10">
        <v>6410</v>
      </c>
      <c r="H4445" s="9">
        <v>45543</v>
      </c>
      <c r="I4445" s="14">
        <f>DATE(2012,12,31)-698</f>
        <v>40576</v>
      </c>
      <c r="J4445" s="15" t="s">
        <v>25</v>
      </c>
      <c r="K4445" s="9">
        <v>16</v>
      </c>
      <c r="L4445" s="16" t="s">
        <v>29</v>
      </c>
      <c r="M4445" s="16">
        <f t="shared" si="417"/>
        <v>-0.66102186233469074</v>
      </c>
      <c r="N4445">
        <f t="shared" si="418"/>
        <v>0</v>
      </c>
      <c r="O4445">
        <f t="shared" si="419"/>
        <v>0</v>
      </c>
      <c r="P4445">
        <f t="shared" si="416"/>
        <v>4200</v>
      </c>
      <c r="Q4445">
        <f t="shared" si="420"/>
        <v>4200</v>
      </c>
      <c r="T4445" s="16">
        <f t="shared" si="421"/>
        <v>-0.66102186233469118</v>
      </c>
    </row>
    <row r="4446" spans="7:20" ht="14.4" x14ac:dyDescent="0.25">
      <c r="G4446" s="10">
        <v>6422</v>
      </c>
      <c r="H4446" s="9">
        <v>45635</v>
      </c>
      <c r="I4446" s="14">
        <f>DATE(2012,12,31)-268</f>
        <v>41006</v>
      </c>
      <c r="J4446" s="15" t="s">
        <v>25</v>
      </c>
      <c r="K4446" s="9">
        <v>50</v>
      </c>
      <c r="L4446" s="16" t="s">
        <v>27</v>
      </c>
      <c r="M4446" s="16">
        <f t="shared" si="417"/>
        <v>1.687010542718838</v>
      </c>
      <c r="N4446">
        <f t="shared" si="418"/>
        <v>0</v>
      </c>
      <c r="O4446">
        <f t="shared" si="419"/>
        <v>0</v>
      </c>
      <c r="P4446">
        <f t="shared" si="416"/>
        <v>5900</v>
      </c>
      <c r="Q4446">
        <f t="shared" si="420"/>
        <v>5900</v>
      </c>
      <c r="T4446" s="16">
        <f t="shared" si="421"/>
        <v>1.6870105427188375</v>
      </c>
    </row>
    <row r="4447" spans="7:20" ht="14.4" x14ac:dyDescent="0.25">
      <c r="G4447" s="10">
        <v>6525</v>
      </c>
      <c r="H4447" s="9">
        <v>46436</v>
      </c>
      <c r="I4447" s="14">
        <f>DATE(2012,12,31)-1367</f>
        <v>39907</v>
      </c>
      <c r="J4447" s="15" t="s">
        <v>25</v>
      </c>
      <c r="K4447" s="9">
        <v>46</v>
      </c>
      <c r="L4447" s="16" t="s">
        <v>27</v>
      </c>
      <c r="M4447" s="16">
        <f t="shared" si="417"/>
        <v>1.4107714362419523</v>
      </c>
      <c r="N4447">
        <f t="shared" si="418"/>
        <v>0</v>
      </c>
      <c r="O4447">
        <f t="shared" si="419"/>
        <v>0</v>
      </c>
      <c r="P4447">
        <f t="shared" si="416"/>
        <v>5700</v>
      </c>
      <c r="Q4447">
        <f t="shared" si="420"/>
        <v>5700</v>
      </c>
      <c r="T4447" s="16">
        <f t="shared" si="421"/>
        <v>1.4107714362419519</v>
      </c>
    </row>
    <row r="4448" spans="7:20" ht="14.4" x14ac:dyDescent="0.25">
      <c r="G4448" s="10">
        <v>6577</v>
      </c>
      <c r="H4448" s="9">
        <v>46848</v>
      </c>
      <c r="I4448" s="14">
        <f>DATE(2012,12,31)-1147</f>
        <v>40127</v>
      </c>
      <c r="J4448" s="15" t="s">
        <v>16</v>
      </c>
      <c r="K4448" s="9">
        <v>39</v>
      </c>
      <c r="L4448" s="16" t="s">
        <v>26</v>
      </c>
      <c r="M4448" s="16">
        <f t="shared" si="417"/>
        <v>0.92735299990740228</v>
      </c>
      <c r="N4448">
        <f t="shared" si="418"/>
        <v>0</v>
      </c>
      <c r="O4448">
        <f t="shared" si="419"/>
        <v>0</v>
      </c>
      <c r="P4448">
        <f t="shared" si="416"/>
        <v>5350</v>
      </c>
      <c r="Q4448">
        <f t="shared" si="420"/>
        <v>5350</v>
      </c>
      <c r="T4448" s="16">
        <f t="shared" si="421"/>
        <v>0.92735299990740183</v>
      </c>
    </row>
    <row r="4449" spans="7:20" ht="14.4" x14ac:dyDescent="0.25">
      <c r="G4449" s="10">
        <v>6605</v>
      </c>
      <c r="H4449" s="9">
        <v>47009</v>
      </c>
      <c r="I4449" s="14">
        <f>DATE(2012,12,31)-1306</f>
        <v>39968</v>
      </c>
      <c r="J4449" s="15" t="s">
        <v>30</v>
      </c>
      <c r="K4449" s="9">
        <v>32</v>
      </c>
      <c r="L4449" s="16" t="s">
        <v>27</v>
      </c>
      <c r="M4449" s="16">
        <f t="shared" si="417"/>
        <v>0.44393456357285216</v>
      </c>
      <c r="N4449">
        <f t="shared" si="418"/>
        <v>0</v>
      </c>
      <c r="O4449">
        <f t="shared" si="419"/>
        <v>0</v>
      </c>
      <c r="P4449">
        <f t="shared" si="416"/>
        <v>5000</v>
      </c>
      <c r="Q4449">
        <f t="shared" si="420"/>
        <v>5000</v>
      </c>
      <c r="T4449" s="16">
        <f t="shared" si="421"/>
        <v>0.44393456357285183</v>
      </c>
    </row>
    <row r="4450" spans="7:20" ht="14.4" x14ac:dyDescent="0.25">
      <c r="G4450" s="10">
        <v>6627</v>
      </c>
      <c r="H4450" s="9">
        <v>47138</v>
      </c>
      <c r="I4450" s="14">
        <f>DATE(2012,12,31)-1452</f>
        <v>39822</v>
      </c>
      <c r="J4450" s="15" t="s">
        <v>25</v>
      </c>
      <c r="K4450" s="9">
        <v>1</v>
      </c>
      <c r="L4450" s="16" t="s">
        <v>27</v>
      </c>
      <c r="M4450" s="16">
        <f t="shared" si="417"/>
        <v>-1.6969185116230123</v>
      </c>
      <c r="N4450">
        <f t="shared" si="418"/>
        <v>0</v>
      </c>
      <c r="O4450">
        <f t="shared" si="419"/>
        <v>0</v>
      </c>
      <c r="P4450">
        <f t="shared" si="416"/>
        <v>3450</v>
      </c>
      <c r="Q4450">
        <f t="shared" si="420"/>
        <v>3450</v>
      </c>
      <c r="T4450" s="16">
        <f t="shared" si="421"/>
        <v>-1.6969185116230128</v>
      </c>
    </row>
    <row r="4451" spans="7:20" ht="14.4" x14ac:dyDescent="0.25">
      <c r="G4451" s="10">
        <v>6642</v>
      </c>
      <c r="H4451" s="9">
        <v>47236</v>
      </c>
      <c r="I4451" s="14">
        <f>DATE(2012,12,31)-456</f>
        <v>40818</v>
      </c>
      <c r="J4451" s="15" t="s">
        <v>17</v>
      </c>
      <c r="K4451" s="9">
        <v>1</v>
      </c>
      <c r="L4451" s="16" t="s">
        <v>26</v>
      </c>
      <c r="M4451" s="16">
        <f t="shared" si="417"/>
        <v>-1.6969185116230123</v>
      </c>
      <c r="N4451">
        <f t="shared" si="418"/>
        <v>0</v>
      </c>
      <c r="O4451">
        <f t="shared" si="419"/>
        <v>0</v>
      </c>
      <c r="P4451">
        <f t="shared" si="416"/>
        <v>3450</v>
      </c>
      <c r="Q4451">
        <f t="shared" si="420"/>
        <v>3450</v>
      </c>
      <c r="T4451" s="16">
        <f t="shared" si="421"/>
        <v>-1.6969185116230128</v>
      </c>
    </row>
    <row r="4452" spans="7:20" ht="14.4" x14ac:dyDescent="0.25">
      <c r="G4452" s="10">
        <v>6697</v>
      </c>
      <c r="H4452" s="9">
        <v>47686</v>
      </c>
      <c r="I4452" s="14">
        <f>DATE(2012,12,31)-81</f>
        <v>41193</v>
      </c>
      <c r="J4452" s="15" t="s">
        <v>28</v>
      </c>
      <c r="K4452" s="9">
        <v>48</v>
      </c>
      <c r="L4452" s="16" t="s">
        <v>26</v>
      </c>
      <c r="M4452" s="16">
        <f t="shared" si="417"/>
        <v>1.5488909894803951</v>
      </c>
      <c r="N4452">
        <f t="shared" si="418"/>
        <v>0</v>
      </c>
      <c r="O4452">
        <f t="shared" si="419"/>
        <v>0</v>
      </c>
      <c r="P4452">
        <f t="shared" si="416"/>
        <v>5800</v>
      </c>
      <c r="Q4452">
        <f t="shared" si="420"/>
        <v>5800</v>
      </c>
      <c r="T4452" s="16">
        <f t="shared" si="421"/>
        <v>1.5488909894803948</v>
      </c>
    </row>
    <row r="4453" spans="7:20" ht="14.4" x14ac:dyDescent="0.25">
      <c r="G4453" s="10">
        <v>6738</v>
      </c>
      <c r="H4453" s="9">
        <v>47971</v>
      </c>
      <c r="I4453" s="14">
        <f>DATE(2012,12,31)-63</f>
        <v>41211</v>
      </c>
      <c r="J4453" s="15" t="s">
        <v>17</v>
      </c>
      <c r="K4453" s="9">
        <v>24</v>
      </c>
      <c r="L4453" s="16" t="s">
        <v>29</v>
      </c>
      <c r="M4453" s="16">
        <f t="shared" si="417"/>
        <v>-0.1085436493809193</v>
      </c>
      <c r="N4453">
        <f t="shared" si="418"/>
        <v>0</v>
      </c>
      <c r="O4453">
        <f t="shared" si="419"/>
        <v>0</v>
      </c>
      <c r="P4453">
        <f t="shared" si="416"/>
        <v>4600</v>
      </c>
      <c r="Q4453">
        <f t="shared" si="420"/>
        <v>4600</v>
      </c>
      <c r="T4453" s="16">
        <f t="shared" si="421"/>
        <v>-0.10854364938091969</v>
      </c>
    </row>
    <row r="4454" spans="7:20" ht="14.4" x14ac:dyDescent="0.25">
      <c r="G4454" s="10">
        <v>6777</v>
      </c>
      <c r="H4454" s="9">
        <v>48261</v>
      </c>
      <c r="I4454" s="14">
        <f>DATE(2012,12,31)-654</f>
        <v>40620</v>
      </c>
      <c r="J4454" s="15" t="s">
        <v>16</v>
      </c>
      <c r="K4454" s="9">
        <v>15</v>
      </c>
      <c r="L4454" s="16" t="s">
        <v>29</v>
      </c>
      <c r="M4454" s="16">
        <f t="shared" si="417"/>
        <v>-0.7300816389539122</v>
      </c>
      <c r="N4454">
        <f t="shared" si="418"/>
        <v>0</v>
      </c>
      <c r="O4454">
        <f t="shared" si="419"/>
        <v>0</v>
      </c>
      <c r="P4454">
        <f t="shared" si="416"/>
        <v>4150</v>
      </c>
      <c r="Q4454">
        <f t="shared" si="420"/>
        <v>4150</v>
      </c>
      <c r="T4454" s="16">
        <f t="shared" si="421"/>
        <v>-0.73008163895391265</v>
      </c>
    </row>
    <row r="4455" spans="7:20" ht="14.4" x14ac:dyDescent="0.25">
      <c r="G4455" s="10">
        <v>6849</v>
      </c>
      <c r="H4455" s="9">
        <v>48773</v>
      </c>
      <c r="I4455" s="14">
        <f>DATE(2012,12,31)-1446</f>
        <v>39828</v>
      </c>
      <c r="J4455" s="15" t="s">
        <v>16</v>
      </c>
      <c r="K4455" s="9">
        <v>7</v>
      </c>
      <c r="L4455" s="16" t="s">
        <v>26</v>
      </c>
      <c r="M4455" s="16">
        <f t="shared" si="417"/>
        <v>-1.2825598519076837</v>
      </c>
      <c r="N4455">
        <f t="shared" si="418"/>
        <v>0</v>
      </c>
      <c r="O4455">
        <f t="shared" si="419"/>
        <v>0</v>
      </c>
      <c r="P4455">
        <f t="shared" si="416"/>
        <v>3750</v>
      </c>
      <c r="Q4455">
        <f t="shared" si="420"/>
        <v>3750</v>
      </c>
      <c r="T4455" s="16">
        <f t="shared" si="421"/>
        <v>-1.2825598519076842</v>
      </c>
    </row>
    <row r="4456" spans="7:20" ht="14.4" x14ac:dyDescent="0.25">
      <c r="G4456" s="10">
        <v>6864</v>
      </c>
      <c r="H4456" s="9">
        <v>48902</v>
      </c>
      <c r="I4456" s="14">
        <f>DATE(2012,12,31)-69</f>
        <v>41205</v>
      </c>
      <c r="J4456" s="15" t="s">
        <v>16</v>
      </c>
      <c r="K4456" s="9">
        <v>7</v>
      </c>
      <c r="L4456" s="16" t="s">
        <v>26</v>
      </c>
      <c r="M4456" s="16">
        <f t="shared" si="417"/>
        <v>-1.2825598519076837</v>
      </c>
      <c r="N4456">
        <f t="shared" si="418"/>
        <v>0</v>
      </c>
      <c r="O4456">
        <f t="shared" si="419"/>
        <v>0</v>
      </c>
      <c r="P4456">
        <f t="shared" si="416"/>
        <v>3750</v>
      </c>
      <c r="Q4456">
        <f t="shared" si="420"/>
        <v>3750</v>
      </c>
      <c r="T4456" s="16">
        <f t="shared" si="421"/>
        <v>-1.2825598519076842</v>
      </c>
    </row>
    <row r="4457" spans="7:20" ht="14.4" x14ac:dyDescent="0.25">
      <c r="G4457" s="10">
        <v>6904</v>
      </c>
      <c r="H4457" s="9">
        <v>49221</v>
      </c>
      <c r="I4457" s="14">
        <f>DATE(2012,12,31)-912</f>
        <v>40362</v>
      </c>
      <c r="J4457" s="15" t="s">
        <v>28</v>
      </c>
      <c r="K4457" s="9">
        <v>22</v>
      </c>
      <c r="L4457" s="16" t="s">
        <v>27</v>
      </c>
      <c r="M4457" s="16">
        <f t="shared" si="417"/>
        <v>-0.24666320261936217</v>
      </c>
      <c r="N4457">
        <f t="shared" si="418"/>
        <v>0</v>
      </c>
      <c r="O4457">
        <f t="shared" si="419"/>
        <v>0</v>
      </c>
      <c r="P4457">
        <f t="shared" si="416"/>
        <v>4500</v>
      </c>
      <c r="Q4457">
        <f t="shared" si="420"/>
        <v>4500</v>
      </c>
      <c r="T4457" s="16">
        <f t="shared" si="421"/>
        <v>-0.24666320261936256</v>
      </c>
    </row>
    <row r="4458" spans="7:20" ht="14.4" x14ac:dyDescent="0.25">
      <c r="G4458" s="10">
        <v>6905</v>
      </c>
      <c r="H4458" s="9">
        <v>49221</v>
      </c>
      <c r="I4458" s="14">
        <f>DATE(2012,12,31)-912</f>
        <v>40362</v>
      </c>
      <c r="J4458" s="15" t="s">
        <v>28</v>
      </c>
      <c r="K4458" s="9">
        <v>41</v>
      </c>
      <c r="L4458" s="16" t="s">
        <v>26</v>
      </c>
      <c r="M4458" s="16">
        <f t="shared" si="417"/>
        <v>1.0654725531458451</v>
      </c>
      <c r="N4458">
        <f t="shared" si="418"/>
        <v>0</v>
      </c>
      <c r="O4458">
        <f t="shared" si="419"/>
        <v>0</v>
      </c>
      <c r="P4458">
        <f t="shared" si="416"/>
        <v>5450</v>
      </c>
      <c r="Q4458">
        <f t="shared" si="420"/>
        <v>5450</v>
      </c>
      <c r="T4458" s="16">
        <f t="shared" si="421"/>
        <v>1.0654725531458447</v>
      </c>
    </row>
    <row r="4459" spans="7:20" ht="14.4" x14ac:dyDescent="0.25">
      <c r="G4459" s="10">
        <v>6907</v>
      </c>
      <c r="H4459" s="9">
        <v>49255</v>
      </c>
      <c r="I4459" s="14">
        <f>DATE(2012,12,31)-192</f>
        <v>41082</v>
      </c>
      <c r="J4459" s="15" t="s">
        <v>17</v>
      </c>
      <c r="K4459" s="9">
        <v>20</v>
      </c>
      <c r="L4459" s="16" t="s">
        <v>29</v>
      </c>
      <c r="M4459" s="16">
        <f t="shared" si="417"/>
        <v>-0.38478275585780503</v>
      </c>
      <c r="N4459">
        <f t="shared" si="418"/>
        <v>0</v>
      </c>
      <c r="O4459">
        <f t="shared" si="419"/>
        <v>0</v>
      </c>
      <c r="P4459">
        <f t="shared" si="416"/>
        <v>4400</v>
      </c>
      <c r="Q4459">
        <f t="shared" si="420"/>
        <v>4400</v>
      </c>
      <c r="T4459" s="16">
        <f t="shared" si="421"/>
        <v>-0.38478275585780541</v>
      </c>
    </row>
    <row r="4460" spans="7:20" ht="14.4" x14ac:dyDescent="0.25">
      <c r="G4460" s="10">
        <v>6942</v>
      </c>
      <c r="H4460" s="9">
        <v>49575</v>
      </c>
      <c r="I4460" s="14">
        <f>DATE(2012,12,31)-746</f>
        <v>40528</v>
      </c>
      <c r="J4460" s="15" t="s">
        <v>17</v>
      </c>
      <c r="K4460" s="9">
        <v>12</v>
      </c>
      <c r="L4460" s="16" t="s">
        <v>26</v>
      </c>
      <c r="M4460" s="16">
        <f t="shared" si="417"/>
        <v>-0.9372609688115765</v>
      </c>
      <c r="N4460">
        <f t="shared" si="418"/>
        <v>0</v>
      </c>
      <c r="O4460">
        <f t="shared" si="419"/>
        <v>0</v>
      </c>
      <c r="P4460">
        <f t="shared" si="416"/>
        <v>4000</v>
      </c>
      <c r="Q4460">
        <f t="shared" si="420"/>
        <v>4000</v>
      </c>
      <c r="T4460" s="16">
        <f t="shared" si="421"/>
        <v>-0.93726096881157694</v>
      </c>
    </row>
    <row r="4461" spans="7:20" ht="14.4" x14ac:dyDescent="0.25">
      <c r="G4461" s="10">
        <v>7023</v>
      </c>
      <c r="H4461" s="9">
        <v>50144</v>
      </c>
      <c r="I4461" s="14">
        <f>DATE(2012,12,31)-207</f>
        <v>41067</v>
      </c>
      <c r="J4461" s="15" t="s">
        <v>30</v>
      </c>
      <c r="K4461" s="9">
        <v>36</v>
      </c>
      <c r="L4461" s="16" t="s">
        <v>26</v>
      </c>
      <c r="M4461" s="16">
        <f t="shared" si="417"/>
        <v>0.72017367004973787</v>
      </c>
      <c r="N4461">
        <f t="shared" si="418"/>
        <v>0</v>
      </c>
      <c r="O4461">
        <f t="shared" si="419"/>
        <v>0</v>
      </c>
      <c r="P4461">
        <f t="shared" si="416"/>
        <v>5200</v>
      </c>
      <c r="Q4461">
        <f t="shared" si="420"/>
        <v>5200</v>
      </c>
      <c r="T4461" s="16">
        <f t="shared" si="421"/>
        <v>0.72017367004973754</v>
      </c>
    </row>
    <row r="4462" spans="7:20" ht="14.4" x14ac:dyDescent="0.25">
      <c r="G4462" s="10">
        <v>7030</v>
      </c>
      <c r="H4462" s="9">
        <v>50181</v>
      </c>
      <c r="I4462" s="14">
        <f>DATE(2012,12,31)-215</f>
        <v>41059</v>
      </c>
      <c r="J4462" s="15" t="s">
        <v>17</v>
      </c>
      <c r="K4462" s="9">
        <v>2</v>
      </c>
      <c r="L4462" s="16" t="s">
        <v>29</v>
      </c>
      <c r="M4462" s="16">
        <f t="shared" si="417"/>
        <v>-1.627858735003791</v>
      </c>
      <c r="N4462">
        <f t="shared" si="418"/>
        <v>0</v>
      </c>
      <c r="O4462">
        <f t="shared" si="419"/>
        <v>0</v>
      </c>
      <c r="P4462">
        <f t="shared" si="416"/>
        <v>3500</v>
      </c>
      <c r="Q4462">
        <f t="shared" si="420"/>
        <v>3500</v>
      </c>
      <c r="T4462" s="16">
        <f t="shared" si="421"/>
        <v>-1.6278587350037912</v>
      </c>
    </row>
    <row r="4463" spans="7:20" ht="14.4" x14ac:dyDescent="0.25">
      <c r="G4463" s="10">
        <v>7346</v>
      </c>
      <c r="H4463" s="9">
        <v>52324</v>
      </c>
      <c r="I4463" s="14">
        <f>DATE(2012,12,31)-185</f>
        <v>41089</v>
      </c>
      <c r="J4463" s="15" t="s">
        <v>28</v>
      </c>
      <c r="K4463" s="9">
        <v>4</v>
      </c>
      <c r="L4463" s="16" t="s">
        <v>29</v>
      </c>
      <c r="M4463" s="16">
        <f t="shared" si="417"/>
        <v>-1.489739181765348</v>
      </c>
      <c r="N4463">
        <f t="shared" si="418"/>
        <v>0</v>
      </c>
      <c r="O4463">
        <f t="shared" si="419"/>
        <v>0</v>
      </c>
      <c r="P4463">
        <f t="shared" si="416"/>
        <v>3600</v>
      </c>
      <c r="Q4463">
        <f t="shared" si="420"/>
        <v>3600</v>
      </c>
      <c r="T4463" s="16">
        <f t="shared" si="421"/>
        <v>-1.4897391817653485</v>
      </c>
    </row>
    <row r="4464" spans="7:20" ht="14.4" x14ac:dyDescent="0.25">
      <c r="G4464" s="10">
        <v>7414</v>
      </c>
      <c r="H4464" s="9">
        <v>52896</v>
      </c>
      <c r="I4464" s="14">
        <f>DATE(2012,12,31)-801</f>
        <v>40473</v>
      </c>
      <c r="J4464" s="15" t="s">
        <v>17</v>
      </c>
      <c r="K4464" s="9">
        <v>24</v>
      </c>
      <c r="L4464" s="16" t="s">
        <v>26</v>
      </c>
      <c r="M4464" s="16">
        <f t="shared" si="417"/>
        <v>-0.1085436493809193</v>
      </c>
      <c r="N4464">
        <f t="shared" si="418"/>
        <v>0</v>
      </c>
      <c r="O4464">
        <f t="shared" si="419"/>
        <v>0</v>
      </c>
      <c r="P4464">
        <f t="shared" si="416"/>
        <v>4600</v>
      </c>
      <c r="Q4464">
        <f t="shared" si="420"/>
        <v>4600</v>
      </c>
      <c r="T4464" s="16">
        <f t="shared" si="421"/>
        <v>-0.10854364938091969</v>
      </c>
    </row>
    <row r="4465" spans="7:20" ht="14.4" x14ac:dyDescent="0.25">
      <c r="G4465" s="10">
        <v>7415</v>
      </c>
      <c r="H4465" s="9">
        <v>52896</v>
      </c>
      <c r="I4465" s="14">
        <f>DATE(2012,12,31)-801</f>
        <v>40473</v>
      </c>
      <c r="J4465" s="15" t="s">
        <v>17</v>
      </c>
      <c r="K4465" s="9">
        <v>49</v>
      </c>
      <c r="L4465" s="16" t="s">
        <v>26</v>
      </c>
      <c r="M4465" s="16">
        <f t="shared" si="417"/>
        <v>1.6179507660996166</v>
      </c>
      <c r="N4465">
        <f t="shared" si="418"/>
        <v>0</v>
      </c>
      <c r="O4465">
        <f t="shared" si="419"/>
        <v>0</v>
      </c>
      <c r="P4465">
        <f t="shared" si="416"/>
        <v>5850</v>
      </c>
      <c r="Q4465">
        <f t="shared" si="420"/>
        <v>5850</v>
      </c>
      <c r="T4465" s="16">
        <f t="shared" si="421"/>
        <v>1.6179507660996162</v>
      </c>
    </row>
    <row r="4466" spans="7:20" ht="14.4" x14ac:dyDescent="0.25">
      <c r="G4466" s="10">
        <v>7416</v>
      </c>
      <c r="H4466" s="9">
        <v>52896</v>
      </c>
      <c r="I4466" s="14">
        <f>DATE(2012,12,31)-801</f>
        <v>40473</v>
      </c>
      <c r="J4466" s="15" t="s">
        <v>17</v>
      </c>
      <c r="K4466" s="9">
        <v>36</v>
      </c>
      <c r="L4466" s="16" t="s">
        <v>29</v>
      </c>
      <c r="M4466" s="16">
        <f t="shared" si="417"/>
        <v>0.72017367004973787</v>
      </c>
      <c r="N4466">
        <f t="shared" si="418"/>
        <v>0</v>
      </c>
      <c r="O4466">
        <f t="shared" si="419"/>
        <v>0</v>
      </c>
      <c r="P4466">
        <f t="shared" si="416"/>
        <v>5200</v>
      </c>
      <c r="Q4466">
        <f t="shared" si="420"/>
        <v>5200</v>
      </c>
      <c r="T4466" s="16">
        <f t="shared" si="421"/>
        <v>0.72017367004973754</v>
      </c>
    </row>
    <row r="4467" spans="7:20" ht="14.4" x14ac:dyDescent="0.25">
      <c r="G4467" s="10">
        <v>7483</v>
      </c>
      <c r="H4467" s="9">
        <v>53441</v>
      </c>
      <c r="I4467" s="14">
        <f>DATE(2012,12,31)-1225</f>
        <v>40049</v>
      </c>
      <c r="J4467" s="15" t="s">
        <v>16</v>
      </c>
      <c r="K4467" s="9">
        <v>7</v>
      </c>
      <c r="L4467" s="16" t="s">
        <v>26</v>
      </c>
      <c r="M4467" s="16">
        <f t="shared" si="417"/>
        <v>-1.2825598519076837</v>
      </c>
      <c r="N4467">
        <f t="shared" si="418"/>
        <v>0</v>
      </c>
      <c r="O4467">
        <f t="shared" si="419"/>
        <v>0</v>
      </c>
      <c r="P4467">
        <f t="shared" si="416"/>
        <v>3750</v>
      </c>
      <c r="Q4467">
        <f t="shared" si="420"/>
        <v>3750</v>
      </c>
      <c r="T4467" s="16">
        <f t="shared" si="421"/>
        <v>-1.2825598519076842</v>
      </c>
    </row>
    <row r="4468" spans="7:20" ht="14.4" x14ac:dyDescent="0.25">
      <c r="G4468" s="10">
        <v>7487</v>
      </c>
      <c r="H4468" s="9">
        <v>53445</v>
      </c>
      <c r="I4468" s="14">
        <f>DATE(2012,12,31)-68</f>
        <v>41206</v>
      </c>
      <c r="J4468" s="15" t="s">
        <v>17</v>
      </c>
      <c r="K4468" s="9">
        <v>8</v>
      </c>
      <c r="L4468" s="16" t="s">
        <v>26</v>
      </c>
      <c r="M4468" s="16">
        <f t="shared" si="417"/>
        <v>-1.2135000752884624</v>
      </c>
      <c r="N4468">
        <f t="shared" si="418"/>
        <v>0</v>
      </c>
      <c r="O4468">
        <f t="shared" si="419"/>
        <v>0</v>
      </c>
      <c r="P4468">
        <f t="shared" si="416"/>
        <v>3800</v>
      </c>
      <c r="Q4468">
        <f t="shared" si="420"/>
        <v>3800</v>
      </c>
      <c r="T4468" s="16">
        <f t="shared" si="421"/>
        <v>-1.2135000752884626</v>
      </c>
    </row>
    <row r="4469" spans="7:20" ht="14.4" x14ac:dyDescent="0.25">
      <c r="G4469" s="10">
        <v>7488</v>
      </c>
      <c r="H4469" s="9">
        <v>53445</v>
      </c>
      <c r="I4469" s="14">
        <f>DATE(2012,12,31)-68</f>
        <v>41206</v>
      </c>
      <c r="J4469" s="15" t="s">
        <v>17</v>
      </c>
      <c r="K4469" s="9">
        <v>21</v>
      </c>
      <c r="L4469" s="16" t="s">
        <v>26</v>
      </c>
      <c r="M4469" s="16">
        <f t="shared" si="417"/>
        <v>-0.31572297923858361</v>
      </c>
      <c r="N4469">
        <f t="shared" si="418"/>
        <v>0</v>
      </c>
      <c r="O4469">
        <f t="shared" si="419"/>
        <v>0</v>
      </c>
      <c r="P4469">
        <f t="shared" si="416"/>
        <v>4450</v>
      </c>
      <c r="Q4469">
        <f t="shared" si="420"/>
        <v>4450</v>
      </c>
      <c r="T4469" s="16">
        <f t="shared" si="421"/>
        <v>-0.315722979238584</v>
      </c>
    </row>
    <row r="4470" spans="7:20" ht="14.4" x14ac:dyDescent="0.25">
      <c r="G4470" s="10">
        <v>7557</v>
      </c>
      <c r="H4470" s="9">
        <v>54055</v>
      </c>
      <c r="I4470" s="14">
        <f>DATE(2012,12,31)-1417</f>
        <v>39857</v>
      </c>
      <c r="J4470" s="15" t="s">
        <v>30</v>
      </c>
      <c r="K4470" s="9">
        <v>44</v>
      </c>
      <c r="L4470" s="16" t="s">
        <v>29</v>
      </c>
      <c r="M4470" s="16">
        <f t="shared" si="417"/>
        <v>1.2726518830035094</v>
      </c>
      <c r="N4470">
        <f t="shared" si="418"/>
        <v>0</v>
      </c>
      <c r="O4470">
        <f t="shared" si="419"/>
        <v>0</v>
      </c>
      <c r="P4470">
        <f t="shared" si="416"/>
        <v>5600</v>
      </c>
      <c r="Q4470">
        <f t="shared" si="420"/>
        <v>5600</v>
      </c>
      <c r="T4470" s="16">
        <f t="shared" si="421"/>
        <v>1.272651883003509</v>
      </c>
    </row>
    <row r="4471" spans="7:20" ht="14.4" x14ac:dyDescent="0.25">
      <c r="G4471" s="10">
        <v>7570</v>
      </c>
      <c r="H4471" s="9">
        <v>54151</v>
      </c>
      <c r="I4471" s="14">
        <f>DATE(2012,12,31)-1216</f>
        <v>40058</v>
      </c>
      <c r="J4471" s="15" t="s">
        <v>30</v>
      </c>
      <c r="K4471" s="9">
        <v>35</v>
      </c>
      <c r="L4471" s="16" t="s">
        <v>26</v>
      </c>
      <c r="M4471" s="16">
        <f t="shared" si="417"/>
        <v>0.65111389343051651</v>
      </c>
      <c r="N4471">
        <f t="shared" si="418"/>
        <v>0</v>
      </c>
      <c r="O4471">
        <f t="shared" si="419"/>
        <v>0</v>
      </c>
      <c r="P4471">
        <f t="shared" si="416"/>
        <v>5150</v>
      </c>
      <c r="Q4471">
        <f t="shared" si="420"/>
        <v>5150</v>
      </c>
      <c r="T4471" s="16">
        <f t="shared" si="421"/>
        <v>0.65111389343051607</v>
      </c>
    </row>
    <row r="4472" spans="7:20" ht="14.4" x14ac:dyDescent="0.25">
      <c r="G4472" s="10">
        <v>7571</v>
      </c>
      <c r="H4472" s="9">
        <v>54151</v>
      </c>
      <c r="I4472" s="14">
        <f>DATE(2012,12,31)-1216</f>
        <v>40058</v>
      </c>
      <c r="J4472" s="15" t="s">
        <v>30</v>
      </c>
      <c r="K4472" s="9">
        <v>38</v>
      </c>
      <c r="L4472" s="16" t="s">
        <v>26</v>
      </c>
      <c r="M4472" s="16">
        <f t="shared" si="417"/>
        <v>0.85829322328818081</v>
      </c>
      <c r="N4472">
        <f t="shared" si="418"/>
        <v>0</v>
      </c>
      <c r="O4472">
        <f t="shared" si="419"/>
        <v>0</v>
      </c>
      <c r="P4472">
        <f t="shared" si="416"/>
        <v>5300</v>
      </c>
      <c r="Q4472">
        <f t="shared" si="420"/>
        <v>5300</v>
      </c>
      <c r="T4472" s="16">
        <f t="shared" si="421"/>
        <v>0.85829322328818036</v>
      </c>
    </row>
    <row r="4473" spans="7:20" ht="14.4" x14ac:dyDescent="0.25">
      <c r="G4473" s="10">
        <v>7576</v>
      </c>
      <c r="H4473" s="9">
        <v>54181</v>
      </c>
      <c r="I4473" s="14">
        <f>DATE(2012,12,31)-227</f>
        <v>41047</v>
      </c>
      <c r="J4473" s="15" t="s">
        <v>17</v>
      </c>
      <c r="K4473" s="9">
        <v>12</v>
      </c>
      <c r="L4473" s="16" t="s">
        <v>27</v>
      </c>
      <c r="M4473" s="16">
        <f t="shared" si="417"/>
        <v>-0.9372609688115765</v>
      </c>
      <c r="N4473">
        <f t="shared" si="418"/>
        <v>0</v>
      </c>
      <c r="O4473">
        <f t="shared" si="419"/>
        <v>0</v>
      </c>
      <c r="P4473">
        <f t="shared" si="416"/>
        <v>4000</v>
      </c>
      <c r="Q4473">
        <f t="shared" si="420"/>
        <v>4000</v>
      </c>
      <c r="T4473" s="16">
        <f t="shared" si="421"/>
        <v>-0.93726096881157694</v>
      </c>
    </row>
    <row r="4474" spans="7:20" ht="14.4" x14ac:dyDescent="0.25">
      <c r="G4474" s="10">
        <v>7582</v>
      </c>
      <c r="H4474" s="9">
        <v>54243</v>
      </c>
      <c r="I4474" s="14">
        <f>DATE(2012,12,31)-1202</f>
        <v>40072</v>
      </c>
      <c r="J4474" s="15" t="s">
        <v>25</v>
      </c>
      <c r="K4474" s="9">
        <v>6</v>
      </c>
      <c r="L4474" s="16" t="s">
        <v>29</v>
      </c>
      <c r="M4474" s="16">
        <f t="shared" si="417"/>
        <v>-1.3516196285269051</v>
      </c>
      <c r="N4474">
        <f t="shared" si="418"/>
        <v>0</v>
      </c>
      <c r="O4474">
        <f t="shared" si="419"/>
        <v>0</v>
      </c>
      <c r="P4474">
        <f t="shared" si="416"/>
        <v>3700</v>
      </c>
      <c r="Q4474">
        <f t="shared" si="420"/>
        <v>3700</v>
      </c>
      <c r="T4474" s="16">
        <f t="shared" si="421"/>
        <v>-1.3516196285269055</v>
      </c>
    </row>
    <row r="4475" spans="7:20" ht="14.4" x14ac:dyDescent="0.25">
      <c r="G4475" s="10">
        <v>7604</v>
      </c>
      <c r="H4475" s="9">
        <v>54407</v>
      </c>
      <c r="I4475" s="14">
        <f>DATE(2012,12,31)-929</f>
        <v>40345</v>
      </c>
      <c r="J4475" s="15" t="s">
        <v>16</v>
      </c>
      <c r="K4475" s="9">
        <v>24</v>
      </c>
      <c r="L4475" s="16" t="s">
        <v>26</v>
      </c>
      <c r="M4475" s="16">
        <f t="shared" si="417"/>
        <v>-0.1085436493809193</v>
      </c>
      <c r="N4475">
        <f t="shared" si="418"/>
        <v>0</v>
      </c>
      <c r="O4475">
        <f t="shared" si="419"/>
        <v>0</v>
      </c>
      <c r="P4475">
        <f t="shared" si="416"/>
        <v>4600</v>
      </c>
      <c r="Q4475">
        <f t="shared" si="420"/>
        <v>4600</v>
      </c>
      <c r="T4475" s="16">
        <f t="shared" si="421"/>
        <v>-0.10854364938091969</v>
      </c>
    </row>
    <row r="4476" spans="7:20" ht="14.4" x14ac:dyDescent="0.25">
      <c r="G4476" s="10">
        <v>7735</v>
      </c>
      <c r="H4476" s="9">
        <v>55394</v>
      </c>
      <c r="I4476" s="14">
        <f>DATE(2012,12,31)-1039</f>
        <v>40235</v>
      </c>
      <c r="J4476" s="15" t="s">
        <v>30</v>
      </c>
      <c r="K4476" s="9">
        <v>21</v>
      </c>
      <c r="L4476" s="16" t="s">
        <v>29</v>
      </c>
      <c r="M4476" s="16">
        <f t="shared" si="417"/>
        <v>-0.31572297923858361</v>
      </c>
      <c r="N4476">
        <f t="shared" si="418"/>
        <v>0</v>
      </c>
      <c r="O4476">
        <f t="shared" si="419"/>
        <v>0</v>
      </c>
      <c r="P4476">
        <f t="shared" si="416"/>
        <v>4450</v>
      </c>
      <c r="Q4476">
        <f t="shared" si="420"/>
        <v>4450</v>
      </c>
      <c r="T4476" s="16">
        <f t="shared" si="421"/>
        <v>-0.315722979238584</v>
      </c>
    </row>
    <row r="4477" spans="7:20" ht="14.4" x14ac:dyDescent="0.25">
      <c r="G4477" s="10">
        <v>7835</v>
      </c>
      <c r="H4477" s="9">
        <v>56003</v>
      </c>
      <c r="I4477" s="14">
        <f>DATE(2012,12,31)-1000</f>
        <v>40274</v>
      </c>
      <c r="J4477" s="15" t="s">
        <v>30</v>
      </c>
      <c r="K4477" s="9">
        <v>13</v>
      </c>
      <c r="L4477" s="16" t="s">
        <v>29</v>
      </c>
      <c r="M4477" s="16">
        <f t="shared" si="417"/>
        <v>-0.86820119219235514</v>
      </c>
      <c r="N4477">
        <f t="shared" si="418"/>
        <v>0</v>
      </c>
      <c r="O4477">
        <f t="shared" si="419"/>
        <v>0</v>
      </c>
      <c r="P4477">
        <f t="shared" si="416"/>
        <v>4050</v>
      </c>
      <c r="Q4477">
        <f t="shared" si="420"/>
        <v>4050</v>
      </c>
      <c r="T4477" s="16">
        <f t="shared" si="421"/>
        <v>-0.86820119219235548</v>
      </c>
    </row>
    <row r="4478" spans="7:20" ht="14.4" x14ac:dyDescent="0.25">
      <c r="G4478" s="10">
        <v>7848</v>
      </c>
      <c r="H4478" s="9">
        <v>56128</v>
      </c>
      <c r="I4478" s="14">
        <f>DATE(2012,12,31)-885</f>
        <v>40389</v>
      </c>
      <c r="J4478" s="15" t="s">
        <v>16</v>
      </c>
      <c r="K4478" s="9">
        <v>41</v>
      </c>
      <c r="L4478" s="16" t="s">
        <v>26</v>
      </c>
      <c r="M4478" s="16">
        <f t="shared" si="417"/>
        <v>1.0654725531458451</v>
      </c>
      <c r="N4478">
        <f t="shared" si="418"/>
        <v>0</v>
      </c>
      <c r="O4478">
        <f t="shared" si="419"/>
        <v>0</v>
      </c>
      <c r="P4478">
        <f t="shared" si="416"/>
        <v>5450</v>
      </c>
      <c r="Q4478">
        <f t="shared" si="420"/>
        <v>5450</v>
      </c>
      <c r="T4478" s="16">
        <f t="shared" si="421"/>
        <v>1.0654725531458447</v>
      </c>
    </row>
    <row r="4479" spans="7:20" ht="14.4" x14ac:dyDescent="0.25">
      <c r="G4479" s="10">
        <v>7849</v>
      </c>
      <c r="H4479" s="9">
        <v>56128</v>
      </c>
      <c r="I4479" s="14">
        <f>DATE(2012,12,31)-885</f>
        <v>40389</v>
      </c>
      <c r="J4479" s="15" t="s">
        <v>16</v>
      </c>
      <c r="K4479" s="9">
        <v>19</v>
      </c>
      <c r="L4479" s="16" t="s">
        <v>29</v>
      </c>
      <c r="M4479" s="16">
        <f t="shared" si="417"/>
        <v>-0.45384253247702649</v>
      </c>
      <c r="N4479">
        <f t="shared" si="418"/>
        <v>0</v>
      </c>
      <c r="O4479">
        <f t="shared" si="419"/>
        <v>0</v>
      </c>
      <c r="P4479">
        <f t="shared" si="416"/>
        <v>4350</v>
      </c>
      <c r="Q4479">
        <f t="shared" si="420"/>
        <v>4350</v>
      </c>
      <c r="T4479" s="16">
        <f t="shared" si="421"/>
        <v>-0.45384253247702688</v>
      </c>
    </row>
    <row r="4480" spans="7:20" ht="14.4" x14ac:dyDescent="0.25">
      <c r="G4480" s="10">
        <v>7882</v>
      </c>
      <c r="H4480" s="9">
        <v>56384</v>
      </c>
      <c r="I4480" s="14">
        <f>DATE(2012,12,31)-153</f>
        <v>41121</v>
      </c>
      <c r="J4480" s="15" t="s">
        <v>30</v>
      </c>
      <c r="K4480" s="9">
        <v>47</v>
      </c>
      <c r="L4480" s="16" t="s">
        <v>26</v>
      </c>
      <c r="M4480" s="16">
        <f t="shared" si="417"/>
        <v>1.4798312128611737</v>
      </c>
      <c r="N4480">
        <f t="shared" si="418"/>
        <v>0</v>
      </c>
      <c r="O4480">
        <f t="shared" si="419"/>
        <v>0</v>
      </c>
      <c r="P4480">
        <f t="shared" si="416"/>
        <v>5750</v>
      </c>
      <c r="Q4480">
        <f t="shared" si="420"/>
        <v>5750</v>
      </c>
      <c r="T4480" s="16">
        <f t="shared" si="421"/>
        <v>1.4798312128611733</v>
      </c>
    </row>
    <row r="4481" spans="7:20" ht="14.4" x14ac:dyDescent="0.25">
      <c r="G4481" s="10">
        <v>7883</v>
      </c>
      <c r="H4481" s="9">
        <v>56384</v>
      </c>
      <c r="I4481" s="14">
        <f>DATE(2012,12,31)-153</f>
        <v>41121</v>
      </c>
      <c r="J4481" s="15" t="s">
        <v>30</v>
      </c>
      <c r="K4481" s="9">
        <v>29</v>
      </c>
      <c r="L4481" s="16" t="s">
        <v>29</v>
      </c>
      <c r="M4481" s="16">
        <f t="shared" si="417"/>
        <v>0.23675523371518786</v>
      </c>
      <c r="N4481">
        <f t="shared" si="418"/>
        <v>0</v>
      </c>
      <c r="O4481">
        <f t="shared" si="419"/>
        <v>0</v>
      </c>
      <c r="P4481">
        <f t="shared" si="416"/>
        <v>4850</v>
      </c>
      <c r="Q4481">
        <f t="shared" si="420"/>
        <v>4850</v>
      </c>
      <c r="T4481" s="16">
        <f t="shared" si="421"/>
        <v>0.2367552337151875</v>
      </c>
    </row>
    <row r="4482" spans="7:20" ht="14.4" x14ac:dyDescent="0.25">
      <c r="G4482" s="10">
        <v>7926</v>
      </c>
      <c r="H4482" s="9">
        <v>56646</v>
      </c>
      <c r="I4482" s="14">
        <f>DATE(2012,12,31)-957</f>
        <v>40317</v>
      </c>
      <c r="J4482" s="15" t="s">
        <v>30</v>
      </c>
      <c r="K4482" s="9">
        <v>41</v>
      </c>
      <c r="L4482" s="16" t="s">
        <v>27</v>
      </c>
      <c r="M4482" s="16">
        <f t="shared" si="417"/>
        <v>1.0654725531458451</v>
      </c>
      <c r="N4482">
        <f t="shared" si="418"/>
        <v>0</v>
      </c>
      <c r="O4482">
        <f t="shared" si="419"/>
        <v>0</v>
      </c>
      <c r="P4482">
        <f t="shared" si="416"/>
        <v>5450</v>
      </c>
      <c r="Q4482">
        <f t="shared" si="420"/>
        <v>5450</v>
      </c>
      <c r="T4482" s="16">
        <f t="shared" si="421"/>
        <v>1.0654725531458447</v>
      </c>
    </row>
    <row r="4483" spans="7:20" ht="14.4" x14ac:dyDescent="0.25">
      <c r="G4483" s="10">
        <v>7968</v>
      </c>
      <c r="H4483" s="9">
        <v>56967</v>
      </c>
      <c r="I4483" s="14">
        <f>DATE(2012,12,31)-304</f>
        <v>40970</v>
      </c>
      <c r="J4483" s="15" t="s">
        <v>25</v>
      </c>
      <c r="K4483" s="9">
        <v>17</v>
      </c>
      <c r="L4483" s="16" t="s">
        <v>27</v>
      </c>
      <c r="M4483" s="16">
        <f t="shared" si="417"/>
        <v>-0.59196208571546938</v>
      </c>
      <c r="N4483">
        <f t="shared" si="418"/>
        <v>0</v>
      </c>
      <c r="O4483">
        <f t="shared" si="419"/>
        <v>0</v>
      </c>
      <c r="P4483">
        <f t="shared" si="416"/>
        <v>4250</v>
      </c>
      <c r="Q4483">
        <f t="shared" si="420"/>
        <v>4250</v>
      </c>
      <c r="T4483" s="16">
        <f t="shared" si="421"/>
        <v>-0.59196208571546971</v>
      </c>
    </row>
    <row r="4484" spans="7:20" ht="14.4" x14ac:dyDescent="0.25">
      <c r="G4484" s="10">
        <v>8053</v>
      </c>
      <c r="H4484" s="9">
        <v>57479</v>
      </c>
      <c r="I4484" s="14">
        <f>DATE(2012,12,31)-657</f>
        <v>40617</v>
      </c>
      <c r="J4484" s="15" t="s">
        <v>17</v>
      </c>
      <c r="K4484" s="9">
        <v>37</v>
      </c>
      <c r="L4484" s="16" t="s">
        <v>26</v>
      </c>
      <c r="M4484" s="16">
        <f t="shared" si="417"/>
        <v>0.78923344666895934</v>
      </c>
      <c r="N4484">
        <f t="shared" si="418"/>
        <v>0</v>
      </c>
      <c r="O4484">
        <f t="shared" si="419"/>
        <v>0</v>
      </c>
      <c r="P4484">
        <f t="shared" si="416"/>
        <v>5250</v>
      </c>
      <c r="Q4484">
        <f t="shared" si="420"/>
        <v>5250</v>
      </c>
      <c r="T4484" s="16">
        <f t="shared" si="421"/>
        <v>0.789233446668959</v>
      </c>
    </row>
    <row r="4485" spans="7:20" ht="14.4" x14ac:dyDescent="0.25">
      <c r="G4485" s="10">
        <v>8089</v>
      </c>
      <c r="H4485" s="9">
        <v>57699</v>
      </c>
      <c r="I4485" s="14">
        <f>DATE(2012,12,31)-51</f>
        <v>41223</v>
      </c>
      <c r="J4485" s="15" t="s">
        <v>25</v>
      </c>
      <c r="K4485" s="9">
        <v>47</v>
      </c>
      <c r="L4485" s="16" t="s">
        <v>27</v>
      </c>
      <c r="M4485" s="16">
        <f t="shared" si="417"/>
        <v>1.4798312128611737</v>
      </c>
      <c r="N4485">
        <f t="shared" si="418"/>
        <v>0</v>
      </c>
      <c r="O4485">
        <f t="shared" si="419"/>
        <v>0</v>
      </c>
      <c r="P4485">
        <f t="shared" si="416"/>
        <v>5750</v>
      </c>
      <c r="Q4485">
        <f t="shared" si="420"/>
        <v>5750</v>
      </c>
      <c r="T4485" s="16">
        <f t="shared" si="421"/>
        <v>1.4798312128611733</v>
      </c>
    </row>
    <row r="4486" spans="7:20" ht="14.4" x14ac:dyDescent="0.25">
      <c r="G4486" s="10">
        <v>8090</v>
      </c>
      <c r="H4486" s="9">
        <v>57699</v>
      </c>
      <c r="I4486" s="14">
        <f>DATE(2012,12,31)-51</f>
        <v>41223</v>
      </c>
      <c r="J4486" s="15" t="s">
        <v>25</v>
      </c>
      <c r="K4486" s="9">
        <v>36</v>
      </c>
      <c r="L4486" s="16" t="s">
        <v>26</v>
      </c>
      <c r="M4486" s="16">
        <f t="shared" si="417"/>
        <v>0.72017367004973787</v>
      </c>
      <c r="N4486">
        <f t="shared" si="418"/>
        <v>0</v>
      </c>
      <c r="O4486">
        <f t="shared" si="419"/>
        <v>0</v>
      </c>
      <c r="P4486">
        <f t="shared" si="416"/>
        <v>5200</v>
      </c>
      <c r="Q4486">
        <f t="shared" si="420"/>
        <v>5200</v>
      </c>
      <c r="T4486" s="16">
        <f t="shared" si="421"/>
        <v>0.72017367004973754</v>
      </c>
    </row>
    <row r="4487" spans="7:20" ht="14.4" x14ac:dyDescent="0.25">
      <c r="G4487" s="10">
        <v>8091</v>
      </c>
      <c r="H4487" s="9">
        <v>57699</v>
      </c>
      <c r="I4487" s="14">
        <f>DATE(2012,12,31)-51</f>
        <v>41223</v>
      </c>
      <c r="J4487" s="15" t="s">
        <v>25</v>
      </c>
      <c r="K4487" s="9">
        <v>20</v>
      </c>
      <c r="L4487" s="16" t="s">
        <v>29</v>
      </c>
      <c r="M4487" s="16">
        <f t="shared" si="417"/>
        <v>-0.38478275585780503</v>
      </c>
      <c r="N4487">
        <f t="shared" si="418"/>
        <v>0</v>
      </c>
      <c r="O4487">
        <f t="shared" si="419"/>
        <v>0</v>
      </c>
      <c r="P4487">
        <f t="shared" si="416"/>
        <v>4400</v>
      </c>
      <c r="Q4487">
        <f t="shared" si="420"/>
        <v>4400</v>
      </c>
      <c r="T4487" s="16">
        <f t="shared" si="421"/>
        <v>-0.38478275585780541</v>
      </c>
    </row>
    <row r="4488" spans="7:20" ht="14.4" x14ac:dyDescent="0.25">
      <c r="G4488" s="10">
        <v>8209</v>
      </c>
      <c r="H4488" s="9">
        <v>58690</v>
      </c>
      <c r="I4488" s="14">
        <f>DATE(2012,12,31)-422</f>
        <v>40852</v>
      </c>
      <c r="J4488" s="15" t="s">
        <v>17</v>
      </c>
      <c r="K4488" s="9">
        <v>14</v>
      </c>
      <c r="L4488" s="16" t="s">
        <v>29</v>
      </c>
      <c r="M4488" s="16">
        <f t="shared" si="417"/>
        <v>-0.79914141557313367</v>
      </c>
      <c r="N4488">
        <f t="shared" si="418"/>
        <v>0</v>
      </c>
      <c r="O4488">
        <f t="shared" si="419"/>
        <v>0</v>
      </c>
      <c r="P4488">
        <f t="shared" si="416"/>
        <v>4100</v>
      </c>
      <c r="Q4488">
        <f t="shared" si="420"/>
        <v>4100</v>
      </c>
      <c r="T4488" s="16">
        <f t="shared" si="421"/>
        <v>-0.79914141557313401</v>
      </c>
    </row>
    <row r="4489" spans="7:20" ht="14.4" x14ac:dyDescent="0.25">
      <c r="G4489" s="10">
        <v>8223</v>
      </c>
      <c r="H4489" s="9">
        <v>58784</v>
      </c>
      <c r="I4489" s="14">
        <f>DATE(2012,12,31)-1443</f>
        <v>39831</v>
      </c>
      <c r="J4489" s="15" t="s">
        <v>16</v>
      </c>
      <c r="K4489" s="9">
        <v>25</v>
      </c>
      <c r="L4489" s="16" t="s">
        <v>29</v>
      </c>
      <c r="M4489" s="16">
        <f t="shared" si="417"/>
        <v>-3.9483872761697868E-2</v>
      </c>
      <c r="N4489">
        <f t="shared" si="418"/>
        <v>0</v>
      </c>
      <c r="O4489">
        <f t="shared" si="419"/>
        <v>0</v>
      </c>
      <c r="P4489">
        <f t="shared" si="416"/>
        <v>4650</v>
      </c>
      <c r="Q4489">
        <f t="shared" si="420"/>
        <v>4650</v>
      </c>
      <c r="T4489" s="16">
        <f t="shared" si="421"/>
        <v>-3.9483872761698249E-2</v>
      </c>
    </row>
    <row r="4490" spans="7:20" ht="14.4" x14ac:dyDescent="0.25">
      <c r="G4490" s="10">
        <v>8224</v>
      </c>
      <c r="H4490" s="9">
        <v>58784</v>
      </c>
      <c r="I4490" s="14">
        <f>DATE(2012,12,31)-1443</f>
        <v>39831</v>
      </c>
      <c r="J4490" s="15" t="s">
        <v>16</v>
      </c>
      <c r="K4490" s="9">
        <v>20</v>
      </c>
      <c r="L4490" s="16" t="s">
        <v>27</v>
      </c>
      <c r="M4490" s="16">
        <f t="shared" si="417"/>
        <v>-0.38478275585780503</v>
      </c>
      <c r="N4490">
        <f t="shared" si="418"/>
        <v>0</v>
      </c>
      <c r="O4490">
        <f t="shared" si="419"/>
        <v>0</v>
      </c>
      <c r="P4490">
        <f t="shared" si="416"/>
        <v>4400</v>
      </c>
      <c r="Q4490">
        <f t="shared" si="420"/>
        <v>4400</v>
      </c>
      <c r="T4490" s="16">
        <f t="shared" si="421"/>
        <v>-0.38478275585780541</v>
      </c>
    </row>
    <row r="4491" spans="7:20" ht="14.4" x14ac:dyDescent="0.25">
      <c r="G4491" s="10">
        <v>8318</v>
      </c>
      <c r="H4491" s="9">
        <v>59428</v>
      </c>
      <c r="I4491" s="14">
        <f>DATE(2012,12,31)-844</f>
        <v>40430</v>
      </c>
      <c r="J4491" s="15" t="s">
        <v>17</v>
      </c>
      <c r="K4491" s="9">
        <v>36</v>
      </c>
      <c r="L4491" s="16" t="s">
        <v>29</v>
      </c>
      <c r="M4491" s="16">
        <f t="shared" si="417"/>
        <v>0.72017367004973787</v>
      </c>
      <c r="N4491">
        <f t="shared" si="418"/>
        <v>0</v>
      </c>
      <c r="O4491">
        <f t="shared" si="419"/>
        <v>0</v>
      </c>
      <c r="P4491">
        <f t="shared" si="416"/>
        <v>5200</v>
      </c>
      <c r="Q4491">
        <f t="shared" si="420"/>
        <v>5200</v>
      </c>
      <c r="T4491" s="16">
        <f t="shared" si="421"/>
        <v>0.72017367004973754</v>
      </c>
    </row>
    <row r="4492" spans="7:20" ht="14.4" x14ac:dyDescent="0.25">
      <c r="G4492" s="10">
        <v>8319</v>
      </c>
      <c r="H4492" s="9">
        <v>59428</v>
      </c>
      <c r="I4492" s="14">
        <f>DATE(2012,12,31)-844</f>
        <v>40430</v>
      </c>
      <c r="J4492" s="15" t="s">
        <v>17</v>
      </c>
      <c r="K4492" s="9">
        <v>43</v>
      </c>
      <c r="L4492" s="16" t="s">
        <v>29</v>
      </c>
      <c r="M4492" s="16">
        <f t="shared" si="417"/>
        <v>1.203592106384288</v>
      </c>
      <c r="N4492">
        <f t="shared" si="418"/>
        <v>0</v>
      </c>
      <c r="O4492">
        <f t="shared" si="419"/>
        <v>0</v>
      </c>
      <c r="P4492">
        <f t="shared" ref="P4492:P4555" si="422">50*K4492+$P$10</f>
        <v>5550</v>
      </c>
      <c r="Q4492">
        <f t="shared" si="420"/>
        <v>5550</v>
      </c>
      <c r="T4492" s="16">
        <f t="shared" si="421"/>
        <v>1.2035921063842876</v>
      </c>
    </row>
    <row r="4493" spans="7:20" ht="14.4" x14ac:dyDescent="0.25">
      <c r="G4493" s="10">
        <v>221</v>
      </c>
      <c r="H4493" s="9">
        <v>1444</v>
      </c>
      <c r="I4493" s="14">
        <f>DATE(2012,12,31)-1122</f>
        <v>40152</v>
      </c>
      <c r="J4493" s="15" t="s">
        <v>16</v>
      </c>
      <c r="K4493" s="9">
        <v>25</v>
      </c>
      <c r="L4493" s="16" t="s">
        <v>26</v>
      </c>
      <c r="M4493" s="16">
        <f t="shared" ref="M4493:M4556" si="423">(K4493-$K$4)/$K$7</f>
        <v>-3.9483872761697868E-2</v>
      </c>
      <c r="N4493">
        <f t="shared" ref="N4493:N4556" si="424">IF(MOD($B$20+G4493,1000)=0,1,0)</f>
        <v>0</v>
      </c>
      <c r="O4493">
        <f t="shared" ref="O4493:O4556" si="425">+ROUND(N4493*(IF(K4493&lt;$K$4,-4.5,10.5)*$P$5),-2)</f>
        <v>0</v>
      </c>
      <c r="P4493">
        <f t="shared" si="422"/>
        <v>4650</v>
      </c>
      <c r="Q4493">
        <f t="shared" ref="Q4493:Q4556" si="426">P4493+O4493</f>
        <v>4650</v>
      </c>
      <c r="T4493" s="16">
        <f t="shared" ref="T4493:T4556" si="427">(Q4493-$P$4)/$P$5</f>
        <v>-3.9483872761698249E-2</v>
      </c>
    </row>
    <row r="4494" spans="7:20" ht="14.4" x14ac:dyDescent="0.25">
      <c r="G4494" s="10">
        <v>278</v>
      </c>
      <c r="H4494" s="9">
        <v>1921</v>
      </c>
      <c r="I4494" s="14">
        <f>DATE(2012,12,31)-1444</f>
        <v>39830</v>
      </c>
      <c r="J4494" s="15" t="s">
        <v>16</v>
      </c>
      <c r="K4494" s="9">
        <v>24</v>
      </c>
      <c r="L4494" s="16" t="s">
        <v>26</v>
      </c>
      <c r="M4494" s="16">
        <f t="shared" si="423"/>
        <v>-0.1085436493809193</v>
      </c>
      <c r="N4494">
        <f t="shared" si="424"/>
        <v>0</v>
      </c>
      <c r="O4494">
        <f t="shared" si="425"/>
        <v>0</v>
      </c>
      <c r="P4494">
        <f t="shared" si="422"/>
        <v>4600</v>
      </c>
      <c r="Q4494">
        <f t="shared" si="426"/>
        <v>4600</v>
      </c>
      <c r="T4494" s="16">
        <f t="shared" si="427"/>
        <v>-0.10854364938091969</v>
      </c>
    </row>
    <row r="4495" spans="7:20" ht="14.4" x14ac:dyDescent="0.25">
      <c r="G4495" s="10">
        <v>283</v>
      </c>
      <c r="H4495" s="9">
        <v>1985</v>
      </c>
      <c r="I4495" s="14">
        <f>DATE(2012,12,31)-1217</f>
        <v>40057</v>
      </c>
      <c r="J4495" s="15" t="s">
        <v>28</v>
      </c>
      <c r="K4495" s="9">
        <v>33</v>
      </c>
      <c r="L4495" s="16" t="s">
        <v>27</v>
      </c>
      <c r="M4495" s="16">
        <f t="shared" si="423"/>
        <v>0.51299434019207357</v>
      </c>
      <c r="N4495">
        <f t="shared" si="424"/>
        <v>0</v>
      </c>
      <c r="O4495">
        <f t="shared" si="425"/>
        <v>0</v>
      </c>
      <c r="P4495">
        <f t="shared" si="422"/>
        <v>5050</v>
      </c>
      <c r="Q4495">
        <f t="shared" si="426"/>
        <v>5050</v>
      </c>
      <c r="T4495" s="16">
        <f t="shared" si="427"/>
        <v>0.51299434019207324</v>
      </c>
    </row>
    <row r="4496" spans="7:20" ht="14.4" x14ac:dyDescent="0.25">
      <c r="G4496" s="10">
        <v>443</v>
      </c>
      <c r="H4496" s="9">
        <v>2978</v>
      </c>
      <c r="I4496" s="14">
        <f>DATE(2012,12,31)-609</f>
        <v>40665</v>
      </c>
      <c r="J4496" s="15" t="s">
        <v>30</v>
      </c>
      <c r="K4496" s="9">
        <v>28</v>
      </c>
      <c r="L4496" s="16" t="s">
        <v>27</v>
      </c>
      <c r="M4496" s="16">
        <f t="shared" si="423"/>
        <v>0.16769545709596645</v>
      </c>
      <c r="N4496">
        <f t="shared" si="424"/>
        <v>0</v>
      </c>
      <c r="O4496">
        <f t="shared" si="425"/>
        <v>0</v>
      </c>
      <c r="P4496">
        <f t="shared" si="422"/>
        <v>4800</v>
      </c>
      <c r="Q4496">
        <f t="shared" si="426"/>
        <v>4800</v>
      </c>
      <c r="T4496" s="16">
        <f t="shared" si="427"/>
        <v>0.16769545709596606</v>
      </c>
    </row>
    <row r="4497" spans="7:20" ht="14.4" x14ac:dyDescent="0.25">
      <c r="G4497" s="10">
        <v>1030</v>
      </c>
      <c r="H4497" s="9">
        <v>7521</v>
      </c>
      <c r="I4497" s="14">
        <f>DATE(2012,12,31)-673</f>
        <v>40601</v>
      </c>
      <c r="J4497" s="15" t="s">
        <v>25</v>
      </c>
      <c r="K4497" s="9">
        <v>19</v>
      </c>
      <c r="L4497" s="16" t="s">
        <v>27</v>
      </c>
      <c r="M4497" s="16">
        <f t="shared" si="423"/>
        <v>-0.45384253247702649</v>
      </c>
      <c r="N4497">
        <f t="shared" si="424"/>
        <v>0</v>
      </c>
      <c r="O4497">
        <f t="shared" si="425"/>
        <v>0</v>
      </c>
      <c r="P4497">
        <f t="shared" si="422"/>
        <v>4350</v>
      </c>
      <c r="Q4497">
        <f t="shared" si="426"/>
        <v>4350</v>
      </c>
      <c r="T4497" s="16">
        <f t="shared" si="427"/>
        <v>-0.45384253247702688</v>
      </c>
    </row>
    <row r="4498" spans="7:20" ht="14.4" x14ac:dyDescent="0.25">
      <c r="G4498" s="10">
        <v>1552</v>
      </c>
      <c r="H4498" s="9">
        <v>11206</v>
      </c>
      <c r="I4498" s="14">
        <f>DATE(2012,12,31)-1099</f>
        <v>40175</v>
      </c>
      <c r="J4498" s="15" t="s">
        <v>25</v>
      </c>
      <c r="K4498" s="9">
        <v>26</v>
      </c>
      <c r="L4498" s="16" t="s">
        <v>27</v>
      </c>
      <c r="M4498" s="16">
        <f t="shared" si="423"/>
        <v>2.9575903857523567E-2</v>
      </c>
      <c r="N4498">
        <f t="shared" si="424"/>
        <v>0</v>
      </c>
      <c r="O4498">
        <f t="shared" si="425"/>
        <v>0</v>
      </c>
      <c r="P4498">
        <f t="shared" si="422"/>
        <v>4700</v>
      </c>
      <c r="Q4498">
        <f t="shared" si="426"/>
        <v>4700</v>
      </c>
      <c r="T4498" s="16">
        <f t="shared" si="427"/>
        <v>2.9575903857523185E-2</v>
      </c>
    </row>
    <row r="4499" spans="7:20" ht="14.4" x14ac:dyDescent="0.25">
      <c r="G4499" s="10">
        <v>1858</v>
      </c>
      <c r="H4499" s="9">
        <v>13351</v>
      </c>
      <c r="I4499" s="14">
        <f>DATE(2012,12,31)-970</f>
        <v>40304</v>
      </c>
      <c r="J4499" s="15" t="s">
        <v>16</v>
      </c>
      <c r="K4499" s="9">
        <v>20</v>
      </c>
      <c r="L4499" s="16" t="s">
        <v>27</v>
      </c>
      <c r="M4499" s="16">
        <f t="shared" si="423"/>
        <v>-0.38478275585780503</v>
      </c>
      <c r="N4499">
        <f t="shared" si="424"/>
        <v>0</v>
      </c>
      <c r="O4499">
        <f t="shared" si="425"/>
        <v>0</v>
      </c>
      <c r="P4499">
        <f t="shared" si="422"/>
        <v>4400</v>
      </c>
      <c r="Q4499">
        <f t="shared" si="426"/>
        <v>4400</v>
      </c>
      <c r="T4499" s="16">
        <f t="shared" si="427"/>
        <v>-0.38478275585780541</v>
      </c>
    </row>
    <row r="4500" spans="7:20" ht="14.4" x14ac:dyDescent="0.25">
      <c r="G4500" s="10">
        <v>1872</v>
      </c>
      <c r="H4500" s="9">
        <v>13476</v>
      </c>
      <c r="I4500" s="14">
        <f>DATE(2012,12,31)-807</f>
        <v>40467</v>
      </c>
      <c r="J4500" s="15" t="s">
        <v>28</v>
      </c>
      <c r="K4500" s="9">
        <v>31</v>
      </c>
      <c r="L4500" s="16" t="s">
        <v>27</v>
      </c>
      <c r="M4500" s="16">
        <f t="shared" si="423"/>
        <v>0.37487478695363075</v>
      </c>
      <c r="N4500">
        <f t="shared" si="424"/>
        <v>0</v>
      </c>
      <c r="O4500">
        <f t="shared" si="425"/>
        <v>0</v>
      </c>
      <c r="P4500">
        <f t="shared" si="422"/>
        <v>4950</v>
      </c>
      <c r="Q4500">
        <f t="shared" si="426"/>
        <v>4950</v>
      </c>
      <c r="T4500" s="16">
        <f t="shared" si="427"/>
        <v>0.37487478695363036</v>
      </c>
    </row>
    <row r="4501" spans="7:20" ht="14.4" x14ac:dyDescent="0.25">
      <c r="G4501" s="10">
        <v>2151</v>
      </c>
      <c r="H4501" s="9">
        <v>15399</v>
      </c>
      <c r="I4501" s="14">
        <f>DATE(2012,12,31)-232</f>
        <v>41042</v>
      </c>
      <c r="J4501" s="15" t="s">
        <v>30</v>
      </c>
      <c r="K4501" s="9">
        <v>38</v>
      </c>
      <c r="L4501" s="16" t="s">
        <v>27</v>
      </c>
      <c r="M4501" s="16">
        <f t="shared" si="423"/>
        <v>0.85829322328818081</v>
      </c>
      <c r="N4501">
        <f t="shared" si="424"/>
        <v>0</v>
      </c>
      <c r="O4501">
        <f t="shared" si="425"/>
        <v>0</v>
      </c>
      <c r="P4501">
        <f t="shared" si="422"/>
        <v>5300</v>
      </c>
      <c r="Q4501">
        <f t="shared" si="426"/>
        <v>5300</v>
      </c>
      <c r="T4501" s="16">
        <f t="shared" si="427"/>
        <v>0.85829322328818036</v>
      </c>
    </row>
    <row r="4502" spans="7:20" ht="14.4" x14ac:dyDescent="0.25">
      <c r="G4502" s="10">
        <v>2178</v>
      </c>
      <c r="H4502" s="9">
        <v>15687</v>
      </c>
      <c r="I4502" s="14">
        <f>DATE(2012,12,31)-266</f>
        <v>41008</v>
      </c>
      <c r="J4502" s="15" t="s">
        <v>30</v>
      </c>
      <c r="K4502" s="9">
        <v>48</v>
      </c>
      <c r="L4502" s="16" t="s">
        <v>29</v>
      </c>
      <c r="M4502" s="16">
        <f t="shared" si="423"/>
        <v>1.5488909894803951</v>
      </c>
      <c r="N4502">
        <f t="shared" si="424"/>
        <v>0</v>
      </c>
      <c r="O4502">
        <f t="shared" si="425"/>
        <v>0</v>
      </c>
      <c r="P4502">
        <f t="shared" si="422"/>
        <v>5800</v>
      </c>
      <c r="Q4502">
        <f t="shared" si="426"/>
        <v>5800</v>
      </c>
      <c r="T4502" s="16">
        <f t="shared" si="427"/>
        <v>1.5488909894803948</v>
      </c>
    </row>
    <row r="4503" spans="7:20" ht="14.4" x14ac:dyDescent="0.25">
      <c r="G4503" s="10">
        <v>3228</v>
      </c>
      <c r="H4503" s="9">
        <v>23169</v>
      </c>
      <c r="I4503" s="14">
        <f>DATE(2012,12,31)-557</f>
        <v>40717</v>
      </c>
      <c r="J4503" s="15" t="s">
        <v>30</v>
      </c>
      <c r="K4503" s="9">
        <v>22</v>
      </c>
      <c r="L4503" s="16" t="s">
        <v>27</v>
      </c>
      <c r="M4503" s="16">
        <f t="shared" si="423"/>
        <v>-0.24666320261936217</v>
      </c>
      <c r="N4503">
        <f t="shared" si="424"/>
        <v>0</v>
      </c>
      <c r="O4503">
        <f t="shared" si="425"/>
        <v>0</v>
      </c>
      <c r="P4503">
        <f t="shared" si="422"/>
        <v>4500</v>
      </c>
      <c r="Q4503">
        <f t="shared" si="426"/>
        <v>4500</v>
      </c>
      <c r="T4503" s="16">
        <f t="shared" si="427"/>
        <v>-0.24666320261936256</v>
      </c>
    </row>
    <row r="4504" spans="7:20" ht="14.4" x14ac:dyDescent="0.25">
      <c r="G4504" s="10">
        <v>4539</v>
      </c>
      <c r="H4504" s="9">
        <v>32292</v>
      </c>
      <c r="I4504" s="14">
        <f>DATE(2012,12,31)-320</f>
        <v>40954</v>
      </c>
      <c r="J4504" s="15" t="s">
        <v>25</v>
      </c>
      <c r="K4504" s="9">
        <v>1</v>
      </c>
      <c r="L4504" s="16" t="s">
        <v>26</v>
      </c>
      <c r="M4504" s="16">
        <f t="shared" si="423"/>
        <v>-1.6969185116230123</v>
      </c>
      <c r="N4504">
        <f t="shared" si="424"/>
        <v>0</v>
      </c>
      <c r="O4504">
        <f t="shared" si="425"/>
        <v>0</v>
      </c>
      <c r="P4504">
        <f t="shared" si="422"/>
        <v>3450</v>
      </c>
      <c r="Q4504">
        <f t="shared" si="426"/>
        <v>3450</v>
      </c>
      <c r="T4504" s="16">
        <f t="shared" si="427"/>
        <v>-1.6969185116230128</v>
      </c>
    </row>
    <row r="4505" spans="7:20" ht="14.4" x14ac:dyDescent="0.25">
      <c r="G4505" s="10">
        <v>4554</v>
      </c>
      <c r="H4505" s="9">
        <v>32389</v>
      </c>
      <c r="I4505" s="14">
        <f>DATE(2012,12,31)-792</f>
        <v>40482</v>
      </c>
      <c r="J4505" s="15" t="s">
        <v>16</v>
      </c>
      <c r="K4505" s="9">
        <v>1</v>
      </c>
      <c r="L4505" s="16" t="s">
        <v>27</v>
      </c>
      <c r="M4505" s="16">
        <f t="shared" si="423"/>
        <v>-1.6969185116230123</v>
      </c>
      <c r="N4505">
        <f t="shared" si="424"/>
        <v>0</v>
      </c>
      <c r="O4505">
        <f t="shared" si="425"/>
        <v>0</v>
      </c>
      <c r="P4505">
        <f t="shared" si="422"/>
        <v>3450</v>
      </c>
      <c r="Q4505">
        <f t="shared" si="426"/>
        <v>3450</v>
      </c>
      <c r="T4505" s="16">
        <f t="shared" si="427"/>
        <v>-1.6969185116230128</v>
      </c>
    </row>
    <row r="4506" spans="7:20" ht="14.4" x14ac:dyDescent="0.25">
      <c r="G4506" s="10">
        <v>5328</v>
      </c>
      <c r="H4506" s="9">
        <v>37863</v>
      </c>
      <c r="I4506" s="14">
        <f>DATE(2012,12,31)-676</f>
        <v>40598</v>
      </c>
      <c r="J4506" s="15" t="s">
        <v>17</v>
      </c>
      <c r="K4506" s="9">
        <v>27</v>
      </c>
      <c r="L4506" s="16" t="s">
        <v>26</v>
      </c>
      <c r="M4506" s="16">
        <f t="shared" si="423"/>
        <v>9.8635680476745008E-2</v>
      </c>
      <c r="N4506">
        <f t="shared" si="424"/>
        <v>0</v>
      </c>
      <c r="O4506">
        <f t="shared" si="425"/>
        <v>0</v>
      </c>
      <c r="P4506">
        <f t="shared" si="422"/>
        <v>4750</v>
      </c>
      <c r="Q4506">
        <f t="shared" si="426"/>
        <v>4750</v>
      </c>
      <c r="T4506" s="16">
        <f t="shared" si="427"/>
        <v>9.8635680476744619E-2</v>
      </c>
    </row>
    <row r="4507" spans="7:20" ht="14.4" x14ac:dyDescent="0.25">
      <c r="G4507" s="10">
        <v>5756</v>
      </c>
      <c r="H4507" s="9">
        <v>40866</v>
      </c>
      <c r="I4507" s="14">
        <f>DATE(2012,12,31)-953</f>
        <v>40321</v>
      </c>
      <c r="J4507" s="15" t="s">
        <v>17</v>
      </c>
      <c r="K4507" s="9">
        <v>3</v>
      </c>
      <c r="L4507" s="16" t="s">
        <v>26</v>
      </c>
      <c r="M4507" s="16">
        <f t="shared" si="423"/>
        <v>-1.5587989583845694</v>
      </c>
      <c r="N4507">
        <f t="shared" si="424"/>
        <v>0</v>
      </c>
      <c r="O4507">
        <f t="shared" si="425"/>
        <v>0</v>
      </c>
      <c r="P4507">
        <f t="shared" si="422"/>
        <v>3550</v>
      </c>
      <c r="Q4507">
        <f t="shared" si="426"/>
        <v>3550</v>
      </c>
      <c r="T4507" s="16">
        <f t="shared" si="427"/>
        <v>-1.5587989583845698</v>
      </c>
    </row>
    <row r="4508" spans="7:20" ht="14.4" x14ac:dyDescent="0.25">
      <c r="G4508" s="10">
        <v>6779</v>
      </c>
      <c r="H4508" s="9">
        <v>48263</v>
      </c>
      <c r="I4508" s="14">
        <f>DATE(2012,12,31)-1028</f>
        <v>40246</v>
      </c>
      <c r="J4508" s="15" t="s">
        <v>16</v>
      </c>
      <c r="K4508" s="9">
        <v>25</v>
      </c>
      <c r="L4508" s="16" t="s">
        <v>26</v>
      </c>
      <c r="M4508" s="16">
        <f t="shared" si="423"/>
        <v>-3.9483872761697868E-2</v>
      </c>
      <c r="N4508">
        <f t="shared" si="424"/>
        <v>0</v>
      </c>
      <c r="O4508">
        <f t="shared" si="425"/>
        <v>0</v>
      </c>
      <c r="P4508">
        <f t="shared" si="422"/>
        <v>4650</v>
      </c>
      <c r="Q4508">
        <f t="shared" si="426"/>
        <v>4650</v>
      </c>
      <c r="T4508" s="16">
        <f t="shared" si="427"/>
        <v>-3.9483872761698249E-2</v>
      </c>
    </row>
    <row r="4509" spans="7:20" ht="14.4" x14ac:dyDescent="0.25">
      <c r="G4509" s="10">
        <v>7004</v>
      </c>
      <c r="H4509" s="9">
        <v>49989</v>
      </c>
      <c r="I4509" s="14">
        <f>DATE(2012,12,31)-980</f>
        <v>40294</v>
      </c>
      <c r="J4509" s="15" t="s">
        <v>28</v>
      </c>
      <c r="K4509" s="9">
        <v>6</v>
      </c>
      <c r="L4509" s="16" t="s">
        <v>27</v>
      </c>
      <c r="M4509" s="16">
        <f t="shared" si="423"/>
        <v>-1.3516196285269051</v>
      </c>
      <c r="N4509">
        <f t="shared" si="424"/>
        <v>0</v>
      </c>
      <c r="O4509">
        <f t="shared" si="425"/>
        <v>0</v>
      </c>
      <c r="P4509">
        <f t="shared" si="422"/>
        <v>3700</v>
      </c>
      <c r="Q4509">
        <f t="shared" si="426"/>
        <v>3700</v>
      </c>
      <c r="T4509" s="16">
        <f t="shared" si="427"/>
        <v>-1.3516196285269055</v>
      </c>
    </row>
    <row r="4510" spans="7:20" ht="14.4" x14ac:dyDescent="0.25">
      <c r="G4510" s="10">
        <v>7631</v>
      </c>
      <c r="H4510" s="9">
        <v>54595</v>
      </c>
      <c r="I4510" s="14">
        <f>DATE(2012,12,31)-1343</f>
        <v>39931</v>
      </c>
      <c r="J4510" s="15" t="s">
        <v>16</v>
      </c>
      <c r="K4510" s="9">
        <v>30</v>
      </c>
      <c r="L4510" s="16" t="s">
        <v>26</v>
      </c>
      <c r="M4510" s="16">
        <f t="shared" si="423"/>
        <v>0.30581501033440933</v>
      </c>
      <c r="N4510">
        <f t="shared" si="424"/>
        <v>0</v>
      </c>
      <c r="O4510">
        <f t="shared" si="425"/>
        <v>0</v>
      </c>
      <c r="P4510">
        <f t="shared" si="422"/>
        <v>4900</v>
      </c>
      <c r="Q4510">
        <f t="shared" si="426"/>
        <v>4900</v>
      </c>
      <c r="T4510" s="16">
        <f t="shared" si="427"/>
        <v>0.30581501033440894</v>
      </c>
    </row>
    <row r="4511" spans="7:20" ht="14.4" x14ac:dyDescent="0.25">
      <c r="G4511" s="10">
        <v>7733</v>
      </c>
      <c r="H4511" s="9">
        <v>55392</v>
      </c>
      <c r="I4511" s="14">
        <f>DATE(2012,12,31)-1304</f>
        <v>39970</v>
      </c>
      <c r="J4511" s="15" t="s">
        <v>30</v>
      </c>
      <c r="K4511" s="9">
        <v>20</v>
      </c>
      <c r="L4511" s="16" t="s">
        <v>26</v>
      </c>
      <c r="M4511" s="16">
        <f t="shared" si="423"/>
        <v>-0.38478275585780503</v>
      </c>
      <c r="N4511">
        <f t="shared" si="424"/>
        <v>0</v>
      </c>
      <c r="O4511">
        <f t="shared" si="425"/>
        <v>0</v>
      </c>
      <c r="P4511">
        <f t="shared" si="422"/>
        <v>4400</v>
      </c>
      <c r="Q4511">
        <f t="shared" si="426"/>
        <v>4400</v>
      </c>
      <c r="T4511" s="16">
        <f t="shared" si="427"/>
        <v>-0.38478275585780541</v>
      </c>
    </row>
    <row r="4512" spans="7:20" ht="14.4" x14ac:dyDescent="0.25">
      <c r="G4512" s="10">
        <v>8010</v>
      </c>
      <c r="H4512" s="9">
        <v>57249</v>
      </c>
      <c r="I4512" s="14">
        <f>DATE(2012,12,31)-895</f>
        <v>40379</v>
      </c>
      <c r="J4512" s="15" t="s">
        <v>17</v>
      </c>
      <c r="K4512" s="9">
        <v>30</v>
      </c>
      <c r="L4512" s="16" t="s">
        <v>29</v>
      </c>
      <c r="M4512" s="16">
        <f t="shared" si="423"/>
        <v>0.30581501033440933</v>
      </c>
      <c r="N4512">
        <f t="shared" si="424"/>
        <v>0</v>
      </c>
      <c r="O4512">
        <f t="shared" si="425"/>
        <v>0</v>
      </c>
      <c r="P4512">
        <f t="shared" si="422"/>
        <v>4900</v>
      </c>
      <c r="Q4512">
        <f t="shared" si="426"/>
        <v>4900</v>
      </c>
      <c r="T4512" s="16">
        <f t="shared" si="427"/>
        <v>0.30581501033440894</v>
      </c>
    </row>
    <row r="4513" spans="7:20" ht="14.4" x14ac:dyDescent="0.25">
      <c r="G4513" s="10">
        <v>218</v>
      </c>
      <c r="H4513" s="9">
        <v>1444</v>
      </c>
      <c r="I4513" s="14">
        <f>DATE(2012,12,31)-1122</f>
        <v>40152</v>
      </c>
      <c r="J4513" s="15" t="s">
        <v>16</v>
      </c>
      <c r="K4513" s="9">
        <v>13</v>
      </c>
      <c r="L4513" s="16" t="s">
        <v>27</v>
      </c>
      <c r="M4513" s="16">
        <f t="shared" si="423"/>
        <v>-0.86820119219235514</v>
      </c>
      <c r="N4513">
        <f t="shared" si="424"/>
        <v>0</v>
      </c>
      <c r="O4513">
        <f t="shared" si="425"/>
        <v>0</v>
      </c>
      <c r="P4513">
        <f t="shared" si="422"/>
        <v>4050</v>
      </c>
      <c r="Q4513">
        <f t="shared" si="426"/>
        <v>4050</v>
      </c>
      <c r="T4513" s="16">
        <f t="shared" si="427"/>
        <v>-0.86820119219235548</v>
      </c>
    </row>
    <row r="4514" spans="7:20" ht="14.4" x14ac:dyDescent="0.25">
      <c r="G4514" s="10">
        <v>709</v>
      </c>
      <c r="H4514" s="9">
        <v>4965</v>
      </c>
      <c r="I4514" s="14">
        <f>DATE(2012,12,31)-803</f>
        <v>40471</v>
      </c>
      <c r="J4514" s="15" t="s">
        <v>25</v>
      </c>
      <c r="K4514" s="9">
        <v>46</v>
      </c>
      <c r="L4514" s="16" t="s">
        <v>26</v>
      </c>
      <c r="M4514" s="16">
        <f t="shared" si="423"/>
        <v>1.4107714362419523</v>
      </c>
      <c r="N4514">
        <f t="shared" si="424"/>
        <v>0</v>
      </c>
      <c r="O4514">
        <f t="shared" si="425"/>
        <v>0</v>
      </c>
      <c r="P4514">
        <f t="shared" si="422"/>
        <v>5700</v>
      </c>
      <c r="Q4514">
        <f t="shared" si="426"/>
        <v>5700</v>
      </c>
      <c r="T4514" s="16">
        <f t="shared" si="427"/>
        <v>1.4107714362419519</v>
      </c>
    </row>
    <row r="4515" spans="7:20" ht="14.4" x14ac:dyDescent="0.25">
      <c r="G4515" s="10">
        <v>790</v>
      </c>
      <c r="H4515" s="9">
        <v>5639</v>
      </c>
      <c r="I4515" s="14">
        <f>DATE(2012,12,31)-1309</f>
        <v>39965</v>
      </c>
      <c r="J4515" s="15" t="s">
        <v>16</v>
      </c>
      <c r="K4515" s="9">
        <v>31</v>
      </c>
      <c r="L4515" s="16" t="s">
        <v>26</v>
      </c>
      <c r="M4515" s="16">
        <f t="shared" si="423"/>
        <v>0.37487478695363075</v>
      </c>
      <c r="N4515">
        <f t="shared" si="424"/>
        <v>0</v>
      </c>
      <c r="O4515">
        <f t="shared" si="425"/>
        <v>0</v>
      </c>
      <c r="P4515">
        <f t="shared" si="422"/>
        <v>4950</v>
      </c>
      <c r="Q4515">
        <f t="shared" si="426"/>
        <v>4950</v>
      </c>
      <c r="T4515" s="16">
        <f t="shared" si="427"/>
        <v>0.37487478695363036</v>
      </c>
    </row>
    <row r="4516" spans="7:20" ht="14.4" x14ac:dyDescent="0.25">
      <c r="G4516" s="10">
        <v>1002</v>
      </c>
      <c r="H4516" s="9">
        <v>7297</v>
      </c>
      <c r="I4516" s="14">
        <f>DATE(2012,12,31)-1204</f>
        <v>40070</v>
      </c>
      <c r="J4516" s="15" t="s">
        <v>17</v>
      </c>
      <c r="K4516" s="9">
        <v>26</v>
      </c>
      <c r="L4516" s="16" t="s">
        <v>29</v>
      </c>
      <c r="M4516" s="16">
        <f t="shared" si="423"/>
        <v>2.9575903857523567E-2</v>
      </c>
      <c r="N4516">
        <f t="shared" si="424"/>
        <v>0</v>
      </c>
      <c r="O4516">
        <f t="shared" si="425"/>
        <v>0</v>
      </c>
      <c r="P4516">
        <f t="shared" si="422"/>
        <v>4700</v>
      </c>
      <c r="Q4516">
        <f t="shared" si="426"/>
        <v>4700</v>
      </c>
      <c r="T4516" s="16">
        <f t="shared" si="427"/>
        <v>2.9575903857523185E-2</v>
      </c>
    </row>
    <row r="4517" spans="7:20" ht="14.4" x14ac:dyDescent="0.25">
      <c r="G4517" s="10">
        <v>1165</v>
      </c>
      <c r="H4517" s="9">
        <v>8513</v>
      </c>
      <c r="I4517" s="14">
        <f>DATE(2012,12,31)-535</f>
        <v>40739</v>
      </c>
      <c r="J4517" s="15" t="s">
        <v>25</v>
      </c>
      <c r="K4517" s="9">
        <v>9</v>
      </c>
      <c r="L4517" s="16" t="s">
        <v>27</v>
      </c>
      <c r="M4517" s="16">
        <f t="shared" si="423"/>
        <v>-1.1444402986692408</v>
      </c>
      <c r="N4517">
        <f t="shared" si="424"/>
        <v>0</v>
      </c>
      <c r="O4517">
        <f t="shared" si="425"/>
        <v>0</v>
      </c>
      <c r="P4517">
        <f t="shared" si="422"/>
        <v>3850</v>
      </c>
      <c r="Q4517">
        <f t="shared" si="426"/>
        <v>3850</v>
      </c>
      <c r="T4517" s="16">
        <f t="shared" si="427"/>
        <v>-1.1444402986692412</v>
      </c>
    </row>
    <row r="4518" spans="7:20" ht="14.4" x14ac:dyDescent="0.25">
      <c r="G4518" s="10">
        <v>1411</v>
      </c>
      <c r="H4518" s="9">
        <v>10245</v>
      </c>
      <c r="I4518" s="14">
        <f>DATE(2012,12,31)-687</f>
        <v>40587</v>
      </c>
      <c r="J4518" s="15" t="s">
        <v>16</v>
      </c>
      <c r="K4518" s="9">
        <v>20</v>
      </c>
      <c r="L4518" s="16" t="s">
        <v>29</v>
      </c>
      <c r="M4518" s="16">
        <f t="shared" si="423"/>
        <v>-0.38478275585780503</v>
      </c>
      <c r="N4518">
        <f t="shared" si="424"/>
        <v>0</v>
      </c>
      <c r="O4518">
        <f t="shared" si="425"/>
        <v>0</v>
      </c>
      <c r="P4518">
        <f t="shared" si="422"/>
        <v>4400</v>
      </c>
      <c r="Q4518">
        <f t="shared" si="426"/>
        <v>4400</v>
      </c>
      <c r="T4518" s="16">
        <f t="shared" si="427"/>
        <v>-0.38478275585780541</v>
      </c>
    </row>
    <row r="4519" spans="7:20" ht="14.4" x14ac:dyDescent="0.25">
      <c r="G4519" s="10">
        <v>1526</v>
      </c>
      <c r="H4519" s="9">
        <v>11011</v>
      </c>
      <c r="I4519" s="14">
        <f>DATE(2012,12,31)-232</f>
        <v>41042</v>
      </c>
      <c r="J4519" s="15" t="s">
        <v>17</v>
      </c>
      <c r="K4519" s="9">
        <v>33</v>
      </c>
      <c r="L4519" s="16" t="s">
        <v>29</v>
      </c>
      <c r="M4519" s="16">
        <f t="shared" si="423"/>
        <v>0.51299434019207357</v>
      </c>
      <c r="N4519">
        <f t="shared" si="424"/>
        <v>0</v>
      </c>
      <c r="O4519">
        <f t="shared" si="425"/>
        <v>0</v>
      </c>
      <c r="P4519">
        <f t="shared" si="422"/>
        <v>5050</v>
      </c>
      <c r="Q4519">
        <f t="shared" si="426"/>
        <v>5050</v>
      </c>
      <c r="T4519" s="16">
        <f t="shared" si="427"/>
        <v>0.51299434019207324</v>
      </c>
    </row>
    <row r="4520" spans="7:20" ht="14.4" x14ac:dyDescent="0.25">
      <c r="G4520" s="10">
        <v>1713</v>
      </c>
      <c r="H4520" s="9">
        <v>12320</v>
      </c>
      <c r="I4520" s="14">
        <f>DATE(2012,12,31)-377</f>
        <v>40897</v>
      </c>
      <c r="J4520" s="15" t="s">
        <v>30</v>
      </c>
      <c r="K4520" s="9">
        <v>35</v>
      </c>
      <c r="L4520" s="16" t="s">
        <v>29</v>
      </c>
      <c r="M4520" s="16">
        <f t="shared" si="423"/>
        <v>0.65111389343051651</v>
      </c>
      <c r="N4520">
        <f t="shared" si="424"/>
        <v>0</v>
      </c>
      <c r="O4520">
        <f t="shared" si="425"/>
        <v>0</v>
      </c>
      <c r="P4520">
        <f t="shared" si="422"/>
        <v>5150</v>
      </c>
      <c r="Q4520">
        <f t="shared" si="426"/>
        <v>5150</v>
      </c>
      <c r="T4520" s="16">
        <f t="shared" si="427"/>
        <v>0.65111389343051607</v>
      </c>
    </row>
    <row r="4521" spans="7:20" ht="14.4" x14ac:dyDescent="0.25">
      <c r="G4521" s="10">
        <v>1717</v>
      </c>
      <c r="H4521" s="9">
        <v>12326</v>
      </c>
      <c r="I4521" s="14">
        <f>DATE(2012,12,31)-698</f>
        <v>40576</v>
      </c>
      <c r="J4521" s="15" t="s">
        <v>30</v>
      </c>
      <c r="K4521" s="9">
        <v>4</v>
      </c>
      <c r="L4521" s="16" t="s">
        <v>29</v>
      </c>
      <c r="M4521" s="16">
        <f t="shared" si="423"/>
        <v>-1.489739181765348</v>
      </c>
      <c r="N4521">
        <f t="shared" si="424"/>
        <v>0</v>
      </c>
      <c r="O4521">
        <f t="shared" si="425"/>
        <v>0</v>
      </c>
      <c r="P4521">
        <f t="shared" si="422"/>
        <v>3600</v>
      </c>
      <c r="Q4521">
        <f t="shared" si="426"/>
        <v>3600</v>
      </c>
      <c r="T4521" s="16">
        <f t="shared" si="427"/>
        <v>-1.4897391817653485</v>
      </c>
    </row>
    <row r="4522" spans="7:20" ht="14.4" x14ac:dyDescent="0.25">
      <c r="G4522" s="10">
        <v>1819</v>
      </c>
      <c r="H4522" s="9">
        <v>13056</v>
      </c>
      <c r="I4522" s="14">
        <f>DATE(2012,12,31)-1349</f>
        <v>39925</v>
      </c>
      <c r="J4522" s="15" t="s">
        <v>28</v>
      </c>
      <c r="K4522" s="9">
        <v>33</v>
      </c>
      <c r="L4522" s="16" t="s">
        <v>27</v>
      </c>
      <c r="M4522" s="16">
        <f t="shared" si="423"/>
        <v>0.51299434019207357</v>
      </c>
      <c r="N4522">
        <f t="shared" si="424"/>
        <v>0</v>
      </c>
      <c r="O4522">
        <f t="shared" si="425"/>
        <v>0</v>
      </c>
      <c r="P4522">
        <f t="shared" si="422"/>
        <v>5050</v>
      </c>
      <c r="Q4522">
        <f t="shared" si="426"/>
        <v>5050</v>
      </c>
      <c r="T4522" s="16">
        <f t="shared" si="427"/>
        <v>0.51299434019207324</v>
      </c>
    </row>
    <row r="4523" spans="7:20" ht="14.4" x14ac:dyDescent="0.25">
      <c r="G4523" s="10">
        <v>1830</v>
      </c>
      <c r="H4523" s="9">
        <v>13125</v>
      </c>
      <c r="I4523" s="14">
        <f>DATE(2012,12,31)-749</f>
        <v>40525</v>
      </c>
      <c r="J4523" s="15" t="s">
        <v>28</v>
      </c>
      <c r="K4523" s="9">
        <v>30</v>
      </c>
      <c r="L4523" s="16" t="s">
        <v>27</v>
      </c>
      <c r="M4523" s="16">
        <f t="shared" si="423"/>
        <v>0.30581501033440933</v>
      </c>
      <c r="N4523">
        <f t="shared" si="424"/>
        <v>0</v>
      </c>
      <c r="O4523">
        <f t="shared" si="425"/>
        <v>0</v>
      </c>
      <c r="P4523">
        <f t="shared" si="422"/>
        <v>4900</v>
      </c>
      <c r="Q4523">
        <f t="shared" si="426"/>
        <v>4900</v>
      </c>
      <c r="T4523" s="16">
        <f t="shared" si="427"/>
        <v>0.30581501033440894</v>
      </c>
    </row>
    <row r="4524" spans="7:20" ht="14.4" x14ac:dyDescent="0.25">
      <c r="G4524" s="10">
        <v>2404</v>
      </c>
      <c r="H4524" s="9">
        <v>17410</v>
      </c>
      <c r="I4524" s="14">
        <f>DATE(2012,12,31)-852</f>
        <v>40422</v>
      </c>
      <c r="J4524" s="15" t="s">
        <v>25</v>
      </c>
      <c r="K4524" s="9">
        <v>45</v>
      </c>
      <c r="L4524" s="16" t="s">
        <v>26</v>
      </c>
      <c r="M4524" s="16">
        <f t="shared" si="423"/>
        <v>1.3417116596227308</v>
      </c>
      <c r="N4524">
        <f t="shared" si="424"/>
        <v>0</v>
      </c>
      <c r="O4524">
        <f t="shared" si="425"/>
        <v>0</v>
      </c>
      <c r="P4524">
        <f t="shared" si="422"/>
        <v>5650</v>
      </c>
      <c r="Q4524">
        <f t="shared" si="426"/>
        <v>5650</v>
      </c>
      <c r="T4524" s="16">
        <f t="shared" si="427"/>
        <v>1.3417116596227305</v>
      </c>
    </row>
    <row r="4525" spans="7:20" ht="14.4" x14ac:dyDescent="0.25">
      <c r="G4525" s="10">
        <v>2466</v>
      </c>
      <c r="H4525" s="9">
        <v>17953</v>
      </c>
      <c r="I4525" s="14">
        <f>DATE(2012,12,31)-133</f>
        <v>41141</v>
      </c>
      <c r="J4525" s="15" t="s">
        <v>17</v>
      </c>
      <c r="K4525" s="9">
        <v>30</v>
      </c>
      <c r="L4525" s="16" t="s">
        <v>26</v>
      </c>
      <c r="M4525" s="16">
        <f t="shared" si="423"/>
        <v>0.30581501033440933</v>
      </c>
      <c r="N4525">
        <f t="shared" si="424"/>
        <v>0</v>
      </c>
      <c r="O4525">
        <f t="shared" si="425"/>
        <v>0</v>
      </c>
      <c r="P4525">
        <f t="shared" si="422"/>
        <v>4900</v>
      </c>
      <c r="Q4525">
        <f t="shared" si="426"/>
        <v>4900</v>
      </c>
      <c r="T4525" s="16">
        <f t="shared" si="427"/>
        <v>0.30581501033440894</v>
      </c>
    </row>
    <row r="4526" spans="7:20" ht="14.4" x14ac:dyDescent="0.25">
      <c r="G4526" s="10">
        <v>2875</v>
      </c>
      <c r="H4526" s="9">
        <v>20711</v>
      </c>
      <c r="I4526" s="14">
        <f>DATE(2012,12,31)-1442</f>
        <v>39832</v>
      </c>
      <c r="J4526" s="15" t="s">
        <v>30</v>
      </c>
      <c r="K4526" s="9">
        <v>18</v>
      </c>
      <c r="L4526" s="16" t="s">
        <v>27</v>
      </c>
      <c r="M4526" s="16">
        <f t="shared" si="423"/>
        <v>-0.52290230909624791</v>
      </c>
      <c r="N4526">
        <f t="shared" si="424"/>
        <v>0</v>
      </c>
      <c r="O4526">
        <f t="shared" si="425"/>
        <v>0</v>
      </c>
      <c r="P4526">
        <f t="shared" si="422"/>
        <v>4300</v>
      </c>
      <c r="Q4526">
        <f t="shared" si="426"/>
        <v>4300</v>
      </c>
      <c r="T4526" s="16">
        <f t="shared" si="427"/>
        <v>-0.52290230909624835</v>
      </c>
    </row>
    <row r="4527" spans="7:20" ht="14.4" x14ac:dyDescent="0.25">
      <c r="G4527" s="10">
        <v>2997</v>
      </c>
      <c r="H4527" s="9">
        <v>21606</v>
      </c>
      <c r="I4527" s="14">
        <f>DATE(2012,12,31)-709</f>
        <v>40565</v>
      </c>
      <c r="J4527" s="15" t="s">
        <v>28</v>
      </c>
      <c r="K4527" s="9">
        <v>43</v>
      </c>
      <c r="L4527" s="16" t="s">
        <v>27</v>
      </c>
      <c r="M4527" s="16">
        <f t="shared" si="423"/>
        <v>1.203592106384288</v>
      </c>
      <c r="N4527">
        <f t="shared" si="424"/>
        <v>0</v>
      </c>
      <c r="O4527">
        <f t="shared" si="425"/>
        <v>0</v>
      </c>
      <c r="P4527">
        <f t="shared" si="422"/>
        <v>5550</v>
      </c>
      <c r="Q4527">
        <f t="shared" si="426"/>
        <v>5550</v>
      </c>
      <c r="T4527" s="16">
        <f t="shared" si="427"/>
        <v>1.2035921063842876</v>
      </c>
    </row>
    <row r="4528" spans="7:20" ht="14.4" x14ac:dyDescent="0.25">
      <c r="G4528" s="10">
        <v>3174</v>
      </c>
      <c r="H4528" s="9">
        <v>22820</v>
      </c>
      <c r="I4528" s="14">
        <f>DATE(2012,12,31)-867</f>
        <v>40407</v>
      </c>
      <c r="J4528" s="15" t="s">
        <v>17</v>
      </c>
      <c r="K4528" s="9">
        <v>34</v>
      </c>
      <c r="L4528" s="16" t="s">
        <v>27</v>
      </c>
      <c r="M4528" s="16">
        <f t="shared" si="423"/>
        <v>0.58205411681129504</v>
      </c>
      <c r="N4528">
        <f t="shared" si="424"/>
        <v>0</v>
      </c>
      <c r="O4528">
        <f t="shared" si="425"/>
        <v>0</v>
      </c>
      <c r="P4528">
        <f t="shared" si="422"/>
        <v>5100</v>
      </c>
      <c r="Q4528">
        <f t="shared" si="426"/>
        <v>5100</v>
      </c>
      <c r="T4528" s="16">
        <f t="shared" si="427"/>
        <v>0.58205411681129471</v>
      </c>
    </row>
    <row r="4529" spans="7:20" ht="14.4" x14ac:dyDescent="0.25">
      <c r="G4529" s="10">
        <v>3227</v>
      </c>
      <c r="H4529" s="9">
        <v>23169</v>
      </c>
      <c r="I4529" s="14">
        <f>DATE(2012,12,31)-557</f>
        <v>40717</v>
      </c>
      <c r="J4529" s="15" t="s">
        <v>30</v>
      </c>
      <c r="K4529" s="9">
        <v>27</v>
      </c>
      <c r="L4529" s="16" t="s">
        <v>26</v>
      </c>
      <c r="M4529" s="16">
        <f t="shared" si="423"/>
        <v>9.8635680476745008E-2</v>
      </c>
      <c r="N4529">
        <f t="shared" si="424"/>
        <v>0</v>
      </c>
      <c r="O4529">
        <f t="shared" si="425"/>
        <v>0</v>
      </c>
      <c r="P4529">
        <f t="shared" si="422"/>
        <v>4750</v>
      </c>
      <c r="Q4529">
        <f t="shared" si="426"/>
        <v>4750</v>
      </c>
      <c r="T4529" s="16">
        <f t="shared" si="427"/>
        <v>9.8635680476744619E-2</v>
      </c>
    </row>
    <row r="4530" spans="7:20" ht="14.4" x14ac:dyDescent="0.25">
      <c r="G4530" s="10">
        <v>3286</v>
      </c>
      <c r="H4530" s="9">
        <v>23522</v>
      </c>
      <c r="I4530" s="14">
        <f>DATE(2012,12,31)-630</f>
        <v>40644</v>
      </c>
      <c r="J4530" s="15" t="s">
        <v>30</v>
      </c>
      <c r="K4530" s="9">
        <v>8</v>
      </c>
      <c r="L4530" s="16" t="s">
        <v>29</v>
      </c>
      <c r="M4530" s="16">
        <f t="shared" si="423"/>
        <v>-1.2135000752884624</v>
      </c>
      <c r="N4530">
        <f t="shared" si="424"/>
        <v>0</v>
      </c>
      <c r="O4530">
        <f t="shared" si="425"/>
        <v>0</v>
      </c>
      <c r="P4530">
        <f t="shared" si="422"/>
        <v>3800</v>
      </c>
      <c r="Q4530">
        <f t="shared" si="426"/>
        <v>3800</v>
      </c>
      <c r="T4530" s="16">
        <f t="shared" si="427"/>
        <v>-1.2135000752884626</v>
      </c>
    </row>
    <row r="4531" spans="7:20" ht="14.4" x14ac:dyDescent="0.25">
      <c r="G4531" s="10">
        <v>3303</v>
      </c>
      <c r="H4531" s="9">
        <v>23616</v>
      </c>
      <c r="I4531" s="14">
        <f>DATE(2012,12,31)-125</f>
        <v>41149</v>
      </c>
      <c r="J4531" s="15" t="s">
        <v>28</v>
      </c>
      <c r="K4531" s="9">
        <v>47</v>
      </c>
      <c r="L4531" s="16" t="s">
        <v>27</v>
      </c>
      <c r="M4531" s="16">
        <f t="shared" si="423"/>
        <v>1.4798312128611737</v>
      </c>
      <c r="N4531">
        <f t="shared" si="424"/>
        <v>0</v>
      </c>
      <c r="O4531">
        <f t="shared" si="425"/>
        <v>0</v>
      </c>
      <c r="P4531">
        <f t="shared" si="422"/>
        <v>5750</v>
      </c>
      <c r="Q4531">
        <f t="shared" si="426"/>
        <v>5750</v>
      </c>
      <c r="T4531" s="16">
        <f t="shared" si="427"/>
        <v>1.4798312128611733</v>
      </c>
    </row>
    <row r="4532" spans="7:20" ht="14.4" x14ac:dyDescent="0.25">
      <c r="G4532" s="10">
        <v>3526</v>
      </c>
      <c r="H4532" s="9">
        <v>25092</v>
      </c>
      <c r="I4532" s="14">
        <f>DATE(2012,12,31)-761</f>
        <v>40513</v>
      </c>
      <c r="J4532" s="15" t="s">
        <v>17</v>
      </c>
      <c r="K4532" s="9">
        <v>42</v>
      </c>
      <c r="L4532" s="16" t="s">
        <v>26</v>
      </c>
      <c r="M4532" s="16">
        <f t="shared" si="423"/>
        <v>1.1345323297650665</v>
      </c>
      <c r="N4532">
        <f t="shared" si="424"/>
        <v>0</v>
      </c>
      <c r="O4532">
        <f t="shared" si="425"/>
        <v>0</v>
      </c>
      <c r="P4532">
        <f t="shared" si="422"/>
        <v>5500</v>
      </c>
      <c r="Q4532">
        <f t="shared" si="426"/>
        <v>5500</v>
      </c>
      <c r="T4532" s="16">
        <f t="shared" si="427"/>
        <v>1.1345323297650662</v>
      </c>
    </row>
    <row r="4533" spans="7:20" ht="14.4" x14ac:dyDescent="0.25">
      <c r="G4533" s="10">
        <v>3538</v>
      </c>
      <c r="H4533" s="9">
        <v>25157</v>
      </c>
      <c r="I4533" s="14">
        <f>DATE(2012,12,31)-951</f>
        <v>40323</v>
      </c>
      <c r="J4533" s="15" t="s">
        <v>28</v>
      </c>
      <c r="K4533" s="9">
        <v>47</v>
      </c>
      <c r="L4533" s="16" t="s">
        <v>26</v>
      </c>
      <c r="M4533" s="16">
        <f t="shared" si="423"/>
        <v>1.4798312128611737</v>
      </c>
      <c r="N4533">
        <f t="shared" si="424"/>
        <v>0</v>
      </c>
      <c r="O4533">
        <f t="shared" si="425"/>
        <v>0</v>
      </c>
      <c r="P4533">
        <f t="shared" si="422"/>
        <v>5750</v>
      </c>
      <c r="Q4533">
        <f t="shared" si="426"/>
        <v>5750</v>
      </c>
      <c r="T4533" s="16">
        <f t="shared" si="427"/>
        <v>1.4798312128611733</v>
      </c>
    </row>
    <row r="4534" spans="7:20" ht="14.4" x14ac:dyDescent="0.25">
      <c r="G4534" s="10">
        <v>3545</v>
      </c>
      <c r="H4534" s="9">
        <v>25280</v>
      </c>
      <c r="I4534" s="14">
        <f>DATE(2012,12,31)-590</f>
        <v>40684</v>
      </c>
      <c r="J4534" s="15" t="s">
        <v>28</v>
      </c>
      <c r="K4534" s="9">
        <v>16</v>
      </c>
      <c r="L4534" s="16" t="s">
        <v>26</v>
      </c>
      <c r="M4534" s="16">
        <f t="shared" si="423"/>
        <v>-0.66102186233469074</v>
      </c>
      <c r="N4534">
        <f t="shared" si="424"/>
        <v>0</v>
      </c>
      <c r="O4534">
        <f t="shared" si="425"/>
        <v>0</v>
      </c>
      <c r="P4534">
        <f t="shared" si="422"/>
        <v>4200</v>
      </c>
      <c r="Q4534">
        <f t="shared" si="426"/>
        <v>4200</v>
      </c>
      <c r="T4534" s="16">
        <f t="shared" si="427"/>
        <v>-0.66102186233469118</v>
      </c>
    </row>
    <row r="4535" spans="7:20" ht="14.4" x14ac:dyDescent="0.25">
      <c r="G4535" s="10">
        <v>3547</v>
      </c>
      <c r="H4535" s="9">
        <v>25313</v>
      </c>
      <c r="I4535" s="14">
        <f>DATE(2012,12,31)-132</f>
        <v>41142</v>
      </c>
      <c r="J4535" s="15" t="s">
        <v>30</v>
      </c>
      <c r="K4535" s="9">
        <v>19</v>
      </c>
      <c r="L4535" s="16" t="s">
        <v>26</v>
      </c>
      <c r="M4535" s="16">
        <f t="shared" si="423"/>
        <v>-0.45384253247702649</v>
      </c>
      <c r="N4535">
        <f t="shared" si="424"/>
        <v>0</v>
      </c>
      <c r="O4535">
        <f t="shared" si="425"/>
        <v>0</v>
      </c>
      <c r="P4535">
        <f t="shared" si="422"/>
        <v>4350</v>
      </c>
      <c r="Q4535">
        <f t="shared" si="426"/>
        <v>4350</v>
      </c>
      <c r="T4535" s="16">
        <f t="shared" si="427"/>
        <v>-0.45384253247702688</v>
      </c>
    </row>
    <row r="4536" spans="7:20" ht="14.4" x14ac:dyDescent="0.25">
      <c r="G4536" s="10">
        <v>3581</v>
      </c>
      <c r="H4536" s="9">
        <v>25536</v>
      </c>
      <c r="I4536" s="14">
        <f>DATE(2012,12,31)-528</f>
        <v>40746</v>
      </c>
      <c r="J4536" s="15" t="s">
        <v>25</v>
      </c>
      <c r="K4536" s="9">
        <v>19</v>
      </c>
      <c r="L4536" s="16" t="s">
        <v>26</v>
      </c>
      <c r="M4536" s="16">
        <f t="shared" si="423"/>
        <v>-0.45384253247702649</v>
      </c>
      <c r="N4536">
        <f t="shared" si="424"/>
        <v>0</v>
      </c>
      <c r="O4536">
        <f t="shared" si="425"/>
        <v>0</v>
      </c>
      <c r="P4536">
        <f t="shared" si="422"/>
        <v>4350</v>
      </c>
      <c r="Q4536">
        <f t="shared" si="426"/>
        <v>4350</v>
      </c>
      <c r="T4536" s="16">
        <f t="shared" si="427"/>
        <v>-0.45384253247702688</v>
      </c>
    </row>
    <row r="4537" spans="7:20" ht="14.4" x14ac:dyDescent="0.25">
      <c r="G4537" s="10">
        <v>3598</v>
      </c>
      <c r="H4537" s="9">
        <v>25666</v>
      </c>
      <c r="I4537" s="14">
        <f>DATE(2012,12,31)-120</f>
        <v>41154</v>
      </c>
      <c r="J4537" s="15" t="s">
        <v>30</v>
      </c>
      <c r="K4537" s="9">
        <v>23</v>
      </c>
      <c r="L4537" s="16" t="s">
        <v>26</v>
      </c>
      <c r="M4537" s="16">
        <f t="shared" si="423"/>
        <v>-0.17760342600014073</v>
      </c>
      <c r="N4537">
        <f t="shared" si="424"/>
        <v>0</v>
      </c>
      <c r="O4537">
        <f t="shared" si="425"/>
        <v>0</v>
      </c>
      <c r="P4537">
        <f t="shared" si="422"/>
        <v>4550</v>
      </c>
      <c r="Q4537">
        <f t="shared" si="426"/>
        <v>4550</v>
      </c>
      <c r="T4537" s="16">
        <f t="shared" si="427"/>
        <v>-0.17760342600014112</v>
      </c>
    </row>
    <row r="4538" spans="7:20" ht="14.4" x14ac:dyDescent="0.25">
      <c r="G4538" s="10">
        <v>3926</v>
      </c>
      <c r="H4538" s="9">
        <v>28001</v>
      </c>
      <c r="I4538" s="14">
        <f>DATE(2012,12,31)-1296</f>
        <v>39978</v>
      </c>
      <c r="J4538" s="15" t="s">
        <v>30</v>
      </c>
      <c r="K4538" s="9">
        <v>41</v>
      </c>
      <c r="L4538" s="16" t="s">
        <v>29</v>
      </c>
      <c r="M4538" s="16">
        <f t="shared" si="423"/>
        <v>1.0654725531458451</v>
      </c>
      <c r="N4538">
        <f t="shared" si="424"/>
        <v>0</v>
      </c>
      <c r="O4538">
        <f t="shared" si="425"/>
        <v>0</v>
      </c>
      <c r="P4538">
        <f t="shared" si="422"/>
        <v>5450</v>
      </c>
      <c r="Q4538">
        <f t="shared" si="426"/>
        <v>5450</v>
      </c>
      <c r="T4538" s="16">
        <f t="shared" si="427"/>
        <v>1.0654725531458447</v>
      </c>
    </row>
    <row r="4539" spans="7:20" ht="14.4" x14ac:dyDescent="0.25">
      <c r="G4539" s="10">
        <v>4073</v>
      </c>
      <c r="H4539" s="9">
        <v>28999</v>
      </c>
      <c r="I4539" s="14">
        <f>DATE(2012,12,31)-1451</f>
        <v>39823</v>
      </c>
      <c r="J4539" s="15" t="s">
        <v>17</v>
      </c>
      <c r="K4539" s="9">
        <v>34</v>
      </c>
      <c r="L4539" s="16" t="s">
        <v>27</v>
      </c>
      <c r="M4539" s="16">
        <f t="shared" si="423"/>
        <v>0.58205411681129504</v>
      </c>
      <c r="N4539">
        <f t="shared" si="424"/>
        <v>0</v>
      </c>
      <c r="O4539">
        <f t="shared" si="425"/>
        <v>0</v>
      </c>
      <c r="P4539">
        <f t="shared" si="422"/>
        <v>5100</v>
      </c>
      <c r="Q4539">
        <f t="shared" si="426"/>
        <v>5100</v>
      </c>
      <c r="T4539" s="16">
        <f t="shared" si="427"/>
        <v>0.58205411681129471</v>
      </c>
    </row>
    <row r="4540" spans="7:20" ht="14.4" x14ac:dyDescent="0.25">
      <c r="G4540" s="10">
        <v>4178</v>
      </c>
      <c r="H4540" s="9">
        <v>29666</v>
      </c>
      <c r="I4540" s="14">
        <f>DATE(2012,12,31)-367</f>
        <v>40907</v>
      </c>
      <c r="J4540" s="15" t="s">
        <v>28</v>
      </c>
      <c r="K4540" s="9">
        <v>44</v>
      </c>
      <c r="L4540" s="16" t="s">
        <v>27</v>
      </c>
      <c r="M4540" s="16">
        <f t="shared" si="423"/>
        <v>1.2726518830035094</v>
      </c>
      <c r="N4540">
        <f t="shared" si="424"/>
        <v>0</v>
      </c>
      <c r="O4540">
        <f t="shared" si="425"/>
        <v>0</v>
      </c>
      <c r="P4540">
        <f t="shared" si="422"/>
        <v>5600</v>
      </c>
      <c r="Q4540">
        <f t="shared" si="426"/>
        <v>5600</v>
      </c>
      <c r="T4540" s="16">
        <f t="shared" si="427"/>
        <v>1.272651883003509</v>
      </c>
    </row>
    <row r="4541" spans="7:20" ht="14.4" x14ac:dyDescent="0.25">
      <c r="G4541" s="10">
        <v>4299</v>
      </c>
      <c r="H4541" s="9">
        <v>30599</v>
      </c>
      <c r="I4541" s="14">
        <f>DATE(2012,12,31)-325</f>
        <v>40949</v>
      </c>
      <c r="J4541" s="15" t="s">
        <v>28</v>
      </c>
      <c r="K4541" s="9">
        <v>23</v>
      </c>
      <c r="L4541" s="16" t="s">
        <v>26</v>
      </c>
      <c r="M4541" s="16">
        <f t="shared" si="423"/>
        <v>-0.17760342600014073</v>
      </c>
      <c r="N4541">
        <f t="shared" si="424"/>
        <v>0</v>
      </c>
      <c r="O4541">
        <f t="shared" si="425"/>
        <v>0</v>
      </c>
      <c r="P4541">
        <f t="shared" si="422"/>
        <v>4550</v>
      </c>
      <c r="Q4541">
        <f t="shared" si="426"/>
        <v>4550</v>
      </c>
      <c r="T4541" s="16">
        <f t="shared" si="427"/>
        <v>-0.17760342600014112</v>
      </c>
    </row>
    <row r="4542" spans="7:20" ht="14.4" x14ac:dyDescent="0.25">
      <c r="G4542" s="10">
        <v>4381</v>
      </c>
      <c r="H4542" s="9">
        <v>31232</v>
      </c>
      <c r="I4542" s="14">
        <f>DATE(2012,12,31)-124</f>
        <v>41150</v>
      </c>
      <c r="J4542" s="15" t="s">
        <v>17</v>
      </c>
      <c r="K4542" s="9">
        <v>9</v>
      </c>
      <c r="L4542" s="16" t="s">
        <v>29</v>
      </c>
      <c r="M4542" s="16">
        <f t="shared" si="423"/>
        <v>-1.1444402986692408</v>
      </c>
      <c r="N4542">
        <f t="shared" si="424"/>
        <v>0</v>
      </c>
      <c r="O4542">
        <f t="shared" si="425"/>
        <v>0</v>
      </c>
      <c r="P4542">
        <f t="shared" si="422"/>
        <v>3850</v>
      </c>
      <c r="Q4542">
        <f t="shared" si="426"/>
        <v>3850</v>
      </c>
      <c r="T4542" s="16">
        <f t="shared" si="427"/>
        <v>-1.1444402986692412</v>
      </c>
    </row>
    <row r="4543" spans="7:20" ht="14.4" x14ac:dyDescent="0.25">
      <c r="G4543" s="10">
        <v>4388</v>
      </c>
      <c r="H4543" s="9">
        <v>31239</v>
      </c>
      <c r="I4543" s="14">
        <f>DATE(2012,12,31)-856</f>
        <v>40418</v>
      </c>
      <c r="J4543" s="15" t="s">
        <v>25</v>
      </c>
      <c r="K4543" s="9">
        <v>20</v>
      </c>
      <c r="L4543" s="16" t="s">
        <v>27</v>
      </c>
      <c r="M4543" s="16">
        <f t="shared" si="423"/>
        <v>-0.38478275585780503</v>
      </c>
      <c r="N4543">
        <f t="shared" si="424"/>
        <v>0</v>
      </c>
      <c r="O4543">
        <f t="shared" si="425"/>
        <v>0</v>
      </c>
      <c r="P4543">
        <f t="shared" si="422"/>
        <v>4400</v>
      </c>
      <c r="Q4543">
        <f t="shared" si="426"/>
        <v>4400</v>
      </c>
      <c r="T4543" s="16">
        <f t="shared" si="427"/>
        <v>-0.38478275585780541</v>
      </c>
    </row>
    <row r="4544" spans="7:20" ht="14.4" x14ac:dyDescent="0.25">
      <c r="G4544" s="10">
        <v>4403</v>
      </c>
      <c r="H4544" s="9">
        <v>31392</v>
      </c>
      <c r="I4544" s="14">
        <f>DATE(2012,12,31)-970</f>
        <v>40304</v>
      </c>
      <c r="J4544" s="15" t="s">
        <v>25</v>
      </c>
      <c r="K4544" s="9">
        <v>44</v>
      </c>
      <c r="L4544" s="16" t="s">
        <v>26</v>
      </c>
      <c r="M4544" s="16">
        <f t="shared" si="423"/>
        <v>1.2726518830035094</v>
      </c>
      <c r="N4544">
        <f t="shared" si="424"/>
        <v>0</v>
      </c>
      <c r="O4544">
        <f t="shared" si="425"/>
        <v>0</v>
      </c>
      <c r="P4544">
        <f t="shared" si="422"/>
        <v>5600</v>
      </c>
      <c r="Q4544">
        <f t="shared" si="426"/>
        <v>5600</v>
      </c>
      <c r="T4544" s="16">
        <f t="shared" si="427"/>
        <v>1.272651883003509</v>
      </c>
    </row>
    <row r="4545" spans="7:20" ht="14.4" x14ac:dyDescent="0.25">
      <c r="G4545" s="10">
        <v>4552</v>
      </c>
      <c r="H4545" s="9">
        <v>32389</v>
      </c>
      <c r="I4545" s="14">
        <f>DATE(2012,12,31)-792</f>
        <v>40482</v>
      </c>
      <c r="J4545" s="15" t="s">
        <v>16</v>
      </c>
      <c r="K4545" s="9">
        <v>8</v>
      </c>
      <c r="L4545" s="16" t="s">
        <v>29</v>
      </c>
      <c r="M4545" s="16">
        <f t="shared" si="423"/>
        <v>-1.2135000752884624</v>
      </c>
      <c r="N4545">
        <f t="shared" si="424"/>
        <v>0</v>
      </c>
      <c r="O4545">
        <f t="shared" si="425"/>
        <v>0</v>
      </c>
      <c r="P4545">
        <f t="shared" si="422"/>
        <v>3800</v>
      </c>
      <c r="Q4545">
        <f t="shared" si="426"/>
        <v>3800</v>
      </c>
      <c r="T4545" s="16">
        <f t="shared" si="427"/>
        <v>-1.2135000752884626</v>
      </c>
    </row>
    <row r="4546" spans="7:20" ht="14.4" x14ac:dyDescent="0.25">
      <c r="G4546" s="10">
        <v>4646</v>
      </c>
      <c r="H4546" s="9">
        <v>33090</v>
      </c>
      <c r="I4546" s="14">
        <f>DATE(2012,12,31)-1244</f>
        <v>40030</v>
      </c>
      <c r="J4546" s="15" t="s">
        <v>16</v>
      </c>
      <c r="K4546" s="9">
        <v>26</v>
      </c>
      <c r="L4546" s="16" t="s">
        <v>26</v>
      </c>
      <c r="M4546" s="16">
        <f t="shared" si="423"/>
        <v>2.9575903857523567E-2</v>
      </c>
      <c r="N4546">
        <f t="shared" si="424"/>
        <v>0</v>
      </c>
      <c r="O4546">
        <f t="shared" si="425"/>
        <v>0</v>
      </c>
      <c r="P4546">
        <f t="shared" si="422"/>
        <v>4700</v>
      </c>
      <c r="Q4546">
        <f t="shared" si="426"/>
        <v>4700</v>
      </c>
      <c r="T4546" s="16">
        <f t="shared" si="427"/>
        <v>2.9575903857523185E-2</v>
      </c>
    </row>
    <row r="4547" spans="7:20" ht="14.4" x14ac:dyDescent="0.25">
      <c r="G4547" s="10">
        <v>4785</v>
      </c>
      <c r="H4547" s="9">
        <v>33987</v>
      </c>
      <c r="I4547" s="14">
        <f>DATE(2012,12,31)-433</f>
        <v>40841</v>
      </c>
      <c r="J4547" s="15" t="s">
        <v>17</v>
      </c>
      <c r="K4547" s="9">
        <v>19</v>
      </c>
      <c r="L4547" s="16" t="s">
        <v>29</v>
      </c>
      <c r="M4547" s="16">
        <f t="shared" si="423"/>
        <v>-0.45384253247702649</v>
      </c>
      <c r="N4547">
        <f t="shared" si="424"/>
        <v>0</v>
      </c>
      <c r="O4547">
        <f t="shared" si="425"/>
        <v>0</v>
      </c>
      <c r="P4547">
        <f t="shared" si="422"/>
        <v>4350</v>
      </c>
      <c r="Q4547">
        <f t="shared" si="426"/>
        <v>4350</v>
      </c>
      <c r="T4547" s="16">
        <f t="shared" si="427"/>
        <v>-0.45384253247702688</v>
      </c>
    </row>
    <row r="4548" spans="7:20" ht="14.4" x14ac:dyDescent="0.25">
      <c r="G4548" s="10">
        <v>5298</v>
      </c>
      <c r="H4548" s="9">
        <v>37731</v>
      </c>
      <c r="I4548" s="14">
        <f>DATE(2012,12,31)-1153</f>
        <v>40121</v>
      </c>
      <c r="J4548" s="15" t="s">
        <v>30</v>
      </c>
      <c r="K4548" s="9">
        <v>24</v>
      </c>
      <c r="L4548" s="16" t="s">
        <v>26</v>
      </c>
      <c r="M4548" s="16">
        <f t="shared" si="423"/>
        <v>-0.1085436493809193</v>
      </c>
      <c r="N4548">
        <f t="shared" si="424"/>
        <v>0</v>
      </c>
      <c r="O4548">
        <f t="shared" si="425"/>
        <v>0</v>
      </c>
      <c r="P4548">
        <f t="shared" si="422"/>
        <v>4600</v>
      </c>
      <c r="Q4548">
        <f t="shared" si="426"/>
        <v>4600</v>
      </c>
      <c r="T4548" s="16">
        <f t="shared" si="427"/>
        <v>-0.10854364938091969</v>
      </c>
    </row>
    <row r="4549" spans="7:20" ht="14.4" x14ac:dyDescent="0.25">
      <c r="G4549" s="10">
        <v>5391</v>
      </c>
      <c r="H4549" s="9">
        <v>38337</v>
      </c>
      <c r="I4549" s="14">
        <f>DATE(2012,12,31)-792</f>
        <v>40482</v>
      </c>
      <c r="J4549" s="15" t="s">
        <v>16</v>
      </c>
      <c r="K4549" s="9">
        <v>46</v>
      </c>
      <c r="L4549" s="16" t="s">
        <v>26</v>
      </c>
      <c r="M4549" s="16">
        <f t="shared" si="423"/>
        <v>1.4107714362419523</v>
      </c>
      <c r="N4549">
        <f t="shared" si="424"/>
        <v>0</v>
      </c>
      <c r="O4549">
        <f t="shared" si="425"/>
        <v>0</v>
      </c>
      <c r="P4549">
        <f t="shared" si="422"/>
        <v>5700</v>
      </c>
      <c r="Q4549">
        <f t="shared" si="426"/>
        <v>5700</v>
      </c>
      <c r="T4549" s="16">
        <f t="shared" si="427"/>
        <v>1.4107714362419519</v>
      </c>
    </row>
    <row r="4550" spans="7:20" ht="14.4" x14ac:dyDescent="0.25">
      <c r="G4550" s="10">
        <v>5396</v>
      </c>
      <c r="H4550" s="9">
        <v>38369</v>
      </c>
      <c r="I4550" s="14">
        <f>DATE(2012,12,31)-1084</f>
        <v>40190</v>
      </c>
      <c r="J4550" s="15" t="s">
        <v>28</v>
      </c>
      <c r="K4550" s="9">
        <v>3</v>
      </c>
      <c r="L4550" s="16" t="s">
        <v>29</v>
      </c>
      <c r="M4550" s="16">
        <f t="shared" si="423"/>
        <v>-1.5587989583845694</v>
      </c>
      <c r="N4550">
        <f t="shared" si="424"/>
        <v>0</v>
      </c>
      <c r="O4550">
        <f t="shared" si="425"/>
        <v>0</v>
      </c>
      <c r="P4550">
        <f t="shared" si="422"/>
        <v>3550</v>
      </c>
      <c r="Q4550">
        <f t="shared" si="426"/>
        <v>3550</v>
      </c>
      <c r="T4550" s="16">
        <f t="shared" si="427"/>
        <v>-1.5587989583845698</v>
      </c>
    </row>
    <row r="4551" spans="7:20" ht="14.4" x14ac:dyDescent="0.25">
      <c r="G4551" s="10">
        <v>5454</v>
      </c>
      <c r="H4551" s="9">
        <v>38723</v>
      </c>
      <c r="I4551" s="14">
        <f>DATE(2012,12,31)-102</f>
        <v>41172</v>
      </c>
      <c r="J4551" s="15" t="s">
        <v>30</v>
      </c>
      <c r="K4551" s="9">
        <v>9</v>
      </c>
      <c r="L4551" s="16" t="s">
        <v>27</v>
      </c>
      <c r="M4551" s="16">
        <f t="shared" si="423"/>
        <v>-1.1444402986692408</v>
      </c>
      <c r="N4551">
        <f t="shared" si="424"/>
        <v>0</v>
      </c>
      <c r="O4551">
        <f t="shared" si="425"/>
        <v>0</v>
      </c>
      <c r="P4551">
        <f t="shared" si="422"/>
        <v>3850</v>
      </c>
      <c r="Q4551">
        <f t="shared" si="426"/>
        <v>3850</v>
      </c>
      <c r="T4551" s="16">
        <f t="shared" si="427"/>
        <v>-1.1444402986692412</v>
      </c>
    </row>
    <row r="4552" spans="7:20" ht="14.4" x14ac:dyDescent="0.25">
      <c r="G4552" s="10">
        <v>5542</v>
      </c>
      <c r="H4552" s="9">
        <v>39266</v>
      </c>
      <c r="I4552" s="14">
        <f>DATE(2012,12,31)-126</f>
        <v>41148</v>
      </c>
      <c r="J4552" s="15" t="s">
        <v>17</v>
      </c>
      <c r="K4552" s="9">
        <v>16</v>
      </c>
      <c r="L4552" s="16" t="s">
        <v>26</v>
      </c>
      <c r="M4552" s="16">
        <f t="shared" si="423"/>
        <v>-0.66102186233469074</v>
      </c>
      <c r="N4552">
        <f t="shared" si="424"/>
        <v>0</v>
      </c>
      <c r="O4552">
        <f t="shared" si="425"/>
        <v>0</v>
      </c>
      <c r="P4552">
        <f t="shared" si="422"/>
        <v>4200</v>
      </c>
      <c r="Q4552">
        <f t="shared" si="426"/>
        <v>4200</v>
      </c>
      <c r="T4552" s="16">
        <f t="shared" si="427"/>
        <v>-0.66102186233469118</v>
      </c>
    </row>
    <row r="4553" spans="7:20" ht="14.4" x14ac:dyDescent="0.25">
      <c r="G4553" s="10">
        <v>5672</v>
      </c>
      <c r="H4553" s="9">
        <v>40103</v>
      </c>
      <c r="I4553" s="14">
        <f>DATE(2012,12,31)-829</f>
        <v>40445</v>
      </c>
      <c r="J4553" s="15" t="s">
        <v>28</v>
      </c>
      <c r="K4553" s="9">
        <v>7</v>
      </c>
      <c r="L4553" s="16" t="s">
        <v>26</v>
      </c>
      <c r="M4553" s="16">
        <f t="shared" si="423"/>
        <v>-1.2825598519076837</v>
      </c>
      <c r="N4553">
        <f t="shared" si="424"/>
        <v>0</v>
      </c>
      <c r="O4553">
        <f t="shared" si="425"/>
        <v>0</v>
      </c>
      <c r="P4553">
        <f t="shared" si="422"/>
        <v>3750</v>
      </c>
      <c r="Q4553">
        <f t="shared" si="426"/>
        <v>3750</v>
      </c>
      <c r="T4553" s="16">
        <f t="shared" si="427"/>
        <v>-1.2825598519076842</v>
      </c>
    </row>
    <row r="4554" spans="7:20" ht="14.4" x14ac:dyDescent="0.25">
      <c r="G4554" s="10">
        <v>5674</v>
      </c>
      <c r="H4554" s="9">
        <v>40131</v>
      </c>
      <c r="I4554" s="14">
        <f>DATE(2012,12,31)-243</f>
        <v>41031</v>
      </c>
      <c r="J4554" s="15" t="s">
        <v>25</v>
      </c>
      <c r="K4554" s="9">
        <v>24</v>
      </c>
      <c r="L4554" s="16" t="s">
        <v>26</v>
      </c>
      <c r="M4554" s="16">
        <f t="shared" si="423"/>
        <v>-0.1085436493809193</v>
      </c>
      <c r="N4554">
        <f t="shared" si="424"/>
        <v>0</v>
      </c>
      <c r="O4554">
        <f t="shared" si="425"/>
        <v>0</v>
      </c>
      <c r="P4554">
        <f t="shared" si="422"/>
        <v>4600</v>
      </c>
      <c r="Q4554">
        <f t="shared" si="426"/>
        <v>4600</v>
      </c>
      <c r="T4554" s="16">
        <f t="shared" si="427"/>
        <v>-0.10854364938091969</v>
      </c>
    </row>
    <row r="4555" spans="7:20" ht="14.4" x14ac:dyDescent="0.25">
      <c r="G4555" s="10">
        <v>5848</v>
      </c>
      <c r="H4555" s="9">
        <v>41504</v>
      </c>
      <c r="I4555" s="14">
        <f>DATE(2012,12,31)-64</f>
        <v>41210</v>
      </c>
      <c r="J4555" s="15" t="s">
        <v>30</v>
      </c>
      <c r="K4555" s="9">
        <v>20</v>
      </c>
      <c r="L4555" s="16" t="s">
        <v>26</v>
      </c>
      <c r="M4555" s="16">
        <f t="shared" si="423"/>
        <v>-0.38478275585780503</v>
      </c>
      <c r="N4555">
        <f t="shared" si="424"/>
        <v>0</v>
      </c>
      <c r="O4555">
        <f t="shared" si="425"/>
        <v>0</v>
      </c>
      <c r="P4555">
        <f t="shared" si="422"/>
        <v>4400</v>
      </c>
      <c r="Q4555">
        <f t="shared" si="426"/>
        <v>4400</v>
      </c>
      <c r="T4555" s="16">
        <f t="shared" si="427"/>
        <v>-0.38478275585780541</v>
      </c>
    </row>
    <row r="4556" spans="7:20" ht="14.4" x14ac:dyDescent="0.25">
      <c r="G4556" s="10">
        <v>6155</v>
      </c>
      <c r="H4556" s="9">
        <v>43588</v>
      </c>
      <c r="I4556" s="14">
        <f>DATE(2012,12,31)-121</f>
        <v>41153</v>
      </c>
      <c r="J4556" s="15" t="s">
        <v>16</v>
      </c>
      <c r="K4556" s="9">
        <v>6</v>
      </c>
      <c r="L4556" s="16" t="s">
        <v>26</v>
      </c>
      <c r="M4556" s="16">
        <f t="shared" si="423"/>
        <v>-1.3516196285269051</v>
      </c>
      <c r="N4556">
        <f t="shared" si="424"/>
        <v>0</v>
      </c>
      <c r="O4556">
        <f t="shared" si="425"/>
        <v>0</v>
      </c>
      <c r="P4556">
        <f t="shared" ref="P4556:P4619" si="428">50*K4556+$P$10</f>
        <v>3700</v>
      </c>
      <c r="Q4556">
        <f t="shared" si="426"/>
        <v>3700</v>
      </c>
      <c r="T4556" s="16">
        <f t="shared" si="427"/>
        <v>-1.3516196285269055</v>
      </c>
    </row>
    <row r="4557" spans="7:20" ht="14.4" x14ac:dyDescent="0.25">
      <c r="G4557" s="10">
        <v>6174</v>
      </c>
      <c r="H4557" s="9">
        <v>43751</v>
      </c>
      <c r="I4557" s="14">
        <f>DATE(2012,12,31)-187</f>
        <v>41087</v>
      </c>
      <c r="J4557" s="15" t="s">
        <v>17</v>
      </c>
      <c r="K4557" s="9">
        <v>43</v>
      </c>
      <c r="L4557" s="16" t="s">
        <v>26</v>
      </c>
      <c r="M4557" s="16">
        <f t="shared" ref="M4557:M4620" si="429">(K4557-$K$4)/$K$7</f>
        <v>1.203592106384288</v>
      </c>
      <c r="N4557">
        <f t="shared" ref="N4557:N4620" si="430">IF(MOD($B$20+G4557,1000)=0,1,0)</f>
        <v>0</v>
      </c>
      <c r="O4557">
        <f t="shared" ref="O4557:O4620" si="431">+ROUND(N4557*(IF(K4557&lt;$K$4,-4.5,10.5)*$P$5),-2)</f>
        <v>0</v>
      </c>
      <c r="P4557">
        <f t="shared" si="428"/>
        <v>5550</v>
      </c>
      <c r="Q4557">
        <f t="shared" ref="Q4557:Q4620" si="432">P4557+O4557</f>
        <v>5550</v>
      </c>
      <c r="T4557" s="16">
        <f t="shared" ref="T4557:T4620" si="433">(Q4557-$P$4)/$P$5</f>
        <v>1.2035921063842876</v>
      </c>
    </row>
    <row r="4558" spans="7:20" ht="14.4" x14ac:dyDescent="0.25">
      <c r="G4558" s="10">
        <v>6278</v>
      </c>
      <c r="H4558" s="9">
        <v>44448</v>
      </c>
      <c r="I4558" s="14">
        <f>DATE(2012,12,31)-1358</f>
        <v>39916</v>
      </c>
      <c r="J4558" s="15" t="s">
        <v>30</v>
      </c>
      <c r="K4558" s="9">
        <v>28</v>
      </c>
      <c r="L4558" s="16" t="s">
        <v>27</v>
      </c>
      <c r="M4558" s="16">
        <f t="shared" si="429"/>
        <v>0.16769545709596645</v>
      </c>
      <c r="N4558">
        <f t="shared" si="430"/>
        <v>0</v>
      </c>
      <c r="O4558">
        <f t="shared" si="431"/>
        <v>0</v>
      </c>
      <c r="P4558">
        <f t="shared" si="428"/>
        <v>4800</v>
      </c>
      <c r="Q4558">
        <f t="shared" si="432"/>
        <v>4800</v>
      </c>
      <c r="T4558" s="16">
        <f t="shared" si="433"/>
        <v>0.16769545709596606</v>
      </c>
    </row>
    <row r="4559" spans="7:20" ht="14.4" x14ac:dyDescent="0.25">
      <c r="G4559" s="10">
        <v>6540</v>
      </c>
      <c r="H4559" s="9">
        <v>46531</v>
      </c>
      <c r="I4559" s="14">
        <f>DATE(2012,12,31)-498</f>
        <v>40776</v>
      </c>
      <c r="J4559" s="15" t="s">
        <v>25</v>
      </c>
      <c r="K4559" s="9">
        <v>2</v>
      </c>
      <c r="L4559" s="16" t="s">
        <v>26</v>
      </c>
      <c r="M4559" s="16">
        <f t="shared" si="429"/>
        <v>-1.627858735003791</v>
      </c>
      <c r="N4559">
        <f t="shared" si="430"/>
        <v>0</v>
      </c>
      <c r="O4559">
        <f t="shared" si="431"/>
        <v>0</v>
      </c>
      <c r="P4559">
        <f t="shared" si="428"/>
        <v>3500</v>
      </c>
      <c r="Q4559">
        <f t="shared" si="432"/>
        <v>3500</v>
      </c>
      <c r="T4559" s="16">
        <f t="shared" si="433"/>
        <v>-1.6278587350037912</v>
      </c>
    </row>
    <row r="4560" spans="7:20" ht="14.4" x14ac:dyDescent="0.25">
      <c r="G4560" s="10">
        <v>6546</v>
      </c>
      <c r="H4560" s="9">
        <v>46534</v>
      </c>
      <c r="I4560" s="14">
        <f>DATE(2012,12,31)-89</f>
        <v>41185</v>
      </c>
      <c r="J4560" s="15" t="s">
        <v>17</v>
      </c>
      <c r="K4560" s="9">
        <v>13</v>
      </c>
      <c r="L4560" s="16" t="s">
        <v>27</v>
      </c>
      <c r="M4560" s="16">
        <f t="shared" si="429"/>
        <v>-0.86820119219235514</v>
      </c>
      <c r="N4560">
        <f t="shared" si="430"/>
        <v>0</v>
      </c>
      <c r="O4560">
        <f t="shared" si="431"/>
        <v>0</v>
      </c>
      <c r="P4560">
        <f t="shared" si="428"/>
        <v>4050</v>
      </c>
      <c r="Q4560">
        <f t="shared" si="432"/>
        <v>4050</v>
      </c>
      <c r="T4560" s="16">
        <f t="shared" si="433"/>
        <v>-0.86820119219235548</v>
      </c>
    </row>
    <row r="4561" spans="7:20" ht="14.4" x14ac:dyDescent="0.25">
      <c r="G4561" s="10">
        <v>6664</v>
      </c>
      <c r="H4561" s="9">
        <v>47459</v>
      </c>
      <c r="I4561" s="14">
        <f>DATE(2012,12,31)-502</f>
        <v>40772</v>
      </c>
      <c r="J4561" s="15" t="s">
        <v>28</v>
      </c>
      <c r="K4561" s="9">
        <v>10</v>
      </c>
      <c r="L4561" s="16" t="s">
        <v>26</v>
      </c>
      <c r="M4561" s="16">
        <f t="shared" si="429"/>
        <v>-1.0753805220500194</v>
      </c>
      <c r="N4561">
        <f t="shared" si="430"/>
        <v>0</v>
      </c>
      <c r="O4561">
        <f t="shared" si="431"/>
        <v>0</v>
      </c>
      <c r="P4561">
        <f t="shared" si="428"/>
        <v>3900</v>
      </c>
      <c r="Q4561">
        <f t="shared" si="432"/>
        <v>3900</v>
      </c>
      <c r="T4561" s="16">
        <f t="shared" si="433"/>
        <v>-1.0753805220500199</v>
      </c>
    </row>
    <row r="4562" spans="7:20" ht="14.4" x14ac:dyDescent="0.25">
      <c r="G4562" s="10">
        <v>6804</v>
      </c>
      <c r="H4562" s="9">
        <v>48455</v>
      </c>
      <c r="I4562" s="14">
        <f>DATE(2012,12,31)-1308</f>
        <v>39966</v>
      </c>
      <c r="J4562" s="15" t="s">
        <v>30</v>
      </c>
      <c r="K4562" s="9">
        <v>2</v>
      </c>
      <c r="L4562" s="16" t="s">
        <v>27</v>
      </c>
      <c r="M4562" s="16">
        <f t="shared" si="429"/>
        <v>-1.627858735003791</v>
      </c>
      <c r="N4562">
        <f t="shared" si="430"/>
        <v>0</v>
      </c>
      <c r="O4562">
        <f t="shared" si="431"/>
        <v>0</v>
      </c>
      <c r="P4562">
        <f t="shared" si="428"/>
        <v>3500</v>
      </c>
      <c r="Q4562">
        <f t="shared" si="432"/>
        <v>3500</v>
      </c>
      <c r="T4562" s="16">
        <f t="shared" si="433"/>
        <v>-1.6278587350037912</v>
      </c>
    </row>
    <row r="4563" spans="7:20" ht="14.4" x14ac:dyDescent="0.25">
      <c r="G4563" s="10">
        <v>6881</v>
      </c>
      <c r="H4563" s="9">
        <v>49056</v>
      </c>
      <c r="I4563" s="14">
        <f>DATE(2012,12,31)-1187</f>
        <v>40087</v>
      </c>
      <c r="J4563" s="15" t="s">
        <v>17</v>
      </c>
      <c r="K4563" s="9">
        <v>5</v>
      </c>
      <c r="L4563" s="16" t="s">
        <v>27</v>
      </c>
      <c r="M4563" s="16">
        <f t="shared" si="429"/>
        <v>-1.4206794051461267</v>
      </c>
      <c r="N4563">
        <f t="shared" si="430"/>
        <v>0</v>
      </c>
      <c r="O4563">
        <f t="shared" si="431"/>
        <v>0</v>
      </c>
      <c r="P4563">
        <f t="shared" si="428"/>
        <v>3650</v>
      </c>
      <c r="Q4563">
        <f t="shared" si="432"/>
        <v>3650</v>
      </c>
      <c r="T4563" s="16">
        <f t="shared" si="433"/>
        <v>-1.4206794051461269</v>
      </c>
    </row>
    <row r="4564" spans="7:20" ht="14.4" x14ac:dyDescent="0.25">
      <c r="G4564" s="10">
        <v>6897</v>
      </c>
      <c r="H4564" s="9">
        <v>49190</v>
      </c>
      <c r="I4564" s="14">
        <f>DATE(2012,12,31)-20</f>
        <v>41254</v>
      </c>
      <c r="J4564" s="15" t="s">
        <v>17</v>
      </c>
      <c r="K4564" s="9">
        <v>4</v>
      </c>
      <c r="L4564" s="16" t="s">
        <v>26</v>
      </c>
      <c r="M4564" s="16">
        <f t="shared" si="429"/>
        <v>-1.489739181765348</v>
      </c>
      <c r="N4564">
        <f t="shared" si="430"/>
        <v>0</v>
      </c>
      <c r="O4564">
        <f t="shared" si="431"/>
        <v>0</v>
      </c>
      <c r="P4564">
        <f t="shared" si="428"/>
        <v>3600</v>
      </c>
      <c r="Q4564">
        <f t="shared" si="432"/>
        <v>3600</v>
      </c>
      <c r="T4564" s="16">
        <f t="shared" si="433"/>
        <v>-1.4897391817653485</v>
      </c>
    </row>
    <row r="4565" spans="7:20" ht="14.4" x14ac:dyDescent="0.25">
      <c r="G4565" s="10">
        <v>7259</v>
      </c>
      <c r="H4565" s="9">
        <v>51783</v>
      </c>
      <c r="I4565" s="14">
        <f>DATE(2012,12,31)-416</f>
        <v>40858</v>
      </c>
      <c r="J4565" s="15" t="s">
        <v>16</v>
      </c>
      <c r="K4565" s="9">
        <v>13</v>
      </c>
      <c r="L4565" s="16" t="s">
        <v>26</v>
      </c>
      <c r="M4565" s="16">
        <f t="shared" si="429"/>
        <v>-0.86820119219235514</v>
      </c>
      <c r="N4565">
        <f t="shared" si="430"/>
        <v>0</v>
      </c>
      <c r="O4565">
        <f t="shared" si="431"/>
        <v>0</v>
      </c>
      <c r="P4565">
        <f t="shared" si="428"/>
        <v>4050</v>
      </c>
      <c r="Q4565">
        <f t="shared" si="432"/>
        <v>4050</v>
      </c>
      <c r="T4565" s="16">
        <f t="shared" si="433"/>
        <v>-0.86820119219235548</v>
      </c>
    </row>
    <row r="4566" spans="7:20" ht="14.4" x14ac:dyDescent="0.25">
      <c r="G4566" s="10">
        <v>7294</v>
      </c>
      <c r="H4566" s="9">
        <v>52006</v>
      </c>
      <c r="I4566" s="14">
        <f>DATE(2012,12,31)-1286</f>
        <v>39988</v>
      </c>
      <c r="J4566" s="15" t="s">
        <v>16</v>
      </c>
      <c r="K4566" s="9">
        <v>39</v>
      </c>
      <c r="L4566" s="16" t="s">
        <v>26</v>
      </c>
      <c r="M4566" s="16">
        <f t="shared" si="429"/>
        <v>0.92735299990740228</v>
      </c>
      <c r="N4566">
        <f t="shared" si="430"/>
        <v>0</v>
      </c>
      <c r="O4566">
        <f t="shared" si="431"/>
        <v>0</v>
      </c>
      <c r="P4566">
        <f t="shared" si="428"/>
        <v>5350</v>
      </c>
      <c r="Q4566">
        <f t="shared" si="432"/>
        <v>5350</v>
      </c>
      <c r="T4566" s="16">
        <f t="shared" si="433"/>
        <v>0.92735299990740183</v>
      </c>
    </row>
    <row r="4567" spans="7:20" ht="14.4" x14ac:dyDescent="0.25">
      <c r="G4567" s="10">
        <v>7632</v>
      </c>
      <c r="H4567" s="9">
        <v>54595</v>
      </c>
      <c r="I4567" s="14">
        <f>DATE(2012,12,31)-1343</f>
        <v>39931</v>
      </c>
      <c r="J4567" s="15" t="s">
        <v>16</v>
      </c>
      <c r="K4567" s="9">
        <v>41</v>
      </c>
      <c r="L4567" s="16" t="s">
        <v>29</v>
      </c>
      <c r="M4567" s="16">
        <f t="shared" si="429"/>
        <v>1.0654725531458451</v>
      </c>
      <c r="N4567">
        <f t="shared" si="430"/>
        <v>0</v>
      </c>
      <c r="O4567">
        <f t="shared" si="431"/>
        <v>0</v>
      </c>
      <c r="P4567">
        <f t="shared" si="428"/>
        <v>5450</v>
      </c>
      <c r="Q4567">
        <f t="shared" si="432"/>
        <v>5450</v>
      </c>
      <c r="T4567" s="16">
        <f t="shared" si="433"/>
        <v>1.0654725531458447</v>
      </c>
    </row>
    <row r="4568" spans="7:20" ht="14.4" x14ac:dyDescent="0.25">
      <c r="G4568" s="10">
        <v>7701</v>
      </c>
      <c r="H4568" s="9">
        <v>55202</v>
      </c>
      <c r="I4568" s="14">
        <f>DATE(2012,12,31)-495</f>
        <v>40779</v>
      </c>
      <c r="J4568" s="15" t="s">
        <v>25</v>
      </c>
      <c r="K4568" s="9">
        <v>49</v>
      </c>
      <c r="L4568" s="16" t="s">
        <v>27</v>
      </c>
      <c r="M4568" s="16">
        <f t="shared" si="429"/>
        <v>1.6179507660996166</v>
      </c>
      <c r="N4568">
        <f t="shared" si="430"/>
        <v>0</v>
      </c>
      <c r="O4568">
        <f t="shared" si="431"/>
        <v>0</v>
      </c>
      <c r="P4568">
        <f t="shared" si="428"/>
        <v>5850</v>
      </c>
      <c r="Q4568">
        <f t="shared" si="432"/>
        <v>5850</v>
      </c>
      <c r="T4568" s="16">
        <f t="shared" si="433"/>
        <v>1.6179507660996162</v>
      </c>
    </row>
    <row r="4569" spans="7:20" ht="14.4" x14ac:dyDescent="0.25">
      <c r="G4569" s="10">
        <v>7743</v>
      </c>
      <c r="H4569" s="9">
        <v>55431</v>
      </c>
      <c r="I4569" s="14">
        <f>DATE(2012,12,31)-206</f>
        <v>41068</v>
      </c>
      <c r="J4569" s="15" t="s">
        <v>28</v>
      </c>
      <c r="K4569" s="9">
        <v>13</v>
      </c>
      <c r="L4569" s="16" t="s">
        <v>26</v>
      </c>
      <c r="M4569" s="16">
        <f t="shared" si="429"/>
        <v>-0.86820119219235514</v>
      </c>
      <c r="N4569">
        <f t="shared" si="430"/>
        <v>0</v>
      </c>
      <c r="O4569">
        <f t="shared" si="431"/>
        <v>0</v>
      </c>
      <c r="P4569">
        <f t="shared" si="428"/>
        <v>4050</v>
      </c>
      <c r="Q4569">
        <f t="shared" si="432"/>
        <v>4050</v>
      </c>
      <c r="T4569" s="16">
        <f t="shared" si="433"/>
        <v>-0.86820119219235548</v>
      </c>
    </row>
    <row r="4570" spans="7:20" ht="14.4" x14ac:dyDescent="0.25">
      <c r="G4570" s="10">
        <v>7786</v>
      </c>
      <c r="H4570" s="9">
        <v>55713</v>
      </c>
      <c r="I4570" s="14">
        <f>DATE(2012,12,31)-1428</f>
        <v>39846</v>
      </c>
      <c r="J4570" s="15" t="s">
        <v>17</v>
      </c>
      <c r="K4570" s="9">
        <v>49</v>
      </c>
      <c r="L4570" s="16" t="s">
        <v>29</v>
      </c>
      <c r="M4570" s="16">
        <f t="shared" si="429"/>
        <v>1.6179507660996166</v>
      </c>
      <c r="N4570">
        <f t="shared" si="430"/>
        <v>0</v>
      </c>
      <c r="O4570">
        <f t="shared" si="431"/>
        <v>0</v>
      </c>
      <c r="P4570">
        <f t="shared" si="428"/>
        <v>5850</v>
      </c>
      <c r="Q4570">
        <f t="shared" si="432"/>
        <v>5850</v>
      </c>
      <c r="T4570" s="16">
        <f t="shared" si="433"/>
        <v>1.6179507660996162</v>
      </c>
    </row>
    <row r="4571" spans="7:20" ht="14.4" x14ac:dyDescent="0.25">
      <c r="G4571" s="10">
        <v>8069</v>
      </c>
      <c r="H4571" s="9">
        <v>57570</v>
      </c>
      <c r="I4571" s="14">
        <f>DATE(2012,12,31)-94</f>
        <v>41180</v>
      </c>
      <c r="J4571" s="15" t="s">
        <v>17</v>
      </c>
      <c r="K4571" s="9">
        <v>15</v>
      </c>
      <c r="L4571" s="16" t="s">
        <v>26</v>
      </c>
      <c r="M4571" s="16">
        <f t="shared" si="429"/>
        <v>-0.7300816389539122</v>
      </c>
      <c r="N4571">
        <f t="shared" si="430"/>
        <v>0</v>
      </c>
      <c r="O4571">
        <f t="shared" si="431"/>
        <v>0</v>
      </c>
      <c r="P4571">
        <f t="shared" si="428"/>
        <v>4150</v>
      </c>
      <c r="Q4571">
        <f t="shared" si="432"/>
        <v>4150</v>
      </c>
      <c r="T4571" s="16">
        <f t="shared" si="433"/>
        <v>-0.73008163895391265</v>
      </c>
    </row>
    <row r="4572" spans="7:20" ht="14.4" x14ac:dyDescent="0.25">
      <c r="G4572" s="10">
        <v>8171</v>
      </c>
      <c r="H4572" s="9">
        <v>58372</v>
      </c>
      <c r="I4572" s="14">
        <f>DATE(2012,12,31)-639</f>
        <v>40635</v>
      </c>
      <c r="J4572" s="15" t="s">
        <v>25</v>
      </c>
      <c r="K4572" s="9">
        <v>16</v>
      </c>
      <c r="L4572" s="16" t="s">
        <v>26</v>
      </c>
      <c r="M4572" s="16">
        <f t="shared" si="429"/>
        <v>-0.66102186233469074</v>
      </c>
      <c r="N4572">
        <f t="shared" si="430"/>
        <v>0</v>
      </c>
      <c r="O4572">
        <f t="shared" si="431"/>
        <v>0</v>
      </c>
      <c r="P4572">
        <f t="shared" si="428"/>
        <v>4200</v>
      </c>
      <c r="Q4572">
        <f t="shared" si="432"/>
        <v>4200</v>
      </c>
      <c r="T4572" s="16">
        <f t="shared" si="433"/>
        <v>-0.66102186233469118</v>
      </c>
    </row>
    <row r="4573" spans="7:20" ht="14.4" x14ac:dyDescent="0.25">
      <c r="G4573" s="10">
        <v>8327</v>
      </c>
      <c r="H4573" s="9">
        <v>59552</v>
      </c>
      <c r="I4573" s="14">
        <f>DATE(2012,12,31)-1083</f>
        <v>40191</v>
      </c>
      <c r="J4573" s="15" t="s">
        <v>28</v>
      </c>
      <c r="K4573" s="9">
        <v>39</v>
      </c>
      <c r="L4573" s="16" t="s">
        <v>26</v>
      </c>
      <c r="M4573" s="16">
        <f t="shared" si="429"/>
        <v>0.92735299990740228</v>
      </c>
      <c r="N4573">
        <f t="shared" si="430"/>
        <v>0</v>
      </c>
      <c r="O4573">
        <f t="shared" si="431"/>
        <v>0</v>
      </c>
      <c r="P4573">
        <f t="shared" si="428"/>
        <v>5350</v>
      </c>
      <c r="Q4573">
        <f t="shared" si="432"/>
        <v>5350</v>
      </c>
      <c r="T4573" s="16">
        <f t="shared" si="433"/>
        <v>0.92735299990740183</v>
      </c>
    </row>
    <row r="4574" spans="7:20" ht="14.4" x14ac:dyDescent="0.25">
      <c r="G4574" s="10">
        <v>329</v>
      </c>
      <c r="H4574" s="9">
        <v>2272</v>
      </c>
      <c r="I4574" s="14">
        <f>DATE(2012,12,31)-994</f>
        <v>40280</v>
      </c>
      <c r="J4574" s="15" t="s">
        <v>17</v>
      </c>
      <c r="K4574" s="9">
        <v>39</v>
      </c>
      <c r="L4574" s="16" t="s">
        <v>29</v>
      </c>
      <c r="M4574" s="16">
        <f t="shared" si="429"/>
        <v>0.92735299990740228</v>
      </c>
      <c r="N4574">
        <f t="shared" si="430"/>
        <v>0</v>
      </c>
      <c r="O4574">
        <f t="shared" si="431"/>
        <v>0</v>
      </c>
      <c r="P4574">
        <f t="shared" si="428"/>
        <v>5350</v>
      </c>
      <c r="Q4574">
        <f t="shared" si="432"/>
        <v>5350</v>
      </c>
      <c r="T4574" s="16">
        <f t="shared" si="433"/>
        <v>0.92735299990740183</v>
      </c>
    </row>
    <row r="4575" spans="7:20" ht="14.4" x14ac:dyDescent="0.25">
      <c r="G4575" s="10">
        <v>901</v>
      </c>
      <c r="H4575" s="9">
        <v>6498</v>
      </c>
      <c r="I4575" s="14">
        <f>DATE(2012,12,31)-1385</f>
        <v>39889</v>
      </c>
      <c r="J4575" s="15" t="s">
        <v>16</v>
      </c>
      <c r="K4575" s="9">
        <v>38</v>
      </c>
      <c r="L4575" s="16" t="s">
        <v>27</v>
      </c>
      <c r="M4575" s="16">
        <f t="shared" si="429"/>
        <v>0.85829322328818081</v>
      </c>
      <c r="N4575">
        <f t="shared" si="430"/>
        <v>0</v>
      </c>
      <c r="O4575">
        <f t="shared" si="431"/>
        <v>0</v>
      </c>
      <c r="P4575">
        <f t="shared" si="428"/>
        <v>5300</v>
      </c>
      <c r="Q4575">
        <f t="shared" si="432"/>
        <v>5300</v>
      </c>
      <c r="T4575" s="16">
        <f t="shared" si="433"/>
        <v>0.85829322328818036</v>
      </c>
    </row>
    <row r="4576" spans="7:20" ht="14.4" x14ac:dyDescent="0.25">
      <c r="G4576" s="10">
        <v>2264</v>
      </c>
      <c r="H4576" s="9">
        <v>16260</v>
      </c>
      <c r="I4576" s="14">
        <f>DATE(2012,12,31)-414</f>
        <v>40860</v>
      </c>
      <c r="J4576" s="15" t="s">
        <v>17</v>
      </c>
      <c r="K4576" s="9">
        <v>47</v>
      </c>
      <c r="L4576" s="16" t="s">
        <v>29</v>
      </c>
      <c r="M4576" s="16">
        <f t="shared" si="429"/>
        <v>1.4798312128611737</v>
      </c>
      <c r="N4576">
        <f t="shared" si="430"/>
        <v>0</v>
      </c>
      <c r="O4576">
        <f t="shared" si="431"/>
        <v>0</v>
      </c>
      <c r="P4576">
        <f t="shared" si="428"/>
        <v>5750</v>
      </c>
      <c r="Q4576">
        <f t="shared" si="432"/>
        <v>5750</v>
      </c>
      <c r="T4576" s="16">
        <f t="shared" si="433"/>
        <v>1.4798312128611733</v>
      </c>
    </row>
    <row r="4577" spans="7:20" ht="14.4" x14ac:dyDescent="0.25">
      <c r="G4577" s="10">
        <v>2275</v>
      </c>
      <c r="H4577" s="9">
        <v>16359</v>
      </c>
      <c r="I4577" s="14">
        <f>DATE(2012,12,31)-231</f>
        <v>41043</v>
      </c>
      <c r="J4577" s="15" t="s">
        <v>30</v>
      </c>
      <c r="K4577" s="9">
        <v>39</v>
      </c>
      <c r="L4577" s="16" t="s">
        <v>26</v>
      </c>
      <c r="M4577" s="16">
        <f t="shared" si="429"/>
        <v>0.92735299990740228</v>
      </c>
      <c r="N4577">
        <f t="shared" si="430"/>
        <v>0</v>
      </c>
      <c r="O4577">
        <f t="shared" si="431"/>
        <v>0</v>
      </c>
      <c r="P4577">
        <f t="shared" si="428"/>
        <v>5350</v>
      </c>
      <c r="Q4577">
        <f t="shared" si="432"/>
        <v>5350</v>
      </c>
      <c r="T4577" s="16">
        <f t="shared" si="433"/>
        <v>0.92735299990740183</v>
      </c>
    </row>
    <row r="4578" spans="7:20" ht="14.4" x14ac:dyDescent="0.25">
      <c r="G4578" s="10">
        <v>2276</v>
      </c>
      <c r="H4578" s="9">
        <v>16359</v>
      </c>
      <c r="I4578" s="14">
        <f>DATE(2012,12,31)-231</f>
        <v>41043</v>
      </c>
      <c r="J4578" s="15" t="s">
        <v>30</v>
      </c>
      <c r="K4578" s="9">
        <v>8</v>
      </c>
      <c r="L4578" s="16" t="s">
        <v>26</v>
      </c>
      <c r="M4578" s="16">
        <f t="shared" si="429"/>
        <v>-1.2135000752884624</v>
      </c>
      <c r="N4578">
        <f t="shared" si="430"/>
        <v>0</v>
      </c>
      <c r="O4578">
        <f t="shared" si="431"/>
        <v>0</v>
      </c>
      <c r="P4578">
        <f t="shared" si="428"/>
        <v>3800</v>
      </c>
      <c r="Q4578">
        <f t="shared" si="432"/>
        <v>3800</v>
      </c>
      <c r="T4578" s="16">
        <f t="shared" si="433"/>
        <v>-1.2135000752884626</v>
      </c>
    </row>
    <row r="4579" spans="7:20" ht="14.4" x14ac:dyDescent="0.25">
      <c r="G4579" s="10">
        <v>3059</v>
      </c>
      <c r="H4579" s="9">
        <v>21922</v>
      </c>
      <c r="I4579" s="14">
        <f>DATE(2012,12,31)-1146</f>
        <v>40128</v>
      </c>
      <c r="J4579" s="15" t="s">
        <v>17</v>
      </c>
      <c r="K4579" s="9">
        <v>17</v>
      </c>
      <c r="L4579" s="16" t="s">
        <v>29</v>
      </c>
      <c r="M4579" s="16">
        <f t="shared" si="429"/>
        <v>-0.59196208571546938</v>
      </c>
      <c r="N4579">
        <f t="shared" si="430"/>
        <v>0</v>
      </c>
      <c r="O4579">
        <f t="shared" si="431"/>
        <v>0</v>
      </c>
      <c r="P4579">
        <f t="shared" si="428"/>
        <v>4250</v>
      </c>
      <c r="Q4579">
        <f t="shared" si="432"/>
        <v>4250</v>
      </c>
      <c r="T4579" s="16">
        <f t="shared" si="433"/>
        <v>-0.59196208571546971</v>
      </c>
    </row>
    <row r="4580" spans="7:20" ht="14.4" x14ac:dyDescent="0.25">
      <c r="G4580" s="10">
        <v>3060</v>
      </c>
      <c r="H4580" s="9">
        <v>21922</v>
      </c>
      <c r="I4580" s="14">
        <f>DATE(2012,12,31)-1146</f>
        <v>40128</v>
      </c>
      <c r="J4580" s="15" t="s">
        <v>17</v>
      </c>
      <c r="K4580" s="9">
        <v>11</v>
      </c>
      <c r="L4580" s="16" t="s">
        <v>29</v>
      </c>
      <c r="M4580" s="16">
        <f t="shared" si="429"/>
        <v>-1.0063207454307979</v>
      </c>
      <c r="N4580">
        <f t="shared" si="430"/>
        <v>0</v>
      </c>
      <c r="O4580">
        <f t="shared" si="431"/>
        <v>0</v>
      </c>
      <c r="P4580">
        <f t="shared" si="428"/>
        <v>3950</v>
      </c>
      <c r="Q4580">
        <f t="shared" si="432"/>
        <v>3950</v>
      </c>
      <c r="T4580" s="16">
        <f t="shared" si="433"/>
        <v>-1.0063207454307983</v>
      </c>
    </row>
    <row r="4581" spans="7:20" ht="14.4" x14ac:dyDescent="0.25">
      <c r="G4581" s="10">
        <v>3061</v>
      </c>
      <c r="H4581" s="9">
        <v>21922</v>
      </c>
      <c r="I4581" s="14">
        <f>DATE(2012,12,31)-1146</f>
        <v>40128</v>
      </c>
      <c r="J4581" s="15" t="s">
        <v>17</v>
      </c>
      <c r="K4581" s="9">
        <v>49</v>
      </c>
      <c r="L4581" s="16" t="s">
        <v>26</v>
      </c>
      <c r="M4581" s="16">
        <f t="shared" si="429"/>
        <v>1.6179507660996166</v>
      </c>
      <c r="N4581">
        <f t="shared" si="430"/>
        <v>0</v>
      </c>
      <c r="O4581">
        <f t="shared" si="431"/>
        <v>0</v>
      </c>
      <c r="P4581">
        <f t="shared" si="428"/>
        <v>5850</v>
      </c>
      <c r="Q4581">
        <f t="shared" si="432"/>
        <v>5850</v>
      </c>
      <c r="T4581" s="16">
        <f t="shared" si="433"/>
        <v>1.6179507660996162</v>
      </c>
    </row>
    <row r="4582" spans="7:20" ht="14.4" x14ac:dyDescent="0.25">
      <c r="G4582" s="10">
        <v>3296</v>
      </c>
      <c r="H4582" s="9">
        <v>23558</v>
      </c>
      <c r="I4582" s="14">
        <f>DATE(2012,12,31)-510</f>
        <v>40764</v>
      </c>
      <c r="J4582" s="15" t="s">
        <v>25</v>
      </c>
      <c r="K4582" s="9">
        <v>4</v>
      </c>
      <c r="L4582" s="16" t="s">
        <v>26</v>
      </c>
      <c r="M4582" s="16">
        <f t="shared" si="429"/>
        <v>-1.489739181765348</v>
      </c>
      <c r="N4582">
        <f t="shared" si="430"/>
        <v>0</v>
      </c>
      <c r="O4582">
        <f t="shared" si="431"/>
        <v>0</v>
      </c>
      <c r="P4582">
        <f t="shared" si="428"/>
        <v>3600</v>
      </c>
      <c r="Q4582">
        <f t="shared" si="432"/>
        <v>3600</v>
      </c>
      <c r="T4582" s="16">
        <f t="shared" si="433"/>
        <v>-1.4897391817653485</v>
      </c>
    </row>
    <row r="4583" spans="7:20" ht="14.4" x14ac:dyDescent="0.25">
      <c r="G4583" s="10">
        <v>3297</v>
      </c>
      <c r="H4583" s="9">
        <v>23558</v>
      </c>
      <c r="I4583" s="14">
        <f>DATE(2012,12,31)-510</f>
        <v>40764</v>
      </c>
      <c r="J4583" s="15" t="s">
        <v>25</v>
      </c>
      <c r="K4583" s="9">
        <v>17</v>
      </c>
      <c r="L4583" s="16" t="s">
        <v>29</v>
      </c>
      <c r="M4583" s="16">
        <f t="shared" si="429"/>
        <v>-0.59196208571546938</v>
      </c>
      <c r="N4583">
        <f t="shared" si="430"/>
        <v>0</v>
      </c>
      <c r="O4583">
        <f t="shared" si="431"/>
        <v>0</v>
      </c>
      <c r="P4583">
        <f t="shared" si="428"/>
        <v>4250</v>
      </c>
      <c r="Q4583">
        <f t="shared" si="432"/>
        <v>4250</v>
      </c>
      <c r="T4583" s="16">
        <f t="shared" si="433"/>
        <v>-0.59196208571546971</v>
      </c>
    </row>
    <row r="4584" spans="7:20" ht="14.4" x14ac:dyDescent="0.25">
      <c r="G4584" s="10">
        <v>3818</v>
      </c>
      <c r="H4584" s="9">
        <v>27205</v>
      </c>
      <c r="I4584" s="14">
        <f>DATE(2012,12,31)-955</f>
        <v>40319</v>
      </c>
      <c r="J4584" s="15" t="s">
        <v>28</v>
      </c>
      <c r="K4584" s="9">
        <v>12</v>
      </c>
      <c r="L4584" s="16" t="s">
        <v>27</v>
      </c>
      <c r="M4584" s="16">
        <f t="shared" si="429"/>
        <v>-0.9372609688115765</v>
      </c>
      <c r="N4584">
        <f t="shared" si="430"/>
        <v>0</v>
      </c>
      <c r="O4584">
        <f t="shared" si="431"/>
        <v>0</v>
      </c>
      <c r="P4584">
        <f t="shared" si="428"/>
        <v>4000</v>
      </c>
      <c r="Q4584">
        <f t="shared" si="432"/>
        <v>4000</v>
      </c>
      <c r="T4584" s="16">
        <f t="shared" si="433"/>
        <v>-0.93726096881157694</v>
      </c>
    </row>
    <row r="4585" spans="7:20" ht="14.4" x14ac:dyDescent="0.25">
      <c r="G4585" s="10">
        <v>3850</v>
      </c>
      <c r="H4585" s="9">
        <v>27461</v>
      </c>
      <c r="I4585" s="14">
        <f>DATE(2012,12,31)-1039</f>
        <v>40235</v>
      </c>
      <c r="J4585" s="15" t="s">
        <v>30</v>
      </c>
      <c r="K4585" s="9">
        <v>40</v>
      </c>
      <c r="L4585" s="16" t="s">
        <v>26</v>
      </c>
      <c r="M4585" s="16">
        <f t="shared" si="429"/>
        <v>0.99641277652662363</v>
      </c>
      <c r="N4585">
        <f t="shared" si="430"/>
        <v>0</v>
      </c>
      <c r="O4585">
        <f t="shared" si="431"/>
        <v>0</v>
      </c>
      <c r="P4585">
        <f t="shared" si="428"/>
        <v>5400</v>
      </c>
      <c r="Q4585">
        <f t="shared" si="432"/>
        <v>5400</v>
      </c>
      <c r="T4585" s="16">
        <f t="shared" si="433"/>
        <v>0.9964127765266233</v>
      </c>
    </row>
    <row r="4586" spans="7:20" ht="14.4" x14ac:dyDescent="0.25">
      <c r="G4586" s="10">
        <v>3851</v>
      </c>
      <c r="H4586" s="9">
        <v>27461</v>
      </c>
      <c r="I4586" s="14">
        <f>DATE(2012,12,31)-1039</f>
        <v>40235</v>
      </c>
      <c r="J4586" s="15" t="s">
        <v>30</v>
      </c>
      <c r="K4586" s="9">
        <v>26</v>
      </c>
      <c r="L4586" s="16" t="s">
        <v>26</v>
      </c>
      <c r="M4586" s="16">
        <f t="shared" si="429"/>
        <v>2.9575903857523567E-2</v>
      </c>
      <c r="N4586">
        <f t="shared" si="430"/>
        <v>0</v>
      </c>
      <c r="O4586">
        <f t="shared" si="431"/>
        <v>0</v>
      </c>
      <c r="P4586">
        <f t="shared" si="428"/>
        <v>4700</v>
      </c>
      <c r="Q4586">
        <f t="shared" si="432"/>
        <v>4700</v>
      </c>
      <c r="T4586" s="16">
        <f t="shared" si="433"/>
        <v>2.9575903857523185E-2</v>
      </c>
    </row>
    <row r="4587" spans="7:20" ht="14.4" x14ac:dyDescent="0.25">
      <c r="G4587" s="10">
        <v>4215</v>
      </c>
      <c r="H4587" s="9">
        <v>29957</v>
      </c>
      <c r="I4587" s="14">
        <f>DATE(2012,12,31)-1024</f>
        <v>40250</v>
      </c>
      <c r="J4587" s="15" t="s">
        <v>30</v>
      </c>
      <c r="K4587" s="9">
        <v>31</v>
      </c>
      <c r="L4587" s="16" t="s">
        <v>26</v>
      </c>
      <c r="M4587" s="16">
        <f t="shared" si="429"/>
        <v>0.37487478695363075</v>
      </c>
      <c r="N4587">
        <f t="shared" si="430"/>
        <v>0</v>
      </c>
      <c r="O4587">
        <f t="shared" si="431"/>
        <v>0</v>
      </c>
      <c r="P4587">
        <f t="shared" si="428"/>
        <v>4950</v>
      </c>
      <c r="Q4587">
        <f t="shared" si="432"/>
        <v>4950</v>
      </c>
      <c r="T4587" s="16">
        <f t="shared" si="433"/>
        <v>0.37487478695363036</v>
      </c>
    </row>
    <row r="4588" spans="7:20" ht="14.4" x14ac:dyDescent="0.25">
      <c r="G4588" s="10">
        <v>4295</v>
      </c>
      <c r="H4588" s="9">
        <v>30593</v>
      </c>
      <c r="I4588" s="14">
        <f>DATE(2012,12,31)-525</f>
        <v>40749</v>
      </c>
      <c r="J4588" s="15" t="s">
        <v>30</v>
      </c>
      <c r="K4588" s="9">
        <v>20</v>
      </c>
      <c r="L4588" s="16" t="s">
        <v>29</v>
      </c>
      <c r="M4588" s="16">
        <f t="shared" si="429"/>
        <v>-0.38478275585780503</v>
      </c>
      <c r="N4588">
        <f t="shared" si="430"/>
        <v>0</v>
      </c>
      <c r="O4588">
        <f t="shared" si="431"/>
        <v>0</v>
      </c>
      <c r="P4588">
        <f t="shared" si="428"/>
        <v>4400</v>
      </c>
      <c r="Q4588">
        <f t="shared" si="432"/>
        <v>4400</v>
      </c>
      <c r="T4588" s="16">
        <f t="shared" si="433"/>
        <v>-0.38478275585780541</v>
      </c>
    </row>
    <row r="4589" spans="7:20" ht="14.4" x14ac:dyDescent="0.25">
      <c r="G4589" s="10">
        <v>4296</v>
      </c>
      <c r="H4589" s="9">
        <v>30593</v>
      </c>
      <c r="I4589" s="14">
        <f>DATE(2012,12,31)-525</f>
        <v>40749</v>
      </c>
      <c r="J4589" s="15" t="s">
        <v>30</v>
      </c>
      <c r="K4589" s="9">
        <v>41</v>
      </c>
      <c r="L4589" s="16" t="s">
        <v>26</v>
      </c>
      <c r="M4589" s="16">
        <f t="shared" si="429"/>
        <v>1.0654725531458451</v>
      </c>
      <c r="N4589">
        <f t="shared" si="430"/>
        <v>0</v>
      </c>
      <c r="O4589">
        <f t="shared" si="431"/>
        <v>0</v>
      </c>
      <c r="P4589">
        <f t="shared" si="428"/>
        <v>5450</v>
      </c>
      <c r="Q4589">
        <f t="shared" si="432"/>
        <v>5450</v>
      </c>
      <c r="T4589" s="16">
        <f t="shared" si="433"/>
        <v>1.0654725531458447</v>
      </c>
    </row>
    <row r="4590" spans="7:20" ht="14.4" x14ac:dyDescent="0.25">
      <c r="G4590" s="10">
        <v>4617</v>
      </c>
      <c r="H4590" s="9">
        <v>32871</v>
      </c>
      <c r="I4590" s="14">
        <f>DATE(2012,12,31)-66</f>
        <v>41208</v>
      </c>
      <c r="J4590" s="15" t="s">
        <v>17</v>
      </c>
      <c r="K4590" s="9">
        <v>9</v>
      </c>
      <c r="L4590" s="16" t="s">
        <v>27</v>
      </c>
      <c r="M4590" s="16">
        <f t="shared" si="429"/>
        <v>-1.1444402986692408</v>
      </c>
      <c r="N4590">
        <f t="shared" si="430"/>
        <v>0</v>
      </c>
      <c r="O4590">
        <f t="shared" si="431"/>
        <v>0</v>
      </c>
      <c r="P4590">
        <f t="shared" si="428"/>
        <v>3850</v>
      </c>
      <c r="Q4590">
        <f t="shared" si="432"/>
        <v>3850</v>
      </c>
      <c r="T4590" s="16">
        <f t="shared" si="433"/>
        <v>-1.1444402986692412</v>
      </c>
    </row>
    <row r="4591" spans="7:20" ht="14.4" x14ac:dyDescent="0.25">
      <c r="G4591" s="10">
        <v>4618</v>
      </c>
      <c r="H4591" s="9">
        <v>32871</v>
      </c>
      <c r="I4591" s="14">
        <f>DATE(2012,12,31)-66</f>
        <v>41208</v>
      </c>
      <c r="J4591" s="15" t="s">
        <v>17</v>
      </c>
      <c r="K4591" s="9">
        <v>14</v>
      </c>
      <c r="L4591" s="16" t="s">
        <v>27</v>
      </c>
      <c r="M4591" s="16">
        <f t="shared" si="429"/>
        <v>-0.79914141557313367</v>
      </c>
      <c r="N4591">
        <f t="shared" si="430"/>
        <v>0</v>
      </c>
      <c r="O4591">
        <f t="shared" si="431"/>
        <v>0</v>
      </c>
      <c r="P4591">
        <f t="shared" si="428"/>
        <v>4100</v>
      </c>
      <c r="Q4591">
        <f t="shared" si="432"/>
        <v>4100</v>
      </c>
      <c r="T4591" s="16">
        <f t="shared" si="433"/>
        <v>-0.79914141557313401</v>
      </c>
    </row>
    <row r="4592" spans="7:20" ht="14.4" x14ac:dyDescent="0.25">
      <c r="G4592" s="10">
        <v>5034</v>
      </c>
      <c r="H4592" s="9">
        <v>35878</v>
      </c>
      <c r="I4592" s="14">
        <f>DATE(2012,12,31)-871</f>
        <v>40403</v>
      </c>
      <c r="J4592" s="15" t="s">
        <v>16</v>
      </c>
      <c r="K4592" s="9">
        <v>11</v>
      </c>
      <c r="L4592" s="16" t="s">
        <v>26</v>
      </c>
      <c r="M4592" s="16">
        <f t="shared" si="429"/>
        <v>-1.0063207454307979</v>
      </c>
      <c r="N4592">
        <f t="shared" si="430"/>
        <v>0</v>
      </c>
      <c r="O4592">
        <f t="shared" si="431"/>
        <v>0</v>
      </c>
      <c r="P4592">
        <f t="shared" si="428"/>
        <v>3950</v>
      </c>
      <c r="Q4592">
        <f t="shared" si="432"/>
        <v>3950</v>
      </c>
      <c r="T4592" s="16">
        <f t="shared" si="433"/>
        <v>-1.0063207454307983</v>
      </c>
    </row>
    <row r="4593" spans="7:20" ht="14.4" x14ac:dyDescent="0.25">
      <c r="G4593" s="10">
        <v>5339</v>
      </c>
      <c r="H4593" s="9">
        <v>37924</v>
      </c>
      <c r="I4593" s="14">
        <f>DATE(2012,12,31)-1128</f>
        <v>40146</v>
      </c>
      <c r="J4593" s="15" t="s">
        <v>17</v>
      </c>
      <c r="K4593" s="9">
        <v>21</v>
      </c>
      <c r="L4593" s="16" t="s">
        <v>26</v>
      </c>
      <c r="M4593" s="16">
        <f t="shared" si="429"/>
        <v>-0.31572297923858361</v>
      </c>
      <c r="N4593">
        <f t="shared" si="430"/>
        <v>0</v>
      </c>
      <c r="O4593">
        <f t="shared" si="431"/>
        <v>0</v>
      </c>
      <c r="P4593">
        <f t="shared" si="428"/>
        <v>4450</v>
      </c>
      <c r="Q4593">
        <f t="shared" si="432"/>
        <v>4450</v>
      </c>
      <c r="T4593" s="16">
        <f t="shared" si="433"/>
        <v>-0.315722979238584</v>
      </c>
    </row>
    <row r="4594" spans="7:20" ht="14.4" x14ac:dyDescent="0.25">
      <c r="G4594" s="10">
        <v>5401</v>
      </c>
      <c r="H4594" s="9">
        <v>38400</v>
      </c>
      <c r="I4594" s="14">
        <f>DATE(2012,12,31)-1113</f>
        <v>40161</v>
      </c>
      <c r="J4594" s="15" t="s">
        <v>28</v>
      </c>
      <c r="K4594" s="9">
        <v>8</v>
      </c>
      <c r="L4594" s="16" t="s">
        <v>29</v>
      </c>
      <c r="M4594" s="16">
        <f t="shared" si="429"/>
        <v>-1.2135000752884624</v>
      </c>
      <c r="N4594">
        <f t="shared" si="430"/>
        <v>0</v>
      </c>
      <c r="O4594">
        <f t="shared" si="431"/>
        <v>0</v>
      </c>
      <c r="P4594">
        <f t="shared" si="428"/>
        <v>3800</v>
      </c>
      <c r="Q4594">
        <f t="shared" si="432"/>
        <v>3800</v>
      </c>
      <c r="T4594" s="16">
        <f t="shared" si="433"/>
        <v>-1.2135000752884626</v>
      </c>
    </row>
    <row r="4595" spans="7:20" ht="14.4" x14ac:dyDescent="0.25">
      <c r="G4595" s="10">
        <v>5413</v>
      </c>
      <c r="H4595" s="9">
        <v>38498</v>
      </c>
      <c r="I4595" s="14">
        <f>DATE(2012,12,31)-248</f>
        <v>41026</v>
      </c>
      <c r="J4595" s="15" t="s">
        <v>30</v>
      </c>
      <c r="K4595" s="9">
        <v>30</v>
      </c>
      <c r="L4595" s="16" t="s">
        <v>27</v>
      </c>
      <c r="M4595" s="16">
        <f t="shared" si="429"/>
        <v>0.30581501033440933</v>
      </c>
      <c r="N4595">
        <f t="shared" si="430"/>
        <v>0</v>
      </c>
      <c r="O4595">
        <f t="shared" si="431"/>
        <v>0</v>
      </c>
      <c r="P4595">
        <f t="shared" si="428"/>
        <v>4900</v>
      </c>
      <c r="Q4595">
        <f t="shared" si="432"/>
        <v>4900</v>
      </c>
      <c r="T4595" s="16">
        <f t="shared" si="433"/>
        <v>0.30581501033440894</v>
      </c>
    </row>
    <row r="4596" spans="7:20" ht="14.4" x14ac:dyDescent="0.25">
      <c r="G4596" s="10">
        <v>5414</v>
      </c>
      <c r="H4596" s="9">
        <v>38498</v>
      </c>
      <c r="I4596" s="14">
        <f>DATE(2012,12,31)-248</f>
        <v>41026</v>
      </c>
      <c r="J4596" s="15" t="s">
        <v>30</v>
      </c>
      <c r="K4596" s="9">
        <v>1</v>
      </c>
      <c r="L4596" s="16" t="s">
        <v>26</v>
      </c>
      <c r="M4596" s="16">
        <f t="shared" si="429"/>
        <v>-1.6969185116230123</v>
      </c>
      <c r="N4596">
        <f t="shared" si="430"/>
        <v>0</v>
      </c>
      <c r="O4596">
        <f t="shared" si="431"/>
        <v>0</v>
      </c>
      <c r="P4596">
        <f t="shared" si="428"/>
        <v>3450</v>
      </c>
      <c r="Q4596">
        <f t="shared" si="432"/>
        <v>3450</v>
      </c>
      <c r="T4596" s="16">
        <f t="shared" si="433"/>
        <v>-1.6969185116230128</v>
      </c>
    </row>
    <row r="4597" spans="7:20" ht="14.4" x14ac:dyDescent="0.25">
      <c r="G4597" s="10">
        <v>5575</v>
      </c>
      <c r="H4597" s="9">
        <v>39492</v>
      </c>
      <c r="I4597" s="14">
        <f>DATE(2012,12,31)-624</f>
        <v>40650</v>
      </c>
      <c r="J4597" s="15" t="s">
        <v>28</v>
      </c>
      <c r="K4597" s="9">
        <v>38</v>
      </c>
      <c r="L4597" s="16" t="s">
        <v>27</v>
      </c>
      <c r="M4597" s="16">
        <f t="shared" si="429"/>
        <v>0.85829322328818081</v>
      </c>
      <c r="N4597">
        <f t="shared" si="430"/>
        <v>0</v>
      </c>
      <c r="O4597">
        <f t="shared" si="431"/>
        <v>0</v>
      </c>
      <c r="P4597">
        <f t="shared" si="428"/>
        <v>5300</v>
      </c>
      <c r="Q4597">
        <f t="shared" si="432"/>
        <v>5300</v>
      </c>
      <c r="T4597" s="16">
        <f t="shared" si="433"/>
        <v>0.85829322328818036</v>
      </c>
    </row>
    <row r="4598" spans="7:20" ht="14.4" x14ac:dyDescent="0.25">
      <c r="G4598" s="10">
        <v>5576</v>
      </c>
      <c r="H4598" s="9">
        <v>39492</v>
      </c>
      <c r="I4598" s="14">
        <f>DATE(2012,12,31)-624</f>
        <v>40650</v>
      </c>
      <c r="J4598" s="15" t="s">
        <v>28</v>
      </c>
      <c r="K4598" s="9">
        <v>40</v>
      </c>
      <c r="L4598" s="16" t="s">
        <v>26</v>
      </c>
      <c r="M4598" s="16">
        <f t="shared" si="429"/>
        <v>0.99641277652662363</v>
      </c>
      <c r="N4598">
        <f t="shared" si="430"/>
        <v>0</v>
      </c>
      <c r="O4598">
        <f t="shared" si="431"/>
        <v>0</v>
      </c>
      <c r="P4598">
        <f t="shared" si="428"/>
        <v>5400</v>
      </c>
      <c r="Q4598">
        <f t="shared" si="432"/>
        <v>5400</v>
      </c>
      <c r="T4598" s="16">
        <f t="shared" si="433"/>
        <v>0.9964127765266233</v>
      </c>
    </row>
    <row r="4599" spans="7:20" ht="14.4" x14ac:dyDescent="0.25">
      <c r="G4599" s="10">
        <v>5602</v>
      </c>
      <c r="H4599" s="9">
        <v>39686</v>
      </c>
      <c r="I4599" s="14">
        <f>DATE(2012,12,31)-206</f>
        <v>41068</v>
      </c>
      <c r="J4599" s="15" t="s">
        <v>28</v>
      </c>
      <c r="K4599" s="9">
        <v>2</v>
      </c>
      <c r="L4599" s="16" t="s">
        <v>26</v>
      </c>
      <c r="M4599" s="16">
        <f t="shared" si="429"/>
        <v>-1.627858735003791</v>
      </c>
      <c r="N4599">
        <f t="shared" si="430"/>
        <v>0</v>
      </c>
      <c r="O4599">
        <f t="shared" si="431"/>
        <v>0</v>
      </c>
      <c r="P4599">
        <f t="shared" si="428"/>
        <v>3500</v>
      </c>
      <c r="Q4599">
        <f t="shared" si="432"/>
        <v>3500</v>
      </c>
      <c r="T4599" s="16">
        <f t="shared" si="433"/>
        <v>-1.6278587350037912</v>
      </c>
    </row>
    <row r="4600" spans="7:20" ht="14.4" x14ac:dyDescent="0.25">
      <c r="G4600" s="10">
        <v>5603</v>
      </c>
      <c r="H4600" s="9">
        <v>39686</v>
      </c>
      <c r="I4600" s="14">
        <f>DATE(2012,12,31)-206</f>
        <v>41068</v>
      </c>
      <c r="J4600" s="15" t="s">
        <v>28</v>
      </c>
      <c r="K4600" s="9">
        <v>48</v>
      </c>
      <c r="L4600" s="16" t="s">
        <v>27</v>
      </c>
      <c r="M4600" s="16">
        <f t="shared" si="429"/>
        <v>1.5488909894803951</v>
      </c>
      <c r="N4600">
        <f t="shared" si="430"/>
        <v>0</v>
      </c>
      <c r="O4600">
        <f t="shared" si="431"/>
        <v>0</v>
      </c>
      <c r="P4600">
        <f t="shared" si="428"/>
        <v>5800</v>
      </c>
      <c r="Q4600">
        <f t="shared" si="432"/>
        <v>5800</v>
      </c>
      <c r="T4600" s="16">
        <f t="shared" si="433"/>
        <v>1.5488909894803948</v>
      </c>
    </row>
    <row r="4601" spans="7:20" ht="14.4" x14ac:dyDescent="0.25">
      <c r="G4601" s="10">
        <v>6028</v>
      </c>
      <c r="H4601" s="9">
        <v>42693</v>
      </c>
      <c r="I4601" s="14">
        <f>DATE(2012,12,31)-1367</f>
        <v>39907</v>
      </c>
      <c r="J4601" s="15" t="s">
        <v>17</v>
      </c>
      <c r="K4601" s="9">
        <v>33</v>
      </c>
      <c r="L4601" s="16" t="s">
        <v>26</v>
      </c>
      <c r="M4601" s="16">
        <f t="shared" si="429"/>
        <v>0.51299434019207357</v>
      </c>
      <c r="N4601">
        <f t="shared" si="430"/>
        <v>0</v>
      </c>
      <c r="O4601">
        <f t="shared" si="431"/>
        <v>0</v>
      </c>
      <c r="P4601">
        <f t="shared" si="428"/>
        <v>5050</v>
      </c>
      <c r="Q4601">
        <f t="shared" si="432"/>
        <v>5050</v>
      </c>
      <c r="T4601" s="16">
        <f t="shared" si="433"/>
        <v>0.51299434019207324</v>
      </c>
    </row>
    <row r="4602" spans="7:20" ht="14.4" x14ac:dyDescent="0.25">
      <c r="G4602" s="10">
        <v>6043</v>
      </c>
      <c r="H4602" s="9">
        <v>42850</v>
      </c>
      <c r="I4602" s="14">
        <f>DATE(2012,12,31)-559</f>
        <v>40715</v>
      </c>
      <c r="J4602" s="15" t="s">
        <v>16</v>
      </c>
      <c r="K4602" s="9">
        <v>27</v>
      </c>
      <c r="L4602" s="16" t="s">
        <v>27</v>
      </c>
      <c r="M4602" s="16">
        <f t="shared" si="429"/>
        <v>9.8635680476745008E-2</v>
      </c>
      <c r="N4602">
        <f t="shared" si="430"/>
        <v>0</v>
      </c>
      <c r="O4602">
        <f t="shared" si="431"/>
        <v>0</v>
      </c>
      <c r="P4602">
        <f t="shared" si="428"/>
        <v>4750</v>
      </c>
      <c r="Q4602">
        <f t="shared" si="432"/>
        <v>4750</v>
      </c>
      <c r="T4602" s="16">
        <f t="shared" si="433"/>
        <v>9.8635680476744619E-2</v>
      </c>
    </row>
    <row r="4603" spans="7:20" ht="14.4" x14ac:dyDescent="0.25">
      <c r="G4603" s="10">
        <v>6468</v>
      </c>
      <c r="H4603" s="9">
        <v>46050</v>
      </c>
      <c r="I4603" s="14">
        <f>DATE(2012,12,31)-1092</f>
        <v>40182</v>
      </c>
      <c r="J4603" s="15" t="s">
        <v>17</v>
      </c>
      <c r="K4603" s="9">
        <v>5</v>
      </c>
      <c r="L4603" s="16" t="s">
        <v>27</v>
      </c>
      <c r="M4603" s="16">
        <f t="shared" si="429"/>
        <v>-1.4206794051461267</v>
      </c>
      <c r="N4603">
        <f t="shared" si="430"/>
        <v>0</v>
      </c>
      <c r="O4603">
        <f t="shared" si="431"/>
        <v>0</v>
      </c>
      <c r="P4603">
        <f t="shared" si="428"/>
        <v>3650</v>
      </c>
      <c r="Q4603">
        <f t="shared" si="432"/>
        <v>3650</v>
      </c>
      <c r="T4603" s="16">
        <f t="shared" si="433"/>
        <v>-1.4206794051461269</v>
      </c>
    </row>
    <row r="4604" spans="7:20" ht="14.4" x14ac:dyDescent="0.25">
      <c r="G4604" s="10">
        <v>6469</v>
      </c>
      <c r="H4604" s="9">
        <v>46050</v>
      </c>
      <c r="I4604" s="14">
        <f>DATE(2012,12,31)-1092</f>
        <v>40182</v>
      </c>
      <c r="J4604" s="15" t="s">
        <v>17</v>
      </c>
      <c r="K4604" s="9">
        <v>48</v>
      </c>
      <c r="L4604" s="16" t="s">
        <v>26</v>
      </c>
      <c r="M4604" s="16">
        <f t="shared" si="429"/>
        <v>1.5488909894803951</v>
      </c>
      <c r="N4604">
        <f t="shared" si="430"/>
        <v>0</v>
      </c>
      <c r="O4604">
        <f t="shared" si="431"/>
        <v>0</v>
      </c>
      <c r="P4604">
        <f t="shared" si="428"/>
        <v>5800</v>
      </c>
      <c r="Q4604">
        <f t="shared" si="432"/>
        <v>5800</v>
      </c>
      <c r="T4604" s="16">
        <f t="shared" si="433"/>
        <v>1.5488909894803948</v>
      </c>
    </row>
    <row r="4605" spans="7:20" ht="14.4" x14ac:dyDescent="0.25">
      <c r="G4605" s="10">
        <v>6491</v>
      </c>
      <c r="H4605" s="9">
        <v>46212</v>
      </c>
      <c r="I4605" s="14">
        <f>DATE(2012,12,31)-110</f>
        <v>41164</v>
      </c>
      <c r="J4605" s="15" t="s">
        <v>28</v>
      </c>
      <c r="K4605" s="9">
        <v>7</v>
      </c>
      <c r="L4605" s="16" t="s">
        <v>29</v>
      </c>
      <c r="M4605" s="16">
        <f t="shared" si="429"/>
        <v>-1.2825598519076837</v>
      </c>
      <c r="N4605">
        <f t="shared" si="430"/>
        <v>0</v>
      </c>
      <c r="O4605">
        <f t="shared" si="431"/>
        <v>0</v>
      </c>
      <c r="P4605">
        <f t="shared" si="428"/>
        <v>3750</v>
      </c>
      <c r="Q4605">
        <f t="shared" si="432"/>
        <v>3750</v>
      </c>
      <c r="T4605" s="16">
        <f t="shared" si="433"/>
        <v>-1.2825598519076842</v>
      </c>
    </row>
    <row r="4606" spans="7:20" ht="14.4" x14ac:dyDescent="0.25">
      <c r="G4606" s="10">
        <v>6911</v>
      </c>
      <c r="H4606" s="9">
        <v>49313</v>
      </c>
      <c r="I4606" s="14">
        <f>DATE(2012,12,31)-1184</f>
        <v>40090</v>
      </c>
      <c r="J4606" s="15" t="s">
        <v>16</v>
      </c>
      <c r="K4606" s="9">
        <v>34</v>
      </c>
      <c r="L4606" s="16" t="s">
        <v>29</v>
      </c>
      <c r="M4606" s="16">
        <f t="shared" si="429"/>
        <v>0.58205411681129504</v>
      </c>
      <c r="N4606">
        <f t="shared" si="430"/>
        <v>0</v>
      </c>
      <c r="O4606">
        <f t="shared" si="431"/>
        <v>0</v>
      </c>
      <c r="P4606">
        <f t="shared" si="428"/>
        <v>5100</v>
      </c>
      <c r="Q4606">
        <f t="shared" si="432"/>
        <v>5100</v>
      </c>
      <c r="T4606" s="16">
        <f t="shared" si="433"/>
        <v>0.58205411681129471</v>
      </c>
    </row>
    <row r="4607" spans="7:20" ht="14.4" x14ac:dyDescent="0.25">
      <c r="G4607" s="10">
        <v>6912</v>
      </c>
      <c r="H4607" s="9">
        <v>49313</v>
      </c>
      <c r="I4607" s="14">
        <f>DATE(2012,12,31)-1184</f>
        <v>40090</v>
      </c>
      <c r="J4607" s="15" t="s">
        <v>16</v>
      </c>
      <c r="K4607" s="9">
        <v>36</v>
      </c>
      <c r="L4607" s="16" t="s">
        <v>27</v>
      </c>
      <c r="M4607" s="16">
        <f t="shared" si="429"/>
        <v>0.72017367004973787</v>
      </c>
      <c r="N4607">
        <f t="shared" si="430"/>
        <v>0</v>
      </c>
      <c r="O4607">
        <f t="shared" si="431"/>
        <v>0</v>
      </c>
      <c r="P4607">
        <f t="shared" si="428"/>
        <v>5200</v>
      </c>
      <c r="Q4607">
        <f t="shared" si="432"/>
        <v>5200</v>
      </c>
      <c r="T4607" s="16">
        <f t="shared" si="433"/>
        <v>0.72017367004973754</v>
      </c>
    </row>
    <row r="4608" spans="7:20" ht="14.4" x14ac:dyDescent="0.25">
      <c r="G4608" s="10">
        <v>6933</v>
      </c>
      <c r="H4608" s="9">
        <v>49477</v>
      </c>
      <c r="I4608" s="14">
        <f>DATE(2012,12,31)-398</f>
        <v>40876</v>
      </c>
      <c r="J4608" s="15" t="s">
        <v>16</v>
      </c>
      <c r="K4608" s="9">
        <v>9</v>
      </c>
      <c r="L4608" s="16" t="s">
        <v>26</v>
      </c>
      <c r="M4608" s="16">
        <f t="shared" si="429"/>
        <v>-1.1444402986692408</v>
      </c>
      <c r="N4608">
        <f t="shared" si="430"/>
        <v>0</v>
      </c>
      <c r="O4608">
        <f t="shared" si="431"/>
        <v>0</v>
      </c>
      <c r="P4608">
        <f t="shared" si="428"/>
        <v>3850</v>
      </c>
      <c r="Q4608">
        <f t="shared" si="432"/>
        <v>3850</v>
      </c>
      <c r="T4608" s="16">
        <f t="shared" si="433"/>
        <v>-1.1444402986692412</v>
      </c>
    </row>
    <row r="4609" spans="7:20" ht="14.4" x14ac:dyDescent="0.25">
      <c r="G4609" s="10">
        <v>6978</v>
      </c>
      <c r="H4609" s="9">
        <v>49889</v>
      </c>
      <c r="I4609" s="14">
        <f>DATE(2012,12,31)-19</f>
        <v>41255</v>
      </c>
      <c r="J4609" s="15" t="s">
        <v>30</v>
      </c>
      <c r="K4609" s="9">
        <v>47</v>
      </c>
      <c r="L4609" s="16" t="s">
        <v>26</v>
      </c>
      <c r="M4609" s="16">
        <f t="shared" si="429"/>
        <v>1.4798312128611737</v>
      </c>
      <c r="N4609">
        <f t="shared" si="430"/>
        <v>0</v>
      </c>
      <c r="O4609">
        <f t="shared" si="431"/>
        <v>0</v>
      </c>
      <c r="P4609">
        <f t="shared" si="428"/>
        <v>5750</v>
      </c>
      <c r="Q4609">
        <f t="shared" si="432"/>
        <v>5750</v>
      </c>
      <c r="T4609" s="16">
        <f t="shared" si="433"/>
        <v>1.4798312128611733</v>
      </c>
    </row>
    <row r="4610" spans="7:20" ht="14.4" x14ac:dyDescent="0.25">
      <c r="G4610" s="10">
        <v>6979</v>
      </c>
      <c r="H4610" s="9">
        <v>49889</v>
      </c>
      <c r="I4610" s="14">
        <f>DATE(2012,12,31)-19</f>
        <v>41255</v>
      </c>
      <c r="J4610" s="15" t="s">
        <v>30</v>
      </c>
      <c r="K4610" s="9">
        <v>21</v>
      </c>
      <c r="L4610" s="16" t="s">
        <v>26</v>
      </c>
      <c r="M4610" s="16">
        <f t="shared" si="429"/>
        <v>-0.31572297923858361</v>
      </c>
      <c r="N4610">
        <f t="shared" si="430"/>
        <v>0</v>
      </c>
      <c r="O4610">
        <f t="shared" si="431"/>
        <v>0</v>
      </c>
      <c r="P4610">
        <f t="shared" si="428"/>
        <v>4450</v>
      </c>
      <c r="Q4610">
        <f t="shared" si="432"/>
        <v>4450</v>
      </c>
      <c r="T4610" s="16">
        <f t="shared" si="433"/>
        <v>-0.315722979238584</v>
      </c>
    </row>
    <row r="4611" spans="7:20" ht="14.4" x14ac:dyDescent="0.25">
      <c r="G4611" s="10">
        <v>7356</v>
      </c>
      <c r="H4611" s="9">
        <v>52416</v>
      </c>
      <c r="I4611" s="14">
        <f>DATE(2012,12,31)-1430</f>
        <v>39844</v>
      </c>
      <c r="J4611" s="15" t="s">
        <v>28</v>
      </c>
      <c r="K4611" s="9">
        <v>6</v>
      </c>
      <c r="L4611" s="16" t="s">
        <v>26</v>
      </c>
      <c r="M4611" s="16">
        <f t="shared" si="429"/>
        <v>-1.3516196285269051</v>
      </c>
      <c r="N4611">
        <f t="shared" si="430"/>
        <v>0</v>
      </c>
      <c r="O4611">
        <f t="shared" si="431"/>
        <v>0</v>
      </c>
      <c r="P4611">
        <f t="shared" si="428"/>
        <v>3700</v>
      </c>
      <c r="Q4611">
        <f t="shared" si="432"/>
        <v>3700</v>
      </c>
      <c r="T4611" s="16">
        <f t="shared" si="433"/>
        <v>-1.3516196285269055</v>
      </c>
    </row>
    <row r="4612" spans="7:20" ht="14.4" x14ac:dyDescent="0.25">
      <c r="G4612" s="10">
        <v>7357</v>
      </c>
      <c r="H4612" s="9">
        <v>52416</v>
      </c>
      <c r="I4612" s="14">
        <f>DATE(2012,12,31)-1430</f>
        <v>39844</v>
      </c>
      <c r="J4612" s="15" t="s">
        <v>28</v>
      </c>
      <c r="K4612" s="9">
        <v>40</v>
      </c>
      <c r="L4612" s="16" t="s">
        <v>29</v>
      </c>
      <c r="M4612" s="16">
        <f t="shared" si="429"/>
        <v>0.99641277652662363</v>
      </c>
      <c r="N4612">
        <f t="shared" si="430"/>
        <v>0</v>
      </c>
      <c r="O4612">
        <f t="shared" si="431"/>
        <v>0</v>
      </c>
      <c r="P4612">
        <f t="shared" si="428"/>
        <v>5400</v>
      </c>
      <c r="Q4612">
        <f t="shared" si="432"/>
        <v>5400</v>
      </c>
      <c r="T4612" s="16">
        <f t="shared" si="433"/>
        <v>0.9964127765266233</v>
      </c>
    </row>
    <row r="4613" spans="7:20" ht="14.4" x14ac:dyDescent="0.25">
      <c r="G4613" s="10">
        <v>7693</v>
      </c>
      <c r="H4613" s="9">
        <v>55140</v>
      </c>
      <c r="I4613" s="14">
        <f>DATE(2012,12,31)-911</f>
        <v>40363</v>
      </c>
      <c r="J4613" s="15" t="s">
        <v>30</v>
      </c>
      <c r="K4613" s="9">
        <v>39</v>
      </c>
      <c r="L4613" s="16" t="s">
        <v>26</v>
      </c>
      <c r="M4613" s="16">
        <f t="shared" si="429"/>
        <v>0.92735299990740228</v>
      </c>
      <c r="N4613">
        <f t="shared" si="430"/>
        <v>0</v>
      </c>
      <c r="O4613">
        <f t="shared" si="431"/>
        <v>0</v>
      </c>
      <c r="P4613">
        <f t="shared" si="428"/>
        <v>5350</v>
      </c>
      <c r="Q4613">
        <f t="shared" si="432"/>
        <v>5350</v>
      </c>
      <c r="T4613" s="16">
        <f t="shared" si="433"/>
        <v>0.92735299990740183</v>
      </c>
    </row>
    <row r="4614" spans="7:20" ht="14.4" x14ac:dyDescent="0.25">
      <c r="G4614" s="10">
        <v>7908</v>
      </c>
      <c r="H4614" s="9">
        <v>56550</v>
      </c>
      <c r="I4614" s="14">
        <f>DATE(2012,12,31)-633</f>
        <v>40641</v>
      </c>
      <c r="J4614" s="15" t="s">
        <v>28</v>
      </c>
      <c r="K4614" s="9">
        <v>33</v>
      </c>
      <c r="L4614" s="16" t="s">
        <v>26</v>
      </c>
      <c r="M4614" s="16">
        <f t="shared" si="429"/>
        <v>0.51299434019207357</v>
      </c>
      <c r="N4614">
        <f t="shared" si="430"/>
        <v>0</v>
      </c>
      <c r="O4614">
        <f t="shared" si="431"/>
        <v>0</v>
      </c>
      <c r="P4614">
        <f t="shared" si="428"/>
        <v>5050</v>
      </c>
      <c r="Q4614">
        <f t="shared" si="432"/>
        <v>5050</v>
      </c>
      <c r="T4614" s="16">
        <f t="shared" si="433"/>
        <v>0.51299434019207324</v>
      </c>
    </row>
    <row r="4615" spans="7:20" ht="14.4" x14ac:dyDescent="0.25">
      <c r="G4615" s="10">
        <v>8042</v>
      </c>
      <c r="H4615" s="9">
        <v>57447</v>
      </c>
      <c r="I4615" s="14">
        <f>DATE(2012,12,31)-546</f>
        <v>40728</v>
      </c>
      <c r="J4615" s="15" t="s">
        <v>28</v>
      </c>
      <c r="K4615" s="9">
        <v>39</v>
      </c>
      <c r="L4615" s="16" t="s">
        <v>27</v>
      </c>
      <c r="M4615" s="16">
        <f t="shared" si="429"/>
        <v>0.92735299990740228</v>
      </c>
      <c r="N4615">
        <f t="shared" si="430"/>
        <v>0</v>
      </c>
      <c r="O4615">
        <f t="shared" si="431"/>
        <v>0</v>
      </c>
      <c r="P4615">
        <f t="shared" si="428"/>
        <v>5350</v>
      </c>
      <c r="Q4615">
        <f t="shared" si="432"/>
        <v>5350</v>
      </c>
      <c r="T4615" s="16">
        <f t="shared" si="433"/>
        <v>0.92735299990740183</v>
      </c>
    </row>
    <row r="4616" spans="7:20" ht="14.4" x14ac:dyDescent="0.25">
      <c r="G4616" s="10">
        <v>8043</v>
      </c>
      <c r="H4616" s="9">
        <v>57447</v>
      </c>
      <c r="I4616" s="14">
        <f>DATE(2012,12,31)-546</f>
        <v>40728</v>
      </c>
      <c r="J4616" s="15" t="s">
        <v>28</v>
      </c>
      <c r="K4616" s="9">
        <v>8</v>
      </c>
      <c r="L4616" s="16" t="s">
        <v>27</v>
      </c>
      <c r="M4616" s="16">
        <f t="shared" si="429"/>
        <v>-1.2135000752884624</v>
      </c>
      <c r="N4616">
        <f t="shared" si="430"/>
        <v>0</v>
      </c>
      <c r="O4616">
        <f t="shared" si="431"/>
        <v>0</v>
      </c>
      <c r="P4616">
        <f t="shared" si="428"/>
        <v>3800</v>
      </c>
      <c r="Q4616">
        <f t="shared" si="432"/>
        <v>3800</v>
      </c>
      <c r="T4616" s="16">
        <f t="shared" si="433"/>
        <v>-1.2135000752884626</v>
      </c>
    </row>
    <row r="4617" spans="7:20" ht="14.4" x14ac:dyDescent="0.25">
      <c r="G4617" s="10">
        <v>179</v>
      </c>
      <c r="H4617" s="9">
        <v>1185</v>
      </c>
      <c r="I4617" s="14">
        <f>DATE(2012,12,31)-130</f>
        <v>41144</v>
      </c>
      <c r="J4617" s="15" t="s">
        <v>25</v>
      </c>
      <c r="K4617" s="9">
        <v>7</v>
      </c>
      <c r="L4617" s="16" t="s">
        <v>26</v>
      </c>
      <c r="M4617" s="16">
        <f t="shared" si="429"/>
        <v>-1.2825598519076837</v>
      </c>
      <c r="N4617">
        <f t="shared" si="430"/>
        <v>0</v>
      </c>
      <c r="O4617">
        <f t="shared" si="431"/>
        <v>0</v>
      </c>
      <c r="P4617">
        <f t="shared" si="428"/>
        <v>3750</v>
      </c>
      <c r="Q4617">
        <f t="shared" si="432"/>
        <v>3750</v>
      </c>
      <c r="T4617" s="16">
        <f t="shared" si="433"/>
        <v>-1.2825598519076842</v>
      </c>
    </row>
    <row r="4618" spans="7:20" ht="14.4" x14ac:dyDescent="0.25">
      <c r="G4618" s="10">
        <v>310</v>
      </c>
      <c r="H4618" s="9">
        <v>2149</v>
      </c>
      <c r="I4618" s="14">
        <f>DATE(2012,12,31)-1025</f>
        <v>40249</v>
      </c>
      <c r="J4618" s="15" t="s">
        <v>25</v>
      </c>
      <c r="K4618" s="9">
        <v>4</v>
      </c>
      <c r="L4618" s="16" t="s">
        <v>29</v>
      </c>
      <c r="M4618" s="16">
        <f t="shared" si="429"/>
        <v>-1.489739181765348</v>
      </c>
      <c r="N4618">
        <f t="shared" si="430"/>
        <v>0</v>
      </c>
      <c r="O4618">
        <f t="shared" si="431"/>
        <v>0</v>
      </c>
      <c r="P4618">
        <f t="shared" si="428"/>
        <v>3600</v>
      </c>
      <c r="Q4618">
        <f t="shared" si="432"/>
        <v>3600</v>
      </c>
      <c r="T4618" s="16">
        <f t="shared" si="433"/>
        <v>-1.4897391817653485</v>
      </c>
    </row>
    <row r="4619" spans="7:20" ht="14.4" x14ac:dyDescent="0.25">
      <c r="G4619" s="10">
        <v>354</v>
      </c>
      <c r="H4619" s="9">
        <v>2466</v>
      </c>
      <c r="I4619" s="14">
        <f>DATE(2012,12,31)-1397</f>
        <v>39877</v>
      </c>
      <c r="J4619" s="15" t="s">
        <v>30</v>
      </c>
      <c r="K4619" s="9">
        <v>25</v>
      </c>
      <c r="L4619" s="16" t="s">
        <v>29</v>
      </c>
      <c r="M4619" s="16">
        <f t="shared" si="429"/>
        <v>-3.9483872761697868E-2</v>
      </c>
      <c r="N4619">
        <f t="shared" si="430"/>
        <v>0</v>
      </c>
      <c r="O4619">
        <f t="shared" si="431"/>
        <v>0</v>
      </c>
      <c r="P4619">
        <f t="shared" si="428"/>
        <v>4650</v>
      </c>
      <c r="Q4619">
        <f t="shared" si="432"/>
        <v>4650</v>
      </c>
      <c r="T4619" s="16">
        <f t="shared" si="433"/>
        <v>-3.9483872761698249E-2</v>
      </c>
    </row>
    <row r="4620" spans="7:20" ht="14.4" x14ac:dyDescent="0.25">
      <c r="G4620" s="10">
        <v>509</v>
      </c>
      <c r="H4620" s="9">
        <v>3493</v>
      </c>
      <c r="I4620" s="14">
        <f>DATE(2012,12,31)-861</f>
        <v>40413</v>
      </c>
      <c r="J4620" s="15" t="s">
        <v>17</v>
      </c>
      <c r="K4620" s="9">
        <v>48</v>
      </c>
      <c r="L4620" s="16" t="s">
        <v>27</v>
      </c>
      <c r="M4620" s="16">
        <f t="shared" si="429"/>
        <v>1.5488909894803951</v>
      </c>
      <c r="N4620">
        <f t="shared" si="430"/>
        <v>0</v>
      </c>
      <c r="O4620">
        <f t="shared" si="431"/>
        <v>0</v>
      </c>
      <c r="P4620">
        <f t="shared" ref="P4620:P4683" si="434">50*K4620+$P$10</f>
        <v>5800</v>
      </c>
      <c r="Q4620">
        <f t="shared" si="432"/>
        <v>5800</v>
      </c>
      <c r="T4620" s="16">
        <f t="shared" si="433"/>
        <v>1.5488909894803948</v>
      </c>
    </row>
    <row r="4621" spans="7:20" ht="14.4" x14ac:dyDescent="0.25">
      <c r="G4621" s="10">
        <v>525</v>
      </c>
      <c r="H4621" s="9">
        <v>3588</v>
      </c>
      <c r="I4621" s="14">
        <f>DATE(2012,12,31)-654</f>
        <v>40620</v>
      </c>
      <c r="J4621" s="15" t="s">
        <v>28</v>
      </c>
      <c r="K4621" s="9">
        <v>42</v>
      </c>
      <c r="L4621" s="16" t="s">
        <v>26</v>
      </c>
      <c r="M4621" s="16">
        <f t="shared" ref="M4621:M4684" si="435">(K4621-$K$4)/$K$7</f>
        <v>1.1345323297650665</v>
      </c>
      <c r="N4621">
        <f t="shared" ref="N4621:N4684" si="436">IF(MOD($B$20+G4621,1000)=0,1,0)</f>
        <v>0</v>
      </c>
      <c r="O4621">
        <f t="shared" ref="O4621:O4684" si="437">+ROUND(N4621*(IF(K4621&lt;$K$4,-4.5,10.5)*$P$5),-2)</f>
        <v>0</v>
      </c>
      <c r="P4621">
        <f t="shared" si="434"/>
        <v>5500</v>
      </c>
      <c r="Q4621">
        <f t="shared" ref="Q4621:Q4684" si="438">P4621+O4621</f>
        <v>5500</v>
      </c>
      <c r="T4621" s="16">
        <f t="shared" ref="T4621:T4684" si="439">(Q4621-$P$4)/$P$5</f>
        <v>1.1345323297650662</v>
      </c>
    </row>
    <row r="4622" spans="7:20" ht="14.4" x14ac:dyDescent="0.25">
      <c r="G4622" s="10">
        <v>526</v>
      </c>
      <c r="H4622" s="9">
        <v>3588</v>
      </c>
      <c r="I4622" s="14">
        <f>DATE(2012,12,31)-654</f>
        <v>40620</v>
      </c>
      <c r="J4622" s="15" t="s">
        <v>28</v>
      </c>
      <c r="K4622" s="9">
        <v>21</v>
      </c>
      <c r="L4622" s="16" t="s">
        <v>27</v>
      </c>
      <c r="M4622" s="16">
        <f t="shared" si="435"/>
        <v>-0.31572297923858361</v>
      </c>
      <c r="N4622">
        <f t="shared" si="436"/>
        <v>0</v>
      </c>
      <c r="O4622">
        <f t="shared" si="437"/>
        <v>0</v>
      </c>
      <c r="P4622">
        <f t="shared" si="434"/>
        <v>4450</v>
      </c>
      <c r="Q4622">
        <f t="shared" si="438"/>
        <v>4450</v>
      </c>
      <c r="T4622" s="16">
        <f t="shared" si="439"/>
        <v>-0.315722979238584</v>
      </c>
    </row>
    <row r="4623" spans="7:20" ht="14.4" x14ac:dyDescent="0.25">
      <c r="G4623" s="10">
        <v>527</v>
      </c>
      <c r="H4623" s="9">
        <v>3588</v>
      </c>
      <c r="I4623" s="14">
        <f>DATE(2012,12,31)-654</f>
        <v>40620</v>
      </c>
      <c r="J4623" s="15" t="s">
        <v>28</v>
      </c>
      <c r="K4623" s="9">
        <v>14</v>
      </c>
      <c r="L4623" s="16" t="s">
        <v>29</v>
      </c>
      <c r="M4623" s="16">
        <f t="shared" si="435"/>
        <v>-0.79914141557313367</v>
      </c>
      <c r="N4623">
        <f t="shared" si="436"/>
        <v>0</v>
      </c>
      <c r="O4623">
        <f t="shared" si="437"/>
        <v>0</v>
      </c>
      <c r="P4623">
        <f t="shared" si="434"/>
        <v>4100</v>
      </c>
      <c r="Q4623">
        <f t="shared" si="438"/>
        <v>4100</v>
      </c>
      <c r="T4623" s="16">
        <f t="shared" si="439"/>
        <v>-0.79914141557313401</v>
      </c>
    </row>
    <row r="4624" spans="7:20" ht="14.4" x14ac:dyDescent="0.25">
      <c r="G4624" s="10">
        <v>528</v>
      </c>
      <c r="H4624" s="9">
        <v>3588</v>
      </c>
      <c r="I4624" s="14">
        <f>DATE(2012,12,31)-654</f>
        <v>40620</v>
      </c>
      <c r="J4624" s="15" t="s">
        <v>28</v>
      </c>
      <c r="K4624" s="9">
        <v>18</v>
      </c>
      <c r="L4624" s="16" t="s">
        <v>27</v>
      </c>
      <c r="M4624" s="16">
        <f t="shared" si="435"/>
        <v>-0.52290230909624791</v>
      </c>
      <c r="N4624">
        <f t="shared" si="436"/>
        <v>0</v>
      </c>
      <c r="O4624">
        <f t="shared" si="437"/>
        <v>0</v>
      </c>
      <c r="P4624">
        <f t="shared" si="434"/>
        <v>4300</v>
      </c>
      <c r="Q4624">
        <f t="shared" si="438"/>
        <v>4300</v>
      </c>
      <c r="T4624" s="16">
        <f t="shared" si="439"/>
        <v>-0.52290230909624835</v>
      </c>
    </row>
    <row r="4625" spans="7:20" ht="14.4" x14ac:dyDescent="0.25">
      <c r="G4625" s="10">
        <v>824</v>
      </c>
      <c r="H4625" s="9">
        <v>5957</v>
      </c>
      <c r="I4625" s="14">
        <f>DATE(2012,12,31)-736</f>
        <v>40538</v>
      </c>
      <c r="J4625" s="15" t="s">
        <v>17</v>
      </c>
      <c r="K4625" s="9">
        <v>15</v>
      </c>
      <c r="L4625" s="16" t="s">
        <v>26</v>
      </c>
      <c r="M4625" s="16">
        <f t="shared" si="435"/>
        <v>-0.7300816389539122</v>
      </c>
      <c r="N4625">
        <f t="shared" si="436"/>
        <v>0</v>
      </c>
      <c r="O4625">
        <f t="shared" si="437"/>
        <v>0</v>
      </c>
      <c r="P4625">
        <f t="shared" si="434"/>
        <v>4150</v>
      </c>
      <c r="Q4625">
        <f t="shared" si="438"/>
        <v>4150</v>
      </c>
      <c r="T4625" s="16">
        <f t="shared" si="439"/>
        <v>-0.73008163895391265</v>
      </c>
    </row>
    <row r="4626" spans="7:20" ht="14.4" x14ac:dyDescent="0.25">
      <c r="G4626" s="10">
        <v>825</v>
      </c>
      <c r="H4626" s="9">
        <v>5957</v>
      </c>
      <c r="I4626" s="14">
        <f>DATE(2012,12,31)-736</f>
        <v>40538</v>
      </c>
      <c r="J4626" s="15" t="s">
        <v>17</v>
      </c>
      <c r="K4626" s="9">
        <v>3</v>
      </c>
      <c r="L4626" s="16" t="s">
        <v>29</v>
      </c>
      <c r="M4626" s="16">
        <f t="shared" si="435"/>
        <v>-1.5587989583845694</v>
      </c>
      <c r="N4626">
        <f t="shared" si="436"/>
        <v>0</v>
      </c>
      <c r="O4626">
        <f t="shared" si="437"/>
        <v>0</v>
      </c>
      <c r="P4626">
        <f t="shared" si="434"/>
        <v>3550</v>
      </c>
      <c r="Q4626">
        <f t="shared" si="438"/>
        <v>3550</v>
      </c>
      <c r="T4626" s="16">
        <f t="shared" si="439"/>
        <v>-1.5587989583845698</v>
      </c>
    </row>
    <row r="4627" spans="7:20" ht="14.4" x14ac:dyDescent="0.25">
      <c r="G4627" s="10">
        <v>826</v>
      </c>
      <c r="H4627" s="9">
        <v>5957</v>
      </c>
      <c r="I4627" s="14">
        <f>DATE(2012,12,31)-736</f>
        <v>40538</v>
      </c>
      <c r="J4627" s="15" t="s">
        <v>17</v>
      </c>
      <c r="K4627" s="9">
        <v>23</v>
      </c>
      <c r="L4627" s="16" t="s">
        <v>27</v>
      </c>
      <c r="M4627" s="16">
        <f t="shared" si="435"/>
        <v>-0.17760342600014073</v>
      </c>
      <c r="N4627">
        <f t="shared" si="436"/>
        <v>0</v>
      </c>
      <c r="O4627">
        <f t="shared" si="437"/>
        <v>0</v>
      </c>
      <c r="P4627">
        <f t="shared" si="434"/>
        <v>4550</v>
      </c>
      <c r="Q4627">
        <f t="shared" si="438"/>
        <v>4550</v>
      </c>
      <c r="T4627" s="16">
        <f t="shared" si="439"/>
        <v>-0.17760342600014112</v>
      </c>
    </row>
    <row r="4628" spans="7:20" ht="14.4" x14ac:dyDescent="0.25">
      <c r="G4628" s="10">
        <v>865</v>
      </c>
      <c r="H4628" s="9">
        <v>6183</v>
      </c>
      <c r="I4628" s="14">
        <f>DATE(2012,12,31)-199</f>
        <v>41075</v>
      </c>
      <c r="J4628" s="15" t="s">
        <v>16</v>
      </c>
      <c r="K4628" s="9">
        <v>41</v>
      </c>
      <c r="L4628" s="16" t="s">
        <v>26</v>
      </c>
      <c r="M4628" s="16">
        <f t="shared" si="435"/>
        <v>1.0654725531458451</v>
      </c>
      <c r="N4628">
        <f t="shared" si="436"/>
        <v>0</v>
      </c>
      <c r="O4628">
        <f t="shared" si="437"/>
        <v>0</v>
      </c>
      <c r="P4628">
        <f t="shared" si="434"/>
        <v>5450</v>
      </c>
      <c r="Q4628">
        <f t="shared" si="438"/>
        <v>5450</v>
      </c>
      <c r="T4628" s="16">
        <f t="shared" si="439"/>
        <v>1.0654725531458447</v>
      </c>
    </row>
    <row r="4629" spans="7:20" ht="14.4" x14ac:dyDescent="0.25">
      <c r="G4629" s="10">
        <v>890</v>
      </c>
      <c r="H4629" s="9">
        <v>6402</v>
      </c>
      <c r="I4629" s="14">
        <f>DATE(2012,12,31)-618</f>
        <v>40656</v>
      </c>
      <c r="J4629" s="15" t="s">
        <v>25</v>
      </c>
      <c r="K4629" s="9">
        <v>35</v>
      </c>
      <c r="L4629" s="16" t="s">
        <v>26</v>
      </c>
      <c r="M4629" s="16">
        <f t="shared" si="435"/>
        <v>0.65111389343051651</v>
      </c>
      <c r="N4629">
        <f t="shared" si="436"/>
        <v>0</v>
      </c>
      <c r="O4629">
        <f t="shared" si="437"/>
        <v>0</v>
      </c>
      <c r="P4629">
        <f t="shared" si="434"/>
        <v>5150</v>
      </c>
      <c r="Q4629">
        <f t="shared" si="438"/>
        <v>5150</v>
      </c>
      <c r="T4629" s="16">
        <f t="shared" si="439"/>
        <v>0.65111389343051607</v>
      </c>
    </row>
    <row r="4630" spans="7:20" ht="14.4" x14ac:dyDescent="0.25">
      <c r="G4630" s="10">
        <v>927</v>
      </c>
      <c r="H4630" s="9">
        <v>6720</v>
      </c>
      <c r="I4630" s="14">
        <f>DATE(2012,12,31)-844</f>
        <v>40430</v>
      </c>
      <c r="J4630" s="15" t="s">
        <v>28</v>
      </c>
      <c r="K4630" s="9">
        <v>31</v>
      </c>
      <c r="L4630" s="16" t="s">
        <v>26</v>
      </c>
      <c r="M4630" s="16">
        <f t="shared" si="435"/>
        <v>0.37487478695363075</v>
      </c>
      <c r="N4630">
        <f t="shared" si="436"/>
        <v>0</v>
      </c>
      <c r="O4630">
        <f t="shared" si="437"/>
        <v>0</v>
      </c>
      <c r="P4630">
        <f t="shared" si="434"/>
        <v>4950</v>
      </c>
      <c r="Q4630">
        <f t="shared" si="438"/>
        <v>4950</v>
      </c>
      <c r="T4630" s="16">
        <f t="shared" si="439"/>
        <v>0.37487478695363036</v>
      </c>
    </row>
    <row r="4631" spans="7:20" ht="14.4" x14ac:dyDescent="0.25">
      <c r="G4631" s="10">
        <v>928</v>
      </c>
      <c r="H4631" s="9">
        <v>6720</v>
      </c>
      <c r="I4631" s="14">
        <f>DATE(2012,12,31)-844</f>
        <v>40430</v>
      </c>
      <c r="J4631" s="15" t="s">
        <v>28</v>
      </c>
      <c r="K4631" s="9">
        <v>36</v>
      </c>
      <c r="L4631" s="16" t="s">
        <v>29</v>
      </c>
      <c r="M4631" s="16">
        <f t="shared" si="435"/>
        <v>0.72017367004973787</v>
      </c>
      <c r="N4631">
        <f t="shared" si="436"/>
        <v>0</v>
      </c>
      <c r="O4631">
        <f t="shared" si="437"/>
        <v>0</v>
      </c>
      <c r="P4631">
        <f t="shared" si="434"/>
        <v>5200</v>
      </c>
      <c r="Q4631">
        <f t="shared" si="438"/>
        <v>5200</v>
      </c>
      <c r="T4631" s="16">
        <f t="shared" si="439"/>
        <v>0.72017367004973754</v>
      </c>
    </row>
    <row r="4632" spans="7:20" ht="14.4" x14ac:dyDescent="0.25">
      <c r="G4632" s="10">
        <v>929</v>
      </c>
      <c r="H4632" s="9">
        <v>6720</v>
      </c>
      <c r="I4632" s="14">
        <f>DATE(2012,12,31)-844</f>
        <v>40430</v>
      </c>
      <c r="J4632" s="15" t="s">
        <v>28</v>
      </c>
      <c r="K4632" s="9">
        <v>8</v>
      </c>
      <c r="L4632" s="16" t="s">
        <v>26</v>
      </c>
      <c r="M4632" s="16">
        <f t="shared" si="435"/>
        <v>-1.2135000752884624</v>
      </c>
      <c r="N4632">
        <f t="shared" si="436"/>
        <v>0</v>
      </c>
      <c r="O4632">
        <f t="shared" si="437"/>
        <v>0</v>
      </c>
      <c r="P4632">
        <f t="shared" si="434"/>
        <v>3800</v>
      </c>
      <c r="Q4632">
        <f t="shared" si="438"/>
        <v>3800</v>
      </c>
      <c r="T4632" s="16">
        <f t="shared" si="439"/>
        <v>-1.2135000752884626</v>
      </c>
    </row>
    <row r="4633" spans="7:20" ht="14.4" x14ac:dyDescent="0.25">
      <c r="G4633" s="10">
        <v>936</v>
      </c>
      <c r="H4633" s="9">
        <v>6785</v>
      </c>
      <c r="I4633" s="14">
        <f>DATE(2012,12,31)-239</f>
        <v>41035</v>
      </c>
      <c r="J4633" s="15" t="s">
        <v>16</v>
      </c>
      <c r="K4633" s="9">
        <v>7</v>
      </c>
      <c r="L4633" s="16" t="s">
        <v>29</v>
      </c>
      <c r="M4633" s="16">
        <f t="shared" si="435"/>
        <v>-1.2825598519076837</v>
      </c>
      <c r="N4633">
        <f t="shared" si="436"/>
        <v>0</v>
      </c>
      <c r="O4633">
        <f t="shared" si="437"/>
        <v>0</v>
      </c>
      <c r="P4633">
        <f t="shared" si="434"/>
        <v>3750</v>
      </c>
      <c r="Q4633">
        <f t="shared" si="438"/>
        <v>3750</v>
      </c>
      <c r="T4633" s="16">
        <f t="shared" si="439"/>
        <v>-1.2825598519076842</v>
      </c>
    </row>
    <row r="4634" spans="7:20" ht="14.4" x14ac:dyDescent="0.25">
      <c r="G4634" s="10">
        <v>1139</v>
      </c>
      <c r="H4634" s="9">
        <v>8295</v>
      </c>
      <c r="I4634" s="14">
        <f>DATE(2012,12,31)-1370</f>
        <v>39904</v>
      </c>
      <c r="J4634" s="15" t="s">
        <v>17</v>
      </c>
      <c r="K4634" s="9">
        <v>30</v>
      </c>
      <c r="L4634" s="16" t="s">
        <v>27</v>
      </c>
      <c r="M4634" s="16">
        <f t="shared" si="435"/>
        <v>0.30581501033440933</v>
      </c>
      <c r="N4634">
        <f t="shared" si="436"/>
        <v>0</v>
      </c>
      <c r="O4634">
        <f t="shared" si="437"/>
        <v>0</v>
      </c>
      <c r="P4634">
        <f t="shared" si="434"/>
        <v>4900</v>
      </c>
      <c r="Q4634">
        <f t="shared" si="438"/>
        <v>4900</v>
      </c>
      <c r="T4634" s="16">
        <f t="shared" si="439"/>
        <v>0.30581501033440894</v>
      </c>
    </row>
    <row r="4635" spans="7:20" ht="14.4" x14ac:dyDescent="0.25">
      <c r="G4635" s="10">
        <v>1140</v>
      </c>
      <c r="H4635" s="9">
        <v>8295</v>
      </c>
      <c r="I4635" s="14">
        <f>DATE(2012,12,31)-1370</f>
        <v>39904</v>
      </c>
      <c r="J4635" s="15" t="s">
        <v>17</v>
      </c>
      <c r="K4635" s="9">
        <v>7</v>
      </c>
      <c r="L4635" s="16" t="s">
        <v>27</v>
      </c>
      <c r="M4635" s="16">
        <f t="shared" si="435"/>
        <v>-1.2825598519076837</v>
      </c>
      <c r="N4635">
        <f t="shared" si="436"/>
        <v>0</v>
      </c>
      <c r="O4635">
        <f t="shared" si="437"/>
        <v>0</v>
      </c>
      <c r="P4635">
        <f t="shared" si="434"/>
        <v>3750</v>
      </c>
      <c r="Q4635">
        <f t="shared" si="438"/>
        <v>3750</v>
      </c>
      <c r="T4635" s="16">
        <f t="shared" si="439"/>
        <v>-1.2825598519076842</v>
      </c>
    </row>
    <row r="4636" spans="7:20" ht="14.4" x14ac:dyDescent="0.25">
      <c r="G4636" s="10">
        <v>1189</v>
      </c>
      <c r="H4636" s="9">
        <v>8704</v>
      </c>
      <c r="I4636" s="14">
        <f>DATE(2012,12,31)-550</f>
        <v>40724</v>
      </c>
      <c r="J4636" s="15" t="s">
        <v>16</v>
      </c>
      <c r="K4636" s="9">
        <v>43</v>
      </c>
      <c r="L4636" s="16" t="s">
        <v>26</v>
      </c>
      <c r="M4636" s="16">
        <f t="shared" si="435"/>
        <v>1.203592106384288</v>
      </c>
      <c r="N4636">
        <f t="shared" si="436"/>
        <v>0</v>
      </c>
      <c r="O4636">
        <f t="shared" si="437"/>
        <v>0</v>
      </c>
      <c r="P4636">
        <f t="shared" si="434"/>
        <v>5550</v>
      </c>
      <c r="Q4636">
        <f t="shared" si="438"/>
        <v>5550</v>
      </c>
      <c r="T4636" s="16">
        <f t="shared" si="439"/>
        <v>1.2035921063842876</v>
      </c>
    </row>
    <row r="4637" spans="7:20" ht="14.4" x14ac:dyDescent="0.25">
      <c r="G4637" s="10">
        <v>1190</v>
      </c>
      <c r="H4637" s="9">
        <v>8704</v>
      </c>
      <c r="I4637" s="14">
        <f>DATE(2012,12,31)-550</f>
        <v>40724</v>
      </c>
      <c r="J4637" s="15" t="s">
        <v>16</v>
      </c>
      <c r="K4637" s="9">
        <v>38</v>
      </c>
      <c r="L4637" s="16" t="s">
        <v>26</v>
      </c>
      <c r="M4637" s="16">
        <f t="shared" si="435"/>
        <v>0.85829322328818081</v>
      </c>
      <c r="N4637">
        <f t="shared" si="436"/>
        <v>0</v>
      </c>
      <c r="O4637">
        <f t="shared" si="437"/>
        <v>0</v>
      </c>
      <c r="P4637">
        <f t="shared" si="434"/>
        <v>5300</v>
      </c>
      <c r="Q4637">
        <f t="shared" si="438"/>
        <v>5300</v>
      </c>
      <c r="T4637" s="16">
        <f t="shared" si="439"/>
        <v>0.85829322328818036</v>
      </c>
    </row>
    <row r="4638" spans="7:20" ht="14.4" x14ac:dyDescent="0.25">
      <c r="G4638" s="10">
        <v>1206</v>
      </c>
      <c r="H4638" s="9">
        <v>8834</v>
      </c>
      <c r="I4638" s="14">
        <f>DATE(2012,12,31)-784</f>
        <v>40490</v>
      </c>
      <c r="J4638" s="15" t="s">
        <v>17</v>
      </c>
      <c r="K4638" s="9">
        <v>45</v>
      </c>
      <c r="L4638" s="16" t="s">
        <v>27</v>
      </c>
      <c r="M4638" s="16">
        <f t="shared" si="435"/>
        <v>1.3417116596227308</v>
      </c>
      <c r="N4638">
        <f t="shared" si="436"/>
        <v>0</v>
      </c>
      <c r="O4638">
        <f t="shared" si="437"/>
        <v>0</v>
      </c>
      <c r="P4638">
        <f t="shared" si="434"/>
        <v>5650</v>
      </c>
      <c r="Q4638">
        <f t="shared" si="438"/>
        <v>5650</v>
      </c>
      <c r="T4638" s="16">
        <f t="shared" si="439"/>
        <v>1.3417116596227305</v>
      </c>
    </row>
    <row r="4639" spans="7:20" ht="14.4" x14ac:dyDescent="0.25">
      <c r="G4639" s="10">
        <v>1215</v>
      </c>
      <c r="H4639" s="9">
        <v>8933</v>
      </c>
      <c r="I4639" s="14">
        <f>DATE(2012,12,31)-816</f>
        <v>40458</v>
      </c>
      <c r="J4639" s="15" t="s">
        <v>17</v>
      </c>
      <c r="K4639" s="9">
        <v>37</v>
      </c>
      <c r="L4639" s="16" t="s">
        <v>26</v>
      </c>
      <c r="M4639" s="16">
        <f t="shared" si="435"/>
        <v>0.78923344666895934</v>
      </c>
      <c r="N4639">
        <f t="shared" si="436"/>
        <v>0</v>
      </c>
      <c r="O4639">
        <f t="shared" si="437"/>
        <v>0</v>
      </c>
      <c r="P4639">
        <f t="shared" si="434"/>
        <v>5250</v>
      </c>
      <c r="Q4639">
        <f t="shared" si="438"/>
        <v>5250</v>
      </c>
      <c r="T4639" s="16">
        <f t="shared" si="439"/>
        <v>0.789233446668959</v>
      </c>
    </row>
    <row r="4640" spans="7:20" ht="14.4" x14ac:dyDescent="0.25">
      <c r="G4640" s="10">
        <v>1216</v>
      </c>
      <c r="H4640" s="9">
        <v>8933</v>
      </c>
      <c r="I4640" s="14">
        <f>DATE(2012,12,31)-816</f>
        <v>40458</v>
      </c>
      <c r="J4640" s="15" t="s">
        <v>17</v>
      </c>
      <c r="K4640" s="9">
        <v>30</v>
      </c>
      <c r="L4640" s="16" t="s">
        <v>29</v>
      </c>
      <c r="M4640" s="16">
        <f t="shared" si="435"/>
        <v>0.30581501033440933</v>
      </c>
      <c r="N4640">
        <f t="shared" si="436"/>
        <v>0</v>
      </c>
      <c r="O4640">
        <f t="shared" si="437"/>
        <v>0</v>
      </c>
      <c r="P4640">
        <f t="shared" si="434"/>
        <v>4900</v>
      </c>
      <c r="Q4640">
        <f t="shared" si="438"/>
        <v>4900</v>
      </c>
      <c r="T4640" s="16">
        <f t="shared" si="439"/>
        <v>0.30581501033440894</v>
      </c>
    </row>
    <row r="4641" spans="7:20" ht="14.4" x14ac:dyDescent="0.25">
      <c r="G4641" s="10">
        <v>1269</v>
      </c>
      <c r="H4641" s="9">
        <v>9222</v>
      </c>
      <c r="I4641" s="14">
        <f>DATE(2012,12,31)-1420</f>
        <v>39854</v>
      </c>
      <c r="J4641" s="15" t="s">
        <v>17</v>
      </c>
      <c r="K4641" s="9">
        <v>41</v>
      </c>
      <c r="L4641" s="16" t="s">
        <v>26</v>
      </c>
      <c r="M4641" s="16">
        <f t="shared" si="435"/>
        <v>1.0654725531458451</v>
      </c>
      <c r="N4641">
        <f t="shared" si="436"/>
        <v>0</v>
      </c>
      <c r="O4641">
        <f t="shared" si="437"/>
        <v>0</v>
      </c>
      <c r="P4641">
        <f t="shared" si="434"/>
        <v>5450</v>
      </c>
      <c r="Q4641">
        <f t="shared" si="438"/>
        <v>5450</v>
      </c>
      <c r="T4641" s="16">
        <f t="shared" si="439"/>
        <v>1.0654725531458447</v>
      </c>
    </row>
    <row r="4642" spans="7:20" ht="14.4" x14ac:dyDescent="0.25">
      <c r="G4642" s="10">
        <v>1409</v>
      </c>
      <c r="H4642" s="9">
        <v>10243</v>
      </c>
      <c r="I4642" s="14">
        <f>DATE(2012,12,31)-373</f>
        <v>40901</v>
      </c>
      <c r="J4642" s="15" t="s">
        <v>17</v>
      </c>
      <c r="K4642" s="9">
        <v>12</v>
      </c>
      <c r="L4642" s="16" t="s">
        <v>26</v>
      </c>
      <c r="M4642" s="16">
        <f t="shared" si="435"/>
        <v>-0.9372609688115765</v>
      </c>
      <c r="N4642">
        <f t="shared" si="436"/>
        <v>0</v>
      </c>
      <c r="O4642">
        <f t="shared" si="437"/>
        <v>0</v>
      </c>
      <c r="P4642">
        <f t="shared" si="434"/>
        <v>4000</v>
      </c>
      <c r="Q4642">
        <f t="shared" si="438"/>
        <v>4000</v>
      </c>
      <c r="T4642" s="16">
        <f t="shared" si="439"/>
        <v>-0.93726096881157694</v>
      </c>
    </row>
    <row r="4643" spans="7:20" ht="14.4" x14ac:dyDescent="0.25">
      <c r="G4643" s="10">
        <v>1458</v>
      </c>
      <c r="H4643" s="9">
        <v>10502</v>
      </c>
      <c r="I4643" s="14">
        <f>DATE(2012,12,31)-962</f>
        <v>40312</v>
      </c>
      <c r="J4643" s="15" t="s">
        <v>28</v>
      </c>
      <c r="K4643" s="9">
        <v>33</v>
      </c>
      <c r="L4643" s="16" t="s">
        <v>29</v>
      </c>
      <c r="M4643" s="16">
        <f t="shared" si="435"/>
        <v>0.51299434019207357</v>
      </c>
      <c r="N4643">
        <f t="shared" si="436"/>
        <v>0</v>
      </c>
      <c r="O4643">
        <f t="shared" si="437"/>
        <v>0</v>
      </c>
      <c r="P4643">
        <f t="shared" si="434"/>
        <v>5050</v>
      </c>
      <c r="Q4643">
        <f t="shared" si="438"/>
        <v>5050</v>
      </c>
      <c r="T4643" s="16">
        <f t="shared" si="439"/>
        <v>0.51299434019207324</v>
      </c>
    </row>
    <row r="4644" spans="7:20" ht="14.4" x14ac:dyDescent="0.25">
      <c r="G4644" s="10">
        <v>1459</v>
      </c>
      <c r="H4644" s="9">
        <v>10502</v>
      </c>
      <c r="I4644" s="14">
        <f>DATE(2012,12,31)-962</f>
        <v>40312</v>
      </c>
      <c r="J4644" s="15" t="s">
        <v>28</v>
      </c>
      <c r="K4644" s="9">
        <v>36</v>
      </c>
      <c r="L4644" s="16" t="s">
        <v>29</v>
      </c>
      <c r="M4644" s="16">
        <f t="shared" si="435"/>
        <v>0.72017367004973787</v>
      </c>
      <c r="N4644">
        <f t="shared" si="436"/>
        <v>0</v>
      </c>
      <c r="O4644">
        <f t="shared" si="437"/>
        <v>0</v>
      </c>
      <c r="P4644">
        <f t="shared" si="434"/>
        <v>5200</v>
      </c>
      <c r="Q4644">
        <f t="shared" si="438"/>
        <v>5200</v>
      </c>
      <c r="T4644" s="16">
        <f t="shared" si="439"/>
        <v>0.72017367004973754</v>
      </c>
    </row>
    <row r="4645" spans="7:20" ht="14.4" x14ac:dyDescent="0.25">
      <c r="G4645" s="10">
        <v>1506</v>
      </c>
      <c r="H4645" s="9">
        <v>10886</v>
      </c>
      <c r="I4645" s="14">
        <f>DATE(2012,12,31)-1226</f>
        <v>40048</v>
      </c>
      <c r="J4645" s="15" t="s">
        <v>30</v>
      </c>
      <c r="K4645" s="9">
        <v>36</v>
      </c>
      <c r="L4645" s="16" t="s">
        <v>29</v>
      </c>
      <c r="M4645" s="16">
        <f t="shared" si="435"/>
        <v>0.72017367004973787</v>
      </c>
      <c r="N4645">
        <f t="shared" si="436"/>
        <v>0</v>
      </c>
      <c r="O4645">
        <f t="shared" si="437"/>
        <v>0</v>
      </c>
      <c r="P4645">
        <f t="shared" si="434"/>
        <v>5200</v>
      </c>
      <c r="Q4645">
        <f t="shared" si="438"/>
        <v>5200</v>
      </c>
      <c r="T4645" s="16">
        <f t="shared" si="439"/>
        <v>0.72017367004973754</v>
      </c>
    </row>
    <row r="4646" spans="7:20" ht="14.4" x14ac:dyDescent="0.25">
      <c r="G4646" s="10">
        <v>1507</v>
      </c>
      <c r="H4646" s="9">
        <v>10886</v>
      </c>
      <c r="I4646" s="14">
        <f>DATE(2012,12,31)-1226</f>
        <v>40048</v>
      </c>
      <c r="J4646" s="15" t="s">
        <v>30</v>
      </c>
      <c r="K4646" s="9">
        <v>47</v>
      </c>
      <c r="L4646" s="16" t="s">
        <v>27</v>
      </c>
      <c r="M4646" s="16">
        <f t="shared" si="435"/>
        <v>1.4798312128611737</v>
      </c>
      <c r="N4646">
        <f t="shared" si="436"/>
        <v>0</v>
      </c>
      <c r="O4646">
        <f t="shared" si="437"/>
        <v>0</v>
      </c>
      <c r="P4646">
        <f t="shared" si="434"/>
        <v>5750</v>
      </c>
      <c r="Q4646">
        <f t="shared" si="438"/>
        <v>5750</v>
      </c>
      <c r="T4646" s="16">
        <f t="shared" si="439"/>
        <v>1.4798312128611733</v>
      </c>
    </row>
    <row r="4647" spans="7:20" ht="14.4" x14ac:dyDescent="0.25">
      <c r="G4647" s="10">
        <v>1535</v>
      </c>
      <c r="H4647" s="9">
        <v>11047</v>
      </c>
      <c r="I4647" s="14">
        <f>DATE(2012,12,31)-752</f>
        <v>40522</v>
      </c>
      <c r="J4647" s="15" t="s">
        <v>25</v>
      </c>
      <c r="K4647" s="9">
        <v>27</v>
      </c>
      <c r="L4647" s="16" t="s">
        <v>26</v>
      </c>
      <c r="M4647" s="16">
        <f t="shared" si="435"/>
        <v>9.8635680476745008E-2</v>
      </c>
      <c r="N4647">
        <f t="shared" si="436"/>
        <v>0</v>
      </c>
      <c r="O4647">
        <f t="shared" si="437"/>
        <v>0</v>
      </c>
      <c r="P4647">
        <f t="shared" si="434"/>
        <v>4750</v>
      </c>
      <c r="Q4647">
        <f t="shared" si="438"/>
        <v>4750</v>
      </c>
      <c r="T4647" s="16">
        <f t="shared" si="439"/>
        <v>9.8635680476744619E-2</v>
      </c>
    </row>
    <row r="4648" spans="7:20" ht="14.4" x14ac:dyDescent="0.25">
      <c r="G4648" s="10">
        <v>1536</v>
      </c>
      <c r="H4648" s="9">
        <v>11047</v>
      </c>
      <c r="I4648" s="14">
        <f>DATE(2012,12,31)-752</f>
        <v>40522</v>
      </c>
      <c r="J4648" s="15" t="s">
        <v>25</v>
      </c>
      <c r="K4648" s="9">
        <v>24</v>
      </c>
      <c r="L4648" s="16" t="s">
        <v>29</v>
      </c>
      <c r="M4648" s="16">
        <f t="shared" si="435"/>
        <v>-0.1085436493809193</v>
      </c>
      <c r="N4648">
        <f t="shared" si="436"/>
        <v>0</v>
      </c>
      <c r="O4648">
        <f t="shared" si="437"/>
        <v>0</v>
      </c>
      <c r="P4648">
        <f t="shared" si="434"/>
        <v>4600</v>
      </c>
      <c r="Q4648">
        <f t="shared" si="438"/>
        <v>4600</v>
      </c>
      <c r="T4648" s="16">
        <f t="shared" si="439"/>
        <v>-0.10854364938091969</v>
      </c>
    </row>
    <row r="4649" spans="7:20" ht="14.4" x14ac:dyDescent="0.25">
      <c r="G4649" s="10">
        <v>1787</v>
      </c>
      <c r="H4649" s="9">
        <v>12803</v>
      </c>
      <c r="I4649" s="14">
        <f>DATE(2012,12,31)-1040</f>
        <v>40234</v>
      </c>
      <c r="J4649" s="15" t="s">
        <v>28</v>
      </c>
      <c r="K4649" s="9">
        <v>32</v>
      </c>
      <c r="L4649" s="16" t="s">
        <v>26</v>
      </c>
      <c r="M4649" s="16">
        <f t="shared" si="435"/>
        <v>0.44393456357285216</v>
      </c>
      <c r="N4649">
        <f t="shared" si="436"/>
        <v>0</v>
      </c>
      <c r="O4649">
        <f t="shared" si="437"/>
        <v>0</v>
      </c>
      <c r="P4649">
        <f t="shared" si="434"/>
        <v>5000</v>
      </c>
      <c r="Q4649">
        <f t="shared" si="438"/>
        <v>5000</v>
      </c>
      <c r="T4649" s="16">
        <f t="shared" si="439"/>
        <v>0.44393456357285183</v>
      </c>
    </row>
    <row r="4650" spans="7:20" ht="14.4" x14ac:dyDescent="0.25">
      <c r="G4650" s="10">
        <v>1927</v>
      </c>
      <c r="H4650" s="9">
        <v>13767</v>
      </c>
      <c r="I4650" s="14">
        <f>DATE(2012,12,31)-858</f>
        <v>40416</v>
      </c>
      <c r="J4650" s="15" t="s">
        <v>17</v>
      </c>
      <c r="K4650" s="9">
        <v>12</v>
      </c>
      <c r="L4650" s="16" t="s">
        <v>29</v>
      </c>
      <c r="M4650" s="16">
        <f t="shared" si="435"/>
        <v>-0.9372609688115765</v>
      </c>
      <c r="N4650">
        <f t="shared" si="436"/>
        <v>0</v>
      </c>
      <c r="O4650">
        <f t="shared" si="437"/>
        <v>0</v>
      </c>
      <c r="P4650">
        <f t="shared" si="434"/>
        <v>4000</v>
      </c>
      <c r="Q4650">
        <f t="shared" si="438"/>
        <v>4000</v>
      </c>
      <c r="T4650" s="16">
        <f t="shared" si="439"/>
        <v>-0.93726096881157694</v>
      </c>
    </row>
    <row r="4651" spans="7:20" ht="14.4" x14ac:dyDescent="0.25">
      <c r="G4651" s="10">
        <v>1980</v>
      </c>
      <c r="H4651" s="9">
        <v>14117</v>
      </c>
      <c r="I4651" s="14">
        <f>DATE(2012,12,31)-859</f>
        <v>40415</v>
      </c>
      <c r="J4651" s="15" t="s">
        <v>28</v>
      </c>
      <c r="K4651" s="9">
        <v>4</v>
      </c>
      <c r="L4651" s="16" t="s">
        <v>26</v>
      </c>
      <c r="M4651" s="16">
        <f t="shared" si="435"/>
        <v>-1.489739181765348</v>
      </c>
      <c r="N4651">
        <f t="shared" si="436"/>
        <v>0</v>
      </c>
      <c r="O4651">
        <f t="shared" si="437"/>
        <v>0</v>
      </c>
      <c r="P4651">
        <f t="shared" si="434"/>
        <v>3600</v>
      </c>
      <c r="Q4651">
        <f t="shared" si="438"/>
        <v>3600</v>
      </c>
      <c r="T4651" s="16">
        <f t="shared" si="439"/>
        <v>-1.4897391817653485</v>
      </c>
    </row>
    <row r="4652" spans="7:20" ht="14.4" x14ac:dyDescent="0.25">
      <c r="G4652" s="10">
        <v>2091</v>
      </c>
      <c r="H4652" s="9">
        <v>14976</v>
      </c>
      <c r="I4652" s="14">
        <f>DATE(2012,12,31)-528</f>
        <v>40746</v>
      </c>
      <c r="J4652" s="15" t="s">
        <v>17</v>
      </c>
      <c r="K4652" s="9">
        <v>46</v>
      </c>
      <c r="L4652" s="16" t="s">
        <v>26</v>
      </c>
      <c r="M4652" s="16">
        <f t="shared" si="435"/>
        <v>1.4107714362419523</v>
      </c>
      <c r="N4652">
        <f t="shared" si="436"/>
        <v>0</v>
      </c>
      <c r="O4652">
        <f t="shared" si="437"/>
        <v>0</v>
      </c>
      <c r="P4652">
        <f t="shared" si="434"/>
        <v>5700</v>
      </c>
      <c r="Q4652">
        <f t="shared" si="438"/>
        <v>5700</v>
      </c>
      <c r="T4652" s="16">
        <f t="shared" si="439"/>
        <v>1.4107714362419519</v>
      </c>
    </row>
    <row r="4653" spans="7:20" ht="14.4" x14ac:dyDescent="0.25">
      <c r="G4653" s="10">
        <v>2094</v>
      </c>
      <c r="H4653" s="9">
        <v>14980</v>
      </c>
      <c r="I4653" s="14">
        <f>DATE(2012,12,31)-170</f>
        <v>41104</v>
      </c>
      <c r="J4653" s="15" t="s">
        <v>30</v>
      </c>
      <c r="K4653" s="9">
        <v>27</v>
      </c>
      <c r="L4653" s="16" t="s">
        <v>27</v>
      </c>
      <c r="M4653" s="16">
        <f t="shared" si="435"/>
        <v>9.8635680476745008E-2</v>
      </c>
      <c r="N4653">
        <f t="shared" si="436"/>
        <v>0</v>
      </c>
      <c r="O4653">
        <f t="shared" si="437"/>
        <v>0</v>
      </c>
      <c r="P4653">
        <f t="shared" si="434"/>
        <v>4750</v>
      </c>
      <c r="Q4653">
        <f t="shared" si="438"/>
        <v>4750</v>
      </c>
      <c r="T4653" s="16">
        <f t="shared" si="439"/>
        <v>9.8635680476744619E-2</v>
      </c>
    </row>
    <row r="4654" spans="7:20" ht="14.4" x14ac:dyDescent="0.25">
      <c r="G4654" s="10">
        <v>2233</v>
      </c>
      <c r="H4654" s="9">
        <v>16133</v>
      </c>
      <c r="I4654" s="14">
        <f>DATE(2012,12,31)-1193</f>
        <v>40081</v>
      </c>
      <c r="J4654" s="15" t="s">
        <v>30</v>
      </c>
      <c r="K4654" s="9">
        <v>16</v>
      </c>
      <c r="L4654" s="16" t="s">
        <v>27</v>
      </c>
      <c r="M4654" s="16">
        <f t="shared" si="435"/>
        <v>-0.66102186233469074</v>
      </c>
      <c r="N4654">
        <f t="shared" si="436"/>
        <v>0</v>
      </c>
      <c r="O4654">
        <f t="shared" si="437"/>
        <v>0</v>
      </c>
      <c r="P4654">
        <f t="shared" si="434"/>
        <v>4200</v>
      </c>
      <c r="Q4654">
        <f t="shared" si="438"/>
        <v>4200</v>
      </c>
      <c r="T4654" s="16">
        <f t="shared" si="439"/>
        <v>-0.66102186233469118</v>
      </c>
    </row>
    <row r="4655" spans="7:20" ht="14.4" x14ac:dyDescent="0.25">
      <c r="G4655" s="10">
        <v>2235</v>
      </c>
      <c r="H4655" s="9">
        <v>16134</v>
      </c>
      <c r="I4655" s="14">
        <f>DATE(2012,12,31)-42</f>
        <v>41232</v>
      </c>
      <c r="J4655" s="15" t="s">
        <v>17</v>
      </c>
      <c r="K4655" s="9">
        <v>43</v>
      </c>
      <c r="L4655" s="16" t="s">
        <v>27</v>
      </c>
      <c r="M4655" s="16">
        <f t="shared" si="435"/>
        <v>1.203592106384288</v>
      </c>
      <c r="N4655">
        <f t="shared" si="436"/>
        <v>0</v>
      </c>
      <c r="O4655">
        <f t="shared" si="437"/>
        <v>0</v>
      </c>
      <c r="P4655">
        <f t="shared" si="434"/>
        <v>5550</v>
      </c>
      <c r="Q4655">
        <f t="shared" si="438"/>
        <v>5550</v>
      </c>
      <c r="T4655" s="16">
        <f t="shared" si="439"/>
        <v>1.2035921063842876</v>
      </c>
    </row>
    <row r="4656" spans="7:20" ht="14.4" x14ac:dyDescent="0.25">
      <c r="G4656" s="10">
        <v>2262</v>
      </c>
      <c r="H4656" s="9">
        <v>16258</v>
      </c>
      <c r="I4656" s="14">
        <f>DATE(2012,12,31)-544</f>
        <v>40730</v>
      </c>
      <c r="J4656" s="15" t="s">
        <v>16</v>
      </c>
      <c r="K4656" s="9">
        <v>1</v>
      </c>
      <c r="L4656" s="16" t="s">
        <v>26</v>
      </c>
      <c r="M4656" s="16">
        <f t="shared" si="435"/>
        <v>-1.6969185116230123</v>
      </c>
      <c r="N4656">
        <f t="shared" si="436"/>
        <v>0</v>
      </c>
      <c r="O4656">
        <f t="shared" si="437"/>
        <v>0</v>
      </c>
      <c r="P4656">
        <f t="shared" si="434"/>
        <v>3450</v>
      </c>
      <c r="Q4656">
        <f t="shared" si="438"/>
        <v>3450</v>
      </c>
      <c r="T4656" s="16">
        <f t="shared" si="439"/>
        <v>-1.6969185116230128</v>
      </c>
    </row>
    <row r="4657" spans="7:20" ht="14.4" x14ac:dyDescent="0.25">
      <c r="G4657" s="10">
        <v>2263</v>
      </c>
      <c r="H4657" s="9">
        <v>16258</v>
      </c>
      <c r="I4657" s="14">
        <f>DATE(2012,12,31)-544</f>
        <v>40730</v>
      </c>
      <c r="J4657" s="15" t="s">
        <v>16</v>
      </c>
      <c r="K4657" s="9">
        <v>48</v>
      </c>
      <c r="L4657" s="16" t="s">
        <v>26</v>
      </c>
      <c r="M4657" s="16">
        <f t="shared" si="435"/>
        <v>1.5488909894803951</v>
      </c>
      <c r="N4657">
        <f t="shared" si="436"/>
        <v>0</v>
      </c>
      <c r="O4657">
        <f t="shared" si="437"/>
        <v>0</v>
      </c>
      <c r="P4657">
        <f t="shared" si="434"/>
        <v>5800</v>
      </c>
      <c r="Q4657">
        <f t="shared" si="438"/>
        <v>5800</v>
      </c>
      <c r="T4657" s="16">
        <f t="shared" si="439"/>
        <v>1.5488909894803948</v>
      </c>
    </row>
    <row r="4658" spans="7:20" ht="14.4" x14ac:dyDescent="0.25">
      <c r="G4658" s="10">
        <v>2267</v>
      </c>
      <c r="H4658" s="9">
        <v>16289</v>
      </c>
      <c r="I4658" s="14">
        <f>DATE(2012,12,31)-898</f>
        <v>40376</v>
      </c>
      <c r="J4658" s="15" t="s">
        <v>17</v>
      </c>
      <c r="K4658" s="9">
        <v>37</v>
      </c>
      <c r="L4658" s="16" t="s">
        <v>29</v>
      </c>
      <c r="M4658" s="16">
        <f t="shared" si="435"/>
        <v>0.78923344666895934</v>
      </c>
      <c r="N4658">
        <f t="shared" si="436"/>
        <v>0</v>
      </c>
      <c r="O4658">
        <f t="shared" si="437"/>
        <v>0</v>
      </c>
      <c r="P4658">
        <f t="shared" si="434"/>
        <v>5250</v>
      </c>
      <c r="Q4658">
        <f t="shared" si="438"/>
        <v>5250</v>
      </c>
      <c r="T4658" s="16">
        <f t="shared" si="439"/>
        <v>0.789233446668959</v>
      </c>
    </row>
    <row r="4659" spans="7:20" ht="14.4" x14ac:dyDescent="0.25">
      <c r="G4659" s="10">
        <v>2355</v>
      </c>
      <c r="H4659" s="9">
        <v>16993</v>
      </c>
      <c r="I4659" s="14">
        <f>DATE(2012,12,31)-411</f>
        <v>40863</v>
      </c>
      <c r="J4659" s="15" t="s">
        <v>16</v>
      </c>
      <c r="K4659" s="9">
        <v>8</v>
      </c>
      <c r="L4659" s="16" t="s">
        <v>27</v>
      </c>
      <c r="M4659" s="16">
        <f t="shared" si="435"/>
        <v>-1.2135000752884624</v>
      </c>
      <c r="N4659">
        <f t="shared" si="436"/>
        <v>0</v>
      </c>
      <c r="O4659">
        <f t="shared" si="437"/>
        <v>0</v>
      </c>
      <c r="P4659">
        <f t="shared" si="434"/>
        <v>3800</v>
      </c>
      <c r="Q4659">
        <f t="shared" si="438"/>
        <v>3800</v>
      </c>
      <c r="T4659" s="16">
        <f t="shared" si="439"/>
        <v>-1.2135000752884626</v>
      </c>
    </row>
    <row r="4660" spans="7:20" ht="14.4" x14ac:dyDescent="0.25">
      <c r="G4660" s="10">
        <v>2619</v>
      </c>
      <c r="H4660" s="9">
        <v>18945</v>
      </c>
      <c r="I4660" s="14">
        <f>DATE(2012,12,31)-1444</f>
        <v>39830</v>
      </c>
      <c r="J4660" s="15" t="s">
        <v>16</v>
      </c>
      <c r="K4660" s="9">
        <v>33</v>
      </c>
      <c r="L4660" s="16" t="s">
        <v>27</v>
      </c>
      <c r="M4660" s="16">
        <f t="shared" si="435"/>
        <v>0.51299434019207357</v>
      </c>
      <c r="N4660">
        <f t="shared" si="436"/>
        <v>0</v>
      </c>
      <c r="O4660">
        <f t="shared" si="437"/>
        <v>0</v>
      </c>
      <c r="P4660">
        <f t="shared" si="434"/>
        <v>5050</v>
      </c>
      <c r="Q4660">
        <f t="shared" si="438"/>
        <v>5050</v>
      </c>
      <c r="T4660" s="16">
        <f t="shared" si="439"/>
        <v>0.51299434019207324</v>
      </c>
    </row>
    <row r="4661" spans="7:20" ht="14.4" x14ac:dyDescent="0.25">
      <c r="G4661" s="10">
        <v>2764</v>
      </c>
      <c r="H4661" s="9">
        <v>19975</v>
      </c>
      <c r="I4661" s="14">
        <f>DATE(2012,12,31)-1361</f>
        <v>39913</v>
      </c>
      <c r="J4661" s="15" t="s">
        <v>28</v>
      </c>
      <c r="K4661" s="9">
        <v>33</v>
      </c>
      <c r="L4661" s="16" t="s">
        <v>26</v>
      </c>
      <c r="M4661" s="16">
        <f t="shared" si="435"/>
        <v>0.51299434019207357</v>
      </c>
      <c r="N4661">
        <f t="shared" si="436"/>
        <v>0</v>
      </c>
      <c r="O4661">
        <f t="shared" si="437"/>
        <v>0</v>
      </c>
      <c r="P4661">
        <f t="shared" si="434"/>
        <v>5050</v>
      </c>
      <c r="Q4661">
        <f t="shared" si="438"/>
        <v>5050</v>
      </c>
      <c r="T4661" s="16">
        <f t="shared" si="439"/>
        <v>0.51299434019207324</v>
      </c>
    </row>
    <row r="4662" spans="7:20" ht="14.4" x14ac:dyDescent="0.25">
      <c r="G4662" s="10">
        <v>2773</v>
      </c>
      <c r="H4662" s="9">
        <v>20036</v>
      </c>
      <c r="I4662" s="14">
        <f>DATE(2012,12,31)-757</f>
        <v>40517</v>
      </c>
      <c r="J4662" s="15" t="s">
        <v>28</v>
      </c>
      <c r="K4662" s="9">
        <v>25</v>
      </c>
      <c r="L4662" s="16" t="s">
        <v>26</v>
      </c>
      <c r="M4662" s="16">
        <f t="shared" si="435"/>
        <v>-3.9483872761697868E-2</v>
      </c>
      <c r="N4662">
        <f t="shared" si="436"/>
        <v>0</v>
      </c>
      <c r="O4662">
        <f t="shared" si="437"/>
        <v>0</v>
      </c>
      <c r="P4662">
        <f t="shared" si="434"/>
        <v>4650</v>
      </c>
      <c r="Q4662">
        <f t="shared" si="438"/>
        <v>4650</v>
      </c>
      <c r="T4662" s="16">
        <f t="shared" si="439"/>
        <v>-3.9483872761698249E-2</v>
      </c>
    </row>
    <row r="4663" spans="7:20" ht="14.4" x14ac:dyDescent="0.25">
      <c r="G4663" s="10">
        <v>2774</v>
      </c>
      <c r="H4663" s="9">
        <v>20036</v>
      </c>
      <c r="I4663" s="14">
        <f>DATE(2012,12,31)-757</f>
        <v>40517</v>
      </c>
      <c r="J4663" s="15" t="s">
        <v>28</v>
      </c>
      <c r="K4663" s="9">
        <v>44</v>
      </c>
      <c r="L4663" s="16" t="s">
        <v>27</v>
      </c>
      <c r="M4663" s="16">
        <f t="shared" si="435"/>
        <v>1.2726518830035094</v>
      </c>
      <c r="N4663">
        <f t="shared" si="436"/>
        <v>0</v>
      </c>
      <c r="O4663">
        <f t="shared" si="437"/>
        <v>0</v>
      </c>
      <c r="P4663">
        <f t="shared" si="434"/>
        <v>5600</v>
      </c>
      <c r="Q4663">
        <f t="shared" si="438"/>
        <v>5600</v>
      </c>
      <c r="T4663" s="16">
        <f t="shared" si="439"/>
        <v>1.272651883003509</v>
      </c>
    </row>
    <row r="4664" spans="7:20" ht="14.4" x14ac:dyDescent="0.25">
      <c r="G4664" s="10">
        <v>2903</v>
      </c>
      <c r="H4664" s="9">
        <v>20964</v>
      </c>
      <c r="I4664" s="14">
        <f>DATE(2012,12,31)-276</f>
        <v>40998</v>
      </c>
      <c r="J4664" s="15" t="s">
        <v>30</v>
      </c>
      <c r="K4664" s="9">
        <v>11</v>
      </c>
      <c r="L4664" s="16" t="s">
        <v>27</v>
      </c>
      <c r="M4664" s="16">
        <f t="shared" si="435"/>
        <v>-1.0063207454307979</v>
      </c>
      <c r="N4664">
        <f t="shared" si="436"/>
        <v>0</v>
      </c>
      <c r="O4664">
        <f t="shared" si="437"/>
        <v>0</v>
      </c>
      <c r="P4664">
        <f t="shared" si="434"/>
        <v>3950</v>
      </c>
      <c r="Q4664">
        <f t="shared" si="438"/>
        <v>3950</v>
      </c>
      <c r="T4664" s="16">
        <f t="shared" si="439"/>
        <v>-1.0063207454307983</v>
      </c>
    </row>
    <row r="4665" spans="7:20" ht="14.4" x14ac:dyDescent="0.25">
      <c r="G4665" s="10">
        <v>2920</v>
      </c>
      <c r="H4665" s="9">
        <v>21121</v>
      </c>
      <c r="I4665" s="14">
        <f>DATE(2012,12,31)-1202</f>
        <v>40072</v>
      </c>
      <c r="J4665" s="15" t="s">
        <v>28</v>
      </c>
      <c r="K4665" s="9">
        <v>50</v>
      </c>
      <c r="L4665" s="16" t="s">
        <v>26</v>
      </c>
      <c r="M4665" s="16">
        <f t="shared" si="435"/>
        <v>1.687010542718838</v>
      </c>
      <c r="N4665">
        <f t="shared" si="436"/>
        <v>0</v>
      </c>
      <c r="O4665">
        <f t="shared" si="437"/>
        <v>0</v>
      </c>
      <c r="P4665">
        <f t="shared" si="434"/>
        <v>5900</v>
      </c>
      <c r="Q4665">
        <f t="shared" si="438"/>
        <v>5900</v>
      </c>
      <c r="T4665" s="16">
        <f t="shared" si="439"/>
        <v>1.6870105427188375</v>
      </c>
    </row>
    <row r="4666" spans="7:20" ht="14.4" x14ac:dyDescent="0.25">
      <c r="G4666" s="10">
        <v>2938</v>
      </c>
      <c r="H4666" s="9">
        <v>21314</v>
      </c>
      <c r="I4666" s="14">
        <f>DATE(2012,12,31)-1155</f>
        <v>40119</v>
      </c>
      <c r="J4666" s="15" t="s">
        <v>25</v>
      </c>
      <c r="K4666" s="9">
        <v>6</v>
      </c>
      <c r="L4666" s="16" t="s">
        <v>26</v>
      </c>
      <c r="M4666" s="16">
        <f t="shared" si="435"/>
        <v>-1.3516196285269051</v>
      </c>
      <c r="N4666">
        <f t="shared" si="436"/>
        <v>0</v>
      </c>
      <c r="O4666">
        <f t="shared" si="437"/>
        <v>0</v>
      </c>
      <c r="P4666">
        <f t="shared" si="434"/>
        <v>3700</v>
      </c>
      <c r="Q4666">
        <f t="shared" si="438"/>
        <v>3700</v>
      </c>
      <c r="T4666" s="16">
        <f t="shared" si="439"/>
        <v>-1.3516196285269055</v>
      </c>
    </row>
    <row r="4667" spans="7:20" ht="14.4" x14ac:dyDescent="0.25">
      <c r="G4667" s="10">
        <v>2939</v>
      </c>
      <c r="H4667" s="9">
        <v>21314</v>
      </c>
      <c r="I4667" s="14">
        <f>DATE(2012,12,31)-1155</f>
        <v>40119</v>
      </c>
      <c r="J4667" s="15" t="s">
        <v>25</v>
      </c>
      <c r="K4667" s="9">
        <v>30</v>
      </c>
      <c r="L4667" s="16" t="s">
        <v>26</v>
      </c>
      <c r="M4667" s="16">
        <f t="shared" si="435"/>
        <v>0.30581501033440933</v>
      </c>
      <c r="N4667">
        <f t="shared" si="436"/>
        <v>0</v>
      </c>
      <c r="O4667">
        <f t="shared" si="437"/>
        <v>0</v>
      </c>
      <c r="P4667">
        <f t="shared" si="434"/>
        <v>4900</v>
      </c>
      <c r="Q4667">
        <f t="shared" si="438"/>
        <v>4900</v>
      </c>
      <c r="T4667" s="16">
        <f t="shared" si="439"/>
        <v>0.30581501033440894</v>
      </c>
    </row>
    <row r="4668" spans="7:20" ht="14.4" x14ac:dyDescent="0.25">
      <c r="G4668" s="10">
        <v>2940</v>
      </c>
      <c r="H4668" s="9">
        <v>21314</v>
      </c>
      <c r="I4668" s="14">
        <f>DATE(2012,12,31)-1155</f>
        <v>40119</v>
      </c>
      <c r="J4668" s="15" t="s">
        <v>25</v>
      </c>
      <c r="K4668" s="9">
        <v>40</v>
      </c>
      <c r="L4668" s="16" t="s">
        <v>29</v>
      </c>
      <c r="M4668" s="16">
        <f t="shared" si="435"/>
        <v>0.99641277652662363</v>
      </c>
      <c r="N4668">
        <f t="shared" si="436"/>
        <v>0</v>
      </c>
      <c r="O4668">
        <f t="shared" si="437"/>
        <v>0</v>
      </c>
      <c r="P4668">
        <f t="shared" si="434"/>
        <v>5400</v>
      </c>
      <c r="Q4668">
        <f t="shared" si="438"/>
        <v>5400</v>
      </c>
      <c r="T4668" s="16">
        <f t="shared" si="439"/>
        <v>0.9964127765266233</v>
      </c>
    </row>
    <row r="4669" spans="7:20" ht="14.4" x14ac:dyDescent="0.25">
      <c r="G4669" s="10">
        <v>3016</v>
      </c>
      <c r="H4669" s="9">
        <v>21702</v>
      </c>
      <c r="I4669" s="14">
        <f>DATE(2012,12,31)-745</f>
        <v>40529</v>
      </c>
      <c r="J4669" s="15" t="s">
        <v>28</v>
      </c>
      <c r="K4669" s="9">
        <v>40</v>
      </c>
      <c r="L4669" s="16" t="s">
        <v>29</v>
      </c>
      <c r="M4669" s="16">
        <f t="shared" si="435"/>
        <v>0.99641277652662363</v>
      </c>
      <c r="N4669">
        <f t="shared" si="436"/>
        <v>0</v>
      </c>
      <c r="O4669">
        <f t="shared" si="437"/>
        <v>0</v>
      </c>
      <c r="P4669">
        <f t="shared" si="434"/>
        <v>5400</v>
      </c>
      <c r="Q4669">
        <f t="shared" si="438"/>
        <v>5400</v>
      </c>
      <c r="T4669" s="16">
        <f t="shared" si="439"/>
        <v>0.9964127765266233</v>
      </c>
    </row>
    <row r="4670" spans="7:20" ht="14.4" x14ac:dyDescent="0.25">
      <c r="G4670" s="10">
        <v>3062</v>
      </c>
      <c r="H4670" s="9">
        <v>21925</v>
      </c>
      <c r="I4670" s="14">
        <f>DATE(2012,12,31)-172</f>
        <v>41102</v>
      </c>
      <c r="J4670" s="15" t="s">
        <v>28</v>
      </c>
      <c r="K4670" s="9">
        <v>3</v>
      </c>
      <c r="L4670" s="16" t="s">
        <v>27</v>
      </c>
      <c r="M4670" s="16">
        <f t="shared" si="435"/>
        <v>-1.5587989583845694</v>
      </c>
      <c r="N4670">
        <f t="shared" si="436"/>
        <v>0</v>
      </c>
      <c r="O4670">
        <f t="shared" si="437"/>
        <v>0</v>
      </c>
      <c r="P4670">
        <f t="shared" si="434"/>
        <v>3550</v>
      </c>
      <c r="Q4670">
        <f t="shared" si="438"/>
        <v>3550</v>
      </c>
      <c r="T4670" s="16">
        <f t="shared" si="439"/>
        <v>-1.5587989583845698</v>
      </c>
    </row>
    <row r="4671" spans="7:20" ht="14.4" x14ac:dyDescent="0.25">
      <c r="G4671" s="10">
        <v>3123</v>
      </c>
      <c r="H4671" s="9">
        <v>22432</v>
      </c>
      <c r="I4671" s="14">
        <f>DATE(2012,12,31)-33</f>
        <v>41241</v>
      </c>
      <c r="J4671" s="15" t="s">
        <v>28</v>
      </c>
      <c r="K4671" s="9">
        <v>45</v>
      </c>
      <c r="L4671" s="16" t="s">
        <v>26</v>
      </c>
      <c r="M4671" s="16">
        <f t="shared" si="435"/>
        <v>1.3417116596227308</v>
      </c>
      <c r="N4671">
        <f t="shared" si="436"/>
        <v>0</v>
      </c>
      <c r="O4671">
        <f t="shared" si="437"/>
        <v>0</v>
      </c>
      <c r="P4671">
        <f t="shared" si="434"/>
        <v>5650</v>
      </c>
      <c r="Q4671">
        <f t="shared" si="438"/>
        <v>5650</v>
      </c>
      <c r="T4671" s="16">
        <f t="shared" si="439"/>
        <v>1.3417116596227305</v>
      </c>
    </row>
    <row r="4672" spans="7:20" ht="14.4" x14ac:dyDescent="0.25">
      <c r="G4672" s="10">
        <v>3173</v>
      </c>
      <c r="H4672" s="9">
        <v>22819</v>
      </c>
      <c r="I4672" s="14">
        <f>DATE(2012,12,31)-51</f>
        <v>41223</v>
      </c>
      <c r="J4672" s="15" t="s">
        <v>17</v>
      </c>
      <c r="K4672" s="9">
        <v>1</v>
      </c>
      <c r="L4672" s="16" t="s">
        <v>26</v>
      </c>
      <c r="M4672" s="16">
        <f t="shared" si="435"/>
        <v>-1.6969185116230123</v>
      </c>
      <c r="N4672">
        <f t="shared" si="436"/>
        <v>0</v>
      </c>
      <c r="O4672">
        <f t="shared" si="437"/>
        <v>0</v>
      </c>
      <c r="P4672">
        <f t="shared" si="434"/>
        <v>3450</v>
      </c>
      <c r="Q4672">
        <f t="shared" si="438"/>
        <v>3450</v>
      </c>
      <c r="T4672" s="16">
        <f t="shared" si="439"/>
        <v>-1.6969185116230128</v>
      </c>
    </row>
    <row r="4673" spans="7:20" ht="14.4" x14ac:dyDescent="0.25">
      <c r="G4673" s="10">
        <v>3198</v>
      </c>
      <c r="H4673" s="9">
        <v>22917</v>
      </c>
      <c r="I4673" s="14">
        <f>DATE(2012,12,31)-1401</f>
        <v>39873</v>
      </c>
      <c r="J4673" s="15" t="s">
        <v>16</v>
      </c>
      <c r="K4673" s="9">
        <v>1</v>
      </c>
      <c r="L4673" s="16" t="s">
        <v>27</v>
      </c>
      <c r="M4673" s="16">
        <f t="shared" si="435"/>
        <v>-1.6969185116230123</v>
      </c>
      <c r="N4673">
        <f t="shared" si="436"/>
        <v>0</v>
      </c>
      <c r="O4673">
        <f t="shared" si="437"/>
        <v>0</v>
      </c>
      <c r="P4673">
        <f t="shared" si="434"/>
        <v>3450</v>
      </c>
      <c r="Q4673">
        <f t="shared" si="438"/>
        <v>3450</v>
      </c>
      <c r="T4673" s="16">
        <f t="shared" si="439"/>
        <v>-1.6969185116230128</v>
      </c>
    </row>
    <row r="4674" spans="7:20" ht="14.4" x14ac:dyDescent="0.25">
      <c r="G4674" s="10">
        <v>3221</v>
      </c>
      <c r="H4674" s="9">
        <v>23107</v>
      </c>
      <c r="I4674" s="14">
        <f>DATE(2012,12,31)-569</f>
        <v>40705</v>
      </c>
      <c r="J4674" s="15" t="s">
        <v>16</v>
      </c>
      <c r="K4674" s="9">
        <v>7</v>
      </c>
      <c r="L4674" s="16" t="s">
        <v>26</v>
      </c>
      <c r="M4674" s="16">
        <f t="shared" si="435"/>
        <v>-1.2825598519076837</v>
      </c>
      <c r="N4674">
        <f t="shared" si="436"/>
        <v>0</v>
      </c>
      <c r="O4674">
        <f t="shared" si="437"/>
        <v>0</v>
      </c>
      <c r="P4674">
        <f t="shared" si="434"/>
        <v>3750</v>
      </c>
      <c r="Q4674">
        <f t="shared" si="438"/>
        <v>3750</v>
      </c>
      <c r="T4674" s="16">
        <f t="shared" si="439"/>
        <v>-1.2825598519076842</v>
      </c>
    </row>
    <row r="4675" spans="7:20" ht="14.4" x14ac:dyDescent="0.25">
      <c r="G4675" s="10">
        <v>3294</v>
      </c>
      <c r="H4675" s="9">
        <v>23556</v>
      </c>
      <c r="I4675" s="14">
        <f>DATE(2012,12,31)-722</f>
        <v>40552</v>
      </c>
      <c r="J4675" s="15" t="s">
        <v>16</v>
      </c>
      <c r="K4675" s="9">
        <v>34</v>
      </c>
      <c r="L4675" s="16" t="s">
        <v>26</v>
      </c>
      <c r="M4675" s="16">
        <f t="shared" si="435"/>
        <v>0.58205411681129504</v>
      </c>
      <c r="N4675">
        <f t="shared" si="436"/>
        <v>0</v>
      </c>
      <c r="O4675">
        <f t="shared" si="437"/>
        <v>0</v>
      </c>
      <c r="P4675">
        <f t="shared" si="434"/>
        <v>5100</v>
      </c>
      <c r="Q4675">
        <f t="shared" si="438"/>
        <v>5100</v>
      </c>
      <c r="T4675" s="16">
        <f t="shared" si="439"/>
        <v>0.58205411681129471</v>
      </c>
    </row>
    <row r="4676" spans="7:20" ht="14.4" x14ac:dyDescent="0.25">
      <c r="G4676" s="10">
        <v>3324</v>
      </c>
      <c r="H4676" s="9">
        <v>23777</v>
      </c>
      <c r="I4676" s="14">
        <f>DATE(2012,12,31)-35</f>
        <v>41239</v>
      </c>
      <c r="J4676" s="15" t="s">
        <v>28</v>
      </c>
      <c r="K4676" s="9">
        <v>16</v>
      </c>
      <c r="L4676" s="16" t="s">
        <v>26</v>
      </c>
      <c r="M4676" s="16">
        <f t="shared" si="435"/>
        <v>-0.66102186233469074</v>
      </c>
      <c r="N4676">
        <f t="shared" si="436"/>
        <v>0</v>
      </c>
      <c r="O4676">
        <f t="shared" si="437"/>
        <v>0</v>
      </c>
      <c r="P4676">
        <f t="shared" si="434"/>
        <v>4200</v>
      </c>
      <c r="Q4676">
        <f t="shared" si="438"/>
        <v>4200</v>
      </c>
      <c r="T4676" s="16">
        <f t="shared" si="439"/>
        <v>-0.66102186233469118</v>
      </c>
    </row>
    <row r="4677" spans="7:20" ht="14.4" x14ac:dyDescent="0.25">
      <c r="G4677" s="10">
        <v>3374</v>
      </c>
      <c r="H4677" s="9">
        <v>24098</v>
      </c>
      <c r="I4677" s="14">
        <f>DATE(2012,12,31)-258</f>
        <v>41016</v>
      </c>
      <c r="J4677" s="15" t="s">
        <v>30</v>
      </c>
      <c r="K4677" s="9">
        <v>42</v>
      </c>
      <c r="L4677" s="16" t="s">
        <v>26</v>
      </c>
      <c r="M4677" s="16">
        <f t="shared" si="435"/>
        <v>1.1345323297650665</v>
      </c>
      <c r="N4677">
        <f t="shared" si="436"/>
        <v>0</v>
      </c>
      <c r="O4677">
        <f t="shared" si="437"/>
        <v>0</v>
      </c>
      <c r="P4677">
        <f t="shared" si="434"/>
        <v>5500</v>
      </c>
      <c r="Q4677">
        <f t="shared" si="438"/>
        <v>5500</v>
      </c>
      <c r="T4677" s="16">
        <f t="shared" si="439"/>
        <v>1.1345323297650662</v>
      </c>
    </row>
    <row r="4678" spans="7:20" ht="14.4" x14ac:dyDescent="0.25">
      <c r="G4678" s="10">
        <v>3375</v>
      </c>
      <c r="H4678" s="9">
        <v>24098</v>
      </c>
      <c r="I4678" s="14">
        <f>DATE(2012,12,31)-258</f>
        <v>41016</v>
      </c>
      <c r="J4678" s="15" t="s">
        <v>30</v>
      </c>
      <c r="K4678" s="9">
        <v>10</v>
      </c>
      <c r="L4678" s="16" t="s">
        <v>26</v>
      </c>
      <c r="M4678" s="16">
        <f t="shared" si="435"/>
        <v>-1.0753805220500194</v>
      </c>
      <c r="N4678">
        <f t="shared" si="436"/>
        <v>0</v>
      </c>
      <c r="O4678">
        <f t="shared" si="437"/>
        <v>0</v>
      </c>
      <c r="P4678">
        <f t="shared" si="434"/>
        <v>3900</v>
      </c>
      <c r="Q4678">
        <f t="shared" si="438"/>
        <v>3900</v>
      </c>
      <c r="T4678" s="16">
        <f t="shared" si="439"/>
        <v>-1.0753805220500199</v>
      </c>
    </row>
    <row r="4679" spans="7:20" ht="14.4" x14ac:dyDescent="0.25">
      <c r="G4679" s="10">
        <v>3376</v>
      </c>
      <c r="H4679" s="9">
        <v>24098</v>
      </c>
      <c r="I4679" s="14">
        <f>DATE(2012,12,31)-258</f>
        <v>41016</v>
      </c>
      <c r="J4679" s="15" t="s">
        <v>30</v>
      </c>
      <c r="K4679" s="9">
        <v>32</v>
      </c>
      <c r="L4679" s="16" t="s">
        <v>27</v>
      </c>
      <c r="M4679" s="16">
        <f t="shared" si="435"/>
        <v>0.44393456357285216</v>
      </c>
      <c r="N4679">
        <f t="shared" si="436"/>
        <v>0</v>
      </c>
      <c r="O4679">
        <f t="shared" si="437"/>
        <v>0</v>
      </c>
      <c r="P4679">
        <f t="shared" si="434"/>
        <v>5000</v>
      </c>
      <c r="Q4679">
        <f t="shared" si="438"/>
        <v>5000</v>
      </c>
      <c r="T4679" s="16">
        <f t="shared" si="439"/>
        <v>0.44393456357285183</v>
      </c>
    </row>
    <row r="4680" spans="7:20" ht="14.4" x14ac:dyDescent="0.25">
      <c r="G4680" s="10">
        <v>3400</v>
      </c>
      <c r="H4680" s="9">
        <v>24227</v>
      </c>
      <c r="I4680" s="14">
        <f>DATE(2012,12,31)-868</f>
        <v>40406</v>
      </c>
      <c r="J4680" s="15" t="s">
        <v>16</v>
      </c>
      <c r="K4680" s="9">
        <v>24</v>
      </c>
      <c r="L4680" s="16" t="s">
        <v>27</v>
      </c>
      <c r="M4680" s="16">
        <f t="shared" si="435"/>
        <v>-0.1085436493809193</v>
      </c>
      <c r="N4680">
        <f t="shared" si="436"/>
        <v>0</v>
      </c>
      <c r="O4680">
        <f t="shared" si="437"/>
        <v>0</v>
      </c>
      <c r="P4680">
        <f t="shared" si="434"/>
        <v>4600</v>
      </c>
      <c r="Q4680">
        <f t="shared" si="438"/>
        <v>4600</v>
      </c>
      <c r="T4680" s="16">
        <f t="shared" si="439"/>
        <v>-0.10854364938091969</v>
      </c>
    </row>
    <row r="4681" spans="7:20" ht="14.4" x14ac:dyDescent="0.25">
      <c r="G4681" s="10">
        <v>3455</v>
      </c>
      <c r="H4681" s="9">
        <v>24614</v>
      </c>
      <c r="I4681" s="14">
        <f>DATE(2012,12,31)-1136</f>
        <v>40138</v>
      </c>
      <c r="J4681" s="15" t="s">
        <v>25</v>
      </c>
      <c r="K4681" s="9">
        <v>33</v>
      </c>
      <c r="L4681" s="16" t="s">
        <v>27</v>
      </c>
      <c r="M4681" s="16">
        <f t="shared" si="435"/>
        <v>0.51299434019207357</v>
      </c>
      <c r="N4681">
        <f t="shared" si="436"/>
        <v>0</v>
      </c>
      <c r="O4681">
        <f t="shared" si="437"/>
        <v>0</v>
      </c>
      <c r="P4681">
        <f t="shared" si="434"/>
        <v>5050</v>
      </c>
      <c r="Q4681">
        <f t="shared" si="438"/>
        <v>5050</v>
      </c>
      <c r="T4681" s="16">
        <f t="shared" si="439"/>
        <v>0.51299434019207324</v>
      </c>
    </row>
    <row r="4682" spans="7:20" ht="14.4" x14ac:dyDescent="0.25">
      <c r="G4682" s="10">
        <v>3595</v>
      </c>
      <c r="H4682" s="9">
        <v>25637</v>
      </c>
      <c r="I4682" s="14">
        <f>DATE(2012,12,31)-310</f>
        <v>40964</v>
      </c>
      <c r="J4682" s="15" t="s">
        <v>28</v>
      </c>
      <c r="K4682" s="9">
        <v>12</v>
      </c>
      <c r="L4682" s="16" t="s">
        <v>29</v>
      </c>
      <c r="M4682" s="16">
        <f t="shared" si="435"/>
        <v>-0.9372609688115765</v>
      </c>
      <c r="N4682">
        <f t="shared" si="436"/>
        <v>0</v>
      </c>
      <c r="O4682">
        <f t="shared" si="437"/>
        <v>0</v>
      </c>
      <c r="P4682">
        <f t="shared" si="434"/>
        <v>4000</v>
      </c>
      <c r="Q4682">
        <f t="shared" si="438"/>
        <v>4000</v>
      </c>
      <c r="T4682" s="16">
        <f t="shared" si="439"/>
        <v>-0.93726096881157694</v>
      </c>
    </row>
    <row r="4683" spans="7:20" ht="14.4" x14ac:dyDescent="0.25">
      <c r="G4683" s="10">
        <v>3737</v>
      </c>
      <c r="H4683" s="9">
        <v>26695</v>
      </c>
      <c r="I4683" s="14">
        <f>DATE(2012,12,31)-939</f>
        <v>40335</v>
      </c>
      <c r="J4683" s="15" t="s">
        <v>28</v>
      </c>
      <c r="K4683" s="9">
        <v>43</v>
      </c>
      <c r="L4683" s="16" t="s">
        <v>26</v>
      </c>
      <c r="M4683" s="16">
        <f t="shared" si="435"/>
        <v>1.203592106384288</v>
      </c>
      <c r="N4683">
        <f t="shared" si="436"/>
        <v>0</v>
      </c>
      <c r="O4683">
        <f t="shared" si="437"/>
        <v>0</v>
      </c>
      <c r="P4683">
        <f t="shared" si="434"/>
        <v>5550</v>
      </c>
      <c r="Q4683">
        <f t="shared" si="438"/>
        <v>5550</v>
      </c>
      <c r="T4683" s="16">
        <f t="shared" si="439"/>
        <v>1.2035921063842876</v>
      </c>
    </row>
    <row r="4684" spans="7:20" ht="14.4" x14ac:dyDescent="0.25">
      <c r="G4684" s="10">
        <v>3797</v>
      </c>
      <c r="H4684" s="9">
        <v>27078</v>
      </c>
      <c r="I4684" s="14">
        <f>DATE(2012,12,31)-141</f>
        <v>41133</v>
      </c>
      <c r="J4684" s="15" t="s">
        <v>28</v>
      </c>
      <c r="K4684" s="9">
        <v>22</v>
      </c>
      <c r="L4684" s="16" t="s">
        <v>26</v>
      </c>
      <c r="M4684" s="16">
        <f t="shared" si="435"/>
        <v>-0.24666320261936217</v>
      </c>
      <c r="N4684">
        <f t="shared" si="436"/>
        <v>0</v>
      </c>
      <c r="O4684">
        <f t="shared" si="437"/>
        <v>0</v>
      </c>
      <c r="P4684">
        <f t="shared" ref="P4684:P4747" si="440">50*K4684+$P$10</f>
        <v>4500</v>
      </c>
      <c r="Q4684">
        <f t="shared" si="438"/>
        <v>4500</v>
      </c>
      <c r="T4684" s="16">
        <f t="shared" si="439"/>
        <v>-0.24666320261936256</v>
      </c>
    </row>
    <row r="4685" spans="7:20" ht="14.4" x14ac:dyDescent="0.25">
      <c r="G4685" s="10">
        <v>4135</v>
      </c>
      <c r="H4685" s="9">
        <v>29376</v>
      </c>
      <c r="I4685" s="14">
        <f>DATE(2012,12,31)-142</f>
        <v>41132</v>
      </c>
      <c r="J4685" s="15" t="s">
        <v>30</v>
      </c>
      <c r="K4685" s="9">
        <v>20</v>
      </c>
      <c r="L4685" s="16" t="s">
        <v>26</v>
      </c>
      <c r="M4685" s="16">
        <f t="shared" ref="M4685:M4748" si="441">(K4685-$K$4)/$K$7</f>
        <v>-0.38478275585780503</v>
      </c>
      <c r="N4685">
        <f t="shared" ref="N4685:N4748" si="442">IF(MOD($B$20+G4685,1000)=0,1,0)</f>
        <v>0</v>
      </c>
      <c r="O4685">
        <f t="shared" ref="O4685:O4748" si="443">+ROUND(N4685*(IF(K4685&lt;$K$4,-4.5,10.5)*$P$5),-2)</f>
        <v>0</v>
      </c>
      <c r="P4685">
        <f t="shared" si="440"/>
        <v>4400</v>
      </c>
      <c r="Q4685">
        <f t="shared" ref="Q4685:Q4748" si="444">P4685+O4685</f>
        <v>4400</v>
      </c>
      <c r="T4685" s="16">
        <f t="shared" ref="T4685:T4748" si="445">(Q4685-$P$4)/$P$5</f>
        <v>-0.38478275585780541</v>
      </c>
    </row>
    <row r="4686" spans="7:20" ht="14.4" x14ac:dyDescent="0.25">
      <c r="G4686" s="10">
        <v>4190</v>
      </c>
      <c r="H4686" s="9">
        <v>29766</v>
      </c>
      <c r="I4686" s="14">
        <f>DATE(2012,12,31)-1381</f>
        <v>39893</v>
      </c>
      <c r="J4686" s="15" t="s">
        <v>16</v>
      </c>
      <c r="K4686" s="9">
        <v>13</v>
      </c>
      <c r="L4686" s="16" t="s">
        <v>27</v>
      </c>
      <c r="M4686" s="16">
        <f t="shared" si="441"/>
        <v>-0.86820119219235514</v>
      </c>
      <c r="N4686">
        <f t="shared" si="442"/>
        <v>0</v>
      </c>
      <c r="O4686">
        <f t="shared" si="443"/>
        <v>0</v>
      </c>
      <c r="P4686">
        <f t="shared" si="440"/>
        <v>4050</v>
      </c>
      <c r="Q4686">
        <f t="shared" si="444"/>
        <v>4050</v>
      </c>
      <c r="T4686" s="16">
        <f t="shared" si="445"/>
        <v>-0.86820119219235548</v>
      </c>
    </row>
    <row r="4687" spans="7:20" ht="14.4" x14ac:dyDescent="0.25">
      <c r="G4687" s="10">
        <v>4191</v>
      </c>
      <c r="H4687" s="9">
        <v>29766</v>
      </c>
      <c r="I4687" s="14">
        <f>DATE(2012,12,31)-1381</f>
        <v>39893</v>
      </c>
      <c r="J4687" s="15" t="s">
        <v>16</v>
      </c>
      <c r="K4687" s="9">
        <v>40</v>
      </c>
      <c r="L4687" s="16" t="s">
        <v>27</v>
      </c>
      <c r="M4687" s="16">
        <f t="shared" si="441"/>
        <v>0.99641277652662363</v>
      </c>
      <c r="N4687">
        <f t="shared" si="442"/>
        <v>0</v>
      </c>
      <c r="O4687">
        <f t="shared" si="443"/>
        <v>0</v>
      </c>
      <c r="P4687">
        <f t="shared" si="440"/>
        <v>5400</v>
      </c>
      <c r="Q4687">
        <f t="shared" si="444"/>
        <v>5400</v>
      </c>
      <c r="T4687" s="16">
        <f t="shared" si="445"/>
        <v>0.9964127765266233</v>
      </c>
    </row>
    <row r="4688" spans="7:20" ht="14.4" x14ac:dyDescent="0.25">
      <c r="G4688" s="10">
        <v>4253</v>
      </c>
      <c r="H4688" s="9">
        <v>30278</v>
      </c>
      <c r="I4688" s="14">
        <f>DATE(2012,12,31)-1188</f>
        <v>40086</v>
      </c>
      <c r="J4688" s="15" t="s">
        <v>25</v>
      </c>
      <c r="K4688" s="9">
        <v>50</v>
      </c>
      <c r="L4688" s="16" t="s">
        <v>27</v>
      </c>
      <c r="M4688" s="16">
        <f t="shared" si="441"/>
        <v>1.687010542718838</v>
      </c>
      <c r="N4688">
        <f t="shared" si="442"/>
        <v>0</v>
      </c>
      <c r="O4688">
        <f t="shared" si="443"/>
        <v>0</v>
      </c>
      <c r="P4688">
        <f t="shared" si="440"/>
        <v>5900</v>
      </c>
      <c r="Q4688">
        <f t="shared" si="444"/>
        <v>5900</v>
      </c>
      <c r="T4688" s="16">
        <f t="shared" si="445"/>
        <v>1.6870105427188375</v>
      </c>
    </row>
    <row r="4689" spans="7:20" ht="14.4" x14ac:dyDescent="0.25">
      <c r="G4689" s="10">
        <v>4302</v>
      </c>
      <c r="H4689" s="9">
        <v>30626</v>
      </c>
      <c r="I4689" s="14">
        <f>DATE(2012,12,31)-616</f>
        <v>40658</v>
      </c>
      <c r="J4689" s="15" t="s">
        <v>30</v>
      </c>
      <c r="K4689" s="9">
        <v>23</v>
      </c>
      <c r="L4689" s="16" t="s">
        <v>26</v>
      </c>
      <c r="M4689" s="16">
        <f t="shared" si="441"/>
        <v>-0.17760342600014073</v>
      </c>
      <c r="N4689">
        <f t="shared" si="442"/>
        <v>0</v>
      </c>
      <c r="O4689">
        <f t="shared" si="443"/>
        <v>0</v>
      </c>
      <c r="P4689">
        <f t="shared" si="440"/>
        <v>4550</v>
      </c>
      <c r="Q4689">
        <f t="shared" si="444"/>
        <v>4550</v>
      </c>
      <c r="T4689" s="16">
        <f t="shared" si="445"/>
        <v>-0.17760342600014112</v>
      </c>
    </row>
    <row r="4690" spans="7:20" ht="14.4" x14ac:dyDescent="0.25">
      <c r="G4690" s="10">
        <v>4328</v>
      </c>
      <c r="H4690" s="9">
        <v>30851</v>
      </c>
      <c r="I4690" s="14">
        <f>DATE(2012,12,31)-832</f>
        <v>40442</v>
      </c>
      <c r="J4690" s="15" t="s">
        <v>25</v>
      </c>
      <c r="K4690" s="9">
        <v>16</v>
      </c>
      <c r="L4690" s="16" t="s">
        <v>26</v>
      </c>
      <c r="M4690" s="16">
        <f t="shared" si="441"/>
        <v>-0.66102186233469074</v>
      </c>
      <c r="N4690">
        <f t="shared" si="442"/>
        <v>0</v>
      </c>
      <c r="O4690">
        <f t="shared" si="443"/>
        <v>0</v>
      </c>
      <c r="P4690">
        <f t="shared" si="440"/>
        <v>4200</v>
      </c>
      <c r="Q4690">
        <f t="shared" si="444"/>
        <v>4200</v>
      </c>
      <c r="T4690" s="16">
        <f t="shared" si="445"/>
        <v>-0.66102186233469118</v>
      </c>
    </row>
    <row r="4691" spans="7:20" ht="14.4" x14ac:dyDescent="0.25">
      <c r="G4691" s="10">
        <v>4452</v>
      </c>
      <c r="H4691" s="9">
        <v>31718</v>
      </c>
      <c r="I4691" s="14">
        <f>DATE(2012,12,31)-765</f>
        <v>40509</v>
      </c>
      <c r="J4691" s="15" t="s">
        <v>25</v>
      </c>
      <c r="K4691" s="9">
        <v>24</v>
      </c>
      <c r="L4691" s="16" t="s">
        <v>27</v>
      </c>
      <c r="M4691" s="16">
        <f t="shared" si="441"/>
        <v>-0.1085436493809193</v>
      </c>
      <c r="N4691">
        <f t="shared" si="442"/>
        <v>0</v>
      </c>
      <c r="O4691">
        <f t="shared" si="443"/>
        <v>0</v>
      </c>
      <c r="P4691">
        <f t="shared" si="440"/>
        <v>4600</v>
      </c>
      <c r="Q4691">
        <f t="shared" si="444"/>
        <v>4600</v>
      </c>
      <c r="T4691" s="16">
        <f t="shared" si="445"/>
        <v>-0.10854364938091969</v>
      </c>
    </row>
    <row r="4692" spans="7:20" ht="14.4" x14ac:dyDescent="0.25">
      <c r="G4692" s="10">
        <v>4453</v>
      </c>
      <c r="H4692" s="9">
        <v>31718</v>
      </c>
      <c r="I4692" s="14">
        <f>DATE(2012,12,31)-765</f>
        <v>40509</v>
      </c>
      <c r="J4692" s="15" t="s">
        <v>25</v>
      </c>
      <c r="K4692" s="9">
        <v>20</v>
      </c>
      <c r="L4692" s="16" t="s">
        <v>27</v>
      </c>
      <c r="M4692" s="16">
        <f t="shared" si="441"/>
        <v>-0.38478275585780503</v>
      </c>
      <c r="N4692">
        <f t="shared" si="442"/>
        <v>0</v>
      </c>
      <c r="O4692">
        <f t="shared" si="443"/>
        <v>0</v>
      </c>
      <c r="P4692">
        <f t="shared" si="440"/>
        <v>4400</v>
      </c>
      <c r="Q4692">
        <f t="shared" si="444"/>
        <v>4400</v>
      </c>
      <c r="T4692" s="16">
        <f t="shared" si="445"/>
        <v>-0.38478275585780541</v>
      </c>
    </row>
    <row r="4693" spans="7:20" ht="14.4" x14ac:dyDescent="0.25">
      <c r="G4693" s="10">
        <v>4508</v>
      </c>
      <c r="H4693" s="9">
        <v>32070</v>
      </c>
      <c r="I4693" s="14">
        <f>DATE(2012,12,31)-1263</f>
        <v>40011</v>
      </c>
      <c r="J4693" s="15" t="s">
        <v>16</v>
      </c>
      <c r="K4693" s="9">
        <v>50</v>
      </c>
      <c r="L4693" s="16" t="s">
        <v>29</v>
      </c>
      <c r="M4693" s="16">
        <f t="shared" si="441"/>
        <v>1.687010542718838</v>
      </c>
      <c r="N4693">
        <f t="shared" si="442"/>
        <v>0</v>
      </c>
      <c r="O4693">
        <f t="shared" si="443"/>
        <v>0</v>
      </c>
      <c r="P4693">
        <f t="shared" si="440"/>
        <v>5900</v>
      </c>
      <c r="Q4693">
        <f t="shared" si="444"/>
        <v>5900</v>
      </c>
      <c r="T4693" s="16">
        <f t="shared" si="445"/>
        <v>1.6870105427188375</v>
      </c>
    </row>
    <row r="4694" spans="7:20" ht="14.4" x14ac:dyDescent="0.25">
      <c r="G4694" s="10">
        <v>4871</v>
      </c>
      <c r="H4694" s="9">
        <v>34661</v>
      </c>
      <c r="I4694" s="14">
        <f>DATE(2012,12,31)-1076</f>
        <v>40198</v>
      </c>
      <c r="J4694" s="15" t="s">
        <v>30</v>
      </c>
      <c r="K4694" s="9">
        <v>26</v>
      </c>
      <c r="L4694" s="16" t="s">
        <v>29</v>
      </c>
      <c r="M4694" s="16">
        <f t="shared" si="441"/>
        <v>2.9575903857523567E-2</v>
      </c>
      <c r="N4694">
        <f t="shared" si="442"/>
        <v>0</v>
      </c>
      <c r="O4694">
        <f t="shared" si="443"/>
        <v>0</v>
      </c>
      <c r="P4694">
        <f t="shared" si="440"/>
        <v>4700</v>
      </c>
      <c r="Q4694">
        <f t="shared" si="444"/>
        <v>4700</v>
      </c>
      <c r="T4694" s="16">
        <f t="shared" si="445"/>
        <v>2.9575903857523185E-2</v>
      </c>
    </row>
    <row r="4695" spans="7:20" ht="14.4" x14ac:dyDescent="0.25">
      <c r="G4695" s="10">
        <v>4886</v>
      </c>
      <c r="H4695" s="9">
        <v>34754</v>
      </c>
      <c r="I4695" s="14">
        <f>DATE(2012,12,31)-210</f>
        <v>41064</v>
      </c>
      <c r="J4695" s="15" t="s">
        <v>30</v>
      </c>
      <c r="K4695" s="9">
        <v>16</v>
      </c>
      <c r="L4695" s="16" t="s">
        <v>26</v>
      </c>
      <c r="M4695" s="16">
        <f t="shared" si="441"/>
        <v>-0.66102186233469074</v>
      </c>
      <c r="N4695">
        <f t="shared" si="442"/>
        <v>0</v>
      </c>
      <c r="O4695">
        <f t="shared" si="443"/>
        <v>0</v>
      </c>
      <c r="P4695">
        <f t="shared" si="440"/>
        <v>4200</v>
      </c>
      <c r="Q4695">
        <f t="shared" si="444"/>
        <v>4200</v>
      </c>
      <c r="T4695" s="16">
        <f t="shared" si="445"/>
        <v>-0.66102186233469118</v>
      </c>
    </row>
    <row r="4696" spans="7:20" ht="14.4" x14ac:dyDescent="0.25">
      <c r="G4696" s="10">
        <v>4975</v>
      </c>
      <c r="H4696" s="9">
        <v>35392</v>
      </c>
      <c r="I4696" s="14">
        <f>DATE(2012,12,31)-312</f>
        <v>40962</v>
      </c>
      <c r="J4696" s="15" t="s">
        <v>17</v>
      </c>
      <c r="K4696" s="9">
        <v>9</v>
      </c>
      <c r="L4696" s="16" t="s">
        <v>26</v>
      </c>
      <c r="M4696" s="16">
        <f t="shared" si="441"/>
        <v>-1.1444402986692408</v>
      </c>
      <c r="N4696">
        <f t="shared" si="442"/>
        <v>0</v>
      </c>
      <c r="O4696">
        <f t="shared" si="443"/>
        <v>0</v>
      </c>
      <c r="P4696">
        <f t="shared" si="440"/>
        <v>3850</v>
      </c>
      <c r="Q4696">
        <f t="shared" si="444"/>
        <v>3850</v>
      </c>
      <c r="T4696" s="16">
        <f t="shared" si="445"/>
        <v>-1.1444402986692412</v>
      </c>
    </row>
    <row r="4697" spans="7:20" ht="14.4" x14ac:dyDescent="0.25">
      <c r="G4697" s="10">
        <v>5066</v>
      </c>
      <c r="H4697" s="9">
        <v>36103</v>
      </c>
      <c r="I4697" s="14">
        <f>DATE(2012,12,31)-246</f>
        <v>41028</v>
      </c>
      <c r="J4697" s="15" t="s">
        <v>30</v>
      </c>
      <c r="K4697" s="9">
        <v>10</v>
      </c>
      <c r="L4697" s="16" t="s">
        <v>29</v>
      </c>
      <c r="M4697" s="16">
        <f t="shared" si="441"/>
        <v>-1.0753805220500194</v>
      </c>
      <c r="N4697">
        <f t="shared" si="442"/>
        <v>0</v>
      </c>
      <c r="O4697">
        <f t="shared" si="443"/>
        <v>0</v>
      </c>
      <c r="P4697">
        <f t="shared" si="440"/>
        <v>3900</v>
      </c>
      <c r="Q4697">
        <f t="shared" si="444"/>
        <v>3900</v>
      </c>
      <c r="T4697" s="16">
        <f t="shared" si="445"/>
        <v>-1.0753805220500199</v>
      </c>
    </row>
    <row r="4698" spans="7:20" ht="14.4" x14ac:dyDescent="0.25">
      <c r="G4698" s="10">
        <v>5067</v>
      </c>
      <c r="H4698" s="9">
        <v>36103</v>
      </c>
      <c r="I4698" s="14">
        <f>DATE(2012,12,31)-246</f>
        <v>41028</v>
      </c>
      <c r="J4698" s="15" t="s">
        <v>30</v>
      </c>
      <c r="K4698" s="9">
        <v>45</v>
      </c>
      <c r="L4698" s="16" t="s">
        <v>27</v>
      </c>
      <c r="M4698" s="16">
        <f t="shared" si="441"/>
        <v>1.3417116596227308</v>
      </c>
      <c r="N4698">
        <f t="shared" si="442"/>
        <v>0</v>
      </c>
      <c r="O4698">
        <f t="shared" si="443"/>
        <v>0</v>
      </c>
      <c r="P4698">
        <f t="shared" si="440"/>
        <v>5650</v>
      </c>
      <c r="Q4698">
        <f t="shared" si="444"/>
        <v>5650</v>
      </c>
      <c r="T4698" s="16">
        <f t="shared" si="445"/>
        <v>1.3417116596227305</v>
      </c>
    </row>
    <row r="4699" spans="7:20" ht="14.4" x14ac:dyDescent="0.25">
      <c r="G4699" s="10">
        <v>5221</v>
      </c>
      <c r="H4699" s="9">
        <v>37157</v>
      </c>
      <c r="I4699" s="14">
        <f>DATE(2012,12,31)-1045</f>
        <v>40229</v>
      </c>
      <c r="J4699" s="15" t="s">
        <v>17</v>
      </c>
      <c r="K4699" s="9">
        <v>39</v>
      </c>
      <c r="L4699" s="16" t="s">
        <v>26</v>
      </c>
      <c r="M4699" s="16">
        <f t="shared" si="441"/>
        <v>0.92735299990740228</v>
      </c>
      <c r="N4699">
        <f t="shared" si="442"/>
        <v>0</v>
      </c>
      <c r="O4699">
        <f t="shared" si="443"/>
        <v>0</v>
      </c>
      <c r="P4699">
        <f t="shared" si="440"/>
        <v>5350</v>
      </c>
      <c r="Q4699">
        <f t="shared" si="444"/>
        <v>5350</v>
      </c>
      <c r="T4699" s="16">
        <f t="shared" si="445"/>
        <v>0.92735299990740183</v>
      </c>
    </row>
    <row r="4700" spans="7:20" ht="14.4" x14ac:dyDescent="0.25">
      <c r="G4700" s="10">
        <v>5368</v>
      </c>
      <c r="H4700" s="9">
        <v>38176</v>
      </c>
      <c r="I4700" s="14">
        <f>DATE(2012,12,31)-869</f>
        <v>40405</v>
      </c>
      <c r="J4700" s="15" t="s">
        <v>17</v>
      </c>
      <c r="K4700" s="9">
        <v>39</v>
      </c>
      <c r="L4700" s="16" t="s">
        <v>26</v>
      </c>
      <c r="M4700" s="16">
        <f t="shared" si="441"/>
        <v>0.92735299990740228</v>
      </c>
      <c r="N4700">
        <f t="shared" si="442"/>
        <v>0</v>
      </c>
      <c r="O4700">
        <f t="shared" si="443"/>
        <v>0</v>
      </c>
      <c r="P4700">
        <f t="shared" si="440"/>
        <v>5350</v>
      </c>
      <c r="Q4700">
        <f t="shared" si="444"/>
        <v>5350</v>
      </c>
      <c r="T4700" s="16">
        <f t="shared" si="445"/>
        <v>0.92735299990740183</v>
      </c>
    </row>
    <row r="4701" spans="7:20" ht="14.4" x14ac:dyDescent="0.25">
      <c r="G4701" s="10">
        <v>5369</v>
      </c>
      <c r="H4701" s="9">
        <v>38176</v>
      </c>
      <c r="I4701" s="14">
        <f>DATE(2012,12,31)-869</f>
        <v>40405</v>
      </c>
      <c r="J4701" s="15" t="s">
        <v>17</v>
      </c>
      <c r="K4701" s="9">
        <v>48</v>
      </c>
      <c r="L4701" s="16" t="s">
        <v>26</v>
      </c>
      <c r="M4701" s="16">
        <f t="shared" si="441"/>
        <v>1.5488909894803951</v>
      </c>
      <c r="N4701">
        <f t="shared" si="442"/>
        <v>0</v>
      </c>
      <c r="O4701">
        <f t="shared" si="443"/>
        <v>0</v>
      </c>
      <c r="P4701">
        <f t="shared" si="440"/>
        <v>5800</v>
      </c>
      <c r="Q4701">
        <f t="shared" si="444"/>
        <v>5800</v>
      </c>
      <c r="T4701" s="16">
        <f t="shared" si="445"/>
        <v>1.5488909894803948</v>
      </c>
    </row>
    <row r="4702" spans="7:20" ht="14.4" x14ac:dyDescent="0.25">
      <c r="G4702" s="10">
        <v>5424</v>
      </c>
      <c r="H4702" s="9">
        <v>38531</v>
      </c>
      <c r="I4702" s="14">
        <f>DATE(2012,12,31)-392</f>
        <v>40882</v>
      </c>
      <c r="J4702" s="15" t="s">
        <v>25</v>
      </c>
      <c r="K4702" s="9">
        <v>26</v>
      </c>
      <c r="L4702" s="16" t="s">
        <v>26</v>
      </c>
      <c r="M4702" s="16">
        <f t="shared" si="441"/>
        <v>2.9575903857523567E-2</v>
      </c>
      <c r="N4702">
        <f t="shared" si="442"/>
        <v>0</v>
      </c>
      <c r="O4702">
        <f t="shared" si="443"/>
        <v>0</v>
      </c>
      <c r="P4702">
        <f t="shared" si="440"/>
        <v>4700</v>
      </c>
      <c r="Q4702">
        <f t="shared" si="444"/>
        <v>4700</v>
      </c>
      <c r="T4702" s="16">
        <f t="shared" si="445"/>
        <v>2.9575903857523185E-2</v>
      </c>
    </row>
    <row r="4703" spans="7:20" ht="14.4" x14ac:dyDescent="0.25">
      <c r="G4703" s="10">
        <v>5704</v>
      </c>
      <c r="H4703" s="9">
        <v>40354</v>
      </c>
      <c r="I4703" s="14">
        <f>DATE(2012,12,31)-1458</f>
        <v>39816</v>
      </c>
      <c r="J4703" s="15" t="s">
        <v>17</v>
      </c>
      <c r="K4703" s="9">
        <v>29</v>
      </c>
      <c r="L4703" s="16" t="s">
        <v>26</v>
      </c>
      <c r="M4703" s="16">
        <f t="shared" si="441"/>
        <v>0.23675523371518786</v>
      </c>
      <c r="N4703">
        <f t="shared" si="442"/>
        <v>0</v>
      </c>
      <c r="O4703">
        <f t="shared" si="443"/>
        <v>0</v>
      </c>
      <c r="P4703">
        <f t="shared" si="440"/>
        <v>4850</v>
      </c>
      <c r="Q4703">
        <f t="shared" si="444"/>
        <v>4850</v>
      </c>
      <c r="T4703" s="16">
        <f t="shared" si="445"/>
        <v>0.2367552337151875</v>
      </c>
    </row>
    <row r="4704" spans="7:20" ht="14.4" x14ac:dyDescent="0.25">
      <c r="G4704" s="10">
        <v>5705</v>
      </c>
      <c r="H4704" s="9">
        <v>40354</v>
      </c>
      <c r="I4704" s="14">
        <f>DATE(2012,12,31)-1458</f>
        <v>39816</v>
      </c>
      <c r="J4704" s="15" t="s">
        <v>17</v>
      </c>
      <c r="K4704" s="9">
        <v>4</v>
      </c>
      <c r="L4704" s="16" t="s">
        <v>29</v>
      </c>
      <c r="M4704" s="16">
        <f t="shared" si="441"/>
        <v>-1.489739181765348</v>
      </c>
      <c r="N4704">
        <f t="shared" si="442"/>
        <v>0</v>
      </c>
      <c r="O4704">
        <f t="shared" si="443"/>
        <v>0</v>
      </c>
      <c r="P4704">
        <f t="shared" si="440"/>
        <v>3600</v>
      </c>
      <c r="Q4704">
        <f t="shared" si="444"/>
        <v>3600</v>
      </c>
      <c r="T4704" s="16">
        <f t="shared" si="445"/>
        <v>-1.4897391817653485</v>
      </c>
    </row>
    <row r="4705" spans="7:20" ht="14.4" x14ac:dyDescent="0.25">
      <c r="G4705" s="10">
        <v>5748</v>
      </c>
      <c r="H4705" s="9">
        <v>40832</v>
      </c>
      <c r="I4705" s="14">
        <f>DATE(2012,12,31)-1008</f>
        <v>40266</v>
      </c>
      <c r="J4705" s="15" t="s">
        <v>17</v>
      </c>
      <c r="K4705" s="9">
        <v>22</v>
      </c>
      <c r="L4705" s="16" t="s">
        <v>29</v>
      </c>
      <c r="M4705" s="16">
        <f t="shared" si="441"/>
        <v>-0.24666320261936217</v>
      </c>
      <c r="N4705">
        <f t="shared" si="442"/>
        <v>0</v>
      </c>
      <c r="O4705">
        <f t="shared" si="443"/>
        <v>0</v>
      </c>
      <c r="P4705">
        <f t="shared" si="440"/>
        <v>4500</v>
      </c>
      <c r="Q4705">
        <f t="shared" si="444"/>
        <v>4500</v>
      </c>
      <c r="T4705" s="16">
        <f t="shared" si="445"/>
        <v>-0.24666320261936256</v>
      </c>
    </row>
    <row r="4706" spans="7:20" ht="14.4" x14ac:dyDescent="0.25">
      <c r="G4706" s="10">
        <v>5865</v>
      </c>
      <c r="H4706" s="9">
        <v>41632</v>
      </c>
      <c r="I4706" s="14">
        <f>DATE(2012,12,31)-761</f>
        <v>40513</v>
      </c>
      <c r="J4706" s="15" t="s">
        <v>25</v>
      </c>
      <c r="K4706" s="9">
        <v>34</v>
      </c>
      <c r="L4706" s="16" t="s">
        <v>27</v>
      </c>
      <c r="M4706" s="16">
        <f t="shared" si="441"/>
        <v>0.58205411681129504</v>
      </c>
      <c r="N4706">
        <f t="shared" si="442"/>
        <v>0</v>
      </c>
      <c r="O4706">
        <f t="shared" si="443"/>
        <v>0</v>
      </c>
      <c r="P4706">
        <f t="shared" si="440"/>
        <v>5100</v>
      </c>
      <c r="Q4706">
        <f t="shared" si="444"/>
        <v>5100</v>
      </c>
      <c r="T4706" s="16">
        <f t="shared" si="445"/>
        <v>0.58205411681129471</v>
      </c>
    </row>
    <row r="4707" spans="7:20" ht="14.4" x14ac:dyDescent="0.25">
      <c r="G4707" s="10">
        <v>5897</v>
      </c>
      <c r="H4707" s="9">
        <v>41825</v>
      </c>
      <c r="I4707" s="14">
        <f>DATE(2012,12,31)-1227</f>
        <v>40047</v>
      </c>
      <c r="J4707" s="15" t="s">
        <v>30</v>
      </c>
      <c r="K4707" s="9">
        <v>43</v>
      </c>
      <c r="L4707" s="16" t="s">
        <v>27</v>
      </c>
      <c r="M4707" s="16">
        <f t="shared" si="441"/>
        <v>1.203592106384288</v>
      </c>
      <c r="N4707">
        <f t="shared" si="442"/>
        <v>0</v>
      </c>
      <c r="O4707">
        <f t="shared" si="443"/>
        <v>0</v>
      </c>
      <c r="P4707">
        <f t="shared" si="440"/>
        <v>5550</v>
      </c>
      <c r="Q4707">
        <f t="shared" si="444"/>
        <v>5550</v>
      </c>
      <c r="T4707" s="16">
        <f t="shared" si="445"/>
        <v>1.2035921063842876</v>
      </c>
    </row>
    <row r="4708" spans="7:20" ht="14.4" x14ac:dyDescent="0.25">
      <c r="G4708" s="10">
        <v>5976</v>
      </c>
      <c r="H4708" s="9">
        <v>42373</v>
      </c>
      <c r="I4708" s="14">
        <f>DATE(2012,12,31)-502</f>
        <v>40772</v>
      </c>
      <c r="J4708" s="15" t="s">
        <v>28</v>
      </c>
      <c r="K4708" s="9">
        <v>11</v>
      </c>
      <c r="L4708" s="16" t="s">
        <v>26</v>
      </c>
      <c r="M4708" s="16">
        <f t="shared" si="441"/>
        <v>-1.0063207454307979</v>
      </c>
      <c r="N4708">
        <f t="shared" si="442"/>
        <v>0</v>
      </c>
      <c r="O4708">
        <f t="shared" si="443"/>
        <v>0</v>
      </c>
      <c r="P4708">
        <f t="shared" si="440"/>
        <v>3950</v>
      </c>
      <c r="Q4708">
        <f t="shared" si="444"/>
        <v>3950</v>
      </c>
      <c r="T4708" s="16">
        <f t="shared" si="445"/>
        <v>-1.0063207454307983</v>
      </c>
    </row>
    <row r="4709" spans="7:20" ht="14.4" x14ac:dyDescent="0.25">
      <c r="G4709" s="10">
        <v>6277</v>
      </c>
      <c r="H4709" s="9">
        <v>44423</v>
      </c>
      <c r="I4709" s="14">
        <f>DATE(2012,12,31)-155</f>
        <v>41119</v>
      </c>
      <c r="J4709" s="15" t="s">
        <v>30</v>
      </c>
      <c r="K4709" s="9">
        <v>39</v>
      </c>
      <c r="L4709" s="16" t="s">
        <v>29</v>
      </c>
      <c r="M4709" s="16">
        <f t="shared" si="441"/>
        <v>0.92735299990740228</v>
      </c>
      <c r="N4709">
        <f t="shared" si="442"/>
        <v>0</v>
      </c>
      <c r="O4709">
        <f t="shared" si="443"/>
        <v>0</v>
      </c>
      <c r="P4709">
        <f t="shared" si="440"/>
        <v>5350</v>
      </c>
      <c r="Q4709">
        <f t="shared" si="444"/>
        <v>5350</v>
      </c>
      <c r="T4709" s="16">
        <f t="shared" si="445"/>
        <v>0.92735299990740183</v>
      </c>
    </row>
    <row r="4710" spans="7:20" ht="14.4" x14ac:dyDescent="0.25">
      <c r="G4710" s="10">
        <v>6447</v>
      </c>
      <c r="H4710" s="9">
        <v>45863</v>
      </c>
      <c r="I4710" s="14">
        <f>DATE(2012,12,31)-834</f>
        <v>40440</v>
      </c>
      <c r="J4710" s="15" t="s">
        <v>25</v>
      </c>
      <c r="K4710" s="9">
        <v>5</v>
      </c>
      <c r="L4710" s="16" t="s">
        <v>27</v>
      </c>
      <c r="M4710" s="16">
        <f t="shared" si="441"/>
        <v>-1.4206794051461267</v>
      </c>
      <c r="N4710">
        <f t="shared" si="442"/>
        <v>0</v>
      </c>
      <c r="O4710">
        <f t="shared" si="443"/>
        <v>0</v>
      </c>
      <c r="P4710">
        <f t="shared" si="440"/>
        <v>3650</v>
      </c>
      <c r="Q4710">
        <f t="shared" si="444"/>
        <v>3650</v>
      </c>
      <c r="T4710" s="16">
        <f t="shared" si="445"/>
        <v>-1.4206794051461269</v>
      </c>
    </row>
    <row r="4711" spans="7:20" ht="14.4" x14ac:dyDescent="0.25">
      <c r="G4711" s="10">
        <v>6615</v>
      </c>
      <c r="H4711" s="9">
        <v>47078</v>
      </c>
      <c r="I4711" s="14">
        <f>DATE(2012,12,31)-987</f>
        <v>40287</v>
      </c>
      <c r="J4711" s="15" t="s">
        <v>16</v>
      </c>
      <c r="K4711" s="9">
        <v>18</v>
      </c>
      <c r="L4711" s="16" t="s">
        <v>26</v>
      </c>
      <c r="M4711" s="16">
        <f t="shared" si="441"/>
        <v>-0.52290230909624791</v>
      </c>
      <c r="N4711">
        <f t="shared" si="442"/>
        <v>0</v>
      </c>
      <c r="O4711">
        <f t="shared" si="443"/>
        <v>0</v>
      </c>
      <c r="P4711">
        <f t="shared" si="440"/>
        <v>4300</v>
      </c>
      <c r="Q4711">
        <f t="shared" si="444"/>
        <v>4300</v>
      </c>
      <c r="T4711" s="16">
        <f t="shared" si="445"/>
        <v>-0.52290230909624835</v>
      </c>
    </row>
    <row r="4712" spans="7:20" ht="14.4" x14ac:dyDescent="0.25">
      <c r="G4712" s="10">
        <v>6616</v>
      </c>
      <c r="H4712" s="9">
        <v>47078</v>
      </c>
      <c r="I4712" s="14">
        <f>DATE(2012,12,31)-987</f>
        <v>40287</v>
      </c>
      <c r="J4712" s="15" t="s">
        <v>16</v>
      </c>
      <c r="K4712" s="9">
        <v>43</v>
      </c>
      <c r="L4712" s="16" t="s">
        <v>26</v>
      </c>
      <c r="M4712" s="16">
        <f t="shared" si="441"/>
        <v>1.203592106384288</v>
      </c>
      <c r="N4712">
        <f t="shared" si="442"/>
        <v>0</v>
      </c>
      <c r="O4712">
        <f t="shared" si="443"/>
        <v>0</v>
      </c>
      <c r="P4712">
        <f t="shared" si="440"/>
        <v>5550</v>
      </c>
      <c r="Q4712">
        <f t="shared" si="444"/>
        <v>5550</v>
      </c>
      <c r="T4712" s="16">
        <f t="shared" si="445"/>
        <v>1.2035921063842876</v>
      </c>
    </row>
    <row r="4713" spans="7:20" ht="14.4" x14ac:dyDescent="0.25">
      <c r="G4713" s="10">
        <v>6617</v>
      </c>
      <c r="H4713" s="9">
        <v>47078</v>
      </c>
      <c r="I4713" s="14">
        <f>DATE(2012,12,31)-987</f>
        <v>40287</v>
      </c>
      <c r="J4713" s="15" t="s">
        <v>16</v>
      </c>
      <c r="K4713" s="9">
        <v>20</v>
      </c>
      <c r="L4713" s="16" t="s">
        <v>26</v>
      </c>
      <c r="M4713" s="16">
        <f t="shared" si="441"/>
        <v>-0.38478275585780503</v>
      </c>
      <c r="N4713">
        <f t="shared" si="442"/>
        <v>0</v>
      </c>
      <c r="O4713">
        <f t="shared" si="443"/>
        <v>0</v>
      </c>
      <c r="P4713">
        <f t="shared" si="440"/>
        <v>4400</v>
      </c>
      <c r="Q4713">
        <f t="shared" si="444"/>
        <v>4400</v>
      </c>
      <c r="T4713" s="16">
        <f t="shared" si="445"/>
        <v>-0.38478275585780541</v>
      </c>
    </row>
    <row r="4714" spans="7:20" ht="14.4" x14ac:dyDescent="0.25">
      <c r="G4714" s="10">
        <v>6703</v>
      </c>
      <c r="H4714" s="9">
        <v>47747</v>
      </c>
      <c r="I4714" s="14">
        <f>DATE(2012,12,31)-406</f>
        <v>40868</v>
      </c>
      <c r="J4714" s="15" t="s">
        <v>17</v>
      </c>
      <c r="K4714" s="9">
        <v>40</v>
      </c>
      <c r="L4714" s="16" t="s">
        <v>29</v>
      </c>
      <c r="M4714" s="16">
        <f t="shared" si="441"/>
        <v>0.99641277652662363</v>
      </c>
      <c r="N4714">
        <f t="shared" si="442"/>
        <v>0</v>
      </c>
      <c r="O4714">
        <f t="shared" si="443"/>
        <v>0</v>
      </c>
      <c r="P4714">
        <f t="shared" si="440"/>
        <v>5400</v>
      </c>
      <c r="Q4714">
        <f t="shared" si="444"/>
        <v>5400</v>
      </c>
      <c r="T4714" s="16">
        <f t="shared" si="445"/>
        <v>0.9964127765266233</v>
      </c>
    </row>
    <row r="4715" spans="7:20" ht="14.4" x14ac:dyDescent="0.25">
      <c r="G4715" s="10">
        <v>6710</v>
      </c>
      <c r="H4715" s="9">
        <v>47810</v>
      </c>
      <c r="I4715" s="14">
        <f>DATE(2012,12,31)-505</f>
        <v>40769</v>
      </c>
      <c r="J4715" s="15" t="s">
        <v>30</v>
      </c>
      <c r="K4715" s="9">
        <v>3</v>
      </c>
      <c r="L4715" s="16" t="s">
        <v>26</v>
      </c>
      <c r="M4715" s="16">
        <f t="shared" si="441"/>
        <v>-1.5587989583845694</v>
      </c>
      <c r="N4715">
        <f t="shared" si="442"/>
        <v>0</v>
      </c>
      <c r="O4715">
        <f t="shared" si="443"/>
        <v>0</v>
      </c>
      <c r="P4715">
        <f t="shared" si="440"/>
        <v>3550</v>
      </c>
      <c r="Q4715">
        <f t="shared" si="444"/>
        <v>3550</v>
      </c>
      <c r="T4715" s="16">
        <f t="shared" si="445"/>
        <v>-1.5587989583845698</v>
      </c>
    </row>
    <row r="4716" spans="7:20" ht="14.4" x14ac:dyDescent="0.25">
      <c r="G4716" s="10">
        <v>6861</v>
      </c>
      <c r="H4716" s="9">
        <v>48896</v>
      </c>
      <c r="I4716" s="14">
        <f>DATE(2012,12,31)-1160</f>
        <v>40114</v>
      </c>
      <c r="J4716" s="15" t="s">
        <v>30</v>
      </c>
      <c r="K4716" s="9">
        <v>43</v>
      </c>
      <c r="L4716" s="16" t="s">
        <v>26</v>
      </c>
      <c r="M4716" s="16">
        <f t="shared" si="441"/>
        <v>1.203592106384288</v>
      </c>
      <c r="N4716">
        <f t="shared" si="442"/>
        <v>0</v>
      </c>
      <c r="O4716">
        <f t="shared" si="443"/>
        <v>0</v>
      </c>
      <c r="P4716">
        <f t="shared" si="440"/>
        <v>5550</v>
      </c>
      <c r="Q4716">
        <f t="shared" si="444"/>
        <v>5550</v>
      </c>
      <c r="T4716" s="16">
        <f t="shared" si="445"/>
        <v>1.2035921063842876</v>
      </c>
    </row>
    <row r="4717" spans="7:20" ht="14.4" x14ac:dyDescent="0.25">
      <c r="G4717" s="10">
        <v>6974</v>
      </c>
      <c r="H4717" s="9">
        <v>49830</v>
      </c>
      <c r="I4717" s="14">
        <f>DATE(2012,12,31)-1271</f>
        <v>40003</v>
      </c>
      <c r="J4717" s="15" t="s">
        <v>30</v>
      </c>
      <c r="K4717" s="9">
        <v>16</v>
      </c>
      <c r="L4717" s="16" t="s">
        <v>26</v>
      </c>
      <c r="M4717" s="16">
        <f t="shared" si="441"/>
        <v>-0.66102186233469074</v>
      </c>
      <c r="N4717">
        <f t="shared" si="442"/>
        <v>0</v>
      </c>
      <c r="O4717">
        <f t="shared" si="443"/>
        <v>0</v>
      </c>
      <c r="P4717">
        <f t="shared" si="440"/>
        <v>4200</v>
      </c>
      <c r="Q4717">
        <f t="shared" si="444"/>
        <v>4200</v>
      </c>
      <c r="T4717" s="16">
        <f t="shared" si="445"/>
        <v>-0.66102186233469118</v>
      </c>
    </row>
    <row r="4718" spans="7:20" ht="14.4" x14ac:dyDescent="0.25">
      <c r="G4718" s="10">
        <v>7353</v>
      </c>
      <c r="H4718" s="9">
        <v>52389</v>
      </c>
      <c r="I4718" s="14">
        <f>DATE(2012,12,31)-437</f>
        <v>40837</v>
      </c>
      <c r="J4718" s="15" t="s">
        <v>30</v>
      </c>
      <c r="K4718" s="9">
        <v>31</v>
      </c>
      <c r="L4718" s="16" t="s">
        <v>26</v>
      </c>
      <c r="M4718" s="16">
        <f t="shared" si="441"/>
        <v>0.37487478695363075</v>
      </c>
      <c r="N4718">
        <f t="shared" si="442"/>
        <v>0</v>
      </c>
      <c r="O4718">
        <f t="shared" si="443"/>
        <v>0</v>
      </c>
      <c r="P4718">
        <f t="shared" si="440"/>
        <v>4950</v>
      </c>
      <c r="Q4718">
        <f t="shared" si="444"/>
        <v>4950</v>
      </c>
      <c r="T4718" s="16">
        <f t="shared" si="445"/>
        <v>0.37487478695363036</v>
      </c>
    </row>
    <row r="4719" spans="7:20" ht="14.4" x14ac:dyDescent="0.25">
      <c r="G4719" s="10">
        <v>7373</v>
      </c>
      <c r="H4719" s="9">
        <v>52576</v>
      </c>
      <c r="I4719" s="14">
        <f>DATE(2012,12,31)-1374</f>
        <v>39900</v>
      </c>
      <c r="J4719" s="15" t="s">
        <v>25</v>
      </c>
      <c r="K4719" s="9">
        <v>10</v>
      </c>
      <c r="L4719" s="16" t="s">
        <v>27</v>
      </c>
      <c r="M4719" s="16">
        <f t="shared" si="441"/>
        <v>-1.0753805220500194</v>
      </c>
      <c r="N4719">
        <f t="shared" si="442"/>
        <v>0</v>
      </c>
      <c r="O4719">
        <f t="shared" si="443"/>
        <v>0</v>
      </c>
      <c r="P4719">
        <f t="shared" si="440"/>
        <v>3900</v>
      </c>
      <c r="Q4719">
        <f t="shared" si="444"/>
        <v>3900</v>
      </c>
      <c r="T4719" s="16">
        <f t="shared" si="445"/>
        <v>-1.0753805220500199</v>
      </c>
    </row>
    <row r="4720" spans="7:20" ht="14.4" x14ac:dyDescent="0.25">
      <c r="G4720" s="10">
        <v>7510</v>
      </c>
      <c r="H4720" s="9">
        <v>53605</v>
      </c>
      <c r="I4720" s="14">
        <f>DATE(2012,12,31)-881</f>
        <v>40393</v>
      </c>
      <c r="J4720" s="15" t="s">
        <v>16</v>
      </c>
      <c r="K4720" s="9">
        <v>19</v>
      </c>
      <c r="L4720" s="16" t="s">
        <v>26</v>
      </c>
      <c r="M4720" s="16">
        <f t="shared" si="441"/>
        <v>-0.45384253247702649</v>
      </c>
      <c r="N4720">
        <f t="shared" si="442"/>
        <v>0</v>
      </c>
      <c r="O4720">
        <f t="shared" si="443"/>
        <v>0</v>
      </c>
      <c r="P4720">
        <f t="shared" si="440"/>
        <v>4350</v>
      </c>
      <c r="Q4720">
        <f t="shared" si="444"/>
        <v>4350</v>
      </c>
      <c r="T4720" s="16">
        <f t="shared" si="445"/>
        <v>-0.45384253247702688</v>
      </c>
    </row>
    <row r="4721" spans="7:20" ht="14.4" x14ac:dyDescent="0.25">
      <c r="G4721" s="10">
        <v>7511</v>
      </c>
      <c r="H4721" s="9">
        <v>53605</v>
      </c>
      <c r="I4721" s="14">
        <f>DATE(2012,12,31)-881</f>
        <v>40393</v>
      </c>
      <c r="J4721" s="15" t="s">
        <v>16</v>
      </c>
      <c r="K4721" s="9">
        <v>48</v>
      </c>
      <c r="L4721" s="16" t="s">
        <v>29</v>
      </c>
      <c r="M4721" s="16">
        <f t="shared" si="441"/>
        <v>1.5488909894803951</v>
      </c>
      <c r="N4721">
        <f t="shared" si="442"/>
        <v>0</v>
      </c>
      <c r="O4721">
        <f t="shared" si="443"/>
        <v>0</v>
      </c>
      <c r="P4721">
        <f t="shared" si="440"/>
        <v>5800</v>
      </c>
      <c r="Q4721">
        <f t="shared" si="444"/>
        <v>5800</v>
      </c>
      <c r="T4721" s="16">
        <f t="shared" si="445"/>
        <v>1.5488909894803948</v>
      </c>
    </row>
    <row r="4722" spans="7:20" ht="14.4" x14ac:dyDescent="0.25">
      <c r="G4722" s="10">
        <v>7512</v>
      </c>
      <c r="H4722" s="9">
        <v>53605</v>
      </c>
      <c r="I4722" s="14">
        <f>DATE(2012,12,31)-881</f>
        <v>40393</v>
      </c>
      <c r="J4722" s="15" t="s">
        <v>16</v>
      </c>
      <c r="K4722" s="9">
        <v>1</v>
      </c>
      <c r="L4722" s="16" t="s">
        <v>29</v>
      </c>
      <c r="M4722" s="16">
        <f t="shared" si="441"/>
        <v>-1.6969185116230123</v>
      </c>
      <c r="N4722">
        <f t="shared" si="442"/>
        <v>0</v>
      </c>
      <c r="O4722">
        <f t="shared" si="443"/>
        <v>0</v>
      </c>
      <c r="P4722">
        <f t="shared" si="440"/>
        <v>3450</v>
      </c>
      <c r="Q4722">
        <f t="shared" si="444"/>
        <v>3450</v>
      </c>
      <c r="T4722" s="16">
        <f t="shared" si="445"/>
        <v>-1.6969185116230128</v>
      </c>
    </row>
    <row r="4723" spans="7:20" ht="14.4" x14ac:dyDescent="0.25">
      <c r="G4723" s="10">
        <v>7536</v>
      </c>
      <c r="H4723" s="9">
        <v>53891</v>
      </c>
      <c r="I4723" s="14">
        <f>DATE(2012,12,31)-1439</f>
        <v>39835</v>
      </c>
      <c r="J4723" s="15" t="s">
        <v>17</v>
      </c>
      <c r="K4723" s="9">
        <v>27</v>
      </c>
      <c r="L4723" s="16" t="s">
        <v>27</v>
      </c>
      <c r="M4723" s="16">
        <f t="shared" si="441"/>
        <v>9.8635680476745008E-2</v>
      </c>
      <c r="N4723">
        <f t="shared" si="442"/>
        <v>0</v>
      </c>
      <c r="O4723">
        <f t="shared" si="443"/>
        <v>0</v>
      </c>
      <c r="P4723">
        <f t="shared" si="440"/>
        <v>4750</v>
      </c>
      <c r="Q4723">
        <f t="shared" si="444"/>
        <v>4750</v>
      </c>
      <c r="T4723" s="16">
        <f t="shared" si="445"/>
        <v>9.8635680476744619E-2</v>
      </c>
    </row>
    <row r="4724" spans="7:20" ht="14.4" x14ac:dyDescent="0.25">
      <c r="G4724" s="10">
        <v>7537</v>
      </c>
      <c r="H4724" s="9">
        <v>53891</v>
      </c>
      <c r="I4724" s="14">
        <f>DATE(2012,12,31)-1439</f>
        <v>39835</v>
      </c>
      <c r="J4724" s="15" t="s">
        <v>17</v>
      </c>
      <c r="K4724" s="9">
        <v>44</v>
      </c>
      <c r="L4724" s="16" t="s">
        <v>29</v>
      </c>
      <c r="M4724" s="16">
        <f t="shared" si="441"/>
        <v>1.2726518830035094</v>
      </c>
      <c r="N4724">
        <f t="shared" si="442"/>
        <v>0</v>
      </c>
      <c r="O4724">
        <f t="shared" si="443"/>
        <v>0</v>
      </c>
      <c r="P4724">
        <f t="shared" si="440"/>
        <v>5600</v>
      </c>
      <c r="Q4724">
        <f t="shared" si="444"/>
        <v>5600</v>
      </c>
      <c r="T4724" s="16">
        <f t="shared" si="445"/>
        <v>1.272651883003509</v>
      </c>
    </row>
    <row r="4725" spans="7:20" ht="14.4" x14ac:dyDescent="0.25">
      <c r="G4725" s="10">
        <v>7538</v>
      </c>
      <c r="H4725" s="9">
        <v>53891</v>
      </c>
      <c r="I4725" s="14">
        <f>DATE(2012,12,31)-1439</f>
        <v>39835</v>
      </c>
      <c r="J4725" s="15" t="s">
        <v>17</v>
      </c>
      <c r="K4725" s="9">
        <v>25</v>
      </c>
      <c r="L4725" s="16" t="s">
        <v>27</v>
      </c>
      <c r="M4725" s="16">
        <f t="shared" si="441"/>
        <v>-3.9483872761697868E-2</v>
      </c>
      <c r="N4725">
        <f t="shared" si="442"/>
        <v>0</v>
      </c>
      <c r="O4725">
        <f t="shared" si="443"/>
        <v>0</v>
      </c>
      <c r="P4725">
        <f t="shared" si="440"/>
        <v>4650</v>
      </c>
      <c r="Q4725">
        <f t="shared" si="444"/>
        <v>4650</v>
      </c>
      <c r="T4725" s="16">
        <f t="shared" si="445"/>
        <v>-3.9483872761698249E-2</v>
      </c>
    </row>
    <row r="4726" spans="7:20" ht="14.4" x14ac:dyDescent="0.25">
      <c r="G4726" s="10">
        <v>7748</v>
      </c>
      <c r="H4726" s="9">
        <v>55460</v>
      </c>
      <c r="I4726" s="14">
        <f>DATE(2012,12,31)-219</f>
        <v>41055</v>
      </c>
      <c r="J4726" s="15" t="s">
        <v>17</v>
      </c>
      <c r="K4726" s="9">
        <v>49</v>
      </c>
      <c r="L4726" s="16" t="s">
        <v>26</v>
      </c>
      <c r="M4726" s="16">
        <f t="shared" si="441"/>
        <v>1.6179507660996166</v>
      </c>
      <c r="N4726">
        <f t="shared" si="442"/>
        <v>0</v>
      </c>
      <c r="O4726">
        <f t="shared" si="443"/>
        <v>0</v>
      </c>
      <c r="P4726">
        <f t="shared" si="440"/>
        <v>5850</v>
      </c>
      <c r="Q4726">
        <f t="shared" si="444"/>
        <v>5850</v>
      </c>
      <c r="T4726" s="16">
        <f t="shared" si="445"/>
        <v>1.6179507660996162</v>
      </c>
    </row>
    <row r="4727" spans="7:20" ht="14.4" x14ac:dyDescent="0.25">
      <c r="G4727" s="10">
        <v>7749</v>
      </c>
      <c r="H4727" s="9">
        <v>55460</v>
      </c>
      <c r="I4727" s="14">
        <f>DATE(2012,12,31)-219</f>
        <v>41055</v>
      </c>
      <c r="J4727" s="15" t="s">
        <v>17</v>
      </c>
      <c r="K4727" s="9">
        <v>12</v>
      </c>
      <c r="L4727" s="16" t="s">
        <v>26</v>
      </c>
      <c r="M4727" s="16">
        <f t="shared" si="441"/>
        <v>-0.9372609688115765</v>
      </c>
      <c r="N4727">
        <f t="shared" si="442"/>
        <v>0</v>
      </c>
      <c r="O4727">
        <f t="shared" si="443"/>
        <v>0</v>
      </c>
      <c r="P4727">
        <f t="shared" si="440"/>
        <v>4000</v>
      </c>
      <c r="Q4727">
        <f t="shared" si="444"/>
        <v>4000</v>
      </c>
      <c r="T4727" s="16">
        <f t="shared" si="445"/>
        <v>-0.93726096881157694</v>
      </c>
    </row>
    <row r="4728" spans="7:20" ht="14.4" x14ac:dyDescent="0.25">
      <c r="G4728" s="10">
        <v>7815</v>
      </c>
      <c r="H4728" s="9">
        <v>55877</v>
      </c>
      <c r="I4728" s="14">
        <f>DATE(2012,12,31)-1063</f>
        <v>40211</v>
      </c>
      <c r="J4728" s="15" t="s">
        <v>28</v>
      </c>
      <c r="K4728" s="9">
        <v>40</v>
      </c>
      <c r="L4728" s="16" t="s">
        <v>26</v>
      </c>
      <c r="M4728" s="16">
        <f t="shared" si="441"/>
        <v>0.99641277652662363</v>
      </c>
      <c r="N4728">
        <f t="shared" si="442"/>
        <v>0</v>
      </c>
      <c r="O4728">
        <f t="shared" si="443"/>
        <v>0</v>
      </c>
      <c r="P4728">
        <f t="shared" si="440"/>
        <v>5400</v>
      </c>
      <c r="Q4728">
        <f t="shared" si="444"/>
        <v>5400</v>
      </c>
      <c r="T4728" s="16">
        <f t="shared" si="445"/>
        <v>0.9964127765266233</v>
      </c>
    </row>
    <row r="4729" spans="7:20" ht="14.4" x14ac:dyDescent="0.25">
      <c r="G4729" s="10">
        <v>7816</v>
      </c>
      <c r="H4729" s="9">
        <v>55877</v>
      </c>
      <c r="I4729" s="14">
        <f>DATE(2012,12,31)-1063</f>
        <v>40211</v>
      </c>
      <c r="J4729" s="15" t="s">
        <v>28</v>
      </c>
      <c r="K4729" s="9">
        <v>19</v>
      </c>
      <c r="L4729" s="16" t="s">
        <v>26</v>
      </c>
      <c r="M4729" s="16">
        <f t="shared" si="441"/>
        <v>-0.45384253247702649</v>
      </c>
      <c r="N4729">
        <f t="shared" si="442"/>
        <v>0</v>
      </c>
      <c r="O4729">
        <f t="shared" si="443"/>
        <v>0</v>
      </c>
      <c r="P4729">
        <f t="shared" si="440"/>
        <v>4350</v>
      </c>
      <c r="Q4729">
        <f t="shared" si="444"/>
        <v>4350</v>
      </c>
      <c r="T4729" s="16">
        <f t="shared" si="445"/>
        <v>-0.45384253247702688</v>
      </c>
    </row>
    <row r="4730" spans="7:20" ht="14.4" x14ac:dyDescent="0.25">
      <c r="G4730" s="10">
        <v>7927</v>
      </c>
      <c r="H4730" s="9">
        <v>56647</v>
      </c>
      <c r="I4730" s="14">
        <f>DATE(2012,12,31)-516</f>
        <v>40758</v>
      </c>
      <c r="J4730" s="15" t="s">
        <v>16</v>
      </c>
      <c r="K4730" s="9">
        <v>41</v>
      </c>
      <c r="L4730" s="16" t="s">
        <v>29</v>
      </c>
      <c r="M4730" s="16">
        <f t="shared" si="441"/>
        <v>1.0654725531458451</v>
      </c>
      <c r="N4730">
        <f t="shared" si="442"/>
        <v>0</v>
      </c>
      <c r="O4730">
        <f t="shared" si="443"/>
        <v>0</v>
      </c>
      <c r="P4730">
        <f t="shared" si="440"/>
        <v>5450</v>
      </c>
      <c r="Q4730">
        <f t="shared" si="444"/>
        <v>5450</v>
      </c>
      <c r="T4730" s="16">
        <f t="shared" si="445"/>
        <v>1.0654725531458447</v>
      </c>
    </row>
    <row r="4731" spans="7:20" ht="14.4" x14ac:dyDescent="0.25">
      <c r="G4731" s="10">
        <v>8044</v>
      </c>
      <c r="H4731" s="9">
        <v>57475</v>
      </c>
      <c r="I4731" s="14">
        <f>DATE(2012,12,31)-819</f>
        <v>40455</v>
      </c>
      <c r="J4731" s="15" t="s">
        <v>25</v>
      </c>
      <c r="K4731" s="9">
        <v>32</v>
      </c>
      <c r="L4731" s="16" t="s">
        <v>26</v>
      </c>
      <c r="M4731" s="16">
        <f t="shared" si="441"/>
        <v>0.44393456357285216</v>
      </c>
      <c r="N4731">
        <f t="shared" si="442"/>
        <v>0</v>
      </c>
      <c r="O4731">
        <f t="shared" si="443"/>
        <v>0</v>
      </c>
      <c r="P4731">
        <f t="shared" si="440"/>
        <v>5000</v>
      </c>
      <c r="Q4731">
        <f t="shared" si="444"/>
        <v>5000</v>
      </c>
      <c r="T4731" s="16">
        <f t="shared" si="445"/>
        <v>0.44393456357285183</v>
      </c>
    </row>
    <row r="4732" spans="7:20" ht="14.4" x14ac:dyDescent="0.25">
      <c r="G4732" s="10">
        <v>8045</v>
      </c>
      <c r="H4732" s="9">
        <v>57475</v>
      </c>
      <c r="I4732" s="14">
        <f>DATE(2012,12,31)-819</f>
        <v>40455</v>
      </c>
      <c r="J4732" s="15" t="s">
        <v>25</v>
      </c>
      <c r="K4732" s="9">
        <v>34</v>
      </c>
      <c r="L4732" s="16" t="s">
        <v>26</v>
      </c>
      <c r="M4732" s="16">
        <f t="shared" si="441"/>
        <v>0.58205411681129504</v>
      </c>
      <c r="N4732">
        <f t="shared" si="442"/>
        <v>0</v>
      </c>
      <c r="O4732">
        <f t="shared" si="443"/>
        <v>0</v>
      </c>
      <c r="P4732">
        <f t="shared" si="440"/>
        <v>5100</v>
      </c>
      <c r="Q4732">
        <f t="shared" si="444"/>
        <v>5100</v>
      </c>
      <c r="T4732" s="16">
        <f t="shared" si="445"/>
        <v>0.58205411681129471</v>
      </c>
    </row>
    <row r="4733" spans="7:20" ht="14.4" x14ac:dyDescent="0.25">
      <c r="G4733" s="10">
        <v>8046</v>
      </c>
      <c r="H4733" s="9">
        <v>57475</v>
      </c>
      <c r="I4733" s="14">
        <f>DATE(2012,12,31)-819</f>
        <v>40455</v>
      </c>
      <c r="J4733" s="15" t="s">
        <v>25</v>
      </c>
      <c r="K4733" s="9">
        <v>48</v>
      </c>
      <c r="L4733" s="16" t="s">
        <v>26</v>
      </c>
      <c r="M4733" s="16">
        <f t="shared" si="441"/>
        <v>1.5488909894803951</v>
      </c>
      <c r="N4733">
        <f t="shared" si="442"/>
        <v>0</v>
      </c>
      <c r="O4733">
        <f t="shared" si="443"/>
        <v>0</v>
      </c>
      <c r="P4733">
        <f t="shared" si="440"/>
        <v>5800</v>
      </c>
      <c r="Q4733">
        <f t="shared" si="444"/>
        <v>5800</v>
      </c>
      <c r="T4733" s="16">
        <f t="shared" si="445"/>
        <v>1.5488909894803948</v>
      </c>
    </row>
    <row r="4734" spans="7:20" ht="14.4" x14ac:dyDescent="0.25">
      <c r="G4734" s="10">
        <v>8047</v>
      </c>
      <c r="H4734" s="9">
        <v>57475</v>
      </c>
      <c r="I4734" s="14">
        <f>DATE(2012,12,31)-819</f>
        <v>40455</v>
      </c>
      <c r="J4734" s="15" t="s">
        <v>25</v>
      </c>
      <c r="K4734" s="9">
        <v>24</v>
      </c>
      <c r="L4734" s="16" t="s">
        <v>26</v>
      </c>
      <c r="M4734" s="16">
        <f t="shared" si="441"/>
        <v>-0.1085436493809193</v>
      </c>
      <c r="N4734">
        <f t="shared" si="442"/>
        <v>0</v>
      </c>
      <c r="O4734">
        <f t="shared" si="443"/>
        <v>0</v>
      </c>
      <c r="P4734">
        <f t="shared" si="440"/>
        <v>4600</v>
      </c>
      <c r="Q4734">
        <f t="shared" si="444"/>
        <v>4600</v>
      </c>
      <c r="T4734" s="16">
        <f t="shared" si="445"/>
        <v>-0.10854364938091969</v>
      </c>
    </row>
    <row r="4735" spans="7:20" ht="14.4" x14ac:dyDescent="0.25">
      <c r="G4735" s="10">
        <v>8062</v>
      </c>
      <c r="H4735" s="9">
        <v>57537</v>
      </c>
      <c r="I4735" s="14">
        <f>DATE(2012,12,31)-104</f>
        <v>41170</v>
      </c>
      <c r="J4735" s="15" t="s">
        <v>16</v>
      </c>
      <c r="K4735" s="9">
        <v>13</v>
      </c>
      <c r="L4735" s="16" t="s">
        <v>26</v>
      </c>
      <c r="M4735" s="16">
        <f t="shared" si="441"/>
        <v>-0.86820119219235514</v>
      </c>
      <c r="N4735">
        <f t="shared" si="442"/>
        <v>0</v>
      </c>
      <c r="O4735">
        <f t="shared" si="443"/>
        <v>0</v>
      </c>
      <c r="P4735">
        <f t="shared" si="440"/>
        <v>4050</v>
      </c>
      <c r="Q4735">
        <f t="shared" si="444"/>
        <v>4050</v>
      </c>
      <c r="T4735" s="16">
        <f t="shared" si="445"/>
        <v>-0.86820119219235548</v>
      </c>
    </row>
    <row r="4736" spans="7:20" ht="14.4" x14ac:dyDescent="0.25">
      <c r="G4736" s="10">
        <v>8063</v>
      </c>
      <c r="H4736" s="9">
        <v>57537</v>
      </c>
      <c r="I4736" s="14">
        <f>DATE(2012,12,31)-104</f>
        <v>41170</v>
      </c>
      <c r="J4736" s="15" t="s">
        <v>16</v>
      </c>
      <c r="K4736" s="9">
        <v>29</v>
      </c>
      <c r="L4736" s="16" t="s">
        <v>27</v>
      </c>
      <c r="M4736" s="16">
        <f t="shared" si="441"/>
        <v>0.23675523371518786</v>
      </c>
      <c r="N4736">
        <f t="shared" si="442"/>
        <v>0</v>
      </c>
      <c r="O4736">
        <f t="shared" si="443"/>
        <v>0</v>
      </c>
      <c r="P4736">
        <f t="shared" si="440"/>
        <v>4850</v>
      </c>
      <c r="Q4736">
        <f t="shared" si="444"/>
        <v>4850</v>
      </c>
      <c r="T4736" s="16">
        <f t="shared" si="445"/>
        <v>0.2367552337151875</v>
      </c>
    </row>
    <row r="4737" spans="7:20" ht="14.4" x14ac:dyDescent="0.25">
      <c r="G4737" s="10">
        <v>8064</v>
      </c>
      <c r="H4737" s="9">
        <v>57537</v>
      </c>
      <c r="I4737" s="14">
        <f>DATE(2012,12,31)-104</f>
        <v>41170</v>
      </c>
      <c r="J4737" s="15" t="s">
        <v>16</v>
      </c>
      <c r="K4737" s="9">
        <v>4</v>
      </c>
      <c r="L4737" s="16" t="s">
        <v>26</v>
      </c>
      <c r="M4737" s="16">
        <f t="shared" si="441"/>
        <v>-1.489739181765348</v>
      </c>
      <c r="N4737">
        <f t="shared" si="442"/>
        <v>0</v>
      </c>
      <c r="O4737">
        <f t="shared" si="443"/>
        <v>0</v>
      </c>
      <c r="P4737">
        <f t="shared" si="440"/>
        <v>3600</v>
      </c>
      <c r="Q4737">
        <f t="shared" si="444"/>
        <v>3600</v>
      </c>
      <c r="T4737" s="16">
        <f t="shared" si="445"/>
        <v>-1.4897391817653485</v>
      </c>
    </row>
    <row r="4738" spans="7:20" ht="14.4" x14ac:dyDescent="0.25">
      <c r="G4738" s="10">
        <v>8087</v>
      </c>
      <c r="H4738" s="9">
        <v>57698</v>
      </c>
      <c r="I4738" s="14">
        <f>DATE(2012,12,31)-360</f>
        <v>40914</v>
      </c>
      <c r="J4738" s="15" t="s">
        <v>30</v>
      </c>
      <c r="K4738" s="9">
        <v>10</v>
      </c>
      <c r="L4738" s="16" t="s">
        <v>26</v>
      </c>
      <c r="M4738" s="16">
        <f t="shared" si="441"/>
        <v>-1.0753805220500194</v>
      </c>
      <c r="N4738">
        <f t="shared" si="442"/>
        <v>0</v>
      </c>
      <c r="O4738">
        <f t="shared" si="443"/>
        <v>0</v>
      </c>
      <c r="P4738">
        <f t="shared" si="440"/>
        <v>3900</v>
      </c>
      <c r="Q4738">
        <f t="shared" si="444"/>
        <v>3900</v>
      </c>
      <c r="T4738" s="16">
        <f t="shared" si="445"/>
        <v>-1.0753805220500199</v>
      </c>
    </row>
    <row r="4739" spans="7:20" ht="14.4" x14ac:dyDescent="0.25">
      <c r="G4739" s="10">
        <v>8088</v>
      </c>
      <c r="H4739" s="9">
        <v>57698</v>
      </c>
      <c r="I4739" s="14">
        <f>DATE(2012,12,31)-360</f>
        <v>40914</v>
      </c>
      <c r="J4739" s="15" t="s">
        <v>30</v>
      </c>
      <c r="K4739" s="9">
        <v>13</v>
      </c>
      <c r="L4739" s="16" t="s">
        <v>26</v>
      </c>
      <c r="M4739" s="16">
        <f t="shared" si="441"/>
        <v>-0.86820119219235514</v>
      </c>
      <c r="N4739">
        <f t="shared" si="442"/>
        <v>0</v>
      </c>
      <c r="O4739">
        <f t="shared" si="443"/>
        <v>0</v>
      </c>
      <c r="P4739">
        <f t="shared" si="440"/>
        <v>4050</v>
      </c>
      <c r="Q4739">
        <f t="shared" si="444"/>
        <v>4050</v>
      </c>
      <c r="T4739" s="16">
        <f t="shared" si="445"/>
        <v>-0.86820119219235548</v>
      </c>
    </row>
    <row r="4740" spans="7:20" ht="14.4" x14ac:dyDescent="0.25">
      <c r="G4740" s="10">
        <v>8143</v>
      </c>
      <c r="H4740" s="9">
        <v>58241</v>
      </c>
      <c r="I4740" s="14">
        <f>DATE(2012,12,31)-846</f>
        <v>40428</v>
      </c>
      <c r="J4740" s="15" t="s">
        <v>30</v>
      </c>
      <c r="K4740" s="9">
        <v>36</v>
      </c>
      <c r="L4740" s="16" t="s">
        <v>26</v>
      </c>
      <c r="M4740" s="16">
        <f t="shared" si="441"/>
        <v>0.72017367004973787</v>
      </c>
      <c r="N4740">
        <f t="shared" si="442"/>
        <v>0</v>
      </c>
      <c r="O4740">
        <f t="shared" si="443"/>
        <v>0</v>
      </c>
      <c r="P4740">
        <f t="shared" si="440"/>
        <v>5200</v>
      </c>
      <c r="Q4740">
        <f t="shared" si="444"/>
        <v>5200</v>
      </c>
      <c r="T4740" s="16">
        <f t="shared" si="445"/>
        <v>0.72017367004973754</v>
      </c>
    </row>
    <row r="4741" spans="7:20" ht="14.4" x14ac:dyDescent="0.25">
      <c r="G4741" s="10">
        <v>8144</v>
      </c>
      <c r="H4741" s="9">
        <v>58241</v>
      </c>
      <c r="I4741" s="14">
        <f>DATE(2012,12,31)-846</f>
        <v>40428</v>
      </c>
      <c r="J4741" s="15" t="s">
        <v>30</v>
      </c>
      <c r="K4741" s="9">
        <v>36</v>
      </c>
      <c r="L4741" s="16" t="s">
        <v>26</v>
      </c>
      <c r="M4741" s="16">
        <f t="shared" si="441"/>
        <v>0.72017367004973787</v>
      </c>
      <c r="N4741">
        <f t="shared" si="442"/>
        <v>0</v>
      </c>
      <c r="O4741">
        <f t="shared" si="443"/>
        <v>0</v>
      </c>
      <c r="P4741">
        <f t="shared" si="440"/>
        <v>5200</v>
      </c>
      <c r="Q4741">
        <f t="shared" si="444"/>
        <v>5200</v>
      </c>
      <c r="T4741" s="16">
        <f t="shared" si="445"/>
        <v>0.72017367004973754</v>
      </c>
    </row>
    <row r="4742" spans="7:20" ht="14.4" x14ac:dyDescent="0.25">
      <c r="G4742" s="10">
        <v>16</v>
      </c>
      <c r="H4742" s="9">
        <v>96</v>
      </c>
      <c r="I4742" s="14">
        <f>DATE(2012,12,31)-1355</f>
        <v>39919</v>
      </c>
      <c r="J4742" s="15" t="s">
        <v>17</v>
      </c>
      <c r="K4742" s="9">
        <v>37</v>
      </c>
      <c r="L4742" s="16" t="s">
        <v>27</v>
      </c>
      <c r="M4742" s="16">
        <f t="shared" si="441"/>
        <v>0.78923344666895934</v>
      </c>
      <c r="N4742">
        <f t="shared" si="442"/>
        <v>0</v>
      </c>
      <c r="O4742">
        <f t="shared" si="443"/>
        <v>0</v>
      </c>
      <c r="P4742">
        <f t="shared" si="440"/>
        <v>5250</v>
      </c>
      <c r="Q4742">
        <f t="shared" si="444"/>
        <v>5250</v>
      </c>
      <c r="T4742" s="16">
        <f t="shared" si="445"/>
        <v>0.789233446668959</v>
      </c>
    </row>
    <row r="4743" spans="7:20" ht="14.4" x14ac:dyDescent="0.25">
      <c r="G4743" s="10">
        <v>93</v>
      </c>
      <c r="H4743" s="9">
        <v>610</v>
      </c>
      <c r="I4743" s="14">
        <f>DATE(2012,12,31)-518</f>
        <v>40756</v>
      </c>
      <c r="J4743" s="15" t="s">
        <v>30</v>
      </c>
      <c r="K4743" s="9">
        <v>38</v>
      </c>
      <c r="L4743" s="16" t="s">
        <v>26</v>
      </c>
      <c r="M4743" s="16">
        <f t="shared" si="441"/>
        <v>0.85829322328818081</v>
      </c>
      <c r="N4743">
        <f t="shared" si="442"/>
        <v>0</v>
      </c>
      <c r="O4743">
        <f t="shared" si="443"/>
        <v>0</v>
      </c>
      <c r="P4743">
        <f t="shared" si="440"/>
        <v>5300</v>
      </c>
      <c r="Q4743">
        <f t="shared" si="444"/>
        <v>5300</v>
      </c>
      <c r="T4743" s="16">
        <f t="shared" si="445"/>
        <v>0.85829322328818036</v>
      </c>
    </row>
    <row r="4744" spans="7:20" ht="14.4" x14ac:dyDescent="0.25">
      <c r="G4744" s="10">
        <v>95</v>
      </c>
      <c r="H4744" s="9">
        <v>612</v>
      </c>
      <c r="I4744" s="14">
        <f>DATE(2012,12,31)-72</f>
        <v>41202</v>
      </c>
      <c r="J4744" s="15" t="s">
        <v>16</v>
      </c>
      <c r="K4744" s="9">
        <v>50</v>
      </c>
      <c r="L4744" s="16" t="s">
        <v>26</v>
      </c>
      <c r="M4744" s="16">
        <f t="shared" si="441"/>
        <v>1.687010542718838</v>
      </c>
      <c r="N4744">
        <f t="shared" si="442"/>
        <v>0</v>
      </c>
      <c r="O4744">
        <f t="shared" si="443"/>
        <v>0</v>
      </c>
      <c r="P4744">
        <f t="shared" si="440"/>
        <v>5900</v>
      </c>
      <c r="Q4744">
        <f t="shared" si="444"/>
        <v>5900</v>
      </c>
      <c r="T4744" s="16">
        <f t="shared" si="445"/>
        <v>1.6870105427188375</v>
      </c>
    </row>
    <row r="4745" spans="7:20" ht="14.4" x14ac:dyDescent="0.25">
      <c r="G4745" s="10">
        <v>96</v>
      </c>
      <c r="H4745" s="9">
        <v>612</v>
      </c>
      <c r="I4745" s="14">
        <f>DATE(2012,12,31)-72</f>
        <v>41202</v>
      </c>
      <c r="J4745" s="15" t="s">
        <v>16</v>
      </c>
      <c r="K4745" s="9">
        <v>43</v>
      </c>
      <c r="L4745" s="16" t="s">
        <v>27</v>
      </c>
      <c r="M4745" s="16">
        <f t="shared" si="441"/>
        <v>1.203592106384288</v>
      </c>
      <c r="N4745">
        <f t="shared" si="442"/>
        <v>0</v>
      </c>
      <c r="O4745">
        <f t="shared" si="443"/>
        <v>0</v>
      </c>
      <c r="P4745">
        <f t="shared" si="440"/>
        <v>5550</v>
      </c>
      <c r="Q4745">
        <f t="shared" si="444"/>
        <v>5550</v>
      </c>
      <c r="T4745" s="16">
        <f t="shared" si="445"/>
        <v>1.2035921063842876</v>
      </c>
    </row>
    <row r="4746" spans="7:20" ht="14.4" x14ac:dyDescent="0.25">
      <c r="G4746" s="10">
        <v>216</v>
      </c>
      <c r="H4746" s="9">
        <v>1440</v>
      </c>
      <c r="I4746" s="14">
        <f>DATE(2012,12,31)-510</f>
        <v>40764</v>
      </c>
      <c r="J4746" s="15" t="s">
        <v>25</v>
      </c>
      <c r="K4746" s="9">
        <v>41</v>
      </c>
      <c r="L4746" s="16" t="s">
        <v>29</v>
      </c>
      <c r="M4746" s="16">
        <f t="shared" si="441"/>
        <v>1.0654725531458451</v>
      </c>
      <c r="N4746">
        <f t="shared" si="442"/>
        <v>0</v>
      </c>
      <c r="O4746">
        <f t="shared" si="443"/>
        <v>0</v>
      </c>
      <c r="P4746">
        <f t="shared" si="440"/>
        <v>5450</v>
      </c>
      <c r="Q4746">
        <f t="shared" si="444"/>
        <v>5450</v>
      </c>
      <c r="T4746" s="16">
        <f t="shared" si="445"/>
        <v>1.0654725531458447</v>
      </c>
    </row>
    <row r="4747" spans="7:20" ht="14.4" x14ac:dyDescent="0.25">
      <c r="G4747" s="10">
        <v>553</v>
      </c>
      <c r="H4747" s="9">
        <v>3749</v>
      </c>
      <c r="I4747" s="14">
        <f>DATE(2012,12,31)-677</f>
        <v>40597</v>
      </c>
      <c r="J4747" s="15" t="s">
        <v>16</v>
      </c>
      <c r="K4747" s="9">
        <v>27</v>
      </c>
      <c r="L4747" s="16" t="s">
        <v>26</v>
      </c>
      <c r="M4747" s="16">
        <f t="shared" si="441"/>
        <v>9.8635680476745008E-2</v>
      </c>
      <c r="N4747">
        <f t="shared" si="442"/>
        <v>0</v>
      </c>
      <c r="O4747">
        <f t="shared" si="443"/>
        <v>0</v>
      </c>
      <c r="P4747">
        <f t="shared" si="440"/>
        <v>4750</v>
      </c>
      <c r="Q4747">
        <f t="shared" si="444"/>
        <v>4750</v>
      </c>
      <c r="T4747" s="16">
        <f t="shared" si="445"/>
        <v>9.8635680476744619E-2</v>
      </c>
    </row>
    <row r="4748" spans="7:20" ht="14.4" x14ac:dyDescent="0.25">
      <c r="G4748" s="10">
        <v>598</v>
      </c>
      <c r="H4748" s="9">
        <v>4070</v>
      </c>
      <c r="I4748" s="14">
        <f>DATE(2012,12,31)-569</f>
        <v>40705</v>
      </c>
      <c r="J4748" s="15" t="s">
        <v>17</v>
      </c>
      <c r="K4748" s="9">
        <v>22</v>
      </c>
      <c r="L4748" s="16" t="s">
        <v>27</v>
      </c>
      <c r="M4748" s="16">
        <f t="shared" si="441"/>
        <v>-0.24666320261936217</v>
      </c>
      <c r="N4748">
        <f t="shared" si="442"/>
        <v>0</v>
      </c>
      <c r="O4748">
        <f t="shared" si="443"/>
        <v>0</v>
      </c>
      <c r="P4748">
        <f t="shared" ref="P4748:P4811" si="446">50*K4748+$P$10</f>
        <v>4500</v>
      </c>
      <c r="Q4748">
        <f t="shared" si="444"/>
        <v>4500</v>
      </c>
      <c r="T4748" s="16">
        <f t="shared" si="445"/>
        <v>-0.24666320261936256</v>
      </c>
    </row>
    <row r="4749" spans="7:20" ht="14.4" x14ac:dyDescent="0.25">
      <c r="G4749" s="10">
        <v>687</v>
      </c>
      <c r="H4749" s="9">
        <v>4774</v>
      </c>
      <c r="I4749" s="14">
        <f>DATE(2012,12,31)-987</f>
        <v>40287</v>
      </c>
      <c r="J4749" s="15" t="s">
        <v>16</v>
      </c>
      <c r="K4749" s="9">
        <v>4</v>
      </c>
      <c r="L4749" s="16" t="s">
        <v>27</v>
      </c>
      <c r="M4749" s="16">
        <f t="shared" ref="M4749:M4812" si="447">(K4749-$K$4)/$K$7</f>
        <v>-1.489739181765348</v>
      </c>
      <c r="N4749">
        <f t="shared" ref="N4749:N4812" si="448">IF(MOD($B$20+G4749,1000)=0,1,0)</f>
        <v>0</v>
      </c>
      <c r="O4749">
        <f t="shared" ref="O4749:O4812" si="449">+ROUND(N4749*(IF(K4749&lt;$K$4,-4.5,10.5)*$P$5),-2)</f>
        <v>0</v>
      </c>
      <c r="P4749">
        <f t="shared" si="446"/>
        <v>3600</v>
      </c>
      <c r="Q4749">
        <f t="shared" ref="Q4749:Q4812" si="450">P4749+O4749</f>
        <v>3600</v>
      </c>
      <c r="T4749" s="16">
        <f t="shared" ref="T4749:T4812" si="451">(Q4749-$P$4)/$P$5</f>
        <v>-1.4897391817653485</v>
      </c>
    </row>
    <row r="4750" spans="7:20" ht="14.4" x14ac:dyDescent="0.25">
      <c r="G4750" s="10">
        <v>958</v>
      </c>
      <c r="H4750" s="9">
        <v>6947</v>
      </c>
      <c r="I4750" s="14">
        <f>DATE(2012,12,31)-531</f>
        <v>40743</v>
      </c>
      <c r="J4750" s="15" t="s">
        <v>30</v>
      </c>
      <c r="K4750" s="9">
        <v>9</v>
      </c>
      <c r="L4750" s="16" t="s">
        <v>29</v>
      </c>
      <c r="M4750" s="16">
        <f t="shared" si="447"/>
        <v>-1.1444402986692408</v>
      </c>
      <c r="N4750">
        <f t="shared" si="448"/>
        <v>0</v>
      </c>
      <c r="O4750">
        <f t="shared" si="449"/>
        <v>0</v>
      </c>
      <c r="P4750">
        <f t="shared" si="446"/>
        <v>3850</v>
      </c>
      <c r="Q4750">
        <f t="shared" si="450"/>
        <v>3850</v>
      </c>
      <c r="T4750" s="16">
        <f t="shared" si="451"/>
        <v>-1.1444402986692412</v>
      </c>
    </row>
    <row r="4751" spans="7:20" ht="14.4" x14ac:dyDescent="0.25">
      <c r="G4751" s="10">
        <v>962</v>
      </c>
      <c r="H4751" s="9">
        <v>6979</v>
      </c>
      <c r="I4751" s="14">
        <f>DATE(2012,12,31)-1403</f>
        <v>39871</v>
      </c>
      <c r="J4751" s="15" t="s">
        <v>30</v>
      </c>
      <c r="K4751" s="9">
        <v>28</v>
      </c>
      <c r="L4751" s="16" t="s">
        <v>27</v>
      </c>
      <c r="M4751" s="16">
        <f t="shared" si="447"/>
        <v>0.16769545709596645</v>
      </c>
      <c r="N4751">
        <f t="shared" si="448"/>
        <v>0</v>
      </c>
      <c r="O4751">
        <f t="shared" si="449"/>
        <v>0</v>
      </c>
      <c r="P4751">
        <f t="shared" si="446"/>
        <v>4800</v>
      </c>
      <c r="Q4751">
        <f t="shared" si="450"/>
        <v>4800</v>
      </c>
      <c r="T4751" s="16">
        <f t="shared" si="451"/>
        <v>0.16769545709596606</v>
      </c>
    </row>
    <row r="4752" spans="7:20" ht="14.4" x14ac:dyDescent="0.25">
      <c r="G4752" s="10">
        <v>985</v>
      </c>
      <c r="H4752" s="9">
        <v>7107</v>
      </c>
      <c r="I4752" s="14">
        <f>DATE(2012,12,31)-362</f>
        <v>40912</v>
      </c>
      <c r="J4752" s="15" t="s">
        <v>28</v>
      </c>
      <c r="K4752" s="9">
        <v>3</v>
      </c>
      <c r="L4752" s="16" t="s">
        <v>29</v>
      </c>
      <c r="M4752" s="16">
        <f t="shared" si="447"/>
        <v>-1.5587989583845694</v>
      </c>
      <c r="N4752">
        <f t="shared" si="448"/>
        <v>0</v>
      </c>
      <c r="O4752">
        <f t="shared" si="449"/>
        <v>0</v>
      </c>
      <c r="P4752">
        <f t="shared" si="446"/>
        <v>3550</v>
      </c>
      <c r="Q4752">
        <f t="shared" si="450"/>
        <v>3550</v>
      </c>
      <c r="T4752" s="16">
        <f t="shared" si="451"/>
        <v>-1.5587989583845698</v>
      </c>
    </row>
    <row r="4753" spans="7:20" ht="14.4" x14ac:dyDescent="0.25">
      <c r="G4753" s="10">
        <v>986</v>
      </c>
      <c r="H4753" s="9">
        <v>7107</v>
      </c>
      <c r="I4753" s="14">
        <f>DATE(2012,12,31)-362</f>
        <v>40912</v>
      </c>
      <c r="J4753" s="15" t="s">
        <v>28</v>
      </c>
      <c r="K4753" s="9">
        <v>3</v>
      </c>
      <c r="L4753" s="16" t="s">
        <v>26</v>
      </c>
      <c r="M4753" s="16">
        <f t="shared" si="447"/>
        <v>-1.5587989583845694</v>
      </c>
      <c r="N4753">
        <f t="shared" si="448"/>
        <v>0</v>
      </c>
      <c r="O4753">
        <f t="shared" si="449"/>
        <v>0</v>
      </c>
      <c r="P4753">
        <f t="shared" si="446"/>
        <v>3550</v>
      </c>
      <c r="Q4753">
        <f t="shared" si="450"/>
        <v>3550</v>
      </c>
      <c r="T4753" s="16">
        <f t="shared" si="451"/>
        <v>-1.5587989583845698</v>
      </c>
    </row>
    <row r="4754" spans="7:20" ht="14.4" x14ac:dyDescent="0.25">
      <c r="G4754" s="10">
        <v>987</v>
      </c>
      <c r="H4754" s="9">
        <v>7107</v>
      </c>
      <c r="I4754" s="14">
        <f>DATE(2012,12,31)-362</f>
        <v>40912</v>
      </c>
      <c r="J4754" s="15" t="s">
        <v>28</v>
      </c>
      <c r="K4754" s="9">
        <v>32</v>
      </c>
      <c r="L4754" s="16" t="s">
        <v>26</v>
      </c>
      <c r="M4754" s="16">
        <f t="shared" si="447"/>
        <v>0.44393456357285216</v>
      </c>
      <c r="N4754">
        <f t="shared" si="448"/>
        <v>0</v>
      </c>
      <c r="O4754">
        <f t="shared" si="449"/>
        <v>0</v>
      </c>
      <c r="P4754">
        <f t="shared" si="446"/>
        <v>5000</v>
      </c>
      <c r="Q4754">
        <f t="shared" si="450"/>
        <v>5000</v>
      </c>
      <c r="T4754" s="16">
        <f t="shared" si="451"/>
        <v>0.44393456357285183</v>
      </c>
    </row>
    <row r="4755" spans="7:20" ht="14.4" x14ac:dyDescent="0.25">
      <c r="G4755" s="10">
        <v>1132</v>
      </c>
      <c r="H4755" s="9">
        <v>8288</v>
      </c>
      <c r="I4755" s="14">
        <f>DATE(2012,12,31)-602</f>
        <v>40672</v>
      </c>
      <c r="J4755" s="15" t="s">
        <v>30</v>
      </c>
      <c r="K4755" s="9">
        <v>22</v>
      </c>
      <c r="L4755" s="16" t="s">
        <v>26</v>
      </c>
      <c r="M4755" s="16">
        <f t="shared" si="447"/>
        <v>-0.24666320261936217</v>
      </c>
      <c r="N4755">
        <f t="shared" si="448"/>
        <v>0</v>
      </c>
      <c r="O4755">
        <f t="shared" si="449"/>
        <v>0</v>
      </c>
      <c r="P4755">
        <f t="shared" si="446"/>
        <v>4500</v>
      </c>
      <c r="Q4755">
        <f t="shared" si="450"/>
        <v>4500</v>
      </c>
      <c r="T4755" s="16">
        <f t="shared" si="451"/>
        <v>-0.24666320261936256</v>
      </c>
    </row>
    <row r="4756" spans="7:20" ht="14.4" x14ac:dyDescent="0.25">
      <c r="G4756" s="10">
        <v>1187</v>
      </c>
      <c r="H4756" s="9">
        <v>8678</v>
      </c>
      <c r="I4756" s="14">
        <f>DATE(2012,12,31)-92</f>
        <v>41182</v>
      </c>
      <c r="J4756" s="15" t="s">
        <v>25</v>
      </c>
      <c r="K4756" s="9">
        <v>31</v>
      </c>
      <c r="L4756" s="16" t="s">
        <v>26</v>
      </c>
      <c r="M4756" s="16">
        <f t="shared" si="447"/>
        <v>0.37487478695363075</v>
      </c>
      <c r="N4756">
        <f t="shared" si="448"/>
        <v>0</v>
      </c>
      <c r="O4756">
        <f t="shared" si="449"/>
        <v>0</v>
      </c>
      <c r="P4756">
        <f t="shared" si="446"/>
        <v>4950</v>
      </c>
      <c r="Q4756">
        <f t="shared" si="450"/>
        <v>4950</v>
      </c>
      <c r="T4756" s="16">
        <f t="shared" si="451"/>
        <v>0.37487478695363036</v>
      </c>
    </row>
    <row r="4757" spans="7:20" ht="14.4" x14ac:dyDescent="0.25">
      <c r="G4757" s="10">
        <v>1480</v>
      </c>
      <c r="H4757" s="9">
        <v>10659</v>
      </c>
      <c r="I4757" s="14">
        <f>DATE(2012,12,31)-1327</f>
        <v>39947</v>
      </c>
      <c r="J4757" s="15" t="s">
        <v>30</v>
      </c>
      <c r="K4757" s="9">
        <v>40</v>
      </c>
      <c r="L4757" s="16" t="s">
        <v>26</v>
      </c>
      <c r="M4757" s="16">
        <f t="shared" si="447"/>
        <v>0.99641277652662363</v>
      </c>
      <c r="N4757">
        <f t="shared" si="448"/>
        <v>0</v>
      </c>
      <c r="O4757">
        <f t="shared" si="449"/>
        <v>0</v>
      </c>
      <c r="P4757">
        <f t="shared" si="446"/>
        <v>5400</v>
      </c>
      <c r="Q4757">
        <f t="shared" si="450"/>
        <v>5400</v>
      </c>
      <c r="T4757" s="16">
        <f t="shared" si="451"/>
        <v>0.9964127765266233</v>
      </c>
    </row>
    <row r="4758" spans="7:20" ht="14.4" x14ac:dyDescent="0.25">
      <c r="G4758" s="10">
        <v>1489</v>
      </c>
      <c r="H4758" s="9">
        <v>10695</v>
      </c>
      <c r="I4758" s="14">
        <f>DATE(2012,12,31)-609</f>
        <v>40665</v>
      </c>
      <c r="J4758" s="15" t="s">
        <v>17</v>
      </c>
      <c r="K4758" s="9">
        <v>39</v>
      </c>
      <c r="L4758" s="16" t="s">
        <v>27</v>
      </c>
      <c r="M4758" s="16">
        <f t="shared" si="447"/>
        <v>0.92735299990740228</v>
      </c>
      <c r="N4758">
        <f t="shared" si="448"/>
        <v>0</v>
      </c>
      <c r="O4758">
        <f t="shared" si="449"/>
        <v>0</v>
      </c>
      <c r="P4758">
        <f t="shared" si="446"/>
        <v>5350</v>
      </c>
      <c r="Q4758">
        <f t="shared" si="450"/>
        <v>5350</v>
      </c>
      <c r="T4758" s="16">
        <f t="shared" si="451"/>
        <v>0.92735299990740183</v>
      </c>
    </row>
    <row r="4759" spans="7:20" ht="14.4" x14ac:dyDescent="0.25">
      <c r="G4759" s="10">
        <v>1620</v>
      </c>
      <c r="H4759" s="9">
        <v>11719</v>
      </c>
      <c r="I4759" s="14">
        <f>DATE(2012,12,31)-695</f>
        <v>40579</v>
      </c>
      <c r="J4759" s="15" t="s">
        <v>28</v>
      </c>
      <c r="K4759" s="9">
        <v>3</v>
      </c>
      <c r="L4759" s="16" t="s">
        <v>27</v>
      </c>
      <c r="M4759" s="16">
        <f t="shared" si="447"/>
        <v>-1.5587989583845694</v>
      </c>
      <c r="N4759">
        <f t="shared" si="448"/>
        <v>0</v>
      </c>
      <c r="O4759">
        <f t="shared" si="449"/>
        <v>0</v>
      </c>
      <c r="P4759">
        <f t="shared" si="446"/>
        <v>3550</v>
      </c>
      <c r="Q4759">
        <f t="shared" si="450"/>
        <v>3550</v>
      </c>
      <c r="T4759" s="16">
        <f t="shared" si="451"/>
        <v>-1.5587989583845698</v>
      </c>
    </row>
    <row r="4760" spans="7:20" ht="14.4" x14ac:dyDescent="0.25">
      <c r="G4760" s="10">
        <v>1621</v>
      </c>
      <c r="H4760" s="9">
        <v>11719</v>
      </c>
      <c r="I4760" s="14">
        <f>DATE(2012,12,31)-695</f>
        <v>40579</v>
      </c>
      <c r="J4760" s="15" t="s">
        <v>28</v>
      </c>
      <c r="K4760" s="9">
        <v>30</v>
      </c>
      <c r="L4760" s="16" t="s">
        <v>26</v>
      </c>
      <c r="M4760" s="16">
        <f t="shared" si="447"/>
        <v>0.30581501033440933</v>
      </c>
      <c r="N4760">
        <f t="shared" si="448"/>
        <v>0</v>
      </c>
      <c r="O4760">
        <f t="shared" si="449"/>
        <v>0</v>
      </c>
      <c r="P4760">
        <f t="shared" si="446"/>
        <v>4900</v>
      </c>
      <c r="Q4760">
        <f t="shared" si="450"/>
        <v>4900</v>
      </c>
      <c r="T4760" s="16">
        <f t="shared" si="451"/>
        <v>0.30581501033440894</v>
      </c>
    </row>
    <row r="4761" spans="7:20" ht="14.4" x14ac:dyDescent="0.25">
      <c r="G4761" s="10">
        <v>1622</v>
      </c>
      <c r="H4761" s="9">
        <v>11719</v>
      </c>
      <c r="I4761" s="14">
        <f>DATE(2012,12,31)-695</f>
        <v>40579</v>
      </c>
      <c r="J4761" s="15" t="s">
        <v>28</v>
      </c>
      <c r="K4761" s="9">
        <v>17</v>
      </c>
      <c r="L4761" s="16" t="s">
        <v>27</v>
      </c>
      <c r="M4761" s="16">
        <f t="shared" si="447"/>
        <v>-0.59196208571546938</v>
      </c>
      <c r="N4761">
        <f t="shared" si="448"/>
        <v>0</v>
      </c>
      <c r="O4761">
        <f t="shared" si="449"/>
        <v>0</v>
      </c>
      <c r="P4761">
        <f t="shared" si="446"/>
        <v>4250</v>
      </c>
      <c r="Q4761">
        <f t="shared" si="450"/>
        <v>4250</v>
      </c>
      <c r="T4761" s="16">
        <f t="shared" si="451"/>
        <v>-0.59196208571546971</v>
      </c>
    </row>
    <row r="4762" spans="7:20" ht="14.4" x14ac:dyDescent="0.25">
      <c r="G4762" s="10">
        <v>1651</v>
      </c>
      <c r="H4762" s="9">
        <v>11908</v>
      </c>
      <c r="I4762" s="14">
        <f>DATE(2012,12,31)-951</f>
        <v>40323</v>
      </c>
      <c r="J4762" s="15" t="s">
        <v>28</v>
      </c>
      <c r="K4762" s="9">
        <v>5</v>
      </c>
      <c r="L4762" s="16" t="s">
        <v>29</v>
      </c>
      <c r="M4762" s="16">
        <f t="shared" si="447"/>
        <v>-1.4206794051461267</v>
      </c>
      <c r="N4762">
        <f t="shared" si="448"/>
        <v>0</v>
      </c>
      <c r="O4762">
        <f t="shared" si="449"/>
        <v>0</v>
      </c>
      <c r="P4762">
        <f t="shared" si="446"/>
        <v>3650</v>
      </c>
      <c r="Q4762">
        <f t="shared" si="450"/>
        <v>3650</v>
      </c>
      <c r="T4762" s="16">
        <f t="shared" si="451"/>
        <v>-1.4206794051461269</v>
      </c>
    </row>
    <row r="4763" spans="7:20" ht="14.4" x14ac:dyDescent="0.25">
      <c r="G4763" s="10">
        <v>1923</v>
      </c>
      <c r="H4763" s="9">
        <v>13765</v>
      </c>
      <c r="I4763" s="14">
        <f>DATE(2012,12,31)-1366</f>
        <v>39908</v>
      </c>
      <c r="J4763" s="15" t="s">
        <v>28</v>
      </c>
      <c r="K4763" s="9">
        <v>45</v>
      </c>
      <c r="L4763" s="16" t="s">
        <v>26</v>
      </c>
      <c r="M4763" s="16">
        <f t="shared" si="447"/>
        <v>1.3417116596227308</v>
      </c>
      <c r="N4763">
        <f t="shared" si="448"/>
        <v>0</v>
      </c>
      <c r="O4763">
        <f t="shared" si="449"/>
        <v>0</v>
      </c>
      <c r="P4763">
        <f t="shared" si="446"/>
        <v>5650</v>
      </c>
      <c r="Q4763">
        <f t="shared" si="450"/>
        <v>5650</v>
      </c>
      <c r="T4763" s="16">
        <f t="shared" si="451"/>
        <v>1.3417116596227305</v>
      </c>
    </row>
    <row r="4764" spans="7:20" ht="14.4" x14ac:dyDescent="0.25">
      <c r="G4764" s="10">
        <v>1967</v>
      </c>
      <c r="H4764" s="9">
        <v>14055</v>
      </c>
      <c r="I4764" s="14">
        <f>DATE(2012,12,31)-1217</f>
        <v>40057</v>
      </c>
      <c r="J4764" s="15" t="s">
        <v>17</v>
      </c>
      <c r="K4764" s="9">
        <v>21</v>
      </c>
      <c r="L4764" s="16" t="s">
        <v>29</v>
      </c>
      <c r="M4764" s="16">
        <f t="shared" si="447"/>
        <v>-0.31572297923858361</v>
      </c>
      <c r="N4764">
        <f t="shared" si="448"/>
        <v>0</v>
      </c>
      <c r="O4764">
        <f t="shared" si="449"/>
        <v>0</v>
      </c>
      <c r="P4764">
        <f t="shared" si="446"/>
        <v>4450</v>
      </c>
      <c r="Q4764">
        <f t="shared" si="450"/>
        <v>4450</v>
      </c>
      <c r="T4764" s="16">
        <f t="shared" si="451"/>
        <v>-0.315722979238584</v>
      </c>
    </row>
    <row r="4765" spans="7:20" ht="14.4" x14ac:dyDescent="0.25">
      <c r="G4765" s="10">
        <v>2010</v>
      </c>
      <c r="H4765" s="9">
        <v>14342</v>
      </c>
      <c r="I4765" s="14">
        <f>DATE(2012,12,31)-1344</f>
        <v>39930</v>
      </c>
      <c r="J4765" s="15" t="s">
        <v>25</v>
      </c>
      <c r="K4765" s="9">
        <v>38</v>
      </c>
      <c r="L4765" s="16" t="s">
        <v>27</v>
      </c>
      <c r="M4765" s="16">
        <f t="shared" si="447"/>
        <v>0.85829322328818081</v>
      </c>
      <c r="N4765">
        <f t="shared" si="448"/>
        <v>0</v>
      </c>
      <c r="O4765">
        <f t="shared" si="449"/>
        <v>0</v>
      </c>
      <c r="P4765">
        <f t="shared" si="446"/>
        <v>5300</v>
      </c>
      <c r="Q4765">
        <f t="shared" si="450"/>
        <v>5300</v>
      </c>
      <c r="T4765" s="16">
        <f t="shared" si="451"/>
        <v>0.85829322328818036</v>
      </c>
    </row>
    <row r="4766" spans="7:20" ht="14.4" x14ac:dyDescent="0.25">
      <c r="G4766" s="10">
        <v>2063</v>
      </c>
      <c r="H4766" s="9">
        <v>14756</v>
      </c>
      <c r="I4766" s="14">
        <f>DATE(2012,12,31)-1218</f>
        <v>40056</v>
      </c>
      <c r="J4766" s="15" t="s">
        <v>25</v>
      </c>
      <c r="K4766" s="9">
        <v>2</v>
      </c>
      <c r="L4766" s="16" t="s">
        <v>29</v>
      </c>
      <c r="M4766" s="16">
        <f t="shared" si="447"/>
        <v>-1.627858735003791</v>
      </c>
      <c r="N4766">
        <f t="shared" si="448"/>
        <v>0</v>
      </c>
      <c r="O4766">
        <f t="shared" si="449"/>
        <v>0</v>
      </c>
      <c r="P4766">
        <f t="shared" si="446"/>
        <v>3500</v>
      </c>
      <c r="Q4766">
        <f t="shared" si="450"/>
        <v>3500</v>
      </c>
      <c r="T4766" s="16">
        <f t="shared" si="451"/>
        <v>-1.6278587350037912</v>
      </c>
    </row>
    <row r="4767" spans="7:20" ht="14.4" x14ac:dyDescent="0.25">
      <c r="G4767" s="10">
        <v>2065</v>
      </c>
      <c r="H4767" s="9">
        <v>14785</v>
      </c>
      <c r="I4767" s="14">
        <f>DATE(2012,12,31)-1179</f>
        <v>40095</v>
      </c>
      <c r="J4767" s="15" t="s">
        <v>17</v>
      </c>
      <c r="K4767" s="9">
        <v>20</v>
      </c>
      <c r="L4767" s="16" t="s">
        <v>26</v>
      </c>
      <c r="M4767" s="16">
        <f t="shared" si="447"/>
        <v>-0.38478275585780503</v>
      </c>
      <c r="N4767">
        <f t="shared" si="448"/>
        <v>0</v>
      </c>
      <c r="O4767">
        <f t="shared" si="449"/>
        <v>0</v>
      </c>
      <c r="P4767">
        <f t="shared" si="446"/>
        <v>4400</v>
      </c>
      <c r="Q4767">
        <f t="shared" si="450"/>
        <v>4400</v>
      </c>
      <c r="T4767" s="16">
        <f t="shared" si="451"/>
        <v>-0.38478275585780541</v>
      </c>
    </row>
    <row r="4768" spans="7:20" ht="14.4" x14ac:dyDescent="0.25">
      <c r="G4768" s="10">
        <v>2066</v>
      </c>
      <c r="H4768" s="9">
        <v>14785</v>
      </c>
      <c r="I4768" s="14">
        <f>DATE(2012,12,31)-1179</f>
        <v>40095</v>
      </c>
      <c r="J4768" s="15" t="s">
        <v>17</v>
      </c>
      <c r="K4768" s="9">
        <v>25</v>
      </c>
      <c r="L4768" s="16" t="s">
        <v>26</v>
      </c>
      <c r="M4768" s="16">
        <f t="shared" si="447"/>
        <v>-3.9483872761697868E-2</v>
      </c>
      <c r="N4768">
        <f t="shared" si="448"/>
        <v>0</v>
      </c>
      <c r="O4768">
        <f t="shared" si="449"/>
        <v>0</v>
      </c>
      <c r="P4768">
        <f t="shared" si="446"/>
        <v>4650</v>
      </c>
      <c r="Q4768">
        <f t="shared" si="450"/>
        <v>4650</v>
      </c>
      <c r="T4768" s="16">
        <f t="shared" si="451"/>
        <v>-3.9483872761698249E-2</v>
      </c>
    </row>
    <row r="4769" spans="7:20" ht="14.4" x14ac:dyDescent="0.25">
      <c r="G4769" s="10">
        <v>2079</v>
      </c>
      <c r="H4769" s="9">
        <v>14855</v>
      </c>
      <c r="I4769" s="14">
        <f>DATE(2012,12,31)-976</f>
        <v>40298</v>
      </c>
      <c r="J4769" s="15" t="s">
        <v>28</v>
      </c>
      <c r="K4769" s="9">
        <v>44</v>
      </c>
      <c r="L4769" s="16" t="s">
        <v>26</v>
      </c>
      <c r="M4769" s="16">
        <f t="shared" si="447"/>
        <v>1.2726518830035094</v>
      </c>
      <c r="N4769">
        <f t="shared" si="448"/>
        <v>0</v>
      </c>
      <c r="O4769">
        <f t="shared" si="449"/>
        <v>0</v>
      </c>
      <c r="P4769">
        <f t="shared" si="446"/>
        <v>5600</v>
      </c>
      <c r="Q4769">
        <f t="shared" si="450"/>
        <v>5600</v>
      </c>
      <c r="T4769" s="16">
        <f t="shared" si="451"/>
        <v>1.272651883003509</v>
      </c>
    </row>
    <row r="4770" spans="7:20" ht="14.4" x14ac:dyDescent="0.25">
      <c r="G4770" s="10">
        <v>2080</v>
      </c>
      <c r="H4770" s="9">
        <v>14855</v>
      </c>
      <c r="I4770" s="14">
        <f>DATE(2012,12,31)-976</f>
        <v>40298</v>
      </c>
      <c r="J4770" s="15" t="s">
        <v>28</v>
      </c>
      <c r="K4770" s="9">
        <v>48</v>
      </c>
      <c r="L4770" s="16" t="s">
        <v>29</v>
      </c>
      <c r="M4770" s="16">
        <f t="shared" si="447"/>
        <v>1.5488909894803951</v>
      </c>
      <c r="N4770">
        <f t="shared" si="448"/>
        <v>0</v>
      </c>
      <c r="O4770">
        <f t="shared" si="449"/>
        <v>0</v>
      </c>
      <c r="P4770">
        <f t="shared" si="446"/>
        <v>5800</v>
      </c>
      <c r="Q4770">
        <f t="shared" si="450"/>
        <v>5800</v>
      </c>
      <c r="T4770" s="16">
        <f t="shared" si="451"/>
        <v>1.5488909894803948</v>
      </c>
    </row>
    <row r="4771" spans="7:20" ht="14.4" x14ac:dyDescent="0.25">
      <c r="G4771" s="10">
        <v>2081</v>
      </c>
      <c r="H4771" s="9">
        <v>14855</v>
      </c>
      <c r="I4771" s="14">
        <f>DATE(2012,12,31)-976</f>
        <v>40298</v>
      </c>
      <c r="J4771" s="15" t="s">
        <v>28</v>
      </c>
      <c r="K4771" s="9">
        <v>19</v>
      </c>
      <c r="L4771" s="16" t="s">
        <v>29</v>
      </c>
      <c r="M4771" s="16">
        <f t="shared" si="447"/>
        <v>-0.45384253247702649</v>
      </c>
      <c r="N4771">
        <f t="shared" si="448"/>
        <v>0</v>
      </c>
      <c r="O4771">
        <f t="shared" si="449"/>
        <v>0</v>
      </c>
      <c r="P4771">
        <f t="shared" si="446"/>
        <v>4350</v>
      </c>
      <c r="Q4771">
        <f t="shared" si="450"/>
        <v>4350</v>
      </c>
      <c r="T4771" s="16">
        <f t="shared" si="451"/>
        <v>-0.45384253247702688</v>
      </c>
    </row>
    <row r="4772" spans="7:20" ht="14.4" x14ac:dyDescent="0.25">
      <c r="G4772" s="10">
        <v>2105</v>
      </c>
      <c r="H4772" s="9">
        <v>15045</v>
      </c>
      <c r="I4772" s="14">
        <f>DATE(2012,12,31)-864</f>
        <v>40410</v>
      </c>
      <c r="J4772" s="15" t="s">
        <v>28</v>
      </c>
      <c r="K4772" s="9">
        <v>11</v>
      </c>
      <c r="L4772" s="16" t="s">
        <v>29</v>
      </c>
      <c r="M4772" s="16">
        <f t="shared" si="447"/>
        <v>-1.0063207454307979</v>
      </c>
      <c r="N4772">
        <f t="shared" si="448"/>
        <v>0</v>
      </c>
      <c r="O4772">
        <f t="shared" si="449"/>
        <v>0</v>
      </c>
      <c r="P4772">
        <f t="shared" si="446"/>
        <v>3950</v>
      </c>
      <c r="Q4772">
        <f t="shared" si="450"/>
        <v>3950</v>
      </c>
      <c r="T4772" s="16">
        <f t="shared" si="451"/>
        <v>-1.0063207454307983</v>
      </c>
    </row>
    <row r="4773" spans="7:20" ht="14.4" x14ac:dyDescent="0.25">
      <c r="G4773" s="10">
        <v>2266</v>
      </c>
      <c r="H4773" s="9">
        <v>16289</v>
      </c>
      <c r="I4773" s="14">
        <f>DATE(2012,12,31)-898</f>
        <v>40376</v>
      </c>
      <c r="J4773" s="15" t="s">
        <v>17</v>
      </c>
      <c r="K4773" s="9">
        <v>49</v>
      </c>
      <c r="L4773" s="16" t="s">
        <v>27</v>
      </c>
      <c r="M4773" s="16">
        <f t="shared" si="447"/>
        <v>1.6179507660996166</v>
      </c>
      <c r="N4773">
        <f t="shared" si="448"/>
        <v>0</v>
      </c>
      <c r="O4773">
        <f t="shared" si="449"/>
        <v>0</v>
      </c>
      <c r="P4773">
        <f t="shared" si="446"/>
        <v>5850</v>
      </c>
      <c r="Q4773">
        <f t="shared" si="450"/>
        <v>5850</v>
      </c>
      <c r="T4773" s="16">
        <f t="shared" si="451"/>
        <v>1.6179507660996162</v>
      </c>
    </row>
    <row r="4774" spans="7:20" ht="14.4" x14ac:dyDescent="0.25">
      <c r="G4774" s="10">
        <v>2718</v>
      </c>
      <c r="H4774" s="9">
        <v>19621</v>
      </c>
      <c r="I4774" s="14">
        <f>DATE(2012,12,31)-481</f>
        <v>40793</v>
      </c>
      <c r="J4774" s="15" t="s">
        <v>30</v>
      </c>
      <c r="K4774" s="9">
        <v>20</v>
      </c>
      <c r="L4774" s="16" t="s">
        <v>26</v>
      </c>
      <c r="M4774" s="16">
        <f t="shared" si="447"/>
        <v>-0.38478275585780503</v>
      </c>
      <c r="N4774">
        <f t="shared" si="448"/>
        <v>0</v>
      </c>
      <c r="O4774">
        <f t="shared" si="449"/>
        <v>0</v>
      </c>
      <c r="P4774">
        <f t="shared" si="446"/>
        <v>4400</v>
      </c>
      <c r="Q4774">
        <f t="shared" si="450"/>
        <v>4400</v>
      </c>
      <c r="T4774" s="16">
        <f t="shared" si="451"/>
        <v>-0.38478275585780541</v>
      </c>
    </row>
    <row r="4775" spans="7:20" ht="14.4" x14ac:dyDescent="0.25">
      <c r="G4775" s="10">
        <v>2719</v>
      </c>
      <c r="H4775" s="9">
        <v>19621</v>
      </c>
      <c r="I4775" s="14">
        <f>DATE(2012,12,31)-481</f>
        <v>40793</v>
      </c>
      <c r="J4775" s="15" t="s">
        <v>30</v>
      </c>
      <c r="K4775" s="9">
        <v>15</v>
      </c>
      <c r="L4775" s="16" t="s">
        <v>26</v>
      </c>
      <c r="M4775" s="16">
        <f t="shared" si="447"/>
        <v>-0.7300816389539122</v>
      </c>
      <c r="N4775">
        <f t="shared" si="448"/>
        <v>0</v>
      </c>
      <c r="O4775">
        <f t="shared" si="449"/>
        <v>0</v>
      </c>
      <c r="P4775">
        <f t="shared" si="446"/>
        <v>4150</v>
      </c>
      <c r="Q4775">
        <f t="shared" si="450"/>
        <v>4150</v>
      </c>
      <c r="T4775" s="16">
        <f t="shared" si="451"/>
        <v>-0.73008163895391265</v>
      </c>
    </row>
    <row r="4776" spans="7:20" ht="14.4" x14ac:dyDescent="0.25">
      <c r="G4776" s="10">
        <v>2771</v>
      </c>
      <c r="H4776" s="9">
        <v>20036</v>
      </c>
      <c r="I4776" s="14">
        <f>DATE(2012,12,31)-757</f>
        <v>40517</v>
      </c>
      <c r="J4776" s="15" t="s">
        <v>28</v>
      </c>
      <c r="K4776" s="9">
        <v>28</v>
      </c>
      <c r="L4776" s="16" t="s">
        <v>29</v>
      </c>
      <c r="M4776" s="16">
        <f t="shared" si="447"/>
        <v>0.16769545709596645</v>
      </c>
      <c r="N4776">
        <f t="shared" si="448"/>
        <v>0</v>
      </c>
      <c r="O4776">
        <f t="shared" si="449"/>
        <v>0</v>
      </c>
      <c r="P4776">
        <f t="shared" si="446"/>
        <v>4800</v>
      </c>
      <c r="Q4776">
        <f t="shared" si="450"/>
        <v>4800</v>
      </c>
      <c r="T4776" s="16">
        <f t="shared" si="451"/>
        <v>0.16769545709596606</v>
      </c>
    </row>
    <row r="4777" spans="7:20" ht="14.4" x14ac:dyDescent="0.25">
      <c r="G4777" s="10">
        <v>2772</v>
      </c>
      <c r="H4777" s="9">
        <v>20036</v>
      </c>
      <c r="I4777" s="14">
        <f>DATE(2012,12,31)-757</f>
        <v>40517</v>
      </c>
      <c r="J4777" s="15" t="s">
        <v>28</v>
      </c>
      <c r="K4777" s="9">
        <v>21</v>
      </c>
      <c r="L4777" s="16" t="s">
        <v>27</v>
      </c>
      <c r="M4777" s="16">
        <f t="shared" si="447"/>
        <v>-0.31572297923858361</v>
      </c>
      <c r="N4777">
        <f t="shared" si="448"/>
        <v>0</v>
      </c>
      <c r="O4777">
        <f t="shared" si="449"/>
        <v>0</v>
      </c>
      <c r="P4777">
        <f t="shared" si="446"/>
        <v>4450</v>
      </c>
      <c r="Q4777">
        <f t="shared" si="450"/>
        <v>4450</v>
      </c>
      <c r="T4777" s="16">
        <f t="shared" si="451"/>
        <v>-0.315722979238584</v>
      </c>
    </row>
    <row r="4778" spans="7:20" ht="14.4" x14ac:dyDescent="0.25">
      <c r="G4778" s="10">
        <v>2880</v>
      </c>
      <c r="H4778" s="9">
        <v>20773</v>
      </c>
      <c r="I4778" s="14">
        <f>DATE(2012,12,31)-1397</f>
        <v>39877</v>
      </c>
      <c r="J4778" s="15" t="s">
        <v>28</v>
      </c>
      <c r="K4778" s="9">
        <v>44</v>
      </c>
      <c r="L4778" s="16" t="s">
        <v>26</v>
      </c>
      <c r="M4778" s="16">
        <f t="shared" si="447"/>
        <v>1.2726518830035094</v>
      </c>
      <c r="N4778">
        <f t="shared" si="448"/>
        <v>0</v>
      </c>
      <c r="O4778">
        <f t="shared" si="449"/>
        <v>0</v>
      </c>
      <c r="P4778">
        <f t="shared" si="446"/>
        <v>5600</v>
      </c>
      <c r="Q4778">
        <f t="shared" si="450"/>
        <v>5600</v>
      </c>
      <c r="T4778" s="16">
        <f t="shared" si="451"/>
        <v>1.272651883003509</v>
      </c>
    </row>
    <row r="4779" spans="7:20" ht="14.4" x14ac:dyDescent="0.25">
      <c r="G4779" s="10">
        <v>2909</v>
      </c>
      <c r="H4779" s="9">
        <v>20967</v>
      </c>
      <c r="I4779" s="14">
        <f>DATE(2012,12,31)-657</f>
        <v>40617</v>
      </c>
      <c r="J4779" s="15" t="s">
        <v>17</v>
      </c>
      <c r="K4779" s="9">
        <v>50</v>
      </c>
      <c r="L4779" s="16" t="s">
        <v>27</v>
      </c>
      <c r="M4779" s="16">
        <f t="shared" si="447"/>
        <v>1.687010542718838</v>
      </c>
      <c r="N4779">
        <f t="shared" si="448"/>
        <v>0</v>
      </c>
      <c r="O4779">
        <f t="shared" si="449"/>
        <v>0</v>
      </c>
      <c r="P4779">
        <f t="shared" si="446"/>
        <v>5900</v>
      </c>
      <c r="Q4779">
        <f t="shared" si="450"/>
        <v>5900</v>
      </c>
      <c r="T4779" s="16">
        <f t="shared" si="451"/>
        <v>1.6870105427188375</v>
      </c>
    </row>
    <row r="4780" spans="7:20" ht="14.4" x14ac:dyDescent="0.25">
      <c r="G4780" s="10">
        <v>2910</v>
      </c>
      <c r="H4780" s="9">
        <v>20967</v>
      </c>
      <c r="I4780" s="14">
        <f>DATE(2012,12,31)-657</f>
        <v>40617</v>
      </c>
      <c r="J4780" s="15" t="s">
        <v>17</v>
      </c>
      <c r="K4780" s="9">
        <v>6</v>
      </c>
      <c r="L4780" s="16" t="s">
        <v>27</v>
      </c>
      <c r="M4780" s="16">
        <f t="shared" si="447"/>
        <v>-1.3516196285269051</v>
      </c>
      <c r="N4780">
        <f t="shared" si="448"/>
        <v>0</v>
      </c>
      <c r="O4780">
        <f t="shared" si="449"/>
        <v>0</v>
      </c>
      <c r="P4780">
        <f t="shared" si="446"/>
        <v>3700</v>
      </c>
      <c r="Q4780">
        <f t="shared" si="450"/>
        <v>3700</v>
      </c>
      <c r="T4780" s="16">
        <f t="shared" si="451"/>
        <v>-1.3516196285269055</v>
      </c>
    </row>
    <row r="4781" spans="7:20" ht="14.4" x14ac:dyDescent="0.25">
      <c r="G4781" s="10">
        <v>2974</v>
      </c>
      <c r="H4781" s="9">
        <v>21478</v>
      </c>
      <c r="I4781" s="14">
        <f>DATE(2012,12,31)-304</f>
        <v>40970</v>
      </c>
      <c r="J4781" s="15" t="s">
        <v>25</v>
      </c>
      <c r="K4781" s="9">
        <v>16</v>
      </c>
      <c r="L4781" s="16" t="s">
        <v>29</v>
      </c>
      <c r="M4781" s="16">
        <f t="shared" si="447"/>
        <v>-0.66102186233469074</v>
      </c>
      <c r="N4781">
        <f t="shared" si="448"/>
        <v>0</v>
      </c>
      <c r="O4781">
        <f t="shared" si="449"/>
        <v>0</v>
      </c>
      <c r="P4781">
        <f t="shared" si="446"/>
        <v>4200</v>
      </c>
      <c r="Q4781">
        <f t="shared" si="450"/>
        <v>4200</v>
      </c>
      <c r="T4781" s="16">
        <f t="shared" si="451"/>
        <v>-0.66102186233469118</v>
      </c>
    </row>
    <row r="4782" spans="7:20" ht="14.4" x14ac:dyDescent="0.25">
      <c r="G4782" s="10">
        <v>2975</v>
      </c>
      <c r="H4782" s="9">
        <v>21478</v>
      </c>
      <c r="I4782" s="14">
        <f>DATE(2012,12,31)-304</f>
        <v>40970</v>
      </c>
      <c r="J4782" s="15" t="s">
        <v>25</v>
      </c>
      <c r="K4782" s="9">
        <v>33</v>
      </c>
      <c r="L4782" s="16" t="s">
        <v>26</v>
      </c>
      <c r="M4782" s="16">
        <f t="shared" si="447"/>
        <v>0.51299434019207357</v>
      </c>
      <c r="N4782">
        <f t="shared" si="448"/>
        <v>0</v>
      </c>
      <c r="O4782">
        <f t="shared" si="449"/>
        <v>0</v>
      </c>
      <c r="P4782">
        <f t="shared" si="446"/>
        <v>5050</v>
      </c>
      <c r="Q4782">
        <f t="shared" si="450"/>
        <v>5050</v>
      </c>
      <c r="T4782" s="16">
        <f t="shared" si="451"/>
        <v>0.51299434019207324</v>
      </c>
    </row>
    <row r="4783" spans="7:20" ht="14.4" x14ac:dyDescent="0.25">
      <c r="G4783" s="10">
        <v>3000</v>
      </c>
      <c r="H4783" s="9">
        <v>21633</v>
      </c>
      <c r="I4783" s="14">
        <f>DATE(2012,12,31)-1375</f>
        <v>39899</v>
      </c>
      <c r="J4783" s="15" t="s">
        <v>16</v>
      </c>
      <c r="K4783" s="9">
        <v>29</v>
      </c>
      <c r="L4783" s="16" t="s">
        <v>29</v>
      </c>
      <c r="M4783" s="16">
        <f t="shared" si="447"/>
        <v>0.23675523371518786</v>
      </c>
      <c r="N4783">
        <f t="shared" si="448"/>
        <v>0</v>
      </c>
      <c r="O4783">
        <f t="shared" si="449"/>
        <v>0</v>
      </c>
      <c r="P4783">
        <f t="shared" si="446"/>
        <v>4850</v>
      </c>
      <c r="Q4783">
        <f t="shared" si="450"/>
        <v>4850</v>
      </c>
      <c r="T4783" s="16">
        <f t="shared" si="451"/>
        <v>0.2367552337151875</v>
      </c>
    </row>
    <row r="4784" spans="7:20" ht="14.4" x14ac:dyDescent="0.25">
      <c r="G4784" s="10">
        <v>3015</v>
      </c>
      <c r="H4784" s="9">
        <v>21696</v>
      </c>
      <c r="I4784" s="14">
        <f>DATE(2012,12,31)-802</f>
        <v>40472</v>
      </c>
      <c r="J4784" s="15" t="s">
        <v>16</v>
      </c>
      <c r="K4784" s="9">
        <v>14</v>
      </c>
      <c r="L4784" s="16" t="s">
        <v>26</v>
      </c>
      <c r="M4784" s="16">
        <f t="shared" si="447"/>
        <v>-0.79914141557313367</v>
      </c>
      <c r="N4784">
        <f t="shared" si="448"/>
        <v>0</v>
      </c>
      <c r="O4784">
        <f t="shared" si="449"/>
        <v>0</v>
      </c>
      <c r="P4784">
        <f t="shared" si="446"/>
        <v>4100</v>
      </c>
      <c r="Q4784">
        <f t="shared" si="450"/>
        <v>4100</v>
      </c>
      <c r="T4784" s="16">
        <f t="shared" si="451"/>
        <v>-0.79914141557313401</v>
      </c>
    </row>
    <row r="4785" spans="7:20" ht="14.4" x14ac:dyDescent="0.25">
      <c r="G4785" s="10">
        <v>3184</v>
      </c>
      <c r="H4785" s="9">
        <v>22851</v>
      </c>
      <c r="I4785" s="14">
        <f>DATE(2012,12,31)-1401</f>
        <v>39873</v>
      </c>
      <c r="J4785" s="15" t="s">
        <v>30</v>
      </c>
      <c r="K4785" s="9">
        <v>25</v>
      </c>
      <c r="L4785" s="16" t="s">
        <v>27</v>
      </c>
      <c r="M4785" s="16">
        <f t="shared" si="447"/>
        <v>-3.9483872761697868E-2</v>
      </c>
      <c r="N4785">
        <f t="shared" si="448"/>
        <v>0</v>
      </c>
      <c r="O4785">
        <f t="shared" si="449"/>
        <v>0</v>
      </c>
      <c r="P4785">
        <f t="shared" si="446"/>
        <v>4650</v>
      </c>
      <c r="Q4785">
        <f t="shared" si="450"/>
        <v>4650</v>
      </c>
      <c r="T4785" s="16">
        <f t="shared" si="451"/>
        <v>-3.9483872761698249E-2</v>
      </c>
    </row>
    <row r="4786" spans="7:20" ht="14.4" x14ac:dyDescent="0.25">
      <c r="G4786" s="10">
        <v>3185</v>
      </c>
      <c r="H4786" s="9">
        <v>22851</v>
      </c>
      <c r="I4786" s="14">
        <f>DATE(2012,12,31)-1401</f>
        <v>39873</v>
      </c>
      <c r="J4786" s="15" t="s">
        <v>30</v>
      </c>
      <c r="K4786" s="9">
        <v>13</v>
      </c>
      <c r="L4786" s="16" t="s">
        <v>29</v>
      </c>
      <c r="M4786" s="16">
        <f t="shared" si="447"/>
        <v>-0.86820119219235514</v>
      </c>
      <c r="N4786">
        <f t="shared" si="448"/>
        <v>0</v>
      </c>
      <c r="O4786">
        <f t="shared" si="449"/>
        <v>0</v>
      </c>
      <c r="P4786">
        <f t="shared" si="446"/>
        <v>4050</v>
      </c>
      <c r="Q4786">
        <f t="shared" si="450"/>
        <v>4050</v>
      </c>
      <c r="T4786" s="16">
        <f t="shared" si="451"/>
        <v>-0.86820119219235548</v>
      </c>
    </row>
    <row r="4787" spans="7:20" ht="14.4" x14ac:dyDescent="0.25">
      <c r="G4787" s="10">
        <v>3186</v>
      </c>
      <c r="H4787" s="9">
        <v>22851</v>
      </c>
      <c r="I4787" s="14">
        <f>DATE(2012,12,31)-1401</f>
        <v>39873</v>
      </c>
      <c r="J4787" s="15" t="s">
        <v>30</v>
      </c>
      <c r="K4787" s="9">
        <v>38</v>
      </c>
      <c r="L4787" s="16" t="s">
        <v>27</v>
      </c>
      <c r="M4787" s="16">
        <f t="shared" si="447"/>
        <v>0.85829322328818081</v>
      </c>
      <c r="N4787">
        <f t="shared" si="448"/>
        <v>0</v>
      </c>
      <c r="O4787">
        <f t="shared" si="449"/>
        <v>0</v>
      </c>
      <c r="P4787">
        <f t="shared" si="446"/>
        <v>5300</v>
      </c>
      <c r="Q4787">
        <f t="shared" si="450"/>
        <v>5300</v>
      </c>
      <c r="T4787" s="16">
        <f t="shared" si="451"/>
        <v>0.85829322328818036</v>
      </c>
    </row>
    <row r="4788" spans="7:20" ht="14.4" x14ac:dyDescent="0.25">
      <c r="G4788" s="10">
        <v>3295</v>
      </c>
      <c r="H4788" s="9">
        <v>23557</v>
      </c>
      <c r="I4788" s="14">
        <f>DATE(2012,12,31)-580</f>
        <v>40694</v>
      </c>
      <c r="J4788" s="15" t="s">
        <v>28</v>
      </c>
      <c r="K4788" s="9">
        <v>7</v>
      </c>
      <c r="L4788" s="16" t="s">
        <v>29</v>
      </c>
      <c r="M4788" s="16">
        <f t="shared" si="447"/>
        <v>-1.2825598519076837</v>
      </c>
      <c r="N4788">
        <f t="shared" si="448"/>
        <v>0</v>
      </c>
      <c r="O4788">
        <f t="shared" si="449"/>
        <v>0</v>
      </c>
      <c r="P4788">
        <f t="shared" si="446"/>
        <v>3750</v>
      </c>
      <c r="Q4788">
        <f t="shared" si="450"/>
        <v>3750</v>
      </c>
      <c r="T4788" s="16">
        <f t="shared" si="451"/>
        <v>-1.2825598519076842</v>
      </c>
    </row>
    <row r="4789" spans="7:20" ht="14.4" x14ac:dyDescent="0.25">
      <c r="G4789" s="10">
        <v>3443</v>
      </c>
      <c r="H4789" s="9">
        <v>24577</v>
      </c>
      <c r="I4789" s="14">
        <f>DATE(2012,12,31)-1036</f>
        <v>40238</v>
      </c>
      <c r="J4789" s="15" t="s">
        <v>16</v>
      </c>
      <c r="K4789" s="9">
        <v>8</v>
      </c>
      <c r="L4789" s="16" t="s">
        <v>26</v>
      </c>
      <c r="M4789" s="16">
        <f t="shared" si="447"/>
        <v>-1.2135000752884624</v>
      </c>
      <c r="N4789">
        <f t="shared" si="448"/>
        <v>0</v>
      </c>
      <c r="O4789">
        <f t="shared" si="449"/>
        <v>0</v>
      </c>
      <c r="P4789">
        <f t="shared" si="446"/>
        <v>3800</v>
      </c>
      <c r="Q4789">
        <f t="shared" si="450"/>
        <v>3800</v>
      </c>
      <c r="T4789" s="16">
        <f t="shared" si="451"/>
        <v>-1.2135000752884626</v>
      </c>
    </row>
    <row r="4790" spans="7:20" ht="14.4" x14ac:dyDescent="0.25">
      <c r="G4790" s="10">
        <v>3504</v>
      </c>
      <c r="H4790" s="9">
        <v>24961</v>
      </c>
      <c r="I4790" s="14">
        <f>DATE(2012,12,31)-1070</f>
        <v>40204</v>
      </c>
      <c r="J4790" s="15" t="s">
        <v>25</v>
      </c>
      <c r="K4790" s="9">
        <v>8</v>
      </c>
      <c r="L4790" s="16" t="s">
        <v>29</v>
      </c>
      <c r="M4790" s="16">
        <f t="shared" si="447"/>
        <v>-1.2135000752884624</v>
      </c>
      <c r="N4790">
        <f t="shared" si="448"/>
        <v>0</v>
      </c>
      <c r="O4790">
        <f t="shared" si="449"/>
        <v>0</v>
      </c>
      <c r="P4790">
        <f t="shared" si="446"/>
        <v>3800</v>
      </c>
      <c r="Q4790">
        <f t="shared" si="450"/>
        <v>3800</v>
      </c>
      <c r="T4790" s="16">
        <f t="shared" si="451"/>
        <v>-1.2135000752884626</v>
      </c>
    </row>
    <row r="4791" spans="7:20" ht="14.4" x14ac:dyDescent="0.25">
      <c r="G4791" s="10">
        <v>3507</v>
      </c>
      <c r="H4791" s="9">
        <v>24966</v>
      </c>
      <c r="I4791" s="14">
        <f>DATE(2012,12,31)-380</f>
        <v>40894</v>
      </c>
      <c r="J4791" s="15" t="s">
        <v>16</v>
      </c>
      <c r="K4791" s="9">
        <v>34</v>
      </c>
      <c r="L4791" s="16" t="s">
        <v>26</v>
      </c>
      <c r="M4791" s="16">
        <f t="shared" si="447"/>
        <v>0.58205411681129504</v>
      </c>
      <c r="N4791">
        <f t="shared" si="448"/>
        <v>0</v>
      </c>
      <c r="O4791">
        <f t="shared" si="449"/>
        <v>0</v>
      </c>
      <c r="P4791">
        <f t="shared" si="446"/>
        <v>5100</v>
      </c>
      <c r="Q4791">
        <f t="shared" si="450"/>
        <v>5100</v>
      </c>
      <c r="T4791" s="16">
        <f t="shared" si="451"/>
        <v>0.58205411681129471</v>
      </c>
    </row>
    <row r="4792" spans="7:20" ht="14.4" x14ac:dyDescent="0.25">
      <c r="G4792" s="10">
        <v>3838</v>
      </c>
      <c r="H4792" s="9">
        <v>27363</v>
      </c>
      <c r="I4792" s="14">
        <f>DATE(2012,12,31)-440</f>
        <v>40834</v>
      </c>
      <c r="J4792" s="15" t="s">
        <v>16</v>
      </c>
      <c r="K4792" s="9">
        <v>16</v>
      </c>
      <c r="L4792" s="16" t="s">
        <v>29</v>
      </c>
      <c r="M4792" s="16">
        <f t="shared" si="447"/>
        <v>-0.66102186233469074</v>
      </c>
      <c r="N4792">
        <f t="shared" si="448"/>
        <v>0</v>
      </c>
      <c r="O4792">
        <f t="shared" si="449"/>
        <v>0</v>
      </c>
      <c r="P4792">
        <f t="shared" si="446"/>
        <v>4200</v>
      </c>
      <c r="Q4792">
        <f t="shared" si="450"/>
        <v>4200</v>
      </c>
      <c r="T4792" s="16">
        <f t="shared" si="451"/>
        <v>-0.66102186233469118</v>
      </c>
    </row>
    <row r="4793" spans="7:20" ht="14.4" x14ac:dyDescent="0.25">
      <c r="G4793" s="10">
        <v>4074</v>
      </c>
      <c r="H4793" s="9">
        <v>29028</v>
      </c>
      <c r="I4793" s="14">
        <f>DATE(2012,12,31)-695</f>
        <v>40579</v>
      </c>
      <c r="J4793" s="15" t="s">
        <v>30</v>
      </c>
      <c r="K4793" s="9">
        <v>43</v>
      </c>
      <c r="L4793" s="16" t="s">
        <v>27</v>
      </c>
      <c r="M4793" s="16">
        <f t="shared" si="447"/>
        <v>1.203592106384288</v>
      </c>
      <c r="N4793">
        <f t="shared" si="448"/>
        <v>0</v>
      </c>
      <c r="O4793">
        <f t="shared" si="449"/>
        <v>0</v>
      </c>
      <c r="P4793">
        <f t="shared" si="446"/>
        <v>5550</v>
      </c>
      <c r="Q4793">
        <f t="shared" si="450"/>
        <v>5550</v>
      </c>
      <c r="T4793" s="16">
        <f t="shared" si="451"/>
        <v>1.2035921063842876</v>
      </c>
    </row>
    <row r="4794" spans="7:20" ht="14.4" x14ac:dyDescent="0.25">
      <c r="G4794" s="10">
        <v>4089</v>
      </c>
      <c r="H4794" s="9">
        <v>29156</v>
      </c>
      <c r="I4794" s="14">
        <f>DATE(2012,12,31)-1041</f>
        <v>40233</v>
      </c>
      <c r="J4794" s="15" t="s">
        <v>25</v>
      </c>
      <c r="K4794" s="9">
        <v>10</v>
      </c>
      <c r="L4794" s="16" t="s">
        <v>27</v>
      </c>
      <c r="M4794" s="16">
        <f t="shared" si="447"/>
        <v>-1.0753805220500194</v>
      </c>
      <c r="N4794">
        <f t="shared" si="448"/>
        <v>0</v>
      </c>
      <c r="O4794">
        <f t="shared" si="449"/>
        <v>0</v>
      </c>
      <c r="P4794">
        <f t="shared" si="446"/>
        <v>3900</v>
      </c>
      <c r="Q4794">
        <f t="shared" si="450"/>
        <v>3900</v>
      </c>
      <c r="T4794" s="16">
        <f t="shared" si="451"/>
        <v>-1.0753805220500199</v>
      </c>
    </row>
    <row r="4795" spans="7:20" ht="14.4" x14ac:dyDescent="0.25">
      <c r="G4795" s="10">
        <v>4115</v>
      </c>
      <c r="H4795" s="9">
        <v>29282</v>
      </c>
      <c r="I4795" s="14">
        <f>DATE(2012,12,31)-33</f>
        <v>41241</v>
      </c>
      <c r="J4795" s="15" t="s">
        <v>16</v>
      </c>
      <c r="K4795" s="9">
        <v>4</v>
      </c>
      <c r="L4795" s="16" t="s">
        <v>26</v>
      </c>
      <c r="M4795" s="16">
        <f t="shared" si="447"/>
        <v>-1.489739181765348</v>
      </c>
      <c r="N4795">
        <f t="shared" si="448"/>
        <v>0</v>
      </c>
      <c r="O4795">
        <f t="shared" si="449"/>
        <v>0</v>
      </c>
      <c r="P4795">
        <f t="shared" si="446"/>
        <v>3600</v>
      </c>
      <c r="Q4795">
        <f t="shared" si="450"/>
        <v>3600</v>
      </c>
      <c r="T4795" s="16">
        <f t="shared" si="451"/>
        <v>-1.4897391817653485</v>
      </c>
    </row>
    <row r="4796" spans="7:20" ht="14.4" x14ac:dyDescent="0.25">
      <c r="G4796" s="10">
        <v>4214</v>
      </c>
      <c r="H4796" s="9">
        <v>29957</v>
      </c>
      <c r="I4796" s="14">
        <f>DATE(2012,12,31)-1024</f>
        <v>40250</v>
      </c>
      <c r="J4796" s="15" t="s">
        <v>30</v>
      </c>
      <c r="K4796" s="9">
        <v>28</v>
      </c>
      <c r="L4796" s="16" t="s">
        <v>29</v>
      </c>
      <c r="M4796" s="16">
        <f t="shared" si="447"/>
        <v>0.16769545709596645</v>
      </c>
      <c r="N4796">
        <f t="shared" si="448"/>
        <v>0</v>
      </c>
      <c r="O4796">
        <f t="shared" si="449"/>
        <v>0</v>
      </c>
      <c r="P4796">
        <f t="shared" si="446"/>
        <v>4800</v>
      </c>
      <c r="Q4796">
        <f t="shared" si="450"/>
        <v>4800</v>
      </c>
      <c r="T4796" s="16">
        <f t="shared" si="451"/>
        <v>0.16769545709596606</v>
      </c>
    </row>
    <row r="4797" spans="7:20" ht="14.4" x14ac:dyDescent="0.25">
      <c r="G4797" s="10">
        <v>4231</v>
      </c>
      <c r="H4797" s="9">
        <v>30053</v>
      </c>
      <c r="I4797" s="14">
        <f>DATE(2012,12,31)-1429</f>
        <v>39845</v>
      </c>
      <c r="J4797" s="15" t="s">
        <v>30</v>
      </c>
      <c r="K4797" s="9">
        <v>41</v>
      </c>
      <c r="L4797" s="16" t="s">
        <v>27</v>
      </c>
      <c r="M4797" s="16">
        <f t="shared" si="447"/>
        <v>1.0654725531458451</v>
      </c>
      <c r="N4797">
        <f t="shared" si="448"/>
        <v>0</v>
      </c>
      <c r="O4797">
        <f t="shared" si="449"/>
        <v>0</v>
      </c>
      <c r="P4797">
        <f t="shared" si="446"/>
        <v>5450</v>
      </c>
      <c r="Q4797">
        <f t="shared" si="450"/>
        <v>5450</v>
      </c>
      <c r="T4797" s="16">
        <f t="shared" si="451"/>
        <v>1.0654725531458447</v>
      </c>
    </row>
    <row r="4798" spans="7:20" ht="14.4" x14ac:dyDescent="0.25">
      <c r="G4798" s="10">
        <v>4233</v>
      </c>
      <c r="H4798" s="9">
        <v>30081</v>
      </c>
      <c r="I4798" s="14">
        <f>DATE(2012,12,31)-380</f>
        <v>40894</v>
      </c>
      <c r="J4798" s="15" t="s">
        <v>17</v>
      </c>
      <c r="K4798" s="9">
        <v>26</v>
      </c>
      <c r="L4798" s="16" t="s">
        <v>26</v>
      </c>
      <c r="M4798" s="16">
        <f t="shared" si="447"/>
        <v>2.9575903857523567E-2</v>
      </c>
      <c r="N4798">
        <f t="shared" si="448"/>
        <v>0</v>
      </c>
      <c r="O4798">
        <f t="shared" si="449"/>
        <v>0</v>
      </c>
      <c r="P4798">
        <f t="shared" si="446"/>
        <v>4700</v>
      </c>
      <c r="Q4798">
        <f t="shared" si="450"/>
        <v>4700</v>
      </c>
      <c r="T4798" s="16">
        <f t="shared" si="451"/>
        <v>2.9575903857523185E-2</v>
      </c>
    </row>
    <row r="4799" spans="7:20" ht="14.4" x14ac:dyDescent="0.25">
      <c r="G4799" s="10">
        <v>4246</v>
      </c>
      <c r="H4799" s="9">
        <v>30214</v>
      </c>
      <c r="I4799" s="14">
        <f>DATE(2012,12,31)-1184</f>
        <v>40090</v>
      </c>
      <c r="J4799" s="15" t="s">
        <v>25</v>
      </c>
      <c r="K4799" s="9">
        <v>38</v>
      </c>
      <c r="L4799" s="16" t="s">
        <v>26</v>
      </c>
      <c r="M4799" s="16">
        <f t="shared" si="447"/>
        <v>0.85829322328818081</v>
      </c>
      <c r="N4799">
        <f t="shared" si="448"/>
        <v>0</v>
      </c>
      <c r="O4799">
        <f t="shared" si="449"/>
        <v>0</v>
      </c>
      <c r="P4799">
        <f t="shared" si="446"/>
        <v>5300</v>
      </c>
      <c r="Q4799">
        <f t="shared" si="450"/>
        <v>5300</v>
      </c>
      <c r="T4799" s="16">
        <f t="shared" si="451"/>
        <v>0.85829322328818036</v>
      </c>
    </row>
    <row r="4800" spans="7:20" ht="14.4" x14ac:dyDescent="0.25">
      <c r="G4800" s="10">
        <v>4280</v>
      </c>
      <c r="H4800" s="9">
        <v>30497</v>
      </c>
      <c r="I4800" s="14">
        <f>DATE(2012,12,31)-694</f>
        <v>40580</v>
      </c>
      <c r="J4800" s="15" t="s">
        <v>30</v>
      </c>
      <c r="K4800" s="9">
        <v>34</v>
      </c>
      <c r="L4800" s="16" t="s">
        <v>26</v>
      </c>
      <c r="M4800" s="16">
        <f t="shared" si="447"/>
        <v>0.58205411681129504</v>
      </c>
      <c r="N4800">
        <f t="shared" si="448"/>
        <v>0</v>
      </c>
      <c r="O4800">
        <f t="shared" si="449"/>
        <v>0</v>
      </c>
      <c r="P4800">
        <f t="shared" si="446"/>
        <v>5100</v>
      </c>
      <c r="Q4800">
        <f t="shared" si="450"/>
        <v>5100</v>
      </c>
      <c r="T4800" s="16">
        <f t="shared" si="451"/>
        <v>0.58205411681129471</v>
      </c>
    </row>
    <row r="4801" spans="7:20" ht="14.4" x14ac:dyDescent="0.25">
      <c r="G4801" s="10">
        <v>4281</v>
      </c>
      <c r="H4801" s="9">
        <v>30497</v>
      </c>
      <c r="I4801" s="14">
        <f>DATE(2012,12,31)-694</f>
        <v>40580</v>
      </c>
      <c r="J4801" s="15" t="s">
        <v>30</v>
      </c>
      <c r="K4801" s="9">
        <v>31</v>
      </c>
      <c r="L4801" s="16" t="s">
        <v>26</v>
      </c>
      <c r="M4801" s="16">
        <f t="shared" si="447"/>
        <v>0.37487478695363075</v>
      </c>
      <c r="N4801">
        <f t="shared" si="448"/>
        <v>0</v>
      </c>
      <c r="O4801">
        <f t="shared" si="449"/>
        <v>0</v>
      </c>
      <c r="P4801">
        <f t="shared" si="446"/>
        <v>4950</v>
      </c>
      <c r="Q4801">
        <f t="shared" si="450"/>
        <v>4950</v>
      </c>
      <c r="T4801" s="16">
        <f t="shared" si="451"/>
        <v>0.37487478695363036</v>
      </c>
    </row>
    <row r="4802" spans="7:20" ht="14.4" x14ac:dyDescent="0.25">
      <c r="G4802" s="10">
        <v>4343</v>
      </c>
      <c r="H4802" s="9">
        <v>30917</v>
      </c>
      <c r="I4802" s="14">
        <f>DATE(2012,12,31)-791</f>
        <v>40483</v>
      </c>
      <c r="J4802" s="15" t="s">
        <v>25</v>
      </c>
      <c r="K4802" s="9">
        <v>11</v>
      </c>
      <c r="L4802" s="16" t="s">
        <v>27</v>
      </c>
      <c r="M4802" s="16">
        <f t="shared" si="447"/>
        <v>-1.0063207454307979</v>
      </c>
      <c r="N4802">
        <f t="shared" si="448"/>
        <v>0</v>
      </c>
      <c r="O4802">
        <f t="shared" si="449"/>
        <v>0</v>
      </c>
      <c r="P4802">
        <f t="shared" si="446"/>
        <v>3950</v>
      </c>
      <c r="Q4802">
        <f t="shared" si="450"/>
        <v>3950</v>
      </c>
      <c r="T4802" s="16">
        <f t="shared" si="451"/>
        <v>-1.0063207454307983</v>
      </c>
    </row>
    <row r="4803" spans="7:20" ht="14.4" x14ac:dyDescent="0.25">
      <c r="G4803" s="10">
        <v>4344</v>
      </c>
      <c r="H4803" s="9">
        <v>30917</v>
      </c>
      <c r="I4803" s="14">
        <f>DATE(2012,12,31)-791</f>
        <v>40483</v>
      </c>
      <c r="J4803" s="15" t="s">
        <v>25</v>
      </c>
      <c r="K4803" s="9">
        <v>8</v>
      </c>
      <c r="L4803" s="16" t="s">
        <v>27</v>
      </c>
      <c r="M4803" s="16">
        <f t="shared" si="447"/>
        <v>-1.2135000752884624</v>
      </c>
      <c r="N4803">
        <f t="shared" si="448"/>
        <v>0</v>
      </c>
      <c r="O4803">
        <f t="shared" si="449"/>
        <v>0</v>
      </c>
      <c r="P4803">
        <f t="shared" si="446"/>
        <v>3800</v>
      </c>
      <c r="Q4803">
        <f t="shared" si="450"/>
        <v>3800</v>
      </c>
      <c r="T4803" s="16">
        <f t="shared" si="451"/>
        <v>-1.2135000752884626</v>
      </c>
    </row>
    <row r="4804" spans="7:20" ht="14.4" x14ac:dyDescent="0.25">
      <c r="G4804" s="10">
        <v>4444</v>
      </c>
      <c r="H4804" s="9">
        <v>31681</v>
      </c>
      <c r="I4804" s="14">
        <f>DATE(2012,12,31)-54</f>
        <v>41220</v>
      </c>
      <c r="J4804" s="15" t="s">
        <v>28</v>
      </c>
      <c r="K4804" s="9">
        <v>38</v>
      </c>
      <c r="L4804" s="16" t="s">
        <v>26</v>
      </c>
      <c r="M4804" s="16">
        <f t="shared" si="447"/>
        <v>0.85829322328818081</v>
      </c>
      <c r="N4804">
        <f t="shared" si="448"/>
        <v>0</v>
      </c>
      <c r="O4804">
        <f t="shared" si="449"/>
        <v>0</v>
      </c>
      <c r="P4804">
        <f t="shared" si="446"/>
        <v>5300</v>
      </c>
      <c r="Q4804">
        <f t="shared" si="450"/>
        <v>5300</v>
      </c>
      <c r="T4804" s="16">
        <f t="shared" si="451"/>
        <v>0.85829322328818036</v>
      </c>
    </row>
    <row r="4805" spans="7:20" ht="14.4" x14ac:dyDescent="0.25">
      <c r="G4805" s="10">
        <v>4456</v>
      </c>
      <c r="H4805" s="9">
        <v>31777</v>
      </c>
      <c r="I4805" s="14">
        <f>DATE(2012,12,31)-439</f>
        <v>40835</v>
      </c>
      <c r="J4805" s="15" t="s">
        <v>28</v>
      </c>
      <c r="K4805" s="9">
        <v>32</v>
      </c>
      <c r="L4805" s="16" t="s">
        <v>29</v>
      </c>
      <c r="M4805" s="16">
        <f t="shared" si="447"/>
        <v>0.44393456357285216</v>
      </c>
      <c r="N4805">
        <f t="shared" si="448"/>
        <v>0</v>
      </c>
      <c r="O4805">
        <f t="shared" si="449"/>
        <v>0</v>
      </c>
      <c r="P4805">
        <f t="shared" si="446"/>
        <v>5000</v>
      </c>
      <c r="Q4805">
        <f t="shared" si="450"/>
        <v>5000</v>
      </c>
      <c r="T4805" s="16">
        <f t="shared" si="451"/>
        <v>0.44393456357285183</v>
      </c>
    </row>
    <row r="4806" spans="7:20" ht="14.4" x14ac:dyDescent="0.25">
      <c r="G4806" s="10">
        <v>4457</v>
      </c>
      <c r="H4806" s="9">
        <v>31777</v>
      </c>
      <c r="I4806" s="14">
        <f>DATE(2012,12,31)-439</f>
        <v>40835</v>
      </c>
      <c r="J4806" s="15" t="s">
        <v>28</v>
      </c>
      <c r="K4806" s="9">
        <v>10</v>
      </c>
      <c r="L4806" s="16" t="s">
        <v>26</v>
      </c>
      <c r="M4806" s="16">
        <f t="shared" si="447"/>
        <v>-1.0753805220500194</v>
      </c>
      <c r="N4806">
        <f t="shared" si="448"/>
        <v>0</v>
      </c>
      <c r="O4806">
        <f t="shared" si="449"/>
        <v>0</v>
      </c>
      <c r="P4806">
        <f t="shared" si="446"/>
        <v>3900</v>
      </c>
      <c r="Q4806">
        <f t="shared" si="450"/>
        <v>3900</v>
      </c>
      <c r="T4806" s="16">
        <f t="shared" si="451"/>
        <v>-1.0753805220500199</v>
      </c>
    </row>
    <row r="4807" spans="7:20" ht="14.4" x14ac:dyDescent="0.25">
      <c r="G4807" s="10">
        <v>4596</v>
      </c>
      <c r="H4807" s="9">
        <v>32710</v>
      </c>
      <c r="I4807" s="14">
        <f>DATE(2012,12,31)-1141</f>
        <v>40133</v>
      </c>
      <c r="J4807" s="15" t="s">
        <v>17</v>
      </c>
      <c r="K4807" s="9">
        <v>43</v>
      </c>
      <c r="L4807" s="16" t="s">
        <v>26</v>
      </c>
      <c r="M4807" s="16">
        <f t="shared" si="447"/>
        <v>1.203592106384288</v>
      </c>
      <c r="N4807">
        <f t="shared" si="448"/>
        <v>0</v>
      </c>
      <c r="O4807">
        <f t="shared" si="449"/>
        <v>0</v>
      </c>
      <c r="P4807">
        <f t="shared" si="446"/>
        <v>5550</v>
      </c>
      <c r="Q4807">
        <f t="shared" si="450"/>
        <v>5550</v>
      </c>
      <c r="T4807" s="16">
        <f t="shared" si="451"/>
        <v>1.2035921063842876</v>
      </c>
    </row>
    <row r="4808" spans="7:20" ht="14.4" x14ac:dyDescent="0.25">
      <c r="G4808" s="10">
        <v>4644</v>
      </c>
      <c r="H4808" s="9">
        <v>33060</v>
      </c>
      <c r="I4808" s="14">
        <f>DATE(2012,12,31)-1046</f>
        <v>40228</v>
      </c>
      <c r="J4808" s="15" t="s">
        <v>17</v>
      </c>
      <c r="K4808" s="9">
        <v>3</v>
      </c>
      <c r="L4808" s="16" t="s">
        <v>26</v>
      </c>
      <c r="M4808" s="16">
        <f t="shared" si="447"/>
        <v>-1.5587989583845694</v>
      </c>
      <c r="N4808">
        <f t="shared" si="448"/>
        <v>0</v>
      </c>
      <c r="O4808">
        <f t="shared" si="449"/>
        <v>0</v>
      </c>
      <c r="P4808">
        <f t="shared" si="446"/>
        <v>3550</v>
      </c>
      <c r="Q4808">
        <f t="shared" si="450"/>
        <v>3550</v>
      </c>
      <c r="T4808" s="16">
        <f t="shared" si="451"/>
        <v>-1.5587989583845698</v>
      </c>
    </row>
    <row r="4809" spans="7:20" ht="14.4" x14ac:dyDescent="0.25">
      <c r="G4809" s="10">
        <v>4675</v>
      </c>
      <c r="H4809" s="9">
        <v>33254</v>
      </c>
      <c r="I4809" s="14">
        <f>DATE(2012,12,31)-424</f>
        <v>40850</v>
      </c>
      <c r="J4809" s="15" t="s">
        <v>28</v>
      </c>
      <c r="K4809" s="9">
        <v>11</v>
      </c>
      <c r="L4809" s="16" t="s">
        <v>29</v>
      </c>
      <c r="M4809" s="16">
        <f t="shared" si="447"/>
        <v>-1.0063207454307979</v>
      </c>
      <c r="N4809">
        <f t="shared" si="448"/>
        <v>0</v>
      </c>
      <c r="O4809">
        <f t="shared" si="449"/>
        <v>0</v>
      </c>
      <c r="P4809">
        <f t="shared" si="446"/>
        <v>3950</v>
      </c>
      <c r="Q4809">
        <f t="shared" si="450"/>
        <v>3950</v>
      </c>
      <c r="T4809" s="16">
        <f t="shared" si="451"/>
        <v>-1.0063207454307983</v>
      </c>
    </row>
    <row r="4810" spans="7:20" ht="14.4" x14ac:dyDescent="0.25">
      <c r="G4810" s="10">
        <v>4720</v>
      </c>
      <c r="H4810" s="9">
        <v>33605</v>
      </c>
      <c r="I4810" s="14">
        <f>DATE(2012,12,31)-272</f>
        <v>41002</v>
      </c>
      <c r="J4810" s="15" t="s">
        <v>30</v>
      </c>
      <c r="K4810" s="9">
        <v>42</v>
      </c>
      <c r="L4810" s="16" t="s">
        <v>26</v>
      </c>
      <c r="M4810" s="16">
        <f t="shared" si="447"/>
        <v>1.1345323297650665</v>
      </c>
      <c r="N4810">
        <f t="shared" si="448"/>
        <v>0</v>
      </c>
      <c r="O4810">
        <f t="shared" si="449"/>
        <v>0</v>
      </c>
      <c r="P4810">
        <f t="shared" si="446"/>
        <v>5500</v>
      </c>
      <c r="Q4810">
        <f t="shared" si="450"/>
        <v>5500</v>
      </c>
      <c r="T4810" s="16">
        <f t="shared" si="451"/>
        <v>1.1345323297650662</v>
      </c>
    </row>
    <row r="4811" spans="7:20" ht="14.4" x14ac:dyDescent="0.25">
      <c r="G4811" s="10">
        <v>4807</v>
      </c>
      <c r="H4811" s="9">
        <v>34180</v>
      </c>
      <c r="I4811" s="14">
        <f>DATE(2012,12,31)-485</f>
        <v>40789</v>
      </c>
      <c r="J4811" s="15" t="s">
        <v>17</v>
      </c>
      <c r="K4811" s="9">
        <v>2</v>
      </c>
      <c r="L4811" s="16" t="s">
        <v>26</v>
      </c>
      <c r="M4811" s="16">
        <f t="shared" si="447"/>
        <v>-1.627858735003791</v>
      </c>
      <c r="N4811">
        <f t="shared" si="448"/>
        <v>0</v>
      </c>
      <c r="O4811">
        <f t="shared" si="449"/>
        <v>0</v>
      </c>
      <c r="P4811">
        <f t="shared" si="446"/>
        <v>3500</v>
      </c>
      <c r="Q4811">
        <f t="shared" si="450"/>
        <v>3500</v>
      </c>
      <c r="T4811" s="16">
        <f t="shared" si="451"/>
        <v>-1.6278587350037912</v>
      </c>
    </row>
    <row r="4812" spans="7:20" ht="14.4" x14ac:dyDescent="0.25">
      <c r="G4812" s="10">
        <v>4939</v>
      </c>
      <c r="H4812" s="9">
        <v>35137</v>
      </c>
      <c r="I4812" s="14">
        <f>DATE(2012,12,31)-898</f>
        <v>40376</v>
      </c>
      <c r="J4812" s="15" t="s">
        <v>17</v>
      </c>
      <c r="K4812" s="9">
        <v>41</v>
      </c>
      <c r="L4812" s="16" t="s">
        <v>26</v>
      </c>
      <c r="M4812" s="16">
        <f t="shared" si="447"/>
        <v>1.0654725531458451</v>
      </c>
      <c r="N4812">
        <f t="shared" si="448"/>
        <v>0</v>
      </c>
      <c r="O4812">
        <f t="shared" si="449"/>
        <v>0</v>
      </c>
      <c r="P4812">
        <f t="shared" ref="P4812:P4875" si="452">50*K4812+$P$10</f>
        <v>5450</v>
      </c>
      <c r="Q4812">
        <f t="shared" si="450"/>
        <v>5450</v>
      </c>
      <c r="T4812" s="16">
        <f t="shared" si="451"/>
        <v>1.0654725531458447</v>
      </c>
    </row>
    <row r="4813" spans="7:20" ht="14.4" x14ac:dyDescent="0.25">
      <c r="G4813" s="10">
        <v>4940</v>
      </c>
      <c r="H4813" s="9">
        <v>35137</v>
      </c>
      <c r="I4813" s="14">
        <f>DATE(2012,12,31)-898</f>
        <v>40376</v>
      </c>
      <c r="J4813" s="15" t="s">
        <v>17</v>
      </c>
      <c r="K4813" s="9">
        <v>47</v>
      </c>
      <c r="L4813" s="16" t="s">
        <v>26</v>
      </c>
      <c r="M4813" s="16">
        <f t="shared" ref="M4813:M4876" si="453">(K4813-$K$4)/$K$7</f>
        <v>1.4798312128611737</v>
      </c>
      <c r="N4813">
        <f t="shared" ref="N4813:N4876" si="454">IF(MOD($B$20+G4813,1000)=0,1,0)</f>
        <v>0</v>
      </c>
      <c r="O4813">
        <f t="shared" ref="O4813:O4876" si="455">+ROUND(N4813*(IF(K4813&lt;$K$4,-4.5,10.5)*$P$5),-2)</f>
        <v>0</v>
      </c>
      <c r="P4813">
        <f t="shared" si="452"/>
        <v>5750</v>
      </c>
      <c r="Q4813">
        <f t="shared" ref="Q4813:Q4876" si="456">P4813+O4813</f>
        <v>5750</v>
      </c>
      <c r="T4813" s="16">
        <f t="shared" ref="T4813:T4876" si="457">(Q4813-$P$4)/$P$5</f>
        <v>1.4798312128611733</v>
      </c>
    </row>
    <row r="4814" spans="7:20" ht="14.4" x14ac:dyDescent="0.25">
      <c r="G4814" s="10">
        <v>5185</v>
      </c>
      <c r="H4814" s="9">
        <v>36838</v>
      </c>
      <c r="I4814" s="14">
        <f>DATE(2012,12,31)-1363</f>
        <v>39911</v>
      </c>
      <c r="J4814" s="15" t="s">
        <v>25</v>
      </c>
      <c r="K4814" s="9">
        <v>3</v>
      </c>
      <c r="L4814" s="16" t="s">
        <v>26</v>
      </c>
      <c r="M4814" s="16">
        <f t="shared" si="453"/>
        <v>-1.5587989583845694</v>
      </c>
      <c r="N4814">
        <f t="shared" si="454"/>
        <v>0</v>
      </c>
      <c r="O4814">
        <f t="shared" si="455"/>
        <v>0</v>
      </c>
      <c r="P4814">
        <f t="shared" si="452"/>
        <v>3550</v>
      </c>
      <c r="Q4814">
        <f t="shared" si="456"/>
        <v>3550</v>
      </c>
      <c r="T4814" s="16">
        <f t="shared" si="457"/>
        <v>-1.5587989583845698</v>
      </c>
    </row>
    <row r="4815" spans="7:20" ht="14.4" x14ac:dyDescent="0.25">
      <c r="G4815" s="10">
        <v>5232</v>
      </c>
      <c r="H4815" s="9">
        <v>37252</v>
      </c>
      <c r="I4815" s="14">
        <f>DATE(2012,12,31)-408</f>
        <v>40866</v>
      </c>
      <c r="J4815" s="15" t="s">
        <v>25</v>
      </c>
      <c r="K4815" s="9">
        <v>21</v>
      </c>
      <c r="L4815" s="16" t="s">
        <v>26</v>
      </c>
      <c r="M4815" s="16">
        <f t="shared" si="453"/>
        <v>-0.31572297923858361</v>
      </c>
      <c r="N4815">
        <f t="shared" si="454"/>
        <v>0</v>
      </c>
      <c r="O4815">
        <f t="shared" si="455"/>
        <v>0</v>
      </c>
      <c r="P4815">
        <f t="shared" si="452"/>
        <v>4450</v>
      </c>
      <c r="Q4815">
        <f t="shared" si="456"/>
        <v>4450</v>
      </c>
      <c r="T4815" s="16">
        <f t="shared" si="457"/>
        <v>-0.315722979238584</v>
      </c>
    </row>
    <row r="4816" spans="7:20" ht="14.4" x14ac:dyDescent="0.25">
      <c r="G4816" s="10">
        <v>5233</v>
      </c>
      <c r="H4816" s="9">
        <v>37252</v>
      </c>
      <c r="I4816" s="14">
        <f>DATE(2012,12,31)-408</f>
        <v>40866</v>
      </c>
      <c r="J4816" s="15" t="s">
        <v>25</v>
      </c>
      <c r="K4816" s="9">
        <v>1</v>
      </c>
      <c r="L4816" s="16" t="s">
        <v>27</v>
      </c>
      <c r="M4816" s="16">
        <f t="shared" si="453"/>
        <v>-1.6969185116230123</v>
      </c>
      <c r="N4816">
        <f t="shared" si="454"/>
        <v>0</v>
      </c>
      <c r="O4816">
        <f t="shared" si="455"/>
        <v>0</v>
      </c>
      <c r="P4816">
        <f t="shared" si="452"/>
        <v>3450</v>
      </c>
      <c r="Q4816">
        <f t="shared" si="456"/>
        <v>3450</v>
      </c>
      <c r="T4816" s="16">
        <f t="shared" si="457"/>
        <v>-1.6969185116230128</v>
      </c>
    </row>
    <row r="4817" spans="7:20" ht="14.4" x14ac:dyDescent="0.25">
      <c r="G4817" s="10">
        <v>5234</v>
      </c>
      <c r="H4817" s="9">
        <v>37252</v>
      </c>
      <c r="I4817" s="14">
        <f>DATE(2012,12,31)-408</f>
        <v>40866</v>
      </c>
      <c r="J4817" s="15" t="s">
        <v>25</v>
      </c>
      <c r="K4817" s="9">
        <v>50</v>
      </c>
      <c r="L4817" s="16" t="s">
        <v>27</v>
      </c>
      <c r="M4817" s="16">
        <f t="shared" si="453"/>
        <v>1.687010542718838</v>
      </c>
      <c r="N4817">
        <f t="shared" si="454"/>
        <v>0</v>
      </c>
      <c r="O4817">
        <f t="shared" si="455"/>
        <v>0</v>
      </c>
      <c r="P4817">
        <f t="shared" si="452"/>
        <v>5900</v>
      </c>
      <c r="Q4817">
        <f t="shared" si="456"/>
        <v>5900</v>
      </c>
      <c r="T4817" s="16">
        <f t="shared" si="457"/>
        <v>1.6870105427188375</v>
      </c>
    </row>
    <row r="4818" spans="7:20" ht="14.4" x14ac:dyDescent="0.25">
      <c r="G4818" s="10">
        <v>5235</v>
      </c>
      <c r="H4818" s="9">
        <v>37252</v>
      </c>
      <c r="I4818" s="14">
        <f>DATE(2012,12,31)-408</f>
        <v>40866</v>
      </c>
      <c r="J4818" s="15" t="s">
        <v>25</v>
      </c>
      <c r="K4818" s="9">
        <v>34</v>
      </c>
      <c r="L4818" s="16" t="s">
        <v>29</v>
      </c>
      <c r="M4818" s="16">
        <f t="shared" si="453"/>
        <v>0.58205411681129504</v>
      </c>
      <c r="N4818">
        <f t="shared" si="454"/>
        <v>0</v>
      </c>
      <c r="O4818">
        <f t="shared" si="455"/>
        <v>0</v>
      </c>
      <c r="P4818">
        <f t="shared" si="452"/>
        <v>5100</v>
      </c>
      <c r="Q4818">
        <f t="shared" si="456"/>
        <v>5100</v>
      </c>
      <c r="T4818" s="16">
        <f t="shared" si="457"/>
        <v>0.58205411681129471</v>
      </c>
    </row>
    <row r="4819" spans="7:20" ht="14.4" x14ac:dyDescent="0.25">
      <c r="G4819" s="10">
        <v>5496</v>
      </c>
      <c r="H4819" s="9">
        <v>38979</v>
      </c>
      <c r="I4819" s="14">
        <f>DATE(2012,12,31)-1039</f>
        <v>40235</v>
      </c>
      <c r="J4819" s="15" t="s">
        <v>25</v>
      </c>
      <c r="K4819" s="9">
        <v>48</v>
      </c>
      <c r="L4819" s="16" t="s">
        <v>29</v>
      </c>
      <c r="M4819" s="16">
        <f t="shared" si="453"/>
        <v>1.5488909894803951</v>
      </c>
      <c r="N4819">
        <f t="shared" si="454"/>
        <v>0</v>
      </c>
      <c r="O4819">
        <f t="shared" si="455"/>
        <v>0</v>
      </c>
      <c r="P4819">
        <f t="shared" si="452"/>
        <v>5800</v>
      </c>
      <c r="Q4819">
        <f t="shared" si="456"/>
        <v>5800</v>
      </c>
      <c r="T4819" s="16">
        <f t="shared" si="457"/>
        <v>1.5488909894803948</v>
      </c>
    </row>
    <row r="4820" spans="7:20" ht="14.4" x14ac:dyDescent="0.25">
      <c r="G4820" s="10">
        <v>5497</v>
      </c>
      <c r="H4820" s="9">
        <v>38979</v>
      </c>
      <c r="I4820" s="14">
        <f>DATE(2012,12,31)-1039</f>
        <v>40235</v>
      </c>
      <c r="J4820" s="15" t="s">
        <v>25</v>
      </c>
      <c r="K4820" s="9">
        <v>34</v>
      </c>
      <c r="L4820" s="16" t="s">
        <v>27</v>
      </c>
      <c r="M4820" s="16">
        <f t="shared" si="453"/>
        <v>0.58205411681129504</v>
      </c>
      <c r="N4820">
        <f t="shared" si="454"/>
        <v>0</v>
      </c>
      <c r="O4820">
        <f t="shared" si="455"/>
        <v>0</v>
      </c>
      <c r="P4820">
        <f t="shared" si="452"/>
        <v>5100</v>
      </c>
      <c r="Q4820">
        <f t="shared" si="456"/>
        <v>5100</v>
      </c>
      <c r="T4820" s="16">
        <f t="shared" si="457"/>
        <v>0.58205411681129471</v>
      </c>
    </row>
    <row r="4821" spans="7:20" ht="14.4" x14ac:dyDescent="0.25">
      <c r="G4821" s="10">
        <v>5498</v>
      </c>
      <c r="H4821" s="9">
        <v>38979</v>
      </c>
      <c r="I4821" s="14">
        <f>DATE(2012,12,31)-1039</f>
        <v>40235</v>
      </c>
      <c r="J4821" s="15" t="s">
        <v>25</v>
      </c>
      <c r="K4821" s="9">
        <v>31</v>
      </c>
      <c r="L4821" s="16" t="s">
        <v>26</v>
      </c>
      <c r="M4821" s="16">
        <f t="shared" si="453"/>
        <v>0.37487478695363075</v>
      </c>
      <c r="N4821">
        <f t="shared" si="454"/>
        <v>0</v>
      </c>
      <c r="O4821">
        <f t="shared" si="455"/>
        <v>0</v>
      </c>
      <c r="P4821">
        <f t="shared" si="452"/>
        <v>4950</v>
      </c>
      <c r="Q4821">
        <f t="shared" si="456"/>
        <v>4950</v>
      </c>
      <c r="T4821" s="16">
        <f t="shared" si="457"/>
        <v>0.37487478695363036</v>
      </c>
    </row>
    <row r="4822" spans="7:20" ht="14.4" x14ac:dyDescent="0.25">
      <c r="G4822" s="10">
        <v>5588</v>
      </c>
      <c r="H4822" s="9">
        <v>39619</v>
      </c>
      <c r="I4822" s="14">
        <f>DATE(2012,12,31)-362</f>
        <v>40912</v>
      </c>
      <c r="J4822" s="15" t="s">
        <v>25</v>
      </c>
      <c r="K4822" s="9">
        <v>15</v>
      </c>
      <c r="L4822" s="16" t="s">
        <v>29</v>
      </c>
      <c r="M4822" s="16">
        <f t="shared" si="453"/>
        <v>-0.7300816389539122</v>
      </c>
      <c r="N4822">
        <f t="shared" si="454"/>
        <v>0</v>
      </c>
      <c r="O4822">
        <f t="shared" si="455"/>
        <v>0</v>
      </c>
      <c r="P4822">
        <f t="shared" si="452"/>
        <v>4150</v>
      </c>
      <c r="Q4822">
        <f t="shared" si="456"/>
        <v>4150</v>
      </c>
      <c r="T4822" s="16">
        <f t="shared" si="457"/>
        <v>-0.73008163895391265</v>
      </c>
    </row>
    <row r="4823" spans="7:20" ht="14.4" x14ac:dyDescent="0.25">
      <c r="G4823" s="10">
        <v>5670</v>
      </c>
      <c r="H4823" s="9">
        <v>40101</v>
      </c>
      <c r="I4823" s="14">
        <f>DATE(2012,12,31)-1430</f>
        <v>39844</v>
      </c>
      <c r="J4823" s="15" t="s">
        <v>25</v>
      </c>
      <c r="K4823" s="9">
        <v>46</v>
      </c>
      <c r="L4823" s="16" t="s">
        <v>27</v>
      </c>
      <c r="M4823" s="16">
        <f t="shared" si="453"/>
        <v>1.4107714362419523</v>
      </c>
      <c r="N4823">
        <f t="shared" si="454"/>
        <v>0</v>
      </c>
      <c r="O4823">
        <f t="shared" si="455"/>
        <v>0</v>
      </c>
      <c r="P4823">
        <f t="shared" si="452"/>
        <v>5700</v>
      </c>
      <c r="Q4823">
        <f t="shared" si="456"/>
        <v>5700</v>
      </c>
      <c r="T4823" s="16">
        <f t="shared" si="457"/>
        <v>1.4107714362419519</v>
      </c>
    </row>
    <row r="4824" spans="7:20" ht="14.4" x14ac:dyDescent="0.25">
      <c r="G4824" s="10">
        <v>5852</v>
      </c>
      <c r="H4824" s="9">
        <v>41542</v>
      </c>
      <c r="I4824" s="14">
        <f>DATE(2012,12,31)-1192</f>
        <v>40082</v>
      </c>
      <c r="J4824" s="15" t="s">
        <v>17</v>
      </c>
      <c r="K4824" s="9">
        <v>47</v>
      </c>
      <c r="L4824" s="16" t="s">
        <v>29</v>
      </c>
      <c r="M4824" s="16">
        <f t="shared" si="453"/>
        <v>1.4798312128611737</v>
      </c>
      <c r="N4824">
        <f t="shared" si="454"/>
        <v>0</v>
      </c>
      <c r="O4824">
        <f t="shared" si="455"/>
        <v>0</v>
      </c>
      <c r="P4824">
        <f t="shared" si="452"/>
        <v>5750</v>
      </c>
      <c r="Q4824">
        <f t="shared" si="456"/>
        <v>5750</v>
      </c>
      <c r="T4824" s="16">
        <f t="shared" si="457"/>
        <v>1.4798312128611733</v>
      </c>
    </row>
    <row r="4825" spans="7:20" ht="14.4" x14ac:dyDescent="0.25">
      <c r="G4825" s="10">
        <v>6010</v>
      </c>
      <c r="H4825" s="9">
        <v>42565</v>
      </c>
      <c r="I4825" s="14">
        <f>DATE(2012,12,31)-831</f>
        <v>40443</v>
      </c>
      <c r="J4825" s="15" t="s">
        <v>25</v>
      </c>
      <c r="K4825" s="9">
        <v>33</v>
      </c>
      <c r="L4825" s="16" t="s">
        <v>26</v>
      </c>
      <c r="M4825" s="16">
        <f t="shared" si="453"/>
        <v>0.51299434019207357</v>
      </c>
      <c r="N4825">
        <f t="shared" si="454"/>
        <v>0</v>
      </c>
      <c r="O4825">
        <f t="shared" si="455"/>
        <v>0</v>
      </c>
      <c r="P4825">
        <f t="shared" si="452"/>
        <v>5050</v>
      </c>
      <c r="Q4825">
        <f t="shared" si="456"/>
        <v>5050</v>
      </c>
      <c r="T4825" s="16">
        <f t="shared" si="457"/>
        <v>0.51299434019207324</v>
      </c>
    </row>
    <row r="4826" spans="7:20" ht="14.4" x14ac:dyDescent="0.25">
      <c r="G4826" s="10">
        <v>6041</v>
      </c>
      <c r="H4826" s="9">
        <v>42823</v>
      </c>
      <c r="I4826" s="14">
        <f>DATE(2012,12,31)-920</f>
        <v>40354</v>
      </c>
      <c r="J4826" s="15" t="s">
        <v>16</v>
      </c>
      <c r="K4826" s="9">
        <v>8</v>
      </c>
      <c r="L4826" s="16" t="s">
        <v>26</v>
      </c>
      <c r="M4826" s="16">
        <f t="shared" si="453"/>
        <v>-1.2135000752884624</v>
      </c>
      <c r="N4826">
        <f t="shared" si="454"/>
        <v>0</v>
      </c>
      <c r="O4826">
        <f t="shared" si="455"/>
        <v>0</v>
      </c>
      <c r="P4826">
        <f t="shared" si="452"/>
        <v>3800</v>
      </c>
      <c r="Q4826">
        <f t="shared" si="456"/>
        <v>3800</v>
      </c>
      <c r="T4826" s="16">
        <f t="shared" si="457"/>
        <v>-1.2135000752884626</v>
      </c>
    </row>
    <row r="4827" spans="7:20" ht="14.4" x14ac:dyDescent="0.25">
      <c r="G4827" s="10">
        <v>6131</v>
      </c>
      <c r="H4827" s="9">
        <v>43398</v>
      </c>
      <c r="I4827" s="14">
        <f>DATE(2012,12,31)-617</f>
        <v>40657</v>
      </c>
      <c r="J4827" s="15" t="s">
        <v>28</v>
      </c>
      <c r="K4827" s="9">
        <v>10</v>
      </c>
      <c r="L4827" s="16" t="s">
        <v>29</v>
      </c>
      <c r="M4827" s="16">
        <f t="shared" si="453"/>
        <v>-1.0753805220500194</v>
      </c>
      <c r="N4827">
        <f t="shared" si="454"/>
        <v>0</v>
      </c>
      <c r="O4827">
        <f t="shared" si="455"/>
        <v>0</v>
      </c>
      <c r="P4827">
        <f t="shared" si="452"/>
        <v>3900</v>
      </c>
      <c r="Q4827">
        <f t="shared" si="456"/>
        <v>3900</v>
      </c>
      <c r="T4827" s="16">
        <f t="shared" si="457"/>
        <v>-1.0753805220500199</v>
      </c>
    </row>
    <row r="4828" spans="7:20" ht="14.4" x14ac:dyDescent="0.25">
      <c r="G4828" s="10">
        <v>6212</v>
      </c>
      <c r="H4828" s="9">
        <v>44002</v>
      </c>
      <c r="I4828" s="14">
        <f>DATE(2012,12,31)-1423</f>
        <v>39851</v>
      </c>
      <c r="J4828" s="15" t="s">
        <v>16</v>
      </c>
      <c r="K4828" s="9">
        <v>46</v>
      </c>
      <c r="L4828" s="16" t="s">
        <v>26</v>
      </c>
      <c r="M4828" s="16">
        <f t="shared" si="453"/>
        <v>1.4107714362419523</v>
      </c>
      <c r="N4828">
        <f t="shared" si="454"/>
        <v>0</v>
      </c>
      <c r="O4828">
        <f t="shared" si="455"/>
        <v>0</v>
      </c>
      <c r="P4828">
        <f t="shared" si="452"/>
        <v>5700</v>
      </c>
      <c r="Q4828">
        <f t="shared" si="456"/>
        <v>5700</v>
      </c>
      <c r="T4828" s="16">
        <f t="shared" si="457"/>
        <v>1.4107714362419519</v>
      </c>
    </row>
    <row r="4829" spans="7:20" ht="14.4" x14ac:dyDescent="0.25">
      <c r="G4829" s="10">
        <v>6213</v>
      </c>
      <c r="H4829" s="9">
        <v>44002</v>
      </c>
      <c r="I4829" s="14">
        <f>DATE(2012,12,31)-1423</f>
        <v>39851</v>
      </c>
      <c r="J4829" s="15" t="s">
        <v>16</v>
      </c>
      <c r="K4829" s="9">
        <v>14</v>
      </c>
      <c r="L4829" s="16" t="s">
        <v>26</v>
      </c>
      <c r="M4829" s="16">
        <f t="shared" si="453"/>
        <v>-0.79914141557313367</v>
      </c>
      <c r="N4829">
        <f t="shared" si="454"/>
        <v>0</v>
      </c>
      <c r="O4829">
        <f t="shared" si="455"/>
        <v>0</v>
      </c>
      <c r="P4829">
        <f t="shared" si="452"/>
        <v>4100</v>
      </c>
      <c r="Q4829">
        <f t="shared" si="456"/>
        <v>4100</v>
      </c>
      <c r="T4829" s="16">
        <f t="shared" si="457"/>
        <v>-0.79914141557313401</v>
      </c>
    </row>
    <row r="4830" spans="7:20" ht="14.4" x14ac:dyDescent="0.25">
      <c r="G4830" s="10">
        <v>6236</v>
      </c>
      <c r="H4830" s="9">
        <v>44196</v>
      </c>
      <c r="I4830" s="14">
        <f>DATE(2012,12,31)-1227</f>
        <v>40047</v>
      </c>
      <c r="J4830" s="15" t="s">
        <v>28</v>
      </c>
      <c r="K4830" s="9">
        <v>10</v>
      </c>
      <c r="L4830" s="16" t="s">
        <v>26</v>
      </c>
      <c r="M4830" s="16">
        <f t="shared" si="453"/>
        <v>-1.0753805220500194</v>
      </c>
      <c r="N4830">
        <f t="shared" si="454"/>
        <v>0</v>
      </c>
      <c r="O4830">
        <f t="shared" si="455"/>
        <v>0</v>
      </c>
      <c r="P4830">
        <f t="shared" si="452"/>
        <v>3900</v>
      </c>
      <c r="Q4830">
        <f t="shared" si="456"/>
        <v>3900</v>
      </c>
      <c r="T4830" s="16">
        <f t="shared" si="457"/>
        <v>-1.0753805220500199</v>
      </c>
    </row>
    <row r="4831" spans="7:20" ht="14.4" x14ac:dyDescent="0.25">
      <c r="G4831" s="10">
        <v>6267</v>
      </c>
      <c r="H4831" s="9">
        <v>44359</v>
      </c>
      <c r="I4831" s="14">
        <f>DATE(2012,12,31)-763</f>
        <v>40511</v>
      </c>
      <c r="J4831" s="15" t="s">
        <v>17</v>
      </c>
      <c r="K4831" s="9">
        <v>19</v>
      </c>
      <c r="L4831" s="16" t="s">
        <v>26</v>
      </c>
      <c r="M4831" s="16">
        <f t="shared" si="453"/>
        <v>-0.45384253247702649</v>
      </c>
      <c r="N4831">
        <f t="shared" si="454"/>
        <v>0</v>
      </c>
      <c r="O4831">
        <f t="shared" si="455"/>
        <v>0</v>
      </c>
      <c r="P4831">
        <f t="shared" si="452"/>
        <v>4350</v>
      </c>
      <c r="Q4831">
        <f t="shared" si="456"/>
        <v>4350</v>
      </c>
      <c r="T4831" s="16">
        <f t="shared" si="457"/>
        <v>-0.45384253247702688</v>
      </c>
    </row>
    <row r="4832" spans="7:20" ht="14.4" x14ac:dyDescent="0.25">
      <c r="G4832" s="10">
        <v>6334</v>
      </c>
      <c r="H4832" s="9">
        <v>44871</v>
      </c>
      <c r="I4832" s="14">
        <f>DATE(2012,12,31)-608</f>
        <v>40666</v>
      </c>
      <c r="J4832" s="15" t="s">
        <v>30</v>
      </c>
      <c r="K4832" s="9">
        <v>27</v>
      </c>
      <c r="L4832" s="16" t="s">
        <v>26</v>
      </c>
      <c r="M4832" s="16">
        <f t="shared" si="453"/>
        <v>9.8635680476745008E-2</v>
      </c>
      <c r="N4832">
        <f t="shared" si="454"/>
        <v>0</v>
      </c>
      <c r="O4832">
        <f t="shared" si="455"/>
        <v>0</v>
      </c>
      <c r="P4832">
        <f t="shared" si="452"/>
        <v>4750</v>
      </c>
      <c r="Q4832">
        <f t="shared" si="456"/>
        <v>4750</v>
      </c>
      <c r="T4832" s="16">
        <f t="shared" si="457"/>
        <v>9.8635680476744619E-2</v>
      </c>
    </row>
    <row r="4833" spans="7:20" ht="14.4" x14ac:dyDescent="0.25">
      <c r="G4833" s="10">
        <v>6475</v>
      </c>
      <c r="H4833" s="9">
        <v>46055</v>
      </c>
      <c r="I4833" s="14">
        <f>DATE(2012,12,31)-212</f>
        <v>41062</v>
      </c>
      <c r="J4833" s="15" t="s">
        <v>16</v>
      </c>
      <c r="K4833" s="9">
        <v>25</v>
      </c>
      <c r="L4833" s="16" t="s">
        <v>27</v>
      </c>
      <c r="M4833" s="16">
        <f t="shared" si="453"/>
        <v>-3.9483872761697868E-2</v>
      </c>
      <c r="N4833">
        <f t="shared" si="454"/>
        <v>0</v>
      </c>
      <c r="O4833">
        <f t="shared" si="455"/>
        <v>0</v>
      </c>
      <c r="P4833">
        <f t="shared" si="452"/>
        <v>4650</v>
      </c>
      <c r="Q4833">
        <f t="shared" si="456"/>
        <v>4650</v>
      </c>
      <c r="T4833" s="16">
        <f t="shared" si="457"/>
        <v>-3.9483872761698249E-2</v>
      </c>
    </row>
    <row r="4834" spans="7:20" ht="14.4" x14ac:dyDescent="0.25">
      <c r="G4834" s="10">
        <v>6556</v>
      </c>
      <c r="H4834" s="9">
        <v>46624</v>
      </c>
      <c r="I4834" s="14">
        <f>DATE(2012,12,31)-980</f>
        <v>40294</v>
      </c>
      <c r="J4834" s="15" t="s">
        <v>28</v>
      </c>
      <c r="K4834" s="9">
        <v>28</v>
      </c>
      <c r="L4834" s="16" t="s">
        <v>26</v>
      </c>
      <c r="M4834" s="16">
        <f t="shared" si="453"/>
        <v>0.16769545709596645</v>
      </c>
      <c r="N4834">
        <f t="shared" si="454"/>
        <v>0</v>
      </c>
      <c r="O4834">
        <f t="shared" si="455"/>
        <v>0</v>
      </c>
      <c r="P4834">
        <f t="shared" si="452"/>
        <v>4800</v>
      </c>
      <c r="Q4834">
        <f t="shared" si="456"/>
        <v>4800</v>
      </c>
      <c r="T4834" s="16">
        <f t="shared" si="457"/>
        <v>0.16769545709596606</v>
      </c>
    </row>
    <row r="4835" spans="7:20" ht="14.4" x14ac:dyDescent="0.25">
      <c r="G4835" s="10">
        <v>6557</v>
      </c>
      <c r="H4835" s="9">
        <v>46624</v>
      </c>
      <c r="I4835" s="14">
        <f>DATE(2012,12,31)-980</f>
        <v>40294</v>
      </c>
      <c r="J4835" s="15" t="s">
        <v>28</v>
      </c>
      <c r="K4835" s="9">
        <v>12</v>
      </c>
      <c r="L4835" s="16" t="s">
        <v>26</v>
      </c>
      <c r="M4835" s="16">
        <f t="shared" si="453"/>
        <v>-0.9372609688115765</v>
      </c>
      <c r="N4835">
        <f t="shared" si="454"/>
        <v>0</v>
      </c>
      <c r="O4835">
        <f t="shared" si="455"/>
        <v>0</v>
      </c>
      <c r="P4835">
        <f t="shared" si="452"/>
        <v>4000</v>
      </c>
      <c r="Q4835">
        <f t="shared" si="456"/>
        <v>4000</v>
      </c>
      <c r="T4835" s="16">
        <f t="shared" si="457"/>
        <v>-0.93726096881157694</v>
      </c>
    </row>
    <row r="4836" spans="7:20" ht="14.4" x14ac:dyDescent="0.25">
      <c r="G4836" s="10">
        <v>6618</v>
      </c>
      <c r="H4836" s="9">
        <v>47079</v>
      </c>
      <c r="I4836" s="14">
        <f>DATE(2012,12,31)-381</f>
        <v>40893</v>
      </c>
      <c r="J4836" s="15" t="s">
        <v>30</v>
      </c>
      <c r="K4836" s="9">
        <v>34</v>
      </c>
      <c r="L4836" s="16" t="s">
        <v>29</v>
      </c>
      <c r="M4836" s="16">
        <f t="shared" si="453"/>
        <v>0.58205411681129504</v>
      </c>
      <c r="N4836">
        <f t="shared" si="454"/>
        <v>0</v>
      </c>
      <c r="O4836">
        <f t="shared" si="455"/>
        <v>0</v>
      </c>
      <c r="P4836">
        <f t="shared" si="452"/>
        <v>5100</v>
      </c>
      <c r="Q4836">
        <f t="shared" si="456"/>
        <v>5100</v>
      </c>
      <c r="T4836" s="16">
        <f t="shared" si="457"/>
        <v>0.58205411681129471</v>
      </c>
    </row>
    <row r="4837" spans="7:20" ht="14.4" x14ac:dyDescent="0.25">
      <c r="G4837" s="10">
        <v>6674</v>
      </c>
      <c r="H4837" s="9">
        <v>47494</v>
      </c>
      <c r="I4837" s="14">
        <f>DATE(2012,12,31)-1279</f>
        <v>39995</v>
      </c>
      <c r="J4837" s="15" t="s">
        <v>17</v>
      </c>
      <c r="K4837" s="9">
        <v>42</v>
      </c>
      <c r="L4837" s="16" t="s">
        <v>27</v>
      </c>
      <c r="M4837" s="16">
        <f t="shared" si="453"/>
        <v>1.1345323297650665</v>
      </c>
      <c r="N4837">
        <f t="shared" si="454"/>
        <v>0</v>
      </c>
      <c r="O4837">
        <f t="shared" si="455"/>
        <v>0</v>
      </c>
      <c r="P4837">
        <f t="shared" si="452"/>
        <v>5500</v>
      </c>
      <c r="Q4837">
        <f t="shared" si="456"/>
        <v>5500</v>
      </c>
      <c r="T4837" s="16">
        <f t="shared" si="457"/>
        <v>1.1345323297650662</v>
      </c>
    </row>
    <row r="4838" spans="7:20" ht="14.4" x14ac:dyDescent="0.25">
      <c r="G4838" s="10">
        <v>6675</v>
      </c>
      <c r="H4838" s="9">
        <v>47494</v>
      </c>
      <c r="I4838" s="14">
        <f>DATE(2012,12,31)-1279</f>
        <v>39995</v>
      </c>
      <c r="J4838" s="15" t="s">
        <v>17</v>
      </c>
      <c r="K4838" s="9">
        <v>9</v>
      </c>
      <c r="L4838" s="16" t="s">
        <v>26</v>
      </c>
      <c r="M4838" s="16">
        <f t="shared" si="453"/>
        <v>-1.1444402986692408</v>
      </c>
      <c r="N4838">
        <f t="shared" si="454"/>
        <v>0</v>
      </c>
      <c r="O4838">
        <f t="shared" si="455"/>
        <v>0</v>
      </c>
      <c r="P4838">
        <f t="shared" si="452"/>
        <v>3850</v>
      </c>
      <c r="Q4838">
        <f t="shared" si="456"/>
        <v>3850</v>
      </c>
      <c r="T4838" s="16">
        <f t="shared" si="457"/>
        <v>-1.1444402986692412</v>
      </c>
    </row>
    <row r="4839" spans="7:20" ht="14.4" x14ac:dyDescent="0.25">
      <c r="G4839" s="10">
        <v>6694</v>
      </c>
      <c r="H4839" s="9">
        <v>47622</v>
      </c>
      <c r="I4839" s="14">
        <f>DATE(2012,12,31)-110</f>
        <v>41164</v>
      </c>
      <c r="J4839" s="15" t="s">
        <v>28</v>
      </c>
      <c r="K4839" s="9">
        <v>41</v>
      </c>
      <c r="L4839" s="16" t="s">
        <v>27</v>
      </c>
      <c r="M4839" s="16">
        <f t="shared" si="453"/>
        <v>1.0654725531458451</v>
      </c>
      <c r="N4839">
        <f t="shared" si="454"/>
        <v>0</v>
      </c>
      <c r="O4839">
        <f t="shared" si="455"/>
        <v>0</v>
      </c>
      <c r="P4839">
        <f t="shared" si="452"/>
        <v>5450</v>
      </c>
      <c r="Q4839">
        <f t="shared" si="456"/>
        <v>5450</v>
      </c>
      <c r="T4839" s="16">
        <f t="shared" si="457"/>
        <v>1.0654725531458447</v>
      </c>
    </row>
    <row r="4840" spans="7:20" ht="14.4" x14ac:dyDescent="0.25">
      <c r="G4840" s="10">
        <v>6731</v>
      </c>
      <c r="H4840" s="9">
        <v>47938</v>
      </c>
      <c r="I4840" s="14">
        <f>DATE(2012,12,31)-1286</f>
        <v>39988</v>
      </c>
      <c r="J4840" s="15" t="s">
        <v>25</v>
      </c>
      <c r="K4840" s="9">
        <v>17</v>
      </c>
      <c r="L4840" s="16" t="s">
        <v>27</v>
      </c>
      <c r="M4840" s="16">
        <f t="shared" si="453"/>
        <v>-0.59196208571546938</v>
      </c>
      <c r="N4840">
        <f t="shared" si="454"/>
        <v>0</v>
      </c>
      <c r="O4840">
        <f t="shared" si="455"/>
        <v>0</v>
      </c>
      <c r="P4840">
        <f t="shared" si="452"/>
        <v>4250</v>
      </c>
      <c r="Q4840">
        <f t="shared" si="456"/>
        <v>4250</v>
      </c>
      <c r="T4840" s="16">
        <f t="shared" si="457"/>
        <v>-0.59196208571546971</v>
      </c>
    </row>
    <row r="4841" spans="7:20" ht="14.4" x14ac:dyDescent="0.25">
      <c r="G4841" s="10">
        <v>6744</v>
      </c>
      <c r="H4841" s="9">
        <v>48032</v>
      </c>
      <c r="I4841" s="14">
        <f>DATE(2012,12,31)-858</f>
        <v>40416</v>
      </c>
      <c r="J4841" s="15" t="s">
        <v>17</v>
      </c>
      <c r="K4841" s="9">
        <v>42</v>
      </c>
      <c r="L4841" s="16" t="s">
        <v>26</v>
      </c>
      <c r="M4841" s="16">
        <f t="shared" si="453"/>
        <v>1.1345323297650665</v>
      </c>
      <c r="N4841">
        <f t="shared" si="454"/>
        <v>0</v>
      </c>
      <c r="O4841">
        <f t="shared" si="455"/>
        <v>0</v>
      </c>
      <c r="P4841">
        <f t="shared" si="452"/>
        <v>5500</v>
      </c>
      <c r="Q4841">
        <f t="shared" si="456"/>
        <v>5500</v>
      </c>
      <c r="T4841" s="16">
        <f t="shared" si="457"/>
        <v>1.1345323297650662</v>
      </c>
    </row>
    <row r="4842" spans="7:20" ht="14.4" x14ac:dyDescent="0.25">
      <c r="G4842" s="10">
        <v>6745</v>
      </c>
      <c r="H4842" s="9">
        <v>48032</v>
      </c>
      <c r="I4842" s="14">
        <f>DATE(2012,12,31)-858</f>
        <v>40416</v>
      </c>
      <c r="J4842" s="15" t="s">
        <v>17</v>
      </c>
      <c r="K4842" s="9">
        <v>29</v>
      </c>
      <c r="L4842" s="16" t="s">
        <v>26</v>
      </c>
      <c r="M4842" s="16">
        <f t="shared" si="453"/>
        <v>0.23675523371518786</v>
      </c>
      <c r="N4842">
        <f t="shared" si="454"/>
        <v>0</v>
      </c>
      <c r="O4842">
        <f t="shared" si="455"/>
        <v>0</v>
      </c>
      <c r="P4842">
        <f t="shared" si="452"/>
        <v>4850</v>
      </c>
      <c r="Q4842">
        <f t="shared" si="456"/>
        <v>4850</v>
      </c>
      <c r="T4842" s="16">
        <f t="shared" si="457"/>
        <v>0.2367552337151875</v>
      </c>
    </row>
    <row r="4843" spans="7:20" ht="14.4" x14ac:dyDescent="0.25">
      <c r="G4843" s="10">
        <v>6884</v>
      </c>
      <c r="H4843" s="9">
        <v>49062</v>
      </c>
      <c r="I4843" s="14">
        <f>DATE(2012,12,31)-264</f>
        <v>41010</v>
      </c>
      <c r="J4843" s="15" t="s">
        <v>25</v>
      </c>
      <c r="K4843" s="9">
        <v>33</v>
      </c>
      <c r="L4843" s="16" t="s">
        <v>26</v>
      </c>
      <c r="M4843" s="16">
        <f t="shared" si="453"/>
        <v>0.51299434019207357</v>
      </c>
      <c r="N4843">
        <f t="shared" si="454"/>
        <v>0</v>
      </c>
      <c r="O4843">
        <f t="shared" si="455"/>
        <v>0</v>
      </c>
      <c r="P4843">
        <f t="shared" si="452"/>
        <v>5050</v>
      </c>
      <c r="Q4843">
        <f t="shared" si="456"/>
        <v>5050</v>
      </c>
      <c r="T4843" s="16">
        <f t="shared" si="457"/>
        <v>0.51299434019207324</v>
      </c>
    </row>
    <row r="4844" spans="7:20" ht="14.4" x14ac:dyDescent="0.25">
      <c r="G4844" s="10">
        <v>6941</v>
      </c>
      <c r="H4844" s="9">
        <v>49541</v>
      </c>
      <c r="I4844" s="14">
        <f>DATE(2012,12,31)-1445</f>
        <v>39829</v>
      </c>
      <c r="J4844" s="15" t="s">
        <v>16</v>
      </c>
      <c r="K4844" s="9">
        <v>35</v>
      </c>
      <c r="L4844" s="16" t="s">
        <v>26</v>
      </c>
      <c r="M4844" s="16">
        <f t="shared" si="453"/>
        <v>0.65111389343051651</v>
      </c>
      <c r="N4844">
        <f t="shared" si="454"/>
        <v>0</v>
      </c>
      <c r="O4844">
        <f t="shared" si="455"/>
        <v>0</v>
      </c>
      <c r="P4844">
        <f t="shared" si="452"/>
        <v>5150</v>
      </c>
      <c r="Q4844">
        <f t="shared" si="456"/>
        <v>5150</v>
      </c>
      <c r="T4844" s="16">
        <f t="shared" si="457"/>
        <v>0.65111389343051607</v>
      </c>
    </row>
    <row r="4845" spans="7:20" ht="14.4" x14ac:dyDescent="0.25">
      <c r="G4845" s="10">
        <v>6970</v>
      </c>
      <c r="H4845" s="9">
        <v>49799</v>
      </c>
      <c r="I4845" s="14">
        <f>DATE(2012,12,31)-1225</f>
        <v>40049</v>
      </c>
      <c r="J4845" s="15" t="s">
        <v>17</v>
      </c>
      <c r="K4845" s="9">
        <v>4</v>
      </c>
      <c r="L4845" s="16" t="s">
        <v>29</v>
      </c>
      <c r="M4845" s="16">
        <f t="shared" si="453"/>
        <v>-1.489739181765348</v>
      </c>
      <c r="N4845">
        <f t="shared" si="454"/>
        <v>0</v>
      </c>
      <c r="O4845">
        <f t="shared" si="455"/>
        <v>0</v>
      </c>
      <c r="P4845">
        <f t="shared" si="452"/>
        <v>3600</v>
      </c>
      <c r="Q4845">
        <f t="shared" si="456"/>
        <v>3600</v>
      </c>
      <c r="T4845" s="16">
        <f t="shared" si="457"/>
        <v>-1.4897391817653485</v>
      </c>
    </row>
    <row r="4846" spans="7:20" ht="14.4" x14ac:dyDescent="0.25">
      <c r="G4846" s="10">
        <v>6971</v>
      </c>
      <c r="H4846" s="9">
        <v>49799</v>
      </c>
      <c r="I4846" s="14">
        <f>DATE(2012,12,31)-1225</f>
        <v>40049</v>
      </c>
      <c r="J4846" s="15" t="s">
        <v>17</v>
      </c>
      <c r="K4846" s="9">
        <v>12</v>
      </c>
      <c r="L4846" s="16" t="s">
        <v>27</v>
      </c>
      <c r="M4846" s="16">
        <f t="shared" si="453"/>
        <v>-0.9372609688115765</v>
      </c>
      <c r="N4846">
        <f t="shared" si="454"/>
        <v>0</v>
      </c>
      <c r="O4846">
        <f t="shared" si="455"/>
        <v>0</v>
      </c>
      <c r="P4846">
        <f t="shared" si="452"/>
        <v>4000</v>
      </c>
      <c r="Q4846">
        <f t="shared" si="456"/>
        <v>4000</v>
      </c>
      <c r="T4846" s="16">
        <f t="shared" si="457"/>
        <v>-0.93726096881157694</v>
      </c>
    </row>
    <row r="4847" spans="7:20" ht="14.4" x14ac:dyDescent="0.25">
      <c r="G4847" s="10">
        <v>6973</v>
      </c>
      <c r="H4847" s="9">
        <v>49828</v>
      </c>
      <c r="I4847" s="14">
        <f>DATE(2012,12,31)-489</f>
        <v>40785</v>
      </c>
      <c r="J4847" s="15" t="s">
        <v>16</v>
      </c>
      <c r="K4847" s="9">
        <v>39</v>
      </c>
      <c r="L4847" s="16" t="s">
        <v>26</v>
      </c>
      <c r="M4847" s="16">
        <f t="shared" si="453"/>
        <v>0.92735299990740228</v>
      </c>
      <c r="N4847">
        <f t="shared" si="454"/>
        <v>0</v>
      </c>
      <c r="O4847">
        <f t="shared" si="455"/>
        <v>0</v>
      </c>
      <c r="P4847">
        <f t="shared" si="452"/>
        <v>5350</v>
      </c>
      <c r="Q4847">
        <f t="shared" si="456"/>
        <v>5350</v>
      </c>
      <c r="T4847" s="16">
        <f t="shared" si="457"/>
        <v>0.92735299990740183</v>
      </c>
    </row>
    <row r="4848" spans="7:20" ht="14.4" x14ac:dyDescent="0.25">
      <c r="G4848" s="10">
        <v>7014</v>
      </c>
      <c r="H4848" s="9">
        <v>50054</v>
      </c>
      <c r="I4848" s="14">
        <f>DATE(2012,12,31)-847</f>
        <v>40427</v>
      </c>
      <c r="J4848" s="15" t="s">
        <v>28</v>
      </c>
      <c r="K4848" s="9">
        <v>50</v>
      </c>
      <c r="L4848" s="16" t="s">
        <v>27</v>
      </c>
      <c r="M4848" s="16">
        <f t="shared" si="453"/>
        <v>1.687010542718838</v>
      </c>
      <c r="N4848">
        <f t="shared" si="454"/>
        <v>0</v>
      </c>
      <c r="O4848">
        <f t="shared" si="455"/>
        <v>0</v>
      </c>
      <c r="P4848">
        <f t="shared" si="452"/>
        <v>5900</v>
      </c>
      <c r="Q4848">
        <f t="shared" si="456"/>
        <v>5900</v>
      </c>
      <c r="T4848" s="16">
        <f t="shared" si="457"/>
        <v>1.6870105427188375</v>
      </c>
    </row>
    <row r="4849" spans="7:20" ht="14.4" x14ac:dyDescent="0.25">
      <c r="G4849" s="10">
        <v>7015</v>
      </c>
      <c r="H4849" s="9">
        <v>50054</v>
      </c>
      <c r="I4849" s="14">
        <f>DATE(2012,12,31)-847</f>
        <v>40427</v>
      </c>
      <c r="J4849" s="15" t="s">
        <v>28</v>
      </c>
      <c r="K4849" s="9">
        <v>41</v>
      </c>
      <c r="L4849" s="16" t="s">
        <v>26</v>
      </c>
      <c r="M4849" s="16">
        <f t="shared" si="453"/>
        <v>1.0654725531458451</v>
      </c>
      <c r="N4849">
        <f t="shared" si="454"/>
        <v>0</v>
      </c>
      <c r="O4849">
        <f t="shared" si="455"/>
        <v>0</v>
      </c>
      <c r="P4849">
        <f t="shared" si="452"/>
        <v>5450</v>
      </c>
      <c r="Q4849">
        <f t="shared" si="456"/>
        <v>5450</v>
      </c>
      <c r="T4849" s="16">
        <f t="shared" si="457"/>
        <v>1.0654725531458447</v>
      </c>
    </row>
    <row r="4850" spans="7:20" ht="14.4" x14ac:dyDescent="0.25">
      <c r="G4850" s="10">
        <v>7058</v>
      </c>
      <c r="H4850" s="9">
        <v>50370</v>
      </c>
      <c r="I4850" s="14">
        <f>DATE(2012,12,31)-55</f>
        <v>41219</v>
      </c>
      <c r="J4850" s="15" t="s">
        <v>30</v>
      </c>
      <c r="K4850" s="9">
        <v>25</v>
      </c>
      <c r="L4850" s="16" t="s">
        <v>26</v>
      </c>
      <c r="M4850" s="16">
        <f t="shared" si="453"/>
        <v>-3.9483872761697868E-2</v>
      </c>
      <c r="N4850">
        <f t="shared" si="454"/>
        <v>0</v>
      </c>
      <c r="O4850">
        <f t="shared" si="455"/>
        <v>0</v>
      </c>
      <c r="P4850">
        <f t="shared" si="452"/>
        <v>4650</v>
      </c>
      <c r="Q4850">
        <f t="shared" si="456"/>
        <v>4650</v>
      </c>
      <c r="T4850" s="16">
        <f t="shared" si="457"/>
        <v>-3.9483872761698249E-2</v>
      </c>
    </row>
    <row r="4851" spans="7:20" ht="14.4" x14ac:dyDescent="0.25">
      <c r="G4851" s="10">
        <v>7150</v>
      </c>
      <c r="H4851" s="9">
        <v>51009</v>
      </c>
      <c r="I4851" s="14">
        <f>DATE(2012,12,31)-422</f>
        <v>40852</v>
      </c>
      <c r="J4851" s="15" t="s">
        <v>28</v>
      </c>
      <c r="K4851" s="9">
        <v>10</v>
      </c>
      <c r="L4851" s="16" t="s">
        <v>29</v>
      </c>
      <c r="M4851" s="16">
        <f t="shared" si="453"/>
        <v>-1.0753805220500194</v>
      </c>
      <c r="N4851">
        <f t="shared" si="454"/>
        <v>0</v>
      </c>
      <c r="O4851">
        <f t="shared" si="455"/>
        <v>0</v>
      </c>
      <c r="P4851">
        <f t="shared" si="452"/>
        <v>3900</v>
      </c>
      <c r="Q4851">
        <f t="shared" si="456"/>
        <v>3900</v>
      </c>
      <c r="T4851" s="16">
        <f t="shared" si="457"/>
        <v>-1.0753805220500199</v>
      </c>
    </row>
    <row r="4852" spans="7:20" ht="14.4" x14ac:dyDescent="0.25">
      <c r="G4852" s="10">
        <v>7698</v>
      </c>
      <c r="H4852" s="9">
        <v>55200</v>
      </c>
      <c r="I4852" s="14">
        <f>DATE(2012,12,31)-856</f>
        <v>40418</v>
      </c>
      <c r="J4852" s="15" t="s">
        <v>16</v>
      </c>
      <c r="K4852" s="9">
        <v>33</v>
      </c>
      <c r="L4852" s="16" t="s">
        <v>26</v>
      </c>
      <c r="M4852" s="16">
        <f t="shared" si="453"/>
        <v>0.51299434019207357</v>
      </c>
      <c r="N4852">
        <f t="shared" si="454"/>
        <v>0</v>
      </c>
      <c r="O4852">
        <f t="shared" si="455"/>
        <v>0</v>
      </c>
      <c r="P4852">
        <f t="shared" si="452"/>
        <v>5050</v>
      </c>
      <c r="Q4852">
        <f t="shared" si="456"/>
        <v>5050</v>
      </c>
      <c r="T4852" s="16">
        <f t="shared" si="457"/>
        <v>0.51299434019207324</v>
      </c>
    </row>
    <row r="4853" spans="7:20" ht="14.4" x14ac:dyDescent="0.25">
      <c r="G4853" s="10">
        <v>7699</v>
      </c>
      <c r="H4853" s="9">
        <v>55200</v>
      </c>
      <c r="I4853" s="14">
        <f>DATE(2012,12,31)-856</f>
        <v>40418</v>
      </c>
      <c r="J4853" s="15" t="s">
        <v>16</v>
      </c>
      <c r="K4853" s="9">
        <v>4</v>
      </c>
      <c r="L4853" s="16" t="s">
        <v>27</v>
      </c>
      <c r="M4853" s="16">
        <f t="shared" si="453"/>
        <v>-1.489739181765348</v>
      </c>
      <c r="N4853">
        <f t="shared" si="454"/>
        <v>0</v>
      </c>
      <c r="O4853">
        <f t="shared" si="455"/>
        <v>0</v>
      </c>
      <c r="P4853">
        <f t="shared" si="452"/>
        <v>3600</v>
      </c>
      <c r="Q4853">
        <f t="shared" si="456"/>
        <v>3600</v>
      </c>
      <c r="T4853" s="16">
        <f t="shared" si="457"/>
        <v>-1.4897391817653485</v>
      </c>
    </row>
    <row r="4854" spans="7:20" ht="14.4" x14ac:dyDescent="0.25">
      <c r="G4854" s="10">
        <v>7799</v>
      </c>
      <c r="H4854" s="9">
        <v>55808</v>
      </c>
      <c r="I4854" s="14">
        <f>DATE(2012,12,31)-686</f>
        <v>40588</v>
      </c>
      <c r="J4854" s="15" t="s">
        <v>28</v>
      </c>
      <c r="K4854" s="9">
        <v>6</v>
      </c>
      <c r="L4854" s="16" t="s">
        <v>29</v>
      </c>
      <c r="M4854" s="16">
        <f t="shared" si="453"/>
        <v>-1.3516196285269051</v>
      </c>
      <c r="N4854">
        <f t="shared" si="454"/>
        <v>0</v>
      </c>
      <c r="O4854">
        <f t="shared" si="455"/>
        <v>0</v>
      </c>
      <c r="P4854">
        <f t="shared" si="452"/>
        <v>3700</v>
      </c>
      <c r="Q4854">
        <f t="shared" si="456"/>
        <v>3700</v>
      </c>
      <c r="T4854" s="16">
        <f t="shared" si="457"/>
        <v>-1.3516196285269055</v>
      </c>
    </row>
    <row r="4855" spans="7:20" ht="14.4" x14ac:dyDescent="0.25">
      <c r="G4855" s="10">
        <v>7800</v>
      </c>
      <c r="H4855" s="9">
        <v>55808</v>
      </c>
      <c r="I4855" s="14">
        <f>DATE(2012,12,31)-686</f>
        <v>40588</v>
      </c>
      <c r="J4855" s="15" t="s">
        <v>28</v>
      </c>
      <c r="K4855" s="9">
        <v>45</v>
      </c>
      <c r="L4855" s="16" t="s">
        <v>27</v>
      </c>
      <c r="M4855" s="16">
        <f t="shared" si="453"/>
        <v>1.3417116596227308</v>
      </c>
      <c r="N4855">
        <f t="shared" si="454"/>
        <v>0</v>
      </c>
      <c r="O4855">
        <f t="shared" si="455"/>
        <v>0</v>
      </c>
      <c r="P4855">
        <f t="shared" si="452"/>
        <v>5650</v>
      </c>
      <c r="Q4855">
        <f t="shared" si="456"/>
        <v>5650</v>
      </c>
      <c r="T4855" s="16">
        <f t="shared" si="457"/>
        <v>1.3417116596227305</v>
      </c>
    </row>
    <row r="4856" spans="7:20" ht="14.4" x14ac:dyDescent="0.25">
      <c r="G4856" s="10">
        <v>7823</v>
      </c>
      <c r="H4856" s="9">
        <v>55937</v>
      </c>
      <c r="I4856" s="14">
        <f>DATE(2012,12,31)-1435</f>
        <v>39839</v>
      </c>
      <c r="J4856" s="15" t="s">
        <v>16</v>
      </c>
      <c r="K4856" s="9">
        <v>10</v>
      </c>
      <c r="L4856" s="16" t="s">
        <v>27</v>
      </c>
      <c r="M4856" s="16">
        <f t="shared" si="453"/>
        <v>-1.0753805220500194</v>
      </c>
      <c r="N4856">
        <f t="shared" si="454"/>
        <v>0</v>
      </c>
      <c r="O4856">
        <f t="shared" si="455"/>
        <v>0</v>
      </c>
      <c r="P4856">
        <f t="shared" si="452"/>
        <v>3900</v>
      </c>
      <c r="Q4856">
        <f t="shared" si="456"/>
        <v>3900</v>
      </c>
      <c r="T4856" s="16">
        <f t="shared" si="457"/>
        <v>-1.0753805220500199</v>
      </c>
    </row>
    <row r="4857" spans="7:20" ht="14.4" x14ac:dyDescent="0.25">
      <c r="G4857" s="10">
        <v>7824</v>
      </c>
      <c r="H4857" s="9">
        <v>55937</v>
      </c>
      <c r="I4857" s="14">
        <f>DATE(2012,12,31)-1435</f>
        <v>39839</v>
      </c>
      <c r="J4857" s="15" t="s">
        <v>16</v>
      </c>
      <c r="K4857" s="9">
        <v>24</v>
      </c>
      <c r="L4857" s="16" t="s">
        <v>29</v>
      </c>
      <c r="M4857" s="16">
        <f t="shared" si="453"/>
        <v>-0.1085436493809193</v>
      </c>
      <c r="N4857">
        <f t="shared" si="454"/>
        <v>0</v>
      </c>
      <c r="O4857">
        <f t="shared" si="455"/>
        <v>0</v>
      </c>
      <c r="P4857">
        <f t="shared" si="452"/>
        <v>4600</v>
      </c>
      <c r="Q4857">
        <f t="shared" si="456"/>
        <v>4600</v>
      </c>
      <c r="T4857" s="16">
        <f t="shared" si="457"/>
        <v>-0.10854364938091969</v>
      </c>
    </row>
    <row r="4858" spans="7:20" ht="14.4" x14ac:dyDescent="0.25">
      <c r="G4858" s="10">
        <v>7854</v>
      </c>
      <c r="H4858" s="9">
        <v>56161</v>
      </c>
      <c r="I4858" s="14">
        <f>DATE(2012,12,31)-261</f>
        <v>41013</v>
      </c>
      <c r="J4858" s="15" t="s">
        <v>17</v>
      </c>
      <c r="K4858" s="9">
        <v>38</v>
      </c>
      <c r="L4858" s="16" t="s">
        <v>27</v>
      </c>
      <c r="M4858" s="16">
        <f t="shared" si="453"/>
        <v>0.85829322328818081</v>
      </c>
      <c r="N4858">
        <f t="shared" si="454"/>
        <v>0</v>
      </c>
      <c r="O4858">
        <f t="shared" si="455"/>
        <v>0</v>
      </c>
      <c r="P4858">
        <f t="shared" si="452"/>
        <v>5300</v>
      </c>
      <c r="Q4858">
        <f t="shared" si="456"/>
        <v>5300</v>
      </c>
      <c r="T4858" s="16">
        <f t="shared" si="457"/>
        <v>0.85829322328818036</v>
      </c>
    </row>
    <row r="4859" spans="7:20" ht="14.4" x14ac:dyDescent="0.25">
      <c r="G4859" s="10">
        <v>8050</v>
      </c>
      <c r="H4859" s="9">
        <v>57477</v>
      </c>
      <c r="I4859" s="14">
        <f>DATE(2012,12,31)-827</f>
        <v>40447</v>
      </c>
      <c r="J4859" s="15" t="s">
        <v>17</v>
      </c>
      <c r="K4859" s="9">
        <v>50</v>
      </c>
      <c r="L4859" s="16" t="s">
        <v>26</v>
      </c>
      <c r="M4859" s="16">
        <f t="shared" si="453"/>
        <v>1.687010542718838</v>
      </c>
      <c r="N4859">
        <f t="shared" si="454"/>
        <v>0</v>
      </c>
      <c r="O4859">
        <f t="shared" si="455"/>
        <v>0</v>
      </c>
      <c r="P4859">
        <f t="shared" si="452"/>
        <v>5900</v>
      </c>
      <c r="Q4859">
        <f t="shared" si="456"/>
        <v>5900</v>
      </c>
      <c r="T4859" s="16">
        <f t="shared" si="457"/>
        <v>1.6870105427188375</v>
      </c>
    </row>
    <row r="4860" spans="7:20" ht="14.4" x14ac:dyDescent="0.25">
      <c r="G4860" s="10">
        <v>8051</v>
      </c>
      <c r="H4860" s="9">
        <v>57477</v>
      </c>
      <c r="I4860" s="14">
        <f>DATE(2012,12,31)-827</f>
        <v>40447</v>
      </c>
      <c r="J4860" s="15" t="s">
        <v>17</v>
      </c>
      <c r="K4860" s="9">
        <v>45</v>
      </c>
      <c r="L4860" s="16" t="s">
        <v>27</v>
      </c>
      <c r="M4860" s="16">
        <f t="shared" si="453"/>
        <v>1.3417116596227308</v>
      </c>
      <c r="N4860">
        <f t="shared" si="454"/>
        <v>0</v>
      </c>
      <c r="O4860">
        <f t="shared" si="455"/>
        <v>0</v>
      </c>
      <c r="P4860">
        <f t="shared" si="452"/>
        <v>5650</v>
      </c>
      <c r="Q4860">
        <f t="shared" si="456"/>
        <v>5650</v>
      </c>
      <c r="T4860" s="16">
        <f t="shared" si="457"/>
        <v>1.3417116596227305</v>
      </c>
    </row>
    <row r="4861" spans="7:20" ht="14.4" x14ac:dyDescent="0.25">
      <c r="G4861" s="10">
        <v>8255</v>
      </c>
      <c r="H4861" s="9">
        <v>59044</v>
      </c>
      <c r="I4861" s="14">
        <f>DATE(2012,12,31)-530</f>
        <v>40744</v>
      </c>
      <c r="J4861" s="15" t="s">
        <v>30</v>
      </c>
      <c r="K4861" s="9">
        <v>6</v>
      </c>
      <c r="L4861" s="16" t="s">
        <v>26</v>
      </c>
      <c r="M4861" s="16">
        <f t="shared" si="453"/>
        <v>-1.3516196285269051</v>
      </c>
      <c r="N4861">
        <f t="shared" si="454"/>
        <v>0</v>
      </c>
      <c r="O4861">
        <f t="shared" si="455"/>
        <v>0</v>
      </c>
      <c r="P4861">
        <f t="shared" si="452"/>
        <v>3700</v>
      </c>
      <c r="Q4861">
        <f t="shared" si="456"/>
        <v>3700</v>
      </c>
      <c r="T4861" s="16">
        <f t="shared" si="457"/>
        <v>-1.3516196285269055</v>
      </c>
    </row>
    <row r="4862" spans="7:20" ht="14.4" x14ac:dyDescent="0.25">
      <c r="G4862" s="10">
        <v>8286</v>
      </c>
      <c r="H4862" s="9">
        <v>59204</v>
      </c>
      <c r="I4862" s="14">
        <f>DATE(2012,12,31)-306</f>
        <v>40968</v>
      </c>
      <c r="J4862" s="15" t="s">
        <v>16</v>
      </c>
      <c r="K4862" s="9">
        <v>25</v>
      </c>
      <c r="L4862" s="16" t="s">
        <v>26</v>
      </c>
      <c r="M4862" s="16">
        <f t="shared" si="453"/>
        <v>-3.9483872761697868E-2</v>
      </c>
      <c r="N4862">
        <f t="shared" si="454"/>
        <v>0</v>
      </c>
      <c r="O4862">
        <f t="shared" si="455"/>
        <v>0</v>
      </c>
      <c r="P4862">
        <f t="shared" si="452"/>
        <v>4650</v>
      </c>
      <c r="Q4862">
        <f t="shared" si="456"/>
        <v>4650</v>
      </c>
      <c r="T4862" s="16">
        <f t="shared" si="457"/>
        <v>-3.9483872761698249E-2</v>
      </c>
    </row>
    <row r="4863" spans="7:20" ht="14.4" x14ac:dyDescent="0.25">
      <c r="G4863" s="10">
        <v>8393</v>
      </c>
      <c r="H4863" s="9">
        <v>59969</v>
      </c>
      <c r="I4863" s="14">
        <f>DATE(2012,12,31)-355</f>
        <v>40919</v>
      </c>
      <c r="J4863" s="15" t="s">
        <v>17</v>
      </c>
      <c r="K4863" s="9">
        <v>42</v>
      </c>
      <c r="L4863" s="16" t="s">
        <v>26</v>
      </c>
      <c r="M4863" s="16">
        <f t="shared" si="453"/>
        <v>1.1345323297650665</v>
      </c>
      <c r="N4863">
        <f t="shared" si="454"/>
        <v>0</v>
      </c>
      <c r="O4863">
        <f t="shared" si="455"/>
        <v>0</v>
      </c>
      <c r="P4863">
        <f t="shared" si="452"/>
        <v>5500</v>
      </c>
      <c r="Q4863">
        <f t="shared" si="456"/>
        <v>5500</v>
      </c>
      <c r="T4863" s="16">
        <f t="shared" si="457"/>
        <v>1.1345323297650662</v>
      </c>
    </row>
    <row r="4864" spans="7:20" ht="14.4" x14ac:dyDescent="0.25">
      <c r="G4864" s="10">
        <v>8394</v>
      </c>
      <c r="H4864" s="9">
        <v>59969</v>
      </c>
      <c r="I4864" s="14">
        <f>DATE(2012,12,31)-355</f>
        <v>40919</v>
      </c>
      <c r="J4864" s="15" t="s">
        <v>17</v>
      </c>
      <c r="K4864" s="9">
        <v>16</v>
      </c>
      <c r="L4864" s="16" t="s">
        <v>26</v>
      </c>
      <c r="M4864" s="16">
        <f t="shared" si="453"/>
        <v>-0.66102186233469074</v>
      </c>
      <c r="N4864">
        <f t="shared" si="454"/>
        <v>0</v>
      </c>
      <c r="O4864">
        <f t="shared" si="455"/>
        <v>0</v>
      </c>
      <c r="P4864">
        <f t="shared" si="452"/>
        <v>4200</v>
      </c>
      <c r="Q4864">
        <f t="shared" si="456"/>
        <v>4200</v>
      </c>
      <c r="T4864" s="16">
        <f t="shared" si="457"/>
        <v>-0.66102186233469118</v>
      </c>
    </row>
    <row r="4865" spans="7:20" ht="14.4" x14ac:dyDescent="0.25">
      <c r="G4865" s="10">
        <v>26</v>
      </c>
      <c r="H4865" s="9">
        <v>166</v>
      </c>
      <c r="I4865" s="14">
        <f>DATE(2012,12,31)-477</f>
        <v>40797</v>
      </c>
      <c r="J4865" s="15" t="s">
        <v>17</v>
      </c>
      <c r="K4865" s="9">
        <v>10</v>
      </c>
      <c r="L4865" s="16" t="s">
        <v>27</v>
      </c>
      <c r="M4865" s="16">
        <f t="shared" si="453"/>
        <v>-1.0753805220500194</v>
      </c>
      <c r="N4865">
        <f t="shared" si="454"/>
        <v>0</v>
      </c>
      <c r="O4865">
        <f t="shared" si="455"/>
        <v>0</v>
      </c>
      <c r="P4865">
        <f t="shared" si="452"/>
        <v>3900</v>
      </c>
      <c r="Q4865">
        <f t="shared" si="456"/>
        <v>3900</v>
      </c>
      <c r="T4865" s="16">
        <f t="shared" si="457"/>
        <v>-1.0753805220500199</v>
      </c>
    </row>
    <row r="4866" spans="7:20" ht="14.4" x14ac:dyDescent="0.25">
      <c r="G4866" s="10">
        <v>31</v>
      </c>
      <c r="H4866" s="9">
        <v>197</v>
      </c>
      <c r="I4866" s="14">
        <f>DATE(2012,12,31)-635</f>
        <v>40639</v>
      </c>
      <c r="J4866" s="15" t="s">
        <v>17</v>
      </c>
      <c r="K4866" s="9">
        <v>23</v>
      </c>
      <c r="L4866" s="16" t="s">
        <v>26</v>
      </c>
      <c r="M4866" s="16">
        <f t="shared" si="453"/>
        <v>-0.17760342600014073</v>
      </c>
      <c r="N4866">
        <f t="shared" si="454"/>
        <v>0</v>
      </c>
      <c r="O4866">
        <f t="shared" si="455"/>
        <v>0</v>
      </c>
      <c r="P4866">
        <f t="shared" si="452"/>
        <v>4550</v>
      </c>
      <c r="Q4866">
        <f t="shared" si="456"/>
        <v>4550</v>
      </c>
      <c r="T4866" s="16">
        <f t="shared" si="457"/>
        <v>-0.17760342600014112</v>
      </c>
    </row>
    <row r="4867" spans="7:20" ht="14.4" x14ac:dyDescent="0.25">
      <c r="G4867" s="10">
        <v>41</v>
      </c>
      <c r="H4867" s="9">
        <v>231</v>
      </c>
      <c r="I4867" s="14">
        <f>DATE(2012,12,31)-1190</f>
        <v>40084</v>
      </c>
      <c r="J4867" s="15" t="s">
        <v>17</v>
      </c>
      <c r="K4867" s="9">
        <v>2</v>
      </c>
      <c r="L4867" s="16" t="s">
        <v>26</v>
      </c>
      <c r="M4867" s="16">
        <f t="shared" si="453"/>
        <v>-1.627858735003791</v>
      </c>
      <c r="N4867">
        <f t="shared" si="454"/>
        <v>0</v>
      </c>
      <c r="O4867">
        <f t="shared" si="455"/>
        <v>0</v>
      </c>
      <c r="P4867">
        <f t="shared" si="452"/>
        <v>3500</v>
      </c>
      <c r="Q4867">
        <f t="shared" si="456"/>
        <v>3500</v>
      </c>
      <c r="T4867" s="16">
        <f t="shared" si="457"/>
        <v>-1.6278587350037912</v>
      </c>
    </row>
    <row r="4868" spans="7:20" ht="14.4" x14ac:dyDescent="0.25">
      <c r="G4868" s="10">
        <v>81</v>
      </c>
      <c r="H4868" s="9">
        <v>487</v>
      </c>
      <c r="I4868" s="14">
        <f>DATE(2012,12,31)-136</f>
        <v>41138</v>
      </c>
      <c r="J4868" s="15" t="s">
        <v>30</v>
      </c>
      <c r="K4868" s="9">
        <v>19</v>
      </c>
      <c r="L4868" s="16" t="s">
        <v>26</v>
      </c>
      <c r="M4868" s="16">
        <f t="shared" si="453"/>
        <v>-0.45384253247702649</v>
      </c>
      <c r="N4868">
        <f t="shared" si="454"/>
        <v>0</v>
      </c>
      <c r="O4868">
        <f t="shared" si="455"/>
        <v>0</v>
      </c>
      <c r="P4868">
        <f t="shared" si="452"/>
        <v>4350</v>
      </c>
      <c r="Q4868">
        <f t="shared" si="456"/>
        <v>4350</v>
      </c>
      <c r="T4868" s="16">
        <f t="shared" si="457"/>
        <v>-0.45384253247702688</v>
      </c>
    </row>
    <row r="4869" spans="7:20" ht="14.4" x14ac:dyDescent="0.25">
      <c r="G4869" s="10">
        <v>109</v>
      </c>
      <c r="H4869" s="9">
        <v>710</v>
      </c>
      <c r="I4869" s="14">
        <f>DATE(2012,12,31)-1095</f>
        <v>40179</v>
      </c>
      <c r="J4869" s="15" t="s">
        <v>25</v>
      </c>
      <c r="K4869" s="9">
        <v>42</v>
      </c>
      <c r="L4869" s="16" t="s">
        <v>26</v>
      </c>
      <c r="M4869" s="16">
        <f t="shared" si="453"/>
        <v>1.1345323297650665</v>
      </c>
      <c r="N4869">
        <f t="shared" si="454"/>
        <v>0</v>
      </c>
      <c r="O4869">
        <f t="shared" si="455"/>
        <v>0</v>
      </c>
      <c r="P4869">
        <f t="shared" si="452"/>
        <v>5500</v>
      </c>
      <c r="Q4869">
        <f t="shared" si="456"/>
        <v>5500</v>
      </c>
      <c r="T4869" s="16">
        <f t="shared" si="457"/>
        <v>1.1345323297650662</v>
      </c>
    </row>
    <row r="4870" spans="7:20" ht="14.4" x14ac:dyDescent="0.25">
      <c r="G4870" s="10">
        <v>110</v>
      </c>
      <c r="H4870" s="9">
        <v>710</v>
      </c>
      <c r="I4870" s="14">
        <f>DATE(2012,12,31)-1095</f>
        <v>40179</v>
      </c>
      <c r="J4870" s="15" t="s">
        <v>25</v>
      </c>
      <c r="K4870" s="9">
        <v>11</v>
      </c>
      <c r="L4870" s="16" t="s">
        <v>29</v>
      </c>
      <c r="M4870" s="16">
        <f t="shared" si="453"/>
        <v>-1.0063207454307979</v>
      </c>
      <c r="N4870">
        <f t="shared" si="454"/>
        <v>0</v>
      </c>
      <c r="O4870">
        <f t="shared" si="455"/>
        <v>0</v>
      </c>
      <c r="P4870">
        <f t="shared" si="452"/>
        <v>3950</v>
      </c>
      <c r="Q4870">
        <f t="shared" si="456"/>
        <v>3950</v>
      </c>
      <c r="T4870" s="16">
        <f t="shared" si="457"/>
        <v>-1.0063207454307983</v>
      </c>
    </row>
    <row r="4871" spans="7:20" ht="14.4" x14ac:dyDescent="0.25">
      <c r="G4871" s="10">
        <v>111</v>
      </c>
      <c r="H4871" s="9">
        <v>710</v>
      </c>
      <c r="I4871" s="14">
        <f>DATE(2012,12,31)-1095</f>
        <v>40179</v>
      </c>
      <c r="J4871" s="15" t="s">
        <v>25</v>
      </c>
      <c r="K4871" s="9">
        <v>29</v>
      </c>
      <c r="L4871" s="16" t="s">
        <v>27</v>
      </c>
      <c r="M4871" s="16">
        <f t="shared" si="453"/>
        <v>0.23675523371518786</v>
      </c>
      <c r="N4871">
        <f t="shared" si="454"/>
        <v>0</v>
      </c>
      <c r="O4871">
        <f t="shared" si="455"/>
        <v>0</v>
      </c>
      <c r="P4871">
        <f t="shared" si="452"/>
        <v>4850</v>
      </c>
      <c r="Q4871">
        <f t="shared" si="456"/>
        <v>4850</v>
      </c>
      <c r="T4871" s="16">
        <f t="shared" si="457"/>
        <v>0.2367552337151875</v>
      </c>
    </row>
    <row r="4872" spans="7:20" ht="14.4" x14ac:dyDescent="0.25">
      <c r="G4872" s="10">
        <v>123</v>
      </c>
      <c r="H4872" s="9">
        <v>801</v>
      </c>
      <c r="I4872" s="14">
        <f>DATE(2012,12,31)-318</f>
        <v>40956</v>
      </c>
      <c r="J4872" s="15" t="s">
        <v>30</v>
      </c>
      <c r="K4872" s="9">
        <v>20</v>
      </c>
      <c r="L4872" s="16" t="s">
        <v>26</v>
      </c>
      <c r="M4872" s="16">
        <f t="shared" si="453"/>
        <v>-0.38478275585780503</v>
      </c>
      <c r="N4872">
        <f t="shared" si="454"/>
        <v>0</v>
      </c>
      <c r="O4872">
        <f t="shared" si="455"/>
        <v>0</v>
      </c>
      <c r="P4872">
        <f t="shared" si="452"/>
        <v>4400</v>
      </c>
      <c r="Q4872">
        <f t="shared" si="456"/>
        <v>4400</v>
      </c>
      <c r="T4872" s="16">
        <f t="shared" si="457"/>
        <v>-0.38478275585780541</v>
      </c>
    </row>
    <row r="4873" spans="7:20" ht="14.4" x14ac:dyDescent="0.25">
      <c r="G4873" s="10">
        <v>136</v>
      </c>
      <c r="H4873" s="9">
        <v>870</v>
      </c>
      <c r="I4873" s="14">
        <f>DATE(2012,12,31)-926</f>
        <v>40348</v>
      </c>
      <c r="J4873" s="15" t="s">
        <v>28</v>
      </c>
      <c r="K4873" s="9">
        <v>23</v>
      </c>
      <c r="L4873" s="16" t="s">
        <v>26</v>
      </c>
      <c r="M4873" s="16">
        <f t="shared" si="453"/>
        <v>-0.17760342600014073</v>
      </c>
      <c r="N4873">
        <f t="shared" si="454"/>
        <v>0</v>
      </c>
      <c r="O4873">
        <f t="shared" si="455"/>
        <v>0</v>
      </c>
      <c r="P4873">
        <f t="shared" si="452"/>
        <v>4550</v>
      </c>
      <c r="Q4873">
        <f t="shared" si="456"/>
        <v>4550</v>
      </c>
      <c r="T4873" s="16">
        <f t="shared" si="457"/>
        <v>-0.17760342600014112</v>
      </c>
    </row>
    <row r="4874" spans="7:20" ht="14.4" x14ac:dyDescent="0.25">
      <c r="G4874" s="10">
        <v>189</v>
      </c>
      <c r="H4874" s="9">
        <v>1253</v>
      </c>
      <c r="I4874" s="14">
        <f>DATE(2012,12,31)-1071</f>
        <v>40203</v>
      </c>
      <c r="J4874" s="15" t="s">
        <v>30</v>
      </c>
      <c r="K4874" s="9">
        <v>15</v>
      </c>
      <c r="L4874" s="16" t="s">
        <v>26</v>
      </c>
      <c r="M4874" s="16">
        <f t="shared" si="453"/>
        <v>-0.7300816389539122</v>
      </c>
      <c r="N4874">
        <f t="shared" si="454"/>
        <v>0</v>
      </c>
      <c r="O4874">
        <f t="shared" si="455"/>
        <v>0</v>
      </c>
      <c r="P4874">
        <f t="shared" si="452"/>
        <v>4150</v>
      </c>
      <c r="Q4874">
        <f t="shared" si="456"/>
        <v>4150</v>
      </c>
      <c r="T4874" s="16">
        <f t="shared" si="457"/>
        <v>-0.73008163895391265</v>
      </c>
    </row>
    <row r="4875" spans="7:20" ht="14.4" x14ac:dyDescent="0.25">
      <c r="G4875" s="10">
        <v>232</v>
      </c>
      <c r="H4875" s="9">
        <v>1542</v>
      </c>
      <c r="I4875" s="14">
        <f>DATE(2012,12,31)-839</f>
        <v>40435</v>
      </c>
      <c r="J4875" s="15" t="s">
        <v>16</v>
      </c>
      <c r="K4875" s="9">
        <v>47</v>
      </c>
      <c r="L4875" s="16" t="s">
        <v>26</v>
      </c>
      <c r="M4875" s="16">
        <f t="shared" si="453"/>
        <v>1.4798312128611737</v>
      </c>
      <c r="N4875">
        <f t="shared" si="454"/>
        <v>0</v>
      </c>
      <c r="O4875">
        <f t="shared" si="455"/>
        <v>0</v>
      </c>
      <c r="P4875">
        <f t="shared" si="452"/>
        <v>5750</v>
      </c>
      <c r="Q4875">
        <f t="shared" si="456"/>
        <v>5750</v>
      </c>
      <c r="T4875" s="16">
        <f t="shared" si="457"/>
        <v>1.4798312128611733</v>
      </c>
    </row>
    <row r="4876" spans="7:20" ht="14.4" x14ac:dyDescent="0.25">
      <c r="G4876" s="10">
        <v>233</v>
      </c>
      <c r="H4876" s="9">
        <v>1542</v>
      </c>
      <c r="I4876" s="14">
        <f>DATE(2012,12,31)-839</f>
        <v>40435</v>
      </c>
      <c r="J4876" s="15" t="s">
        <v>16</v>
      </c>
      <c r="K4876" s="9">
        <v>13</v>
      </c>
      <c r="L4876" s="16" t="s">
        <v>26</v>
      </c>
      <c r="M4876" s="16">
        <f t="shared" si="453"/>
        <v>-0.86820119219235514</v>
      </c>
      <c r="N4876">
        <f t="shared" si="454"/>
        <v>0</v>
      </c>
      <c r="O4876">
        <f t="shared" si="455"/>
        <v>0</v>
      </c>
      <c r="P4876">
        <f t="shared" ref="P4876:P4939" si="458">50*K4876+$P$10</f>
        <v>4050</v>
      </c>
      <c r="Q4876">
        <f t="shared" si="456"/>
        <v>4050</v>
      </c>
      <c r="T4876" s="16">
        <f t="shared" si="457"/>
        <v>-0.86820119219235548</v>
      </c>
    </row>
    <row r="4877" spans="7:20" ht="14.4" x14ac:dyDescent="0.25">
      <c r="G4877" s="10">
        <v>356</v>
      </c>
      <c r="H4877" s="9">
        <v>2497</v>
      </c>
      <c r="I4877" s="14">
        <f>DATE(2012,12,31)-127</f>
        <v>41147</v>
      </c>
      <c r="J4877" s="15" t="s">
        <v>30</v>
      </c>
      <c r="K4877" s="9">
        <v>21</v>
      </c>
      <c r="L4877" s="16" t="s">
        <v>27</v>
      </c>
      <c r="M4877" s="16">
        <f t="shared" ref="M4877:M4940" si="459">(K4877-$K$4)/$K$7</f>
        <v>-0.31572297923858361</v>
      </c>
      <c r="N4877">
        <f t="shared" ref="N4877:N4940" si="460">IF(MOD($B$20+G4877,1000)=0,1,0)</f>
        <v>0</v>
      </c>
      <c r="O4877">
        <f t="shared" ref="O4877:O4940" si="461">+ROUND(N4877*(IF(K4877&lt;$K$4,-4.5,10.5)*$P$5),-2)</f>
        <v>0</v>
      </c>
      <c r="P4877">
        <f t="shared" si="458"/>
        <v>4450</v>
      </c>
      <c r="Q4877">
        <f t="shared" ref="Q4877:Q4940" si="462">P4877+O4877</f>
        <v>4450</v>
      </c>
      <c r="T4877" s="16">
        <f t="shared" ref="T4877:T4940" si="463">(Q4877-$P$4)/$P$5</f>
        <v>-0.315722979238584</v>
      </c>
    </row>
    <row r="4878" spans="7:20" ht="14.4" x14ac:dyDescent="0.25">
      <c r="G4878" s="10">
        <v>380</v>
      </c>
      <c r="H4878" s="9">
        <v>2630</v>
      </c>
      <c r="I4878" s="14">
        <f>DATE(2012,12,31)-69</f>
        <v>41205</v>
      </c>
      <c r="J4878" s="15" t="s">
        <v>25</v>
      </c>
      <c r="K4878" s="9">
        <v>31</v>
      </c>
      <c r="L4878" s="16" t="s">
        <v>26</v>
      </c>
      <c r="M4878" s="16">
        <f t="shared" si="459"/>
        <v>0.37487478695363075</v>
      </c>
      <c r="N4878">
        <f t="shared" si="460"/>
        <v>0</v>
      </c>
      <c r="O4878">
        <f t="shared" si="461"/>
        <v>0</v>
      </c>
      <c r="P4878">
        <f t="shared" si="458"/>
        <v>4950</v>
      </c>
      <c r="Q4878">
        <f t="shared" si="462"/>
        <v>4950</v>
      </c>
      <c r="T4878" s="16">
        <f t="shared" si="463"/>
        <v>0.37487478695363036</v>
      </c>
    </row>
    <row r="4879" spans="7:20" ht="14.4" x14ac:dyDescent="0.25">
      <c r="G4879" s="10">
        <v>384</v>
      </c>
      <c r="H4879" s="9">
        <v>2657</v>
      </c>
      <c r="I4879" s="14">
        <f>DATE(2012,12,31)-442</f>
        <v>40832</v>
      </c>
      <c r="J4879" s="15" t="s">
        <v>17</v>
      </c>
      <c r="K4879" s="9">
        <v>30</v>
      </c>
      <c r="L4879" s="16" t="s">
        <v>26</v>
      </c>
      <c r="M4879" s="16">
        <f t="shared" si="459"/>
        <v>0.30581501033440933</v>
      </c>
      <c r="N4879">
        <f t="shared" si="460"/>
        <v>0</v>
      </c>
      <c r="O4879">
        <f t="shared" si="461"/>
        <v>0</v>
      </c>
      <c r="P4879">
        <f t="shared" si="458"/>
        <v>4900</v>
      </c>
      <c r="Q4879">
        <f t="shared" si="462"/>
        <v>4900</v>
      </c>
      <c r="T4879" s="16">
        <f t="shared" si="463"/>
        <v>0.30581501033440894</v>
      </c>
    </row>
    <row r="4880" spans="7:20" ht="14.4" x14ac:dyDescent="0.25">
      <c r="G4880" s="10">
        <v>385</v>
      </c>
      <c r="H4880" s="9">
        <v>2657</v>
      </c>
      <c r="I4880" s="14">
        <f>DATE(2012,12,31)-442</f>
        <v>40832</v>
      </c>
      <c r="J4880" s="15" t="s">
        <v>17</v>
      </c>
      <c r="K4880" s="9">
        <v>37</v>
      </c>
      <c r="L4880" s="16" t="s">
        <v>27</v>
      </c>
      <c r="M4880" s="16">
        <f t="shared" si="459"/>
        <v>0.78923344666895934</v>
      </c>
      <c r="N4880">
        <f t="shared" si="460"/>
        <v>0</v>
      </c>
      <c r="O4880">
        <f t="shared" si="461"/>
        <v>0</v>
      </c>
      <c r="P4880">
        <f t="shared" si="458"/>
        <v>5250</v>
      </c>
      <c r="Q4880">
        <f t="shared" si="462"/>
        <v>5250</v>
      </c>
      <c r="T4880" s="16">
        <f t="shared" si="463"/>
        <v>0.789233446668959</v>
      </c>
    </row>
    <row r="4881" spans="7:20" ht="14.4" x14ac:dyDescent="0.25">
      <c r="G4881" s="10">
        <v>389</v>
      </c>
      <c r="H4881" s="9">
        <v>2688</v>
      </c>
      <c r="I4881" s="14">
        <f>DATE(2012,12,31)-343</f>
        <v>40931</v>
      </c>
      <c r="J4881" s="15" t="s">
        <v>17</v>
      </c>
      <c r="K4881" s="9">
        <v>31</v>
      </c>
      <c r="L4881" s="16" t="s">
        <v>27</v>
      </c>
      <c r="M4881" s="16">
        <f t="shared" si="459"/>
        <v>0.37487478695363075</v>
      </c>
      <c r="N4881">
        <f t="shared" si="460"/>
        <v>0</v>
      </c>
      <c r="O4881">
        <f t="shared" si="461"/>
        <v>0</v>
      </c>
      <c r="P4881">
        <f t="shared" si="458"/>
        <v>4950</v>
      </c>
      <c r="Q4881">
        <f t="shared" si="462"/>
        <v>4950</v>
      </c>
      <c r="T4881" s="16">
        <f t="shared" si="463"/>
        <v>0.37487478695363036</v>
      </c>
    </row>
    <row r="4882" spans="7:20" ht="14.4" x14ac:dyDescent="0.25">
      <c r="G4882" s="10">
        <v>390</v>
      </c>
      <c r="H4882" s="9">
        <v>2688</v>
      </c>
      <c r="I4882" s="14">
        <f>DATE(2012,12,31)-343</f>
        <v>40931</v>
      </c>
      <c r="J4882" s="15" t="s">
        <v>17</v>
      </c>
      <c r="K4882" s="9">
        <v>7</v>
      </c>
      <c r="L4882" s="16" t="s">
        <v>27</v>
      </c>
      <c r="M4882" s="16">
        <f t="shared" si="459"/>
        <v>-1.2825598519076837</v>
      </c>
      <c r="N4882">
        <f t="shared" si="460"/>
        <v>0</v>
      </c>
      <c r="O4882">
        <f t="shared" si="461"/>
        <v>0</v>
      </c>
      <c r="P4882">
        <f t="shared" si="458"/>
        <v>3750</v>
      </c>
      <c r="Q4882">
        <f t="shared" si="462"/>
        <v>3750</v>
      </c>
      <c r="T4882" s="16">
        <f t="shared" si="463"/>
        <v>-1.2825598519076842</v>
      </c>
    </row>
    <row r="4883" spans="7:20" ht="14.4" x14ac:dyDescent="0.25">
      <c r="G4883" s="10">
        <v>391</v>
      </c>
      <c r="H4883" s="9">
        <v>2688</v>
      </c>
      <c r="I4883" s="14">
        <f>DATE(2012,12,31)-343</f>
        <v>40931</v>
      </c>
      <c r="J4883" s="15" t="s">
        <v>17</v>
      </c>
      <c r="K4883" s="9">
        <v>11</v>
      </c>
      <c r="L4883" s="16" t="s">
        <v>27</v>
      </c>
      <c r="M4883" s="16">
        <f t="shared" si="459"/>
        <v>-1.0063207454307979</v>
      </c>
      <c r="N4883">
        <f t="shared" si="460"/>
        <v>0</v>
      </c>
      <c r="O4883">
        <f t="shared" si="461"/>
        <v>0</v>
      </c>
      <c r="P4883">
        <f t="shared" si="458"/>
        <v>3950</v>
      </c>
      <c r="Q4883">
        <f t="shared" si="462"/>
        <v>3950</v>
      </c>
      <c r="T4883" s="16">
        <f t="shared" si="463"/>
        <v>-1.0063207454307983</v>
      </c>
    </row>
    <row r="4884" spans="7:20" ht="14.4" x14ac:dyDescent="0.25">
      <c r="G4884" s="10">
        <v>416</v>
      </c>
      <c r="H4884" s="9">
        <v>2816</v>
      </c>
      <c r="I4884" s="14">
        <f>DATE(2012,12,31)-1199</f>
        <v>40075</v>
      </c>
      <c r="J4884" s="15" t="s">
        <v>17</v>
      </c>
      <c r="K4884" s="9">
        <v>35</v>
      </c>
      <c r="L4884" s="16" t="s">
        <v>26</v>
      </c>
      <c r="M4884" s="16">
        <f t="shared" si="459"/>
        <v>0.65111389343051651</v>
      </c>
      <c r="N4884">
        <f t="shared" si="460"/>
        <v>0</v>
      </c>
      <c r="O4884">
        <f t="shared" si="461"/>
        <v>0</v>
      </c>
      <c r="P4884">
        <f t="shared" si="458"/>
        <v>5150</v>
      </c>
      <c r="Q4884">
        <f t="shared" si="462"/>
        <v>5150</v>
      </c>
      <c r="T4884" s="16">
        <f t="shared" si="463"/>
        <v>0.65111389343051607</v>
      </c>
    </row>
    <row r="4885" spans="7:20" ht="14.4" x14ac:dyDescent="0.25">
      <c r="G4885" s="10">
        <v>419</v>
      </c>
      <c r="H4885" s="9">
        <v>2818</v>
      </c>
      <c r="I4885" s="14">
        <f>DATE(2012,12,31)-1116</f>
        <v>40158</v>
      </c>
      <c r="J4885" s="15" t="s">
        <v>16</v>
      </c>
      <c r="K4885" s="9">
        <v>37</v>
      </c>
      <c r="L4885" s="16" t="s">
        <v>29</v>
      </c>
      <c r="M4885" s="16">
        <f t="shared" si="459"/>
        <v>0.78923344666895934</v>
      </c>
      <c r="N4885">
        <f t="shared" si="460"/>
        <v>0</v>
      </c>
      <c r="O4885">
        <f t="shared" si="461"/>
        <v>0</v>
      </c>
      <c r="P4885">
        <f t="shared" si="458"/>
        <v>5250</v>
      </c>
      <c r="Q4885">
        <f t="shared" si="462"/>
        <v>5250</v>
      </c>
      <c r="T4885" s="16">
        <f t="shared" si="463"/>
        <v>0.789233446668959</v>
      </c>
    </row>
    <row r="4886" spans="7:20" ht="14.4" x14ac:dyDescent="0.25">
      <c r="G4886" s="10">
        <v>420</v>
      </c>
      <c r="H4886" s="9">
        <v>2818</v>
      </c>
      <c r="I4886" s="14">
        <f>DATE(2012,12,31)-1116</f>
        <v>40158</v>
      </c>
      <c r="J4886" s="15" t="s">
        <v>16</v>
      </c>
      <c r="K4886" s="9">
        <v>39</v>
      </c>
      <c r="L4886" s="16" t="s">
        <v>29</v>
      </c>
      <c r="M4886" s="16">
        <f t="shared" si="459"/>
        <v>0.92735299990740228</v>
      </c>
      <c r="N4886">
        <f t="shared" si="460"/>
        <v>0</v>
      </c>
      <c r="O4886">
        <f t="shared" si="461"/>
        <v>0</v>
      </c>
      <c r="P4886">
        <f t="shared" si="458"/>
        <v>5350</v>
      </c>
      <c r="Q4886">
        <f t="shared" si="462"/>
        <v>5350</v>
      </c>
      <c r="T4886" s="16">
        <f t="shared" si="463"/>
        <v>0.92735299990740183</v>
      </c>
    </row>
    <row r="4887" spans="7:20" ht="14.4" x14ac:dyDescent="0.25">
      <c r="G4887" s="10">
        <v>421</v>
      </c>
      <c r="H4887" s="9">
        <v>2818</v>
      </c>
      <c r="I4887" s="14">
        <f>DATE(2012,12,31)-1116</f>
        <v>40158</v>
      </c>
      <c r="J4887" s="15" t="s">
        <v>16</v>
      </c>
      <c r="K4887" s="9">
        <v>2</v>
      </c>
      <c r="L4887" s="16" t="s">
        <v>26</v>
      </c>
      <c r="M4887" s="16">
        <f t="shared" si="459"/>
        <v>-1.627858735003791</v>
      </c>
      <c r="N4887">
        <f t="shared" si="460"/>
        <v>0</v>
      </c>
      <c r="O4887">
        <f t="shared" si="461"/>
        <v>0</v>
      </c>
      <c r="P4887">
        <f t="shared" si="458"/>
        <v>3500</v>
      </c>
      <c r="Q4887">
        <f t="shared" si="462"/>
        <v>3500</v>
      </c>
      <c r="T4887" s="16">
        <f t="shared" si="463"/>
        <v>-1.6278587350037912</v>
      </c>
    </row>
    <row r="4888" spans="7:20" ht="14.4" x14ac:dyDescent="0.25">
      <c r="G4888" s="10">
        <v>447</v>
      </c>
      <c r="H4888" s="9">
        <v>3040</v>
      </c>
      <c r="I4888" s="14">
        <f>DATE(2012,12,31)-995</f>
        <v>40279</v>
      </c>
      <c r="J4888" s="15" t="s">
        <v>16</v>
      </c>
      <c r="K4888" s="9">
        <v>13</v>
      </c>
      <c r="L4888" s="16" t="s">
        <v>26</v>
      </c>
      <c r="M4888" s="16">
        <f t="shared" si="459"/>
        <v>-0.86820119219235514</v>
      </c>
      <c r="N4888">
        <f t="shared" si="460"/>
        <v>0</v>
      </c>
      <c r="O4888">
        <f t="shared" si="461"/>
        <v>0</v>
      </c>
      <c r="P4888">
        <f t="shared" si="458"/>
        <v>4050</v>
      </c>
      <c r="Q4888">
        <f t="shared" si="462"/>
        <v>4050</v>
      </c>
      <c r="T4888" s="16">
        <f t="shared" si="463"/>
        <v>-0.86820119219235548</v>
      </c>
    </row>
    <row r="4889" spans="7:20" ht="14.4" x14ac:dyDescent="0.25">
      <c r="G4889" s="10">
        <v>457</v>
      </c>
      <c r="H4889" s="9">
        <v>3108</v>
      </c>
      <c r="I4889" s="14">
        <f>DATE(2012,12,31)-880</f>
        <v>40394</v>
      </c>
      <c r="J4889" s="15" t="s">
        <v>30</v>
      </c>
      <c r="K4889" s="9">
        <v>36</v>
      </c>
      <c r="L4889" s="16" t="s">
        <v>26</v>
      </c>
      <c r="M4889" s="16">
        <f t="shared" si="459"/>
        <v>0.72017367004973787</v>
      </c>
      <c r="N4889">
        <f t="shared" si="460"/>
        <v>0</v>
      </c>
      <c r="O4889">
        <f t="shared" si="461"/>
        <v>0</v>
      </c>
      <c r="P4889">
        <f t="shared" si="458"/>
        <v>5200</v>
      </c>
      <c r="Q4889">
        <f t="shared" si="462"/>
        <v>5200</v>
      </c>
      <c r="T4889" s="16">
        <f t="shared" si="463"/>
        <v>0.72017367004973754</v>
      </c>
    </row>
    <row r="4890" spans="7:20" ht="14.4" x14ac:dyDescent="0.25">
      <c r="G4890" s="10">
        <v>499</v>
      </c>
      <c r="H4890" s="9">
        <v>3459</v>
      </c>
      <c r="I4890" s="14">
        <f>DATE(2012,12,31)-1253</f>
        <v>40021</v>
      </c>
      <c r="J4890" s="15" t="s">
        <v>28</v>
      </c>
      <c r="K4890" s="9">
        <v>24</v>
      </c>
      <c r="L4890" s="16" t="s">
        <v>27</v>
      </c>
      <c r="M4890" s="16">
        <f t="shared" si="459"/>
        <v>-0.1085436493809193</v>
      </c>
      <c r="N4890">
        <f t="shared" si="460"/>
        <v>0</v>
      </c>
      <c r="O4890">
        <f t="shared" si="461"/>
        <v>0</v>
      </c>
      <c r="P4890">
        <f t="shared" si="458"/>
        <v>4600</v>
      </c>
      <c r="Q4890">
        <f t="shared" si="462"/>
        <v>4600</v>
      </c>
      <c r="T4890" s="16">
        <f t="shared" si="463"/>
        <v>-0.10854364938091969</v>
      </c>
    </row>
    <row r="4891" spans="7:20" ht="14.4" x14ac:dyDescent="0.25">
      <c r="G4891" s="10">
        <v>504</v>
      </c>
      <c r="H4891" s="9">
        <v>3488</v>
      </c>
      <c r="I4891" s="14">
        <f>DATE(2012,12,31)-724</f>
        <v>40550</v>
      </c>
      <c r="J4891" s="15" t="s">
        <v>16</v>
      </c>
      <c r="K4891" s="9">
        <v>39</v>
      </c>
      <c r="L4891" s="16" t="s">
        <v>29</v>
      </c>
      <c r="M4891" s="16">
        <f t="shared" si="459"/>
        <v>0.92735299990740228</v>
      </c>
      <c r="N4891">
        <f t="shared" si="460"/>
        <v>0</v>
      </c>
      <c r="O4891">
        <f t="shared" si="461"/>
        <v>0</v>
      </c>
      <c r="P4891">
        <f t="shared" si="458"/>
        <v>5350</v>
      </c>
      <c r="Q4891">
        <f t="shared" si="462"/>
        <v>5350</v>
      </c>
      <c r="T4891" s="16">
        <f t="shared" si="463"/>
        <v>0.92735299990740183</v>
      </c>
    </row>
    <row r="4892" spans="7:20" ht="14.4" x14ac:dyDescent="0.25">
      <c r="G4892" s="10">
        <v>505</v>
      </c>
      <c r="H4892" s="9">
        <v>3488</v>
      </c>
      <c r="I4892" s="14">
        <f>DATE(2012,12,31)-724</f>
        <v>40550</v>
      </c>
      <c r="J4892" s="15" t="s">
        <v>16</v>
      </c>
      <c r="K4892" s="9">
        <v>6</v>
      </c>
      <c r="L4892" s="16" t="s">
        <v>26</v>
      </c>
      <c r="M4892" s="16">
        <f t="shared" si="459"/>
        <v>-1.3516196285269051</v>
      </c>
      <c r="N4892">
        <f t="shared" si="460"/>
        <v>0</v>
      </c>
      <c r="O4892">
        <f t="shared" si="461"/>
        <v>0</v>
      </c>
      <c r="P4892">
        <f t="shared" si="458"/>
        <v>3700</v>
      </c>
      <c r="Q4892">
        <f t="shared" si="462"/>
        <v>3700</v>
      </c>
      <c r="T4892" s="16">
        <f t="shared" si="463"/>
        <v>-1.3516196285269055</v>
      </c>
    </row>
    <row r="4893" spans="7:20" ht="14.4" x14ac:dyDescent="0.25">
      <c r="G4893" s="10">
        <v>506</v>
      </c>
      <c r="H4893" s="9">
        <v>3492</v>
      </c>
      <c r="I4893" s="14">
        <f>DATE(2012,12,31)-1134</f>
        <v>40140</v>
      </c>
      <c r="J4893" s="15" t="s">
        <v>25</v>
      </c>
      <c r="K4893" s="9">
        <v>35</v>
      </c>
      <c r="L4893" s="16" t="s">
        <v>26</v>
      </c>
      <c r="M4893" s="16">
        <f t="shared" si="459"/>
        <v>0.65111389343051651</v>
      </c>
      <c r="N4893">
        <f t="shared" si="460"/>
        <v>0</v>
      </c>
      <c r="O4893">
        <f t="shared" si="461"/>
        <v>0</v>
      </c>
      <c r="P4893">
        <f t="shared" si="458"/>
        <v>5150</v>
      </c>
      <c r="Q4893">
        <f t="shared" si="462"/>
        <v>5150</v>
      </c>
      <c r="T4893" s="16">
        <f t="shared" si="463"/>
        <v>0.65111389343051607</v>
      </c>
    </row>
    <row r="4894" spans="7:20" ht="14.4" x14ac:dyDescent="0.25">
      <c r="G4894" s="10">
        <v>507</v>
      </c>
      <c r="H4894" s="9">
        <v>3492</v>
      </c>
      <c r="I4894" s="14">
        <f>DATE(2012,12,31)-1134</f>
        <v>40140</v>
      </c>
      <c r="J4894" s="15" t="s">
        <v>25</v>
      </c>
      <c r="K4894" s="9">
        <v>49</v>
      </c>
      <c r="L4894" s="16" t="s">
        <v>29</v>
      </c>
      <c r="M4894" s="16">
        <f t="shared" si="459"/>
        <v>1.6179507660996166</v>
      </c>
      <c r="N4894">
        <f t="shared" si="460"/>
        <v>0</v>
      </c>
      <c r="O4894">
        <f t="shared" si="461"/>
        <v>0</v>
      </c>
      <c r="P4894">
        <f t="shared" si="458"/>
        <v>5850</v>
      </c>
      <c r="Q4894">
        <f t="shared" si="462"/>
        <v>5850</v>
      </c>
      <c r="T4894" s="16">
        <f t="shared" si="463"/>
        <v>1.6179507660996162</v>
      </c>
    </row>
    <row r="4895" spans="7:20" ht="14.4" x14ac:dyDescent="0.25">
      <c r="G4895" s="10">
        <v>508</v>
      </c>
      <c r="H4895" s="9">
        <v>3492</v>
      </c>
      <c r="I4895" s="14">
        <f>DATE(2012,12,31)-1134</f>
        <v>40140</v>
      </c>
      <c r="J4895" s="15" t="s">
        <v>25</v>
      </c>
      <c r="K4895" s="9">
        <v>33</v>
      </c>
      <c r="L4895" s="16" t="s">
        <v>26</v>
      </c>
      <c r="M4895" s="16">
        <f t="shared" si="459"/>
        <v>0.51299434019207357</v>
      </c>
      <c r="N4895">
        <f t="shared" si="460"/>
        <v>0</v>
      </c>
      <c r="O4895">
        <f t="shared" si="461"/>
        <v>0</v>
      </c>
      <c r="P4895">
        <f t="shared" si="458"/>
        <v>5050</v>
      </c>
      <c r="Q4895">
        <f t="shared" si="462"/>
        <v>5050</v>
      </c>
      <c r="T4895" s="16">
        <f t="shared" si="463"/>
        <v>0.51299434019207324</v>
      </c>
    </row>
    <row r="4896" spans="7:20" ht="14.4" x14ac:dyDescent="0.25">
      <c r="G4896" s="10">
        <v>516</v>
      </c>
      <c r="H4896" s="9">
        <v>3553</v>
      </c>
      <c r="I4896" s="14">
        <f>DATE(2012,12,31)-1324</f>
        <v>39950</v>
      </c>
      <c r="J4896" s="15" t="s">
        <v>16</v>
      </c>
      <c r="K4896" s="9">
        <v>7</v>
      </c>
      <c r="L4896" s="16" t="s">
        <v>26</v>
      </c>
      <c r="M4896" s="16">
        <f t="shared" si="459"/>
        <v>-1.2825598519076837</v>
      </c>
      <c r="N4896">
        <f t="shared" si="460"/>
        <v>0</v>
      </c>
      <c r="O4896">
        <f t="shared" si="461"/>
        <v>0</v>
      </c>
      <c r="P4896">
        <f t="shared" si="458"/>
        <v>3750</v>
      </c>
      <c r="Q4896">
        <f t="shared" si="462"/>
        <v>3750</v>
      </c>
      <c r="T4896" s="16">
        <f t="shared" si="463"/>
        <v>-1.2825598519076842</v>
      </c>
    </row>
    <row r="4897" spans="7:20" ht="14.4" x14ac:dyDescent="0.25">
      <c r="G4897" s="10">
        <v>533</v>
      </c>
      <c r="H4897" s="9">
        <v>3622</v>
      </c>
      <c r="I4897" s="14">
        <f>DATE(2012,12,31)-401</f>
        <v>40873</v>
      </c>
      <c r="J4897" s="15" t="s">
        <v>25</v>
      </c>
      <c r="K4897" s="9">
        <v>16</v>
      </c>
      <c r="L4897" s="16" t="s">
        <v>26</v>
      </c>
      <c r="M4897" s="16">
        <f t="shared" si="459"/>
        <v>-0.66102186233469074</v>
      </c>
      <c r="N4897">
        <f t="shared" si="460"/>
        <v>1</v>
      </c>
      <c r="O4897">
        <f t="shared" si="461"/>
        <v>-3300</v>
      </c>
      <c r="P4897">
        <f t="shared" si="458"/>
        <v>4200</v>
      </c>
      <c r="Q4897">
        <f t="shared" si="462"/>
        <v>900</v>
      </c>
      <c r="T4897" s="16">
        <f t="shared" si="463"/>
        <v>-5.218967119203306</v>
      </c>
    </row>
    <row r="4898" spans="7:20" ht="14.4" x14ac:dyDescent="0.25">
      <c r="G4898" s="10">
        <v>563</v>
      </c>
      <c r="H4898" s="9">
        <v>3810</v>
      </c>
      <c r="I4898" s="14">
        <f>DATE(2012,12,31)-106</f>
        <v>41168</v>
      </c>
      <c r="J4898" s="15" t="s">
        <v>30</v>
      </c>
      <c r="K4898" s="9">
        <v>40</v>
      </c>
      <c r="L4898" s="16" t="s">
        <v>26</v>
      </c>
      <c r="M4898" s="16">
        <f t="shared" si="459"/>
        <v>0.99641277652662363</v>
      </c>
      <c r="N4898">
        <f t="shared" si="460"/>
        <v>0</v>
      </c>
      <c r="O4898">
        <f t="shared" si="461"/>
        <v>0</v>
      </c>
      <c r="P4898">
        <f t="shared" si="458"/>
        <v>5400</v>
      </c>
      <c r="Q4898">
        <f t="shared" si="462"/>
        <v>5400</v>
      </c>
      <c r="T4898" s="16">
        <f t="shared" si="463"/>
        <v>0.9964127765266233</v>
      </c>
    </row>
    <row r="4899" spans="7:20" ht="14.4" x14ac:dyDescent="0.25">
      <c r="G4899" s="10">
        <v>564</v>
      </c>
      <c r="H4899" s="9">
        <v>3810</v>
      </c>
      <c r="I4899" s="14">
        <f>DATE(2012,12,31)-106</f>
        <v>41168</v>
      </c>
      <c r="J4899" s="15" t="s">
        <v>30</v>
      </c>
      <c r="K4899" s="9">
        <v>25</v>
      </c>
      <c r="L4899" s="16" t="s">
        <v>26</v>
      </c>
      <c r="M4899" s="16">
        <f t="shared" si="459"/>
        <v>-3.9483872761697868E-2</v>
      </c>
      <c r="N4899">
        <f t="shared" si="460"/>
        <v>0</v>
      </c>
      <c r="O4899">
        <f t="shared" si="461"/>
        <v>0</v>
      </c>
      <c r="P4899">
        <f t="shared" si="458"/>
        <v>4650</v>
      </c>
      <c r="Q4899">
        <f t="shared" si="462"/>
        <v>4650</v>
      </c>
      <c r="T4899" s="16">
        <f t="shared" si="463"/>
        <v>-3.9483872761698249E-2</v>
      </c>
    </row>
    <row r="4900" spans="7:20" ht="14.4" x14ac:dyDescent="0.25">
      <c r="G4900" s="10">
        <v>635</v>
      </c>
      <c r="H4900" s="9">
        <v>4451</v>
      </c>
      <c r="I4900" s="14">
        <f>DATE(2012,12,31)-1188</f>
        <v>40086</v>
      </c>
      <c r="J4900" s="15" t="s">
        <v>30</v>
      </c>
      <c r="K4900" s="9">
        <v>47</v>
      </c>
      <c r="L4900" s="16" t="s">
        <v>26</v>
      </c>
      <c r="M4900" s="16">
        <f t="shared" si="459"/>
        <v>1.4798312128611737</v>
      </c>
      <c r="N4900">
        <f t="shared" si="460"/>
        <v>0</v>
      </c>
      <c r="O4900">
        <f t="shared" si="461"/>
        <v>0</v>
      </c>
      <c r="P4900">
        <f t="shared" si="458"/>
        <v>5750</v>
      </c>
      <c r="Q4900">
        <f t="shared" si="462"/>
        <v>5750</v>
      </c>
      <c r="T4900" s="16">
        <f t="shared" si="463"/>
        <v>1.4798312128611733</v>
      </c>
    </row>
    <row r="4901" spans="7:20" ht="14.4" x14ac:dyDescent="0.25">
      <c r="G4901" s="10">
        <v>642</v>
      </c>
      <c r="H4901" s="9">
        <v>4516</v>
      </c>
      <c r="I4901" s="14">
        <f>DATE(2012,12,31)-1374</f>
        <v>39900</v>
      </c>
      <c r="J4901" s="15" t="s">
        <v>16</v>
      </c>
      <c r="K4901" s="9">
        <v>42</v>
      </c>
      <c r="L4901" s="16" t="s">
        <v>26</v>
      </c>
      <c r="M4901" s="16">
        <f t="shared" si="459"/>
        <v>1.1345323297650665</v>
      </c>
      <c r="N4901">
        <f t="shared" si="460"/>
        <v>0</v>
      </c>
      <c r="O4901">
        <f t="shared" si="461"/>
        <v>0</v>
      </c>
      <c r="P4901">
        <f t="shared" si="458"/>
        <v>5500</v>
      </c>
      <c r="Q4901">
        <f t="shared" si="462"/>
        <v>5500</v>
      </c>
      <c r="T4901" s="16">
        <f t="shared" si="463"/>
        <v>1.1345323297650662</v>
      </c>
    </row>
    <row r="4902" spans="7:20" ht="14.4" x14ac:dyDescent="0.25">
      <c r="G4902" s="10">
        <v>646</v>
      </c>
      <c r="H4902" s="9">
        <v>4578</v>
      </c>
      <c r="I4902" s="14">
        <f>DATE(2012,12,31)-110</f>
        <v>41164</v>
      </c>
      <c r="J4902" s="15" t="s">
        <v>25</v>
      </c>
      <c r="K4902" s="9">
        <v>45</v>
      </c>
      <c r="L4902" s="16" t="s">
        <v>26</v>
      </c>
      <c r="M4902" s="16">
        <f t="shared" si="459"/>
        <v>1.3417116596227308</v>
      </c>
      <c r="N4902">
        <f t="shared" si="460"/>
        <v>0</v>
      </c>
      <c r="O4902">
        <f t="shared" si="461"/>
        <v>0</v>
      </c>
      <c r="P4902">
        <f t="shared" si="458"/>
        <v>5650</v>
      </c>
      <c r="Q4902">
        <f t="shared" si="462"/>
        <v>5650</v>
      </c>
      <c r="T4902" s="16">
        <f t="shared" si="463"/>
        <v>1.3417116596227305</v>
      </c>
    </row>
    <row r="4903" spans="7:20" ht="14.4" x14ac:dyDescent="0.25">
      <c r="G4903" s="10">
        <v>647</v>
      </c>
      <c r="H4903" s="9">
        <v>4578</v>
      </c>
      <c r="I4903" s="14">
        <f>DATE(2012,12,31)-110</f>
        <v>41164</v>
      </c>
      <c r="J4903" s="15" t="s">
        <v>25</v>
      </c>
      <c r="K4903" s="9">
        <v>48</v>
      </c>
      <c r="L4903" s="16" t="s">
        <v>26</v>
      </c>
      <c r="M4903" s="16">
        <f t="shared" si="459"/>
        <v>1.5488909894803951</v>
      </c>
      <c r="N4903">
        <f t="shared" si="460"/>
        <v>0</v>
      </c>
      <c r="O4903">
        <f t="shared" si="461"/>
        <v>0</v>
      </c>
      <c r="P4903">
        <f t="shared" si="458"/>
        <v>5800</v>
      </c>
      <c r="Q4903">
        <f t="shared" si="462"/>
        <v>5800</v>
      </c>
      <c r="T4903" s="16">
        <f t="shared" si="463"/>
        <v>1.5488909894803948</v>
      </c>
    </row>
    <row r="4904" spans="7:20" ht="14.4" x14ac:dyDescent="0.25">
      <c r="G4904" s="10">
        <v>648</v>
      </c>
      <c r="H4904" s="9">
        <v>4578</v>
      </c>
      <c r="I4904" s="14">
        <f>DATE(2012,12,31)-110</f>
        <v>41164</v>
      </c>
      <c r="J4904" s="15" t="s">
        <v>25</v>
      </c>
      <c r="K4904" s="9">
        <v>15</v>
      </c>
      <c r="L4904" s="16" t="s">
        <v>29</v>
      </c>
      <c r="M4904" s="16">
        <f t="shared" si="459"/>
        <v>-0.7300816389539122</v>
      </c>
      <c r="N4904">
        <f t="shared" si="460"/>
        <v>0</v>
      </c>
      <c r="O4904">
        <f t="shared" si="461"/>
        <v>0</v>
      </c>
      <c r="P4904">
        <f t="shared" si="458"/>
        <v>4150</v>
      </c>
      <c r="Q4904">
        <f t="shared" si="462"/>
        <v>4150</v>
      </c>
      <c r="T4904" s="16">
        <f t="shared" si="463"/>
        <v>-0.73008163895391265</v>
      </c>
    </row>
    <row r="4905" spans="7:20" ht="14.4" x14ac:dyDescent="0.25">
      <c r="G4905" s="10">
        <v>655</v>
      </c>
      <c r="H4905" s="9">
        <v>4611</v>
      </c>
      <c r="I4905" s="14">
        <f>DATE(2012,12,31)-1087</f>
        <v>40187</v>
      </c>
      <c r="J4905" s="15" t="s">
        <v>17</v>
      </c>
      <c r="K4905" s="9">
        <v>32</v>
      </c>
      <c r="L4905" s="16" t="s">
        <v>27</v>
      </c>
      <c r="M4905" s="16">
        <f t="shared" si="459"/>
        <v>0.44393456357285216</v>
      </c>
      <c r="N4905">
        <f t="shared" si="460"/>
        <v>0</v>
      </c>
      <c r="O4905">
        <f t="shared" si="461"/>
        <v>0</v>
      </c>
      <c r="P4905">
        <f t="shared" si="458"/>
        <v>5000</v>
      </c>
      <c r="Q4905">
        <f t="shared" si="462"/>
        <v>5000</v>
      </c>
      <c r="T4905" s="16">
        <f t="shared" si="463"/>
        <v>0.44393456357285183</v>
      </c>
    </row>
    <row r="4906" spans="7:20" ht="14.4" x14ac:dyDescent="0.25">
      <c r="G4906" s="10">
        <v>731</v>
      </c>
      <c r="H4906" s="9">
        <v>5281</v>
      </c>
      <c r="I4906" s="14">
        <f>DATE(2012,12,31)-426</f>
        <v>40848</v>
      </c>
      <c r="J4906" s="15" t="s">
        <v>17</v>
      </c>
      <c r="K4906" s="9">
        <v>36</v>
      </c>
      <c r="L4906" s="16" t="s">
        <v>29</v>
      </c>
      <c r="M4906" s="16">
        <f t="shared" si="459"/>
        <v>0.72017367004973787</v>
      </c>
      <c r="N4906">
        <f t="shared" si="460"/>
        <v>0</v>
      </c>
      <c r="O4906">
        <f t="shared" si="461"/>
        <v>0</v>
      </c>
      <c r="P4906">
        <f t="shared" si="458"/>
        <v>5200</v>
      </c>
      <c r="Q4906">
        <f t="shared" si="462"/>
        <v>5200</v>
      </c>
      <c r="T4906" s="16">
        <f t="shared" si="463"/>
        <v>0.72017367004973754</v>
      </c>
    </row>
    <row r="4907" spans="7:20" ht="14.4" x14ac:dyDescent="0.25">
      <c r="G4907" s="10">
        <v>732</v>
      </c>
      <c r="H4907" s="9">
        <v>5281</v>
      </c>
      <c r="I4907" s="14">
        <f>DATE(2012,12,31)-426</f>
        <v>40848</v>
      </c>
      <c r="J4907" s="15" t="s">
        <v>17</v>
      </c>
      <c r="K4907" s="9">
        <v>14</v>
      </c>
      <c r="L4907" s="16" t="s">
        <v>29</v>
      </c>
      <c r="M4907" s="16">
        <f t="shared" si="459"/>
        <v>-0.79914141557313367</v>
      </c>
      <c r="N4907">
        <f t="shared" si="460"/>
        <v>0</v>
      </c>
      <c r="O4907">
        <f t="shared" si="461"/>
        <v>0</v>
      </c>
      <c r="P4907">
        <f t="shared" si="458"/>
        <v>4100</v>
      </c>
      <c r="Q4907">
        <f t="shared" si="462"/>
        <v>4100</v>
      </c>
      <c r="T4907" s="16">
        <f t="shared" si="463"/>
        <v>-0.79914141557313401</v>
      </c>
    </row>
    <row r="4908" spans="7:20" ht="14.4" x14ac:dyDescent="0.25">
      <c r="G4908" s="10">
        <v>787</v>
      </c>
      <c r="H4908" s="9">
        <v>5635</v>
      </c>
      <c r="I4908" s="14">
        <f>DATE(2012,12,31)-138</f>
        <v>41136</v>
      </c>
      <c r="J4908" s="15" t="s">
        <v>16</v>
      </c>
      <c r="K4908" s="9">
        <v>17</v>
      </c>
      <c r="L4908" s="16" t="s">
        <v>26</v>
      </c>
      <c r="M4908" s="16">
        <f t="shared" si="459"/>
        <v>-0.59196208571546938</v>
      </c>
      <c r="N4908">
        <f t="shared" si="460"/>
        <v>0</v>
      </c>
      <c r="O4908">
        <f t="shared" si="461"/>
        <v>0</v>
      </c>
      <c r="P4908">
        <f t="shared" si="458"/>
        <v>4250</v>
      </c>
      <c r="Q4908">
        <f t="shared" si="462"/>
        <v>4250</v>
      </c>
      <c r="T4908" s="16">
        <f t="shared" si="463"/>
        <v>-0.59196208571546971</v>
      </c>
    </row>
    <row r="4909" spans="7:20" ht="14.4" x14ac:dyDescent="0.25">
      <c r="G4909" s="10">
        <v>788</v>
      </c>
      <c r="H4909" s="9">
        <v>5635</v>
      </c>
      <c r="I4909" s="14">
        <f>DATE(2012,12,31)-138</f>
        <v>41136</v>
      </c>
      <c r="J4909" s="15" t="s">
        <v>16</v>
      </c>
      <c r="K4909" s="9">
        <v>50</v>
      </c>
      <c r="L4909" s="16" t="s">
        <v>29</v>
      </c>
      <c r="M4909" s="16">
        <f t="shared" si="459"/>
        <v>1.687010542718838</v>
      </c>
      <c r="N4909">
        <f t="shared" si="460"/>
        <v>0</v>
      </c>
      <c r="O4909">
        <f t="shared" si="461"/>
        <v>0</v>
      </c>
      <c r="P4909">
        <f t="shared" si="458"/>
        <v>5900</v>
      </c>
      <c r="Q4909">
        <f t="shared" si="462"/>
        <v>5900</v>
      </c>
      <c r="T4909" s="16">
        <f t="shared" si="463"/>
        <v>1.6870105427188375</v>
      </c>
    </row>
    <row r="4910" spans="7:20" ht="14.4" x14ac:dyDescent="0.25">
      <c r="G4910" s="10">
        <v>791</v>
      </c>
      <c r="H4910" s="9">
        <v>5696</v>
      </c>
      <c r="I4910" s="14">
        <f>DATE(2012,12,31)-608</f>
        <v>40666</v>
      </c>
      <c r="J4910" s="15" t="s">
        <v>30</v>
      </c>
      <c r="K4910" s="9">
        <v>4</v>
      </c>
      <c r="L4910" s="16" t="s">
        <v>26</v>
      </c>
      <c r="M4910" s="16">
        <f t="shared" si="459"/>
        <v>-1.489739181765348</v>
      </c>
      <c r="N4910">
        <f t="shared" si="460"/>
        <v>0</v>
      </c>
      <c r="O4910">
        <f t="shared" si="461"/>
        <v>0</v>
      </c>
      <c r="P4910">
        <f t="shared" si="458"/>
        <v>3600</v>
      </c>
      <c r="Q4910">
        <f t="shared" si="462"/>
        <v>3600</v>
      </c>
      <c r="T4910" s="16">
        <f t="shared" si="463"/>
        <v>-1.4897391817653485</v>
      </c>
    </row>
    <row r="4911" spans="7:20" ht="14.4" x14ac:dyDescent="0.25">
      <c r="G4911" s="10">
        <v>792</v>
      </c>
      <c r="H4911" s="9">
        <v>5696</v>
      </c>
      <c r="I4911" s="14">
        <f>DATE(2012,12,31)-608</f>
        <v>40666</v>
      </c>
      <c r="J4911" s="15" t="s">
        <v>30</v>
      </c>
      <c r="K4911" s="9">
        <v>40</v>
      </c>
      <c r="L4911" s="16" t="s">
        <v>26</v>
      </c>
      <c r="M4911" s="16">
        <f t="shared" si="459"/>
        <v>0.99641277652662363</v>
      </c>
      <c r="N4911">
        <f t="shared" si="460"/>
        <v>0</v>
      </c>
      <c r="O4911">
        <f t="shared" si="461"/>
        <v>0</v>
      </c>
      <c r="P4911">
        <f t="shared" si="458"/>
        <v>5400</v>
      </c>
      <c r="Q4911">
        <f t="shared" si="462"/>
        <v>5400</v>
      </c>
      <c r="T4911" s="16">
        <f t="shared" si="463"/>
        <v>0.9964127765266233</v>
      </c>
    </row>
    <row r="4912" spans="7:20" ht="14.4" x14ac:dyDescent="0.25">
      <c r="G4912" s="10">
        <v>793</v>
      </c>
      <c r="H4912" s="9">
        <v>5696</v>
      </c>
      <c r="I4912" s="14">
        <f>DATE(2012,12,31)-608</f>
        <v>40666</v>
      </c>
      <c r="J4912" s="15" t="s">
        <v>30</v>
      </c>
      <c r="K4912" s="9">
        <v>31</v>
      </c>
      <c r="L4912" s="16" t="s">
        <v>27</v>
      </c>
      <c r="M4912" s="16">
        <f t="shared" si="459"/>
        <v>0.37487478695363075</v>
      </c>
      <c r="N4912">
        <f t="shared" si="460"/>
        <v>0</v>
      </c>
      <c r="O4912">
        <f t="shared" si="461"/>
        <v>0</v>
      </c>
      <c r="P4912">
        <f t="shared" si="458"/>
        <v>4950</v>
      </c>
      <c r="Q4912">
        <f t="shared" si="462"/>
        <v>4950</v>
      </c>
      <c r="T4912" s="16">
        <f t="shared" si="463"/>
        <v>0.37487478695363036</v>
      </c>
    </row>
    <row r="4913" spans="7:20" ht="14.4" x14ac:dyDescent="0.25">
      <c r="G4913" s="10">
        <v>820</v>
      </c>
      <c r="H4913" s="9">
        <v>5921</v>
      </c>
      <c r="I4913" s="14">
        <f>DATE(2012,12,31)-1365</f>
        <v>39909</v>
      </c>
      <c r="J4913" s="15" t="s">
        <v>25</v>
      </c>
      <c r="K4913" s="9">
        <v>27</v>
      </c>
      <c r="L4913" s="16" t="s">
        <v>26</v>
      </c>
      <c r="M4913" s="16">
        <f t="shared" si="459"/>
        <v>9.8635680476745008E-2</v>
      </c>
      <c r="N4913">
        <f t="shared" si="460"/>
        <v>0</v>
      </c>
      <c r="O4913">
        <f t="shared" si="461"/>
        <v>0</v>
      </c>
      <c r="P4913">
        <f t="shared" si="458"/>
        <v>4750</v>
      </c>
      <c r="Q4913">
        <f t="shared" si="462"/>
        <v>4750</v>
      </c>
      <c r="T4913" s="16">
        <f t="shared" si="463"/>
        <v>9.8635680476744619E-2</v>
      </c>
    </row>
    <row r="4914" spans="7:20" ht="14.4" x14ac:dyDescent="0.25">
      <c r="G4914" s="10">
        <v>868</v>
      </c>
      <c r="H4914" s="9">
        <v>6241</v>
      </c>
      <c r="I4914" s="14">
        <f>DATE(2012,12,31)-1098</f>
        <v>40176</v>
      </c>
      <c r="J4914" s="15" t="s">
        <v>25</v>
      </c>
      <c r="K4914" s="9">
        <v>24</v>
      </c>
      <c r="L4914" s="16" t="s">
        <v>26</v>
      </c>
      <c r="M4914" s="16">
        <f t="shared" si="459"/>
        <v>-0.1085436493809193</v>
      </c>
      <c r="N4914">
        <f t="shared" si="460"/>
        <v>0</v>
      </c>
      <c r="O4914">
        <f t="shared" si="461"/>
        <v>0</v>
      </c>
      <c r="P4914">
        <f t="shared" si="458"/>
        <v>4600</v>
      </c>
      <c r="Q4914">
        <f t="shared" si="462"/>
        <v>4600</v>
      </c>
      <c r="T4914" s="16">
        <f t="shared" si="463"/>
        <v>-0.10854364938091969</v>
      </c>
    </row>
    <row r="4915" spans="7:20" ht="14.4" x14ac:dyDescent="0.25">
      <c r="G4915" s="10">
        <v>869</v>
      </c>
      <c r="H4915" s="9">
        <v>6241</v>
      </c>
      <c r="I4915" s="14">
        <f>DATE(2012,12,31)-1098</f>
        <v>40176</v>
      </c>
      <c r="J4915" s="15" t="s">
        <v>25</v>
      </c>
      <c r="K4915" s="9">
        <v>29</v>
      </c>
      <c r="L4915" s="16" t="s">
        <v>27</v>
      </c>
      <c r="M4915" s="16">
        <f t="shared" si="459"/>
        <v>0.23675523371518786</v>
      </c>
      <c r="N4915">
        <f t="shared" si="460"/>
        <v>0</v>
      </c>
      <c r="O4915">
        <f t="shared" si="461"/>
        <v>0</v>
      </c>
      <c r="P4915">
        <f t="shared" si="458"/>
        <v>4850</v>
      </c>
      <c r="Q4915">
        <f t="shared" si="462"/>
        <v>4850</v>
      </c>
      <c r="T4915" s="16">
        <f t="shared" si="463"/>
        <v>0.2367552337151875</v>
      </c>
    </row>
    <row r="4916" spans="7:20" ht="14.4" x14ac:dyDescent="0.25">
      <c r="G4916" s="10">
        <v>892</v>
      </c>
      <c r="H4916" s="9">
        <v>6406</v>
      </c>
      <c r="I4916" s="14">
        <f>DATE(2012,12,31)-1235</f>
        <v>40039</v>
      </c>
      <c r="J4916" s="15" t="s">
        <v>30</v>
      </c>
      <c r="K4916" s="9">
        <v>43</v>
      </c>
      <c r="L4916" s="16" t="s">
        <v>26</v>
      </c>
      <c r="M4916" s="16">
        <f t="shared" si="459"/>
        <v>1.203592106384288</v>
      </c>
      <c r="N4916">
        <f t="shared" si="460"/>
        <v>0</v>
      </c>
      <c r="O4916">
        <f t="shared" si="461"/>
        <v>0</v>
      </c>
      <c r="P4916">
        <f t="shared" si="458"/>
        <v>5550</v>
      </c>
      <c r="Q4916">
        <f t="shared" si="462"/>
        <v>5550</v>
      </c>
      <c r="T4916" s="16">
        <f t="shared" si="463"/>
        <v>1.2035921063842876</v>
      </c>
    </row>
    <row r="4917" spans="7:20" ht="14.4" x14ac:dyDescent="0.25">
      <c r="G4917" s="10">
        <v>920</v>
      </c>
      <c r="H4917" s="9">
        <v>6625</v>
      </c>
      <c r="I4917" s="14">
        <f>DATE(2012,12,31)-869</f>
        <v>40405</v>
      </c>
      <c r="J4917" s="15" t="s">
        <v>17</v>
      </c>
      <c r="K4917" s="9">
        <v>23</v>
      </c>
      <c r="L4917" s="16" t="s">
        <v>29</v>
      </c>
      <c r="M4917" s="16">
        <f t="shared" si="459"/>
        <v>-0.17760342600014073</v>
      </c>
      <c r="N4917">
        <f t="shared" si="460"/>
        <v>0</v>
      </c>
      <c r="O4917">
        <f t="shared" si="461"/>
        <v>0</v>
      </c>
      <c r="P4917">
        <f t="shared" si="458"/>
        <v>4550</v>
      </c>
      <c r="Q4917">
        <f t="shared" si="462"/>
        <v>4550</v>
      </c>
      <c r="T4917" s="16">
        <f t="shared" si="463"/>
        <v>-0.17760342600014112</v>
      </c>
    </row>
    <row r="4918" spans="7:20" ht="14.4" x14ac:dyDescent="0.25">
      <c r="G4918" s="10">
        <v>947</v>
      </c>
      <c r="H4918" s="9">
        <v>6854</v>
      </c>
      <c r="I4918" s="14">
        <f>DATE(2012,12,31)-1455</f>
        <v>39819</v>
      </c>
      <c r="J4918" s="15" t="s">
        <v>16</v>
      </c>
      <c r="K4918" s="9">
        <v>1</v>
      </c>
      <c r="L4918" s="16" t="s">
        <v>26</v>
      </c>
      <c r="M4918" s="16">
        <f t="shared" si="459"/>
        <v>-1.6969185116230123</v>
      </c>
      <c r="N4918">
        <f t="shared" si="460"/>
        <v>0</v>
      </c>
      <c r="O4918">
        <f t="shared" si="461"/>
        <v>0</v>
      </c>
      <c r="P4918">
        <f t="shared" si="458"/>
        <v>3450</v>
      </c>
      <c r="Q4918">
        <f t="shared" si="462"/>
        <v>3450</v>
      </c>
      <c r="T4918" s="16">
        <f t="shared" si="463"/>
        <v>-1.6969185116230128</v>
      </c>
    </row>
    <row r="4919" spans="7:20" ht="14.4" x14ac:dyDescent="0.25">
      <c r="G4919" s="10">
        <v>948</v>
      </c>
      <c r="H4919" s="9">
        <v>6854</v>
      </c>
      <c r="I4919" s="14">
        <f>DATE(2012,12,31)-1455</f>
        <v>39819</v>
      </c>
      <c r="J4919" s="15" t="s">
        <v>16</v>
      </c>
      <c r="K4919" s="9">
        <v>19</v>
      </c>
      <c r="L4919" s="16" t="s">
        <v>29</v>
      </c>
      <c r="M4919" s="16">
        <f t="shared" si="459"/>
        <v>-0.45384253247702649</v>
      </c>
      <c r="N4919">
        <f t="shared" si="460"/>
        <v>0</v>
      </c>
      <c r="O4919">
        <f t="shared" si="461"/>
        <v>0</v>
      </c>
      <c r="P4919">
        <f t="shared" si="458"/>
        <v>4350</v>
      </c>
      <c r="Q4919">
        <f t="shared" si="462"/>
        <v>4350</v>
      </c>
      <c r="T4919" s="16">
        <f t="shared" si="463"/>
        <v>-0.45384253247702688</v>
      </c>
    </row>
    <row r="4920" spans="7:20" ht="14.4" x14ac:dyDescent="0.25">
      <c r="G4920" s="10">
        <v>1006</v>
      </c>
      <c r="H4920" s="9">
        <v>7335</v>
      </c>
      <c r="I4920" s="14">
        <f>DATE(2012,12,31)-947</f>
        <v>40327</v>
      </c>
      <c r="J4920" s="15" t="s">
        <v>25</v>
      </c>
      <c r="K4920" s="9">
        <v>43</v>
      </c>
      <c r="L4920" s="16" t="s">
        <v>27</v>
      </c>
      <c r="M4920" s="16">
        <f t="shared" si="459"/>
        <v>1.203592106384288</v>
      </c>
      <c r="N4920">
        <f t="shared" si="460"/>
        <v>0</v>
      </c>
      <c r="O4920">
        <f t="shared" si="461"/>
        <v>0</v>
      </c>
      <c r="P4920">
        <f t="shared" si="458"/>
        <v>5550</v>
      </c>
      <c r="Q4920">
        <f t="shared" si="462"/>
        <v>5550</v>
      </c>
      <c r="T4920" s="16">
        <f t="shared" si="463"/>
        <v>1.2035921063842876</v>
      </c>
    </row>
    <row r="4921" spans="7:20" ht="14.4" x14ac:dyDescent="0.25">
      <c r="G4921" s="10">
        <v>1019</v>
      </c>
      <c r="H4921" s="9">
        <v>7457</v>
      </c>
      <c r="I4921" s="14">
        <f>DATE(2012,12,31)-823</f>
        <v>40451</v>
      </c>
      <c r="J4921" s="15" t="s">
        <v>28</v>
      </c>
      <c r="K4921" s="9">
        <v>36</v>
      </c>
      <c r="L4921" s="16" t="s">
        <v>26</v>
      </c>
      <c r="M4921" s="16">
        <f t="shared" si="459"/>
        <v>0.72017367004973787</v>
      </c>
      <c r="N4921">
        <f t="shared" si="460"/>
        <v>0</v>
      </c>
      <c r="O4921">
        <f t="shared" si="461"/>
        <v>0</v>
      </c>
      <c r="P4921">
        <f t="shared" si="458"/>
        <v>5200</v>
      </c>
      <c r="Q4921">
        <f t="shared" si="462"/>
        <v>5200</v>
      </c>
      <c r="T4921" s="16">
        <f t="shared" si="463"/>
        <v>0.72017367004973754</v>
      </c>
    </row>
    <row r="4922" spans="7:20" ht="14.4" x14ac:dyDescent="0.25">
      <c r="G4922" s="10">
        <v>1020</v>
      </c>
      <c r="H4922" s="9">
        <v>7457</v>
      </c>
      <c r="I4922" s="14">
        <f>DATE(2012,12,31)-823</f>
        <v>40451</v>
      </c>
      <c r="J4922" s="15" t="s">
        <v>28</v>
      </c>
      <c r="K4922" s="9">
        <v>46</v>
      </c>
      <c r="L4922" s="16" t="s">
        <v>26</v>
      </c>
      <c r="M4922" s="16">
        <f t="shared" si="459"/>
        <v>1.4107714362419523</v>
      </c>
      <c r="N4922">
        <f t="shared" si="460"/>
        <v>0</v>
      </c>
      <c r="O4922">
        <f t="shared" si="461"/>
        <v>0</v>
      </c>
      <c r="P4922">
        <f t="shared" si="458"/>
        <v>5700</v>
      </c>
      <c r="Q4922">
        <f t="shared" si="462"/>
        <v>5700</v>
      </c>
      <c r="T4922" s="16">
        <f t="shared" si="463"/>
        <v>1.4107714362419519</v>
      </c>
    </row>
    <row r="4923" spans="7:20" ht="14.4" x14ac:dyDescent="0.25">
      <c r="G4923" s="10">
        <v>1044</v>
      </c>
      <c r="H4923" s="9">
        <v>7653</v>
      </c>
      <c r="I4923" s="14">
        <f>DATE(2012,12,31)-308</f>
        <v>40966</v>
      </c>
      <c r="J4923" s="15" t="s">
        <v>16</v>
      </c>
      <c r="K4923" s="9">
        <v>32</v>
      </c>
      <c r="L4923" s="16" t="s">
        <v>26</v>
      </c>
      <c r="M4923" s="16">
        <f t="shared" si="459"/>
        <v>0.44393456357285216</v>
      </c>
      <c r="N4923">
        <f t="shared" si="460"/>
        <v>0</v>
      </c>
      <c r="O4923">
        <f t="shared" si="461"/>
        <v>0</v>
      </c>
      <c r="P4923">
        <f t="shared" si="458"/>
        <v>5000</v>
      </c>
      <c r="Q4923">
        <f t="shared" si="462"/>
        <v>5000</v>
      </c>
      <c r="T4923" s="16">
        <f t="shared" si="463"/>
        <v>0.44393456357285183</v>
      </c>
    </row>
    <row r="4924" spans="7:20" ht="14.4" x14ac:dyDescent="0.25">
      <c r="G4924" s="10">
        <v>1055</v>
      </c>
      <c r="H4924" s="9">
        <v>7783</v>
      </c>
      <c r="I4924" s="14">
        <f>DATE(2012,12,31)-354</f>
        <v>40920</v>
      </c>
      <c r="J4924" s="15" t="s">
        <v>16</v>
      </c>
      <c r="K4924" s="9">
        <v>3</v>
      </c>
      <c r="L4924" s="16" t="s">
        <v>26</v>
      </c>
      <c r="M4924" s="16">
        <f t="shared" si="459"/>
        <v>-1.5587989583845694</v>
      </c>
      <c r="N4924">
        <f t="shared" si="460"/>
        <v>0</v>
      </c>
      <c r="O4924">
        <f t="shared" si="461"/>
        <v>0</v>
      </c>
      <c r="P4924">
        <f t="shared" si="458"/>
        <v>3550</v>
      </c>
      <c r="Q4924">
        <f t="shared" si="462"/>
        <v>3550</v>
      </c>
      <c r="T4924" s="16">
        <f t="shared" si="463"/>
        <v>-1.5587989583845698</v>
      </c>
    </row>
    <row r="4925" spans="7:20" ht="14.4" x14ac:dyDescent="0.25">
      <c r="G4925" s="10">
        <v>1072</v>
      </c>
      <c r="H4925" s="9">
        <v>7905</v>
      </c>
      <c r="I4925" s="14">
        <f>DATE(2012,12,31)-1307</f>
        <v>39967</v>
      </c>
      <c r="J4925" s="15" t="s">
        <v>25</v>
      </c>
      <c r="K4925" s="9">
        <v>46</v>
      </c>
      <c r="L4925" s="16" t="s">
        <v>29</v>
      </c>
      <c r="M4925" s="16">
        <f t="shared" si="459"/>
        <v>1.4107714362419523</v>
      </c>
      <c r="N4925">
        <f t="shared" si="460"/>
        <v>0</v>
      </c>
      <c r="O4925">
        <f t="shared" si="461"/>
        <v>0</v>
      </c>
      <c r="P4925">
        <f t="shared" si="458"/>
        <v>5700</v>
      </c>
      <c r="Q4925">
        <f t="shared" si="462"/>
        <v>5700</v>
      </c>
      <c r="T4925" s="16">
        <f t="shared" si="463"/>
        <v>1.4107714362419519</v>
      </c>
    </row>
    <row r="4926" spans="7:20" ht="14.4" x14ac:dyDescent="0.25">
      <c r="G4926" s="10">
        <v>1098</v>
      </c>
      <c r="H4926" s="9">
        <v>8064</v>
      </c>
      <c r="I4926" s="14">
        <f>DATE(2012,12,31)-599</f>
        <v>40675</v>
      </c>
      <c r="J4926" s="15" t="s">
        <v>17</v>
      </c>
      <c r="K4926" s="9">
        <v>44</v>
      </c>
      <c r="L4926" s="16" t="s">
        <v>29</v>
      </c>
      <c r="M4926" s="16">
        <f t="shared" si="459"/>
        <v>1.2726518830035094</v>
      </c>
      <c r="N4926">
        <f t="shared" si="460"/>
        <v>0</v>
      </c>
      <c r="O4926">
        <f t="shared" si="461"/>
        <v>0</v>
      </c>
      <c r="P4926">
        <f t="shared" si="458"/>
        <v>5600</v>
      </c>
      <c r="Q4926">
        <f t="shared" si="462"/>
        <v>5600</v>
      </c>
      <c r="T4926" s="16">
        <f t="shared" si="463"/>
        <v>1.272651883003509</v>
      </c>
    </row>
    <row r="4927" spans="7:20" ht="14.4" x14ac:dyDescent="0.25">
      <c r="G4927" s="10">
        <v>1105</v>
      </c>
      <c r="H4927" s="9">
        <v>8130</v>
      </c>
      <c r="I4927" s="14">
        <f>DATE(2012,12,31)-232</f>
        <v>41042</v>
      </c>
      <c r="J4927" s="15" t="s">
        <v>30</v>
      </c>
      <c r="K4927" s="9">
        <v>15</v>
      </c>
      <c r="L4927" s="16" t="s">
        <v>26</v>
      </c>
      <c r="M4927" s="16">
        <f t="shared" si="459"/>
        <v>-0.7300816389539122</v>
      </c>
      <c r="N4927">
        <f t="shared" si="460"/>
        <v>0</v>
      </c>
      <c r="O4927">
        <f t="shared" si="461"/>
        <v>0</v>
      </c>
      <c r="P4927">
        <f t="shared" si="458"/>
        <v>4150</v>
      </c>
      <c r="Q4927">
        <f t="shared" si="462"/>
        <v>4150</v>
      </c>
      <c r="T4927" s="16">
        <f t="shared" si="463"/>
        <v>-0.73008163895391265</v>
      </c>
    </row>
    <row r="4928" spans="7:20" ht="14.4" x14ac:dyDescent="0.25">
      <c r="G4928" s="10">
        <v>1138</v>
      </c>
      <c r="H4928" s="9">
        <v>8294</v>
      </c>
      <c r="I4928" s="14">
        <f>DATE(2012,12,31)-194</f>
        <v>41080</v>
      </c>
      <c r="J4928" s="15" t="s">
        <v>16</v>
      </c>
      <c r="K4928" s="9">
        <v>28</v>
      </c>
      <c r="L4928" s="16" t="s">
        <v>27</v>
      </c>
      <c r="M4928" s="16">
        <f t="shared" si="459"/>
        <v>0.16769545709596645</v>
      </c>
      <c r="N4928">
        <f t="shared" si="460"/>
        <v>0</v>
      </c>
      <c r="O4928">
        <f t="shared" si="461"/>
        <v>0</v>
      </c>
      <c r="P4928">
        <f t="shared" si="458"/>
        <v>4800</v>
      </c>
      <c r="Q4928">
        <f t="shared" si="462"/>
        <v>4800</v>
      </c>
      <c r="T4928" s="16">
        <f t="shared" si="463"/>
        <v>0.16769545709596606</v>
      </c>
    </row>
    <row r="4929" spans="7:20" ht="14.4" x14ac:dyDescent="0.25">
      <c r="G4929" s="10">
        <v>1148</v>
      </c>
      <c r="H4929" s="9">
        <v>8384</v>
      </c>
      <c r="I4929" s="14">
        <f>DATE(2012,12,31)-971</f>
        <v>40303</v>
      </c>
      <c r="J4929" s="15" t="s">
        <v>17</v>
      </c>
      <c r="K4929" s="9">
        <v>37</v>
      </c>
      <c r="L4929" s="16" t="s">
        <v>29</v>
      </c>
      <c r="M4929" s="16">
        <f t="shared" si="459"/>
        <v>0.78923344666895934</v>
      </c>
      <c r="N4929">
        <f t="shared" si="460"/>
        <v>0</v>
      </c>
      <c r="O4929">
        <f t="shared" si="461"/>
        <v>0</v>
      </c>
      <c r="P4929">
        <f t="shared" si="458"/>
        <v>5250</v>
      </c>
      <c r="Q4929">
        <f t="shared" si="462"/>
        <v>5250</v>
      </c>
      <c r="T4929" s="16">
        <f t="shared" si="463"/>
        <v>0.789233446668959</v>
      </c>
    </row>
    <row r="4930" spans="7:20" ht="14.4" x14ac:dyDescent="0.25">
      <c r="G4930" s="10">
        <v>1175</v>
      </c>
      <c r="H4930" s="9">
        <v>8580</v>
      </c>
      <c r="I4930" s="14">
        <f>DATE(2012,12,31)-650</f>
        <v>40624</v>
      </c>
      <c r="J4930" s="15" t="s">
        <v>17</v>
      </c>
      <c r="K4930" s="9">
        <v>12</v>
      </c>
      <c r="L4930" s="16" t="s">
        <v>26</v>
      </c>
      <c r="M4930" s="16">
        <f t="shared" si="459"/>
        <v>-0.9372609688115765</v>
      </c>
      <c r="N4930">
        <f t="shared" si="460"/>
        <v>0</v>
      </c>
      <c r="O4930">
        <f t="shared" si="461"/>
        <v>0</v>
      </c>
      <c r="P4930">
        <f t="shared" si="458"/>
        <v>4000</v>
      </c>
      <c r="Q4930">
        <f t="shared" si="462"/>
        <v>4000</v>
      </c>
      <c r="T4930" s="16">
        <f t="shared" si="463"/>
        <v>-0.93726096881157694</v>
      </c>
    </row>
    <row r="4931" spans="7:20" ht="14.4" x14ac:dyDescent="0.25">
      <c r="G4931" s="10">
        <v>1176</v>
      </c>
      <c r="H4931" s="9">
        <v>8580</v>
      </c>
      <c r="I4931" s="14">
        <f>DATE(2012,12,31)-650</f>
        <v>40624</v>
      </c>
      <c r="J4931" s="15" t="s">
        <v>17</v>
      </c>
      <c r="K4931" s="9">
        <v>37</v>
      </c>
      <c r="L4931" s="16" t="s">
        <v>26</v>
      </c>
      <c r="M4931" s="16">
        <f t="shared" si="459"/>
        <v>0.78923344666895934</v>
      </c>
      <c r="N4931">
        <f t="shared" si="460"/>
        <v>0</v>
      </c>
      <c r="O4931">
        <f t="shared" si="461"/>
        <v>0</v>
      </c>
      <c r="P4931">
        <f t="shared" si="458"/>
        <v>5250</v>
      </c>
      <c r="Q4931">
        <f t="shared" si="462"/>
        <v>5250</v>
      </c>
      <c r="T4931" s="16">
        <f t="shared" si="463"/>
        <v>0.789233446668959</v>
      </c>
    </row>
    <row r="4932" spans="7:20" ht="14.4" x14ac:dyDescent="0.25">
      <c r="G4932" s="10">
        <v>1182</v>
      </c>
      <c r="H4932" s="9">
        <v>8646</v>
      </c>
      <c r="I4932" s="14">
        <f>DATE(2012,12,31)-1362</f>
        <v>39912</v>
      </c>
      <c r="J4932" s="15" t="s">
        <v>17</v>
      </c>
      <c r="K4932" s="9">
        <v>8</v>
      </c>
      <c r="L4932" s="16" t="s">
        <v>26</v>
      </c>
      <c r="M4932" s="16">
        <f t="shared" si="459"/>
        <v>-1.2135000752884624</v>
      </c>
      <c r="N4932">
        <f t="shared" si="460"/>
        <v>0</v>
      </c>
      <c r="O4932">
        <f t="shared" si="461"/>
        <v>0</v>
      </c>
      <c r="P4932">
        <f t="shared" si="458"/>
        <v>3800</v>
      </c>
      <c r="Q4932">
        <f t="shared" si="462"/>
        <v>3800</v>
      </c>
      <c r="T4932" s="16">
        <f t="shared" si="463"/>
        <v>-1.2135000752884626</v>
      </c>
    </row>
    <row r="4933" spans="7:20" ht="14.4" x14ac:dyDescent="0.25">
      <c r="G4933" s="10">
        <v>1183</v>
      </c>
      <c r="H4933" s="9">
        <v>8646</v>
      </c>
      <c r="I4933" s="14">
        <f>DATE(2012,12,31)-1362</f>
        <v>39912</v>
      </c>
      <c r="J4933" s="15" t="s">
        <v>17</v>
      </c>
      <c r="K4933" s="9">
        <v>41</v>
      </c>
      <c r="L4933" s="16" t="s">
        <v>29</v>
      </c>
      <c r="M4933" s="16">
        <f t="shared" si="459"/>
        <v>1.0654725531458451</v>
      </c>
      <c r="N4933">
        <f t="shared" si="460"/>
        <v>0</v>
      </c>
      <c r="O4933">
        <f t="shared" si="461"/>
        <v>0</v>
      </c>
      <c r="P4933">
        <f t="shared" si="458"/>
        <v>5450</v>
      </c>
      <c r="Q4933">
        <f t="shared" si="462"/>
        <v>5450</v>
      </c>
      <c r="T4933" s="16">
        <f t="shared" si="463"/>
        <v>1.0654725531458447</v>
      </c>
    </row>
    <row r="4934" spans="7:20" ht="14.4" x14ac:dyDescent="0.25">
      <c r="G4934" s="10">
        <v>1184</v>
      </c>
      <c r="H4934" s="9">
        <v>8646</v>
      </c>
      <c r="I4934" s="14">
        <f>DATE(2012,12,31)-1362</f>
        <v>39912</v>
      </c>
      <c r="J4934" s="15" t="s">
        <v>17</v>
      </c>
      <c r="K4934" s="9">
        <v>26</v>
      </c>
      <c r="L4934" s="16" t="s">
        <v>27</v>
      </c>
      <c r="M4934" s="16">
        <f t="shared" si="459"/>
        <v>2.9575903857523567E-2</v>
      </c>
      <c r="N4934">
        <f t="shared" si="460"/>
        <v>0</v>
      </c>
      <c r="O4934">
        <f t="shared" si="461"/>
        <v>0</v>
      </c>
      <c r="P4934">
        <f t="shared" si="458"/>
        <v>4700</v>
      </c>
      <c r="Q4934">
        <f t="shared" si="462"/>
        <v>4700</v>
      </c>
      <c r="T4934" s="16">
        <f t="shared" si="463"/>
        <v>2.9575903857523185E-2</v>
      </c>
    </row>
    <row r="4935" spans="7:20" ht="14.4" x14ac:dyDescent="0.25">
      <c r="G4935" s="10">
        <v>1185</v>
      </c>
      <c r="H4935" s="9">
        <v>8646</v>
      </c>
      <c r="I4935" s="14">
        <f>DATE(2012,12,31)-1362</f>
        <v>39912</v>
      </c>
      <c r="J4935" s="15" t="s">
        <v>17</v>
      </c>
      <c r="K4935" s="9">
        <v>29</v>
      </c>
      <c r="L4935" s="16" t="s">
        <v>29</v>
      </c>
      <c r="M4935" s="16">
        <f t="shared" si="459"/>
        <v>0.23675523371518786</v>
      </c>
      <c r="N4935">
        <f t="shared" si="460"/>
        <v>0</v>
      </c>
      <c r="O4935">
        <f t="shared" si="461"/>
        <v>0</v>
      </c>
      <c r="P4935">
        <f t="shared" si="458"/>
        <v>4850</v>
      </c>
      <c r="Q4935">
        <f t="shared" si="462"/>
        <v>4850</v>
      </c>
      <c r="T4935" s="16">
        <f t="shared" si="463"/>
        <v>0.2367552337151875</v>
      </c>
    </row>
    <row r="4936" spans="7:20" ht="14.4" x14ac:dyDescent="0.25">
      <c r="G4936" s="10">
        <v>1224</v>
      </c>
      <c r="H4936" s="9">
        <v>8993</v>
      </c>
      <c r="I4936" s="14">
        <f>DATE(2012,12,31)-583</f>
        <v>40691</v>
      </c>
      <c r="J4936" s="15" t="s">
        <v>16</v>
      </c>
      <c r="K4936" s="9">
        <v>41</v>
      </c>
      <c r="L4936" s="16" t="s">
        <v>26</v>
      </c>
      <c r="M4936" s="16">
        <f t="shared" si="459"/>
        <v>1.0654725531458451</v>
      </c>
      <c r="N4936">
        <f t="shared" si="460"/>
        <v>0</v>
      </c>
      <c r="O4936">
        <f t="shared" si="461"/>
        <v>0</v>
      </c>
      <c r="P4936">
        <f t="shared" si="458"/>
        <v>5450</v>
      </c>
      <c r="Q4936">
        <f t="shared" si="462"/>
        <v>5450</v>
      </c>
      <c r="T4936" s="16">
        <f t="shared" si="463"/>
        <v>1.0654725531458447</v>
      </c>
    </row>
    <row r="4937" spans="7:20" ht="14.4" x14ac:dyDescent="0.25">
      <c r="G4937" s="10">
        <v>1231</v>
      </c>
      <c r="H4937" s="9">
        <v>8996</v>
      </c>
      <c r="I4937" s="14">
        <f>DATE(2012,12,31)-578</f>
        <v>40696</v>
      </c>
      <c r="J4937" s="15" t="s">
        <v>25</v>
      </c>
      <c r="K4937" s="9">
        <v>13</v>
      </c>
      <c r="L4937" s="16" t="s">
        <v>27</v>
      </c>
      <c r="M4937" s="16">
        <f t="shared" si="459"/>
        <v>-0.86820119219235514</v>
      </c>
      <c r="N4937">
        <f t="shared" si="460"/>
        <v>0</v>
      </c>
      <c r="O4937">
        <f t="shared" si="461"/>
        <v>0</v>
      </c>
      <c r="P4937">
        <f t="shared" si="458"/>
        <v>4050</v>
      </c>
      <c r="Q4937">
        <f t="shared" si="462"/>
        <v>4050</v>
      </c>
      <c r="T4937" s="16">
        <f t="shared" si="463"/>
        <v>-0.86820119219235548</v>
      </c>
    </row>
    <row r="4938" spans="7:20" ht="14.4" x14ac:dyDescent="0.25">
      <c r="G4938" s="10">
        <v>1234</v>
      </c>
      <c r="H4938" s="9">
        <v>8998</v>
      </c>
      <c r="I4938" s="14">
        <f>DATE(2012,12,31)-1093</f>
        <v>40181</v>
      </c>
      <c r="J4938" s="15" t="s">
        <v>25</v>
      </c>
      <c r="K4938" s="9">
        <v>37</v>
      </c>
      <c r="L4938" s="16" t="s">
        <v>26</v>
      </c>
      <c r="M4938" s="16">
        <f t="shared" si="459"/>
        <v>0.78923344666895934</v>
      </c>
      <c r="N4938">
        <f t="shared" si="460"/>
        <v>0</v>
      </c>
      <c r="O4938">
        <f t="shared" si="461"/>
        <v>0</v>
      </c>
      <c r="P4938">
        <f t="shared" si="458"/>
        <v>5250</v>
      </c>
      <c r="Q4938">
        <f t="shared" si="462"/>
        <v>5250</v>
      </c>
      <c r="T4938" s="16">
        <f t="shared" si="463"/>
        <v>0.789233446668959</v>
      </c>
    </row>
    <row r="4939" spans="7:20" ht="14.4" x14ac:dyDescent="0.25">
      <c r="G4939" s="10">
        <v>1235</v>
      </c>
      <c r="H4939" s="9">
        <v>8998</v>
      </c>
      <c r="I4939" s="14">
        <f>DATE(2012,12,31)-1093</f>
        <v>40181</v>
      </c>
      <c r="J4939" s="15" t="s">
        <v>25</v>
      </c>
      <c r="K4939" s="9">
        <v>12</v>
      </c>
      <c r="L4939" s="16" t="s">
        <v>27</v>
      </c>
      <c r="M4939" s="16">
        <f t="shared" si="459"/>
        <v>-0.9372609688115765</v>
      </c>
      <c r="N4939">
        <f t="shared" si="460"/>
        <v>0</v>
      </c>
      <c r="O4939">
        <f t="shared" si="461"/>
        <v>0</v>
      </c>
      <c r="P4939">
        <f t="shared" si="458"/>
        <v>4000</v>
      </c>
      <c r="Q4939">
        <f t="shared" si="462"/>
        <v>4000</v>
      </c>
      <c r="T4939" s="16">
        <f t="shared" si="463"/>
        <v>-0.93726096881157694</v>
      </c>
    </row>
    <row r="4940" spans="7:20" ht="14.4" x14ac:dyDescent="0.25">
      <c r="G4940" s="10">
        <v>1236</v>
      </c>
      <c r="H4940" s="9">
        <v>8998</v>
      </c>
      <c r="I4940" s="14">
        <f>DATE(2012,12,31)-1093</f>
        <v>40181</v>
      </c>
      <c r="J4940" s="15" t="s">
        <v>25</v>
      </c>
      <c r="K4940" s="9">
        <v>13</v>
      </c>
      <c r="L4940" s="16" t="s">
        <v>26</v>
      </c>
      <c r="M4940" s="16">
        <f t="shared" si="459"/>
        <v>-0.86820119219235514</v>
      </c>
      <c r="N4940">
        <f t="shared" si="460"/>
        <v>0</v>
      </c>
      <c r="O4940">
        <f t="shared" si="461"/>
        <v>0</v>
      </c>
      <c r="P4940">
        <f t="shared" ref="P4940:P5003" si="464">50*K4940+$P$10</f>
        <v>4050</v>
      </c>
      <c r="Q4940">
        <f t="shared" si="462"/>
        <v>4050</v>
      </c>
      <c r="T4940" s="16">
        <f t="shared" si="463"/>
        <v>-0.86820119219235548</v>
      </c>
    </row>
    <row r="4941" spans="7:20" ht="14.4" x14ac:dyDescent="0.25">
      <c r="G4941" s="10">
        <v>1256</v>
      </c>
      <c r="H4941" s="9">
        <v>9124</v>
      </c>
      <c r="I4941" s="14">
        <f>DATE(2012,12,31)-442</f>
        <v>40832</v>
      </c>
      <c r="J4941" s="15" t="s">
        <v>25</v>
      </c>
      <c r="K4941" s="9">
        <v>17</v>
      </c>
      <c r="L4941" s="16" t="s">
        <v>27</v>
      </c>
      <c r="M4941" s="16">
        <f t="shared" ref="M4941:M5004" si="465">(K4941-$K$4)/$K$7</f>
        <v>-0.59196208571546938</v>
      </c>
      <c r="N4941">
        <f t="shared" ref="N4941:N5004" si="466">IF(MOD($B$20+G4941,1000)=0,1,0)</f>
        <v>0</v>
      </c>
      <c r="O4941">
        <f t="shared" ref="O4941:O5004" si="467">+ROUND(N4941*(IF(K4941&lt;$K$4,-4.5,10.5)*$P$5),-2)</f>
        <v>0</v>
      </c>
      <c r="P4941">
        <f t="shared" si="464"/>
        <v>4250</v>
      </c>
      <c r="Q4941">
        <f t="shared" ref="Q4941:Q5004" si="468">P4941+O4941</f>
        <v>4250</v>
      </c>
      <c r="T4941" s="16">
        <f t="shared" ref="T4941:T5004" si="469">(Q4941-$P$4)/$P$5</f>
        <v>-0.59196208571546971</v>
      </c>
    </row>
    <row r="4942" spans="7:20" ht="14.4" x14ac:dyDescent="0.25">
      <c r="G4942" s="10">
        <v>1257</v>
      </c>
      <c r="H4942" s="9">
        <v>9124</v>
      </c>
      <c r="I4942" s="14">
        <f>DATE(2012,12,31)-442</f>
        <v>40832</v>
      </c>
      <c r="J4942" s="15" t="s">
        <v>25</v>
      </c>
      <c r="K4942" s="9">
        <v>29</v>
      </c>
      <c r="L4942" s="16" t="s">
        <v>26</v>
      </c>
      <c r="M4942" s="16">
        <f t="shared" si="465"/>
        <v>0.23675523371518786</v>
      </c>
      <c r="N4942">
        <f t="shared" si="466"/>
        <v>0</v>
      </c>
      <c r="O4942">
        <f t="shared" si="467"/>
        <v>0</v>
      </c>
      <c r="P4942">
        <f t="shared" si="464"/>
        <v>4850</v>
      </c>
      <c r="Q4942">
        <f t="shared" si="468"/>
        <v>4850</v>
      </c>
      <c r="T4942" s="16">
        <f t="shared" si="469"/>
        <v>0.2367552337151875</v>
      </c>
    </row>
    <row r="4943" spans="7:20" ht="14.4" x14ac:dyDescent="0.25">
      <c r="G4943" s="10">
        <v>1260</v>
      </c>
      <c r="H4943" s="9">
        <v>9152</v>
      </c>
      <c r="I4943" s="14">
        <f>DATE(2012,12,31)-864</f>
        <v>40410</v>
      </c>
      <c r="J4943" s="15" t="s">
        <v>28</v>
      </c>
      <c r="K4943" s="9">
        <v>43</v>
      </c>
      <c r="L4943" s="16" t="s">
        <v>27</v>
      </c>
      <c r="M4943" s="16">
        <f t="shared" si="465"/>
        <v>1.203592106384288</v>
      </c>
      <c r="N4943">
        <f t="shared" si="466"/>
        <v>0</v>
      </c>
      <c r="O4943">
        <f t="shared" si="467"/>
        <v>0</v>
      </c>
      <c r="P4943">
        <f t="shared" si="464"/>
        <v>5550</v>
      </c>
      <c r="Q4943">
        <f t="shared" si="468"/>
        <v>5550</v>
      </c>
      <c r="T4943" s="16">
        <f t="shared" si="469"/>
        <v>1.2035921063842876</v>
      </c>
    </row>
    <row r="4944" spans="7:20" ht="14.4" x14ac:dyDescent="0.25">
      <c r="G4944" s="10">
        <v>1281</v>
      </c>
      <c r="H4944" s="9">
        <v>9312</v>
      </c>
      <c r="I4944" s="14">
        <f>DATE(2012,12,31)-227</f>
        <v>41047</v>
      </c>
      <c r="J4944" s="15" t="s">
        <v>28</v>
      </c>
      <c r="K4944" s="9">
        <v>43</v>
      </c>
      <c r="L4944" s="16" t="s">
        <v>29</v>
      </c>
      <c r="M4944" s="16">
        <f t="shared" si="465"/>
        <v>1.203592106384288</v>
      </c>
      <c r="N4944">
        <f t="shared" si="466"/>
        <v>0</v>
      </c>
      <c r="O4944">
        <f t="shared" si="467"/>
        <v>0</v>
      </c>
      <c r="P4944">
        <f t="shared" si="464"/>
        <v>5550</v>
      </c>
      <c r="Q4944">
        <f t="shared" si="468"/>
        <v>5550</v>
      </c>
      <c r="T4944" s="16">
        <f t="shared" si="469"/>
        <v>1.2035921063842876</v>
      </c>
    </row>
    <row r="4945" spans="7:20" ht="14.4" x14ac:dyDescent="0.25">
      <c r="G4945" s="10">
        <v>1330</v>
      </c>
      <c r="H4945" s="9">
        <v>9700</v>
      </c>
      <c r="I4945" s="14">
        <f>DATE(2012,12,31)-511</f>
        <v>40763</v>
      </c>
      <c r="J4945" s="15" t="s">
        <v>30</v>
      </c>
      <c r="K4945" s="9">
        <v>35</v>
      </c>
      <c r="L4945" s="16" t="s">
        <v>26</v>
      </c>
      <c r="M4945" s="16">
        <f t="shared" si="465"/>
        <v>0.65111389343051651</v>
      </c>
      <c r="N4945">
        <f t="shared" si="466"/>
        <v>0</v>
      </c>
      <c r="O4945">
        <f t="shared" si="467"/>
        <v>0</v>
      </c>
      <c r="P4945">
        <f t="shared" si="464"/>
        <v>5150</v>
      </c>
      <c r="Q4945">
        <f t="shared" si="468"/>
        <v>5150</v>
      </c>
      <c r="T4945" s="16">
        <f t="shared" si="469"/>
        <v>0.65111389343051607</v>
      </c>
    </row>
    <row r="4946" spans="7:20" ht="14.4" x14ac:dyDescent="0.25">
      <c r="G4946" s="10">
        <v>1345</v>
      </c>
      <c r="H4946" s="9">
        <v>9826</v>
      </c>
      <c r="I4946" s="14">
        <f>DATE(2012,12,31)-284</f>
        <v>40990</v>
      </c>
      <c r="J4946" s="15" t="s">
        <v>16</v>
      </c>
      <c r="K4946" s="9">
        <v>7</v>
      </c>
      <c r="L4946" s="16" t="s">
        <v>27</v>
      </c>
      <c r="M4946" s="16">
        <f t="shared" si="465"/>
        <v>-1.2825598519076837</v>
      </c>
      <c r="N4946">
        <f t="shared" si="466"/>
        <v>0</v>
      </c>
      <c r="O4946">
        <f t="shared" si="467"/>
        <v>0</v>
      </c>
      <c r="P4946">
        <f t="shared" si="464"/>
        <v>3750</v>
      </c>
      <c r="Q4946">
        <f t="shared" si="468"/>
        <v>3750</v>
      </c>
      <c r="T4946" s="16">
        <f t="shared" si="469"/>
        <v>-1.2825598519076842</v>
      </c>
    </row>
    <row r="4947" spans="7:20" ht="14.4" x14ac:dyDescent="0.25">
      <c r="G4947" s="10">
        <v>1374</v>
      </c>
      <c r="H4947" s="9">
        <v>9954</v>
      </c>
      <c r="I4947" s="14">
        <f>DATE(2012,12,31)-1291</f>
        <v>39983</v>
      </c>
      <c r="J4947" s="15" t="s">
        <v>28</v>
      </c>
      <c r="K4947" s="9">
        <v>36</v>
      </c>
      <c r="L4947" s="16" t="s">
        <v>29</v>
      </c>
      <c r="M4947" s="16">
        <f t="shared" si="465"/>
        <v>0.72017367004973787</v>
      </c>
      <c r="N4947">
        <f t="shared" si="466"/>
        <v>0</v>
      </c>
      <c r="O4947">
        <f t="shared" si="467"/>
        <v>0</v>
      </c>
      <c r="P4947">
        <f t="shared" si="464"/>
        <v>5200</v>
      </c>
      <c r="Q4947">
        <f t="shared" si="468"/>
        <v>5200</v>
      </c>
      <c r="T4947" s="16">
        <f t="shared" si="469"/>
        <v>0.72017367004973754</v>
      </c>
    </row>
    <row r="4948" spans="7:20" ht="14.4" x14ac:dyDescent="0.25">
      <c r="G4948" s="10">
        <v>1375</v>
      </c>
      <c r="H4948" s="9">
        <v>9954</v>
      </c>
      <c r="I4948" s="14">
        <f>DATE(2012,12,31)-1291</f>
        <v>39983</v>
      </c>
      <c r="J4948" s="15" t="s">
        <v>28</v>
      </c>
      <c r="K4948" s="9">
        <v>39</v>
      </c>
      <c r="L4948" s="16" t="s">
        <v>26</v>
      </c>
      <c r="M4948" s="16">
        <f t="shared" si="465"/>
        <v>0.92735299990740228</v>
      </c>
      <c r="N4948">
        <f t="shared" si="466"/>
        <v>0</v>
      </c>
      <c r="O4948">
        <f t="shared" si="467"/>
        <v>0</v>
      </c>
      <c r="P4948">
        <f t="shared" si="464"/>
        <v>5350</v>
      </c>
      <c r="Q4948">
        <f t="shared" si="468"/>
        <v>5350</v>
      </c>
      <c r="T4948" s="16">
        <f t="shared" si="469"/>
        <v>0.92735299990740183</v>
      </c>
    </row>
    <row r="4949" spans="7:20" ht="14.4" x14ac:dyDescent="0.25">
      <c r="G4949" s="10">
        <v>1376</v>
      </c>
      <c r="H4949" s="9">
        <v>9954</v>
      </c>
      <c r="I4949" s="14">
        <f>DATE(2012,12,31)-1291</f>
        <v>39983</v>
      </c>
      <c r="J4949" s="15" t="s">
        <v>28</v>
      </c>
      <c r="K4949" s="9">
        <v>30</v>
      </c>
      <c r="L4949" s="16" t="s">
        <v>26</v>
      </c>
      <c r="M4949" s="16">
        <f t="shared" si="465"/>
        <v>0.30581501033440933</v>
      </c>
      <c r="N4949">
        <f t="shared" si="466"/>
        <v>0</v>
      </c>
      <c r="O4949">
        <f t="shared" si="467"/>
        <v>0</v>
      </c>
      <c r="P4949">
        <f t="shared" si="464"/>
        <v>4900</v>
      </c>
      <c r="Q4949">
        <f t="shared" si="468"/>
        <v>4900</v>
      </c>
      <c r="T4949" s="16">
        <f t="shared" si="469"/>
        <v>0.30581501033440894</v>
      </c>
    </row>
    <row r="4950" spans="7:20" ht="14.4" x14ac:dyDescent="0.25">
      <c r="G4950" s="10">
        <v>1391</v>
      </c>
      <c r="H4950" s="9">
        <v>10081</v>
      </c>
      <c r="I4950" s="14">
        <f>DATE(2012,12,31)-877</f>
        <v>40397</v>
      </c>
      <c r="J4950" s="15" t="s">
        <v>28</v>
      </c>
      <c r="K4950" s="9">
        <v>49</v>
      </c>
      <c r="L4950" s="16" t="s">
        <v>29</v>
      </c>
      <c r="M4950" s="16">
        <f t="shared" si="465"/>
        <v>1.6179507660996166</v>
      </c>
      <c r="N4950">
        <f t="shared" si="466"/>
        <v>0</v>
      </c>
      <c r="O4950">
        <f t="shared" si="467"/>
        <v>0</v>
      </c>
      <c r="P4950">
        <f t="shared" si="464"/>
        <v>5850</v>
      </c>
      <c r="Q4950">
        <f t="shared" si="468"/>
        <v>5850</v>
      </c>
      <c r="T4950" s="16">
        <f t="shared" si="469"/>
        <v>1.6179507660996162</v>
      </c>
    </row>
    <row r="4951" spans="7:20" ht="14.4" x14ac:dyDescent="0.25">
      <c r="G4951" s="10">
        <v>1415</v>
      </c>
      <c r="H4951" s="9">
        <v>10272</v>
      </c>
      <c r="I4951" s="14">
        <f>DATE(2012,12,31)-1444</f>
        <v>39830</v>
      </c>
      <c r="J4951" s="15" t="s">
        <v>16</v>
      </c>
      <c r="K4951" s="9">
        <v>3</v>
      </c>
      <c r="L4951" s="16" t="s">
        <v>26</v>
      </c>
      <c r="M4951" s="16">
        <f t="shared" si="465"/>
        <v>-1.5587989583845694</v>
      </c>
      <c r="N4951">
        <f t="shared" si="466"/>
        <v>0</v>
      </c>
      <c r="O4951">
        <f t="shared" si="467"/>
        <v>0</v>
      </c>
      <c r="P4951">
        <f t="shared" si="464"/>
        <v>3550</v>
      </c>
      <c r="Q4951">
        <f t="shared" si="468"/>
        <v>3550</v>
      </c>
      <c r="T4951" s="16">
        <f t="shared" si="469"/>
        <v>-1.5587989583845698</v>
      </c>
    </row>
    <row r="4952" spans="7:20" ht="14.4" x14ac:dyDescent="0.25">
      <c r="G4952" s="10">
        <v>1416</v>
      </c>
      <c r="H4952" s="9">
        <v>10272</v>
      </c>
      <c r="I4952" s="14">
        <f>DATE(2012,12,31)-1444</f>
        <v>39830</v>
      </c>
      <c r="J4952" s="15" t="s">
        <v>16</v>
      </c>
      <c r="K4952" s="9">
        <v>26</v>
      </c>
      <c r="L4952" s="16" t="s">
        <v>26</v>
      </c>
      <c r="M4952" s="16">
        <f t="shared" si="465"/>
        <v>2.9575903857523567E-2</v>
      </c>
      <c r="N4952">
        <f t="shared" si="466"/>
        <v>0</v>
      </c>
      <c r="O4952">
        <f t="shared" si="467"/>
        <v>0</v>
      </c>
      <c r="P4952">
        <f t="shared" si="464"/>
        <v>4700</v>
      </c>
      <c r="Q4952">
        <f t="shared" si="468"/>
        <v>4700</v>
      </c>
      <c r="T4952" s="16">
        <f t="shared" si="469"/>
        <v>2.9575903857523185E-2</v>
      </c>
    </row>
    <row r="4953" spans="7:20" ht="14.4" x14ac:dyDescent="0.25">
      <c r="G4953" s="10">
        <v>1461</v>
      </c>
      <c r="H4953" s="9">
        <v>10530</v>
      </c>
      <c r="I4953" s="14">
        <f>DATE(2012,12,31)-1434</f>
        <v>39840</v>
      </c>
      <c r="J4953" s="15" t="s">
        <v>16</v>
      </c>
      <c r="K4953" s="9">
        <v>4</v>
      </c>
      <c r="L4953" s="16" t="s">
        <v>27</v>
      </c>
      <c r="M4953" s="16">
        <f t="shared" si="465"/>
        <v>-1.489739181765348</v>
      </c>
      <c r="N4953">
        <f t="shared" si="466"/>
        <v>0</v>
      </c>
      <c r="O4953">
        <f t="shared" si="467"/>
        <v>0</v>
      </c>
      <c r="P4953">
        <f t="shared" si="464"/>
        <v>3600</v>
      </c>
      <c r="Q4953">
        <f t="shared" si="468"/>
        <v>3600</v>
      </c>
      <c r="T4953" s="16">
        <f t="shared" si="469"/>
        <v>-1.4897391817653485</v>
      </c>
    </row>
    <row r="4954" spans="7:20" ht="14.4" x14ac:dyDescent="0.25">
      <c r="G4954" s="10">
        <v>1563</v>
      </c>
      <c r="H4954" s="9">
        <v>11270</v>
      </c>
      <c r="I4954" s="14">
        <f>DATE(2012,12,31)-550</f>
        <v>40724</v>
      </c>
      <c r="J4954" s="15" t="s">
        <v>17</v>
      </c>
      <c r="K4954" s="9">
        <v>15</v>
      </c>
      <c r="L4954" s="16" t="s">
        <v>26</v>
      </c>
      <c r="M4954" s="16">
        <f t="shared" si="465"/>
        <v>-0.7300816389539122</v>
      </c>
      <c r="N4954">
        <f t="shared" si="466"/>
        <v>0</v>
      </c>
      <c r="O4954">
        <f t="shared" si="467"/>
        <v>0</v>
      </c>
      <c r="P4954">
        <f t="shared" si="464"/>
        <v>4150</v>
      </c>
      <c r="Q4954">
        <f t="shared" si="468"/>
        <v>4150</v>
      </c>
      <c r="T4954" s="16">
        <f t="shared" si="469"/>
        <v>-0.73008163895391265</v>
      </c>
    </row>
    <row r="4955" spans="7:20" ht="14.4" x14ac:dyDescent="0.25">
      <c r="G4955" s="10">
        <v>1587</v>
      </c>
      <c r="H4955" s="9">
        <v>11431</v>
      </c>
      <c r="I4955" s="14">
        <f>DATE(2012,12,31)-152</f>
        <v>41122</v>
      </c>
      <c r="J4955" s="15" t="s">
        <v>17</v>
      </c>
      <c r="K4955" s="9">
        <v>5</v>
      </c>
      <c r="L4955" s="16" t="s">
        <v>26</v>
      </c>
      <c r="M4955" s="16">
        <f t="shared" si="465"/>
        <v>-1.4206794051461267</v>
      </c>
      <c r="N4955">
        <f t="shared" si="466"/>
        <v>0</v>
      </c>
      <c r="O4955">
        <f t="shared" si="467"/>
        <v>0</v>
      </c>
      <c r="P4955">
        <f t="shared" si="464"/>
        <v>3650</v>
      </c>
      <c r="Q4955">
        <f t="shared" si="468"/>
        <v>3650</v>
      </c>
      <c r="T4955" s="16">
        <f t="shared" si="469"/>
        <v>-1.4206794051461269</v>
      </c>
    </row>
    <row r="4956" spans="7:20" ht="14.4" x14ac:dyDescent="0.25">
      <c r="G4956" s="10">
        <v>1588</v>
      </c>
      <c r="H4956" s="9">
        <v>11431</v>
      </c>
      <c r="I4956" s="14">
        <f>DATE(2012,12,31)-152</f>
        <v>41122</v>
      </c>
      <c r="J4956" s="15" t="s">
        <v>17</v>
      </c>
      <c r="K4956" s="9">
        <v>8</v>
      </c>
      <c r="L4956" s="16" t="s">
        <v>27</v>
      </c>
      <c r="M4956" s="16">
        <f t="shared" si="465"/>
        <v>-1.2135000752884624</v>
      </c>
      <c r="N4956">
        <f t="shared" si="466"/>
        <v>0</v>
      </c>
      <c r="O4956">
        <f t="shared" si="467"/>
        <v>0</v>
      </c>
      <c r="P4956">
        <f t="shared" si="464"/>
        <v>3800</v>
      </c>
      <c r="Q4956">
        <f t="shared" si="468"/>
        <v>3800</v>
      </c>
      <c r="T4956" s="16">
        <f t="shared" si="469"/>
        <v>-1.2135000752884626</v>
      </c>
    </row>
    <row r="4957" spans="7:20" ht="14.4" x14ac:dyDescent="0.25">
      <c r="G4957" s="10">
        <v>1634</v>
      </c>
      <c r="H4957" s="9">
        <v>11815</v>
      </c>
      <c r="I4957" s="14">
        <f>DATE(2012,12,31)-476</f>
        <v>40798</v>
      </c>
      <c r="J4957" s="15" t="s">
        <v>25</v>
      </c>
      <c r="K4957" s="9">
        <v>22</v>
      </c>
      <c r="L4957" s="16" t="s">
        <v>26</v>
      </c>
      <c r="M4957" s="16">
        <f t="shared" si="465"/>
        <v>-0.24666320261936217</v>
      </c>
      <c r="N4957">
        <f t="shared" si="466"/>
        <v>0</v>
      </c>
      <c r="O4957">
        <f t="shared" si="467"/>
        <v>0</v>
      </c>
      <c r="P4957">
        <f t="shared" si="464"/>
        <v>4500</v>
      </c>
      <c r="Q4957">
        <f t="shared" si="468"/>
        <v>4500</v>
      </c>
      <c r="T4957" s="16">
        <f t="shared" si="469"/>
        <v>-0.24666320261936256</v>
      </c>
    </row>
    <row r="4958" spans="7:20" ht="14.4" x14ac:dyDescent="0.25">
      <c r="G4958" s="10">
        <v>1677</v>
      </c>
      <c r="H4958" s="9">
        <v>12097</v>
      </c>
      <c r="I4958" s="14">
        <f>DATE(2012,12,31)-783</f>
        <v>40491</v>
      </c>
      <c r="J4958" s="15" t="s">
        <v>30</v>
      </c>
      <c r="K4958" s="9">
        <v>9</v>
      </c>
      <c r="L4958" s="16" t="s">
        <v>26</v>
      </c>
      <c r="M4958" s="16">
        <f t="shared" si="465"/>
        <v>-1.1444402986692408</v>
      </c>
      <c r="N4958">
        <f t="shared" si="466"/>
        <v>0</v>
      </c>
      <c r="O4958">
        <f t="shared" si="467"/>
        <v>0</v>
      </c>
      <c r="P4958">
        <f t="shared" si="464"/>
        <v>3850</v>
      </c>
      <c r="Q4958">
        <f t="shared" si="468"/>
        <v>3850</v>
      </c>
      <c r="T4958" s="16">
        <f t="shared" si="469"/>
        <v>-1.1444402986692412</v>
      </c>
    </row>
    <row r="4959" spans="7:20" ht="14.4" x14ac:dyDescent="0.25">
      <c r="G4959" s="10">
        <v>1678</v>
      </c>
      <c r="H4959" s="9">
        <v>12097</v>
      </c>
      <c r="I4959" s="14">
        <f>DATE(2012,12,31)-783</f>
        <v>40491</v>
      </c>
      <c r="J4959" s="15" t="s">
        <v>30</v>
      </c>
      <c r="K4959" s="9">
        <v>25</v>
      </c>
      <c r="L4959" s="16" t="s">
        <v>27</v>
      </c>
      <c r="M4959" s="16">
        <f t="shared" si="465"/>
        <v>-3.9483872761697868E-2</v>
      </c>
      <c r="N4959">
        <f t="shared" si="466"/>
        <v>0</v>
      </c>
      <c r="O4959">
        <f t="shared" si="467"/>
        <v>0</v>
      </c>
      <c r="P4959">
        <f t="shared" si="464"/>
        <v>4650</v>
      </c>
      <c r="Q4959">
        <f t="shared" si="468"/>
        <v>4650</v>
      </c>
      <c r="T4959" s="16">
        <f t="shared" si="469"/>
        <v>-3.9483872761698249E-2</v>
      </c>
    </row>
    <row r="4960" spans="7:20" ht="14.4" x14ac:dyDescent="0.25">
      <c r="G4960" s="10">
        <v>1688</v>
      </c>
      <c r="H4960" s="9">
        <v>12196</v>
      </c>
      <c r="I4960" s="14">
        <f>DATE(2012,12,31)-943</f>
        <v>40331</v>
      </c>
      <c r="J4960" s="15" t="s">
        <v>28</v>
      </c>
      <c r="K4960" s="9">
        <v>32</v>
      </c>
      <c r="L4960" s="16" t="s">
        <v>27</v>
      </c>
      <c r="M4960" s="16">
        <f t="shared" si="465"/>
        <v>0.44393456357285216</v>
      </c>
      <c r="N4960">
        <f t="shared" si="466"/>
        <v>0</v>
      </c>
      <c r="O4960">
        <f t="shared" si="467"/>
        <v>0</v>
      </c>
      <c r="P4960">
        <f t="shared" si="464"/>
        <v>5000</v>
      </c>
      <c r="Q4960">
        <f t="shared" si="468"/>
        <v>5000</v>
      </c>
      <c r="T4960" s="16">
        <f t="shared" si="469"/>
        <v>0.44393456357285183</v>
      </c>
    </row>
    <row r="4961" spans="7:20" ht="14.4" x14ac:dyDescent="0.25">
      <c r="G4961" s="10">
        <v>1689</v>
      </c>
      <c r="H4961" s="9">
        <v>12196</v>
      </c>
      <c r="I4961" s="14">
        <f>DATE(2012,12,31)-943</f>
        <v>40331</v>
      </c>
      <c r="J4961" s="15" t="s">
        <v>28</v>
      </c>
      <c r="K4961" s="9">
        <v>25</v>
      </c>
      <c r="L4961" s="16" t="s">
        <v>26</v>
      </c>
      <c r="M4961" s="16">
        <f t="shared" si="465"/>
        <v>-3.9483872761697868E-2</v>
      </c>
      <c r="N4961">
        <f t="shared" si="466"/>
        <v>0</v>
      </c>
      <c r="O4961">
        <f t="shared" si="467"/>
        <v>0</v>
      </c>
      <c r="P4961">
        <f t="shared" si="464"/>
        <v>4650</v>
      </c>
      <c r="Q4961">
        <f t="shared" si="468"/>
        <v>4650</v>
      </c>
      <c r="T4961" s="16">
        <f t="shared" si="469"/>
        <v>-3.9483872761698249E-2</v>
      </c>
    </row>
    <row r="4962" spans="7:20" ht="14.4" x14ac:dyDescent="0.25">
      <c r="G4962" s="10">
        <v>1734</v>
      </c>
      <c r="H4962" s="9">
        <v>12451</v>
      </c>
      <c r="I4962" s="14">
        <f>DATE(2012,12,31)-987</f>
        <v>40287</v>
      </c>
      <c r="J4962" s="15" t="s">
        <v>25</v>
      </c>
      <c r="K4962" s="9">
        <v>26</v>
      </c>
      <c r="L4962" s="16" t="s">
        <v>29</v>
      </c>
      <c r="M4962" s="16">
        <f t="shared" si="465"/>
        <v>2.9575903857523567E-2</v>
      </c>
      <c r="N4962">
        <f t="shared" si="466"/>
        <v>0</v>
      </c>
      <c r="O4962">
        <f t="shared" si="467"/>
        <v>0</v>
      </c>
      <c r="P4962">
        <f t="shared" si="464"/>
        <v>4700</v>
      </c>
      <c r="Q4962">
        <f t="shared" si="468"/>
        <v>4700</v>
      </c>
      <c r="T4962" s="16">
        <f t="shared" si="469"/>
        <v>2.9575903857523185E-2</v>
      </c>
    </row>
    <row r="4963" spans="7:20" ht="14.4" x14ac:dyDescent="0.25">
      <c r="G4963" s="10">
        <v>1735</v>
      </c>
      <c r="H4963" s="9">
        <v>12451</v>
      </c>
      <c r="I4963" s="14">
        <f>DATE(2012,12,31)-987</f>
        <v>40287</v>
      </c>
      <c r="J4963" s="15" t="s">
        <v>25</v>
      </c>
      <c r="K4963" s="9">
        <v>21</v>
      </c>
      <c r="L4963" s="16" t="s">
        <v>26</v>
      </c>
      <c r="M4963" s="16">
        <f t="shared" si="465"/>
        <v>-0.31572297923858361</v>
      </c>
      <c r="N4963">
        <f t="shared" si="466"/>
        <v>0</v>
      </c>
      <c r="O4963">
        <f t="shared" si="467"/>
        <v>0</v>
      </c>
      <c r="P4963">
        <f t="shared" si="464"/>
        <v>4450</v>
      </c>
      <c r="Q4963">
        <f t="shared" si="468"/>
        <v>4450</v>
      </c>
      <c r="T4963" s="16">
        <f t="shared" si="469"/>
        <v>-0.315722979238584</v>
      </c>
    </row>
    <row r="4964" spans="7:20" ht="14.4" x14ac:dyDescent="0.25">
      <c r="G4964" s="10">
        <v>1742</v>
      </c>
      <c r="H4964" s="9">
        <v>12483</v>
      </c>
      <c r="I4964" s="14">
        <f>DATE(2012,12,31)-880</f>
        <v>40394</v>
      </c>
      <c r="J4964" s="15" t="s">
        <v>30</v>
      </c>
      <c r="K4964" s="9">
        <v>14</v>
      </c>
      <c r="L4964" s="16" t="s">
        <v>26</v>
      </c>
      <c r="M4964" s="16">
        <f t="shared" si="465"/>
        <v>-0.79914141557313367</v>
      </c>
      <c r="N4964">
        <f t="shared" si="466"/>
        <v>0</v>
      </c>
      <c r="O4964">
        <f t="shared" si="467"/>
        <v>0</v>
      </c>
      <c r="P4964">
        <f t="shared" si="464"/>
        <v>4100</v>
      </c>
      <c r="Q4964">
        <f t="shared" si="468"/>
        <v>4100</v>
      </c>
      <c r="T4964" s="16">
        <f t="shared" si="469"/>
        <v>-0.79914141557313401</v>
      </c>
    </row>
    <row r="4965" spans="7:20" ht="14.4" x14ac:dyDescent="0.25">
      <c r="G4965" s="10">
        <v>1743</v>
      </c>
      <c r="H4965" s="9">
        <v>12483</v>
      </c>
      <c r="I4965" s="14">
        <f>DATE(2012,12,31)-880</f>
        <v>40394</v>
      </c>
      <c r="J4965" s="15" t="s">
        <v>30</v>
      </c>
      <c r="K4965" s="9">
        <v>14</v>
      </c>
      <c r="L4965" s="16" t="s">
        <v>29</v>
      </c>
      <c r="M4965" s="16">
        <f t="shared" si="465"/>
        <v>-0.79914141557313367</v>
      </c>
      <c r="N4965">
        <f t="shared" si="466"/>
        <v>0</v>
      </c>
      <c r="O4965">
        <f t="shared" si="467"/>
        <v>0</v>
      </c>
      <c r="P4965">
        <f t="shared" si="464"/>
        <v>4100</v>
      </c>
      <c r="Q4965">
        <f t="shared" si="468"/>
        <v>4100</v>
      </c>
      <c r="T4965" s="16">
        <f t="shared" si="469"/>
        <v>-0.79914141557313401</v>
      </c>
    </row>
    <row r="4966" spans="7:20" ht="14.4" x14ac:dyDescent="0.25">
      <c r="G4966" s="10">
        <v>1744</v>
      </c>
      <c r="H4966" s="9">
        <v>12483</v>
      </c>
      <c r="I4966" s="14">
        <f>DATE(2012,12,31)-880</f>
        <v>40394</v>
      </c>
      <c r="J4966" s="15" t="s">
        <v>30</v>
      </c>
      <c r="K4966" s="9">
        <v>30</v>
      </c>
      <c r="L4966" s="16" t="s">
        <v>26</v>
      </c>
      <c r="M4966" s="16">
        <f t="shared" si="465"/>
        <v>0.30581501033440933</v>
      </c>
      <c r="N4966">
        <f t="shared" si="466"/>
        <v>0</v>
      </c>
      <c r="O4966">
        <f t="shared" si="467"/>
        <v>0</v>
      </c>
      <c r="P4966">
        <f t="shared" si="464"/>
        <v>4900</v>
      </c>
      <c r="Q4966">
        <f t="shared" si="468"/>
        <v>4900</v>
      </c>
      <c r="T4966" s="16">
        <f t="shared" si="469"/>
        <v>0.30581501033440894</v>
      </c>
    </row>
    <row r="4967" spans="7:20" ht="14.4" x14ac:dyDescent="0.25">
      <c r="G4967" s="10">
        <v>1794</v>
      </c>
      <c r="H4967" s="9">
        <v>12867</v>
      </c>
      <c r="I4967" s="14">
        <f>DATE(2012,12,31)-661</f>
        <v>40613</v>
      </c>
      <c r="J4967" s="15" t="s">
        <v>28</v>
      </c>
      <c r="K4967" s="9">
        <v>6</v>
      </c>
      <c r="L4967" s="16" t="s">
        <v>27</v>
      </c>
      <c r="M4967" s="16">
        <f t="shared" si="465"/>
        <v>-1.3516196285269051</v>
      </c>
      <c r="N4967">
        <f t="shared" si="466"/>
        <v>0</v>
      </c>
      <c r="O4967">
        <f t="shared" si="467"/>
        <v>0</v>
      </c>
      <c r="P4967">
        <f t="shared" si="464"/>
        <v>3700</v>
      </c>
      <c r="Q4967">
        <f t="shared" si="468"/>
        <v>3700</v>
      </c>
      <c r="T4967" s="16">
        <f t="shared" si="469"/>
        <v>-1.3516196285269055</v>
      </c>
    </row>
    <row r="4968" spans="7:20" ht="14.4" x14ac:dyDescent="0.25">
      <c r="G4968" s="10">
        <v>1805</v>
      </c>
      <c r="H4968" s="9">
        <v>12903</v>
      </c>
      <c r="I4968" s="14">
        <f>DATE(2012,12,31)-1193</f>
        <v>40081</v>
      </c>
      <c r="J4968" s="15" t="s">
        <v>30</v>
      </c>
      <c r="K4968" s="9">
        <v>2</v>
      </c>
      <c r="L4968" s="16" t="s">
        <v>27</v>
      </c>
      <c r="M4968" s="16">
        <f t="shared" si="465"/>
        <v>-1.627858735003791</v>
      </c>
      <c r="N4968">
        <f t="shared" si="466"/>
        <v>0</v>
      </c>
      <c r="O4968">
        <f t="shared" si="467"/>
        <v>0</v>
      </c>
      <c r="P4968">
        <f t="shared" si="464"/>
        <v>3500</v>
      </c>
      <c r="Q4968">
        <f t="shared" si="468"/>
        <v>3500</v>
      </c>
      <c r="T4968" s="16">
        <f t="shared" si="469"/>
        <v>-1.6278587350037912</v>
      </c>
    </row>
    <row r="4969" spans="7:20" ht="14.4" x14ac:dyDescent="0.25">
      <c r="G4969" s="10">
        <v>1881</v>
      </c>
      <c r="H4969" s="9">
        <v>13540</v>
      </c>
      <c r="I4969" s="14">
        <f>DATE(2012,12,31)-953</f>
        <v>40321</v>
      </c>
      <c r="J4969" s="15" t="s">
        <v>17</v>
      </c>
      <c r="K4969" s="9">
        <v>31</v>
      </c>
      <c r="L4969" s="16" t="s">
        <v>27</v>
      </c>
      <c r="M4969" s="16">
        <f t="shared" si="465"/>
        <v>0.37487478695363075</v>
      </c>
      <c r="N4969">
        <f t="shared" si="466"/>
        <v>0</v>
      </c>
      <c r="O4969">
        <f t="shared" si="467"/>
        <v>0</v>
      </c>
      <c r="P4969">
        <f t="shared" si="464"/>
        <v>4950</v>
      </c>
      <c r="Q4969">
        <f t="shared" si="468"/>
        <v>4950</v>
      </c>
      <c r="T4969" s="16">
        <f t="shared" si="469"/>
        <v>0.37487478695363036</v>
      </c>
    </row>
    <row r="4970" spans="7:20" ht="14.4" x14ac:dyDescent="0.25">
      <c r="G4970" s="10">
        <v>1882</v>
      </c>
      <c r="H4970" s="9">
        <v>13540</v>
      </c>
      <c r="I4970" s="14">
        <f>DATE(2012,12,31)-953</f>
        <v>40321</v>
      </c>
      <c r="J4970" s="15" t="s">
        <v>17</v>
      </c>
      <c r="K4970" s="9">
        <v>16</v>
      </c>
      <c r="L4970" s="16" t="s">
        <v>26</v>
      </c>
      <c r="M4970" s="16">
        <f t="shared" si="465"/>
        <v>-0.66102186233469074</v>
      </c>
      <c r="N4970">
        <f t="shared" si="466"/>
        <v>0</v>
      </c>
      <c r="O4970">
        <f t="shared" si="467"/>
        <v>0</v>
      </c>
      <c r="P4970">
        <f t="shared" si="464"/>
        <v>4200</v>
      </c>
      <c r="Q4970">
        <f t="shared" si="468"/>
        <v>4200</v>
      </c>
      <c r="T4970" s="16">
        <f t="shared" si="469"/>
        <v>-0.66102186233469118</v>
      </c>
    </row>
    <row r="4971" spans="7:20" ht="14.4" x14ac:dyDescent="0.25">
      <c r="G4971" s="10">
        <v>1883</v>
      </c>
      <c r="H4971" s="9">
        <v>13540</v>
      </c>
      <c r="I4971" s="14">
        <f>DATE(2012,12,31)-953</f>
        <v>40321</v>
      </c>
      <c r="J4971" s="15" t="s">
        <v>17</v>
      </c>
      <c r="K4971" s="9">
        <v>33</v>
      </c>
      <c r="L4971" s="16" t="s">
        <v>26</v>
      </c>
      <c r="M4971" s="16">
        <f t="shared" si="465"/>
        <v>0.51299434019207357</v>
      </c>
      <c r="N4971">
        <f t="shared" si="466"/>
        <v>0</v>
      </c>
      <c r="O4971">
        <f t="shared" si="467"/>
        <v>0</v>
      </c>
      <c r="P4971">
        <f t="shared" si="464"/>
        <v>5050</v>
      </c>
      <c r="Q4971">
        <f t="shared" si="468"/>
        <v>5050</v>
      </c>
      <c r="T4971" s="16">
        <f t="shared" si="469"/>
        <v>0.51299434019207324</v>
      </c>
    </row>
    <row r="4972" spans="7:20" ht="14.4" x14ac:dyDescent="0.25">
      <c r="G4972" s="10">
        <v>1919</v>
      </c>
      <c r="H4972" s="9">
        <v>13762</v>
      </c>
      <c r="I4972" s="14">
        <f>DATE(2012,12,31)-924</f>
        <v>40350</v>
      </c>
      <c r="J4972" s="15" t="s">
        <v>16</v>
      </c>
      <c r="K4972" s="9">
        <v>8</v>
      </c>
      <c r="L4972" s="16" t="s">
        <v>26</v>
      </c>
      <c r="M4972" s="16">
        <f t="shared" si="465"/>
        <v>-1.2135000752884624</v>
      </c>
      <c r="N4972">
        <f t="shared" si="466"/>
        <v>0</v>
      </c>
      <c r="O4972">
        <f t="shared" si="467"/>
        <v>0</v>
      </c>
      <c r="P4972">
        <f t="shared" si="464"/>
        <v>3800</v>
      </c>
      <c r="Q4972">
        <f t="shared" si="468"/>
        <v>3800</v>
      </c>
      <c r="T4972" s="16">
        <f t="shared" si="469"/>
        <v>-1.2135000752884626</v>
      </c>
    </row>
    <row r="4973" spans="7:20" ht="14.4" x14ac:dyDescent="0.25">
      <c r="G4973" s="10">
        <v>1920</v>
      </c>
      <c r="H4973" s="9">
        <v>13762</v>
      </c>
      <c r="I4973" s="14">
        <f>DATE(2012,12,31)-924</f>
        <v>40350</v>
      </c>
      <c r="J4973" s="15" t="s">
        <v>16</v>
      </c>
      <c r="K4973" s="9">
        <v>7</v>
      </c>
      <c r="L4973" s="16" t="s">
        <v>26</v>
      </c>
      <c r="M4973" s="16">
        <f t="shared" si="465"/>
        <v>-1.2825598519076837</v>
      </c>
      <c r="N4973">
        <f t="shared" si="466"/>
        <v>0</v>
      </c>
      <c r="O4973">
        <f t="shared" si="467"/>
        <v>0</v>
      </c>
      <c r="P4973">
        <f t="shared" si="464"/>
        <v>3750</v>
      </c>
      <c r="Q4973">
        <f t="shared" si="468"/>
        <v>3750</v>
      </c>
      <c r="T4973" s="16">
        <f t="shared" si="469"/>
        <v>-1.2825598519076842</v>
      </c>
    </row>
    <row r="4974" spans="7:20" ht="14.4" x14ac:dyDescent="0.25">
      <c r="G4974" s="10">
        <v>1921</v>
      </c>
      <c r="H4974" s="9">
        <v>13762</v>
      </c>
      <c r="I4974" s="14">
        <f>DATE(2012,12,31)-924</f>
        <v>40350</v>
      </c>
      <c r="J4974" s="15" t="s">
        <v>16</v>
      </c>
      <c r="K4974" s="9">
        <v>37</v>
      </c>
      <c r="L4974" s="16" t="s">
        <v>26</v>
      </c>
      <c r="M4974" s="16">
        <f t="shared" si="465"/>
        <v>0.78923344666895934</v>
      </c>
      <c r="N4974">
        <f t="shared" si="466"/>
        <v>0</v>
      </c>
      <c r="O4974">
        <f t="shared" si="467"/>
        <v>0</v>
      </c>
      <c r="P4974">
        <f t="shared" si="464"/>
        <v>5250</v>
      </c>
      <c r="Q4974">
        <f t="shared" si="468"/>
        <v>5250</v>
      </c>
      <c r="T4974" s="16">
        <f t="shared" si="469"/>
        <v>0.789233446668959</v>
      </c>
    </row>
    <row r="4975" spans="7:20" ht="14.4" x14ac:dyDescent="0.25">
      <c r="G4975" s="10">
        <v>2008</v>
      </c>
      <c r="H4975" s="9">
        <v>14336</v>
      </c>
      <c r="I4975" s="14">
        <f>DATE(2012,12,31)-1139</f>
        <v>40135</v>
      </c>
      <c r="J4975" s="15" t="s">
        <v>17</v>
      </c>
      <c r="K4975" s="9">
        <v>4</v>
      </c>
      <c r="L4975" s="16" t="s">
        <v>27</v>
      </c>
      <c r="M4975" s="16">
        <f t="shared" si="465"/>
        <v>-1.489739181765348</v>
      </c>
      <c r="N4975">
        <f t="shared" si="466"/>
        <v>0</v>
      </c>
      <c r="O4975">
        <f t="shared" si="467"/>
        <v>0</v>
      </c>
      <c r="P4975">
        <f t="shared" si="464"/>
        <v>3600</v>
      </c>
      <c r="Q4975">
        <f t="shared" si="468"/>
        <v>3600</v>
      </c>
      <c r="T4975" s="16">
        <f t="shared" si="469"/>
        <v>-1.4897391817653485</v>
      </c>
    </row>
    <row r="4976" spans="7:20" ht="14.4" x14ac:dyDescent="0.25">
      <c r="G4976" s="10">
        <v>2016</v>
      </c>
      <c r="H4976" s="9">
        <v>14400</v>
      </c>
      <c r="I4976" s="14">
        <f>DATE(2012,12,31)-1426</f>
        <v>39848</v>
      </c>
      <c r="J4976" s="15" t="s">
        <v>16</v>
      </c>
      <c r="K4976" s="9">
        <v>32</v>
      </c>
      <c r="L4976" s="16" t="s">
        <v>26</v>
      </c>
      <c r="M4976" s="16">
        <f t="shared" si="465"/>
        <v>0.44393456357285216</v>
      </c>
      <c r="N4976">
        <f t="shared" si="466"/>
        <v>0</v>
      </c>
      <c r="O4976">
        <f t="shared" si="467"/>
        <v>0</v>
      </c>
      <c r="P4976">
        <f t="shared" si="464"/>
        <v>5000</v>
      </c>
      <c r="Q4976">
        <f t="shared" si="468"/>
        <v>5000</v>
      </c>
      <c r="T4976" s="16">
        <f t="shared" si="469"/>
        <v>0.44393456357285183</v>
      </c>
    </row>
    <row r="4977" spans="7:20" ht="14.4" x14ac:dyDescent="0.25">
      <c r="G4977" s="10">
        <v>2017</v>
      </c>
      <c r="H4977" s="9">
        <v>14400</v>
      </c>
      <c r="I4977" s="14">
        <f>DATE(2012,12,31)-1426</f>
        <v>39848</v>
      </c>
      <c r="J4977" s="15" t="s">
        <v>16</v>
      </c>
      <c r="K4977" s="9">
        <v>35</v>
      </c>
      <c r="L4977" s="16" t="s">
        <v>26</v>
      </c>
      <c r="M4977" s="16">
        <f t="shared" si="465"/>
        <v>0.65111389343051651</v>
      </c>
      <c r="N4977">
        <f t="shared" si="466"/>
        <v>0</v>
      </c>
      <c r="O4977">
        <f t="shared" si="467"/>
        <v>0</v>
      </c>
      <c r="P4977">
        <f t="shared" si="464"/>
        <v>5150</v>
      </c>
      <c r="Q4977">
        <f t="shared" si="468"/>
        <v>5150</v>
      </c>
      <c r="T4977" s="16">
        <f t="shared" si="469"/>
        <v>0.65111389343051607</v>
      </c>
    </row>
    <row r="4978" spans="7:20" ht="14.4" x14ac:dyDescent="0.25">
      <c r="G4978" s="10">
        <v>2018</v>
      </c>
      <c r="H4978" s="9">
        <v>14400</v>
      </c>
      <c r="I4978" s="14">
        <f>DATE(2012,12,31)-1426</f>
        <v>39848</v>
      </c>
      <c r="J4978" s="15" t="s">
        <v>16</v>
      </c>
      <c r="K4978" s="9">
        <v>43</v>
      </c>
      <c r="L4978" s="16" t="s">
        <v>29</v>
      </c>
      <c r="M4978" s="16">
        <f t="shared" si="465"/>
        <v>1.203592106384288</v>
      </c>
      <c r="N4978">
        <f t="shared" si="466"/>
        <v>0</v>
      </c>
      <c r="O4978">
        <f t="shared" si="467"/>
        <v>0</v>
      </c>
      <c r="P4978">
        <f t="shared" si="464"/>
        <v>5550</v>
      </c>
      <c r="Q4978">
        <f t="shared" si="468"/>
        <v>5550</v>
      </c>
      <c r="T4978" s="16">
        <f t="shared" si="469"/>
        <v>1.2035921063842876</v>
      </c>
    </row>
    <row r="4979" spans="7:20" ht="14.4" x14ac:dyDescent="0.25">
      <c r="G4979" s="10">
        <v>2033</v>
      </c>
      <c r="H4979" s="9">
        <v>14500</v>
      </c>
      <c r="I4979" s="14">
        <f>DATE(2012,12,31)-556</f>
        <v>40718</v>
      </c>
      <c r="J4979" s="15" t="s">
        <v>28</v>
      </c>
      <c r="K4979" s="9">
        <v>44</v>
      </c>
      <c r="L4979" s="16" t="s">
        <v>26</v>
      </c>
      <c r="M4979" s="16">
        <f t="shared" si="465"/>
        <v>1.2726518830035094</v>
      </c>
      <c r="N4979">
        <f t="shared" si="466"/>
        <v>0</v>
      </c>
      <c r="O4979">
        <f t="shared" si="467"/>
        <v>0</v>
      </c>
      <c r="P4979">
        <f t="shared" si="464"/>
        <v>5600</v>
      </c>
      <c r="Q4979">
        <f t="shared" si="468"/>
        <v>5600</v>
      </c>
      <c r="T4979" s="16">
        <f t="shared" si="469"/>
        <v>1.272651883003509</v>
      </c>
    </row>
    <row r="4980" spans="7:20" ht="14.4" x14ac:dyDescent="0.25">
      <c r="G4980" s="10">
        <v>2034</v>
      </c>
      <c r="H4980" s="9">
        <v>14500</v>
      </c>
      <c r="I4980" s="14">
        <f>DATE(2012,12,31)-556</f>
        <v>40718</v>
      </c>
      <c r="J4980" s="15" t="s">
        <v>28</v>
      </c>
      <c r="K4980" s="9">
        <v>46</v>
      </c>
      <c r="L4980" s="16" t="s">
        <v>26</v>
      </c>
      <c r="M4980" s="16">
        <f t="shared" si="465"/>
        <v>1.4107714362419523</v>
      </c>
      <c r="N4980">
        <f t="shared" si="466"/>
        <v>0</v>
      </c>
      <c r="O4980">
        <f t="shared" si="467"/>
        <v>0</v>
      </c>
      <c r="P4980">
        <f t="shared" si="464"/>
        <v>5700</v>
      </c>
      <c r="Q4980">
        <f t="shared" si="468"/>
        <v>5700</v>
      </c>
      <c r="T4980" s="16">
        <f t="shared" si="469"/>
        <v>1.4107714362419519</v>
      </c>
    </row>
    <row r="4981" spans="7:20" ht="14.4" x14ac:dyDescent="0.25">
      <c r="G4981" s="10">
        <v>2042</v>
      </c>
      <c r="H4981" s="9">
        <v>14534</v>
      </c>
      <c r="I4981" s="14">
        <f>DATE(2012,12,31)-897</f>
        <v>40377</v>
      </c>
      <c r="J4981" s="15" t="s">
        <v>16</v>
      </c>
      <c r="K4981" s="9">
        <v>46</v>
      </c>
      <c r="L4981" s="16" t="s">
        <v>27</v>
      </c>
      <c r="M4981" s="16">
        <f t="shared" si="465"/>
        <v>1.4107714362419523</v>
      </c>
      <c r="N4981">
        <f t="shared" si="466"/>
        <v>0</v>
      </c>
      <c r="O4981">
        <f t="shared" si="467"/>
        <v>0</v>
      </c>
      <c r="P4981">
        <f t="shared" si="464"/>
        <v>5700</v>
      </c>
      <c r="Q4981">
        <f t="shared" si="468"/>
        <v>5700</v>
      </c>
      <c r="T4981" s="16">
        <f t="shared" si="469"/>
        <v>1.4107714362419519</v>
      </c>
    </row>
    <row r="4982" spans="7:20" ht="14.4" x14ac:dyDescent="0.25">
      <c r="G4982" s="10">
        <v>2084</v>
      </c>
      <c r="H4982" s="9">
        <v>14884</v>
      </c>
      <c r="I4982" s="14">
        <f>DATE(2012,12,31)-461</f>
        <v>40813</v>
      </c>
      <c r="J4982" s="15" t="s">
        <v>17</v>
      </c>
      <c r="K4982" s="9">
        <v>6</v>
      </c>
      <c r="L4982" s="16" t="s">
        <v>27</v>
      </c>
      <c r="M4982" s="16">
        <f t="shared" si="465"/>
        <v>-1.3516196285269051</v>
      </c>
      <c r="N4982">
        <f t="shared" si="466"/>
        <v>0</v>
      </c>
      <c r="O4982">
        <f t="shared" si="467"/>
        <v>0</v>
      </c>
      <c r="P4982">
        <f t="shared" si="464"/>
        <v>3700</v>
      </c>
      <c r="Q4982">
        <f t="shared" si="468"/>
        <v>3700</v>
      </c>
      <c r="T4982" s="16">
        <f t="shared" si="469"/>
        <v>-1.3516196285269055</v>
      </c>
    </row>
    <row r="4983" spans="7:20" ht="14.4" x14ac:dyDescent="0.25">
      <c r="G4983" s="10">
        <v>2107</v>
      </c>
      <c r="H4983" s="9">
        <v>15075</v>
      </c>
      <c r="I4983" s="14">
        <f>DATE(2012,12,31)-1184</f>
        <v>40090</v>
      </c>
      <c r="J4983" s="15" t="s">
        <v>16</v>
      </c>
      <c r="K4983" s="9">
        <v>24</v>
      </c>
      <c r="L4983" s="16" t="s">
        <v>29</v>
      </c>
      <c r="M4983" s="16">
        <f t="shared" si="465"/>
        <v>-0.1085436493809193</v>
      </c>
      <c r="N4983">
        <f t="shared" si="466"/>
        <v>0</v>
      </c>
      <c r="O4983">
        <f t="shared" si="467"/>
        <v>0</v>
      </c>
      <c r="P4983">
        <f t="shared" si="464"/>
        <v>4600</v>
      </c>
      <c r="Q4983">
        <f t="shared" si="468"/>
        <v>4600</v>
      </c>
      <c r="T4983" s="16">
        <f t="shared" si="469"/>
        <v>-0.10854364938091969</v>
      </c>
    </row>
    <row r="4984" spans="7:20" ht="14.4" x14ac:dyDescent="0.25">
      <c r="G4984" s="10">
        <v>2108</v>
      </c>
      <c r="H4984" s="9">
        <v>15075</v>
      </c>
      <c r="I4984" s="14">
        <f>DATE(2012,12,31)-1184</f>
        <v>40090</v>
      </c>
      <c r="J4984" s="15" t="s">
        <v>16</v>
      </c>
      <c r="K4984" s="9">
        <v>10</v>
      </c>
      <c r="L4984" s="16" t="s">
        <v>27</v>
      </c>
      <c r="M4984" s="16">
        <f t="shared" si="465"/>
        <v>-1.0753805220500194</v>
      </c>
      <c r="N4984">
        <f t="shared" si="466"/>
        <v>0</v>
      </c>
      <c r="O4984">
        <f t="shared" si="467"/>
        <v>0</v>
      </c>
      <c r="P4984">
        <f t="shared" si="464"/>
        <v>3900</v>
      </c>
      <c r="Q4984">
        <f t="shared" si="468"/>
        <v>3900</v>
      </c>
      <c r="T4984" s="16">
        <f t="shared" si="469"/>
        <v>-1.0753805220500199</v>
      </c>
    </row>
    <row r="4985" spans="7:20" ht="14.4" x14ac:dyDescent="0.25">
      <c r="G4985" s="10">
        <v>2132</v>
      </c>
      <c r="H4985" s="9">
        <v>15234</v>
      </c>
      <c r="I4985" s="14">
        <f>DATE(2012,12,31)-1025</f>
        <v>40249</v>
      </c>
      <c r="J4985" s="15" t="s">
        <v>28</v>
      </c>
      <c r="K4985" s="9">
        <v>21</v>
      </c>
      <c r="L4985" s="16" t="s">
        <v>27</v>
      </c>
      <c r="M4985" s="16">
        <f t="shared" si="465"/>
        <v>-0.31572297923858361</v>
      </c>
      <c r="N4985">
        <f t="shared" si="466"/>
        <v>0</v>
      </c>
      <c r="O4985">
        <f t="shared" si="467"/>
        <v>0</v>
      </c>
      <c r="P4985">
        <f t="shared" si="464"/>
        <v>4450</v>
      </c>
      <c r="Q4985">
        <f t="shared" si="468"/>
        <v>4450</v>
      </c>
      <c r="T4985" s="16">
        <f t="shared" si="469"/>
        <v>-0.315722979238584</v>
      </c>
    </row>
    <row r="4986" spans="7:20" ht="14.4" x14ac:dyDescent="0.25">
      <c r="G4986" s="10">
        <v>2133</v>
      </c>
      <c r="H4986" s="9">
        <v>15234</v>
      </c>
      <c r="I4986" s="14">
        <f>DATE(2012,12,31)-1025</f>
        <v>40249</v>
      </c>
      <c r="J4986" s="15" t="s">
        <v>28</v>
      </c>
      <c r="K4986" s="9">
        <v>12</v>
      </c>
      <c r="L4986" s="16" t="s">
        <v>27</v>
      </c>
      <c r="M4986" s="16">
        <f t="shared" si="465"/>
        <v>-0.9372609688115765</v>
      </c>
      <c r="N4986">
        <f t="shared" si="466"/>
        <v>0</v>
      </c>
      <c r="O4986">
        <f t="shared" si="467"/>
        <v>0</v>
      </c>
      <c r="P4986">
        <f t="shared" si="464"/>
        <v>4000</v>
      </c>
      <c r="Q4986">
        <f t="shared" si="468"/>
        <v>4000</v>
      </c>
      <c r="T4986" s="16">
        <f t="shared" si="469"/>
        <v>-0.93726096881157694</v>
      </c>
    </row>
    <row r="4987" spans="7:20" ht="14.4" x14ac:dyDescent="0.25">
      <c r="G4987" s="10">
        <v>2138</v>
      </c>
      <c r="H4987" s="9">
        <v>15270</v>
      </c>
      <c r="I4987" s="14">
        <f>DATE(2012,12,31)-1430</f>
        <v>39844</v>
      </c>
      <c r="J4987" s="15" t="s">
        <v>28</v>
      </c>
      <c r="K4987" s="9">
        <v>36</v>
      </c>
      <c r="L4987" s="16" t="s">
        <v>26</v>
      </c>
      <c r="M4987" s="16">
        <f t="shared" si="465"/>
        <v>0.72017367004973787</v>
      </c>
      <c r="N4987">
        <f t="shared" si="466"/>
        <v>0</v>
      </c>
      <c r="O4987">
        <f t="shared" si="467"/>
        <v>0</v>
      </c>
      <c r="P4987">
        <f t="shared" si="464"/>
        <v>5200</v>
      </c>
      <c r="Q4987">
        <f t="shared" si="468"/>
        <v>5200</v>
      </c>
      <c r="T4987" s="16">
        <f t="shared" si="469"/>
        <v>0.72017367004973754</v>
      </c>
    </row>
    <row r="4988" spans="7:20" ht="14.4" x14ac:dyDescent="0.25">
      <c r="G4988" s="10">
        <v>2141</v>
      </c>
      <c r="H4988" s="9">
        <v>15296</v>
      </c>
      <c r="I4988" s="14">
        <f>DATE(2012,12,31)-146</f>
        <v>41128</v>
      </c>
      <c r="J4988" s="15" t="s">
        <v>28</v>
      </c>
      <c r="K4988" s="9">
        <v>38</v>
      </c>
      <c r="L4988" s="16" t="s">
        <v>26</v>
      </c>
      <c r="M4988" s="16">
        <f t="shared" si="465"/>
        <v>0.85829322328818081</v>
      </c>
      <c r="N4988">
        <f t="shared" si="466"/>
        <v>0</v>
      </c>
      <c r="O4988">
        <f t="shared" si="467"/>
        <v>0</v>
      </c>
      <c r="P4988">
        <f t="shared" si="464"/>
        <v>5300</v>
      </c>
      <c r="Q4988">
        <f t="shared" si="468"/>
        <v>5300</v>
      </c>
      <c r="T4988" s="16">
        <f t="shared" si="469"/>
        <v>0.85829322328818036</v>
      </c>
    </row>
    <row r="4989" spans="7:20" ht="14.4" x14ac:dyDescent="0.25">
      <c r="G4989" s="10">
        <v>2147</v>
      </c>
      <c r="H4989" s="9">
        <v>15335</v>
      </c>
      <c r="I4989" s="14">
        <f>DATE(2012,12,31)-836</f>
        <v>40438</v>
      </c>
      <c r="J4989" s="15" t="s">
        <v>16</v>
      </c>
      <c r="K4989" s="9">
        <v>26</v>
      </c>
      <c r="L4989" s="16" t="s">
        <v>27</v>
      </c>
      <c r="M4989" s="16">
        <f t="shared" si="465"/>
        <v>2.9575903857523567E-2</v>
      </c>
      <c r="N4989">
        <f t="shared" si="466"/>
        <v>0</v>
      </c>
      <c r="O4989">
        <f t="shared" si="467"/>
        <v>0</v>
      </c>
      <c r="P4989">
        <f t="shared" si="464"/>
        <v>4700</v>
      </c>
      <c r="Q4989">
        <f t="shared" si="468"/>
        <v>4700</v>
      </c>
      <c r="T4989" s="16">
        <f t="shared" si="469"/>
        <v>2.9575903857523185E-2</v>
      </c>
    </row>
    <row r="4990" spans="7:20" ht="14.4" x14ac:dyDescent="0.25">
      <c r="G4990" s="10">
        <v>2179</v>
      </c>
      <c r="H4990" s="9">
        <v>15712</v>
      </c>
      <c r="I4990" s="14">
        <f>DATE(2012,12,31)-27</f>
        <v>41247</v>
      </c>
      <c r="J4990" s="15" t="s">
        <v>17</v>
      </c>
      <c r="K4990" s="9">
        <v>1</v>
      </c>
      <c r="L4990" s="16" t="s">
        <v>29</v>
      </c>
      <c r="M4990" s="16">
        <f t="shared" si="465"/>
        <v>-1.6969185116230123</v>
      </c>
      <c r="N4990">
        <f t="shared" si="466"/>
        <v>0</v>
      </c>
      <c r="O4990">
        <f t="shared" si="467"/>
        <v>0</v>
      </c>
      <c r="P4990">
        <f t="shared" si="464"/>
        <v>3450</v>
      </c>
      <c r="Q4990">
        <f t="shared" si="468"/>
        <v>3450</v>
      </c>
      <c r="T4990" s="16">
        <f t="shared" si="469"/>
        <v>-1.6969185116230128</v>
      </c>
    </row>
    <row r="4991" spans="7:20" ht="14.4" x14ac:dyDescent="0.25">
      <c r="G4991" s="10">
        <v>2205</v>
      </c>
      <c r="H4991" s="9">
        <v>15906</v>
      </c>
      <c r="I4991" s="14">
        <f>DATE(2012,12,31)-826</f>
        <v>40448</v>
      </c>
      <c r="J4991" s="15" t="s">
        <v>25</v>
      </c>
      <c r="K4991" s="9">
        <v>8</v>
      </c>
      <c r="L4991" s="16" t="s">
        <v>27</v>
      </c>
      <c r="M4991" s="16">
        <f t="shared" si="465"/>
        <v>-1.2135000752884624</v>
      </c>
      <c r="N4991">
        <f t="shared" si="466"/>
        <v>0</v>
      </c>
      <c r="O4991">
        <f t="shared" si="467"/>
        <v>0</v>
      </c>
      <c r="P4991">
        <f t="shared" si="464"/>
        <v>3800</v>
      </c>
      <c r="Q4991">
        <f t="shared" si="468"/>
        <v>3800</v>
      </c>
      <c r="T4991" s="16">
        <f t="shared" si="469"/>
        <v>-1.2135000752884626</v>
      </c>
    </row>
    <row r="4992" spans="7:20" ht="14.4" x14ac:dyDescent="0.25">
      <c r="G4992" s="10">
        <v>2215</v>
      </c>
      <c r="H4992" s="9">
        <v>16005</v>
      </c>
      <c r="I4992" s="14">
        <f>DATE(2012,12,31)-7</f>
        <v>41267</v>
      </c>
      <c r="J4992" s="15" t="s">
        <v>28</v>
      </c>
      <c r="K4992" s="9">
        <v>7</v>
      </c>
      <c r="L4992" s="16" t="s">
        <v>26</v>
      </c>
      <c r="M4992" s="16">
        <f t="shared" si="465"/>
        <v>-1.2825598519076837</v>
      </c>
      <c r="N4992">
        <f t="shared" si="466"/>
        <v>0</v>
      </c>
      <c r="O4992">
        <f t="shared" si="467"/>
        <v>0</v>
      </c>
      <c r="P4992">
        <f t="shared" si="464"/>
        <v>3750</v>
      </c>
      <c r="Q4992">
        <f t="shared" si="468"/>
        <v>3750</v>
      </c>
      <c r="T4992" s="16">
        <f t="shared" si="469"/>
        <v>-1.2825598519076842</v>
      </c>
    </row>
    <row r="4993" spans="7:20" ht="14.4" x14ac:dyDescent="0.25">
      <c r="G4993" s="10">
        <v>2230</v>
      </c>
      <c r="H4993" s="9">
        <v>16103</v>
      </c>
      <c r="I4993" s="14">
        <f>DATE(2012,12,31)-169</f>
        <v>41105</v>
      </c>
      <c r="J4993" s="15" t="s">
        <v>28</v>
      </c>
      <c r="K4993" s="9">
        <v>22</v>
      </c>
      <c r="L4993" s="16" t="s">
        <v>26</v>
      </c>
      <c r="M4993" s="16">
        <f t="shared" si="465"/>
        <v>-0.24666320261936217</v>
      </c>
      <c r="N4993">
        <f t="shared" si="466"/>
        <v>0</v>
      </c>
      <c r="O4993">
        <f t="shared" si="467"/>
        <v>0</v>
      </c>
      <c r="P4993">
        <f t="shared" si="464"/>
        <v>4500</v>
      </c>
      <c r="Q4993">
        <f t="shared" si="468"/>
        <v>4500</v>
      </c>
      <c r="T4993" s="16">
        <f t="shared" si="469"/>
        <v>-0.24666320261936256</v>
      </c>
    </row>
    <row r="4994" spans="7:20" ht="14.4" x14ac:dyDescent="0.25">
      <c r="G4994" s="10">
        <v>2253</v>
      </c>
      <c r="H4994" s="9">
        <v>16225</v>
      </c>
      <c r="I4994" s="14">
        <f>DATE(2012,12,31)-1313</f>
        <v>39961</v>
      </c>
      <c r="J4994" s="15" t="s">
        <v>30</v>
      </c>
      <c r="K4994" s="9">
        <v>30</v>
      </c>
      <c r="L4994" s="16" t="s">
        <v>26</v>
      </c>
      <c r="M4994" s="16">
        <f t="shared" si="465"/>
        <v>0.30581501033440933</v>
      </c>
      <c r="N4994">
        <f t="shared" si="466"/>
        <v>0</v>
      </c>
      <c r="O4994">
        <f t="shared" si="467"/>
        <v>0</v>
      </c>
      <c r="P4994">
        <f t="shared" si="464"/>
        <v>4900</v>
      </c>
      <c r="Q4994">
        <f t="shared" si="468"/>
        <v>4900</v>
      </c>
      <c r="T4994" s="16">
        <f t="shared" si="469"/>
        <v>0.30581501033440894</v>
      </c>
    </row>
    <row r="4995" spans="7:20" ht="14.4" x14ac:dyDescent="0.25">
      <c r="G4995" s="10">
        <v>2265</v>
      </c>
      <c r="H4995" s="9">
        <v>16262</v>
      </c>
      <c r="I4995" s="14">
        <f>DATE(2012,12,31)-730</f>
        <v>40544</v>
      </c>
      <c r="J4995" s="15" t="s">
        <v>25</v>
      </c>
      <c r="K4995" s="9">
        <v>11</v>
      </c>
      <c r="L4995" s="16" t="s">
        <v>26</v>
      </c>
      <c r="M4995" s="16">
        <f t="shared" si="465"/>
        <v>-1.0063207454307979</v>
      </c>
      <c r="N4995">
        <f t="shared" si="466"/>
        <v>0</v>
      </c>
      <c r="O4995">
        <f t="shared" si="467"/>
        <v>0</v>
      </c>
      <c r="P4995">
        <f t="shared" si="464"/>
        <v>3950</v>
      </c>
      <c r="Q4995">
        <f t="shared" si="468"/>
        <v>3950</v>
      </c>
      <c r="T4995" s="16">
        <f t="shared" si="469"/>
        <v>-1.0063207454307983</v>
      </c>
    </row>
    <row r="4996" spans="7:20" ht="14.4" x14ac:dyDescent="0.25">
      <c r="G4996" s="10">
        <v>2270</v>
      </c>
      <c r="H4996" s="9">
        <v>16321</v>
      </c>
      <c r="I4996" s="14">
        <f>DATE(2012,12,31)-1187</f>
        <v>40087</v>
      </c>
      <c r="J4996" s="15" t="s">
        <v>28</v>
      </c>
      <c r="K4996" s="9">
        <v>50</v>
      </c>
      <c r="L4996" s="16" t="s">
        <v>26</v>
      </c>
      <c r="M4996" s="16">
        <f t="shared" si="465"/>
        <v>1.687010542718838</v>
      </c>
      <c r="N4996">
        <f t="shared" si="466"/>
        <v>0</v>
      </c>
      <c r="O4996">
        <f t="shared" si="467"/>
        <v>0</v>
      </c>
      <c r="P4996">
        <f t="shared" si="464"/>
        <v>5900</v>
      </c>
      <c r="Q4996">
        <f t="shared" si="468"/>
        <v>5900</v>
      </c>
      <c r="T4996" s="16">
        <f t="shared" si="469"/>
        <v>1.6870105427188375</v>
      </c>
    </row>
    <row r="4997" spans="7:20" ht="14.4" x14ac:dyDescent="0.25">
      <c r="G4997" s="10">
        <v>2315</v>
      </c>
      <c r="H4997" s="9">
        <v>16679</v>
      </c>
      <c r="I4997" s="14">
        <f>DATE(2012,12,31)-1149</f>
        <v>40125</v>
      </c>
      <c r="J4997" s="15" t="s">
        <v>25</v>
      </c>
      <c r="K4997" s="9">
        <v>29</v>
      </c>
      <c r="L4997" s="16" t="s">
        <v>29</v>
      </c>
      <c r="M4997" s="16">
        <f t="shared" si="465"/>
        <v>0.23675523371518786</v>
      </c>
      <c r="N4997">
        <f t="shared" si="466"/>
        <v>0</v>
      </c>
      <c r="O4997">
        <f t="shared" si="467"/>
        <v>0</v>
      </c>
      <c r="P4997">
        <f t="shared" si="464"/>
        <v>4850</v>
      </c>
      <c r="Q4997">
        <f t="shared" si="468"/>
        <v>4850</v>
      </c>
      <c r="T4997" s="16">
        <f t="shared" si="469"/>
        <v>0.2367552337151875</v>
      </c>
    </row>
    <row r="4998" spans="7:20" ht="14.4" x14ac:dyDescent="0.25">
      <c r="G4998" s="10">
        <v>2328</v>
      </c>
      <c r="H4998" s="9">
        <v>16775</v>
      </c>
      <c r="I4998" s="14">
        <f>DATE(2012,12,31)-39</f>
        <v>41235</v>
      </c>
      <c r="J4998" s="15" t="s">
        <v>25</v>
      </c>
      <c r="K4998" s="9">
        <v>49</v>
      </c>
      <c r="L4998" s="16" t="s">
        <v>26</v>
      </c>
      <c r="M4998" s="16">
        <f t="shared" si="465"/>
        <v>1.6179507660996166</v>
      </c>
      <c r="N4998">
        <f t="shared" si="466"/>
        <v>0</v>
      </c>
      <c r="O4998">
        <f t="shared" si="467"/>
        <v>0</v>
      </c>
      <c r="P4998">
        <f t="shared" si="464"/>
        <v>5850</v>
      </c>
      <c r="Q4998">
        <f t="shared" si="468"/>
        <v>5850</v>
      </c>
      <c r="T4998" s="16">
        <f t="shared" si="469"/>
        <v>1.6179507660996162</v>
      </c>
    </row>
    <row r="4999" spans="7:20" ht="14.4" x14ac:dyDescent="0.25">
      <c r="G4999" s="10">
        <v>2340</v>
      </c>
      <c r="H4999" s="9">
        <v>16834</v>
      </c>
      <c r="I4999" s="14">
        <f>DATE(2012,12,31)-800</f>
        <v>40474</v>
      </c>
      <c r="J4999" s="15" t="s">
        <v>25</v>
      </c>
      <c r="K4999" s="9">
        <v>33</v>
      </c>
      <c r="L4999" s="16" t="s">
        <v>26</v>
      </c>
      <c r="M4999" s="16">
        <f t="shared" si="465"/>
        <v>0.51299434019207357</v>
      </c>
      <c r="N4999">
        <f t="shared" si="466"/>
        <v>0</v>
      </c>
      <c r="O4999">
        <f t="shared" si="467"/>
        <v>0</v>
      </c>
      <c r="P4999">
        <f t="shared" si="464"/>
        <v>5050</v>
      </c>
      <c r="Q4999">
        <f t="shared" si="468"/>
        <v>5050</v>
      </c>
      <c r="T4999" s="16">
        <f t="shared" si="469"/>
        <v>0.51299434019207324</v>
      </c>
    </row>
    <row r="5000" spans="7:20" ht="14.4" x14ac:dyDescent="0.25">
      <c r="G5000" s="10">
        <v>2341</v>
      </c>
      <c r="H5000" s="9">
        <v>16837</v>
      </c>
      <c r="I5000" s="14">
        <f>DATE(2012,12,31)-710</f>
        <v>40564</v>
      </c>
      <c r="J5000" s="15" t="s">
        <v>28</v>
      </c>
      <c r="K5000" s="9">
        <v>4</v>
      </c>
      <c r="L5000" s="16" t="s">
        <v>29</v>
      </c>
      <c r="M5000" s="16">
        <f t="shared" si="465"/>
        <v>-1.489739181765348</v>
      </c>
      <c r="N5000">
        <f t="shared" si="466"/>
        <v>0</v>
      </c>
      <c r="O5000">
        <f t="shared" si="467"/>
        <v>0</v>
      </c>
      <c r="P5000">
        <f t="shared" si="464"/>
        <v>3600</v>
      </c>
      <c r="Q5000">
        <f t="shared" si="468"/>
        <v>3600</v>
      </c>
      <c r="T5000" s="16">
        <f t="shared" si="469"/>
        <v>-1.4897391817653485</v>
      </c>
    </row>
    <row r="5001" spans="7:20" ht="14.4" x14ac:dyDescent="0.25">
      <c r="G5001" s="10">
        <v>2343</v>
      </c>
      <c r="H5001" s="9">
        <v>16866</v>
      </c>
      <c r="I5001" s="14">
        <f>DATE(2012,12,31)-329</f>
        <v>40945</v>
      </c>
      <c r="J5001" s="15" t="s">
        <v>28</v>
      </c>
      <c r="K5001" s="9">
        <v>43</v>
      </c>
      <c r="L5001" s="16" t="s">
        <v>27</v>
      </c>
      <c r="M5001" s="16">
        <f t="shared" si="465"/>
        <v>1.203592106384288</v>
      </c>
      <c r="N5001">
        <f t="shared" si="466"/>
        <v>0</v>
      </c>
      <c r="O5001">
        <f t="shared" si="467"/>
        <v>0</v>
      </c>
      <c r="P5001">
        <f t="shared" si="464"/>
        <v>5550</v>
      </c>
      <c r="Q5001">
        <f t="shared" si="468"/>
        <v>5550</v>
      </c>
      <c r="T5001" s="16">
        <f t="shared" si="469"/>
        <v>1.2035921063842876</v>
      </c>
    </row>
    <row r="5002" spans="7:20" ht="14.4" x14ac:dyDescent="0.25">
      <c r="G5002" s="10">
        <v>2360</v>
      </c>
      <c r="H5002" s="9">
        <v>17058</v>
      </c>
      <c r="I5002" s="14">
        <f>DATE(2012,12,31)-730</f>
        <v>40544</v>
      </c>
      <c r="J5002" s="15" t="s">
        <v>17</v>
      </c>
      <c r="K5002" s="9">
        <v>15</v>
      </c>
      <c r="L5002" s="16" t="s">
        <v>26</v>
      </c>
      <c r="M5002" s="16">
        <f t="shared" si="465"/>
        <v>-0.7300816389539122</v>
      </c>
      <c r="N5002">
        <f t="shared" si="466"/>
        <v>0</v>
      </c>
      <c r="O5002">
        <f t="shared" si="467"/>
        <v>0</v>
      </c>
      <c r="P5002">
        <f t="shared" si="464"/>
        <v>4150</v>
      </c>
      <c r="Q5002">
        <f t="shared" si="468"/>
        <v>4150</v>
      </c>
      <c r="T5002" s="16">
        <f t="shared" si="469"/>
        <v>-0.73008163895391265</v>
      </c>
    </row>
    <row r="5003" spans="7:20" ht="14.4" x14ac:dyDescent="0.25">
      <c r="G5003" s="10">
        <v>2413</v>
      </c>
      <c r="H5003" s="9">
        <v>17508</v>
      </c>
      <c r="I5003" s="14">
        <f>DATE(2012,12,31)-187</f>
        <v>41087</v>
      </c>
      <c r="J5003" s="15" t="s">
        <v>25</v>
      </c>
      <c r="K5003" s="9">
        <v>50</v>
      </c>
      <c r="L5003" s="16" t="s">
        <v>26</v>
      </c>
      <c r="M5003" s="16">
        <f t="shared" si="465"/>
        <v>1.687010542718838</v>
      </c>
      <c r="N5003">
        <f t="shared" si="466"/>
        <v>0</v>
      </c>
      <c r="O5003">
        <f t="shared" si="467"/>
        <v>0</v>
      </c>
      <c r="P5003">
        <f t="shared" si="464"/>
        <v>5900</v>
      </c>
      <c r="Q5003">
        <f t="shared" si="468"/>
        <v>5900</v>
      </c>
      <c r="T5003" s="16">
        <f t="shared" si="469"/>
        <v>1.6870105427188375</v>
      </c>
    </row>
    <row r="5004" spans="7:20" ht="14.4" x14ac:dyDescent="0.25">
      <c r="G5004" s="10">
        <v>2573</v>
      </c>
      <c r="H5004" s="9">
        <v>18592</v>
      </c>
      <c r="I5004" s="14">
        <f>DATE(2012,12,31)-92</f>
        <v>41182</v>
      </c>
      <c r="J5004" s="15" t="s">
        <v>30</v>
      </c>
      <c r="K5004" s="9">
        <v>2</v>
      </c>
      <c r="L5004" s="16" t="s">
        <v>26</v>
      </c>
      <c r="M5004" s="16">
        <f t="shared" si="465"/>
        <v>-1.627858735003791</v>
      </c>
      <c r="N5004">
        <f t="shared" si="466"/>
        <v>0</v>
      </c>
      <c r="O5004">
        <f t="shared" si="467"/>
        <v>0</v>
      </c>
      <c r="P5004">
        <f t="shared" ref="P5004:P5067" si="470">50*K5004+$P$10</f>
        <v>3500</v>
      </c>
      <c r="Q5004">
        <f t="shared" si="468"/>
        <v>3500</v>
      </c>
      <c r="T5004" s="16">
        <f t="shared" si="469"/>
        <v>-1.6278587350037912</v>
      </c>
    </row>
    <row r="5005" spans="7:20" ht="14.4" x14ac:dyDescent="0.25">
      <c r="G5005" s="10">
        <v>2598</v>
      </c>
      <c r="H5005" s="9">
        <v>18757</v>
      </c>
      <c r="I5005" s="14">
        <f>DATE(2012,12,31)-223</f>
        <v>41051</v>
      </c>
      <c r="J5005" s="15" t="s">
        <v>25</v>
      </c>
      <c r="K5005" s="9">
        <v>43</v>
      </c>
      <c r="L5005" s="16" t="s">
        <v>26</v>
      </c>
      <c r="M5005" s="16">
        <f t="shared" ref="M5005:M5068" si="471">(K5005-$K$4)/$K$7</f>
        <v>1.203592106384288</v>
      </c>
      <c r="N5005">
        <f t="shared" ref="N5005:N5068" si="472">IF(MOD($B$20+G5005,1000)=0,1,0)</f>
        <v>0</v>
      </c>
      <c r="O5005">
        <f t="shared" ref="O5005:O5068" si="473">+ROUND(N5005*(IF(K5005&lt;$K$4,-4.5,10.5)*$P$5),-2)</f>
        <v>0</v>
      </c>
      <c r="P5005">
        <f t="shared" si="470"/>
        <v>5550</v>
      </c>
      <c r="Q5005">
        <f t="shared" ref="Q5005:Q5068" si="474">P5005+O5005</f>
        <v>5550</v>
      </c>
      <c r="T5005" s="16">
        <f t="shared" ref="T5005:T5068" si="475">(Q5005-$P$4)/$P$5</f>
        <v>1.2035921063842876</v>
      </c>
    </row>
    <row r="5006" spans="7:20" ht="14.4" x14ac:dyDescent="0.25">
      <c r="G5006" s="10">
        <v>2609</v>
      </c>
      <c r="H5006" s="9">
        <v>18851</v>
      </c>
      <c r="I5006" s="14">
        <f>DATE(2012,12,31)-15</f>
        <v>41259</v>
      </c>
      <c r="J5006" s="15" t="s">
        <v>30</v>
      </c>
      <c r="K5006" s="9">
        <v>32</v>
      </c>
      <c r="L5006" s="16" t="s">
        <v>26</v>
      </c>
      <c r="M5006" s="16">
        <f t="shared" si="471"/>
        <v>0.44393456357285216</v>
      </c>
      <c r="N5006">
        <f t="shared" si="472"/>
        <v>0</v>
      </c>
      <c r="O5006">
        <f t="shared" si="473"/>
        <v>0</v>
      </c>
      <c r="P5006">
        <f t="shared" si="470"/>
        <v>5000</v>
      </c>
      <c r="Q5006">
        <f t="shared" si="474"/>
        <v>5000</v>
      </c>
      <c r="T5006" s="16">
        <f t="shared" si="475"/>
        <v>0.44393456357285183</v>
      </c>
    </row>
    <row r="5007" spans="7:20" ht="14.4" x14ac:dyDescent="0.25">
      <c r="G5007" s="10">
        <v>2611</v>
      </c>
      <c r="H5007" s="9">
        <v>18853</v>
      </c>
      <c r="I5007" s="14">
        <f>DATE(2012,12,31)-1079</f>
        <v>40195</v>
      </c>
      <c r="J5007" s="15" t="s">
        <v>30</v>
      </c>
      <c r="K5007" s="9">
        <v>33</v>
      </c>
      <c r="L5007" s="16" t="s">
        <v>26</v>
      </c>
      <c r="M5007" s="16">
        <f t="shared" si="471"/>
        <v>0.51299434019207357</v>
      </c>
      <c r="N5007">
        <f t="shared" si="472"/>
        <v>0</v>
      </c>
      <c r="O5007">
        <f t="shared" si="473"/>
        <v>0</v>
      </c>
      <c r="P5007">
        <f t="shared" si="470"/>
        <v>5050</v>
      </c>
      <c r="Q5007">
        <f t="shared" si="474"/>
        <v>5050</v>
      </c>
      <c r="T5007" s="16">
        <f t="shared" si="475"/>
        <v>0.51299434019207324</v>
      </c>
    </row>
    <row r="5008" spans="7:20" ht="14.4" x14ac:dyDescent="0.25">
      <c r="G5008" s="10">
        <v>2613</v>
      </c>
      <c r="H5008" s="9">
        <v>18884</v>
      </c>
      <c r="I5008" s="14">
        <f>DATE(2012,12,31)-556</f>
        <v>40718</v>
      </c>
      <c r="J5008" s="15" t="s">
        <v>28</v>
      </c>
      <c r="K5008" s="9">
        <v>5</v>
      </c>
      <c r="L5008" s="16" t="s">
        <v>29</v>
      </c>
      <c r="M5008" s="16">
        <f t="shared" si="471"/>
        <v>-1.4206794051461267</v>
      </c>
      <c r="N5008">
        <f t="shared" si="472"/>
        <v>0</v>
      </c>
      <c r="O5008">
        <f t="shared" si="473"/>
        <v>0</v>
      </c>
      <c r="P5008">
        <f t="shared" si="470"/>
        <v>3650</v>
      </c>
      <c r="Q5008">
        <f t="shared" si="474"/>
        <v>3650</v>
      </c>
      <c r="T5008" s="16">
        <f t="shared" si="475"/>
        <v>-1.4206794051461269</v>
      </c>
    </row>
    <row r="5009" spans="7:20" ht="14.4" x14ac:dyDescent="0.25">
      <c r="G5009" s="10">
        <v>2614</v>
      </c>
      <c r="H5009" s="9">
        <v>18884</v>
      </c>
      <c r="I5009" s="14">
        <f>DATE(2012,12,31)-556</f>
        <v>40718</v>
      </c>
      <c r="J5009" s="15" t="s">
        <v>28</v>
      </c>
      <c r="K5009" s="9">
        <v>29</v>
      </c>
      <c r="L5009" s="16" t="s">
        <v>27</v>
      </c>
      <c r="M5009" s="16">
        <f t="shared" si="471"/>
        <v>0.23675523371518786</v>
      </c>
      <c r="N5009">
        <f t="shared" si="472"/>
        <v>0</v>
      </c>
      <c r="O5009">
        <f t="shared" si="473"/>
        <v>0</v>
      </c>
      <c r="P5009">
        <f t="shared" si="470"/>
        <v>4850</v>
      </c>
      <c r="Q5009">
        <f t="shared" si="474"/>
        <v>4850</v>
      </c>
      <c r="T5009" s="16">
        <f t="shared" si="475"/>
        <v>0.2367552337151875</v>
      </c>
    </row>
    <row r="5010" spans="7:20" ht="14.4" x14ac:dyDescent="0.25">
      <c r="G5010" s="10">
        <v>2669</v>
      </c>
      <c r="H5010" s="9">
        <v>19300</v>
      </c>
      <c r="I5010" s="14">
        <f>DATE(2012,12,31)-1111</f>
        <v>40163</v>
      </c>
      <c r="J5010" s="15" t="s">
        <v>30</v>
      </c>
      <c r="K5010" s="9">
        <v>10</v>
      </c>
      <c r="L5010" s="16" t="s">
        <v>26</v>
      </c>
      <c r="M5010" s="16">
        <f t="shared" si="471"/>
        <v>-1.0753805220500194</v>
      </c>
      <c r="N5010">
        <f t="shared" si="472"/>
        <v>0</v>
      </c>
      <c r="O5010">
        <f t="shared" si="473"/>
        <v>0</v>
      </c>
      <c r="P5010">
        <f t="shared" si="470"/>
        <v>3900</v>
      </c>
      <c r="Q5010">
        <f t="shared" si="474"/>
        <v>3900</v>
      </c>
      <c r="T5010" s="16">
        <f t="shared" si="475"/>
        <v>-1.0753805220500199</v>
      </c>
    </row>
    <row r="5011" spans="7:20" ht="14.4" x14ac:dyDescent="0.25">
      <c r="G5011" s="10">
        <v>2673</v>
      </c>
      <c r="H5011" s="9">
        <v>19361</v>
      </c>
      <c r="I5011" s="14">
        <f>DATE(2012,12,31)-99</f>
        <v>41175</v>
      </c>
      <c r="J5011" s="15" t="s">
        <v>25</v>
      </c>
      <c r="K5011" s="9">
        <v>21</v>
      </c>
      <c r="L5011" s="16" t="s">
        <v>26</v>
      </c>
      <c r="M5011" s="16">
        <f t="shared" si="471"/>
        <v>-0.31572297923858361</v>
      </c>
      <c r="N5011">
        <f t="shared" si="472"/>
        <v>0</v>
      </c>
      <c r="O5011">
        <f t="shared" si="473"/>
        <v>0</v>
      </c>
      <c r="P5011">
        <f t="shared" si="470"/>
        <v>4450</v>
      </c>
      <c r="Q5011">
        <f t="shared" si="474"/>
        <v>4450</v>
      </c>
      <c r="T5011" s="16">
        <f t="shared" si="475"/>
        <v>-0.315722979238584</v>
      </c>
    </row>
    <row r="5012" spans="7:20" ht="14.4" x14ac:dyDescent="0.25">
      <c r="G5012" s="10">
        <v>2674</v>
      </c>
      <c r="H5012" s="9">
        <v>19361</v>
      </c>
      <c r="I5012" s="14">
        <f>DATE(2012,12,31)-99</f>
        <v>41175</v>
      </c>
      <c r="J5012" s="15" t="s">
        <v>25</v>
      </c>
      <c r="K5012" s="9">
        <v>43</v>
      </c>
      <c r="L5012" s="16" t="s">
        <v>26</v>
      </c>
      <c r="M5012" s="16">
        <f t="shared" si="471"/>
        <v>1.203592106384288</v>
      </c>
      <c r="N5012">
        <f t="shared" si="472"/>
        <v>0</v>
      </c>
      <c r="O5012">
        <f t="shared" si="473"/>
        <v>0</v>
      </c>
      <c r="P5012">
        <f t="shared" si="470"/>
        <v>5550</v>
      </c>
      <c r="Q5012">
        <f t="shared" si="474"/>
        <v>5550</v>
      </c>
      <c r="T5012" s="16">
        <f t="shared" si="475"/>
        <v>1.2035921063842876</v>
      </c>
    </row>
    <row r="5013" spans="7:20" ht="14.4" x14ac:dyDescent="0.25">
      <c r="G5013" s="10">
        <v>2706</v>
      </c>
      <c r="H5013" s="9">
        <v>19557</v>
      </c>
      <c r="I5013" s="14">
        <f>DATE(2012,12,31)-428</f>
        <v>40846</v>
      </c>
      <c r="J5013" s="15" t="s">
        <v>25</v>
      </c>
      <c r="K5013" s="9">
        <v>26</v>
      </c>
      <c r="L5013" s="16" t="s">
        <v>26</v>
      </c>
      <c r="M5013" s="16">
        <f t="shared" si="471"/>
        <v>2.9575903857523567E-2</v>
      </c>
      <c r="N5013">
        <f t="shared" si="472"/>
        <v>0</v>
      </c>
      <c r="O5013">
        <f t="shared" si="473"/>
        <v>0</v>
      </c>
      <c r="P5013">
        <f t="shared" si="470"/>
        <v>4700</v>
      </c>
      <c r="Q5013">
        <f t="shared" si="474"/>
        <v>4700</v>
      </c>
      <c r="T5013" s="16">
        <f t="shared" si="475"/>
        <v>2.9575903857523185E-2</v>
      </c>
    </row>
    <row r="5014" spans="7:20" ht="14.4" x14ac:dyDescent="0.25">
      <c r="G5014" s="10">
        <v>2707</v>
      </c>
      <c r="H5014" s="9">
        <v>19557</v>
      </c>
      <c r="I5014" s="14">
        <f>DATE(2012,12,31)-428</f>
        <v>40846</v>
      </c>
      <c r="J5014" s="15" t="s">
        <v>25</v>
      </c>
      <c r="K5014" s="9">
        <v>9</v>
      </c>
      <c r="L5014" s="16" t="s">
        <v>26</v>
      </c>
      <c r="M5014" s="16">
        <f t="shared" si="471"/>
        <v>-1.1444402986692408</v>
      </c>
      <c r="N5014">
        <f t="shared" si="472"/>
        <v>0</v>
      </c>
      <c r="O5014">
        <f t="shared" si="473"/>
        <v>0</v>
      </c>
      <c r="P5014">
        <f t="shared" si="470"/>
        <v>3850</v>
      </c>
      <c r="Q5014">
        <f t="shared" si="474"/>
        <v>3850</v>
      </c>
      <c r="T5014" s="16">
        <f t="shared" si="475"/>
        <v>-1.1444402986692412</v>
      </c>
    </row>
    <row r="5015" spans="7:20" ht="14.4" x14ac:dyDescent="0.25">
      <c r="G5015" s="10">
        <v>2713</v>
      </c>
      <c r="H5015" s="9">
        <v>19586</v>
      </c>
      <c r="I5015" s="14">
        <f>DATE(2012,12,31)-60</f>
        <v>41214</v>
      </c>
      <c r="J5015" s="15" t="s">
        <v>28</v>
      </c>
      <c r="K5015" s="9">
        <v>36</v>
      </c>
      <c r="L5015" s="16" t="s">
        <v>26</v>
      </c>
      <c r="M5015" s="16">
        <f t="shared" si="471"/>
        <v>0.72017367004973787</v>
      </c>
      <c r="N5015">
        <f t="shared" si="472"/>
        <v>0</v>
      </c>
      <c r="O5015">
        <f t="shared" si="473"/>
        <v>0</v>
      </c>
      <c r="P5015">
        <f t="shared" si="470"/>
        <v>5200</v>
      </c>
      <c r="Q5015">
        <f t="shared" si="474"/>
        <v>5200</v>
      </c>
      <c r="T5015" s="16">
        <f t="shared" si="475"/>
        <v>0.72017367004973754</v>
      </c>
    </row>
    <row r="5016" spans="7:20" ht="14.4" x14ac:dyDescent="0.25">
      <c r="G5016" s="10">
        <v>2732</v>
      </c>
      <c r="H5016" s="9">
        <v>19718</v>
      </c>
      <c r="I5016" s="14">
        <f>DATE(2012,12,31)-190</f>
        <v>41084</v>
      </c>
      <c r="J5016" s="15" t="s">
        <v>25</v>
      </c>
      <c r="K5016" s="9">
        <v>6</v>
      </c>
      <c r="L5016" s="16" t="s">
        <v>27</v>
      </c>
      <c r="M5016" s="16">
        <f t="shared" si="471"/>
        <v>-1.3516196285269051</v>
      </c>
      <c r="N5016">
        <f t="shared" si="472"/>
        <v>0</v>
      </c>
      <c r="O5016">
        <f t="shared" si="473"/>
        <v>0</v>
      </c>
      <c r="P5016">
        <f t="shared" si="470"/>
        <v>3700</v>
      </c>
      <c r="Q5016">
        <f t="shared" si="474"/>
        <v>3700</v>
      </c>
      <c r="T5016" s="16">
        <f t="shared" si="475"/>
        <v>-1.3516196285269055</v>
      </c>
    </row>
    <row r="5017" spans="7:20" ht="14.4" x14ac:dyDescent="0.25">
      <c r="G5017" s="10">
        <v>2733</v>
      </c>
      <c r="H5017" s="9">
        <v>19744</v>
      </c>
      <c r="I5017" s="14">
        <f>DATE(2012,12,31)-1023</f>
        <v>40251</v>
      </c>
      <c r="J5017" s="15" t="s">
        <v>16</v>
      </c>
      <c r="K5017" s="9">
        <v>41</v>
      </c>
      <c r="L5017" s="16" t="s">
        <v>26</v>
      </c>
      <c r="M5017" s="16">
        <f t="shared" si="471"/>
        <v>1.0654725531458451</v>
      </c>
      <c r="N5017">
        <f t="shared" si="472"/>
        <v>0</v>
      </c>
      <c r="O5017">
        <f t="shared" si="473"/>
        <v>0</v>
      </c>
      <c r="P5017">
        <f t="shared" si="470"/>
        <v>5450</v>
      </c>
      <c r="Q5017">
        <f t="shared" si="474"/>
        <v>5450</v>
      </c>
      <c r="T5017" s="16">
        <f t="shared" si="475"/>
        <v>1.0654725531458447</v>
      </c>
    </row>
    <row r="5018" spans="7:20" ht="14.4" x14ac:dyDescent="0.25">
      <c r="G5018" s="10">
        <v>2781</v>
      </c>
      <c r="H5018" s="9">
        <v>20069</v>
      </c>
      <c r="I5018" s="14">
        <f>DATE(2012,12,31)-1192</f>
        <v>40082</v>
      </c>
      <c r="J5018" s="15" t="s">
        <v>30</v>
      </c>
      <c r="K5018" s="9">
        <v>6</v>
      </c>
      <c r="L5018" s="16" t="s">
        <v>29</v>
      </c>
      <c r="M5018" s="16">
        <f t="shared" si="471"/>
        <v>-1.3516196285269051</v>
      </c>
      <c r="N5018">
        <f t="shared" si="472"/>
        <v>0</v>
      </c>
      <c r="O5018">
        <f t="shared" si="473"/>
        <v>0</v>
      </c>
      <c r="P5018">
        <f t="shared" si="470"/>
        <v>3700</v>
      </c>
      <c r="Q5018">
        <f t="shared" si="474"/>
        <v>3700</v>
      </c>
      <c r="T5018" s="16">
        <f t="shared" si="475"/>
        <v>-1.3516196285269055</v>
      </c>
    </row>
    <row r="5019" spans="7:20" ht="14.4" x14ac:dyDescent="0.25">
      <c r="G5019" s="10">
        <v>2787</v>
      </c>
      <c r="H5019" s="9">
        <v>20103</v>
      </c>
      <c r="I5019" s="14">
        <f>DATE(2012,12,31)-1054</f>
        <v>40220</v>
      </c>
      <c r="J5019" s="15" t="s">
        <v>16</v>
      </c>
      <c r="K5019" s="9">
        <v>30</v>
      </c>
      <c r="L5019" s="16" t="s">
        <v>27</v>
      </c>
      <c r="M5019" s="16">
        <f t="shared" si="471"/>
        <v>0.30581501033440933</v>
      </c>
      <c r="N5019">
        <f t="shared" si="472"/>
        <v>0</v>
      </c>
      <c r="O5019">
        <f t="shared" si="473"/>
        <v>0</v>
      </c>
      <c r="P5019">
        <f t="shared" si="470"/>
        <v>4900</v>
      </c>
      <c r="Q5019">
        <f t="shared" si="474"/>
        <v>4900</v>
      </c>
      <c r="T5019" s="16">
        <f t="shared" si="475"/>
        <v>0.30581501033440894</v>
      </c>
    </row>
    <row r="5020" spans="7:20" ht="14.4" x14ac:dyDescent="0.25">
      <c r="G5020" s="10">
        <v>2788</v>
      </c>
      <c r="H5020" s="9">
        <v>20103</v>
      </c>
      <c r="I5020" s="14">
        <f>DATE(2012,12,31)-1054</f>
        <v>40220</v>
      </c>
      <c r="J5020" s="15" t="s">
        <v>16</v>
      </c>
      <c r="K5020" s="9">
        <v>25</v>
      </c>
      <c r="L5020" s="16" t="s">
        <v>27</v>
      </c>
      <c r="M5020" s="16">
        <f t="shared" si="471"/>
        <v>-3.9483872761697868E-2</v>
      </c>
      <c r="N5020">
        <f t="shared" si="472"/>
        <v>0</v>
      </c>
      <c r="O5020">
        <f t="shared" si="473"/>
        <v>0</v>
      </c>
      <c r="P5020">
        <f t="shared" si="470"/>
        <v>4650</v>
      </c>
      <c r="Q5020">
        <f t="shared" si="474"/>
        <v>4650</v>
      </c>
      <c r="T5020" s="16">
        <f t="shared" si="475"/>
        <v>-3.9483872761698249E-2</v>
      </c>
    </row>
    <row r="5021" spans="7:20" ht="14.4" x14ac:dyDescent="0.25">
      <c r="G5021" s="10">
        <v>2794</v>
      </c>
      <c r="H5021" s="9">
        <v>20135</v>
      </c>
      <c r="I5021" s="14">
        <f>DATE(2012,12,31)-1280</f>
        <v>39994</v>
      </c>
      <c r="J5021" s="15" t="s">
        <v>30</v>
      </c>
      <c r="K5021" s="9">
        <v>44</v>
      </c>
      <c r="L5021" s="16" t="s">
        <v>26</v>
      </c>
      <c r="M5021" s="16">
        <f t="shared" si="471"/>
        <v>1.2726518830035094</v>
      </c>
      <c r="N5021">
        <f t="shared" si="472"/>
        <v>0</v>
      </c>
      <c r="O5021">
        <f t="shared" si="473"/>
        <v>0</v>
      </c>
      <c r="P5021">
        <f t="shared" si="470"/>
        <v>5600</v>
      </c>
      <c r="Q5021">
        <f t="shared" si="474"/>
        <v>5600</v>
      </c>
      <c r="T5021" s="16">
        <f t="shared" si="475"/>
        <v>1.272651883003509</v>
      </c>
    </row>
    <row r="5022" spans="7:20" ht="14.4" x14ac:dyDescent="0.25">
      <c r="G5022" s="10">
        <v>2795</v>
      </c>
      <c r="H5022" s="9">
        <v>20135</v>
      </c>
      <c r="I5022" s="14">
        <f>DATE(2012,12,31)-1280</f>
        <v>39994</v>
      </c>
      <c r="J5022" s="15" t="s">
        <v>30</v>
      </c>
      <c r="K5022" s="9">
        <v>28</v>
      </c>
      <c r="L5022" s="16" t="s">
        <v>29</v>
      </c>
      <c r="M5022" s="16">
        <f t="shared" si="471"/>
        <v>0.16769545709596645</v>
      </c>
      <c r="N5022">
        <f t="shared" si="472"/>
        <v>0</v>
      </c>
      <c r="O5022">
        <f t="shared" si="473"/>
        <v>0</v>
      </c>
      <c r="P5022">
        <f t="shared" si="470"/>
        <v>4800</v>
      </c>
      <c r="Q5022">
        <f t="shared" si="474"/>
        <v>4800</v>
      </c>
      <c r="T5022" s="16">
        <f t="shared" si="475"/>
        <v>0.16769545709596606</v>
      </c>
    </row>
    <row r="5023" spans="7:20" ht="14.4" x14ac:dyDescent="0.25">
      <c r="G5023" s="10">
        <v>2798</v>
      </c>
      <c r="H5023" s="9">
        <v>20166</v>
      </c>
      <c r="I5023" s="14">
        <f>DATE(2012,12,31)-1398</f>
        <v>39876</v>
      </c>
      <c r="J5023" s="15" t="s">
        <v>25</v>
      </c>
      <c r="K5023" s="9">
        <v>6</v>
      </c>
      <c r="L5023" s="16" t="s">
        <v>27</v>
      </c>
      <c r="M5023" s="16">
        <f t="shared" si="471"/>
        <v>-1.3516196285269051</v>
      </c>
      <c r="N5023">
        <f t="shared" si="472"/>
        <v>0</v>
      </c>
      <c r="O5023">
        <f t="shared" si="473"/>
        <v>0</v>
      </c>
      <c r="P5023">
        <f t="shared" si="470"/>
        <v>3700</v>
      </c>
      <c r="Q5023">
        <f t="shared" si="474"/>
        <v>3700</v>
      </c>
      <c r="T5023" s="16">
        <f t="shared" si="475"/>
        <v>-1.3516196285269055</v>
      </c>
    </row>
    <row r="5024" spans="7:20" ht="14.4" x14ac:dyDescent="0.25">
      <c r="G5024" s="10">
        <v>2799</v>
      </c>
      <c r="H5024" s="9">
        <v>20192</v>
      </c>
      <c r="I5024" s="14">
        <f>DATE(2012,12,31)-817</f>
        <v>40457</v>
      </c>
      <c r="J5024" s="15" t="s">
        <v>25</v>
      </c>
      <c r="K5024" s="9">
        <v>35</v>
      </c>
      <c r="L5024" s="16" t="s">
        <v>27</v>
      </c>
      <c r="M5024" s="16">
        <f t="shared" si="471"/>
        <v>0.65111389343051651</v>
      </c>
      <c r="N5024">
        <f t="shared" si="472"/>
        <v>0</v>
      </c>
      <c r="O5024">
        <f t="shared" si="473"/>
        <v>0</v>
      </c>
      <c r="P5024">
        <f t="shared" si="470"/>
        <v>5150</v>
      </c>
      <c r="Q5024">
        <f t="shared" si="474"/>
        <v>5150</v>
      </c>
      <c r="T5024" s="16">
        <f t="shared" si="475"/>
        <v>0.65111389343051607</v>
      </c>
    </row>
    <row r="5025" spans="7:20" ht="14.4" x14ac:dyDescent="0.25">
      <c r="G5025" s="10">
        <v>2804</v>
      </c>
      <c r="H5025" s="9">
        <v>20229</v>
      </c>
      <c r="I5025" s="14">
        <f>DATE(2012,12,31)-1158</f>
        <v>40116</v>
      </c>
      <c r="J5025" s="15" t="s">
        <v>25</v>
      </c>
      <c r="K5025" s="9">
        <v>47</v>
      </c>
      <c r="L5025" s="16" t="s">
        <v>26</v>
      </c>
      <c r="M5025" s="16">
        <f t="shared" si="471"/>
        <v>1.4798312128611737</v>
      </c>
      <c r="N5025">
        <f t="shared" si="472"/>
        <v>0</v>
      </c>
      <c r="O5025">
        <f t="shared" si="473"/>
        <v>0</v>
      </c>
      <c r="P5025">
        <f t="shared" si="470"/>
        <v>5750</v>
      </c>
      <c r="Q5025">
        <f t="shared" si="474"/>
        <v>5750</v>
      </c>
      <c r="T5025" s="16">
        <f t="shared" si="475"/>
        <v>1.4798312128611733</v>
      </c>
    </row>
    <row r="5026" spans="7:20" ht="14.4" x14ac:dyDescent="0.25">
      <c r="G5026" s="10">
        <v>2906</v>
      </c>
      <c r="H5026" s="9">
        <v>20966</v>
      </c>
      <c r="I5026" s="14">
        <f>DATE(2012,12,31)-835</f>
        <v>40439</v>
      </c>
      <c r="J5026" s="15" t="s">
        <v>25</v>
      </c>
      <c r="K5026" s="9">
        <v>10</v>
      </c>
      <c r="L5026" s="16" t="s">
        <v>26</v>
      </c>
      <c r="M5026" s="16">
        <f t="shared" si="471"/>
        <v>-1.0753805220500194</v>
      </c>
      <c r="N5026">
        <f t="shared" si="472"/>
        <v>0</v>
      </c>
      <c r="O5026">
        <f t="shared" si="473"/>
        <v>0</v>
      </c>
      <c r="P5026">
        <f t="shared" si="470"/>
        <v>3900</v>
      </c>
      <c r="Q5026">
        <f t="shared" si="474"/>
        <v>3900</v>
      </c>
      <c r="T5026" s="16">
        <f t="shared" si="475"/>
        <v>-1.0753805220500199</v>
      </c>
    </row>
    <row r="5027" spans="7:20" ht="14.4" x14ac:dyDescent="0.25">
      <c r="G5027" s="10">
        <v>2907</v>
      </c>
      <c r="H5027" s="9">
        <v>20966</v>
      </c>
      <c r="I5027" s="14">
        <f>DATE(2012,12,31)-835</f>
        <v>40439</v>
      </c>
      <c r="J5027" s="15" t="s">
        <v>25</v>
      </c>
      <c r="K5027" s="9">
        <v>35</v>
      </c>
      <c r="L5027" s="16" t="s">
        <v>27</v>
      </c>
      <c r="M5027" s="16">
        <f t="shared" si="471"/>
        <v>0.65111389343051651</v>
      </c>
      <c r="N5027">
        <f t="shared" si="472"/>
        <v>0</v>
      </c>
      <c r="O5027">
        <f t="shared" si="473"/>
        <v>0</v>
      </c>
      <c r="P5027">
        <f t="shared" si="470"/>
        <v>5150</v>
      </c>
      <c r="Q5027">
        <f t="shared" si="474"/>
        <v>5150</v>
      </c>
      <c r="T5027" s="16">
        <f t="shared" si="475"/>
        <v>0.65111389343051607</v>
      </c>
    </row>
    <row r="5028" spans="7:20" ht="14.4" x14ac:dyDescent="0.25">
      <c r="G5028" s="10">
        <v>2908</v>
      </c>
      <c r="H5028" s="9">
        <v>20966</v>
      </c>
      <c r="I5028" s="14">
        <f>DATE(2012,12,31)-835</f>
        <v>40439</v>
      </c>
      <c r="J5028" s="15" t="s">
        <v>25</v>
      </c>
      <c r="K5028" s="9">
        <v>22</v>
      </c>
      <c r="L5028" s="16" t="s">
        <v>29</v>
      </c>
      <c r="M5028" s="16">
        <f t="shared" si="471"/>
        <v>-0.24666320261936217</v>
      </c>
      <c r="N5028">
        <f t="shared" si="472"/>
        <v>0</v>
      </c>
      <c r="O5028">
        <f t="shared" si="473"/>
        <v>0</v>
      </c>
      <c r="P5028">
        <f t="shared" si="470"/>
        <v>4500</v>
      </c>
      <c r="Q5028">
        <f t="shared" si="474"/>
        <v>4500</v>
      </c>
      <c r="T5028" s="16">
        <f t="shared" si="475"/>
        <v>-0.24666320261936256</v>
      </c>
    </row>
    <row r="5029" spans="7:20" ht="14.4" x14ac:dyDescent="0.25">
      <c r="G5029" s="10">
        <v>2916</v>
      </c>
      <c r="H5029" s="9">
        <v>21063</v>
      </c>
      <c r="I5029" s="14">
        <f>DATE(2012,12,31)-626</f>
        <v>40648</v>
      </c>
      <c r="J5029" s="15" t="s">
        <v>25</v>
      </c>
      <c r="K5029" s="9">
        <v>49</v>
      </c>
      <c r="L5029" s="16" t="s">
        <v>26</v>
      </c>
      <c r="M5029" s="16">
        <f t="shared" si="471"/>
        <v>1.6179507660996166</v>
      </c>
      <c r="N5029">
        <f t="shared" si="472"/>
        <v>0</v>
      </c>
      <c r="O5029">
        <f t="shared" si="473"/>
        <v>0</v>
      </c>
      <c r="P5029">
        <f t="shared" si="470"/>
        <v>5850</v>
      </c>
      <c r="Q5029">
        <f t="shared" si="474"/>
        <v>5850</v>
      </c>
      <c r="T5029" s="16">
        <f t="shared" si="475"/>
        <v>1.6179507660996162</v>
      </c>
    </row>
    <row r="5030" spans="7:20" ht="14.4" x14ac:dyDescent="0.25">
      <c r="G5030" s="10">
        <v>2917</v>
      </c>
      <c r="H5030" s="9">
        <v>21063</v>
      </c>
      <c r="I5030" s="14">
        <f>DATE(2012,12,31)-626</f>
        <v>40648</v>
      </c>
      <c r="J5030" s="15" t="s">
        <v>25</v>
      </c>
      <c r="K5030" s="9">
        <v>48</v>
      </c>
      <c r="L5030" s="16" t="s">
        <v>29</v>
      </c>
      <c r="M5030" s="16">
        <f t="shared" si="471"/>
        <v>1.5488909894803951</v>
      </c>
      <c r="N5030">
        <f t="shared" si="472"/>
        <v>0</v>
      </c>
      <c r="O5030">
        <f t="shared" si="473"/>
        <v>0</v>
      </c>
      <c r="P5030">
        <f t="shared" si="470"/>
        <v>5800</v>
      </c>
      <c r="Q5030">
        <f t="shared" si="474"/>
        <v>5800</v>
      </c>
      <c r="T5030" s="16">
        <f t="shared" si="475"/>
        <v>1.5488909894803948</v>
      </c>
    </row>
    <row r="5031" spans="7:20" ht="14.4" x14ac:dyDescent="0.25">
      <c r="G5031" s="10">
        <v>2958</v>
      </c>
      <c r="H5031" s="9">
        <v>21412</v>
      </c>
      <c r="I5031" s="14">
        <f>DATE(2012,12,31)-537</f>
        <v>40737</v>
      </c>
      <c r="J5031" s="15" t="s">
        <v>28</v>
      </c>
      <c r="K5031" s="9">
        <v>38</v>
      </c>
      <c r="L5031" s="16" t="s">
        <v>26</v>
      </c>
      <c r="M5031" s="16">
        <f t="shared" si="471"/>
        <v>0.85829322328818081</v>
      </c>
      <c r="N5031">
        <f t="shared" si="472"/>
        <v>0</v>
      </c>
      <c r="O5031">
        <f t="shared" si="473"/>
        <v>0</v>
      </c>
      <c r="P5031">
        <f t="shared" si="470"/>
        <v>5300</v>
      </c>
      <c r="Q5031">
        <f t="shared" si="474"/>
        <v>5300</v>
      </c>
      <c r="T5031" s="16">
        <f t="shared" si="475"/>
        <v>0.85829322328818036</v>
      </c>
    </row>
    <row r="5032" spans="7:20" ht="14.4" x14ac:dyDescent="0.25">
      <c r="G5032" s="10">
        <v>2959</v>
      </c>
      <c r="H5032" s="9">
        <v>21412</v>
      </c>
      <c r="I5032" s="14">
        <f>DATE(2012,12,31)-537</f>
        <v>40737</v>
      </c>
      <c r="J5032" s="15" t="s">
        <v>28</v>
      </c>
      <c r="K5032" s="9">
        <v>28</v>
      </c>
      <c r="L5032" s="16" t="s">
        <v>26</v>
      </c>
      <c r="M5032" s="16">
        <f t="shared" si="471"/>
        <v>0.16769545709596645</v>
      </c>
      <c r="N5032">
        <f t="shared" si="472"/>
        <v>0</v>
      </c>
      <c r="O5032">
        <f t="shared" si="473"/>
        <v>0</v>
      </c>
      <c r="P5032">
        <f t="shared" si="470"/>
        <v>4800</v>
      </c>
      <c r="Q5032">
        <f t="shared" si="474"/>
        <v>4800</v>
      </c>
      <c r="T5032" s="16">
        <f t="shared" si="475"/>
        <v>0.16769545709596606</v>
      </c>
    </row>
    <row r="5033" spans="7:20" ht="14.4" x14ac:dyDescent="0.25">
      <c r="G5033" s="10">
        <v>2964</v>
      </c>
      <c r="H5033" s="9">
        <v>21442</v>
      </c>
      <c r="I5033" s="14">
        <f>DATE(2012,12,31)-1102</f>
        <v>40172</v>
      </c>
      <c r="J5033" s="15" t="s">
        <v>25</v>
      </c>
      <c r="K5033" s="9">
        <v>48</v>
      </c>
      <c r="L5033" s="16" t="s">
        <v>29</v>
      </c>
      <c r="M5033" s="16">
        <f t="shared" si="471"/>
        <v>1.5488909894803951</v>
      </c>
      <c r="N5033">
        <f t="shared" si="472"/>
        <v>0</v>
      </c>
      <c r="O5033">
        <f t="shared" si="473"/>
        <v>0</v>
      </c>
      <c r="P5033">
        <f t="shared" si="470"/>
        <v>5800</v>
      </c>
      <c r="Q5033">
        <f t="shared" si="474"/>
        <v>5800</v>
      </c>
      <c r="T5033" s="16">
        <f t="shared" si="475"/>
        <v>1.5488909894803948</v>
      </c>
    </row>
    <row r="5034" spans="7:20" ht="14.4" x14ac:dyDescent="0.25">
      <c r="G5034" s="10">
        <v>2965</v>
      </c>
      <c r="H5034" s="9">
        <v>21442</v>
      </c>
      <c r="I5034" s="14">
        <f>DATE(2012,12,31)-1102</f>
        <v>40172</v>
      </c>
      <c r="J5034" s="15" t="s">
        <v>25</v>
      </c>
      <c r="K5034" s="9">
        <v>48</v>
      </c>
      <c r="L5034" s="16" t="s">
        <v>26</v>
      </c>
      <c r="M5034" s="16">
        <f t="shared" si="471"/>
        <v>1.5488909894803951</v>
      </c>
      <c r="N5034">
        <f t="shared" si="472"/>
        <v>0</v>
      </c>
      <c r="O5034">
        <f t="shared" si="473"/>
        <v>0</v>
      </c>
      <c r="P5034">
        <f t="shared" si="470"/>
        <v>5800</v>
      </c>
      <c r="Q5034">
        <f t="shared" si="474"/>
        <v>5800</v>
      </c>
      <c r="T5034" s="16">
        <f t="shared" si="475"/>
        <v>1.5488909894803948</v>
      </c>
    </row>
    <row r="5035" spans="7:20" ht="14.4" x14ac:dyDescent="0.25">
      <c r="G5035" s="10">
        <v>2966</v>
      </c>
      <c r="H5035" s="9">
        <v>21444</v>
      </c>
      <c r="I5035" s="14">
        <f>DATE(2012,12,31)-626</f>
        <v>40648</v>
      </c>
      <c r="J5035" s="15" t="s">
        <v>16</v>
      </c>
      <c r="K5035" s="9">
        <v>17</v>
      </c>
      <c r="L5035" s="16" t="s">
        <v>26</v>
      </c>
      <c r="M5035" s="16">
        <f t="shared" si="471"/>
        <v>-0.59196208571546938</v>
      </c>
      <c r="N5035">
        <f t="shared" si="472"/>
        <v>0</v>
      </c>
      <c r="O5035">
        <f t="shared" si="473"/>
        <v>0</v>
      </c>
      <c r="P5035">
        <f t="shared" si="470"/>
        <v>4250</v>
      </c>
      <c r="Q5035">
        <f t="shared" si="474"/>
        <v>4250</v>
      </c>
      <c r="T5035" s="16">
        <f t="shared" si="475"/>
        <v>-0.59196208571546971</v>
      </c>
    </row>
    <row r="5036" spans="7:20" ht="14.4" x14ac:dyDescent="0.25">
      <c r="G5036" s="10">
        <v>3046</v>
      </c>
      <c r="H5036" s="9">
        <v>21861</v>
      </c>
      <c r="I5036" s="14">
        <f>DATE(2012,12,31)-1231</f>
        <v>40043</v>
      </c>
      <c r="J5036" s="15" t="s">
        <v>30</v>
      </c>
      <c r="K5036" s="9">
        <v>5</v>
      </c>
      <c r="L5036" s="16" t="s">
        <v>27</v>
      </c>
      <c r="M5036" s="16">
        <f t="shared" si="471"/>
        <v>-1.4206794051461267</v>
      </c>
      <c r="N5036">
        <f t="shared" si="472"/>
        <v>0</v>
      </c>
      <c r="O5036">
        <f t="shared" si="473"/>
        <v>0</v>
      </c>
      <c r="P5036">
        <f t="shared" si="470"/>
        <v>3650</v>
      </c>
      <c r="Q5036">
        <f t="shared" si="474"/>
        <v>3650</v>
      </c>
      <c r="T5036" s="16">
        <f t="shared" si="475"/>
        <v>-1.4206794051461269</v>
      </c>
    </row>
    <row r="5037" spans="7:20" ht="14.4" x14ac:dyDescent="0.25">
      <c r="G5037" s="10">
        <v>3064</v>
      </c>
      <c r="H5037" s="9">
        <v>21956</v>
      </c>
      <c r="I5037" s="14">
        <f>DATE(2012,12,31)-699</f>
        <v>40575</v>
      </c>
      <c r="J5037" s="15" t="s">
        <v>17</v>
      </c>
      <c r="K5037" s="9">
        <v>2</v>
      </c>
      <c r="L5037" s="16" t="s">
        <v>27</v>
      </c>
      <c r="M5037" s="16">
        <f t="shared" si="471"/>
        <v>-1.627858735003791</v>
      </c>
      <c r="N5037">
        <f t="shared" si="472"/>
        <v>0</v>
      </c>
      <c r="O5037">
        <f t="shared" si="473"/>
        <v>0</v>
      </c>
      <c r="P5037">
        <f t="shared" si="470"/>
        <v>3500</v>
      </c>
      <c r="Q5037">
        <f t="shared" si="474"/>
        <v>3500</v>
      </c>
      <c r="T5037" s="16">
        <f t="shared" si="475"/>
        <v>-1.6278587350037912</v>
      </c>
    </row>
    <row r="5038" spans="7:20" ht="14.4" x14ac:dyDescent="0.25">
      <c r="G5038" s="10">
        <v>3073</v>
      </c>
      <c r="H5038" s="9">
        <v>22051</v>
      </c>
      <c r="I5038" s="14">
        <f>DATE(2012,12,31)-367</f>
        <v>40907</v>
      </c>
      <c r="J5038" s="15" t="s">
        <v>28</v>
      </c>
      <c r="K5038" s="9">
        <v>39</v>
      </c>
      <c r="L5038" s="16" t="s">
        <v>26</v>
      </c>
      <c r="M5038" s="16">
        <f t="shared" si="471"/>
        <v>0.92735299990740228</v>
      </c>
      <c r="N5038">
        <f t="shared" si="472"/>
        <v>0</v>
      </c>
      <c r="O5038">
        <f t="shared" si="473"/>
        <v>0</v>
      </c>
      <c r="P5038">
        <f t="shared" si="470"/>
        <v>5350</v>
      </c>
      <c r="Q5038">
        <f t="shared" si="474"/>
        <v>5350</v>
      </c>
      <c r="T5038" s="16">
        <f t="shared" si="475"/>
        <v>0.92735299990740183</v>
      </c>
    </row>
    <row r="5039" spans="7:20" ht="14.4" x14ac:dyDescent="0.25">
      <c r="G5039" s="10">
        <v>3078</v>
      </c>
      <c r="H5039" s="9">
        <v>22085</v>
      </c>
      <c r="I5039" s="14">
        <f>DATE(2012,12,31)-297</f>
        <v>40977</v>
      </c>
      <c r="J5039" s="15" t="s">
        <v>25</v>
      </c>
      <c r="K5039" s="9">
        <v>41</v>
      </c>
      <c r="L5039" s="16" t="s">
        <v>26</v>
      </c>
      <c r="M5039" s="16">
        <f t="shared" si="471"/>
        <v>1.0654725531458451</v>
      </c>
      <c r="N5039">
        <f t="shared" si="472"/>
        <v>0</v>
      </c>
      <c r="O5039">
        <f t="shared" si="473"/>
        <v>0</v>
      </c>
      <c r="P5039">
        <f t="shared" si="470"/>
        <v>5450</v>
      </c>
      <c r="Q5039">
        <f t="shared" si="474"/>
        <v>5450</v>
      </c>
      <c r="T5039" s="16">
        <f t="shared" si="475"/>
        <v>1.0654725531458447</v>
      </c>
    </row>
    <row r="5040" spans="7:20" ht="14.4" x14ac:dyDescent="0.25">
      <c r="G5040" s="10">
        <v>3079</v>
      </c>
      <c r="H5040" s="9">
        <v>22085</v>
      </c>
      <c r="I5040" s="14">
        <f>DATE(2012,12,31)-297</f>
        <v>40977</v>
      </c>
      <c r="J5040" s="15" t="s">
        <v>25</v>
      </c>
      <c r="K5040" s="9">
        <v>27</v>
      </c>
      <c r="L5040" s="16" t="s">
        <v>26</v>
      </c>
      <c r="M5040" s="16">
        <f t="shared" si="471"/>
        <v>9.8635680476745008E-2</v>
      </c>
      <c r="N5040">
        <f t="shared" si="472"/>
        <v>0</v>
      </c>
      <c r="O5040">
        <f t="shared" si="473"/>
        <v>0</v>
      </c>
      <c r="P5040">
        <f t="shared" si="470"/>
        <v>4750</v>
      </c>
      <c r="Q5040">
        <f t="shared" si="474"/>
        <v>4750</v>
      </c>
      <c r="T5040" s="16">
        <f t="shared" si="475"/>
        <v>9.8635680476744619E-2</v>
      </c>
    </row>
    <row r="5041" spans="7:20" ht="14.4" x14ac:dyDescent="0.25">
      <c r="G5041" s="10">
        <v>3080</v>
      </c>
      <c r="H5041" s="9">
        <v>22086</v>
      </c>
      <c r="I5041" s="14">
        <f>DATE(2012,12,31)-382</f>
        <v>40892</v>
      </c>
      <c r="J5041" s="15" t="s">
        <v>16</v>
      </c>
      <c r="K5041" s="9">
        <v>21</v>
      </c>
      <c r="L5041" s="16" t="s">
        <v>29</v>
      </c>
      <c r="M5041" s="16">
        <f t="shared" si="471"/>
        <v>-0.31572297923858361</v>
      </c>
      <c r="N5041">
        <f t="shared" si="472"/>
        <v>0</v>
      </c>
      <c r="O5041">
        <f t="shared" si="473"/>
        <v>0</v>
      </c>
      <c r="P5041">
        <f t="shared" si="470"/>
        <v>4450</v>
      </c>
      <c r="Q5041">
        <f t="shared" si="474"/>
        <v>4450</v>
      </c>
      <c r="T5041" s="16">
        <f t="shared" si="475"/>
        <v>-0.315722979238584</v>
      </c>
    </row>
    <row r="5042" spans="7:20" ht="14.4" x14ac:dyDescent="0.25">
      <c r="G5042" s="10">
        <v>3084</v>
      </c>
      <c r="H5042" s="9">
        <v>22118</v>
      </c>
      <c r="I5042" s="14">
        <f>DATE(2012,12,31)-1443</f>
        <v>39831</v>
      </c>
      <c r="J5042" s="15" t="s">
        <v>17</v>
      </c>
      <c r="K5042" s="9">
        <v>50</v>
      </c>
      <c r="L5042" s="16" t="s">
        <v>26</v>
      </c>
      <c r="M5042" s="16">
        <f t="shared" si="471"/>
        <v>1.687010542718838</v>
      </c>
      <c r="N5042">
        <f t="shared" si="472"/>
        <v>0</v>
      </c>
      <c r="O5042">
        <f t="shared" si="473"/>
        <v>0</v>
      </c>
      <c r="P5042">
        <f t="shared" si="470"/>
        <v>5900</v>
      </c>
      <c r="Q5042">
        <f t="shared" si="474"/>
        <v>5900</v>
      </c>
      <c r="T5042" s="16">
        <f t="shared" si="475"/>
        <v>1.6870105427188375</v>
      </c>
    </row>
    <row r="5043" spans="7:20" ht="14.4" x14ac:dyDescent="0.25">
      <c r="G5043" s="10">
        <v>3107</v>
      </c>
      <c r="H5043" s="9">
        <v>22304</v>
      </c>
      <c r="I5043" s="14">
        <f>DATE(2012,12,31)-402</f>
        <v>40872</v>
      </c>
      <c r="J5043" s="15" t="s">
        <v>25</v>
      </c>
      <c r="K5043" s="9">
        <v>24</v>
      </c>
      <c r="L5043" s="16" t="s">
        <v>26</v>
      </c>
      <c r="M5043" s="16">
        <f t="shared" si="471"/>
        <v>-0.1085436493809193</v>
      </c>
      <c r="N5043">
        <f t="shared" si="472"/>
        <v>0</v>
      </c>
      <c r="O5043">
        <f t="shared" si="473"/>
        <v>0</v>
      </c>
      <c r="P5043">
        <f t="shared" si="470"/>
        <v>4600</v>
      </c>
      <c r="Q5043">
        <f t="shared" si="474"/>
        <v>4600</v>
      </c>
      <c r="T5043" s="16">
        <f t="shared" si="475"/>
        <v>-0.10854364938091969</v>
      </c>
    </row>
    <row r="5044" spans="7:20" ht="14.4" x14ac:dyDescent="0.25">
      <c r="G5044" s="10">
        <v>3199</v>
      </c>
      <c r="H5044" s="9">
        <v>22919</v>
      </c>
      <c r="I5044" s="14">
        <f>DATE(2012,12,31)-1263</f>
        <v>40011</v>
      </c>
      <c r="J5044" s="15" t="s">
        <v>30</v>
      </c>
      <c r="K5044" s="9">
        <v>21</v>
      </c>
      <c r="L5044" s="16" t="s">
        <v>26</v>
      </c>
      <c r="M5044" s="16">
        <f t="shared" si="471"/>
        <v>-0.31572297923858361</v>
      </c>
      <c r="N5044">
        <f t="shared" si="472"/>
        <v>0</v>
      </c>
      <c r="O5044">
        <f t="shared" si="473"/>
        <v>0</v>
      </c>
      <c r="P5044">
        <f t="shared" si="470"/>
        <v>4450</v>
      </c>
      <c r="Q5044">
        <f t="shared" si="474"/>
        <v>4450</v>
      </c>
      <c r="T5044" s="16">
        <f t="shared" si="475"/>
        <v>-0.315722979238584</v>
      </c>
    </row>
    <row r="5045" spans="7:20" ht="14.4" x14ac:dyDescent="0.25">
      <c r="G5045" s="10">
        <v>3209</v>
      </c>
      <c r="H5045" s="9">
        <v>23041</v>
      </c>
      <c r="I5045" s="14">
        <f>DATE(2012,12,31)-895</f>
        <v>40379</v>
      </c>
      <c r="J5045" s="15" t="s">
        <v>25</v>
      </c>
      <c r="K5045" s="9">
        <v>21</v>
      </c>
      <c r="L5045" s="16" t="s">
        <v>26</v>
      </c>
      <c r="M5045" s="16">
        <f t="shared" si="471"/>
        <v>-0.31572297923858361</v>
      </c>
      <c r="N5045">
        <f t="shared" si="472"/>
        <v>0</v>
      </c>
      <c r="O5045">
        <f t="shared" si="473"/>
        <v>0</v>
      </c>
      <c r="P5045">
        <f t="shared" si="470"/>
        <v>4450</v>
      </c>
      <c r="Q5045">
        <f t="shared" si="474"/>
        <v>4450</v>
      </c>
      <c r="T5045" s="16">
        <f t="shared" si="475"/>
        <v>-0.315722979238584</v>
      </c>
    </row>
    <row r="5046" spans="7:20" ht="14.4" x14ac:dyDescent="0.25">
      <c r="G5046" s="10">
        <v>3210</v>
      </c>
      <c r="H5046" s="9">
        <v>23041</v>
      </c>
      <c r="I5046" s="14">
        <f>DATE(2012,12,31)-895</f>
        <v>40379</v>
      </c>
      <c r="J5046" s="15" t="s">
        <v>25</v>
      </c>
      <c r="K5046" s="9">
        <v>5</v>
      </c>
      <c r="L5046" s="16" t="s">
        <v>26</v>
      </c>
      <c r="M5046" s="16">
        <f t="shared" si="471"/>
        <v>-1.4206794051461267</v>
      </c>
      <c r="N5046">
        <f t="shared" si="472"/>
        <v>0</v>
      </c>
      <c r="O5046">
        <f t="shared" si="473"/>
        <v>0</v>
      </c>
      <c r="P5046">
        <f t="shared" si="470"/>
        <v>3650</v>
      </c>
      <c r="Q5046">
        <f t="shared" si="474"/>
        <v>3650</v>
      </c>
      <c r="T5046" s="16">
        <f t="shared" si="475"/>
        <v>-1.4206794051461269</v>
      </c>
    </row>
    <row r="5047" spans="7:20" ht="14.4" x14ac:dyDescent="0.25">
      <c r="G5047" s="10">
        <v>3211</v>
      </c>
      <c r="H5047" s="9">
        <v>23041</v>
      </c>
      <c r="I5047" s="14">
        <f>DATE(2012,12,31)-895</f>
        <v>40379</v>
      </c>
      <c r="J5047" s="15" t="s">
        <v>25</v>
      </c>
      <c r="K5047" s="9">
        <v>10</v>
      </c>
      <c r="L5047" s="16" t="s">
        <v>29</v>
      </c>
      <c r="M5047" s="16">
        <f t="shared" si="471"/>
        <v>-1.0753805220500194</v>
      </c>
      <c r="N5047">
        <f t="shared" si="472"/>
        <v>0</v>
      </c>
      <c r="O5047">
        <f t="shared" si="473"/>
        <v>0</v>
      </c>
      <c r="P5047">
        <f t="shared" si="470"/>
        <v>3900</v>
      </c>
      <c r="Q5047">
        <f t="shared" si="474"/>
        <v>3900</v>
      </c>
      <c r="T5047" s="16">
        <f t="shared" si="475"/>
        <v>-1.0753805220500199</v>
      </c>
    </row>
    <row r="5048" spans="7:20" ht="14.4" x14ac:dyDescent="0.25">
      <c r="G5048" s="10">
        <v>3239</v>
      </c>
      <c r="H5048" s="9">
        <v>23232</v>
      </c>
      <c r="I5048" s="14">
        <f>DATE(2012,12,31)-990</f>
        <v>40284</v>
      </c>
      <c r="J5048" s="15" t="s">
        <v>17</v>
      </c>
      <c r="K5048" s="9">
        <v>15</v>
      </c>
      <c r="L5048" s="16" t="s">
        <v>27</v>
      </c>
      <c r="M5048" s="16">
        <f t="shared" si="471"/>
        <v>-0.7300816389539122</v>
      </c>
      <c r="N5048">
        <f t="shared" si="472"/>
        <v>0</v>
      </c>
      <c r="O5048">
        <f t="shared" si="473"/>
        <v>0</v>
      </c>
      <c r="P5048">
        <f t="shared" si="470"/>
        <v>4150</v>
      </c>
      <c r="Q5048">
        <f t="shared" si="474"/>
        <v>4150</v>
      </c>
      <c r="T5048" s="16">
        <f t="shared" si="475"/>
        <v>-0.73008163895391265</v>
      </c>
    </row>
    <row r="5049" spans="7:20" ht="14.4" x14ac:dyDescent="0.25">
      <c r="G5049" s="10">
        <v>3240</v>
      </c>
      <c r="H5049" s="9">
        <v>23232</v>
      </c>
      <c r="I5049" s="14">
        <f>DATE(2012,12,31)-990</f>
        <v>40284</v>
      </c>
      <c r="J5049" s="15" t="s">
        <v>17</v>
      </c>
      <c r="K5049" s="9">
        <v>31</v>
      </c>
      <c r="L5049" s="16" t="s">
        <v>26</v>
      </c>
      <c r="M5049" s="16">
        <f t="shared" si="471"/>
        <v>0.37487478695363075</v>
      </c>
      <c r="N5049">
        <f t="shared" si="472"/>
        <v>0</v>
      </c>
      <c r="O5049">
        <f t="shared" si="473"/>
        <v>0</v>
      </c>
      <c r="P5049">
        <f t="shared" si="470"/>
        <v>4950</v>
      </c>
      <c r="Q5049">
        <f t="shared" si="474"/>
        <v>4950</v>
      </c>
      <c r="T5049" s="16">
        <f t="shared" si="475"/>
        <v>0.37487478695363036</v>
      </c>
    </row>
    <row r="5050" spans="7:20" ht="14.4" x14ac:dyDescent="0.25">
      <c r="G5050" s="10">
        <v>3241</v>
      </c>
      <c r="H5050" s="9">
        <v>23232</v>
      </c>
      <c r="I5050" s="14">
        <f>DATE(2012,12,31)-990</f>
        <v>40284</v>
      </c>
      <c r="J5050" s="15" t="s">
        <v>17</v>
      </c>
      <c r="K5050" s="9">
        <v>20</v>
      </c>
      <c r="L5050" s="16" t="s">
        <v>26</v>
      </c>
      <c r="M5050" s="16">
        <f t="shared" si="471"/>
        <v>-0.38478275585780503</v>
      </c>
      <c r="N5050">
        <f t="shared" si="472"/>
        <v>0</v>
      </c>
      <c r="O5050">
        <f t="shared" si="473"/>
        <v>0</v>
      </c>
      <c r="P5050">
        <f t="shared" si="470"/>
        <v>4400</v>
      </c>
      <c r="Q5050">
        <f t="shared" si="474"/>
        <v>4400</v>
      </c>
      <c r="T5050" s="16">
        <f t="shared" si="475"/>
        <v>-0.38478275585780541</v>
      </c>
    </row>
    <row r="5051" spans="7:20" ht="14.4" x14ac:dyDescent="0.25">
      <c r="G5051" s="10">
        <v>3248</v>
      </c>
      <c r="H5051" s="9">
        <v>23270</v>
      </c>
      <c r="I5051" s="14">
        <f>DATE(2012,12,31)-659</f>
        <v>40615</v>
      </c>
      <c r="J5051" s="15" t="s">
        <v>25</v>
      </c>
      <c r="K5051" s="9">
        <v>20</v>
      </c>
      <c r="L5051" s="16" t="s">
        <v>26</v>
      </c>
      <c r="M5051" s="16">
        <f t="shared" si="471"/>
        <v>-0.38478275585780503</v>
      </c>
      <c r="N5051">
        <f t="shared" si="472"/>
        <v>0</v>
      </c>
      <c r="O5051">
        <f t="shared" si="473"/>
        <v>0</v>
      </c>
      <c r="P5051">
        <f t="shared" si="470"/>
        <v>4400</v>
      </c>
      <c r="Q5051">
        <f t="shared" si="474"/>
        <v>4400</v>
      </c>
      <c r="T5051" s="16">
        <f t="shared" si="475"/>
        <v>-0.38478275585780541</v>
      </c>
    </row>
    <row r="5052" spans="7:20" ht="14.4" x14ac:dyDescent="0.25">
      <c r="G5052" s="10">
        <v>3249</v>
      </c>
      <c r="H5052" s="9">
        <v>23270</v>
      </c>
      <c r="I5052" s="14">
        <f>DATE(2012,12,31)-659</f>
        <v>40615</v>
      </c>
      <c r="J5052" s="15" t="s">
        <v>25</v>
      </c>
      <c r="K5052" s="9">
        <v>42</v>
      </c>
      <c r="L5052" s="16" t="s">
        <v>27</v>
      </c>
      <c r="M5052" s="16">
        <f t="shared" si="471"/>
        <v>1.1345323297650665</v>
      </c>
      <c r="N5052">
        <f t="shared" si="472"/>
        <v>0</v>
      </c>
      <c r="O5052">
        <f t="shared" si="473"/>
        <v>0</v>
      </c>
      <c r="P5052">
        <f t="shared" si="470"/>
        <v>5500</v>
      </c>
      <c r="Q5052">
        <f t="shared" si="474"/>
        <v>5500</v>
      </c>
      <c r="T5052" s="16">
        <f t="shared" si="475"/>
        <v>1.1345323297650662</v>
      </c>
    </row>
    <row r="5053" spans="7:20" ht="14.4" x14ac:dyDescent="0.25">
      <c r="G5053" s="10">
        <v>3305</v>
      </c>
      <c r="H5053" s="9">
        <v>23618</v>
      </c>
      <c r="I5053" s="14">
        <f>DATE(2012,12,31)-34</f>
        <v>41240</v>
      </c>
      <c r="J5053" s="15" t="s">
        <v>16</v>
      </c>
      <c r="K5053" s="9">
        <v>45</v>
      </c>
      <c r="L5053" s="16" t="s">
        <v>27</v>
      </c>
      <c r="M5053" s="16">
        <f t="shared" si="471"/>
        <v>1.3417116596227308</v>
      </c>
      <c r="N5053">
        <f t="shared" si="472"/>
        <v>0</v>
      </c>
      <c r="O5053">
        <f t="shared" si="473"/>
        <v>0</v>
      </c>
      <c r="P5053">
        <f t="shared" si="470"/>
        <v>5650</v>
      </c>
      <c r="Q5053">
        <f t="shared" si="474"/>
        <v>5650</v>
      </c>
      <c r="T5053" s="16">
        <f t="shared" si="475"/>
        <v>1.3417116596227305</v>
      </c>
    </row>
    <row r="5054" spans="7:20" ht="14.4" x14ac:dyDescent="0.25">
      <c r="G5054" s="10">
        <v>3358</v>
      </c>
      <c r="H5054" s="9">
        <v>24033</v>
      </c>
      <c r="I5054" s="14">
        <f>DATE(2012,12,31)-729</f>
        <v>40545</v>
      </c>
      <c r="J5054" s="15" t="s">
        <v>17</v>
      </c>
      <c r="K5054" s="9">
        <v>50</v>
      </c>
      <c r="L5054" s="16" t="s">
        <v>29</v>
      </c>
      <c r="M5054" s="16">
        <f t="shared" si="471"/>
        <v>1.687010542718838</v>
      </c>
      <c r="N5054">
        <f t="shared" si="472"/>
        <v>0</v>
      </c>
      <c r="O5054">
        <f t="shared" si="473"/>
        <v>0</v>
      </c>
      <c r="P5054">
        <f t="shared" si="470"/>
        <v>5900</v>
      </c>
      <c r="Q5054">
        <f t="shared" si="474"/>
        <v>5900</v>
      </c>
      <c r="T5054" s="16">
        <f t="shared" si="475"/>
        <v>1.6870105427188375</v>
      </c>
    </row>
    <row r="5055" spans="7:20" ht="14.4" x14ac:dyDescent="0.25">
      <c r="G5055" s="10">
        <v>3363</v>
      </c>
      <c r="H5055" s="9">
        <v>24066</v>
      </c>
      <c r="I5055" s="14">
        <f>DATE(2012,12,31)-262</f>
        <v>41012</v>
      </c>
      <c r="J5055" s="15" t="s">
        <v>17</v>
      </c>
      <c r="K5055" s="9">
        <v>30</v>
      </c>
      <c r="L5055" s="16" t="s">
        <v>29</v>
      </c>
      <c r="M5055" s="16">
        <f t="shared" si="471"/>
        <v>0.30581501033440933</v>
      </c>
      <c r="N5055">
        <f t="shared" si="472"/>
        <v>0</v>
      </c>
      <c r="O5055">
        <f t="shared" si="473"/>
        <v>0</v>
      </c>
      <c r="P5055">
        <f t="shared" si="470"/>
        <v>4900</v>
      </c>
      <c r="Q5055">
        <f t="shared" si="474"/>
        <v>4900</v>
      </c>
      <c r="T5055" s="16">
        <f t="shared" si="475"/>
        <v>0.30581501033440894</v>
      </c>
    </row>
    <row r="5056" spans="7:20" ht="14.4" x14ac:dyDescent="0.25">
      <c r="G5056" s="10">
        <v>3390</v>
      </c>
      <c r="H5056" s="9">
        <v>24162</v>
      </c>
      <c r="I5056" s="14">
        <f>DATE(2012,12,31)-1227</f>
        <v>40047</v>
      </c>
      <c r="J5056" s="15" t="s">
        <v>28</v>
      </c>
      <c r="K5056" s="9">
        <v>1</v>
      </c>
      <c r="L5056" s="16" t="s">
        <v>26</v>
      </c>
      <c r="M5056" s="16">
        <f t="shared" si="471"/>
        <v>-1.6969185116230123</v>
      </c>
      <c r="N5056">
        <f t="shared" si="472"/>
        <v>0</v>
      </c>
      <c r="O5056">
        <f t="shared" si="473"/>
        <v>0</v>
      </c>
      <c r="P5056">
        <f t="shared" si="470"/>
        <v>3450</v>
      </c>
      <c r="Q5056">
        <f t="shared" si="474"/>
        <v>3450</v>
      </c>
      <c r="T5056" s="16">
        <f t="shared" si="475"/>
        <v>-1.6969185116230128</v>
      </c>
    </row>
    <row r="5057" spans="7:20" ht="14.4" x14ac:dyDescent="0.25">
      <c r="G5057" s="10">
        <v>3391</v>
      </c>
      <c r="H5057" s="9">
        <v>24162</v>
      </c>
      <c r="I5057" s="14">
        <f>DATE(2012,12,31)-1227</f>
        <v>40047</v>
      </c>
      <c r="J5057" s="15" t="s">
        <v>28</v>
      </c>
      <c r="K5057" s="9">
        <v>12</v>
      </c>
      <c r="L5057" s="16" t="s">
        <v>29</v>
      </c>
      <c r="M5057" s="16">
        <f t="shared" si="471"/>
        <v>-0.9372609688115765</v>
      </c>
      <c r="N5057">
        <f t="shared" si="472"/>
        <v>0</v>
      </c>
      <c r="O5057">
        <f t="shared" si="473"/>
        <v>0</v>
      </c>
      <c r="P5057">
        <f t="shared" si="470"/>
        <v>4000</v>
      </c>
      <c r="Q5057">
        <f t="shared" si="474"/>
        <v>4000</v>
      </c>
      <c r="T5057" s="16">
        <f t="shared" si="475"/>
        <v>-0.93726096881157694</v>
      </c>
    </row>
    <row r="5058" spans="7:20" ht="14.4" x14ac:dyDescent="0.25">
      <c r="G5058" s="10">
        <v>3412</v>
      </c>
      <c r="H5058" s="9">
        <v>24384</v>
      </c>
      <c r="I5058" s="14">
        <f>DATE(2012,12,31)-646</f>
        <v>40628</v>
      </c>
      <c r="J5058" s="15" t="s">
        <v>16</v>
      </c>
      <c r="K5058" s="9">
        <v>44</v>
      </c>
      <c r="L5058" s="16" t="s">
        <v>26</v>
      </c>
      <c r="M5058" s="16">
        <f t="shared" si="471"/>
        <v>1.2726518830035094</v>
      </c>
      <c r="N5058">
        <f t="shared" si="472"/>
        <v>0</v>
      </c>
      <c r="O5058">
        <f t="shared" si="473"/>
        <v>0</v>
      </c>
      <c r="P5058">
        <f t="shared" si="470"/>
        <v>5600</v>
      </c>
      <c r="Q5058">
        <f t="shared" si="474"/>
        <v>5600</v>
      </c>
      <c r="T5058" s="16">
        <f t="shared" si="475"/>
        <v>1.272651883003509</v>
      </c>
    </row>
    <row r="5059" spans="7:20" ht="14.4" x14ac:dyDescent="0.25">
      <c r="G5059" s="10">
        <v>3413</v>
      </c>
      <c r="H5059" s="9">
        <v>24384</v>
      </c>
      <c r="I5059" s="14">
        <f>DATE(2012,12,31)-646</f>
        <v>40628</v>
      </c>
      <c r="J5059" s="15" t="s">
        <v>16</v>
      </c>
      <c r="K5059" s="9">
        <v>21</v>
      </c>
      <c r="L5059" s="16" t="s">
        <v>26</v>
      </c>
      <c r="M5059" s="16">
        <f t="shared" si="471"/>
        <v>-0.31572297923858361</v>
      </c>
      <c r="N5059">
        <f t="shared" si="472"/>
        <v>0</v>
      </c>
      <c r="O5059">
        <f t="shared" si="473"/>
        <v>0</v>
      </c>
      <c r="P5059">
        <f t="shared" si="470"/>
        <v>4450</v>
      </c>
      <c r="Q5059">
        <f t="shared" si="474"/>
        <v>4450</v>
      </c>
      <c r="T5059" s="16">
        <f t="shared" si="475"/>
        <v>-0.315722979238584</v>
      </c>
    </row>
    <row r="5060" spans="7:20" ht="14.4" x14ac:dyDescent="0.25">
      <c r="G5060" s="10">
        <v>3414</v>
      </c>
      <c r="H5060" s="9">
        <v>24384</v>
      </c>
      <c r="I5060" s="14">
        <f>DATE(2012,12,31)-646</f>
        <v>40628</v>
      </c>
      <c r="J5060" s="15" t="s">
        <v>16</v>
      </c>
      <c r="K5060" s="9">
        <v>20</v>
      </c>
      <c r="L5060" s="16" t="s">
        <v>27</v>
      </c>
      <c r="M5060" s="16">
        <f t="shared" si="471"/>
        <v>-0.38478275585780503</v>
      </c>
      <c r="N5060">
        <f t="shared" si="472"/>
        <v>0</v>
      </c>
      <c r="O5060">
        <f t="shared" si="473"/>
        <v>0</v>
      </c>
      <c r="P5060">
        <f t="shared" si="470"/>
        <v>4400</v>
      </c>
      <c r="Q5060">
        <f t="shared" si="474"/>
        <v>4400</v>
      </c>
      <c r="T5060" s="16">
        <f t="shared" si="475"/>
        <v>-0.38478275585780541</v>
      </c>
    </row>
    <row r="5061" spans="7:20" ht="14.4" x14ac:dyDescent="0.25">
      <c r="G5061" s="10">
        <v>3424</v>
      </c>
      <c r="H5061" s="9">
        <v>24448</v>
      </c>
      <c r="I5061" s="14">
        <f>DATE(2012,12,31)-329</f>
        <v>40945</v>
      </c>
      <c r="J5061" s="15" t="s">
        <v>17</v>
      </c>
      <c r="K5061" s="9">
        <v>46</v>
      </c>
      <c r="L5061" s="16" t="s">
        <v>29</v>
      </c>
      <c r="M5061" s="16">
        <f t="shared" si="471"/>
        <v>1.4107714362419523</v>
      </c>
      <c r="N5061">
        <f t="shared" si="472"/>
        <v>0</v>
      </c>
      <c r="O5061">
        <f t="shared" si="473"/>
        <v>0</v>
      </c>
      <c r="P5061">
        <f t="shared" si="470"/>
        <v>5700</v>
      </c>
      <c r="Q5061">
        <f t="shared" si="474"/>
        <v>5700</v>
      </c>
      <c r="T5061" s="16">
        <f t="shared" si="475"/>
        <v>1.4107714362419519</v>
      </c>
    </row>
    <row r="5062" spans="7:20" ht="14.4" x14ac:dyDescent="0.25">
      <c r="G5062" s="10">
        <v>3429</v>
      </c>
      <c r="H5062" s="9">
        <v>24452</v>
      </c>
      <c r="I5062" s="14">
        <f>DATE(2012,12,31)-1334</f>
        <v>39940</v>
      </c>
      <c r="J5062" s="15" t="s">
        <v>17</v>
      </c>
      <c r="K5062" s="9">
        <v>18</v>
      </c>
      <c r="L5062" s="16" t="s">
        <v>26</v>
      </c>
      <c r="M5062" s="16">
        <f t="shared" si="471"/>
        <v>-0.52290230909624791</v>
      </c>
      <c r="N5062">
        <f t="shared" si="472"/>
        <v>0</v>
      </c>
      <c r="O5062">
        <f t="shared" si="473"/>
        <v>0</v>
      </c>
      <c r="P5062">
        <f t="shared" si="470"/>
        <v>4300</v>
      </c>
      <c r="Q5062">
        <f t="shared" si="474"/>
        <v>4300</v>
      </c>
      <c r="T5062" s="16">
        <f t="shared" si="475"/>
        <v>-0.52290230909624835</v>
      </c>
    </row>
    <row r="5063" spans="7:20" ht="14.4" x14ac:dyDescent="0.25">
      <c r="G5063" s="10">
        <v>3436</v>
      </c>
      <c r="H5063" s="9">
        <v>24544</v>
      </c>
      <c r="I5063" s="14">
        <f>DATE(2012,12,31)-1435</f>
        <v>39839</v>
      </c>
      <c r="J5063" s="15" t="s">
        <v>17</v>
      </c>
      <c r="K5063" s="9">
        <v>31</v>
      </c>
      <c r="L5063" s="16" t="s">
        <v>27</v>
      </c>
      <c r="M5063" s="16">
        <f t="shared" si="471"/>
        <v>0.37487478695363075</v>
      </c>
      <c r="N5063">
        <f t="shared" si="472"/>
        <v>0</v>
      </c>
      <c r="O5063">
        <f t="shared" si="473"/>
        <v>0</v>
      </c>
      <c r="P5063">
        <f t="shared" si="470"/>
        <v>4950</v>
      </c>
      <c r="Q5063">
        <f t="shared" si="474"/>
        <v>4950</v>
      </c>
      <c r="T5063" s="16">
        <f t="shared" si="475"/>
        <v>0.37487478695363036</v>
      </c>
    </row>
    <row r="5064" spans="7:20" ht="14.4" x14ac:dyDescent="0.25">
      <c r="G5064" s="10">
        <v>3437</v>
      </c>
      <c r="H5064" s="9">
        <v>24544</v>
      </c>
      <c r="I5064" s="14">
        <f>DATE(2012,12,31)-1435</f>
        <v>39839</v>
      </c>
      <c r="J5064" s="15" t="s">
        <v>17</v>
      </c>
      <c r="K5064" s="9">
        <v>15</v>
      </c>
      <c r="L5064" s="16" t="s">
        <v>29</v>
      </c>
      <c r="M5064" s="16">
        <f t="shared" si="471"/>
        <v>-0.7300816389539122</v>
      </c>
      <c r="N5064">
        <f t="shared" si="472"/>
        <v>0</v>
      </c>
      <c r="O5064">
        <f t="shared" si="473"/>
        <v>0</v>
      </c>
      <c r="P5064">
        <f t="shared" si="470"/>
        <v>4150</v>
      </c>
      <c r="Q5064">
        <f t="shared" si="474"/>
        <v>4150</v>
      </c>
      <c r="T5064" s="16">
        <f t="shared" si="475"/>
        <v>-0.73008163895391265</v>
      </c>
    </row>
    <row r="5065" spans="7:20" ht="14.4" x14ac:dyDescent="0.25">
      <c r="G5065" s="10">
        <v>3438</v>
      </c>
      <c r="H5065" s="9">
        <v>24544</v>
      </c>
      <c r="I5065" s="14">
        <f>DATE(2012,12,31)-1435</f>
        <v>39839</v>
      </c>
      <c r="J5065" s="15" t="s">
        <v>17</v>
      </c>
      <c r="K5065" s="9">
        <v>39</v>
      </c>
      <c r="L5065" s="16" t="s">
        <v>26</v>
      </c>
      <c r="M5065" s="16">
        <f t="shared" si="471"/>
        <v>0.92735299990740228</v>
      </c>
      <c r="N5065">
        <f t="shared" si="472"/>
        <v>0</v>
      </c>
      <c r="O5065">
        <f t="shared" si="473"/>
        <v>0</v>
      </c>
      <c r="P5065">
        <f t="shared" si="470"/>
        <v>5350</v>
      </c>
      <c r="Q5065">
        <f t="shared" si="474"/>
        <v>5350</v>
      </c>
      <c r="T5065" s="16">
        <f t="shared" si="475"/>
        <v>0.92735299990740183</v>
      </c>
    </row>
    <row r="5066" spans="7:20" ht="14.4" x14ac:dyDescent="0.25">
      <c r="G5066" s="10">
        <v>3489</v>
      </c>
      <c r="H5066" s="9">
        <v>24865</v>
      </c>
      <c r="I5066" s="14">
        <f>DATE(2012,12,31)-287</f>
        <v>40987</v>
      </c>
      <c r="J5066" s="15" t="s">
        <v>17</v>
      </c>
      <c r="K5066" s="9">
        <v>46</v>
      </c>
      <c r="L5066" s="16" t="s">
        <v>26</v>
      </c>
      <c r="M5066" s="16">
        <f t="shared" si="471"/>
        <v>1.4107714362419523</v>
      </c>
      <c r="N5066">
        <f t="shared" si="472"/>
        <v>0</v>
      </c>
      <c r="O5066">
        <f t="shared" si="473"/>
        <v>0</v>
      </c>
      <c r="P5066">
        <f t="shared" si="470"/>
        <v>5700</v>
      </c>
      <c r="Q5066">
        <f t="shared" si="474"/>
        <v>5700</v>
      </c>
      <c r="T5066" s="16">
        <f t="shared" si="475"/>
        <v>1.4107714362419519</v>
      </c>
    </row>
    <row r="5067" spans="7:20" ht="14.4" x14ac:dyDescent="0.25">
      <c r="G5067" s="10">
        <v>3495</v>
      </c>
      <c r="H5067" s="9">
        <v>24902</v>
      </c>
      <c r="I5067" s="14">
        <f>DATE(2012,12,31)-950</f>
        <v>40324</v>
      </c>
      <c r="J5067" s="15" t="s">
        <v>17</v>
      </c>
      <c r="K5067" s="9">
        <v>43</v>
      </c>
      <c r="L5067" s="16" t="s">
        <v>26</v>
      </c>
      <c r="M5067" s="16">
        <f t="shared" si="471"/>
        <v>1.203592106384288</v>
      </c>
      <c r="N5067">
        <f t="shared" si="472"/>
        <v>0</v>
      </c>
      <c r="O5067">
        <f t="shared" si="473"/>
        <v>0</v>
      </c>
      <c r="P5067">
        <f t="shared" si="470"/>
        <v>5550</v>
      </c>
      <c r="Q5067">
        <f t="shared" si="474"/>
        <v>5550</v>
      </c>
      <c r="T5067" s="16">
        <f t="shared" si="475"/>
        <v>1.2035921063842876</v>
      </c>
    </row>
    <row r="5068" spans="7:20" ht="14.4" x14ac:dyDescent="0.25">
      <c r="G5068" s="10">
        <v>3555</v>
      </c>
      <c r="H5068" s="9">
        <v>25348</v>
      </c>
      <c r="I5068" s="14">
        <f>DATE(2012,12,31)-236</f>
        <v>41038</v>
      </c>
      <c r="J5068" s="15" t="s">
        <v>30</v>
      </c>
      <c r="K5068" s="9">
        <v>6</v>
      </c>
      <c r="L5068" s="16" t="s">
        <v>26</v>
      </c>
      <c r="M5068" s="16">
        <f t="shared" si="471"/>
        <v>-1.3516196285269051</v>
      </c>
      <c r="N5068">
        <f t="shared" si="472"/>
        <v>0</v>
      </c>
      <c r="O5068">
        <f t="shared" si="473"/>
        <v>0</v>
      </c>
      <c r="P5068">
        <f t="shared" ref="P5068:P5131" si="476">50*K5068+$P$10</f>
        <v>3700</v>
      </c>
      <c r="Q5068">
        <f t="shared" si="474"/>
        <v>3700</v>
      </c>
      <c r="T5068" s="16">
        <f t="shared" si="475"/>
        <v>-1.3516196285269055</v>
      </c>
    </row>
    <row r="5069" spans="7:20" ht="14.4" x14ac:dyDescent="0.25">
      <c r="G5069" s="10">
        <v>3556</v>
      </c>
      <c r="H5069" s="9">
        <v>25348</v>
      </c>
      <c r="I5069" s="14">
        <f>DATE(2012,12,31)-236</f>
        <v>41038</v>
      </c>
      <c r="J5069" s="15" t="s">
        <v>30</v>
      </c>
      <c r="K5069" s="9">
        <v>7</v>
      </c>
      <c r="L5069" s="16" t="s">
        <v>27</v>
      </c>
      <c r="M5069" s="16">
        <f t="shared" ref="M5069:M5132" si="477">(K5069-$K$4)/$K$7</f>
        <v>-1.2825598519076837</v>
      </c>
      <c r="N5069">
        <f t="shared" ref="N5069:N5132" si="478">IF(MOD($B$20+G5069,1000)=0,1,0)</f>
        <v>0</v>
      </c>
      <c r="O5069">
        <f t="shared" ref="O5069:O5132" si="479">+ROUND(N5069*(IF(K5069&lt;$K$4,-4.5,10.5)*$P$5),-2)</f>
        <v>0</v>
      </c>
      <c r="P5069">
        <f t="shared" si="476"/>
        <v>3750</v>
      </c>
      <c r="Q5069">
        <f t="shared" ref="Q5069:Q5132" si="480">P5069+O5069</f>
        <v>3750</v>
      </c>
      <c r="T5069" s="16">
        <f t="shared" ref="T5069:T5132" si="481">(Q5069-$P$4)/$P$5</f>
        <v>-1.2825598519076842</v>
      </c>
    </row>
    <row r="5070" spans="7:20" ht="14.4" x14ac:dyDescent="0.25">
      <c r="G5070" s="10">
        <v>3557</v>
      </c>
      <c r="H5070" s="9">
        <v>25350</v>
      </c>
      <c r="I5070" s="14">
        <f>DATE(2012,12,31)-759</f>
        <v>40515</v>
      </c>
      <c r="J5070" s="15" t="s">
        <v>28</v>
      </c>
      <c r="K5070" s="9">
        <v>30</v>
      </c>
      <c r="L5070" s="16" t="s">
        <v>26</v>
      </c>
      <c r="M5070" s="16">
        <f t="shared" si="477"/>
        <v>0.30581501033440933</v>
      </c>
      <c r="N5070">
        <f t="shared" si="478"/>
        <v>0</v>
      </c>
      <c r="O5070">
        <f t="shared" si="479"/>
        <v>0</v>
      </c>
      <c r="P5070">
        <f t="shared" si="476"/>
        <v>4900</v>
      </c>
      <c r="Q5070">
        <f t="shared" si="480"/>
        <v>4900</v>
      </c>
      <c r="T5070" s="16">
        <f t="shared" si="481"/>
        <v>0.30581501033440894</v>
      </c>
    </row>
    <row r="5071" spans="7:20" ht="14.4" x14ac:dyDescent="0.25">
      <c r="G5071" s="10">
        <v>3558</v>
      </c>
      <c r="H5071" s="9">
        <v>25350</v>
      </c>
      <c r="I5071" s="14">
        <f>DATE(2012,12,31)-759</f>
        <v>40515</v>
      </c>
      <c r="J5071" s="15" t="s">
        <v>28</v>
      </c>
      <c r="K5071" s="9">
        <v>23</v>
      </c>
      <c r="L5071" s="16" t="s">
        <v>26</v>
      </c>
      <c r="M5071" s="16">
        <f t="shared" si="477"/>
        <v>-0.17760342600014073</v>
      </c>
      <c r="N5071">
        <f t="shared" si="478"/>
        <v>0</v>
      </c>
      <c r="O5071">
        <f t="shared" si="479"/>
        <v>0</v>
      </c>
      <c r="P5071">
        <f t="shared" si="476"/>
        <v>4550</v>
      </c>
      <c r="Q5071">
        <f t="shared" si="480"/>
        <v>4550</v>
      </c>
      <c r="T5071" s="16">
        <f t="shared" si="481"/>
        <v>-0.17760342600014112</v>
      </c>
    </row>
    <row r="5072" spans="7:20" ht="14.4" x14ac:dyDescent="0.25">
      <c r="G5072" s="10">
        <v>3582</v>
      </c>
      <c r="H5072" s="9">
        <v>25541</v>
      </c>
      <c r="I5072" s="14">
        <f>DATE(2012,12,31)-1448</f>
        <v>39826</v>
      </c>
      <c r="J5072" s="15" t="s">
        <v>25</v>
      </c>
      <c r="K5072" s="9">
        <v>50</v>
      </c>
      <c r="L5072" s="16" t="s">
        <v>26</v>
      </c>
      <c r="M5072" s="16">
        <f t="shared" si="477"/>
        <v>1.687010542718838</v>
      </c>
      <c r="N5072">
        <f t="shared" si="478"/>
        <v>0</v>
      </c>
      <c r="O5072">
        <f t="shared" si="479"/>
        <v>0</v>
      </c>
      <c r="P5072">
        <f t="shared" si="476"/>
        <v>5900</v>
      </c>
      <c r="Q5072">
        <f t="shared" si="480"/>
        <v>5900</v>
      </c>
      <c r="T5072" s="16">
        <f t="shared" si="481"/>
        <v>1.6870105427188375</v>
      </c>
    </row>
    <row r="5073" spans="7:20" ht="14.4" x14ac:dyDescent="0.25">
      <c r="G5073" s="10">
        <v>3588</v>
      </c>
      <c r="H5073" s="9">
        <v>25601</v>
      </c>
      <c r="I5073" s="14">
        <f>DATE(2012,12,31)-1456</f>
        <v>39818</v>
      </c>
      <c r="J5073" s="15" t="s">
        <v>16</v>
      </c>
      <c r="K5073" s="9">
        <v>43</v>
      </c>
      <c r="L5073" s="16" t="s">
        <v>26</v>
      </c>
      <c r="M5073" s="16">
        <f t="shared" si="477"/>
        <v>1.203592106384288</v>
      </c>
      <c r="N5073">
        <f t="shared" si="478"/>
        <v>0</v>
      </c>
      <c r="O5073">
        <f t="shared" si="479"/>
        <v>0</v>
      </c>
      <c r="P5073">
        <f t="shared" si="476"/>
        <v>5550</v>
      </c>
      <c r="Q5073">
        <f t="shared" si="480"/>
        <v>5550</v>
      </c>
      <c r="T5073" s="16">
        <f t="shared" si="481"/>
        <v>1.2035921063842876</v>
      </c>
    </row>
    <row r="5074" spans="7:20" ht="14.4" x14ac:dyDescent="0.25">
      <c r="G5074" s="10">
        <v>3615</v>
      </c>
      <c r="H5074" s="9">
        <v>25828</v>
      </c>
      <c r="I5074" s="14">
        <f>DATE(2012,12,31)-769</f>
        <v>40505</v>
      </c>
      <c r="J5074" s="15" t="s">
        <v>28</v>
      </c>
      <c r="K5074" s="9">
        <v>35</v>
      </c>
      <c r="L5074" s="16" t="s">
        <v>26</v>
      </c>
      <c r="M5074" s="16">
        <f t="shared" si="477"/>
        <v>0.65111389343051651</v>
      </c>
      <c r="N5074">
        <f t="shared" si="478"/>
        <v>0</v>
      </c>
      <c r="O5074">
        <f t="shared" si="479"/>
        <v>0</v>
      </c>
      <c r="P5074">
        <f t="shared" si="476"/>
        <v>5150</v>
      </c>
      <c r="Q5074">
        <f t="shared" si="480"/>
        <v>5150</v>
      </c>
      <c r="T5074" s="16">
        <f t="shared" si="481"/>
        <v>0.65111389343051607</v>
      </c>
    </row>
    <row r="5075" spans="7:20" ht="14.4" x14ac:dyDescent="0.25">
      <c r="G5075" s="10">
        <v>3656</v>
      </c>
      <c r="H5075" s="9">
        <v>26176</v>
      </c>
      <c r="I5075" s="14">
        <f>DATE(2012,12,31)-408</f>
        <v>40866</v>
      </c>
      <c r="J5075" s="15" t="s">
        <v>17</v>
      </c>
      <c r="K5075" s="9">
        <v>14</v>
      </c>
      <c r="L5075" s="16" t="s">
        <v>26</v>
      </c>
      <c r="M5075" s="16">
        <f t="shared" si="477"/>
        <v>-0.79914141557313367</v>
      </c>
      <c r="N5075">
        <f t="shared" si="478"/>
        <v>0</v>
      </c>
      <c r="O5075">
        <f t="shared" si="479"/>
        <v>0</v>
      </c>
      <c r="P5075">
        <f t="shared" si="476"/>
        <v>4100</v>
      </c>
      <c r="Q5075">
        <f t="shared" si="480"/>
        <v>4100</v>
      </c>
      <c r="T5075" s="16">
        <f t="shared" si="481"/>
        <v>-0.79914141557313401</v>
      </c>
    </row>
    <row r="5076" spans="7:20" ht="14.4" x14ac:dyDescent="0.25">
      <c r="G5076" s="10">
        <v>3657</v>
      </c>
      <c r="H5076" s="9">
        <v>26176</v>
      </c>
      <c r="I5076" s="14">
        <f>DATE(2012,12,31)-408</f>
        <v>40866</v>
      </c>
      <c r="J5076" s="15" t="s">
        <v>17</v>
      </c>
      <c r="K5076" s="9">
        <v>30</v>
      </c>
      <c r="L5076" s="16" t="s">
        <v>27</v>
      </c>
      <c r="M5076" s="16">
        <f t="shared" si="477"/>
        <v>0.30581501033440933</v>
      </c>
      <c r="N5076">
        <f t="shared" si="478"/>
        <v>0</v>
      </c>
      <c r="O5076">
        <f t="shared" si="479"/>
        <v>0</v>
      </c>
      <c r="P5076">
        <f t="shared" si="476"/>
        <v>4900</v>
      </c>
      <c r="Q5076">
        <f t="shared" si="480"/>
        <v>4900</v>
      </c>
      <c r="T5076" s="16">
        <f t="shared" si="481"/>
        <v>0.30581501033440894</v>
      </c>
    </row>
    <row r="5077" spans="7:20" ht="14.4" x14ac:dyDescent="0.25">
      <c r="G5077" s="10">
        <v>3682</v>
      </c>
      <c r="H5077" s="9">
        <v>26337</v>
      </c>
      <c r="I5077" s="14">
        <f>DATE(2012,12,31)-1150</f>
        <v>40124</v>
      </c>
      <c r="J5077" s="15" t="s">
        <v>30</v>
      </c>
      <c r="K5077" s="9">
        <v>45</v>
      </c>
      <c r="L5077" s="16" t="s">
        <v>26</v>
      </c>
      <c r="M5077" s="16">
        <f t="shared" si="477"/>
        <v>1.3417116596227308</v>
      </c>
      <c r="N5077">
        <f t="shared" si="478"/>
        <v>0</v>
      </c>
      <c r="O5077">
        <f t="shared" si="479"/>
        <v>0</v>
      </c>
      <c r="P5077">
        <f t="shared" si="476"/>
        <v>5650</v>
      </c>
      <c r="Q5077">
        <f t="shared" si="480"/>
        <v>5650</v>
      </c>
      <c r="T5077" s="16">
        <f t="shared" si="481"/>
        <v>1.3417116596227305</v>
      </c>
    </row>
    <row r="5078" spans="7:20" ht="14.4" x14ac:dyDescent="0.25">
      <c r="G5078" s="10">
        <v>3712</v>
      </c>
      <c r="H5078" s="9">
        <v>26503</v>
      </c>
      <c r="I5078" s="14">
        <f>DATE(2012,12,31)-620</f>
        <v>40654</v>
      </c>
      <c r="J5078" s="15" t="s">
        <v>16</v>
      </c>
      <c r="K5078" s="9">
        <v>47</v>
      </c>
      <c r="L5078" s="16" t="s">
        <v>26</v>
      </c>
      <c r="M5078" s="16">
        <f t="shared" si="477"/>
        <v>1.4798312128611737</v>
      </c>
      <c r="N5078">
        <f t="shared" si="478"/>
        <v>0</v>
      </c>
      <c r="O5078">
        <f t="shared" si="479"/>
        <v>0</v>
      </c>
      <c r="P5078">
        <f t="shared" si="476"/>
        <v>5750</v>
      </c>
      <c r="Q5078">
        <f t="shared" si="480"/>
        <v>5750</v>
      </c>
      <c r="T5078" s="16">
        <f t="shared" si="481"/>
        <v>1.4798312128611733</v>
      </c>
    </row>
    <row r="5079" spans="7:20" ht="14.4" x14ac:dyDescent="0.25">
      <c r="G5079" s="10">
        <v>3713</v>
      </c>
      <c r="H5079" s="9">
        <v>26503</v>
      </c>
      <c r="I5079" s="14">
        <f>DATE(2012,12,31)-620</f>
        <v>40654</v>
      </c>
      <c r="J5079" s="15" t="s">
        <v>16</v>
      </c>
      <c r="K5079" s="9">
        <v>12</v>
      </c>
      <c r="L5079" s="16" t="s">
        <v>29</v>
      </c>
      <c r="M5079" s="16">
        <f t="shared" si="477"/>
        <v>-0.9372609688115765</v>
      </c>
      <c r="N5079">
        <f t="shared" si="478"/>
        <v>0</v>
      </c>
      <c r="O5079">
        <f t="shared" si="479"/>
        <v>0</v>
      </c>
      <c r="P5079">
        <f t="shared" si="476"/>
        <v>4000</v>
      </c>
      <c r="Q5079">
        <f t="shared" si="480"/>
        <v>4000</v>
      </c>
      <c r="T5079" s="16">
        <f t="shared" si="481"/>
        <v>-0.93726096881157694</v>
      </c>
    </row>
    <row r="5080" spans="7:20" ht="14.4" x14ac:dyDescent="0.25">
      <c r="G5080" s="10">
        <v>3728</v>
      </c>
      <c r="H5080" s="9">
        <v>26657</v>
      </c>
      <c r="I5080" s="14">
        <f>DATE(2012,12,31)-93</f>
        <v>41181</v>
      </c>
      <c r="J5080" s="15" t="s">
        <v>16</v>
      </c>
      <c r="K5080" s="9">
        <v>28</v>
      </c>
      <c r="L5080" s="16" t="s">
        <v>26</v>
      </c>
      <c r="M5080" s="16">
        <f t="shared" si="477"/>
        <v>0.16769545709596645</v>
      </c>
      <c r="N5080">
        <f t="shared" si="478"/>
        <v>0</v>
      </c>
      <c r="O5080">
        <f t="shared" si="479"/>
        <v>0</v>
      </c>
      <c r="P5080">
        <f t="shared" si="476"/>
        <v>4800</v>
      </c>
      <c r="Q5080">
        <f t="shared" si="480"/>
        <v>4800</v>
      </c>
      <c r="T5080" s="16">
        <f t="shared" si="481"/>
        <v>0.16769545709596606</v>
      </c>
    </row>
    <row r="5081" spans="7:20" ht="14.4" x14ac:dyDescent="0.25">
      <c r="G5081" s="10">
        <v>3752</v>
      </c>
      <c r="H5081" s="9">
        <v>26787</v>
      </c>
      <c r="I5081" s="14">
        <f>DATE(2012,12,31)-469</f>
        <v>40805</v>
      </c>
      <c r="J5081" s="15" t="s">
        <v>17</v>
      </c>
      <c r="K5081" s="9">
        <v>25</v>
      </c>
      <c r="L5081" s="16" t="s">
        <v>26</v>
      </c>
      <c r="M5081" s="16">
        <f t="shared" si="477"/>
        <v>-3.9483872761697868E-2</v>
      </c>
      <c r="N5081">
        <f t="shared" si="478"/>
        <v>0</v>
      </c>
      <c r="O5081">
        <f t="shared" si="479"/>
        <v>0</v>
      </c>
      <c r="P5081">
        <f t="shared" si="476"/>
        <v>4650</v>
      </c>
      <c r="Q5081">
        <f t="shared" si="480"/>
        <v>4650</v>
      </c>
      <c r="T5081" s="16">
        <f t="shared" si="481"/>
        <v>-3.9483872761698249E-2</v>
      </c>
    </row>
    <row r="5082" spans="7:20" ht="14.4" x14ac:dyDescent="0.25">
      <c r="G5082" s="10">
        <v>3769</v>
      </c>
      <c r="H5082" s="9">
        <v>26919</v>
      </c>
      <c r="I5082" s="14">
        <f>DATE(2012,12,31)-21</f>
        <v>41253</v>
      </c>
      <c r="J5082" s="15" t="s">
        <v>25</v>
      </c>
      <c r="K5082" s="9">
        <v>12</v>
      </c>
      <c r="L5082" s="16" t="s">
        <v>26</v>
      </c>
      <c r="M5082" s="16">
        <f t="shared" si="477"/>
        <v>-0.9372609688115765</v>
      </c>
      <c r="N5082">
        <f t="shared" si="478"/>
        <v>0</v>
      </c>
      <c r="O5082">
        <f t="shared" si="479"/>
        <v>0</v>
      </c>
      <c r="P5082">
        <f t="shared" si="476"/>
        <v>4000</v>
      </c>
      <c r="Q5082">
        <f t="shared" si="480"/>
        <v>4000</v>
      </c>
      <c r="T5082" s="16">
        <f t="shared" si="481"/>
        <v>-0.93726096881157694</v>
      </c>
    </row>
    <row r="5083" spans="7:20" ht="14.4" x14ac:dyDescent="0.25">
      <c r="G5083" s="10">
        <v>3770</v>
      </c>
      <c r="H5083" s="9">
        <v>26919</v>
      </c>
      <c r="I5083" s="14">
        <f>DATE(2012,12,31)-21</f>
        <v>41253</v>
      </c>
      <c r="J5083" s="15" t="s">
        <v>25</v>
      </c>
      <c r="K5083" s="9">
        <v>32</v>
      </c>
      <c r="L5083" s="16" t="s">
        <v>26</v>
      </c>
      <c r="M5083" s="16">
        <f t="shared" si="477"/>
        <v>0.44393456357285216</v>
      </c>
      <c r="N5083">
        <f t="shared" si="478"/>
        <v>0</v>
      </c>
      <c r="O5083">
        <f t="shared" si="479"/>
        <v>0</v>
      </c>
      <c r="P5083">
        <f t="shared" si="476"/>
        <v>5000</v>
      </c>
      <c r="Q5083">
        <f t="shared" si="480"/>
        <v>5000</v>
      </c>
      <c r="T5083" s="16">
        <f t="shared" si="481"/>
        <v>0.44393456357285183</v>
      </c>
    </row>
    <row r="5084" spans="7:20" ht="14.4" x14ac:dyDescent="0.25">
      <c r="G5084" s="10">
        <v>3772</v>
      </c>
      <c r="H5084" s="9">
        <v>26945</v>
      </c>
      <c r="I5084" s="14">
        <f>DATE(2012,12,31)-1425</f>
        <v>39849</v>
      </c>
      <c r="J5084" s="15" t="s">
        <v>30</v>
      </c>
      <c r="K5084" s="9">
        <v>29</v>
      </c>
      <c r="L5084" s="16" t="s">
        <v>26</v>
      </c>
      <c r="M5084" s="16">
        <f t="shared" si="477"/>
        <v>0.23675523371518786</v>
      </c>
      <c r="N5084">
        <f t="shared" si="478"/>
        <v>0</v>
      </c>
      <c r="O5084">
        <f t="shared" si="479"/>
        <v>0</v>
      </c>
      <c r="P5084">
        <f t="shared" si="476"/>
        <v>4850</v>
      </c>
      <c r="Q5084">
        <f t="shared" si="480"/>
        <v>4850</v>
      </c>
      <c r="T5084" s="16">
        <f t="shared" si="481"/>
        <v>0.2367552337151875</v>
      </c>
    </row>
    <row r="5085" spans="7:20" ht="14.4" x14ac:dyDescent="0.25">
      <c r="G5085" s="10">
        <v>3839</v>
      </c>
      <c r="H5085" s="9">
        <v>27364</v>
      </c>
      <c r="I5085" s="14">
        <f>DATE(2012,12,31)-591</f>
        <v>40683</v>
      </c>
      <c r="J5085" s="15" t="s">
        <v>16</v>
      </c>
      <c r="K5085" s="9">
        <v>25</v>
      </c>
      <c r="L5085" s="16" t="s">
        <v>26</v>
      </c>
      <c r="M5085" s="16">
        <f t="shared" si="477"/>
        <v>-3.9483872761697868E-2</v>
      </c>
      <c r="N5085">
        <f t="shared" si="478"/>
        <v>0</v>
      </c>
      <c r="O5085">
        <f t="shared" si="479"/>
        <v>0</v>
      </c>
      <c r="P5085">
        <f t="shared" si="476"/>
        <v>4650</v>
      </c>
      <c r="Q5085">
        <f t="shared" si="480"/>
        <v>4650</v>
      </c>
      <c r="T5085" s="16">
        <f t="shared" si="481"/>
        <v>-3.9483872761698249E-2</v>
      </c>
    </row>
    <row r="5086" spans="7:20" ht="14.4" x14ac:dyDescent="0.25">
      <c r="G5086" s="10">
        <v>3840</v>
      </c>
      <c r="H5086" s="9">
        <v>27364</v>
      </c>
      <c r="I5086" s="14">
        <f>DATE(2012,12,31)-591</f>
        <v>40683</v>
      </c>
      <c r="J5086" s="15" t="s">
        <v>16</v>
      </c>
      <c r="K5086" s="9">
        <v>29</v>
      </c>
      <c r="L5086" s="16" t="s">
        <v>27</v>
      </c>
      <c r="M5086" s="16">
        <f t="shared" si="477"/>
        <v>0.23675523371518786</v>
      </c>
      <c r="N5086">
        <f t="shared" si="478"/>
        <v>0</v>
      </c>
      <c r="O5086">
        <f t="shared" si="479"/>
        <v>0</v>
      </c>
      <c r="P5086">
        <f t="shared" si="476"/>
        <v>4850</v>
      </c>
      <c r="Q5086">
        <f t="shared" si="480"/>
        <v>4850</v>
      </c>
      <c r="T5086" s="16">
        <f t="shared" si="481"/>
        <v>0.2367552337151875</v>
      </c>
    </row>
    <row r="5087" spans="7:20" ht="14.4" x14ac:dyDescent="0.25">
      <c r="G5087" s="10">
        <v>3848</v>
      </c>
      <c r="H5087" s="9">
        <v>27460</v>
      </c>
      <c r="I5087" s="14">
        <f>DATE(2012,12,31)-1329</f>
        <v>39945</v>
      </c>
      <c r="J5087" s="15" t="s">
        <v>28</v>
      </c>
      <c r="K5087" s="9">
        <v>7</v>
      </c>
      <c r="L5087" s="16" t="s">
        <v>29</v>
      </c>
      <c r="M5087" s="16">
        <f t="shared" si="477"/>
        <v>-1.2825598519076837</v>
      </c>
      <c r="N5087">
        <f t="shared" si="478"/>
        <v>0</v>
      </c>
      <c r="O5087">
        <f t="shared" si="479"/>
        <v>0</v>
      </c>
      <c r="P5087">
        <f t="shared" si="476"/>
        <v>3750</v>
      </c>
      <c r="Q5087">
        <f t="shared" si="480"/>
        <v>3750</v>
      </c>
      <c r="T5087" s="16">
        <f t="shared" si="481"/>
        <v>-1.2825598519076842</v>
      </c>
    </row>
    <row r="5088" spans="7:20" ht="14.4" x14ac:dyDescent="0.25">
      <c r="G5088" s="10">
        <v>3849</v>
      </c>
      <c r="H5088" s="9">
        <v>27460</v>
      </c>
      <c r="I5088" s="14">
        <f>DATE(2012,12,31)-1329</f>
        <v>39945</v>
      </c>
      <c r="J5088" s="15" t="s">
        <v>28</v>
      </c>
      <c r="K5088" s="9">
        <v>31</v>
      </c>
      <c r="L5088" s="16" t="s">
        <v>27</v>
      </c>
      <c r="M5088" s="16">
        <f t="shared" si="477"/>
        <v>0.37487478695363075</v>
      </c>
      <c r="N5088">
        <f t="shared" si="478"/>
        <v>0</v>
      </c>
      <c r="O5088">
        <f t="shared" si="479"/>
        <v>0</v>
      </c>
      <c r="P5088">
        <f t="shared" si="476"/>
        <v>4950</v>
      </c>
      <c r="Q5088">
        <f t="shared" si="480"/>
        <v>4950</v>
      </c>
      <c r="T5088" s="16">
        <f t="shared" si="481"/>
        <v>0.37487478695363036</v>
      </c>
    </row>
    <row r="5089" spans="7:20" ht="14.4" x14ac:dyDescent="0.25">
      <c r="G5089" s="10">
        <v>3881</v>
      </c>
      <c r="H5089" s="9">
        <v>27717</v>
      </c>
      <c r="I5089" s="14">
        <f>DATE(2012,12,31)-432</f>
        <v>40842</v>
      </c>
      <c r="J5089" s="15" t="s">
        <v>30</v>
      </c>
      <c r="K5089" s="9">
        <v>19</v>
      </c>
      <c r="L5089" s="16" t="s">
        <v>26</v>
      </c>
      <c r="M5089" s="16">
        <f t="shared" si="477"/>
        <v>-0.45384253247702649</v>
      </c>
      <c r="N5089">
        <f t="shared" si="478"/>
        <v>0</v>
      </c>
      <c r="O5089">
        <f t="shared" si="479"/>
        <v>0</v>
      </c>
      <c r="P5089">
        <f t="shared" si="476"/>
        <v>4350</v>
      </c>
      <c r="Q5089">
        <f t="shared" si="480"/>
        <v>4350</v>
      </c>
      <c r="T5089" s="16">
        <f t="shared" si="481"/>
        <v>-0.45384253247702688</v>
      </c>
    </row>
    <row r="5090" spans="7:20" ht="14.4" x14ac:dyDescent="0.25">
      <c r="G5090" s="10">
        <v>3890</v>
      </c>
      <c r="H5090" s="9">
        <v>27778</v>
      </c>
      <c r="I5090" s="14">
        <f>DATE(2012,12,31)-486</f>
        <v>40788</v>
      </c>
      <c r="J5090" s="15" t="s">
        <v>30</v>
      </c>
      <c r="K5090" s="9">
        <v>10</v>
      </c>
      <c r="L5090" s="16" t="s">
        <v>27</v>
      </c>
      <c r="M5090" s="16">
        <f t="shared" si="477"/>
        <v>-1.0753805220500194</v>
      </c>
      <c r="N5090">
        <f t="shared" si="478"/>
        <v>0</v>
      </c>
      <c r="O5090">
        <f t="shared" si="479"/>
        <v>0</v>
      </c>
      <c r="P5090">
        <f t="shared" si="476"/>
        <v>3900</v>
      </c>
      <c r="Q5090">
        <f t="shared" si="480"/>
        <v>3900</v>
      </c>
      <c r="T5090" s="16">
        <f t="shared" si="481"/>
        <v>-1.0753805220500199</v>
      </c>
    </row>
    <row r="5091" spans="7:20" ht="14.4" x14ac:dyDescent="0.25">
      <c r="G5091" s="10">
        <v>3916</v>
      </c>
      <c r="H5091" s="9">
        <v>27936</v>
      </c>
      <c r="I5091" s="14">
        <f>DATE(2012,12,31)-543</f>
        <v>40731</v>
      </c>
      <c r="J5091" s="15" t="s">
        <v>17</v>
      </c>
      <c r="K5091" s="9">
        <v>23</v>
      </c>
      <c r="L5091" s="16" t="s">
        <v>27</v>
      </c>
      <c r="M5091" s="16">
        <f t="shared" si="477"/>
        <v>-0.17760342600014073</v>
      </c>
      <c r="N5091">
        <f t="shared" si="478"/>
        <v>0</v>
      </c>
      <c r="O5091">
        <f t="shared" si="479"/>
        <v>0</v>
      </c>
      <c r="P5091">
        <f t="shared" si="476"/>
        <v>4550</v>
      </c>
      <c r="Q5091">
        <f t="shared" si="480"/>
        <v>4550</v>
      </c>
      <c r="T5091" s="16">
        <f t="shared" si="481"/>
        <v>-0.17760342600014112</v>
      </c>
    </row>
    <row r="5092" spans="7:20" ht="14.4" x14ac:dyDescent="0.25">
      <c r="G5092" s="10">
        <v>3957</v>
      </c>
      <c r="H5092" s="9">
        <v>28228</v>
      </c>
      <c r="I5092" s="14">
        <f>DATE(2012,12,31)-173</f>
        <v>41101</v>
      </c>
      <c r="J5092" s="15" t="s">
        <v>28</v>
      </c>
      <c r="K5092" s="9">
        <v>5</v>
      </c>
      <c r="L5092" s="16" t="s">
        <v>26</v>
      </c>
      <c r="M5092" s="16">
        <f t="shared" si="477"/>
        <v>-1.4206794051461267</v>
      </c>
      <c r="N5092">
        <f t="shared" si="478"/>
        <v>0</v>
      </c>
      <c r="O5092">
        <f t="shared" si="479"/>
        <v>0</v>
      </c>
      <c r="P5092">
        <f t="shared" si="476"/>
        <v>3650</v>
      </c>
      <c r="Q5092">
        <f t="shared" si="480"/>
        <v>3650</v>
      </c>
      <c r="T5092" s="16">
        <f t="shared" si="481"/>
        <v>-1.4206794051461269</v>
      </c>
    </row>
    <row r="5093" spans="7:20" ht="14.4" x14ac:dyDescent="0.25">
      <c r="G5093" s="10">
        <v>3961</v>
      </c>
      <c r="H5093" s="9">
        <v>28259</v>
      </c>
      <c r="I5093" s="14">
        <f>DATE(2012,12,31)-1153</f>
        <v>40121</v>
      </c>
      <c r="J5093" s="15" t="s">
        <v>17</v>
      </c>
      <c r="K5093" s="9">
        <v>22</v>
      </c>
      <c r="L5093" s="16" t="s">
        <v>27</v>
      </c>
      <c r="M5093" s="16">
        <f t="shared" si="477"/>
        <v>-0.24666320261936217</v>
      </c>
      <c r="N5093">
        <f t="shared" si="478"/>
        <v>0</v>
      </c>
      <c r="O5093">
        <f t="shared" si="479"/>
        <v>0</v>
      </c>
      <c r="P5093">
        <f t="shared" si="476"/>
        <v>4500</v>
      </c>
      <c r="Q5093">
        <f t="shared" si="480"/>
        <v>4500</v>
      </c>
      <c r="T5093" s="16">
        <f t="shared" si="481"/>
        <v>-0.24666320261936256</v>
      </c>
    </row>
    <row r="5094" spans="7:20" ht="14.4" x14ac:dyDescent="0.25">
      <c r="G5094" s="10">
        <v>3979</v>
      </c>
      <c r="H5094" s="9">
        <v>28419</v>
      </c>
      <c r="I5094" s="14">
        <f>DATE(2012,12,31)-1157</f>
        <v>40117</v>
      </c>
      <c r="J5094" s="15" t="s">
        <v>25</v>
      </c>
      <c r="K5094" s="9">
        <v>9</v>
      </c>
      <c r="L5094" s="16" t="s">
        <v>26</v>
      </c>
      <c r="M5094" s="16">
        <f t="shared" si="477"/>
        <v>-1.1444402986692408</v>
      </c>
      <c r="N5094">
        <f t="shared" si="478"/>
        <v>0</v>
      </c>
      <c r="O5094">
        <f t="shared" si="479"/>
        <v>0</v>
      </c>
      <c r="P5094">
        <f t="shared" si="476"/>
        <v>3850</v>
      </c>
      <c r="Q5094">
        <f t="shared" si="480"/>
        <v>3850</v>
      </c>
      <c r="T5094" s="16">
        <f t="shared" si="481"/>
        <v>-1.1444402986692412</v>
      </c>
    </row>
    <row r="5095" spans="7:20" ht="14.4" x14ac:dyDescent="0.25">
      <c r="G5095" s="10">
        <v>4010</v>
      </c>
      <c r="H5095" s="9">
        <v>28614</v>
      </c>
      <c r="I5095" s="14">
        <f>DATE(2012,12,31)-1169</f>
        <v>40105</v>
      </c>
      <c r="J5095" s="15" t="s">
        <v>30</v>
      </c>
      <c r="K5095" s="9">
        <v>50</v>
      </c>
      <c r="L5095" s="16" t="s">
        <v>27</v>
      </c>
      <c r="M5095" s="16">
        <f t="shared" si="477"/>
        <v>1.687010542718838</v>
      </c>
      <c r="N5095">
        <f t="shared" si="478"/>
        <v>0</v>
      </c>
      <c r="O5095">
        <f t="shared" si="479"/>
        <v>0</v>
      </c>
      <c r="P5095">
        <f t="shared" si="476"/>
        <v>5900</v>
      </c>
      <c r="Q5095">
        <f t="shared" si="480"/>
        <v>5900</v>
      </c>
      <c r="T5095" s="16">
        <f t="shared" si="481"/>
        <v>1.6870105427188375</v>
      </c>
    </row>
    <row r="5096" spans="7:20" ht="14.4" x14ac:dyDescent="0.25">
      <c r="G5096" s="10">
        <v>4023</v>
      </c>
      <c r="H5096" s="9">
        <v>28741</v>
      </c>
      <c r="I5096" s="14">
        <f>DATE(2012,12,31)-672</f>
        <v>40602</v>
      </c>
      <c r="J5096" s="15" t="s">
        <v>28</v>
      </c>
      <c r="K5096" s="9">
        <v>13</v>
      </c>
      <c r="L5096" s="16" t="s">
        <v>26</v>
      </c>
      <c r="M5096" s="16">
        <f t="shared" si="477"/>
        <v>-0.86820119219235514</v>
      </c>
      <c r="N5096">
        <f t="shared" si="478"/>
        <v>0</v>
      </c>
      <c r="O5096">
        <f t="shared" si="479"/>
        <v>0</v>
      </c>
      <c r="P5096">
        <f t="shared" si="476"/>
        <v>4050</v>
      </c>
      <c r="Q5096">
        <f t="shared" si="480"/>
        <v>4050</v>
      </c>
      <c r="T5096" s="16">
        <f t="shared" si="481"/>
        <v>-0.86820119219235548</v>
      </c>
    </row>
    <row r="5097" spans="7:20" ht="14.4" x14ac:dyDescent="0.25">
      <c r="G5097" s="10">
        <v>4024</v>
      </c>
      <c r="H5097" s="9">
        <v>28741</v>
      </c>
      <c r="I5097" s="14">
        <f>DATE(2012,12,31)-672</f>
        <v>40602</v>
      </c>
      <c r="J5097" s="15" t="s">
        <v>28</v>
      </c>
      <c r="K5097" s="9">
        <v>5</v>
      </c>
      <c r="L5097" s="16" t="s">
        <v>26</v>
      </c>
      <c r="M5097" s="16">
        <f t="shared" si="477"/>
        <v>-1.4206794051461267</v>
      </c>
      <c r="N5097">
        <f t="shared" si="478"/>
        <v>0</v>
      </c>
      <c r="O5097">
        <f t="shared" si="479"/>
        <v>0</v>
      </c>
      <c r="P5097">
        <f t="shared" si="476"/>
        <v>3650</v>
      </c>
      <c r="Q5097">
        <f t="shared" si="480"/>
        <v>3650</v>
      </c>
      <c r="T5097" s="16">
        <f t="shared" si="481"/>
        <v>-1.4206794051461269</v>
      </c>
    </row>
    <row r="5098" spans="7:20" ht="14.4" x14ac:dyDescent="0.25">
      <c r="G5098" s="10">
        <v>4027</v>
      </c>
      <c r="H5098" s="9">
        <v>28769</v>
      </c>
      <c r="I5098" s="14">
        <f>DATE(2012,12,31)-856</f>
        <v>40418</v>
      </c>
      <c r="J5098" s="15" t="s">
        <v>25</v>
      </c>
      <c r="K5098" s="9">
        <v>6</v>
      </c>
      <c r="L5098" s="16" t="s">
        <v>27</v>
      </c>
      <c r="M5098" s="16">
        <f t="shared" si="477"/>
        <v>-1.3516196285269051</v>
      </c>
      <c r="N5098">
        <f t="shared" si="478"/>
        <v>0</v>
      </c>
      <c r="O5098">
        <f t="shared" si="479"/>
        <v>0</v>
      </c>
      <c r="P5098">
        <f t="shared" si="476"/>
        <v>3700</v>
      </c>
      <c r="Q5098">
        <f t="shared" si="480"/>
        <v>3700</v>
      </c>
      <c r="T5098" s="16">
        <f t="shared" si="481"/>
        <v>-1.3516196285269055</v>
      </c>
    </row>
    <row r="5099" spans="7:20" ht="14.4" x14ac:dyDescent="0.25">
      <c r="G5099" s="10">
        <v>4057</v>
      </c>
      <c r="H5099" s="9">
        <v>28928</v>
      </c>
      <c r="I5099" s="14">
        <f>DATE(2012,12,31)-976</f>
        <v>40298</v>
      </c>
      <c r="J5099" s="15" t="s">
        <v>25</v>
      </c>
      <c r="K5099" s="9">
        <v>3</v>
      </c>
      <c r="L5099" s="16" t="s">
        <v>26</v>
      </c>
      <c r="M5099" s="16">
        <f t="shared" si="477"/>
        <v>-1.5587989583845694</v>
      </c>
      <c r="N5099">
        <f t="shared" si="478"/>
        <v>0</v>
      </c>
      <c r="O5099">
        <f t="shared" si="479"/>
        <v>0</v>
      </c>
      <c r="P5099">
        <f t="shared" si="476"/>
        <v>3550</v>
      </c>
      <c r="Q5099">
        <f t="shared" si="480"/>
        <v>3550</v>
      </c>
      <c r="T5099" s="16">
        <f t="shared" si="481"/>
        <v>-1.5587989583845698</v>
      </c>
    </row>
    <row r="5100" spans="7:20" ht="14.4" x14ac:dyDescent="0.25">
      <c r="G5100" s="10">
        <v>4058</v>
      </c>
      <c r="H5100" s="9">
        <v>28928</v>
      </c>
      <c r="I5100" s="14">
        <f>DATE(2012,12,31)-976</f>
        <v>40298</v>
      </c>
      <c r="J5100" s="15" t="s">
        <v>25</v>
      </c>
      <c r="K5100" s="9">
        <v>22</v>
      </c>
      <c r="L5100" s="16" t="s">
        <v>27</v>
      </c>
      <c r="M5100" s="16">
        <f t="shared" si="477"/>
        <v>-0.24666320261936217</v>
      </c>
      <c r="N5100">
        <f t="shared" si="478"/>
        <v>0</v>
      </c>
      <c r="O5100">
        <f t="shared" si="479"/>
        <v>0</v>
      </c>
      <c r="P5100">
        <f t="shared" si="476"/>
        <v>4500</v>
      </c>
      <c r="Q5100">
        <f t="shared" si="480"/>
        <v>4500</v>
      </c>
      <c r="T5100" s="16">
        <f t="shared" si="481"/>
        <v>-0.24666320261936256</v>
      </c>
    </row>
    <row r="5101" spans="7:20" ht="14.4" x14ac:dyDescent="0.25">
      <c r="G5101" s="10">
        <v>4059</v>
      </c>
      <c r="H5101" s="9">
        <v>28928</v>
      </c>
      <c r="I5101" s="14">
        <f>DATE(2012,12,31)-976</f>
        <v>40298</v>
      </c>
      <c r="J5101" s="15" t="s">
        <v>25</v>
      </c>
      <c r="K5101" s="9">
        <v>46</v>
      </c>
      <c r="L5101" s="16" t="s">
        <v>27</v>
      </c>
      <c r="M5101" s="16">
        <f t="shared" si="477"/>
        <v>1.4107714362419523</v>
      </c>
      <c r="N5101">
        <f t="shared" si="478"/>
        <v>0</v>
      </c>
      <c r="O5101">
        <f t="shared" si="479"/>
        <v>0</v>
      </c>
      <c r="P5101">
        <f t="shared" si="476"/>
        <v>5700</v>
      </c>
      <c r="Q5101">
        <f t="shared" si="480"/>
        <v>5700</v>
      </c>
      <c r="T5101" s="16">
        <f t="shared" si="481"/>
        <v>1.4107714362419519</v>
      </c>
    </row>
    <row r="5102" spans="7:20" ht="14.4" x14ac:dyDescent="0.25">
      <c r="G5102" s="10">
        <v>4076</v>
      </c>
      <c r="H5102" s="9">
        <v>29058</v>
      </c>
      <c r="I5102" s="14">
        <f>DATE(2012,12,31)-1093</f>
        <v>40181</v>
      </c>
      <c r="J5102" s="15" t="s">
        <v>17</v>
      </c>
      <c r="K5102" s="9">
        <v>43</v>
      </c>
      <c r="L5102" s="16" t="s">
        <v>26</v>
      </c>
      <c r="M5102" s="16">
        <f t="shared" si="477"/>
        <v>1.203592106384288</v>
      </c>
      <c r="N5102">
        <f t="shared" si="478"/>
        <v>0</v>
      </c>
      <c r="O5102">
        <f t="shared" si="479"/>
        <v>0</v>
      </c>
      <c r="P5102">
        <f t="shared" si="476"/>
        <v>5550</v>
      </c>
      <c r="Q5102">
        <f t="shared" si="480"/>
        <v>5550</v>
      </c>
      <c r="T5102" s="16">
        <f t="shared" si="481"/>
        <v>1.2035921063842876</v>
      </c>
    </row>
    <row r="5103" spans="7:20" ht="14.4" x14ac:dyDescent="0.25">
      <c r="G5103" s="10">
        <v>4077</v>
      </c>
      <c r="H5103" s="9">
        <v>29058</v>
      </c>
      <c r="I5103" s="14">
        <f>DATE(2012,12,31)-1093</f>
        <v>40181</v>
      </c>
      <c r="J5103" s="15" t="s">
        <v>17</v>
      </c>
      <c r="K5103" s="9">
        <v>23</v>
      </c>
      <c r="L5103" s="16" t="s">
        <v>26</v>
      </c>
      <c r="M5103" s="16">
        <f t="shared" si="477"/>
        <v>-0.17760342600014073</v>
      </c>
      <c r="N5103">
        <f t="shared" si="478"/>
        <v>0</v>
      </c>
      <c r="O5103">
        <f t="shared" si="479"/>
        <v>0</v>
      </c>
      <c r="P5103">
        <f t="shared" si="476"/>
        <v>4550</v>
      </c>
      <c r="Q5103">
        <f t="shared" si="480"/>
        <v>4550</v>
      </c>
      <c r="T5103" s="16">
        <f t="shared" si="481"/>
        <v>-0.17760342600014112</v>
      </c>
    </row>
    <row r="5104" spans="7:20" ht="14.4" x14ac:dyDescent="0.25">
      <c r="G5104" s="10">
        <v>4078</v>
      </c>
      <c r="H5104" s="9">
        <v>29058</v>
      </c>
      <c r="I5104" s="14">
        <f>DATE(2012,12,31)-1093</f>
        <v>40181</v>
      </c>
      <c r="J5104" s="15" t="s">
        <v>17</v>
      </c>
      <c r="K5104" s="9">
        <v>41</v>
      </c>
      <c r="L5104" s="16" t="s">
        <v>26</v>
      </c>
      <c r="M5104" s="16">
        <f t="shared" si="477"/>
        <v>1.0654725531458451</v>
      </c>
      <c r="N5104">
        <f t="shared" si="478"/>
        <v>0</v>
      </c>
      <c r="O5104">
        <f t="shared" si="479"/>
        <v>0</v>
      </c>
      <c r="P5104">
        <f t="shared" si="476"/>
        <v>5450</v>
      </c>
      <c r="Q5104">
        <f t="shared" si="480"/>
        <v>5450</v>
      </c>
      <c r="T5104" s="16">
        <f t="shared" si="481"/>
        <v>1.0654725531458447</v>
      </c>
    </row>
    <row r="5105" spans="7:20" ht="14.4" x14ac:dyDescent="0.25">
      <c r="G5105" s="10">
        <v>4086</v>
      </c>
      <c r="H5105" s="9">
        <v>29127</v>
      </c>
      <c r="I5105" s="14">
        <f>DATE(2012,12,31)-1371</f>
        <v>39903</v>
      </c>
      <c r="J5105" s="15" t="s">
        <v>30</v>
      </c>
      <c r="K5105" s="9">
        <v>18</v>
      </c>
      <c r="L5105" s="16" t="s">
        <v>26</v>
      </c>
      <c r="M5105" s="16">
        <f t="shared" si="477"/>
        <v>-0.52290230909624791</v>
      </c>
      <c r="N5105">
        <f t="shared" si="478"/>
        <v>0</v>
      </c>
      <c r="O5105">
        <f t="shared" si="479"/>
        <v>0</v>
      </c>
      <c r="P5105">
        <f t="shared" si="476"/>
        <v>4300</v>
      </c>
      <c r="Q5105">
        <f t="shared" si="480"/>
        <v>4300</v>
      </c>
      <c r="T5105" s="16">
        <f t="shared" si="481"/>
        <v>-0.52290230909624835</v>
      </c>
    </row>
    <row r="5106" spans="7:20" ht="14.4" x14ac:dyDescent="0.25">
      <c r="G5106" s="10">
        <v>4099</v>
      </c>
      <c r="H5106" s="9">
        <v>29191</v>
      </c>
      <c r="I5106" s="14">
        <f>DATE(2012,12,31)-186</f>
        <v>41088</v>
      </c>
      <c r="J5106" s="15" t="s">
        <v>16</v>
      </c>
      <c r="K5106" s="9">
        <v>26</v>
      </c>
      <c r="L5106" s="16" t="s">
        <v>29</v>
      </c>
      <c r="M5106" s="16">
        <f t="shared" si="477"/>
        <v>2.9575903857523567E-2</v>
      </c>
      <c r="N5106">
        <f t="shared" si="478"/>
        <v>0</v>
      </c>
      <c r="O5106">
        <f t="shared" si="479"/>
        <v>0</v>
      </c>
      <c r="P5106">
        <f t="shared" si="476"/>
        <v>4700</v>
      </c>
      <c r="Q5106">
        <f t="shared" si="480"/>
        <v>4700</v>
      </c>
      <c r="T5106" s="16">
        <f t="shared" si="481"/>
        <v>2.9575903857523185E-2</v>
      </c>
    </row>
    <row r="5107" spans="7:20" ht="14.4" x14ac:dyDescent="0.25">
      <c r="G5107" s="10">
        <v>4109</v>
      </c>
      <c r="H5107" s="9">
        <v>29249</v>
      </c>
      <c r="I5107" s="14">
        <f>DATE(2012,12,31)-567</f>
        <v>40707</v>
      </c>
      <c r="J5107" s="15" t="s">
        <v>25</v>
      </c>
      <c r="K5107" s="9">
        <v>12</v>
      </c>
      <c r="L5107" s="16" t="s">
        <v>29</v>
      </c>
      <c r="M5107" s="16">
        <f t="shared" si="477"/>
        <v>-0.9372609688115765</v>
      </c>
      <c r="N5107">
        <f t="shared" si="478"/>
        <v>0</v>
      </c>
      <c r="O5107">
        <f t="shared" si="479"/>
        <v>0</v>
      </c>
      <c r="P5107">
        <f t="shared" si="476"/>
        <v>4000</v>
      </c>
      <c r="Q5107">
        <f t="shared" si="480"/>
        <v>4000</v>
      </c>
      <c r="T5107" s="16">
        <f t="shared" si="481"/>
        <v>-0.93726096881157694</v>
      </c>
    </row>
    <row r="5108" spans="7:20" ht="14.4" x14ac:dyDescent="0.25">
      <c r="G5108" s="10">
        <v>4110</v>
      </c>
      <c r="H5108" s="9">
        <v>29249</v>
      </c>
      <c r="I5108" s="14">
        <f>DATE(2012,12,31)-567</f>
        <v>40707</v>
      </c>
      <c r="J5108" s="15" t="s">
        <v>25</v>
      </c>
      <c r="K5108" s="9">
        <v>47</v>
      </c>
      <c r="L5108" s="16" t="s">
        <v>26</v>
      </c>
      <c r="M5108" s="16">
        <f t="shared" si="477"/>
        <v>1.4798312128611737</v>
      </c>
      <c r="N5108">
        <f t="shared" si="478"/>
        <v>0</v>
      </c>
      <c r="O5108">
        <f t="shared" si="479"/>
        <v>0</v>
      </c>
      <c r="P5108">
        <f t="shared" si="476"/>
        <v>5750</v>
      </c>
      <c r="Q5108">
        <f t="shared" si="480"/>
        <v>5750</v>
      </c>
      <c r="T5108" s="16">
        <f t="shared" si="481"/>
        <v>1.4798312128611733</v>
      </c>
    </row>
    <row r="5109" spans="7:20" ht="14.4" x14ac:dyDescent="0.25">
      <c r="G5109" s="10">
        <v>4128</v>
      </c>
      <c r="H5109" s="9">
        <v>29347</v>
      </c>
      <c r="I5109" s="14">
        <f>DATE(2012,12,31)-141</f>
        <v>41133</v>
      </c>
      <c r="J5109" s="15" t="s">
        <v>16</v>
      </c>
      <c r="K5109" s="9">
        <v>50</v>
      </c>
      <c r="L5109" s="16" t="s">
        <v>26</v>
      </c>
      <c r="M5109" s="16">
        <f t="shared" si="477"/>
        <v>1.687010542718838</v>
      </c>
      <c r="N5109">
        <f t="shared" si="478"/>
        <v>0</v>
      </c>
      <c r="O5109">
        <f t="shared" si="479"/>
        <v>0</v>
      </c>
      <c r="P5109">
        <f t="shared" si="476"/>
        <v>5900</v>
      </c>
      <c r="Q5109">
        <f t="shared" si="480"/>
        <v>5900</v>
      </c>
      <c r="T5109" s="16">
        <f t="shared" si="481"/>
        <v>1.6870105427188375</v>
      </c>
    </row>
    <row r="5110" spans="7:20" ht="14.4" x14ac:dyDescent="0.25">
      <c r="G5110" s="10">
        <v>4156</v>
      </c>
      <c r="H5110" s="9">
        <v>29478</v>
      </c>
      <c r="I5110" s="14">
        <f>DATE(2012,12,31)-997</f>
        <v>40277</v>
      </c>
      <c r="J5110" s="15" t="s">
        <v>17</v>
      </c>
      <c r="K5110" s="9">
        <v>15</v>
      </c>
      <c r="L5110" s="16" t="s">
        <v>27</v>
      </c>
      <c r="M5110" s="16">
        <f t="shared" si="477"/>
        <v>-0.7300816389539122</v>
      </c>
      <c r="N5110">
        <f t="shared" si="478"/>
        <v>0</v>
      </c>
      <c r="O5110">
        <f t="shared" si="479"/>
        <v>0</v>
      </c>
      <c r="P5110">
        <f t="shared" si="476"/>
        <v>4150</v>
      </c>
      <c r="Q5110">
        <f t="shared" si="480"/>
        <v>4150</v>
      </c>
      <c r="T5110" s="16">
        <f t="shared" si="481"/>
        <v>-0.73008163895391265</v>
      </c>
    </row>
    <row r="5111" spans="7:20" ht="14.4" x14ac:dyDescent="0.25">
      <c r="G5111" s="10">
        <v>4222</v>
      </c>
      <c r="H5111" s="9">
        <v>29991</v>
      </c>
      <c r="I5111" s="14">
        <f>DATE(2012,12,31)-87</f>
        <v>41187</v>
      </c>
      <c r="J5111" s="15" t="s">
        <v>25</v>
      </c>
      <c r="K5111" s="9">
        <v>41</v>
      </c>
      <c r="L5111" s="16" t="s">
        <v>26</v>
      </c>
      <c r="M5111" s="16">
        <f t="shared" si="477"/>
        <v>1.0654725531458451</v>
      </c>
      <c r="N5111">
        <f t="shared" si="478"/>
        <v>0</v>
      </c>
      <c r="O5111">
        <f t="shared" si="479"/>
        <v>0</v>
      </c>
      <c r="P5111">
        <f t="shared" si="476"/>
        <v>5450</v>
      </c>
      <c r="Q5111">
        <f t="shared" si="480"/>
        <v>5450</v>
      </c>
      <c r="T5111" s="16">
        <f t="shared" si="481"/>
        <v>1.0654725531458447</v>
      </c>
    </row>
    <row r="5112" spans="7:20" ht="14.4" x14ac:dyDescent="0.25">
      <c r="G5112" s="10">
        <v>4330</v>
      </c>
      <c r="H5112" s="9">
        <v>30853</v>
      </c>
      <c r="I5112" s="14">
        <f>DATE(2012,12,31)-523</f>
        <v>40751</v>
      </c>
      <c r="J5112" s="15" t="s">
        <v>16</v>
      </c>
      <c r="K5112" s="9">
        <v>16</v>
      </c>
      <c r="L5112" s="16" t="s">
        <v>26</v>
      </c>
      <c r="M5112" s="16">
        <f t="shared" si="477"/>
        <v>-0.66102186233469074</v>
      </c>
      <c r="N5112">
        <f t="shared" si="478"/>
        <v>0</v>
      </c>
      <c r="O5112">
        <f t="shared" si="479"/>
        <v>0</v>
      </c>
      <c r="P5112">
        <f t="shared" si="476"/>
        <v>4200</v>
      </c>
      <c r="Q5112">
        <f t="shared" si="480"/>
        <v>4200</v>
      </c>
      <c r="T5112" s="16">
        <f t="shared" si="481"/>
        <v>-0.66102186233469118</v>
      </c>
    </row>
    <row r="5113" spans="7:20" ht="14.4" x14ac:dyDescent="0.25">
      <c r="G5113" s="10">
        <v>4335</v>
      </c>
      <c r="H5113" s="9">
        <v>30886</v>
      </c>
      <c r="I5113" s="14">
        <f>DATE(2012,12,31)-233</f>
        <v>41041</v>
      </c>
      <c r="J5113" s="15" t="s">
        <v>25</v>
      </c>
      <c r="K5113" s="9">
        <v>28</v>
      </c>
      <c r="L5113" s="16" t="s">
        <v>26</v>
      </c>
      <c r="M5113" s="16">
        <f t="shared" si="477"/>
        <v>0.16769545709596645</v>
      </c>
      <c r="N5113">
        <f t="shared" si="478"/>
        <v>0</v>
      </c>
      <c r="O5113">
        <f t="shared" si="479"/>
        <v>0</v>
      </c>
      <c r="P5113">
        <f t="shared" si="476"/>
        <v>4800</v>
      </c>
      <c r="Q5113">
        <f t="shared" si="480"/>
        <v>4800</v>
      </c>
      <c r="T5113" s="16">
        <f t="shared" si="481"/>
        <v>0.16769545709596606</v>
      </c>
    </row>
    <row r="5114" spans="7:20" ht="14.4" x14ac:dyDescent="0.25">
      <c r="G5114" s="10">
        <v>4353</v>
      </c>
      <c r="H5114" s="9">
        <v>31042</v>
      </c>
      <c r="I5114" s="14">
        <f>DATE(2012,12,31)-42</f>
        <v>41232</v>
      </c>
      <c r="J5114" s="15" t="s">
        <v>16</v>
      </c>
      <c r="K5114" s="9">
        <v>26</v>
      </c>
      <c r="L5114" s="16" t="s">
        <v>29</v>
      </c>
      <c r="M5114" s="16">
        <f t="shared" si="477"/>
        <v>2.9575903857523567E-2</v>
      </c>
      <c r="N5114">
        <f t="shared" si="478"/>
        <v>0</v>
      </c>
      <c r="O5114">
        <f t="shared" si="479"/>
        <v>0</v>
      </c>
      <c r="P5114">
        <f t="shared" si="476"/>
        <v>4700</v>
      </c>
      <c r="Q5114">
        <f t="shared" si="480"/>
        <v>4700</v>
      </c>
      <c r="T5114" s="16">
        <f t="shared" si="481"/>
        <v>2.9575903857523185E-2</v>
      </c>
    </row>
    <row r="5115" spans="7:20" ht="14.4" x14ac:dyDescent="0.25">
      <c r="G5115" s="10">
        <v>4354</v>
      </c>
      <c r="H5115" s="9">
        <v>31042</v>
      </c>
      <c r="I5115" s="14">
        <f>DATE(2012,12,31)-42</f>
        <v>41232</v>
      </c>
      <c r="J5115" s="15" t="s">
        <v>16</v>
      </c>
      <c r="K5115" s="9">
        <v>48</v>
      </c>
      <c r="L5115" s="16" t="s">
        <v>26</v>
      </c>
      <c r="M5115" s="16">
        <f t="shared" si="477"/>
        <v>1.5488909894803951</v>
      </c>
      <c r="N5115">
        <f t="shared" si="478"/>
        <v>0</v>
      </c>
      <c r="O5115">
        <f t="shared" si="479"/>
        <v>0</v>
      </c>
      <c r="P5115">
        <f t="shared" si="476"/>
        <v>5800</v>
      </c>
      <c r="Q5115">
        <f t="shared" si="480"/>
        <v>5800</v>
      </c>
      <c r="T5115" s="16">
        <f t="shared" si="481"/>
        <v>1.5488909894803948</v>
      </c>
    </row>
    <row r="5116" spans="7:20" ht="14.4" x14ac:dyDescent="0.25">
      <c r="G5116" s="10">
        <v>4363</v>
      </c>
      <c r="H5116" s="9">
        <v>31078</v>
      </c>
      <c r="I5116" s="14">
        <f>DATE(2012,12,31)-1420</f>
        <v>39854</v>
      </c>
      <c r="J5116" s="15" t="s">
        <v>30</v>
      </c>
      <c r="K5116" s="9">
        <v>7</v>
      </c>
      <c r="L5116" s="16" t="s">
        <v>27</v>
      </c>
      <c r="M5116" s="16">
        <f t="shared" si="477"/>
        <v>-1.2825598519076837</v>
      </c>
      <c r="N5116">
        <f t="shared" si="478"/>
        <v>0</v>
      </c>
      <c r="O5116">
        <f t="shared" si="479"/>
        <v>0</v>
      </c>
      <c r="P5116">
        <f t="shared" si="476"/>
        <v>3750</v>
      </c>
      <c r="Q5116">
        <f t="shared" si="480"/>
        <v>3750</v>
      </c>
      <c r="T5116" s="16">
        <f t="shared" si="481"/>
        <v>-1.2825598519076842</v>
      </c>
    </row>
    <row r="5117" spans="7:20" ht="14.4" x14ac:dyDescent="0.25">
      <c r="G5117" s="10">
        <v>4414</v>
      </c>
      <c r="H5117" s="9">
        <v>31493</v>
      </c>
      <c r="I5117" s="14">
        <f>DATE(2012,12,31)-1171</f>
        <v>40103</v>
      </c>
      <c r="J5117" s="15" t="s">
        <v>17</v>
      </c>
      <c r="K5117" s="9">
        <v>8</v>
      </c>
      <c r="L5117" s="16" t="s">
        <v>29</v>
      </c>
      <c r="M5117" s="16">
        <f t="shared" si="477"/>
        <v>-1.2135000752884624</v>
      </c>
      <c r="N5117">
        <f t="shared" si="478"/>
        <v>0</v>
      </c>
      <c r="O5117">
        <f t="shared" si="479"/>
        <v>0</v>
      </c>
      <c r="P5117">
        <f t="shared" si="476"/>
        <v>3800</v>
      </c>
      <c r="Q5117">
        <f t="shared" si="480"/>
        <v>3800</v>
      </c>
      <c r="T5117" s="16">
        <f t="shared" si="481"/>
        <v>-1.2135000752884626</v>
      </c>
    </row>
    <row r="5118" spans="7:20" ht="14.4" x14ac:dyDescent="0.25">
      <c r="G5118" s="10">
        <v>4426</v>
      </c>
      <c r="H5118" s="9">
        <v>31555</v>
      </c>
      <c r="I5118" s="14">
        <f>DATE(2012,12,31)-362</f>
        <v>40912</v>
      </c>
      <c r="J5118" s="15" t="s">
        <v>30</v>
      </c>
      <c r="K5118" s="9">
        <v>38</v>
      </c>
      <c r="L5118" s="16" t="s">
        <v>29</v>
      </c>
      <c r="M5118" s="16">
        <f t="shared" si="477"/>
        <v>0.85829322328818081</v>
      </c>
      <c r="N5118">
        <f t="shared" si="478"/>
        <v>0</v>
      </c>
      <c r="O5118">
        <f t="shared" si="479"/>
        <v>0</v>
      </c>
      <c r="P5118">
        <f t="shared" si="476"/>
        <v>5300</v>
      </c>
      <c r="Q5118">
        <f t="shared" si="480"/>
        <v>5300</v>
      </c>
      <c r="T5118" s="16">
        <f t="shared" si="481"/>
        <v>0.85829322328818036</v>
      </c>
    </row>
    <row r="5119" spans="7:20" ht="14.4" x14ac:dyDescent="0.25">
      <c r="G5119" s="10">
        <v>4427</v>
      </c>
      <c r="H5119" s="9">
        <v>31555</v>
      </c>
      <c r="I5119" s="14">
        <f>DATE(2012,12,31)-362</f>
        <v>40912</v>
      </c>
      <c r="J5119" s="15" t="s">
        <v>30</v>
      </c>
      <c r="K5119" s="9">
        <v>5</v>
      </c>
      <c r="L5119" s="16" t="s">
        <v>27</v>
      </c>
      <c r="M5119" s="16">
        <f t="shared" si="477"/>
        <v>-1.4206794051461267</v>
      </c>
      <c r="N5119">
        <f t="shared" si="478"/>
        <v>0</v>
      </c>
      <c r="O5119">
        <f t="shared" si="479"/>
        <v>0</v>
      </c>
      <c r="P5119">
        <f t="shared" si="476"/>
        <v>3650</v>
      </c>
      <c r="Q5119">
        <f t="shared" si="480"/>
        <v>3650</v>
      </c>
      <c r="T5119" s="16">
        <f t="shared" si="481"/>
        <v>-1.4206794051461269</v>
      </c>
    </row>
    <row r="5120" spans="7:20" ht="14.4" x14ac:dyDescent="0.25">
      <c r="G5120" s="10">
        <v>4454</v>
      </c>
      <c r="H5120" s="9">
        <v>31744</v>
      </c>
      <c r="I5120" s="14">
        <f>DATE(2012,12,31)-113</f>
        <v>41161</v>
      </c>
      <c r="J5120" s="15" t="s">
        <v>16</v>
      </c>
      <c r="K5120" s="9">
        <v>12</v>
      </c>
      <c r="L5120" s="16" t="s">
        <v>26</v>
      </c>
      <c r="M5120" s="16">
        <f t="shared" si="477"/>
        <v>-0.9372609688115765</v>
      </c>
      <c r="N5120">
        <f t="shared" si="478"/>
        <v>0</v>
      </c>
      <c r="O5120">
        <f t="shared" si="479"/>
        <v>0</v>
      </c>
      <c r="P5120">
        <f t="shared" si="476"/>
        <v>4000</v>
      </c>
      <c r="Q5120">
        <f t="shared" si="480"/>
        <v>4000</v>
      </c>
      <c r="T5120" s="16">
        <f t="shared" si="481"/>
        <v>-0.93726096881157694</v>
      </c>
    </row>
    <row r="5121" spans="7:20" ht="14.4" x14ac:dyDescent="0.25">
      <c r="G5121" s="10">
        <v>4465</v>
      </c>
      <c r="H5121" s="9">
        <v>31842</v>
      </c>
      <c r="I5121" s="14">
        <f>DATE(2012,12,31)-899</f>
        <v>40375</v>
      </c>
      <c r="J5121" s="15" t="s">
        <v>16</v>
      </c>
      <c r="K5121" s="9">
        <v>9</v>
      </c>
      <c r="L5121" s="16" t="s">
        <v>27</v>
      </c>
      <c r="M5121" s="16">
        <f t="shared" si="477"/>
        <v>-1.1444402986692408</v>
      </c>
      <c r="N5121">
        <f t="shared" si="478"/>
        <v>0</v>
      </c>
      <c r="O5121">
        <f t="shared" si="479"/>
        <v>0</v>
      </c>
      <c r="P5121">
        <f t="shared" si="476"/>
        <v>3850</v>
      </c>
      <c r="Q5121">
        <f t="shared" si="480"/>
        <v>3850</v>
      </c>
      <c r="T5121" s="16">
        <f t="shared" si="481"/>
        <v>-1.1444402986692412</v>
      </c>
    </row>
    <row r="5122" spans="7:20" ht="14.4" x14ac:dyDescent="0.25">
      <c r="G5122" s="10">
        <v>4484</v>
      </c>
      <c r="H5122" s="9">
        <v>31910</v>
      </c>
      <c r="I5122" s="14">
        <f>DATE(2012,12,31)-1159</f>
        <v>40115</v>
      </c>
      <c r="J5122" s="15" t="s">
        <v>16</v>
      </c>
      <c r="K5122" s="9">
        <v>6</v>
      </c>
      <c r="L5122" s="16" t="s">
        <v>27</v>
      </c>
      <c r="M5122" s="16">
        <f t="shared" si="477"/>
        <v>-1.3516196285269051</v>
      </c>
      <c r="N5122">
        <f t="shared" si="478"/>
        <v>0</v>
      </c>
      <c r="O5122">
        <f t="shared" si="479"/>
        <v>0</v>
      </c>
      <c r="P5122">
        <f t="shared" si="476"/>
        <v>3700</v>
      </c>
      <c r="Q5122">
        <f t="shared" si="480"/>
        <v>3700</v>
      </c>
      <c r="T5122" s="16">
        <f t="shared" si="481"/>
        <v>-1.3516196285269055</v>
      </c>
    </row>
    <row r="5123" spans="7:20" ht="14.4" x14ac:dyDescent="0.25">
      <c r="G5123" s="10">
        <v>4507</v>
      </c>
      <c r="H5123" s="9">
        <v>32069</v>
      </c>
      <c r="I5123" s="14">
        <f>DATE(2012,12,31)-408</f>
        <v>40866</v>
      </c>
      <c r="J5123" s="15" t="s">
        <v>28</v>
      </c>
      <c r="K5123" s="9">
        <v>17</v>
      </c>
      <c r="L5123" s="16" t="s">
        <v>26</v>
      </c>
      <c r="M5123" s="16">
        <f t="shared" si="477"/>
        <v>-0.59196208571546938</v>
      </c>
      <c r="N5123">
        <f t="shared" si="478"/>
        <v>0</v>
      </c>
      <c r="O5123">
        <f t="shared" si="479"/>
        <v>0</v>
      </c>
      <c r="P5123">
        <f t="shared" si="476"/>
        <v>4250</v>
      </c>
      <c r="Q5123">
        <f t="shared" si="480"/>
        <v>4250</v>
      </c>
      <c r="T5123" s="16">
        <f t="shared" si="481"/>
        <v>-0.59196208571546971</v>
      </c>
    </row>
    <row r="5124" spans="7:20" ht="14.4" x14ac:dyDescent="0.25">
      <c r="G5124" s="10">
        <v>4571</v>
      </c>
      <c r="H5124" s="9">
        <v>32519</v>
      </c>
      <c r="I5124" s="14">
        <f>DATE(2012,12,31)-815</f>
        <v>40459</v>
      </c>
      <c r="J5124" s="15" t="s">
        <v>25</v>
      </c>
      <c r="K5124" s="9">
        <v>8</v>
      </c>
      <c r="L5124" s="16" t="s">
        <v>26</v>
      </c>
      <c r="M5124" s="16">
        <f t="shared" si="477"/>
        <v>-1.2135000752884624</v>
      </c>
      <c r="N5124">
        <f t="shared" si="478"/>
        <v>0</v>
      </c>
      <c r="O5124">
        <f t="shared" si="479"/>
        <v>0</v>
      </c>
      <c r="P5124">
        <f t="shared" si="476"/>
        <v>3800</v>
      </c>
      <c r="Q5124">
        <f t="shared" si="480"/>
        <v>3800</v>
      </c>
      <c r="T5124" s="16">
        <f t="shared" si="481"/>
        <v>-1.2135000752884626</v>
      </c>
    </row>
    <row r="5125" spans="7:20" ht="14.4" x14ac:dyDescent="0.25">
      <c r="G5125" s="10">
        <v>4591</v>
      </c>
      <c r="H5125" s="9">
        <v>32647</v>
      </c>
      <c r="I5125" s="14">
        <f>DATE(2012,12,31)-409</f>
        <v>40865</v>
      </c>
      <c r="J5125" s="15" t="s">
        <v>17</v>
      </c>
      <c r="K5125" s="9">
        <v>32</v>
      </c>
      <c r="L5125" s="16" t="s">
        <v>27</v>
      </c>
      <c r="M5125" s="16">
        <f t="shared" si="477"/>
        <v>0.44393456357285216</v>
      </c>
      <c r="N5125">
        <f t="shared" si="478"/>
        <v>0</v>
      </c>
      <c r="O5125">
        <f t="shared" si="479"/>
        <v>0</v>
      </c>
      <c r="P5125">
        <f t="shared" si="476"/>
        <v>5000</v>
      </c>
      <c r="Q5125">
        <f t="shared" si="480"/>
        <v>5000</v>
      </c>
      <c r="T5125" s="16">
        <f t="shared" si="481"/>
        <v>0.44393456357285183</v>
      </c>
    </row>
    <row r="5126" spans="7:20" ht="14.4" x14ac:dyDescent="0.25">
      <c r="G5126" s="10">
        <v>4592</v>
      </c>
      <c r="H5126" s="9">
        <v>32647</v>
      </c>
      <c r="I5126" s="14">
        <f>DATE(2012,12,31)-409</f>
        <v>40865</v>
      </c>
      <c r="J5126" s="15" t="s">
        <v>17</v>
      </c>
      <c r="K5126" s="9">
        <v>27</v>
      </c>
      <c r="L5126" s="16" t="s">
        <v>29</v>
      </c>
      <c r="M5126" s="16">
        <f t="shared" si="477"/>
        <v>9.8635680476745008E-2</v>
      </c>
      <c r="N5126">
        <f t="shared" si="478"/>
        <v>0</v>
      </c>
      <c r="O5126">
        <f t="shared" si="479"/>
        <v>0</v>
      </c>
      <c r="P5126">
        <f t="shared" si="476"/>
        <v>4750</v>
      </c>
      <c r="Q5126">
        <f t="shared" si="480"/>
        <v>4750</v>
      </c>
      <c r="T5126" s="16">
        <f t="shared" si="481"/>
        <v>9.8635680476744619E-2</v>
      </c>
    </row>
    <row r="5127" spans="7:20" ht="14.4" x14ac:dyDescent="0.25">
      <c r="G5127" s="10">
        <v>4632</v>
      </c>
      <c r="H5127" s="9">
        <v>32966</v>
      </c>
      <c r="I5127" s="14">
        <f>DATE(2012,12,31)-340</f>
        <v>40934</v>
      </c>
      <c r="J5127" s="15" t="s">
        <v>25</v>
      </c>
      <c r="K5127" s="9">
        <v>4</v>
      </c>
      <c r="L5127" s="16" t="s">
        <v>27</v>
      </c>
      <c r="M5127" s="16">
        <f t="shared" si="477"/>
        <v>-1.489739181765348</v>
      </c>
      <c r="N5127">
        <f t="shared" si="478"/>
        <v>0</v>
      </c>
      <c r="O5127">
        <f t="shared" si="479"/>
        <v>0</v>
      </c>
      <c r="P5127">
        <f t="shared" si="476"/>
        <v>3600</v>
      </c>
      <c r="Q5127">
        <f t="shared" si="480"/>
        <v>3600</v>
      </c>
      <c r="T5127" s="16">
        <f t="shared" si="481"/>
        <v>-1.4897391817653485</v>
      </c>
    </row>
    <row r="5128" spans="7:20" ht="14.4" x14ac:dyDescent="0.25">
      <c r="G5128" s="10">
        <v>4633</v>
      </c>
      <c r="H5128" s="9">
        <v>32966</v>
      </c>
      <c r="I5128" s="14">
        <f>DATE(2012,12,31)-340</f>
        <v>40934</v>
      </c>
      <c r="J5128" s="15" t="s">
        <v>25</v>
      </c>
      <c r="K5128" s="9">
        <v>43</v>
      </c>
      <c r="L5128" s="16" t="s">
        <v>26</v>
      </c>
      <c r="M5128" s="16">
        <f t="shared" si="477"/>
        <v>1.203592106384288</v>
      </c>
      <c r="N5128">
        <f t="shared" si="478"/>
        <v>0</v>
      </c>
      <c r="O5128">
        <f t="shared" si="479"/>
        <v>0</v>
      </c>
      <c r="P5128">
        <f t="shared" si="476"/>
        <v>5550</v>
      </c>
      <c r="Q5128">
        <f t="shared" si="480"/>
        <v>5550</v>
      </c>
      <c r="T5128" s="16">
        <f t="shared" si="481"/>
        <v>1.2035921063842876</v>
      </c>
    </row>
    <row r="5129" spans="7:20" ht="14.4" x14ac:dyDescent="0.25">
      <c r="G5129" s="10">
        <v>4664</v>
      </c>
      <c r="H5129" s="9">
        <v>33218</v>
      </c>
      <c r="I5129" s="14">
        <f>DATE(2012,12,31)-1090</f>
        <v>40184</v>
      </c>
      <c r="J5129" s="15" t="s">
        <v>28</v>
      </c>
      <c r="K5129" s="9">
        <v>25</v>
      </c>
      <c r="L5129" s="16" t="s">
        <v>26</v>
      </c>
      <c r="M5129" s="16">
        <f t="shared" si="477"/>
        <v>-3.9483872761697868E-2</v>
      </c>
      <c r="N5129">
        <f t="shared" si="478"/>
        <v>0</v>
      </c>
      <c r="O5129">
        <f t="shared" si="479"/>
        <v>0</v>
      </c>
      <c r="P5129">
        <f t="shared" si="476"/>
        <v>4650</v>
      </c>
      <c r="Q5129">
        <f t="shared" si="480"/>
        <v>4650</v>
      </c>
      <c r="T5129" s="16">
        <f t="shared" si="481"/>
        <v>-3.9483872761698249E-2</v>
      </c>
    </row>
    <row r="5130" spans="7:20" ht="14.4" x14ac:dyDescent="0.25">
      <c r="G5130" s="10">
        <v>4665</v>
      </c>
      <c r="H5130" s="9">
        <v>33218</v>
      </c>
      <c r="I5130" s="14">
        <f>DATE(2012,12,31)-1090</f>
        <v>40184</v>
      </c>
      <c r="J5130" s="15" t="s">
        <v>28</v>
      </c>
      <c r="K5130" s="9">
        <v>29</v>
      </c>
      <c r="L5130" s="16" t="s">
        <v>29</v>
      </c>
      <c r="M5130" s="16">
        <f t="shared" si="477"/>
        <v>0.23675523371518786</v>
      </c>
      <c r="N5130">
        <f t="shared" si="478"/>
        <v>0</v>
      </c>
      <c r="O5130">
        <f t="shared" si="479"/>
        <v>0</v>
      </c>
      <c r="P5130">
        <f t="shared" si="476"/>
        <v>4850</v>
      </c>
      <c r="Q5130">
        <f t="shared" si="480"/>
        <v>4850</v>
      </c>
      <c r="T5130" s="16">
        <f t="shared" si="481"/>
        <v>0.2367552337151875</v>
      </c>
    </row>
    <row r="5131" spans="7:20" ht="14.4" x14ac:dyDescent="0.25">
      <c r="G5131" s="10">
        <v>4679</v>
      </c>
      <c r="H5131" s="9">
        <v>33285</v>
      </c>
      <c r="I5131" s="14">
        <f>DATE(2012,12,31)-347</f>
        <v>40927</v>
      </c>
      <c r="J5131" s="15" t="s">
        <v>17</v>
      </c>
      <c r="K5131" s="9">
        <v>5</v>
      </c>
      <c r="L5131" s="16" t="s">
        <v>26</v>
      </c>
      <c r="M5131" s="16">
        <f t="shared" si="477"/>
        <v>-1.4206794051461267</v>
      </c>
      <c r="N5131">
        <f t="shared" si="478"/>
        <v>0</v>
      </c>
      <c r="O5131">
        <f t="shared" si="479"/>
        <v>0</v>
      </c>
      <c r="P5131">
        <f t="shared" si="476"/>
        <v>3650</v>
      </c>
      <c r="Q5131">
        <f t="shared" si="480"/>
        <v>3650</v>
      </c>
      <c r="T5131" s="16">
        <f t="shared" si="481"/>
        <v>-1.4206794051461269</v>
      </c>
    </row>
    <row r="5132" spans="7:20" ht="14.4" x14ac:dyDescent="0.25">
      <c r="G5132" s="10">
        <v>4701</v>
      </c>
      <c r="H5132" s="9">
        <v>33479</v>
      </c>
      <c r="I5132" s="14">
        <f>DATE(2012,12,31)-104</f>
        <v>41170</v>
      </c>
      <c r="J5132" s="15" t="s">
        <v>30</v>
      </c>
      <c r="K5132" s="9">
        <v>24</v>
      </c>
      <c r="L5132" s="16" t="s">
        <v>26</v>
      </c>
      <c r="M5132" s="16">
        <f t="shared" si="477"/>
        <v>-0.1085436493809193</v>
      </c>
      <c r="N5132">
        <f t="shared" si="478"/>
        <v>0</v>
      </c>
      <c r="O5132">
        <f t="shared" si="479"/>
        <v>0</v>
      </c>
      <c r="P5132">
        <f t="shared" ref="P5132:P5195" si="482">50*K5132+$P$10</f>
        <v>4600</v>
      </c>
      <c r="Q5132">
        <f t="shared" si="480"/>
        <v>4600</v>
      </c>
      <c r="T5132" s="16">
        <f t="shared" si="481"/>
        <v>-0.10854364938091969</v>
      </c>
    </row>
    <row r="5133" spans="7:20" ht="14.4" x14ac:dyDescent="0.25">
      <c r="G5133" s="10">
        <v>4706</v>
      </c>
      <c r="H5133" s="9">
        <v>33537</v>
      </c>
      <c r="I5133" s="14">
        <f>DATE(2012,12,31)-871</f>
        <v>40403</v>
      </c>
      <c r="J5133" s="15" t="s">
        <v>16</v>
      </c>
      <c r="K5133" s="9">
        <v>26</v>
      </c>
      <c r="L5133" s="16" t="s">
        <v>26</v>
      </c>
      <c r="M5133" s="16">
        <f t="shared" ref="M5133:M5196" si="483">(K5133-$K$4)/$K$7</f>
        <v>2.9575903857523567E-2</v>
      </c>
      <c r="N5133">
        <f t="shared" ref="N5133:N5196" si="484">IF(MOD($B$20+G5133,1000)=0,1,0)</f>
        <v>0</v>
      </c>
      <c r="O5133">
        <f t="shared" ref="O5133:O5196" si="485">+ROUND(N5133*(IF(K5133&lt;$K$4,-4.5,10.5)*$P$5),-2)</f>
        <v>0</v>
      </c>
      <c r="P5133">
        <f t="shared" si="482"/>
        <v>4700</v>
      </c>
      <c r="Q5133">
        <f t="shared" ref="Q5133:Q5196" si="486">P5133+O5133</f>
        <v>4700</v>
      </c>
      <c r="T5133" s="16">
        <f t="shared" ref="T5133:T5196" si="487">(Q5133-$P$4)/$P$5</f>
        <v>2.9575903857523185E-2</v>
      </c>
    </row>
    <row r="5134" spans="7:20" ht="14.4" x14ac:dyDescent="0.25">
      <c r="G5134" s="10">
        <v>4707</v>
      </c>
      <c r="H5134" s="9">
        <v>33537</v>
      </c>
      <c r="I5134" s="14">
        <f>DATE(2012,12,31)-871</f>
        <v>40403</v>
      </c>
      <c r="J5134" s="15" t="s">
        <v>16</v>
      </c>
      <c r="K5134" s="9">
        <v>9</v>
      </c>
      <c r="L5134" s="16" t="s">
        <v>27</v>
      </c>
      <c r="M5134" s="16">
        <f t="shared" si="483"/>
        <v>-1.1444402986692408</v>
      </c>
      <c r="N5134">
        <f t="shared" si="484"/>
        <v>0</v>
      </c>
      <c r="O5134">
        <f t="shared" si="485"/>
        <v>0</v>
      </c>
      <c r="P5134">
        <f t="shared" si="482"/>
        <v>3850</v>
      </c>
      <c r="Q5134">
        <f t="shared" si="486"/>
        <v>3850</v>
      </c>
      <c r="T5134" s="16">
        <f t="shared" si="487"/>
        <v>-1.1444402986692412</v>
      </c>
    </row>
    <row r="5135" spans="7:20" ht="14.4" x14ac:dyDescent="0.25">
      <c r="G5135" s="10">
        <v>4712</v>
      </c>
      <c r="H5135" s="9">
        <v>33569</v>
      </c>
      <c r="I5135" s="14">
        <f>DATE(2012,12,31)-1221</f>
        <v>40053</v>
      </c>
      <c r="J5135" s="15" t="s">
        <v>25</v>
      </c>
      <c r="K5135" s="9">
        <v>9</v>
      </c>
      <c r="L5135" s="16" t="s">
        <v>29</v>
      </c>
      <c r="M5135" s="16">
        <f t="shared" si="483"/>
        <v>-1.1444402986692408</v>
      </c>
      <c r="N5135">
        <f t="shared" si="484"/>
        <v>0</v>
      </c>
      <c r="O5135">
        <f t="shared" si="485"/>
        <v>0</v>
      </c>
      <c r="P5135">
        <f t="shared" si="482"/>
        <v>3850</v>
      </c>
      <c r="Q5135">
        <f t="shared" si="486"/>
        <v>3850</v>
      </c>
      <c r="T5135" s="16">
        <f t="shared" si="487"/>
        <v>-1.1444402986692412</v>
      </c>
    </row>
    <row r="5136" spans="7:20" ht="14.4" x14ac:dyDescent="0.25">
      <c r="G5136" s="10">
        <v>4716</v>
      </c>
      <c r="H5136" s="9">
        <v>33571</v>
      </c>
      <c r="I5136" s="14">
        <f>DATE(2012,12,31)-447</f>
        <v>40827</v>
      </c>
      <c r="J5136" s="15" t="s">
        <v>16</v>
      </c>
      <c r="K5136" s="9">
        <v>1</v>
      </c>
      <c r="L5136" s="16" t="s">
        <v>29</v>
      </c>
      <c r="M5136" s="16">
        <f t="shared" si="483"/>
        <v>-1.6969185116230123</v>
      </c>
      <c r="N5136">
        <f t="shared" si="484"/>
        <v>0</v>
      </c>
      <c r="O5136">
        <f t="shared" si="485"/>
        <v>0</v>
      </c>
      <c r="P5136">
        <f t="shared" si="482"/>
        <v>3450</v>
      </c>
      <c r="Q5136">
        <f t="shared" si="486"/>
        <v>3450</v>
      </c>
      <c r="T5136" s="16">
        <f t="shared" si="487"/>
        <v>-1.6969185116230128</v>
      </c>
    </row>
    <row r="5137" spans="7:20" ht="14.4" x14ac:dyDescent="0.25">
      <c r="G5137" s="10">
        <v>4726</v>
      </c>
      <c r="H5137" s="9">
        <v>33637</v>
      </c>
      <c r="I5137" s="14">
        <f>DATE(2012,12,31)-37</f>
        <v>41237</v>
      </c>
      <c r="J5137" s="15" t="s">
        <v>25</v>
      </c>
      <c r="K5137" s="9">
        <v>35</v>
      </c>
      <c r="L5137" s="16" t="s">
        <v>29</v>
      </c>
      <c r="M5137" s="16">
        <f t="shared" si="483"/>
        <v>0.65111389343051651</v>
      </c>
      <c r="N5137">
        <f t="shared" si="484"/>
        <v>0</v>
      </c>
      <c r="O5137">
        <f t="shared" si="485"/>
        <v>0</v>
      </c>
      <c r="P5137">
        <f t="shared" si="482"/>
        <v>5150</v>
      </c>
      <c r="Q5137">
        <f t="shared" si="486"/>
        <v>5150</v>
      </c>
      <c r="T5137" s="16">
        <f t="shared" si="487"/>
        <v>0.65111389343051607</v>
      </c>
    </row>
    <row r="5138" spans="7:20" ht="14.4" x14ac:dyDescent="0.25">
      <c r="G5138" s="10">
        <v>4729</v>
      </c>
      <c r="H5138" s="9">
        <v>33670</v>
      </c>
      <c r="I5138" s="14">
        <f>DATE(2012,12,31)-248</f>
        <v>41026</v>
      </c>
      <c r="J5138" s="15" t="s">
        <v>17</v>
      </c>
      <c r="K5138" s="9">
        <v>50</v>
      </c>
      <c r="L5138" s="16" t="s">
        <v>26</v>
      </c>
      <c r="M5138" s="16">
        <f t="shared" si="483"/>
        <v>1.687010542718838</v>
      </c>
      <c r="N5138">
        <f t="shared" si="484"/>
        <v>0</v>
      </c>
      <c r="O5138">
        <f t="shared" si="485"/>
        <v>0</v>
      </c>
      <c r="P5138">
        <f t="shared" si="482"/>
        <v>5900</v>
      </c>
      <c r="Q5138">
        <f t="shared" si="486"/>
        <v>5900</v>
      </c>
      <c r="T5138" s="16">
        <f t="shared" si="487"/>
        <v>1.6870105427188375</v>
      </c>
    </row>
    <row r="5139" spans="7:20" ht="14.4" x14ac:dyDescent="0.25">
      <c r="G5139" s="10">
        <v>4730</v>
      </c>
      <c r="H5139" s="9">
        <v>33670</v>
      </c>
      <c r="I5139" s="14">
        <f>DATE(2012,12,31)-248</f>
        <v>41026</v>
      </c>
      <c r="J5139" s="15" t="s">
        <v>17</v>
      </c>
      <c r="K5139" s="9">
        <v>4</v>
      </c>
      <c r="L5139" s="16" t="s">
        <v>26</v>
      </c>
      <c r="M5139" s="16">
        <f t="shared" si="483"/>
        <v>-1.489739181765348</v>
      </c>
      <c r="N5139">
        <f t="shared" si="484"/>
        <v>0</v>
      </c>
      <c r="O5139">
        <f t="shared" si="485"/>
        <v>0</v>
      </c>
      <c r="P5139">
        <f t="shared" si="482"/>
        <v>3600</v>
      </c>
      <c r="Q5139">
        <f t="shared" si="486"/>
        <v>3600</v>
      </c>
      <c r="T5139" s="16">
        <f t="shared" si="487"/>
        <v>-1.4897391817653485</v>
      </c>
    </row>
    <row r="5140" spans="7:20" ht="14.4" x14ac:dyDescent="0.25">
      <c r="G5140" s="10">
        <v>4753</v>
      </c>
      <c r="H5140" s="9">
        <v>33794</v>
      </c>
      <c r="I5140" s="14">
        <f>DATE(2012,12,31)-678</f>
        <v>40596</v>
      </c>
      <c r="J5140" s="15" t="s">
        <v>30</v>
      </c>
      <c r="K5140" s="9">
        <v>18</v>
      </c>
      <c r="L5140" s="16" t="s">
        <v>29</v>
      </c>
      <c r="M5140" s="16">
        <f t="shared" si="483"/>
        <v>-0.52290230909624791</v>
      </c>
      <c r="N5140">
        <f t="shared" si="484"/>
        <v>0</v>
      </c>
      <c r="O5140">
        <f t="shared" si="485"/>
        <v>0</v>
      </c>
      <c r="P5140">
        <f t="shared" si="482"/>
        <v>4300</v>
      </c>
      <c r="Q5140">
        <f t="shared" si="486"/>
        <v>4300</v>
      </c>
      <c r="T5140" s="16">
        <f t="shared" si="487"/>
        <v>-0.52290230909624835</v>
      </c>
    </row>
    <row r="5141" spans="7:20" ht="14.4" x14ac:dyDescent="0.25">
      <c r="G5141" s="10">
        <v>4761</v>
      </c>
      <c r="H5141" s="9">
        <v>33857</v>
      </c>
      <c r="I5141" s="14">
        <f>DATE(2012,12,31)-977</f>
        <v>40297</v>
      </c>
      <c r="J5141" s="15" t="s">
        <v>30</v>
      </c>
      <c r="K5141" s="9">
        <v>18</v>
      </c>
      <c r="L5141" s="16" t="s">
        <v>26</v>
      </c>
      <c r="M5141" s="16">
        <f t="shared" si="483"/>
        <v>-0.52290230909624791</v>
      </c>
      <c r="N5141">
        <f t="shared" si="484"/>
        <v>0</v>
      </c>
      <c r="O5141">
        <f t="shared" si="485"/>
        <v>0</v>
      </c>
      <c r="P5141">
        <f t="shared" si="482"/>
        <v>4300</v>
      </c>
      <c r="Q5141">
        <f t="shared" si="486"/>
        <v>4300</v>
      </c>
      <c r="T5141" s="16">
        <f t="shared" si="487"/>
        <v>-0.52290230909624835</v>
      </c>
    </row>
    <row r="5142" spans="7:20" ht="14.4" x14ac:dyDescent="0.25">
      <c r="G5142" s="10">
        <v>4833</v>
      </c>
      <c r="H5142" s="9">
        <v>34400</v>
      </c>
      <c r="I5142" s="14">
        <f>DATE(2012,12,31)-7</f>
        <v>41267</v>
      </c>
      <c r="J5142" s="15" t="s">
        <v>25</v>
      </c>
      <c r="K5142" s="9">
        <v>25</v>
      </c>
      <c r="L5142" s="16" t="s">
        <v>26</v>
      </c>
      <c r="M5142" s="16">
        <f t="shared" si="483"/>
        <v>-3.9483872761697868E-2</v>
      </c>
      <c r="N5142">
        <f t="shared" si="484"/>
        <v>0</v>
      </c>
      <c r="O5142">
        <f t="shared" si="485"/>
        <v>0</v>
      </c>
      <c r="P5142">
        <f t="shared" si="482"/>
        <v>4650</v>
      </c>
      <c r="Q5142">
        <f t="shared" si="486"/>
        <v>4650</v>
      </c>
      <c r="T5142" s="16">
        <f t="shared" si="487"/>
        <v>-3.9483872761698249E-2</v>
      </c>
    </row>
    <row r="5143" spans="7:20" ht="14.4" x14ac:dyDescent="0.25">
      <c r="G5143" s="10">
        <v>4834</v>
      </c>
      <c r="H5143" s="9">
        <v>34400</v>
      </c>
      <c r="I5143" s="14">
        <f>DATE(2012,12,31)-7</f>
        <v>41267</v>
      </c>
      <c r="J5143" s="15" t="s">
        <v>25</v>
      </c>
      <c r="K5143" s="9">
        <v>17</v>
      </c>
      <c r="L5143" s="16" t="s">
        <v>27</v>
      </c>
      <c r="M5143" s="16">
        <f t="shared" si="483"/>
        <v>-0.59196208571546938</v>
      </c>
      <c r="N5143">
        <f t="shared" si="484"/>
        <v>0</v>
      </c>
      <c r="O5143">
        <f t="shared" si="485"/>
        <v>0</v>
      </c>
      <c r="P5143">
        <f t="shared" si="482"/>
        <v>4250</v>
      </c>
      <c r="Q5143">
        <f t="shared" si="486"/>
        <v>4250</v>
      </c>
      <c r="T5143" s="16">
        <f t="shared" si="487"/>
        <v>-0.59196208571546971</v>
      </c>
    </row>
    <row r="5144" spans="7:20" ht="14.4" x14ac:dyDescent="0.25">
      <c r="G5144" s="10">
        <v>4838</v>
      </c>
      <c r="H5144" s="9">
        <v>34407</v>
      </c>
      <c r="I5144" s="14">
        <f>DATE(2012,12,31)-884</f>
        <v>40390</v>
      </c>
      <c r="J5144" s="15" t="s">
        <v>25</v>
      </c>
      <c r="K5144" s="9">
        <v>41</v>
      </c>
      <c r="L5144" s="16" t="s">
        <v>26</v>
      </c>
      <c r="M5144" s="16">
        <f t="shared" si="483"/>
        <v>1.0654725531458451</v>
      </c>
      <c r="N5144">
        <f t="shared" si="484"/>
        <v>0</v>
      </c>
      <c r="O5144">
        <f t="shared" si="485"/>
        <v>0</v>
      </c>
      <c r="P5144">
        <f t="shared" si="482"/>
        <v>5450</v>
      </c>
      <c r="Q5144">
        <f t="shared" si="486"/>
        <v>5450</v>
      </c>
      <c r="T5144" s="16">
        <f t="shared" si="487"/>
        <v>1.0654725531458447</v>
      </c>
    </row>
    <row r="5145" spans="7:20" ht="14.4" x14ac:dyDescent="0.25">
      <c r="G5145" s="10">
        <v>4839</v>
      </c>
      <c r="H5145" s="9">
        <v>34432</v>
      </c>
      <c r="I5145" s="14">
        <f>DATE(2012,12,31)-1364</f>
        <v>39910</v>
      </c>
      <c r="J5145" s="15" t="s">
        <v>28</v>
      </c>
      <c r="K5145" s="9">
        <v>20</v>
      </c>
      <c r="L5145" s="16" t="s">
        <v>26</v>
      </c>
      <c r="M5145" s="16">
        <f t="shared" si="483"/>
        <v>-0.38478275585780503</v>
      </c>
      <c r="N5145">
        <f t="shared" si="484"/>
        <v>0</v>
      </c>
      <c r="O5145">
        <f t="shared" si="485"/>
        <v>0</v>
      </c>
      <c r="P5145">
        <f t="shared" si="482"/>
        <v>4400</v>
      </c>
      <c r="Q5145">
        <f t="shared" si="486"/>
        <v>4400</v>
      </c>
      <c r="T5145" s="16">
        <f t="shared" si="487"/>
        <v>-0.38478275585780541</v>
      </c>
    </row>
    <row r="5146" spans="7:20" ht="14.4" x14ac:dyDescent="0.25">
      <c r="G5146" s="10">
        <v>4840</v>
      </c>
      <c r="H5146" s="9">
        <v>34432</v>
      </c>
      <c r="I5146" s="14">
        <f>DATE(2012,12,31)-1364</f>
        <v>39910</v>
      </c>
      <c r="J5146" s="15" t="s">
        <v>28</v>
      </c>
      <c r="K5146" s="9">
        <v>3</v>
      </c>
      <c r="L5146" s="16" t="s">
        <v>26</v>
      </c>
      <c r="M5146" s="16">
        <f t="shared" si="483"/>
        <v>-1.5587989583845694</v>
      </c>
      <c r="N5146">
        <f t="shared" si="484"/>
        <v>0</v>
      </c>
      <c r="O5146">
        <f t="shared" si="485"/>
        <v>0</v>
      </c>
      <c r="P5146">
        <f t="shared" si="482"/>
        <v>3550</v>
      </c>
      <c r="Q5146">
        <f t="shared" si="486"/>
        <v>3550</v>
      </c>
      <c r="T5146" s="16">
        <f t="shared" si="487"/>
        <v>-1.5587989583845698</v>
      </c>
    </row>
    <row r="5147" spans="7:20" ht="14.4" x14ac:dyDescent="0.25">
      <c r="G5147" s="10">
        <v>4846</v>
      </c>
      <c r="H5147" s="9">
        <v>34497</v>
      </c>
      <c r="I5147" s="14">
        <f>DATE(2012,12,31)-1392</f>
        <v>39882</v>
      </c>
      <c r="J5147" s="15" t="s">
        <v>16</v>
      </c>
      <c r="K5147" s="9">
        <v>36</v>
      </c>
      <c r="L5147" s="16" t="s">
        <v>26</v>
      </c>
      <c r="M5147" s="16">
        <f t="shared" si="483"/>
        <v>0.72017367004973787</v>
      </c>
      <c r="N5147">
        <f t="shared" si="484"/>
        <v>0</v>
      </c>
      <c r="O5147">
        <f t="shared" si="485"/>
        <v>0</v>
      </c>
      <c r="P5147">
        <f t="shared" si="482"/>
        <v>5200</v>
      </c>
      <c r="Q5147">
        <f t="shared" si="486"/>
        <v>5200</v>
      </c>
      <c r="T5147" s="16">
        <f t="shared" si="487"/>
        <v>0.72017367004973754</v>
      </c>
    </row>
    <row r="5148" spans="7:20" ht="14.4" x14ac:dyDescent="0.25">
      <c r="G5148" s="10">
        <v>4847</v>
      </c>
      <c r="H5148" s="9">
        <v>34497</v>
      </c>
      <c r="I5148" s="14">
        <f>DATE(2012,12,31)-1392</f>
        <v>39882</v>
      </c>
      <c r="J5148" s="15" t="s">
        <v>16</v>
      </c>
      <c r="K5148" s="9">
        <v>25</v>
      </c>
      <c r="L5148" s="16" t="s">
        <v>26</v>
      </c>
      <c r="M5148" s="16">
        <f t="shared" si="483"/>
        <v>-3.9483872761697868E-2</v>
      </c>
      <c r="N5148">
        <f t="shared" si="484"/>
        <v>0</v>
      </c>
      <c r="O5148">
        <f t="shared" si="485"/>
        <v>0</v>
      </c>
      <c r="P5148">
        <f t="shared" si="482"/>
        <v>4650</v>
      </c>
      <c r="Q5148">
        <f t="shared" si="486"/>
        <v>4650</v>
      </c>
      <c r="T5148" s="16">
        <f t="shared" si="487"/>
        <v>-3.9483872761698249E-2</v>
      </c>
    </row>
    <row r="5149" spans="7:20" ht="14.4" x14ac:dyDescent="0.25">
      <c r="G5149" s="10">
        <v>4848</v>
      </c>
      <c r="H5149" s="9">
        <v>34498</v>
      </c>
      <c r="I5149" s="14">
        <f>DATE(2012,12,31)-1415</f>
        <v>39859</v>
      </c>
      <c r="J5149" s="15" t="s">
        <v>25</v>
      </c>
      <c r="K5149" s="9">
        <v>4</v>
      </c>
      <c r="L5149" s="16" t="s">
        <v>26</v>
      </c>
      <c r="M5149" s="16">
        <f t="shared" si="483"/>
        <v>-1.489739181765348</v>
      </c>
      <c r="N5149">
        <f t="shared" si="484"/>
        <v>0</v>
      </c>
      <c r="O5149">
        <f t="shared" si="485"/>
        <v>0</v>
      </c>
      <c r="P5149">
        <f t="shared" si="482"/>
        <v>3600</v>
      </c>
      <c r="Q5149">
        <f t="shared" si="486"/>
        <v>3600</v>
      </c>
      <c r="T5149" s="16">
        <f t="shared" si="487"/>
        <v>-1.4897391817653485</v>
      </c>
    </row>
    <row r="5150" spans="7:20" ht="14.4" x14ac:dyDescent="0.25">
      <c r="G5150" s="10">
        <v>4849</v>
      </c>
      <c r="H5150" s="9">
        <v>34498</v>
      </c>
      <c r="I5150" s="14">
        <f>DATE(2012,12,31)-1415</f>
        <v>39859</v>
      </c>
      <c r="J5150" s="15" t="s">
        <v>25</v>
      </c>
      <c r="K5150" s="9">
        <v>3</v>
      </c>
      <c r="L5150" s="16" t="s">
        <v>26</v>
      </c>
      <c r="M5150" s="16">
        <f t="shared" si="483"/>
        <v>-1.5587989583845694</v>
      </c>
      <c r="N5150">
        <f t="shared" si="484"/>
        <v>0</v>
      </c>
      <c r="O5150">
        <f t="shared" si="485"/>
        <v>0</v>
      </c>
      <c r="P5150">
        <f t="shared" si="482"/>
        <v>3550</v>
      </c>
      <c r="Q5150">
        <f t="shared" si="486"/>
        <v>3550</v>
      </c>
      <c r="T5150" s="16">
        <f t="shared" si="487"/>
        <v>-1.5587989583845698</v>
      </c>
    </row>
    <row r="5151" spans="7:20" ht="14.4" x14ac:dyDescent="0.25">
      <c r="G5151" s="10">
        <v>4925</v>
      </c>
      <c r="H5151" s="9">
        <v>35045</v>
      </c>
      <c r="I5151" s="14">
        <f>DATE(2012,12,31)-273</f>
        <v>41001</v>
      </c>
      <c r="J5151" s="15" t="s">
        <v>16</v>
      </c>
      <c r="K5151" s="9">
        <v>44</v>
      </c>
      <c r="L5151" s="16" t="s">
        <v>26</v>
      </c>
      <c r="M5151" s="16">
        <f t="shared" si="483"/>
        <v>1.2726518830035094</v>
      </c>
      <c r="N5151">
        <f t="shared" si="484"/>
        <v>0</v>
      </c>
      <c r="O5151">
        <f t="shared" si="485"/>
        <v>0</v>
      </c>
      <c r="P5151">
        <f t="shared" si="482"/>
        <v>5600</v>
      </c>
      <c r="Q5151">
        <f t="shared" si="486"/>
        <v>5600</v>
      </c>
      <c r="T5151" s="16">
        <f t="shared" si="487"/>
        <v>1.272651883003509</v>
      </c>
    </row>
    <row r="5152" spans="7:20" ht="14.4" x14ac:dyDescent="0.25">
      <c r="G5152" s="10">
        <v>4954</v>
      </c>
      <c r="H5152" s="9">
        <v>35265</v>
      </c>
      <c r="I5152" s="14">
        <f>DATE(2012,12,31)-763</f>
        <v>40511</v>
      </c>
      <c r="J5152" s="15" t="s">
        <v>28</v>
      </c>
      <c r="K5152" s="9">
        <v>4</v>
      </c>
      <c r="L5152" s="16" t="s">
        <v>26</v>
      </c>
      <c r="M5152" s="16">
        <f t="shared" si="483"/>
        <v>-1.489739181765348</v>
      </c>
      <c r="N5152">
        <f t="shared" si="484"/>
        <v>0</v>
      </c>
      <c r="O5152">
        <f t="shared" si="485"/>
        <v>0</v>
      </c>
      <c r="P5152">
        <f t="shared" si="482"/>
        <v>3600</v>
      </c>
      <c r="Q5152">
        <f t="shared" si="486"/>
        <v>3600</v>
      </c>
      <c r="T5152" s="16">
        <f t="shared" si="487"/>
        <v>-1.4897391817653485</v>
      </c>
    </row>
    <row r="5153" spans="7:20" ht="14.4" x14ac:dyDescent="0.25">
      <c r="G5153" s="10">
        <v>4955</v>
      </c>
      <c r="H5153" s="9">
        <v>35265</v>
      </c>
      <c r="I5153" s="14">
        <f>DATE(2012,12,31)-763</f>
        <v>40511</v>
      </c>
      <c r="J5153" s="15" t="s">
        <v>28</v>
      </c>
      <c r="K5153" s="9">
        <v>16</v>
      </c>
      <c r="L5153" s="16" t="s">
        <v>29</v>
      </c>
      <c r="M5153" s="16">
        <f t="shared" si="483"/>
        <v>-0.66102186233469074</v>
      </c>
      <c r="N5153">
        <f t="shared" si="484"/>
        <v>0</v>
      </c>
      <c r="O5153">
        <f t="shared" si="485"/>
        <v>0</v>
      </c>
      <c r="P5153">
        <f t="shared" si="482"/>
        <v>4200</v>
      </c>
      <c r="Q5153">
        <f t="shared" si="486"/>
        <v>4200</v>
      </c>
      <c r="T5153" s="16">
        <f t="shared" si="487"/>
        <v>-0.66102186233469118</v>
      </c>
    </row>
    <row r="5154" spans="7:20" ht="14.4" x14ac:dyDescent="0.25">
      <c r="G5154" s="10">
        <v>4956</v>
      </c>
      <c r="H5154" s="9">
        <v>35265</v>
      </c>
      <c r="I5154" s="14">
        <f>DATE(2012,12,31)-763</f>
        <v>40511</v>
      </c>
      <c r="J5154" s="15" t="s">
        <v>28</v>
      </c>
      <c r="K5154" s="9">
        <v>2</v>
      </c>
      <c r="L5154" s="16" t="s">
        <v>27</v>
      </c>
      <c r="M5154" s="16">
        <f t="shared" si="483"/>
        <v>-1.627858735003791</v>
      </c>
      <c r="N5154">
        <f t="shared" si="484"/>
        <v>0</v>
      </c>
      <c r="O5154">
        <f t="shared" si="485"/>
        <v>0</v>
      </c>
      <c r="P5154">
        <f t="shared" si="482"/>
        <v>3500</v>
      </c>
      <c r="Q5154">
        <f t="shared" si="486"/>
        <v>3500</v>
      </c>
      <c r="T5154" s="16">
        <f t="shared" si="487"/>
        <v>-1.6278587350037912</v>
      </c>
    </row>
    <row r="5155" spans="7:20" ht="14.4" x14ac:dyDescent="0.25">
      <c r="G5155" s="10">
        <v>4985</v>
      </c>
      <c r="H5155" s="9">
        <v>35461</v>
      </c>
      <c r="I5155" s="14">
        <f>DATE(2012,12,31)-1309</f>
        <v>39965</v>
      </c>
      <c r="J5155" s="15" t="s">
        <v>30</v>
      </c>
      <c r="K5155" s="9">
        <v>11</v>
      </c>
      <c r="L5155" s="16" t="s">
        <v>26</v>
      </c>
      <c r="M5155" s="16">
        <f t="shared" si="483"/>
        <v>-1.0063207454307979</v>
      </c>
      <c r="N5155">
        <f t="shared" si="484"/>
        <v>0</v>
      </c>
      <c r="O5155">
        <f t="shared" si="485"/>
        <v>0</v>
      </c>
      <c r="P5155">
        <f t="shared" si="482"/>
        <v>3950</v>
      </c>
      <c r="Q5155">
        <f t="shared" si="486"/>
        <v>3950</v>
      </c>
      <c r="T5155" s="16">
        <f t="shared" si="487"/>
        <v>-1.0063207454307983</v>
      </c>
    </row>
    <row r="5156" spans="7:20" ht="14.4" x14ac:dyDescent="0.25">
      <c r="G5156" s="10">
        <v>4986</v>
      </c>
      <c r="H5156" s="9">
        <v>35461</v>
      </c>
      <c r="I5156" s="14">
        <f>DATE(2012,12,31)-1309</f>
        <v>39965</v>
      </c>
      <c r="J5156" s="15" t="s">
        <v>30</v>
      </c>
      <c r="K5156" s="9">
        <v>30</v>
      </c>
      <c r="L5156" s="16" t="s">
        <v>26</v>
      </c>
      <c r="M5156" s="16">
        <f t="shared" si="483"/>
        <v>0.30581501033440933</v>
      </c>
      <c r="N5156">
        <f t="shared" si="484"/>
        <v>0</v>
      </c>
      <c r="O5156">
        <f t="shared" si="485"/>
        <v>0</v>
      </c>
      <c r="P5156">
        <f t="shared" si="482"/>
        <v>4900</v>
      </c>
      <c r="Q5156">
        <f t="shared" si="486"/>
        <v>4900</v>
      </c>
      <c r="T5156" s="16">
        <f t="shared" si="487"/>
        <v>0.30581501033440894</v>
      </c>
    </row>
    <row r="5157" spans="7:20" ht="14.4" x14ac:dyDescent="0.25">
      <c r="G5157" s="10">
        <v>5000</v>
      </c>
      <c r="H5157" s="9">
        <v>35590</v>
      </c>
      <c r="I5157" s="14">
        <f>DATE(2012,12,31)-29</f>
        <v>41245</v>
      </c>
      <c r="J5157" s="15" t="s">
        <v>30</v>
      </c>
      <c r="K5157" s="9">
        <v>4</v>
      </c>
      <c r="L5157" s="16" t="s">
        <v>27</v>
      </c>
      <c r="M5157" s="16">
        <f t="shared" si="483"/>
        <v>-1.489739181765348</v>
      </c>
      <c r="N5157">
        <f t="shared" si="484"/>
        <v>0</v>
      </c>
      <c r="O5157">
        <f t="shared" si="485"/>
        <v>0</v>
      </c>
      <c r="P5157">
        <f t="shared" si="482"/>
        <v>3600</v>
      </c>
      <c r="Q5157">
        <f t="shared" si="486"/>
        <v>3600</v>
      </c>
      <c r="T5157" s="16">
        <f t="shared" si="487"/>
        <v>-1.4897391817653485</v>
      </c>
    </row>
    <row r="5158" spans="7:20" ht="14.4" x14ac:dyDescent="0.25">
      <c r="G5158" s="10">
        <v>5006</v>
      </c>
      <c r="H5158" s="9">
        <v>35687</v>
      </c>
      <c r="I5158" s="14">
        <f>DATE(2012,12,31)-409</f>
        <v>40865</v>
      </c>
      <c r="J5158" s="15" t="s">
        <v>28</v>
      </c>
      <c r="K5158" s="9">
        <v>48</v>
      </c>
      <c r="L5158" s="16" t="s">
        <v>29</v>
      </c>
      <c r="M5158" s="16">
        <f t="shared" si="483"/>
        <v>1.5488909894803951</v>
      </c>
      <c r="N5158">
        <f t="shared" si="484"/>
        <v>0</v>
      </c>
      <c r="O5158">
        <f t="shared" si="485"/>
        <v>0</v>
      </c>
      <c r="P5158">
        <f t="shared" si="482"/>
        <v>5800</v>
      </c>
      <c r="Q5158">
        <f t="shared" si="486"/>
        <v>5800</v>
      </c>
      <c r="T5158" s="16">
        <f t="shared" si="487"/>
        <v>1.5488909894803948</v>
      </c>
    </row>
    <row r="5159" spans="7:20" ht="14.4" x14ac:dyDescent="0.25">
      <c r="G5159" s="10">
        <v>5011</v>
      </c>
      <c r="H5159" s="9">
        <v>35776</v>
      </c>
      <c r="I5159" s="14">
        <f>DATE(2012,12,31)-1426</f>
        <v>39848</v>
      </c>
      <c r="J5159" s="15" t="s">
        <v>16</v>
      </c>
      <c r="K5159" s="9">
        <v>9</v>
      </c>
      <c r="L5159" s="16" t="s">
        <v>26</v>
      </c>
      <c r="M5159" s="16">
        <f t="shared" si="483"/>
        <v>-1.1444402986692408</v>
      </c>
      <c r="N5159">
        <f t="shared" si="484"/>
        <v>0</v>
      </c>
      <c r="O5159">
        <f t="shared" si="485"/>
        <v>0</v>
      </c>
      <c r="P5159">
        <f t="shared" si="482"/>
        <v>3850</v>
      </c>
      <c r="Q5159">
        <f t="shared" si="486"/>
        <v>3850</v>
      </c>
      <c r="T5159" s="16">
        <f t="shared" si="487"/>
        <v>-1.1444402986692412</v>
      </c>
    </row>
    <row r="5160" spans="7:20" ht="14.4" x14ac:dyDescent="0.25">
      <c r="G5160" s="10">
        <v>5012</v>
      </c>
      <c r="H5160" s="9">
        <v>35776</v>
      </c>
      <c r="I5160" s="14">
        <f>DATE(2012,12,31)-1426</f>
        <v>39848</v>
      </c>
      <c r="J5160" s="15" t="s">
        <v>16</v>
      </c>
      <c r="K5160" s="9">
        <v>36</v>
      </c>
      <c r="L5160" s="16" t="s">
        <v>26</v>
      </c>
      <c r="M5160" s="16">
        <f t="shared" si="483"/>
        <v>0.72017367004973787</v>
      </c>
      <c r="N5160">
        <f t="shared" si="484"/>
        <v>0</v>
      </c>
      <c r="O5160">
        <f t="shared" si="485"/>
        <v>0</v>
      </c>
      <c r="P5160">
        <f t="shared" si="482"/>
        <v>5200</v>
      </c>
      <c r="Q5160">
        <f t="shared" si="486"/>
        <v>5200</v>
      </c>
      <c r="T5160" s="16">
        <f t="shared" si="487"/>
        <v>0.72017367004973754</v>
      </c>
    </row>
    <row r="5161" spans="7:20" ht="14.4" x14ac:dyDescent="0.25">
      <c r="G5161" s="10">
        <v>5015</v>
      </c>
      <c r="H5161" s="9">
        <v>35782</v>
      </c>
      <c r="I5161" s="14">
        <f>DATE(2012,12,31)-514</f>
        <v>40760</v>
      </c>
      <c r="J5161" s="15" t="s">
        <v>25</v>
      </c>
      <c r="K5161" s="9">
        <v>42</v>
      </c>
      <c r="L5161" s="16" t="s">
        <v>26</v>
      </c>
      <c r="M5161" s="16">
        <f t="shared" si="483"/>
        <v>1.1345323297650665</v>
      </c>
      <c r="N5161">
        <f t="shared" si="484"/>
        <v>0</v>
      </c>
      <c r="O5161">
        <f t="shared" si="485"/>
        <v>0</v>
      </c>
      <c r="P5161">
        <f t="shared" si="482"/>
        <v>5500</v>
      </c>
      <c r="Q5161">
        <f t="shared" si="486"/>
        <v>5500</v>
      </c>
      <c r="T5161" s="16">
        <f t="shared" si="487"/>
        <v>1.1345323297650662</v>
      </c>
    </row>
    <row r="5162" spans="7:20" ht="14.4" x14ac:dyDescent="0.25">
      <c r="G5162" s="10">
        <v>5016</v>
      </c>
      <c r="H5162" s="9">
        <v>35782</v>
      </c>
      <c r="I5162" s="14">
        <f>DATE(2012,12,31)-514</f>
        <v>40760</v>
      </c>
      <c r="J5162" s="15" t="s">
        <v>25</v>
      </c>
      <c r="K5162" s="9">
        <v>13</v>
      </c>
      <c r="L5162" s="16" t="s">
        <v>29</v>
      </c>
      <c r="M5162" s="16">
        <f t="shared" si="483"/>
        <v>-0.86820119219235514</v>
      </c>
      <c r="N5162">
        <f t="shared" si="484"/>
        <v>0</v>
      </c>
      <c r="O5162">
        <f t="shared" si="485"/>
        <v>0</v>
      </c>
      <c r="P5162">
        <f t="shared" si="482"/>
        <v>4050</v>
      </c>
      <c r="Q5162">
        <f t="shared" si="486"/>
        <v>4050</v>
      </c>
      <c r="T5162" s="16">
        <f t="shared" si="487"/>
        <v>-0.86820119219235548</v>
      </c>
    </row>
    <row r="5163" spans="7:20" ht="14.4" x14ac:dyDescent="0.25">
      <c r="G5163" s="10">
        <v>5022</v>
      </c>
      <c r="H5163" s="9">
        <v>35813</v>
      </c>
      <c r="I5163" s="14">
        <f>DATE(2012,12,31)-1350</f>
        <v>39924</v>
      </c>
      <c r="J5163" s="15" t="s">
        <v>30</v>
      </c>
      <c r="K5163" s="9">
        <v>21</v>
      </c>
      <c r="L5163" s="16" t="s">
        <v>26</v>
      </c>
      <c r="M5163" s="16">
        <f t="shared" si="483"/>
        <v>-0.31572297923858361</v>
      </c>
      <c r="N5163">
        <f t="shared" si="484"/>
        <v>0</v>
      </c>
      <c r="O5163">
        <f t="shared" si="485"/>
        <v>0</v>
      </c>
      <c r="P5163">
        <f t="shared" si="482"/>
        <v>4450</v>
      </c>
      <c r="Q5163">
        <f t="shared" si="486"/>
        <v>4450</v>
      </c>
      <c r="T5163" s="16">
        <f t="shared" si="487"/>
        <v>-0.315722979238584</v>
      </c>
    </row>
    <row r="5164" spans="7:20" ht="14.4" x14ac:dyDescent="0.25">
      <c r="G5164" s="10">
        <v>5023</v>
      </c>
      <c r="H5164" s="9">
        <v>35813</v>
      </c>
      <c r="I5164" s="14">
        <f>DATE(2012,12,31)-1350</f>
        <v>39924</v>
      </c>
      <c r="J5164" s="15" t="s">
        <v>30</v>
      </c>
      <c r="K5164" s="9">
        <v>21</v>
      </c>
      <c r="L5164" s="16" t="s">
        <v>29</v>
      </c>
      <c r="M5164" s="16">
        <f t="shared" si="483"/>
        <v>-0.31572297923858361</v>
      </c>
      <c r="N5164">
        <f t="shared" si="484"/>
        <v>0</v>
      </c>
      <c r="O5164">
        <f t="shared" si="485"/>
        <v>0</v>
      </c>
      <c r="P5164">
        <f t="shared" si="482"/>
        <v>4450</v>
      </c>
      <c r="Q5164">
        <f t="shared" si="486"/>
        <v>4450</v>
      </c>
      <c r="T5164" s="16">
        <f t="shared" si="487"/>
        <v>-0.315722979238584</v>
      </c>
    </row>
    <row r="5165" spans="7:20" ht="14.4" x14ac:dyDescent="0.25">
      <c r="G5165" s="10">
        <v>5050</v>
      </c>
      <c r="H5165" s="9">
        <v>36003</v>
      </c>
      <c r="I5165" s="14">
        <f>DATE(2012,12,31)-792</f>
        <v>40482</v>
      </c>
      <c r="J5165" s="15" t="s">
        <v>16</v>
      </c>
      <c r="K5165" s="9">
        <v>40</v>
      </c>
      <c r="L5165" s="16" t="s">
        <v>26</v>
      </c>
      <c r="M5165" s="16">
        <f t="shared" si="483"/>
        <v>0.99641277652662363</v>
      </c>
      <c r="N5165">
        <f t="shared" si="484"/>
        <v>0</v>
      </c>
      <c r="O5165">
        <f t="shared" si="485"/>
        <v>0</v>
      </c>
      <c r="P5165">
        <f t="shared" si="482"/>
        <v>5400</v>
      </c>
      <c r="Q5165">
        <f t="shared" si="486"/>
        <v>5400</v>
      </c>
      <c r="T5165" s="16">
        <f t="shared" si="487"/>
        <v>0.9964127765266233</v>
      </c>
    </row>
    <row r="5166" spans="7:20" ht="14.4" x14ac:dyDescent="0.25">
      <c r="G5166" s="10">
        <v>5051</v>
      </c>
      <c r="H5166" s="9">
        <v>36003</v>
      </c>
      <c r="I5166" s="14">
        <f>DATE(2012,12,31)-792</f>
        <v>40482</v>
      </c>
      <c r="J5166" s="15" t="s">
        <v>16</v>
      </c>
      <c r="K5166" s="9">
        <v>48</v>
      </c>
      <c r="L5166" s="16" t="s">
        <v>26</v>
      </c>
      <c r="M5166" s="16">
        <f t="shared" si="483"/>
        <v>1.5488909894803951</v>
      </c>
      <c r="N5166">
        <f t="shared" si="484"/>
        <v>0</v>
      </c>
      <c r="O5166">
        <f t="shared" si="485"/>
        <v>0</v>
      </c>
      <c r="P5166">
        <f t="shared" si="482"/>
        <v>5800</v>
      </c>
      <c r="Q5166">
        <f t="shared" si="486"/>
        <v>5800</v>
      </c>
      <c r="T5166" s="16">
        <f t="shared" si="487"/>
        <v>1.5488909894803948</v>
      </c>
    </row>
    <row r="5167" spans="7:20" ht="14.4" x14ac:dyDescent="0.25">
      <c r="G5167" s="10">
        <v>5065</v>
      </c>
      <c r="H5167" s="9">
        <v>36102</v>
      </c>
      <c r="I5167" s="14">
        <f>DATE(2012,12,31)-956</f>
        <v>40318</v>
      </c>
      <c r="J5167" s="15" t="s">
        <v>28</v>
      </c>
      <c r="K5167" s="9">
        <v>36</v>
      </c>
      <c r="L5167" s="16" t="s">
        <v>29</v>
      </c>
      <c r="M5167" s="16">
        <f t="shared" si="483"/>
        <v>0.72017367004973787</v>
      </c>
      <c r="N5167">
        <f t="shared" si="484"/>
        <v>0</v>
      </c>
      <c r="O5167">
        <f t="shared" si="485"/>
        <v>0</v>
      </c>
      <c r="P5167">
        <f t="shared" si="482"/>
        <v>5200</v>
      </c>
      <c r="Q5167">
        <f t="shared" si="486"/>
        <v>5200</v>
      </c>
      <c r="T5167" s="16">
        <f t="shared" si="487"/>
        <v>0.72017367004973754</v>
      </c>
    </row>
    <row r="5168" spans="7:20" ht="14.4" x14ac:dyDescent="0.25">
      <c r="G5168" s="10">
        <v>5094</v>
      </c>
      <c r="H5168" s="9">
        <v>36295</v>
      </c>
      <c r="I5168" s="14">
        <f>DATE(2012,12,31)-849</f>
        <v>40425</v>
      </c>
      <c r="J5168" s="15" t="s">
        <v>16</v>
      </c>
      <c r="K5168" s="9">
        <v>10</v>
      </c>
      <c r="L5168" s="16" t="s">
        <v>26</v>
      </c>
      <c r="M5168" s="16">
        <f t="shared" si="483"/>
        <v>-1.0753805220500194</v>
      </c>
      <c r="N5168">
        <f t="shared" si="484"/>
        <v>0</v>
      </c>
      <c r="O5168">
        <f t="shared" si="485"/>
        <v>0</v>
      </c>
      <c r="P5168">
        <f t="shared" si="482"/>
        <v>3900</v>
      </c>
      <c r="Q5168">
        <f t="shared" si="486"/>
        <v>3900</v>
      </c>
      <c r="T5168" s="16">
        <f t="shared" si="487"/>
        <v>-1.0753805220500199</v>
      </c>
    </row>
    <row r="5169" spans="7:20" ht="14.4" x14ac:dyDescent="0.25">
      <c r="G5169" s="10">
        <v>5095</v>
      </c>
      <c r="H5169" s="9">
        <v>36323</v>
      </c>
      <c r="I5169" s="14">
        <f>DATE(2012,12,31)-805</f>
        <v>40469</v>
      </c>
      <c r="J5169" s="15" t="s">
        <v>17</v>
      </c>
      <c r="K5169" s="9">
        <v>5</v>
      </c>
      <c r="L5169" s="16" t="s">
        <v>27</v>
      </c>
      <c r="M5169" s="16">
        <f t="shared" si="483"/>
        <v>-1.4206794051461267</v>
      </c>
      <c r="N5169">
        <f t="shared" si="484"/>
        <v>0</v>
      </c>
      <c r="O5169">
        <f t="shared" si="485"/>
        <v>0</v>
      </c>
      <c r="P5169">
        <f t="shared" si="482"/>
        <v>3650</v>
      </c>
      <c r="Q5169">
        <f t="shared" si="486"/>
        <v>3650</v>
      </c>
      <c r="T5169" s="16">
        <f t="shared" si="487"/>
        <v>-1.4206794051461269</v>
      </c>
    </row>
    <row r="5170" spans="7:20" ht="14.4" x14ac:dyDescent="0.25">
      <c r="G5170" s="10">
        <v>5096</v>
      </c>
      <c r="H5170" s="9">
        <v>36354</v>
      </c>
      <c r="I5170" s="14">
        <f>DATE(2012,12,31)-209</f>
        <v>41065</v>
      </c>
      <c r="J5170" s="15" t="s">
        <v>16</v>
      </c>
      <c r="K5170" s="9">
        <v>13</v>
      </c>
      <c r="L5170" s="16" t="s">
        <v>26</v>
      </c>
      <c r="M5170" s="16">
        <f t="shared" si="483"/>
        <v>-0.86820119219235514</v>
      </c>
      <c r="N5170">
        <f t="shared" si="484"/>
        <v>0</v>
      </c>
      <c r="O5170">
        <f t="shared" si="485"/>
        <v>0</v>
      </c>
      <c r="P5170">
        <f t="shared" si="482"/>
        <v>4050</v>
      </c>
      <c r="Q5170">
        <f t="shared" si="486"/>
        <v>4050</v>
      </c>
      <c r="T5170" s="16">
        <f t="shared" si="487"/>
        <v>-0.86820119219235548</v>
      </c>
    </row>
    <row r="5171" spans="7:20" ht="14.4" x14ac:dyDescent="0.25">
      <c r="G5171" s="10">
        <v>5126</v>
      </c>
      <c r="H5171" s="9">
        <v>36512</v>
      </c>
      <c r="I5171" s="14">
        <f>DATE(2012,12,31)-278</f>
        <v>40996</v>
      </c>
      <c r="J5171" s="15" t="s">
        <v>28</v>
      </c>
      <c r="K5171" s="9">
        <v>30</v>
      </c>
      <c r="L5171" s="16" t="s">
        <v>29</v>
      </c>
      <c r="M5171" s="16">
        <f t="shared" si="483"/>
        <v>0.30581501033440933</v>
      </c>
      <c r="N5171">
        <f t="shared" si="484"/>
        <v>0</v>
      </c>
      <c r="O5171">
        <f t="shared" si="485"/>
        <v>0</v>
      </c>
      <c r="P5171">
        <f t="shared" si="482"/>
        <v>4900</v>
      </c>
      <c r="Q5171">
        <f t="shared" si="486"/>
        <v>4900</v>
      </c>
      <c r="T5171" s="16">
        <f t="shared" si="487"/>
        <v>0.30581501033440894</v>
      </c>
    </row>
    <row r="5172" spans="7:20" ht="14.4" x14ac:dyDescent="0.25">
      <c r="G5172" s="10">
        <v>5127</v>
      </c>
      <c r="H5172" s="9">
        <v>36512</v>
      </c>
      <c r="I5172" s="14">
        <f>DATE(2012,12,31)-278</f>
        <v>40996</v>
      </c>
      <c r="J5172" s="15" t="s">
        <v>28</v>
      </c>
      <c r="K5172" s="9">
        <v>3</v>
      </c>
      <c r="L5172" s="16" t="s">
        <v>29</v>
      </c>
      <c r="M5172" s="16">
        <f t="shared" si="483"/>
        <v>-1.5587989583845694</v>
      </c>
      <c r="N5172">
        <f t="shared" si="484"/>
        <v>0</v>
      </c>
      <c r="O5172">
        <f t="shared" si="485"/>
        <v>0</v>
      </c>
      <c r="P5172">
        <f t="shared" si="482"/>
        <v>3550</v>
      </c>
      <c r="Q5172">
        <f t="shared" si="486"/>
        <v>3550</v>
      </c>
      <c r="T5172" s="16">
        <f t="shared" si="487"/>
        <v>-1.5587989583845698</v>
      </c>
    </row>
    <row r="5173" spans="7:20" ht="14.4" x14ac:dyDescent="0.25">
      <c r="G5173" s="10">
        <v>5198</v>
      </c>
      <c r="H5173" s="9">
        <v>36932</v>
      </c>
      <c r="I5173" s="14">
        <f>DATE(2012,12,31)-1273</f>
        <v>40001</v>
      </c>
      <c r="J5173" s="15" t="s">
        <v>25</v>
      </c>
      <c r="K5173" s="9">
        <v>20</v>
      </c>
      <c r="L5173" s="16" t="s">
        <v>26</v>
      </c>
      <c r="M5173" s="16">
        <f t="shared" si="483"/>
        <v>-0.38478275585780503</v>
      </c>
      <c r="N5173">
        <f t="shared" si="484"/>
        <v>0</v>
      </c>
      <c r="O5173">
        <f t="shared" si="485"/>
        <v>0</v>
      </c>
      <c r="P5173">
        <f t="shared" si="482"/>
        <v>4400</v>
      </c>
      <c r="Q5173">
        <f t="shared" si="486"/>
        <v>4400</v>
      </c>
      <c r="T5173" s="16">
        <f t="shared" si="487"/>
        <v>-0.38478275585780541</v>
      </c>
    </row>
    <row r="5174" spans="7:20" ht="14.4" x14ac:dyDescent="0.25">
      <c r="G5174" s="10">
        <v>5211</v>
      </c>
      <c r="H5174" s="9">
        <v>37025</v>
      </c>
      <c r="I5174" s="14">
        <f>DATE(2012,12,31)-1147</f>
        <v>40127</v>
      </c>
      <c r="J5174" s="15" t="s">
        <v>17</v>
      </c>
      <c r="K5174" s="9">
        <v>37</v>
      </c>
      <c r="L5174" s="16" t="s">
        <v>27</v>
      </c>
      <c r="M5174" s="16">
        <f t="shared" si="483"/>
        <v>0.78923344666895934</v>
      </c>
      <c r="N5174">
        <f t="shared" si="484"/>
        <v>0</v>
      </c>
      <c r="O5174">
        <f t="shared" si="485"/>
        <v>0</v>
      </c>
      <c r="P5174">
        <f t="shared" si="482"/>
        <v>5250</v>
      </c>
      <c r="Q5174">
        <f t="shared" si="486"/>
        <v>5250</v>
      </c>
      <c r="T5174" s="16">
        <f t="shared" si="487"/>
        <v>0.789233446668959</v>
      </c>
    </row>
    <row r="5175" spans="7:20" ht="14.4" x14ac:dyDescent="0.25">
      <c r="G5175" s="10">
        <v>5216</v>
      </c>
      <c r="H5175" s="9">
        <v>37124</v>
      </c>
      <c r="I5175" s="14">
        <f>DATE(2012,12,31)-276</f>
        <v>40998</v>
      </c>
      <c r="J5175" s="15" t="s">
        <v>25</v>
      </c>
      <c r="K5175" s="9">
        <v>33</v>
      </c>
      <c r="L5175" s="16" t="s">
        <v>27</v>
      </c>
      <c r="M5175" s="16">
        <f t="shared" si="483"/>
        <v>0.51299434019207357</v>
      </c>
      <c r="N5175">
        <f t="shared" si="484"/>
        <v>0</v>
      </c>
      <c r="O5175">
        <f t="shared" si="485"/>
        <v>0</v>
      </c>
      <c r="P5175">
        <f t="shared" si="482"/>
        <v>5050</v>
      </c>
      <c r="Q5175">
        <f t="shared" si="486"/>
        <v>5050</v>
      </c>
      <c r="T5175" s="16">
        <f t="shared" si="487"/>
        <v>0.51299434019207324</v>
      </c>
    </row>
    <row r="5176" spans="7:20" ht="14.4" x14ac:dyDescent="0.25">
      <c r="G5176" s="10">
        <v>5293</v>
      </c>
      <c r="H5176" s="9">
        <v>37696</v>
      </c>
      <c r="I5176" s="14">
        <f>DATE(2012,12,31)-1271</f>
        <v>40003</v>
      </c>
      <c r="J5176" s="15" t="s">
        <v>28</v>
      </c>
      <c r="K5176" s="9">
        <v>5</v>
      </c>
      <c r="L5176" s="16" t="s">
        <v>26</v>
      </c>
      <c r="M5176" s="16">
        <f t="shared" si="483"/>
        <v>-1.4206794051461267</v>
      </c>
      <c r="N5176">
        <f t="shared" si="484"/>
        <v>0</v>
      </c>
      <c r="O5176">
        <f t="shared" si="485"/>
        <v>0</v>
      </c>
      <c r="P5176">
        <f t="shared" si="482"/>
        <v>3650</v>
      </c>
      <c r="Q5176">
        <f t="shared" si="486"/>
        <v>3650</v>
      </c>
      <c r="T5176" s="16">
        <f t="shared" si="487"/>
        <v>-1.4206794051461269</v>
      </c>
    </row>
    <row r="5177" spans="7:20" ht="14.4" x14ac:dyDescent="0.25">
      <c r="G5177" s="10">
        <v>5294</v>
      </c>
      <c r="H5177" s="9">
        <v>37696</v>
      </c>
      <c r="I5177" s="14">
        <f>DATE(2012,12,31)-1271</f>
        <v>40003</v>
      </c>
      <c r="J5177" s="15" t="s">
        <v>28</v>
      </c>
      <c r="K5177" s="9">
        <v>41</v>
      </c>
      <c r="L5177" s="16" t="s">
        <v>26</v>
      </c>
      <c r="M5177" s="16">
        <f t="shared" si="483"/>
        <v>1.0654725531458451</v>
      </c>
      <c r="N5177">
        <f t="shared" si="484"/>
        <v>0</v>
      </c>
      <c r="O5177">
        <f t="shared" si="485"/>
        <v>0</v>
      </c>
      <c r="P5177">
        <f t="shared" si="482"/>
        <v>5450</v>
      </c>
      <c r="Q5177">
        <f t="shared" si="486"/>
        <v>5450</v>
      </c>
      <c r="T5177" s="16">
        <f t="shared" si="487"/>
        <v>1.0654725531458447</v>
      </c>
    </row>
    <row r="5178" spans="7:20" ht="14.4" x14ac:dyDescent="0.25">
      <c r="G5178" s="10">
        <v>5296</v>
      </c>
      <c r="H5178" s="9">
        <v>37702</v>
      </c>
      <c r="I5178" s="14">
        <f>DATE(2012,12,31)-570</f>
        <v>40704</v>
      </c>
      <c r="J5178" s="15" t="s">
        <v>28</v>
      </c>
      <c r="K5178" s="9">
        <v>44</v>
      </c>
      <c r="L5178" s="16" t="s">
        <v>26</v>
      </c>
      <c r="M5178" s="16">
        <f t="shared" si="483"/>
        <v>1.2726518830035094</v>
      </c>
      <c r="N5178">
        <f t="shared" si="484"/>
        <v>0</v>
      </c>
      <c r="O5178">
        <f t="shared" si="485"/>
        <v>0</v>
      </c>
      <c r="P5178">
        <f t="shared" si="482"/>
        <v>5600</v>
      </c>
      <c r="Q5178">
        <f t="shared" si="486"/>
        <v>5600</v>
      </c>
      <c r="T5178" s="16">
        <f t="shared" si="487"/>
        <v>1.272651883003509</v>
      </c>
    </row>
    <row r="5179" spans="7:20" ht="14.4" x14ac:dyDescent="0.25">
      <c r="G5179" s="10">
        <v>5313</v>
      </c>
      <c r="H5179" s="9">
        <v>37794</v>
      </c>
      <c r="I5179" s="14">
        <f>DATE(2012,12,31)-1378</f>
        <v>39896</v>
      </c>
      <c r="J5179" s="15" t="s">
        <v>25</v>
      </c>
      <c r="K5179" s="9">
        <v>6</v>
      </c>
      <c r="L5179" s="16" t="s">
        <v>29</v>
      </c>
      <c r="M5179" s="16">
        <f t="shared" si="483"/>
        <v>-1.3516196285269051</v>
      </c>
      <c r="N5179">
        <f t="shared" si="484"/>
        <v>0</v>
      </c>
      <c r="O5179">
        <f t="shared" si="485"/>
        <v>0</v>
      </c>
      <c r="P5179">
        <f t="shared" si="482"/>
        <v>3700</v>
      </c>
      <c r="Q5179">
        <f t="shared" si="486"/>
        <v>3700</v>
      </c>
      <c r="T5179" s="16">
        <f t="shared" si="487"/>
        <v>-1.3516196285269055</v>
      </c>
    </row>
    <row r="5180" spans="7:20" ht="14.4" x14ac:dyDescent="0.25">
      <c r="G5180" s="10">
        <v>5314</v>
      </c>
      <c r="H5180" s="9">
        <v>37794</v>
      </c>
      <c r="I5180" s="14">
        <f>DATE(2012,12,31)-1378</f>
        <v>39896</v>
      </c>
      <c r="J5180" s="15" t="s">
        <v>25</v>
      </c>
      <c r="K5180" s="9">
        <v>32</v>
      </c>
      <c r="L5180" s="16" t="s">
        <v>26</v>
      </c>
      <c r="M5180" s="16">
        <f t="shared" si="483"/>
        <v>0.44393456357285216</v>
      </c>
      <c r="N5180">
        <f t="shared" si="484"/>
        <v>0</v>
      </c>
      <c r="O5180">
        <f t="shared" si="485"/>
        <v>0</v>
      </c>
      <c r="P5180">
        <f t="shared" si="482"/>
        <v>5000</v>
      </c>
      <c r="Q5180">
        <f t="shared" si="486"/>
        <v>5000</v>
      </c>
      <c r="T5180" s="16">
        <f t="shared" si="487"/>
        <v>0.44393456357285183</v>
      </c>
    </row>
    <row r="5181" spans="7:20" ht="14.4" x14ac:dyDescent="0.25">
      <c r="G5181" s="10">
        <v>5344</v>
      </c>
      <c r="H5181" s="9">
        <v>37987</v>
      </c>
      <c r="I5181" s="14">
        <f>DATE(2012,12,31)-1277</f>
        <v>39997</v>
      </c>
      <c r="J5181" s="15" t="s">
        <v>17</v>
      </c>
      <c r="K5181" s="9">
        <v>26</v>
      </c>
      <c r="L5181" s="16" t="s">
        <v>26</v>
      </c>
      <c r="M5181" s="16">
        <f t="shared" si="483"/>
        <v>2.9575903857523567E-2</v>
      </c>
      <c r="N5181">
        <f t="shared" si="484"/>
        <v>0</v>
      </c>
      <c r="O5181">
        <f t="shared" si="485"/>
        <v>0</v>
      </c>
      <c r="P5181">
        <f t="shared" si="482"/>
        <v>4700</v>
      </c>
      <c r="Q5181">
        <f t="shared" si="486"/>
        <v>4700</v>
      </c>
      <c r="T5181" s="16">
        <f t="shared" si="487"/>
        <v>2.9575903857523185E-2</v>
      </c>
    </row>
    <row r="5182" spans="7:20" ht="14.4" x14ac:dyDescent="0.25">
      <c r="G5182" s="10">
        <v>5345</v>
      </c>
      <c r="H5182" s="9">
        <v>37987</v>
      </c>
      <c r="I5182" s="14">
        <f>DATE(2012,12,31)-1277</f>
        <v>39997</v>
      </c>
      <c r="J5182" s="15" t="s">
        <v>17</v>
      </c>
      <c r="K5182" s="9">
        <v>5</v>
      </c>
      <c r="L5182" s="16" t="s">
        <v>29</v>
      </c>
      <c r="M5182" s="16">
        <f t="shared" si="483"/>
        <v>-1.4206794051461267</v>
      </c>
      <c r="N5182">
        <f t="shared" si="484"/>
        <v>0</v>
      </c>
      <c r="O5182">
        <f t="shared" si="485"/>
        <v>0</v>
      </c>
      <c r="P5182">
        <f t="shared" si="482"/>
        <v>3650</v>
      </c>
      <c r="Q5182">
        <f t="shared" si="486"/>
        <v>3650</v>
      </c>
      <c r="T5182" s="16">
        <f t="shared" si="487"/>
        <v>-1.4206794051461269</v>
      </c>
    </row>
    <row r="5183" spans="7:20" ht="14.4" x14ac:dyDescent="0.25">
      <c r="G5183" s="10">
        <v>5392</v>
      </c>
      <c r="H5183" s="9">
        <v>38340</v>
      </c>
      <c r="I5183" s="14">
        <f>DATE(2012,12,31)-1441</f>
        <v>39833</v>
      </c>
      <c r="J5183" s="15" t="s">
        <v>30</v>
      </c>
      <c r="K5183" s="9">
        <v>36</v>
      </c>
      <c r="L5183" s="16" t="s">
        <v>26</v>
      </c>
      <c r="M5183" s="16">
        <f t="shared" si="483"/>
        <v>0.72017367004973787</v>
      </c>
      <c r="N5183">
        <f t="shared" si="484"/>
        <v>0</v>
      </c>
      <c r="O5183">
        <f t="shared" si="485"/>
        <v>0</v>
      </c>
      <c r="P5183">
        <f t="shared" si="482"/>
        <v>5200</v>
      </c>
      <c r="Q5183">
        <f t="shared" si="486"/>
        <v>5200</v>
      </c>
      <c r="T5183" s="16">
        <f t="shared" si="487"/>
        <v>0.72017367004973754</v>
      </c>
    </row>
    <row r="5184" spans="7:20" ht="14.4" x14ac:dyDescent="0.25">
      <c r="G5184" s="10">
        <v>5419</v>
      </c>
      <c r="H5184" s="9">
        <v>38528</v>
      </c>
      <c r="I5184" s="14">
        <f>DATE(2012,12,31)-377</f>
        <v>40897</v>
      </c>
      <c r="J5184" s="15" t="s">
        <v>30</v>
      </c>
      <c r="K5184" s="9">
        <v>10</v>
      </c>
      <c r="L5184" s="16" t="s">
        <v>26</v>
      </c>
      <c r="M5184" s="16">
        <f t="shared" si="483"/>
        <v>-1.0753805220500194</v>
      </c>
      <c r="N5184">
        <f t="shared" si="484"/>
        <v>0</v>
      </c>
      <c r="O5184">
        <f t="shared" si="485"/>
        <v>0</v>
      </c>
      <c r="P5184">
        <f t="shared" si="482"/>
        <v>3900</v>
      </c>
      <c r="Q5184">
        <f t="shared" si="486"/>
        <v>3900</v>
      </c>
      <c r="T5184" s="16">
        <f t="shared" si="487"/>
        <v>-1.0753805220500199</v>
      </c>
    </row>
    <row r="5185" spans="7:20" ht="14.4" x14ac:dyDescent="0.25">
      <c r="G5185" s="10">
        <v>5459</v>
      </c>
      <c r="H5185" s="9">
        <v>38786</v>
      </c>
      <c r="I5185" s="14">
        <f>DATE(2012,12,31)-562</f>
        <v>40712</v>
      </c>
      <c r="J5185" s="15" t="s">
        <v>16</v>
      </c>
      <c r="K5185" s="9">
        <v>10</v>
      </c>
      <c r="L5185" s="16" t="s">
        <v>29</v>
      </c>
      <c r="M5185" s="16">
        <f t="shared" si="483"/>
        <v>-1.0753805220500194</v>
      </c>
      <c r="N5185">
        <f t="shared" si="484"/>
        <v>0</v>
      </c>
      <c r="O5185">
        <f t="shared" si="485"/>
        <v>0</v>
      </c>
      <c r="P5185">
        <f t="shared" si="482"/>
        <v>3900</v>
      </c>
      <c r="Q5185">
        <f t="shared" si="486"/>
        <v>3900</v>
      </c>
      <c r="T5185" s="16">
        <f t="shared" si="487"/>
        <v>-1.0753805220500199</v>
      </c>
    </row>
    <row r="5186" spans="7:20" ht="14.4" x14ac:dyDescent="0.25">
      <c r="G5186" s="10">
        <v>5468</v>
      </c>
      <c r="H5186" s="9">
        <v>38852</v>
      </c>
      <c r="I5186" s="14">
        <f>DATE(2012,12,31)-1156</f>
        <v>40118</v>
      </c>
      <c r="J5186" s="15" t="s">
        <v>28</v>
      </c>
      <c r="K5186" s="9">
        <v>25</v>
      </c>
      <c r="L5186" s="16" t="s">
        <v>26</v>
      </c>
      <c r="M5186" s="16">
        <f t="shared" si="483"/>
        <v>-3.9483872761697868E-2</v>
      </c>
      <c r="N5186">
        <f t="shared" si="484"/>
        <v>0</v>
      </c>
      <c r="O5186">
        <f t="shared" si="485"/>
        <v>0</v>
      </c>
      <c r="P5186">
        <f t="shared" si="482"/>
        <v>4650</v>
      </c>
      <c r="Q5186">
        <f t="shared" si="486"/>
        <v>4650</v>
      </c>
      <c r="T5186" s="16">
        <f t="shared" si="487"/>
        <v>-3.9483872761698249E-2</v>
      </c>
    </row>
    <row r="5187" spans="7:20" ht="14.4" x14ac:dyDescent="0.25">
      <c r="G5187" s="10">
        <v>5500</v>
      </c>
      <c r="H5187" s="9">
        <v>39008</v>
      </c>
      <c r="I5187" s="14">
        <f>DATE(2012,12,31)-613</f>
        <v>40661</v>
      </c>
      <c r="J5187" s="15" t="s">
        <v>28</v>
      </c>
      <c r="K5187" s="9">
        <v>28</v>
      </c>
      <c r="L5187" s="16" t="s">
        <v>29</v>
      </c>
      <c r="M5187" s="16">
        <f t="shared" si="483"/>
        <v>0.16769545709596645</v>
      </c>
      <c r="N5187">
        <f t="shared" si="484"/>
        <v>0</v>
      </c>
      <c r="O5187">
        <f t="shared" si="485"/>
        <v>0</v>
      </c>
      <c r="P5187">
        <f t="shared" si="482"/>
        <v>4800</v>
      </c>
      <c r="Q5187">
        <f t="shared" si="486"/>
        <v>4800</v>
      </c>
      <c r="T5187" s="16">
        <f t="shared" si="487"/>
        <v>0.16769545709596606</v>
      </c>
    </row>
    <row r="5188" spans="7:20" ht="14.4" x14ac:dyDescent="0.25">
      <c r="G5188" s="10">
        <v>5553</v>
      </c>
      <c r="H5188" s="9">
        <v>39331</v>
      </c>
      <c r="I5188" s="14">
        <f>DATE(2012,12,31)-475</f>
        <v>40799</v>
      </c>
      <c r="J5188" s="15" t="s">
        <v>17</v>
      </c>
      <c r="K5188" s="9">
        <v>23</v>
      </c>
      <c r="L5188" s="16" t="s">
        <v>26</v>
      </c>
      <c r="M5188" s="16">
        <f t="shared" si="483"/>
        <v>-0.17760342600014073</v>
      </c>
      <c r="N5188">
        <f t="shared" si="484"/>
        <v>0</v>
      </c>
      <c r="O5188">
        <f t="shared" si="485"/>
        <v>0</v>
      </c>
      <c r="P5188">
        <f t="shared" si="482"/>
        <v>4550</v>
      </c>
      <c r="Q5188">
        <f t="shared" si="486"/>
        <v>4550</v>
      </c>
      <c r="T5188" s="16">
        <f t="shared" si="487"/>
        <v>-0.17760342600014112</v>
      </c>
    </row>
    <row r="5189" spans="7:20" ht="14.4" x14ac:dyDescent="0.25">
      <c r="G5189" s="10">
        <v>5565</v>
      </c>
      <c r="H5189" s="9">
        <v>39399</v>
      </c>
      <c r="I5189" s="14">
        <f>DATE(2012,12,31)-14</f>
        <v>41260</v>
      </c>
      <c r="J5189" s="15" t="s">
        <v>16</v>
      </c>
      <c r="K5189" s="9">
        <v>28</v>
      </c>
      <c r="L5189" s="16" t="s">
        <v>26</v>
      </c>
      <c r="M5189" s="16">
        <f t="shared" si="483"/>
        <v>0.16769545709596645</v>
      </c>
      <c r="N5189">
        <f t="shared" si="484"/>
        <v>0</v>
      </c>
      <c r="O5189">
        <f t="shared" si="485"/>
        <v>0</v>
      </c>
      <c r="P5189">
        <f t="shared" si="482"/>
        <v>4800</v>
      </c>
      <c r="Q5189">
        <f t="shared" si="486"/>
        <v>4800</v>
      </c>
      <c r="T5189" s="16">
        <f t="shared" si="487"/>
        <v>0.16769545709596606</v>
      </c>
    </row>
    <row r="5190" spans="7:20" ht="14.4" x14ac:dyDescent="0.25">
      <c r="G5190" s="10">
        <v>5634</v>
      </c>
      <c r="H5190" s="9">
        <v>39876</v>
      </c>
      <c r="I5190" s="14">
        <f>DATE(2012,12,31)-262</f>
        <v>41012</v>
      </c>
      <c r="J5190" s="15" t="s">
        <v>17</v>
      </c>
      <c r="K5190" s="9">
        <v>43</v>
      </c>
      <c r="L5190" s="16" t="s">
        <v>26</v>
      </c>
      <c r="M5190" s="16">
        <f t="shared" si="483"/>
        <v>1.203592106384288</v>
      </c>
      <c r="N5190">
        <f t="shared" si="484"/>
        <v>0</v>
      </c>
      <c r="O5190">
        <f t="shared" si="485"/>
        <v>0</v>
      </c>
      <c r="P5190">
        <f t="shared" si="482"/>
        <v>5550</v>
      </c>
      <c r="Q5190">
        <f t="shared" si="486"/>
        <v>5550</v>
      </c>
      <c r="T5190" s="16">
        <f t="shared" si="487"/>
        <v>1.2035921063842876</v>
      </c>
    </row>
    <row r="5191" spans="7:20" ht="14.4" x14ac:dyDescent="0.25">
      <c r="G5191" s="10">
        <v>5635</v>
      </c>
      <c r="H5191" s="9">
        <v>39876</v>
      </c>
      <c r="I5191" s="14">
        <f>DATE(2012,12,31)-262</f>
        <v>41012</v>
      </c>
      <c r="J5191" s="15" t="s">
        <v>17</v>
      </c>
      <c r="K5191" s="9">
        <v>46</v>
      </c>
      <c r="L5191" s="16" t="s">
        <v>26</v>
      </c>
      <c r="M5191" s="16">
        <f t="shared" si="483"/>
        <v>1.4107714362419523</v>
      </c>
      <c r="N5191">
        <f t="shared" si="484"/>
        <v>0</v>
      </c>
      <c r="O5191">
        <f t="shared" si="485"/>
        <v>0</v>
      </c>
      <c r="P5191">
        <f t="shared" si="482"/>
        <v>5700</v>
      </c>
      <c r="Q5191">
        <f t="shared" si="486"/>
        <v>5700</v>
      </c>
      <c r="T5191" s="16">
        <f t="shared" si="487"/>
        <v>1.4107714362419519</v>
      </c>
    </row>
    <row r="5192" spans="7:20" ht="14.4" x14ac:dyDescent="0.25">
      <c r="G5192" s="10">
        <v>5636</v>
      </c>
      <c r="H5192" s="9">
        <v>39876</v>
      </c>
      <c r="I5192" s="14">
        <f>DATE(2012,12,31)-262</f>
        <v>41012</v>
      </c>
      <c r="J5192" s="15" t="s">
        <v>17</v>
      </c>
      <c r="K5192" s="9">
        <v>41</v>
      </c>
      <c r="L5192" s="16" t="s">
        <v>29</v>
      </c>
      <c r="M5192" s="16">
        <f t="shared" si="483"/>
        <v>1.0654725531458451</v>
      </c>
      <c r="N5192">
        <f t="shared" si="484"/>
        <v>0</v>
      </c>
      <c r="O5192">
        <f t="shared" si="485"/>
        <v>0</v>
      </c>
      <c r="P5192">
        <f t="shared" si="482"/>
        <v>5450</v>
      </c>
      <c r="Q5192">
        <f t="shared" si="486"/>
        <v>5450</v>
      </c>
      <c r="T5192" s="16">
        <f t="shared" si="487"/>
        <v>1.0654725531458447</v>
      </c>
    </row>
    <row r="5193" spans="7:20" ht="14.4" x14ac:dyDescent="0.25">
      <c r="G5193" s="10">
        <v>5657</v>
      </c>
      <c r="H5193" s="9">
        <v>40032</v>
      </c>
      <c r="I5193" s="14">
        <f>DATE(2012,12,31)-31</f>
        <v>41243</v>
      </c>
      <c r="J5193" s="15" t="s">
        <v>25</v>
      </c>
      <c r="K5193" s="9">
        <v>9</v>
      </c>
      <c r="L5193" s="16" t="s">
        <v>27</v>
      </c>
      <c r="M5193" s="16">
        <f t="shared" si="483"/>
        <v>-1.1444402986692408</v>
      </c>
      <c r="N5193">
        <f t="shared" si="484"/>
        <v>0</v>
      </c>
      <c r="O5193">
        <f t="shared" si="485"/>
        <v>0</v>
      </c>
      <c r="P5193">
        <f t="shared" si="482"/>
        <v>3850</v>
      </c>
      <c r="Q5193">
        <f t="shared" si="486"/>
        <v>3850</v>
      </c>
      <c r="T5193" s="16">
        <f t="shared" si="487"/>
        <v>-1.1444402986692412</v>
      </c>
    </row>
    <row r="5194" spans="7:20" ht="14.4" x14ac:dyDescent="0.25">
      <c r="G5194" s="10">
        <v>5696</v>
      </c>
      <c r="H5194" s="9">
        <v>40261</v>
      </c>
      <c r="I5194" s="14">
        <f>DATE(2012,12,31)-1153</f>
        <v>40121</v>
      </c>
      <c r="J5194" s="15" t="s">
        <v>30</v>
      </c>
      <c r="K5194" s="9">
        <v>36</v>
      </c>
      <c r="L5194" s="16" t="s">
        <v>26</v>
      </c>
      <c r="M5194" s="16">
        <f t="shared" si="483"/>
        <v>0.72017367004973787</v>
      </c>
      <c r="N5194">
        <f t="shared" si="484"/>
        <v>0</v>
      </c>
      <c r="O5194">
        <f t="shared" si="485"/>
        <v>0</v>
      </c>
      <c r="P5194">
        <f t="shared" si="482"/>
        <v>5200</v>
      </c>
      <c r="Q5194">
        <f t="shared" si="486"/>
        <v>5200</v>
      </c>
      <c r="T5194" s="16">
        <f t="shared" si="487"/>
        <v>0.72017367004973754</v>
      </c>
    </row>
    <row r="5195" spans="7:20" ht="14.4" x14ac:dyDescent="0.25">
      <c r="G5195" s="10">
        <v>5697</v>
      </c>
      <c r="H5195" s="9">
        <v>40261</v>
      </c>
      <c r="I5195" s="14">
        <f>DATE(2012,12,31)-1153</f>
        <v>40121</v>
      </c>
      <c r="J5195" s="15" t="s">
        <v>30</v>
      </c>
      <c r="K5195" s="9">
        <v>26</v>
      </c>
      <c r="L5195" s="16" t="s">
        <v>26</v>
      </c>
      <c r="M5195" s="16">
        <f t="shared" si="483"/>
        <v>2.9575903857523567E-2</v>
      </c>
      <c r="N5195">
        <f t="shared" si="484"/>
        <v>0</v>
      </c>
      <c r="O5195">
        <f t="shared" si="485"/>
        <v>0</v>
      </c>
      <c r="P5195">
        <f t="shared" si="482"/>
        <v>4700</v>
      </c>
      <c r="Q5195">
        <f t="shared" si="486"/>
        <v>4700</v>
      </c>
      <c r="T5195" s="16">
        <f t="shared" si="487"/>
        <v>2.9575903857523185E-2</v>
      </c>
    </row>
    <row r="5196" spans="7:20" ht="14.4" x14ac:dyDescent="0.25">
      <c r="G5196" s="10">
        <v>5734</v>
      </c>
      <c r="H5196" s="9">
        <v>40706</v>
      </c>
      <c r="I5196" s="14">
        <f>DATE(2012,12,31)-345</f>
        <v>40929</v>
      </c>
      <c r="J5196" s="15" t="s">
        <v>16</v>
      </c>
      <c r="K5196" s="9">
        <v>40</v>
      </c>
      <c r="L5196" s="16" t="s">
        <v>26</v>
      </c>
      <c r="M5196" s="16">
        <f t="shared" si="483"/>
        <v>0.99641277652662363</v>
      </c>
      <c r="N5196">
        <f t="shared" si="484"/>
        <v>0</v>
      </c>
      <c r="O5196">
        <f t="shared" si="485"/>
        <v>0</v>
      </c>
      <c r="P5196">
        <f t="shared" ref="P5196:P5259" si="488">50*K5196+$P$10</f>
        <v>5400</v>
      </c>
      <c r="Q5196">
        <f t="shared" si="486"/>
        <v>5400</v>
      </c>
      <c r="T5196" s="16">
        <f t="shared" si="487"/>
        <v>0.9964127765266233</v>
      </c>
    </row>
    <row r="5197" spans="7:20" ht="14.4" x14ac:dyDescent="0.25">
      <c r="G5197" s="10">
        <v>5736</v>
      </c>
      <c r="H5197" s="9">
        <v>40708</v>
      </c>
      <c r="I5197" s="14">
        <f>DATE(2012,12,31)-1176</f>
        <v>40098</v>
      </c>
      <c r="J5197" s="15" t="s">
        <v>28</v>
      </c>
      <c r="K5197" s="9">
        <v>15</v>
      </c>
      <c r="L5197" s="16" t="s">
        <v>26</v>
      </c>
      <c r="M5197" s="16">
        <f t="shared" ref="M5197:M5260" si="489">(K5197-$K$4)/$K$7</f>
        <v>-0.7300816389539122</v>
      </c>
      <c r="N5197">
        <f t="shared" ref="N5197:N5260" si="490">IF(MOD($B$20+G5197,1000)=0,1,0)</f>
        <v>0</v>
      </c>
      <c r="O5197">
        <f t="shared" ref="O5197:O5260" si="491">+ROUND(N5197*(IF(K5197&lt;$K$4,-4.5,10.5)*$P$5),-2)</f>
        <v>0</v>
      </c>
      <c r="P5197">
        <f t="shared" si="488"/>
        <v>4150</v>
      </c>
      <c r="Q5197">
        <f t="shared" ref="Q5197:Q5260" si="492">P5197+O5197</f>
        <v>4150</v>
      </c>
      <c r="T5197" s="16">
        <f t="shared" ref="T5197:T5260" si="493">(Q5197-$P$4)/$P$5</f>
        <v>-0.73008163895391265</v>
      </c>
    </row>
    <row r="5198" spans="7:20" ht="14.4" x14ac:dyDescent="0.25">
      <c r="G5198" s="10">
        <v>5772</v>
      </c>
      <c r="H5198" s="9">
        <v>40964</v>
      </c>
      <c r="I5198" s="14">
        <f>DATE(2012,12,31)-588</f>
        <v>40686</v>
      </c>
      <c r="J5198" s="15" t="s">
        <v>30</v>
      </c>
      <c r="K5198" s="9">
        <v>40</v>
      </c>
      <c r="L5198" s="16" t="s">
        <v>26</v>
      </c>
      <c r="M5198" s="16">
        <f t="shared" si="489"/>
        <v>0.99641277652662363</v>
      </c>
      <c r="N5198">
        <f t="shared" si="490"/>
        <v>0</v>
      </c>
      <c r="O5198">
        <f t="shared" si="491"/>
        <v>0</v>
      </c>
      <c r="P5198">
        <f t="shared" si="488"/>
        <v>5400</v>
      </c>
      <c r="Q5198">
        <f t="shared" si="492"/>
        <v>5400</v>
      </c>
      <c r="T5198" s="16">
        <f t="shared" si="493"/>
        <v>0.9964127765266233</v>
      </c>
    </row>
    <row r="5199" spans="7:20" ht="14.4" x14ac:dyDescent="0.25">
      <c r="G5199" s="10">
        <v>5952</v>
      </c>
      <c r="H5199" s="9">
        <v>42243</v>
      </c>
      <c r="I5199" s="14">
        <f>DATE(2012,12,31)-295</f>
        <v>40979</v>
      </c>
      <c r="J5199" s="15" t="s">
        <v>16</v>
      </c>
      <c r="K5199" s="9">
        <v>42</v>
      </c>
      <c r="L5199" s="16" t="s">
        <v>26</v>
      </c>
      <c r="M5199" s="16">
        <f t="shared" si="489"/>
        <v>1.1345323297650665</v>
      </c>
      <c r="N5199">
        <f t="shared" si="490"/>
        <v>0</v>
      </c>
      <c r="O5199">
        <f t="shared" si="491"/>
        <v>0</v>
      </c>
      <c r="P5199">
        <f t="shared" si="488"/>
        <v>5500</v>
      </c>
      <c r="Q5199">
        <f t="shared" si="492"/>
        <v>5500</v>
      </c>
      <c r="T5199" s="16">
        <f t="shared" si="493"/>
        <v>1.1345323297650662</v>
      </c>
    </row>
    <row r="5200" spans="7:20" ht="14.4" x14ac:dyDescent="0.25">
      <c r="G5200" s="10">
        <v>5953</v>
      </c>
      <c r="H5200" s="9">
        <v>42243</v>
      </c>
      <c r="I5200" s="14">
        <f>DATE(2012,12,31)-295</f>
        <v>40979</v>
      </c>
      <c r="J5200" s="15" t="s">
        <v>16</v>
      </c>
      <c r="K5200" s="9">
        <v>19</v>
      </c>
      <c r="L5200" s="16" t="s">
        <v>26</v>
      </c>
      <c r="M5200" s="16">
        <f t="shared" si="489"/>
        <v>-0.45384253247702649</v>
      </c>
      <c r="N5200">
        <f t="shared" si="490"/>
        <v>0</v>
      </c>
      <c r="O5200">
        <f t="shared" si="491"/>
        <v>0</v>
      </c>
      <c r="P5200">
        <f t="shared" si="488"/>
        <v>4350</v>
      </c>
      <c r="Q5200">
        <f t="shared" si="492"/>
        <v>4350</v>
      </c>
      <c r="T5200" s="16">
        <f t="shared" si="493"/>
        <v>-0.45384253247702688</v>
      </c>
    </row>
    <row r="5201" spans="7:20" ht="14.4" x14ac:dyDescent="0.25">
      <c r="G5201" s="10">
        <v>5987</v>
      </c>
      <c r="H5201" s="9">
        <v>42437</v>
      </c>
      <c r="I5201" s="14">
        <f>DATE(2012,12,31)-301</f>
        <v>40973</v>
      </c>
      <c r="J5201" s="15" t="s">
        <v>30</v>
      </c>
      <c r="K5201" s="9">
        <v>43</v>
      </c>
      <c r="L5201" s="16" t="s">
        <v>27</v>
      </c>
      <c r="M5201" s="16">
        <f t="shared" si="489"/>
        <v>1.203592106384288</v>
      </c>
      <c r="N5201">
        <f t="shared" si="490"/>
        <v>0</v>
      </c>
      <c r="O5201">
        <f t="shared" si="491"/>
        <v>0</v>
      </c>
      <c r="P5201">
        <f t="shared" si="488"/>
        <v>5550</v>
      </c>
      <c r="Q5201">
        <f t="shared" si="492"/>
        <v>5550</v>
      </c>
      <c r="T5201" s="16">
        <f t="shared" si="493"/>
        <v>1.2035921063842876</v>
      </c>
    </row>
    <row r="5202" spans="7:20" ht="14.4" x14ac:dyDescent="0.25">
      <c r="G5202" s="10">
        <v>5988</v>
      </c>
      <c r="H5202" s="9">
        <v>42437</v>
      </c>
      <c r="I5202" s="14">
        <f>DATE(2012,12,31)-301</f>
        <v>40973</v>
      </c>
      <c r="J5202" s="15" t="s">
        <v>30</v>
      </c>
      <c r="K5202" s="9">
        <v>14</v>
      </c>
      <c r="L5202" s="16" t="s">
        <v>26</v>
      </c>
      <c r="M5202" s="16">
        <f t="shared" si="489"/>
        <v>-0.79914141557313367</v>
      </c>
      <c r="N5202">
        <f t="shared" si="490"/>
        <v>0</v>
      </c>
      <c r="O5202">
        <f t="shared" si="491"/>
        <v>0</v>
      </c>
      <c r="P5202">
        <f t="shared" si="488"/>
        <v>4100</v>
      </c>
      <c r="Q5202">
        <f t="shared" si="492"/>
        <v>4100</v>
      </c>
      <c r="T5202" s="16">
        <f t="shared" si="493"/>
        <v>-0.79914141557313401</v>
      </c>
    </row>
    <row r="5203" spans="7:20" ht="14.4" x14ac:dyDescent="0.25">
      <c r="G5203" s="10">
        <v>6051</v>
      </c>
      <c r="H5203" s="9">
        <v>42887</v>
      </c>
      <c r="I5203" s="14">
        <f>DATE(2012,12,31)-204</f>
        <v>41070</v>
      </c>
      <c r="J5203" s="15" t="s">
        <v>16</v>
      </c>
      <c r="K5203" s="9">
        <v>3</v>
      </c>
      <c r="L5203" s="16" t="s">
        <v>26</v>
      </c>
      <c r="M5203" s="16">
        <f t="shared" si="489"/>
        <v>-1.5587989583845694</v>
      </c>
      <c r="N5203">
        <f t="shared" si="490"/>
        <v>0</v>
      </c>
      <c r="O5203">
        <f t="shared" si="491"/>
        <v>0</v>
      </c>
      <c r="P5203">
        <f t="shared" si="488"/>
        <v>3550</v>
      </c>
      <c r="Q5203">
        <f t="shared" si="492"/>
        <v>3550</v>
      </c>
      <c r="T5203" s="16">
        <f t="shared" si="493"/>
        <v>-1.5587989583845698</v>
      </c>
    </row>
    <row r="5204" spans="7:20" ht="14.4" x14ac:dyDescent="0.25">
      <c r="G5204" s="10">
        <v>6052</v>
      </c>
      <c r="H5204" s="9">
        <v>42887</v>
      </c>
      <c r="I5204" s="14">
        <f>DATE(2012,12,31)-204</f>
        <v>41070</v>
      </c>
      <c r="J5204" s="15" t="s">
        <v>16</v>
      </c>
      <c r="K5204" s="9">
        <v>11</v>
      </c>
      <c r="L5204" s="16" t="s">
        <v>26</v>
      </c>
      <c r="M5204" s="16">
        <f t="shared" si="489"/>
        <v>-1.0063207454307979</v>
      </c>
      <c r="N5204">
        <f t="shared" si="490"/>
        <v>0</v>
      </c>
      <c r="O5204">
        <f t="shared" si="491"/>
        <v>0</v>
      </c>
      <c r="P5204">
        <f t="shared" si="488"/>
        <v>3950</v>
      </c>
      <c r="Q5204">
        <f t="shared" si="492"/>
        <v>3950</v>
      </c>
      <c r="T5204" s="16">
        <f t="shared" si="493"/>
        <v>-1.0063207454307983</v>
      </c>
    </row>
    <row r="5205" spans="7:20" ht="14.4" x14ac:dyDescent="0.25">
      <c r="G5205" s="10">
        <v>6053</v>
      </c>
      <c r="H5205" s="9">
        <v>42887</v>
      </c>
      <c r="I5205" s="14">
        <f>DATE(2012,12,31)-204</f>
        <v>41070</v>
      </c>
      <c r="J5205" s="15" t="s">
        <v>16</v>
      </c>
      <c r="K5205" s="9">
        <v>3</v>
      </c>
      <c r="L5205" s="16" t="s">
        <v>29</v>
      </c>
      <c r="M5205" s="16">
        <f t="shared" si="489"/>
        <v>-1.5587989583845694</v>
      </c>
      <c r="N5205">
        <f t="shared" si="490"/>
        <v>0</v>
      </c>
      <c r="O5205">
        <f t="shared" si="491"/>
        <v>0</v>
      </c>
      <c r="P5205">
        <f t="shared" si="488"/>
        <v>3550</v>
      </c>
      <c r="Q5205">
        <f t="shared" si="492"/>
        <v>3550</v>
      </c>
      <c r="T5205" s="16">
        <f t="shared" si="493"/>
        <v>-1.5587989583845698</v>
      </c>
    </row>
    <row r="5206" spans="7:20" ht="14.4" x14ac:dyDescent="0.25">
      <c r="G5206" s="10">
        <v>6088</v>
      </c>
      <c r="H5206" s="9">
        <v>43137</v>
      </c>
      <c r="I5206" s="14">
        <f>DATE(2012,12,31)-674</f>
        <v>40600</v>
      </c>
      <c r="J5206" s="15" t="s">
        <v>17</v>
      </c>
      <c r="K5206" s="9">
        <v>40</v>
      </c>
      <c r="L5206" s="16" t="s">
        <v>26</v>
      </c>
      <c r="M5206" s="16">
        <f t="shared" si="489"/>
        <v>0.99641277652662363</v>
      </c>
      <c r="N5206">
        <f t="shared" si="490"/>
        <v>0</v>
      </c>
      <c r="O5206">
        <f t="shared" si="491"/>
        <v>0</v>
      </c>
      <c r="P5206">
        <f t="shared" si="488"/>
        <v>5400</v>
      </c>
      <c r="Q5206">
        <f t="shared" si="492"/>
        <v>5400</v>
      </c>
      <c r="T5206" s="16">
        <f t="shared" si="493"/>
        <v>0.9964127765266233</v>
      </c>
    </row>
    <row r="5207" spans="7:20" ht="14.4" x14ac:dyDescent="0.25">
      <c r="G5207" s="10">
        <v>6151</v>
      </c>
      <c r="H5207" s="9">
        <v>43554</v>
      </c>
      <c r="I5207" s="14">
        <f>DATE(2012,12,31)-1158</f>
        <v>40116</v>
      </c>
      <c r="J5207" s="15" t="s">
        <v>30</v>
      </c>
      <c r="K5207" s="9">
        <v>9</v>
      </c>
      <c r="L5207" s="16" t="s">
        <v>26</v>
      </c>
      <c r="M5207" s="16">
        <f t="shared" si="489"/>
        <v>-1.1444402986692408</v>
      </c>
      <c r="N5207">
        <f t="shared" si="490"/>
        <v>0</v>
      </c>
      <c r="O5207">
        <f t="shared" si="491"/>
        <v>0</v>
      </c>
      <c r="P5207">
        <f t="shared" si="488"/>
        <v>3850</v>
      </c>
      <c r="Q5207">
        <f t="shared" si="492"/>
        <v>3850</v>
      </c>
      <c r="T5207" s="16">
        <f t="shared" si="493"/>
        <v>-1.1444402986692412</v>
      </c>
    </row>
    <row r="5208" spans="7:20" ht="14.4" x14ac:dyDescent="0.25">
      <c r="G5208" s="10">
        <v>6178</v>
      </c>
      <c r="H5208" s="9">
        <v>43782</v>
      </c>
      <c r="I5208" s="14">
        <f>DATE(2012,12,31)-779</f>
        <v>40495</v>
      </c>
      <c r="J5208" s="15" t="s">
        <v>16</v>
      </c>
      <c r="K5208" s="9">
        <v>27</v>
      </c>
      <c r="L5208" s="16" t="s">
        <v>26</v>
      </c>
      <c r="M5208" s="16">
        <f t="shared" si="489"/>
        <v>9.8635680476745008E-2</v>
      </c>
      <c r="N5208">
        <f t="shared" si="490"/>
        <v>0</v>
      </c>
      <c r="O5208">
        <f t="shared" si="491"/>
        <v>0</v>
      </c>
      <c r="P5208">
        <f t="shared" si="488"/>
        <v>4750</v>
      </c>
      <c r="Q5208">
        <f t="shared" si="492"/>
        <v>4750</v>
      </c>
      <c r="T5208" s="16">
        <f t="shared" si="493"/>
        <v>9.8635680476744619E-2</v>
      </c>
    </row>
    <row r="5209" spans="7:20" ht="14.4" x14ac:dyDescent="0.25">
      <c r="G5209" s="10">
        <v>6195</v>
      </c>
      <c r="H5209" s="9">
        <v>43904</v>
      </c>
      <c r="I5209" s="14">
        <f>DATE(2012,12,31)-975</f>
        <v>40299</v>
      </c>
      <c r="J5209" s="15" t="s">
        <v>28</v>
      </c>
      <c r="K5209" s="9">
        <v>43</v>
      </c>
      <c r="L5209" s="16" t="s">
        <v>27</v>
      </c>
      <c r="M5209" s="16">
        <f t="shared" si="489"/>
        <v>1.203592106384288</v>
      </c>
      <c r="N5209">
        <f t="shared" si="490"/>
        <v>0</v>
      </c>
      <c r="O5209">
        <f t="shared" si="491"/>
        <v>0</v>
      </c>
      <c r="P5209">
        <f t="shared" si="488"/>
        <v>5550</v>
      </c>
      <c r="Q5209">
        <f t="shared" si="492"/>
        <v>5550</v>
      </c>
      <c r="T5209" s="16">
        <f t="shared" si="493"/>
        <v>1.2035921063842876</v>
      </c>
    </row>
    <row r="5210" spans="7:20" ht="14.4" x14ac:dyDescent="0.25">
      <c r="G5210" s="10">
        <v>6196</v>
      </c>
      <c r="H5210" s="9">
        <v>43904</v>
      </c>
      <c r="I5210" s="14">
        <f>DATE(2012,12,31)-975</f>
        <v>40299</v>
      </c>
      <c r="J5210" s="15" t="s">
        <v>28</v>
      </c>
      <c r="K5210" s="9">
        <v>30</v>
      </c>
      <c r="L5210" s="16" t="s">
        <v>27</v>
      </c>
      <c r="M5210" s="16">
        <f t="shared" si="489"/>
        <v>0.30581501033440933</v>
      </c>
      <c r="N5210">
        <f t="shared" si="490"/>
        <v>0</v>
      </c>
      <c r="O5210">
        <f t="shared" si="491"/>
        <v>0</v>
      </c>
      <c r="P5210">
        <f t="shared" si="488"/>
        <v>4900</v>
      </c>
      <c r="Q5210">
        <f t="shared" si="492"/>
        <v>4900</v>
      </c>
      <c r="T5210" s="16">
        <f t="shared" si="493"/>
        <v>0.30581501033440894</v>
      </c>
    </row>
    <row r="5211" spans="7:20" ht="14.4" x14ac:dyDescent="0.25">
      <c r="G5211" s="10">
        <v>6197</v>
      </c>
      <c r="H5211" s="9">
        <v>43906</v>
      </c>
      <c r="I5211" s="14">
        <f>DATE(2012,12,31)-327</f>
        <v>40947</v>
      </c>
      <c r="J5211" s="15" t="s">
        <v>17</v>
      </c>
      <c r="K5211" s="9">
        <v>50</v>
      </c>
      <c r="L5211" s="16" t="s">
        <v>27</v>
      </c>
      <c r="M5211" s="16">
        <f t="shared" si="489"/>
        <v>1.687010542718838</v>
      </c>
      <c r="N5211">
        <f t="shared" si="490"/>
        <v>0</v>
      </c>
      <c r="O5211">
        <f t="shared" si="491"/>
        <v>0</v>
      </c>
      <c r="P5211">
        <f t="shared" si="488"/>
        <v>5900</v>
      </c>
      <c r="Q5211">
        <f t="shared" si="492"/>
        <v>5900</v>
      </c>
      <c r="T5211" s="16">
        <f t="shared" si="493"/>
        <v>1.6870105427188375</v>
      </c>
    </row>
    <row r="5212" spans="7:20" ht="14.4" x14ac:dyDescent="0.25">
      <c r="G5212" s="10">
        <v>6221</v>
      </c>
      <c r="H5212" s="9">
        <v>44064</v>
      </c>
      <c r="I5212" s="14">
        <f>DATE(2012,12,31)-1034</f>
        <v>40240</v>
      </c>
      <c r="J5212" s="15" t="s">
        <v>16</v>
      </c>
      <c r="K5212" s="9">
        <v>43</v>
      </c>
      <c r="L5212" s="16" t="s">
        <v>26</v>
      </c>
      <c r="M5212" s="16">
        <f t="shared" si="489"/>
        <v>1.203592106384288</v>
      </c>
      <c r="N5212">
        <f t="shared" si="490"/>
        <v>0</v>
      </c>
      <c r="O5212">
        <f t="shared" si="491"/>
        <v>0</v>
      </c>
      <c r="P5212">
        <f t="shared" si="488"/>
        <v>5550</v>
      </c>
      <c r="Q5212">
        <f t="shared" si="492"/>
        <v>5550</v>
      </c>
      <c r="T5212" s="16">
        <f t="shared" si="493"/>
        <v>1.2035921063842876</v>
      </c>
    </row>
    <row r="5213" spans="7:20" ht="14.4" x14ac:dyDescent="0.25">
      <c r="G5213" s="10">
        <v>6222</v>
      </c>
      <c r="H5213" s="9">
        <v>44064</v>
      </c>
      <c r="I5213" s="14">
        <f>DATE(2012,12,31)-1034</f>
        <v>40240</v>
      </c>
      <c r="J5213" s="15" t="s">
        <v>16</v>
      </c>
      <c r="K5213" s="9">
        <v>23</v>
      </c>
      <c r="L5213" s="16" t="s">
        <v>26</v>
      </c>
      <c r="M5213" s="16">
        <f t="shared" si="489"/>
        <v>-0.17760342600014073</v>
      </c>
      <c r="N5213">
        <f t="shared" si="490"/>
        <v>0</v>
      </c>
      <c r="O5213">
        <f t="shared" si="491"/>
        <v>0</v>
      </c>
      <c r="P5213">
        <f t="shared" si="488"/>
        <v>4550</v>
      </c>
      <c r="Q5213">
        <f t="shared" si="492"/>
        <v>4550</v>
      </c>
      <c r="T5213" s="16">
        <f t="shared" si="493"/>
        <v>-0.17760342600014112</v>
      </c>
    </row>
    <row r="5214" spans="7:20" ht="14.4" x14ac:dyDescent="0.25">
      <c r="G5214" s="10">
        <v>6240</v>
      </c>
      <c r="H5214" s="9">
        <v>44224</v>
      </c>
      <c r="I5214" s="14">
        <f>DATE(2012,12,31)-875</f>
        <v>40399</v>
      </c>
      <c r="J5214" s="15" t="s">
        <v>17</v>
      </c>
      <c r="K5214" s="9">
        <v>32</v>
      </c>
      <c r="L5214" s="16" t="s">
        <v>27</v>
      </c>
      <c r="M5214" s="16">
        <f t="shared" si="489"/>
        <v>0.44393456357285216</v>
      </c>
      <c r="N5214">
        <f t="shared" si="490"/>
        <v>0</v>
      </c>
      <c r="O5214">
        <f t="shared" si="491"/>
        <v>0</v>
      </c>
      <c r="P5214">
        <f t="shared" si="488"/>
        <v>5000</v>
      </c>
      <c r="Q5214">
        <f t="shared" si="492"/>
        <v>5000</v>
      </c>
      <c r="T5214" s="16">
        <f t="shared" si="493"/>
        <v>0.44393456357285183</v>
      </c>
    </row>
    <row r="5215" spans="7:20" ht="14.4" x14ac:dyDescent="0.25">
      <c r="G5215" s="10">
        <v>6264</v>
      </c>
      <c r="H5215" s="9">
        <v>44325</v>
      </c>
      <c r="I5215" s="14">
        <f>DATE(2012,12,31)-1420</f>
        <v>39854</v>
      </c>
      <c r="J5215" s="15" t="s">
        <v>16</v>
      </c>
      <c r="K5215" s="9">
        <v>44</v>
      </c>
      <c r="L5215" s="16" t="s">
        <v>29</v>
      </c>
      <c r="M5215" s="16">
        <f t="shared" si="489"/>
        <v>1.2726518830035094</v>
      </c>
      <c r="N5215">
        <f t="shared" si="490"/>
        <v>0</v>
      </c>
      <c r="O5215">
        <f t="shared" si="491"/>
        <v>0</v>
      </c>
      <c r="P5215">
        <f t="shared" si="488"/>
        <v>5600</v>
      </c>
      <c r="Q5215">
        <f t="shared" si="492"/>
        <v>5600</v>
      </c>
      <c r="T5215" s="16">
        <f t="shared" si="493"/>
        <v>1.272651883003509</v>
      </c>
    </row>
    <row r="5216" spans="7:20" ht="14.4" x14ac:dyDescent="0.25">
      <c r="G5216" s="10">
        <v>6274</v>
      </c>
      <c r="H5216" s="9">
        <v>44422</v>
      </c>
      <c r="I5216" s="14">
        <f>DATE(2012,12,31)-262</f>
        <v>41012</v>
      </c>
      <c r="J5216" s="15" t="s">
        <v>16</v>
      </c>
      <c r="K5216" s="9">
        <v>1</v>
      </c>
      <c r="L5216" s="16" t="s">
        <v>26</v>
      </c>
      <c r="M5216" s="16">
        <f t="shared" si="489"/>
        <v>-1.6969185116230123</v>
      </c>
      <c r="N5216">
        <f t="shared" si="490"/>
        <v>0</v>
      </c>
      <c r="O5216">
        <f t="shared" si="491"/>
        <v>0</v>
      </c>
      <c r="P5216">
        <f t="shared" si="488"/>
        <v>3450</v>
      </c>
      <c r="Q5216">
        <f t="shared" si="492"/>
        <v>3450</v>
      </c>
      <c r="T5216" s="16">
        <f t="shared" si="493"/>
        <v>-1.6969185116230128</v>
      </c>
    </row>
    <row r="5217" spans="7:20" ht="14.4" x14ac:dyDescent="0.25">
      <c r="G5217" s="10">
        <v>6275</v>
      </c>
      <c r="H5217" s="9">
        <v>44422</v>
      </c>
      <c r="I5217" s="14">
        <f>DATE(2012,12,31)-262</f>
        <v>41012</v>
      </c>
      <c r="J5217" s="15" t="s">
        <v>16</v>
      </c>
      <c r="K5217" s="9">
        <v>36</v>
      </c>
      <c r="L5217" s="16" t="s">
        <v>26</v>
      </c>
      <c r="M5217" s="16">
        <f t="shared" si="489"/>
        <v>0.72017367004973787</v>
      </c>
      <c r="N5217">
        <f t="shared" si="490"/>
        <v>0</v>
      </c>
      <c r="O5217">
        <f t="shared" si="491"/>
        <v>0</v>
      </c>
      <c r="P5217">
        <f t="shared" si="488"/>
        <v>5200</v>
      </c>
      <c r="Q5217">
        <f t="shared" si="492"/>
        <v>5200</v>
      </c>
      <c r="T5217" s="16">
        <f t="shared" si="493"/>
        <v>0.72017367004973754</v>
      </c>
    </row>
    <row r="5218" spans="7:20" ht="14.4" x14ac:dyDescent="0.25">
      <c r="G5218" s="10">
        <v>6276</v>
      </c>
      <c r="H5218" s="9">
        <v>44422</v>
      </c>
      <c r="I5218" s="14">
        <f>DATE(2012,12,31)-262</f>
        <v>41012</v>
      </c>
      <c r="J5218" s="15" t="s">
        <v>16</v>
      </c>
      <c r="K5218" s="9">
        <v>11</v>
      </c>
      <c r="L5218" s="16" t="s">
        <v>27</v>
      </c>
      <c r="M5218" s="16">
        <f t="shared" si="489"/>
        <v>-1.0063207454307979</v>
      </c>
      <c r="N5218">
        <f t="shared" si="490"/>
        <v>0</v>
      </c>
      <c r="O5218">
        <f t="shared" si="491"/>
        <v>0</v>
      </c>
      <c r="P5218">
        <f t="shared" si="488"/>
        <v>3950</v>
      </c>
      <c r="Q5218">
        <f t="shared" si="492"/>
        <v>3950</v>
      </c>
      <c r="T5218" s="16">
        <f t="shared" si="493"/>
        <v>-1.0063207454307983</v>
      </c>
    </row>
    <row r="5219" spans="7:20" ht="14.4" x14ac:dyDescent="0.25">
      <c r="G5219" s="10">
        <v>6300</v>
      </c>
      <c r="H5219" s="9">
        <v>44609</v>
      </c>
      <c r="I5219" s="14">
        <f>DATE(2012,12,31)-562</f>
        <v>40712</v>
      </c>
      <c r="J5219" s="15" t="s">
        <v>25</v>
      </c>
      <c r="K5219" s="9">
        <v>28</v>
      </c>
      <c r="L5219" s="16" t="s">
        <v>26</v>
      </c>
      <c r="M5219" s="16">
        <f t="shared" si="489"/>
        <v>0.16769545709596645</v>
      </c>
      <c r="N5219">
        <f t="shared" si="490"/>
        <v>0</v>
      </c>
      <c r="O5219">
        <f t="shared" si="491"/>
        <v>0</v>
      </c>
      <c r="P5219">
        <f t="shared" si="488"/>
        <v>4800</v>
      </c>
      <c r="Q5219">
        <f t="shared" si="492"/>
        <v>4800</v>
      </c>
      <c r="T5219" s="16">
        <f t="shared" si="493"/>
        <v>0.16769545709596606</v>
      </c>
    </row>
    <row r="5220" spans="7:20" ht="14.4" x14ac:dyDescent="0.25">
      <c r="G5220" s="10">
        <v>6301</v>
      </c>
      <c r="H5220" s="9">
        <v>44609</v>
      </c>
      <c r="I5220" s="14">
        <f>DATE(2012,12,31)-562</f>
        <v>40712</v>
      </c>
      <c r="J5220" s="15" t="s">
        <v>25</v>
      </c>
      <c r="K5220" s="9">
        <v>37</v>
      </c>
      <c r="L5220" s="16" t="s">
        <v>26</v>
      </c>
      <c r="M5220" s="16">
        <f t="shared" si="489"/>
        <v>0.78923344666895934</v>
      </c>
      <c r="N5220">
        <f t="shared" si="490"/>
        <v>0</v>
      </c>
      <c r="O5220">
        <f t="shared" si="491"/>
        <v>0</v>
      </c>
      <c r="P5220">
        <f t="shared" si="488"/>
        <v>5250</v>
      </c>
      <c r="Q5220">
        <f t="shared" si="492"/>
        <v>5250</v>
      </c>
      <c r="T5220" s="16">
        <f t="shared" si="493"/>
        <v>0.789233446668959</v>
      </c>
    </row>
    <row r="5221" spans="7:20" ht="14.4" x14ac:dyDescent="0.25">
      <c r="G5221" s="10">
        <v>6339</v>
      </c>
      <c r="H5221" s="9">
        <v>44935</v>
      </c>
      <c r="I5221" s="14">
        <f>DATE(2012,12,31)-775</f>
        <v>40499</v>
      </c>
      <c r="J5221" s="15" t="s">
        <v>17</v>
      </c>
      <c r="K5221" s="9">
        <v>37</v>
      </c>
      <c r="L5221" s="16" t="s">
        <v>26</v>
      </c>
      <c r="M5221" s="16">
        <f t="shared" si="489"/>
        <v>0.78923344666895934</v>
      </c>
      <c r="N5221">
        <f t="shared" si="490"/>
        <v>0</v>
      </c>
      <c r="O5221">
        <f t="shared" si="491"/>
        <v>0</v>
      </c>
      <c r="P5221">
        <f t="shared" si="488"/>
        <v>5250</v>
      </c>
      <c r="Q5221">
        <f t="shared" si="492"/>
        <v>5250</v>
      </c>
      <c r="T5221" s="16">
        <f t="shared" si="493"/>
        <v>0.789233446668959</v>
      </c>
    </row>
    <row r="5222" spans="7:20" ht="14.4" x14ac:dyDescent="0.25">
      <c r="G5222" s="10">
        <v>6361</v>
      </c>
      <c r="H5222" s="9">
        <v>45127</v>
      </c>
      <c r="I5222" s="14">
        <f>DATE(2012,12,31)-1</f>
        <v>41273</v>
      </c>
      <c r="J5222" s="15" t="s">
        <v>16</v>
      </c>
      <c r="K5222" s="9">
        <v>10</v>
      </c>
      <c r="L5222" s="16" t="s">
        <v>26</v>
      </c>
      <c r="M5222" s="16">
        <f t="shared" si="489"/>
        <v>-1.0753805220500194</v>
      </c>
      <c r="N5222">
        <f t="shared" si="490"/>
        <v>0</v>
      </c>
      <c r="O5222">
        <f t="shared" si="491"/>
        <v>0</v>
      </c>
      <c r="P5222">
        <f t="shared" si="488"/>
        <v>3900</v>
      </c>
      <c r="Q5222">
        <f t="shared" si="492"/>
        <v>3900</v>
      </c>
      <c r="T5222" s="16">
        <f t="shared" si="493"/>
        <v>-1.0753805220500199</v>
      </c>
    </row>
    <row r="5223" spans="7:20" ht="14.4" x14ac:dyDescent="0.25">
      <c r="G5223" s="10">
        <v>6398</v>
      </c>
      <c r="H5223" s="9">
        <v>45413</v>
      </c>
      <c r="I5223" s="14">
        <f>DATE(2012,12,31)-937</f>
        <v>40337</v>
      </c>
      <c r="J5223" s="15" t="s">
        <v>17</v>
      </c>
      <c r="K5223" s="9">
        <v>18</v>
      </c>
      <c r="L5223" s="16" t="s">
        <v>26</v>
      </c>
      <c r="M5223" s="16">
        <f t="shared" si="489"/>
        <v>-0.52290230909624791</v>
      </c>
      <c r="N5223">
        <f t="shared" si="490"/>
        <v>0</v>
      </c>
      <c r="O5223">
        <f t="shared" si="491"/>
        <v>0</v>
      </c>
      <c r="P5223">
        <f t="shared" si="488"/>
        <v>4300</v>
      </c>
      <c r="Q5223">
        <f t="shared" si="492"/>
        <v>4300</v>
      </c>
      <c r="T5223" s="16">
        <f t="shared" si="493"/>
        <v>-0.52290230909624835</v>
      </c>
    </row>
    <row r="5224" spans="7:20" ht="14.4" x14ac:dyDescent="0.25">
      <c r="G5224" s="10">
        <v>6399</v>
      </c>
      <c r="H5224" s="9">
        <v>45413</v>
      </c>
      <c r="I5224" s="14">
        <f>DATE(2012,12,31)-937</f>
        <v>40337</v>
      </c>
      <c r="J5224" s="15" t="s">
        <v>17</v>
      </c>
      <c r="K5224" s="9">
        <v>17</v>
      </c>
      <c r="L5224" s="16" t="s">
        <v>26</v>
      </c>
      <c r="M5224" s="16">
        <f t="shared" si="489"/>
        <v>-0.59196208571546938</v>
      </c>
      <c r="N5224">
        <f t="shared" si="490"/>
        <v>0</v>
      </c>
      <c r="O5224">
        <f t="shared" si="491"/>
        <v>0</v>
      </c>
      <c r="P5224">
        <f t="shared" si="488"/>
        <v>4250</v>
      </c>
      <c r="Q5224">
        <f t="shared" si="492"/>
        <v>4250</v>
      </c>
      <c r="T5224" s="16">
        <f t="shared" si="493"/>
        <v>-0.59196208571546971</v>
      </c>
    </row>
    <row r="5225" spans="7:20" ht="14.4" x14ac:dyDescent="0.25">
      <c r="G5225" s="10">
        <v>6400</v>
      </c>
      <c r="H5225" s="9">
        <v>45413</v>
      </c>
      <c r="I5225" s="14">
        <f>DATE(2012,12,31)-937</f>
        <v>40337</v>
      </c>
      <c r="J5225" s="15" t="s">
        <v>17</v>
      </c>
      <c r="K5225" s="9">
        <v>24</v>
      </c>
      <c r="L5225" s="16" t="s">
        <v>26</v>
      </c>
      <c r="M5225" s="16">
        <f t="shared" si="489"/>
        <v>-0.1085436493809193</v>
      </c>
      <c r="N5225">
        <f t="shared" si="490"/>
        <v>0</v>
      </c>
      <c r="O5225">
        <f t="shared" si="491"/>
        <v>0</v>
      </c>
      <c r="P5225">
        <f t="shared" si="488"/>
        <v>4600</v>
      </c>
      <c r="Q5225">
        <f t="shared" si="492"/>
        <v>4600</v>
      </c>
      <c r="T5225" s="16">
        <f t="shared" si="493"/>
        <v>-0.10854364938091969</v>
      </c>
    </row>
    <row r="5226" spans="7:20" ht="14.4" x14ac:dyDescent="0.25">
      <c r="G5226" s="10">
        <v>6412</v>
      </c>
      <c r="H5226" s="9">
        <v>45571</v>
      </c>
      <c r="I5226" s="14">
        <f>DATE(2012,12,31)-99</f>
        <v>41175</v>
      </c>
      <c r="J5226" s="15" t="s">
        <v>16</v>
      </c>
      <c r="K5226" s="9">
        <v>43</v>
      </c>
      <c r="L5226" s="16" t="s">
        <v>26</v>
      </c>
      <c r="M5226" s="16">
        <f t="shared" si="489"/>
        <v>1.203592106384288</v>
      </c>
      <c r="N5226">
        <f t="shared" si="490"/>
        <v>0</v>
      </c>
      <c r="O5226">
        <f t="shared" si="491"/>
        <v>0</v>
      </c>
      <c r="P5226">
        <f t="shared" si="488"/>
        <v>5550</v>
      </c>
      <c r="Q5226">
        <f t="shared" si="492"/>
        <v>5550</v>
      </c>
      <c r="T5226" s="16">
        <f t="shared" si="493"/>
        <v>1.2035921063842876</v>
      </c>
    </row>
    <row r="5227" spans="7:20" ht="14.4" x14ac:dyDescent="0.25">
      <c r="G5227" s="10">
        <v>6413</v>
      </c>
      <c r="H5227" s="9">
        <v>45571</v>
      </c>
      <c r="I5227" s="14">
        <f>DATE(2012,12,31)-99</f>
        <v>41175</v>
      </c>
      <c r="J5227" s="15" t="s">
        <v>16</v>
      </c>
      <c r="K5227" s="9">
        <v>47</v>
      </c>
      <c r="L5227" s="16" t="s">
        <v>27</v>
      </c>
      <c r="M5227" s="16">
        <f t="shared" si="489"/>
        <v>1.4798312128611737</v>
      </c>
      <c r="N5227">
        <f t="shared" si="490"/>
        <v>0</v>
      </c>
      <c r="O5227">
        <f t="shared" si="491"/>
        <v>0</v>
      </c>
      <c r="P5227">
        <f t="shared" si="488"/>
        <v>5750</v>
      </c>
      <c r="Q5227">
        <f t="shared" si="492"/>
        <v>5750</v>
      </c>
      <c r="T5227" s="16">
        <f t="shared" si="493"/>
        <v>1.4798312128611733</v>
      </c>
    </row>
    <row r="5228" spans="7:20" ht="14.4" x14ac:dyDescent="0.25">
      <c r="G5228" s="10">
        <v>6414</v>
      </c>
      <c r="H5228" s="9">
        <v>45571</v>
      </c>
      <c r="I5228" s="14">
        <f>DATE(2012,12,31)-99</f>
        <v>41175</v>
      </c>
      <c r="J5228" s="15" t="s">
        <v>16</v>
      </c>
      <c r="K5228" s="9">
        <v>44</v>
      </c>
      <c r="L5228" s="16" t="s">
        <v>27</v>
      </c>
      <c r="M5228" s="16">
        <f t="shared" si="489"/>
        <v>1.2726518830035094</v>
      </c>
      <c r="N5228">
        <f t="shared" si="490"/>
        <v>0</v>
      </c>
      <c r="O5228">
        <f t="shared" si="491"/>
        <v>0</v>
      </c>
      <c r="P5228">
        <f t="shared" si="488"/>
        <v>5600</v>
      </c>
      <c r="Q5228">
        <f t="shared" si="492"/>
        <v>5600</v>
      </c>
      <c r="T5228" s="16">
        <f t="shared" si="493"/>
        <v>1.272651883003509</v>
      </c>
    </row>
    <row r="5229" spans="7:20" ht="14.4" x14ac:dyDescent="0.25">
      <c r="G5229" s="10">
        <v>6416</v>
      </c>
      <c r="H5229" s="9">
        <v>45575</v>
      </c>
      <c r="I5229" s="14">
        <f>DATE(2012,12,31)-263</f>
        <v>41011</v>
      </c>
      <c r="J5229" s="15" t="s">
        <v>30</v>
      </c>
      <c r="K5229" s="9">
        <v>46</v>
      </c>
      <c r="L5229" s="16" t="s">
        <v>26</v>
      </c>
      <c r="M5229" s="16">
        <f t="shared" si="489"/>
        <v>1.4107714362419523</v>
      </c>
      <c r="N5229">
        <f t="shared" si="490"/>
        <v>0</v>
      </c>
      <c r="O5229">
        <f t="shared" si="491"/>
        <v>0</v>
      </c>
      <c r="P5229">
        <f t="shared" si="488"/>
        <v>5700</v>
      </c>
      <c r="Q5229">
        <f t="shared" si="492"/>
        <v>5700</v>
      </c>
      <c r="T5229" s="16">
        <f t="shared" si="493"/>
        <v>1.4107714362419519</v>
      </c>
    </row>
    <row r="5230" spans="7:20" ht="14.4" x14ac:dyDescent="0.25">
      <c r="G5230" s="10">
        <v>6442</v>
      </c>
      <c r="H5230" s="9">
        <v>45794</v>
      </c>
      <c r="I5230" s="14">
        <f>DATE(2012,12,31)-464</f>
        <v>40810</v>
      </c>
      <c r="J5230" s="15" t="s">
        <v>30</v>
      </c>
      <c r="K5230" s="9">
        <v>28</v>
      </c>
      <c r="L5230" s="16" t="s">
        <v>27</v>
      </c>
      <c r="M5230" s="16">
        <f t="shared" si="489"/>
        <v>0.16769545709596645</v>
      </c>
      <c r="N5230">
        <f t="shared" si="490"/>
        <v>0</v>
      </c>
      <c r="O5230">
        <f t="shared" si="491"/>
        <v>0</v>
      </c>
      <c r="P5230">
        <f t="shared" si="488"/>
        <v>4800</v>
      </c>
      <c r="Q5230">
        <f t="shared" si="492"/>
        <v>4800</v>
      </c>
      <c r="T5230" s="16">
        <f t="shared" si="493"/>
        <v>0.16769545709596606</v>
      </c>
    </row>
    <row r="5231" spans="7:20" ht="14.4" x14ac:dyDescent="0.25">
      <c r="G5231" s="10">
        <v>6445</v>
      </c>
      <c r="H5231" s="9">
        <v>45860</v>
      </c>
      <c r="I5231" s="14">
        <f>DATE(2012,12,31)-141</f>
        <v>41133</v>
      </c>
      <c r="J5231" s="15" t="s">
        <v>25</v>
      </c>
      <c r="K5231" s="9">
        <v>12</v>
      </c>
      <c r="L5231" s="16" t="s">
        <v>26</v>
      </c>
      <c r="M5231" s="16">
        <f t="shared" si="489"/>
        <v>-0.9372609688115765</v>
      </c>
      <c r="N5231">
        <f t="shared" si="490"/>
        <v>0</v>
      </c>
      <c r="O5231">
        <f t="shared" si="491"/>
        <v>0</v>
      </c>
      <c r="P5231">
        <f t="shared" si="488"/>
        <v>4000</v>
      </c>
      <c r="Q5231">
        <f t="shared" si="492"/>
        <v>4000</v>
      </c>
      <c r="T5231" s="16">
        <f t="shared" si="493"/>
        <v>-0.93726096881157694</v>
      </c>
    </row>
    <row r="5232" spans="7:20" ht="14.4" x14ac:dyDescent="0.25">
      <c r="G5232" s="10">
        <v>6464</v>
      </c>
      <c r="H5232" s="9">
        <v>46021</v>
      </c>
      <c r="I5232" s="14">
        <f>DATE(2012,12,31)-1400</f>
        <v>39874</v>
      </c>
      <c r="J5232" s="15" t="s">
        <v>17</v>
      </c>
      <c r="K5232" s="9">
        <v>1</v>
      </c>
      <c r="L5232" s="16" t="s">
        <v>29</v>
      </c>
      <c r="M5232" s="16">
        <f t="shared" si="489"/>
        <v>-1.6969185116230123</v>
      </c>
      <c r="N5232">
        <f t="shared" si="490"/>
        <v>0</v>
      </c>
      <c r="O5232">
        <f t="shared" si="491"/>
        <v>0</v>
      </c>
      <c r="P5232">
        <f t="shared" si="488"/>
        <v>3450</v>
      </c>
      <c r="Q5232">
        <f t="shared" si="492"/>
        <v>3450</v>
      </c>
      <c r="T5232" s="16">
        <f t="shared" si="493"/>
        <v>-1.6969185116230128</v>
      </c>
    </row>
    <row r="5233" spans="7:20" ht="14.4" x14ac:dyDescent="0.25">
      <c r="G5233" s="10">
        <v>6483</v>
      </c>
      <c r="H5233" s="9">
        <v>46147</v>
      </c>
      <c r="I5233" s="14">
        <f>DATE(2012,12,31)-716</f>
        <v>40558</v>
      </c>
      <c r="J5233" s="15" t="s">
        <v>30</v>
      </c>
      <c r="K5233" s="9">
        <v>37</v>
      </c>
      <c r="L5233" s="16" t="s">
        <v>26</v>
      </c>
      <c r="M5233" s="16">
        <f t="shared" si="489"/>
        <v>0.78923344666895934</v>
      </c>
      <c r="N5233">
        <f t="shared" si="490"/>
        <v>0</v>
      </c>
      <c r="O5233">
        <f t="shared" si="491"/>
        <v>0</v>
      </c>
      <c r="P5233">
        <f t="shared" si="488"/>
        <v>5250</v>
      </c>
      <c r="Q5233">
        <f t="shared" si="492"/>
        <v>5250</v>
      </c>
      <c r="T5233" s="16">
        <f t="shared" si="493"/>
        <v>0.789233446668959</v>
      </c>
    </row>
    <row r="5234" spans="7:20" ht="14.4" x14ac:dyDescent="0.25">
      <c r="G5234" s="10">
        <v>6484</v>
      </c>
      <c r="H5234" s="9">
        <v>46147</v>
      </c>
      <c r="I5234" s="14">
        <f>DATE(2012,12,31)-716</f>
        <v>40558</v>
      </c>
      <c r="J5234" s="15" t="s">
        <v>30</v>
      </c>
      <c r="K5234" s="9">
        <v>39</v>
      </c>
      <c r="L5234" s="16" t="s">
        <v>26</v>
      </c>
      <c r="M5234" s="16">
        <f t="shared" si="489"/>
        <v>0.92735299990740228</v>
      </c>
      <c r="N5234">
        <f t="shared" si="490"/>
        <v>0</v>
      </c>
      <c r="O5234">
        <f t="shared" si="491"/>
        <v>0</v>
      </c>
      <c r="P5234">
        <f t="shared" si="488"/>
        <v>5350</v>
      </c>
      <c r="Q5234">
        <f t="shared" si="492"/>
        <v>5350</v>
      </c>
      <c r="T5234" s="16">
        <f t="shared" si="493"/>
        <v>0.92735299990740183</v>
      </c>
    </row>
    <row r="5235" spans="7:20" ht="14.4" x14ac:dyDescent="0.25">
      <c r="G5235" s="10">
        <v>6485</v>
      </c>
      <c r="H5235" s="9">
        <v>46147</v>
      </c>
      <c r="I5235" s="14">
        <f>DATE(2012,12,31)-716</f>
        <v>40558</v>
      </c>
      <c r="J5235" s="15" t="s">
        <v>30</v>
      </c>
      <c r="K5235" s="9">
        <v>12</v>
      </c>
      <c r="L5235" s="16" t="s">
        <v>29</v>
      </c>
      <c r="M5235" s="16">
        <f t="shared" si="489"/>
        <v>-0.9372609688115765</v>
      </c>
      <c r="N5235">
        <f t="shared" si="490"/>
        <v>0</v>
      </c>
      <c r="O5235">
        <f t="shared" si="491"/>
        <v>0</v>
      </c>
      <c r="P5235">
        <f t="shared" si="488"/>
        <v>4000</v>
      </c>
      <c r="Q5235">
        <f t="shared" si="492"/>
        <v>4000</v>
      </c>
      <c r="T5235" s="16">
        <f t="shared" si="493"/>
        <v>-0.93726096881157694</v>
      </c>
    </row>
    <row r="5236" spans="7:20" ht="14.4" x14ac:dyDescent="0.25">
      <c r="G5236" s="10">
        <v>6490</v>
      </c>
      <c r="H5236" s="9">
        <v>46211</v>
      </c>
      <c r="I5236" s="14">
        <f>DATE(2012,12,31)-934</f>
        <v>40340</v>
      </c>
      <c r="J5236" s="15" t="s">
        <v>25</v>
      </c>
      <c r="K5236" s="9">
        <v>47</v>
      </c>
      <c r="L5236" s="16" t="s">
        <v>29</v>
      </c>
      <c r="M5236" s="16">
        <f t="shared" si="489"/>
        <v>1.4798312128611737</v>
      </c>
      <c r="N5236">
        <f t="shared" si="490"/>
        <v>0</v>
      </c>
      <c r="O5236">
        <f t="shared" si="491"/>
        <v>0</v>
      </c>
      <c r="P5236">
        <f t="shared" si="488"/>
        <v>5750</v>
      </c>
      <c r="Q5236">
        <f t="shared" si="492"/>
        <v>5750</v>
      </c>
      <c r="T5236" s="16">
        <f t="shared" si="493"/>
        <v>1.4798312128611733</v>
      </c>
    </row>
    <row r="5237" spans="7:20" ht="14.4" x14ac:dyDescent="0.25">
      <c r="G5237" s="10">
        <v>6493</v>
      </c>
      <c r="H5237" s="9">
        <v>46241</v>
      </c>
      <c r="I5237" s="14">
        <f>DATE(2012,12,31)-1388</f>
        <v>39886</v>
      </c>
      <c r="J5237" s="15" t="s">
        <v>28</v>
      </c>
      <c r="K5237" s="9">
        <v>34</v>
      </c>
      <c r="L5237" s="16" t="s">
        <v>29</v>
      </c>
      <c r="M5237" s="16">
        <f t="shared" si="489"/>
        <v>0.58205411681129504</v>
      </c>
      <c r="N5237">
        <f t="shared" si="490"/>
        <v>0</v>
      </c>
      <c r="O5237">
        <f t="shared" si="491"/>
        <v>0</v>
      </c>
      <c r="P5237">
        <f t="shared" si="488"/>
        <v>5100</v>
      </c>
      <c r="Q5237">
        <f t="shared" si="492"/>
        <v>5100</v>
      </c>
      <c r="T5237" s="16">
        <f t="shared" si="493"/>
        <v>0.58205411681129471</v>
      </c>
    </row>
    <row r="5238" spans="7:20" ht="14.4" x14ac:dyDescent="0.25">
      <c r="G5238" s="10">
        <v>6497</v>
      </c>
      <c r="H5238" s="9">
        <v>46244</v>
      </c>
      <c r="I5238" s="14">
        <f>DATE(2012,12,31)-1278</f>
        <v>39996</v>
      </c>
      <c r="J5238" s="15" t="s">
        <v>16</v>
      </c>
      <c r="K5238" s="9">
        <v>10</v>
      </c>
      <c r="L5238" s="16" t="s">
        <v>29</v>
      </c>
      <c r="M5238" s="16">
        <f t="shared" si="489"/>
        <v>-1.0753805220500194</v>
      </c>
      <c r="N5238">
        <f t="shared" si="490"/>
        <v>0</v>
      </c>
      <c r="O5238">
        <f t="shared" si="491"/>
        <v>0</v>
      </c>
      <c r="P5238">
        <f t="shared" si="488"/>
        <v>3900</v>
      </c>
      <c r="Q5238">
        <f t="shared" si="492"/>
        <v>3900</v>
      </c>
      <c r="T5238" s="16">
        <f t="shared" si="493"/>
        <v>-1.0753805220500199</v>
      </c>
    </row>
    <row r="5239" spans="7:20" ht="14.4" x14ac:dyDescent="0.25">
      <c r="G5239" s="10">
        <v>6498</v>
      </c>
      <c r="H5239" s="9">
        <v>46244</v>
      </c>
      <c r="I5239" s="14">
        <f>DATE(2012,12,31)-1278</f>
        <v>39996</v>
      </c>
      <c r="J5239" s="15" t="s">
        <v>16</v>
      </c>
      <c r="K5239" s="9">
        <v>9</v>
      </c>
      <c r="L5239" s="16" t="s">
        <v>27</v>
      </c>
      <c r="M5239" s="16">
        <f t="shared" si="489"/>
        <v>-1.1444402986692408</v>
      </c>
      <c r="N5239">
        <f t="shared" si="490"/>
        <v>0</v>
      </c>
      <c r="O5239">
        <f t="shared" si="491"/>
        <v>0</v>
      </c>
      <c r="P5239">
        <f t="shared" si="488"/>
        <v>3850</v>
      </c>
      <c r="Q5239">
        <f t="shared" si="492"/>
        <v>3850</v>
      </c>
      <c r="T5239" s="16">
        <f t="shared" si="493"/>
        <v>-1.1444402986692412</v>
      </c>
    </row>
    <row r="5240" spans="7:20" ht="14.4" x14ac:dyDescent="0.25">
      <c r="G5240" s="10">
        <v>6501</v>
      </c>
      <c r="H5240" s="9">
        <v>46305</v>
      </c>
      <c r="I5240" s="14">
        <f>DATE(2012,12,31)-520</f>
        <v>40754</v>
      </c>
      <c r="J5240" s="15" t="s">
        <v>25</v>
      </c>
      <c r="K5240" s="9">
        <v>30</v>
      </c>
      <c r="L5240" s="16" t="s">
        <v>26</v>
      </c>
      <c r="M5240" s="16">
        <f t="shared" si="489"/>
        <v>0.30581501033440933</v>
      </c>
      <c r="N5240">
        <f t="shared" si="490"/>
        <v>0</v>
      </c>
      <c r="O5240">
        <f t="shared" si="491"/>
        <v>0</v>
      </c>
      <c r="P5240">
        <f t="shared" si="488"/>
        <v>4900</v>
      </c>
      <c r="Q5240">
        <f t="shared" si="492"/>
        <v>4900</v>
      </c>
      <c r="T5240" s="16">
        <f t="shared" si="493"/>
        <v>0.30581501033440894</v>
      </c>
    </row>
    <row r="5241" spans="7:20" ht="14.4" x14ac:dyDescent="0.25">
      <c r="G5241" s="10">
        <v>6514</v>
      </c>
      <c r="H5241" s="9">
        <v>46372</v>
      </c>
      <c r="I5241" s="14">
        <f>DATE(2012,12,31)-674</f>
        <v>40600</v>
      </c>
      <c r="J5241" s="15" t="s">
        <v>17</v>
      </c>
      <c r="K5241" s="9">
        <v>7</v>
      </c>
      <c r="L5241" s="16" t="s">
        <v>26</v>
      </c>
      <c r="M5241" s="16">
        <f t="shared" si="489"/>
        <v>-1.2825598519076837</v>
      </c>
      <c r="N5241">
        <f t="shared" si="490"/>
        <v>0</v>
      </c>
      <c r="O5241">
        <f t="shared" si="491"/>
        <v>0</v>
      </c>
      <c r="P5241">
        <f t="shared" si="488"/>
        <v>3750</v>
      </c>
      <c r="Q5241">
        <f t="shared" si="492"/>
        <v>3750</v>
      </c>
      <c r="T5241" s="16">
        <f t="shared" si="493"/>
        <v>-1.2825598519076842</v>
      </c>
    </row>
    <row r="5242" spans="7:20" ht="14.4" x14ac:dyDescent="0.25">
      <c r="G5242" s="10">
        <v>6515</v>
      </c>
      <c r="H5242" s="9">
        <v>46372</v>
      </c>
      <c r="I5242" s="14">
        <f>DATE(2012,12,31)-674</f>
        <v>40600</v>
      </c>
      <c r="J5242" s="15" t="s">
        <v>17</v>
      </c>
      <c r="K5242" s="9">
        <v>15</v>
      </c>
      <c r="L5242" s="16" t="s">
        <v>26</v>
      </c>
      <c r="M5242" s="16">
        <f t="shared" si="489"/>
        <v>-0.7300816389539122</v>
      </c>
      <c r="N5242">
        <f t="shared" si="490"/>
        <v>0</v>
      </c>
      <c r="O5242">
        <f t="shared" si="491"/>
        <v>0</v>
      </c>
      <c r="P5242">
        <f t="shared" si="488"/>
        <v>4150</v>
      </c>
      <c r="Q5242">
        <f t="shared" si="492"/>
        <v>4150</v>
      </c>
      <c r="T5242" s="16">
        <f t="shared" si="493"/>
        <v>-0.73008163895391265</v>
      </c>
    </row>
    <row r="5243" spans="7:20" ht="14.4" x14ac:dyDescent="0.25">
      <c r="G5243" s="10">
        <v>6562</v>
      </c>
      <c r="H5243" s="9">
        <v>46656</v>
      </c>
      <c r="I5243" s="14">
        <f>DATE(2012,12,31)-1264</f>
        <v>40010</v>
      </c>
      <c r="J5243" s="15" t="s">
        <v>17</v>
      </c>
      <c r="K5243" s="9">
        <v>27</v>
      </c>
      <c r="L5243" s="16" t="s">
        <v>26</v>
      </c>
      <c r="M5243" s="16">
        <f t="shared" si="489"/>
        <v>9.8635680476745008E-2</v>
      </c>
      <c r="N5243">
        <f t="shared" si="490"/>
        <v>0</v>
      </c>
      <c r="O5243">
        <f t="shared" si="491"/>
        <v>0</v>
      </c>
      <c r="P5243">
        <f t="shared" si="488"/>
        <v>4750</v>
      </c>
      <c r="Q5243">
        <f t="shared" si="492"/>
        <v>4750</v>
      </c>
      <c r="T5243" s="16">
        <f t="shared" si="493"/>
        <v>9.8635680476744619E-2</v>
      </c>
    </row>
    <row r="5244" spans="7:20" ht="14.4" x14ac:dyDescent="0.25">
      <c r="G5244" s="10">
        <v>6567</v>
      </c>
      <c r="H5244" s="9">
        <v>46721</v>
      </c>
      <c r="I5244" s="14">
        <f>DATE(2012,12,31)-1205</f>
        <v>40069</v>
      </c>
      <c r="J5244" s="15" t="s">
        <v>16</v>
      </c>
      <c r="K5244" s="9">
        <v>17</v>
      </c>
      <c r="L5244" s="16" t="s">
        <v>26</v>
      </c>
      <c r="M5244" s="16">
        <f t="shared" si="489"/>
        <v>-0.59196208571546938</v>
      </c>
      <c r="N5244">
        <f t="shared" si="490"/>
        <v>0</v>
      </c>
      <c r="O5244">
        <f t="shared" si="491"/>
        <v>0</v>
      </c>
      <c r="P5244">
        <f t="shared" si="488"/>
        <v>4250</v>
      </c>
      <c r="Q5244">
        <f t="shared" si="492"/>
        <v>4250</v>
      </c>
      <c r="T5244" s="16">
        <f t="shared" si="493"/>
        <v>-0.59196208571546971</v>
      </c>
    </row>
    <row r="5245" spans="7:20" ht="14.4" x14ac:dyDescent="0.25">
      <c r="G5245" s="10">
        <v>6568</v>
      </c>
      <c r="H5245" s="9">
        <v>46721</v>
      </c>
      <c r="I5245" s="14">
        <f>DATE(2012,12,31)-1205</f>
        <v>40069</v>
      </c>
      <c r="J5245" s="15" t="s">
        <v>16</v>
      </c>
      <c r="K5245" s="9">
        <v>35</v>
      </c>
      <c r="L5245" s="16" t="s">
        <v>26</v>
      </c>
      <c r="M5245" s="16">
        <f t="shared" si="489"/>
        <v>0.65111389343051651</v>
      </c>
      <c r="N5245">
        <f t="shared" si="490"/>
        <v>0</v>
      </c>
      <c r="O5245">
        <f t="shared" si="491"/>
        <v>0</v>
      </c>
      <c r="P5245">
        <f t="shared" si="488"/>
        <v>5150</v>
      </c>
      <c r="Q5245">
        <f t="shared" si="492"/>
        <v>5150</v>
      </c>
      <c r="T5245" s="16">
        <f t="shared" si="493"/>
        <v>0.65111389343051607</v>
      </c>
    </row>
    <row r="5246" spans="7:20" ht="14.4" x14ac:dyDescent="0.25">
      <c r="G5246" s="10">
        <v>6569</v>
      </c>
      <c r="H5246" s="9">
        <v>46721</v>
      </c>
      <c r="I5246" s="14">
        <f>DATE(2012,12,31)-1205</f>
        <v>40069</v>
      </c>
      <c r="J5246" s="15" t="s">
        <v>16</v>
      </c>
      <c r="K5246" s="9">
        <v>17</v>
      </c>
      <c r="L5246" s="16" t="s">
        <v>26</v>
      </c>
      <c r="M5246" s="16">
        <f t="shared" si="489"/>
        <v>-0.59196208571546938</v>
      </c>
      <c r="N5246">
        <f t="shared" si="490"/>
        <v>0</v>
      </c>
      <c r="O5246">
        <f t="shared" si="491"/>
        <v>0</v>
      </c>
      <c r="P5246">
        <f t="shared" si="488"/>
        <v>4250</v>
      </c>
      <c r="Q5246">
        <f t="shared" si="492"/>
        <v>4250</v>
      </c>
      <c r="T5246" s="16">
        <f t="shared" si="493"/>
        <v>-0.59196208571546971</v>
      </c>
    </row>
    <row r="5247" spans="7:20" ht="14.4" x14ac:dyDescent="0.25">
      <c r="G5247" s="10">
        <v>6579</v>
      </c>
      <c r="H5247" s="9">
        <v>46852</v>
      </c>
      <c r="I5247" s="14">
        <f>DATE(2012,12,31)-338</f>
        <v>40936</v>
      </c>
      <c r="J5247" s="15" t="s">
        <v>28</v>
      </c>
      <c r="K5247" s="9">
        <v>46</v>
      </c>
      <c r="L5247" s="16" t="s">
        <v>27</v>
      </c>
      <c r="M5247" s="16">
        <f t="shared" si="489"/>
        <v>1.4107714362419523</v>
      </c>
      <c r="N5247">
        <f t="shared" si="490"/>
        <v>0</v>
      </c>
      <c r="O5247">
        <f t="shared" si="491"/>
        <v>0</v>
      </c>
      <c r="P5247">
        <f t="shared" si="488"/>
        <v>5700</v>
      </c>
      <c r="Q5247">
        <f t="shared" si="492"/>
        <v>5700</v>
      </c>
      <c r="T5247" s="16">
        <f t="shared" si="493"/>
        <v>1.4107714362419519</v>
      </c>
    </row>
    <row r="5248" spans="7:20" ht="14.4" x14ac:dyDescent="0.25">
      <c r="G5248" s="10">
        <v>6580</v>
      </c>
      <c r="H5248" s="9">
        <v>46852</v>
      </c>
      <c r="I5248" s="14">
        <f>DATE(2012,12,31)-338</f>
        <v>40936</v>
      </c>
      <c r="J5248" s="15" t="s">
        <v>28</v>
      </c>
      <c r="K5248" s="9">
        <v>44</v>
      </c>
      <c r="L5248" s="16" t="s">
        <v>27</v>
      </c>
      <c r="M5248" s="16">
        <f t="shared" si="489"/>
        <v>1.2726518830035094</v>
      </c>
      <c r="N5248">
        <f t="shared" si="490"/>
        <v>0</v>
      </c>
      <c r="O5248">
        <f t="shared" si="491"/>
        <v>0</v>
      </c>
      <c r="P5248">
        <f t="shared" si="488"/>
        <v>5600</v>
      </c>
      <c r="Q5248">
        <f t="shared" si="492"/>
        <v>5600</v>
      </c>
      <c r="T5248" s="16">
        <f t="shared" si="493"/>
        <v>1.272651883003509</v>
      </c>
    </row>
    <row r="5249" spans="7:20" ht="14.4" x14ac:dyDescent="0.25">
      <c r="G5249" s="10">
        <v>6597</v>
      </c>
      <c r="H5249" s="9">
        <v>46949</v>
      </c>
      <c r="I5249" s="14">
        <f>DATE(2012,12,31)-1030</f>
        <v>40244</v>
      </c>
      <c r="J5249" s="15" t="s">
        <v>17</v>
      </c>
      <c r="K5249" s="9">
        <v>37</v>
      </c>
      <c r="L5249" s="16" t="s">
        <v>27</v>
      </c>
      <c r="M5249" s="16">
        <f t="shared" si="489"/>
        <v>0.78923344666895934</v>
      </c>
      <c r="N5249">
        <f t="shared" si="490"/>
        <v>0</v>
      </c>
      <c r="O5249">
        <f t="shared" si="491"/>
        <v>0</v>
      </c>
      <c r="P5249">
        <f t="shared" si="488"/>
        <v>5250</v>
      </c>
      <c r="Q5249">
        <f t="shared" si="492"/>
        <v>5250</v>
      </c>
      <c r="T5249" s="16">
        <f t="shared" si="493"/>
        <v>0.789233446668959</v>
      </c>
    </row>
    <row r="5250" spans="7:20" ht="14.4" x14ac:dyDescent="0.25">
      <c r="G5250" s="10">
        <v>6598</v>
      </c>
      <c r="H5250" s="9">
        <v>46951</v>
      </c>
      <c r="I5250" s="14">
        <f>DATE(2012,12,31)-410</f>
        <v>40864</v>
      </c>
      <c r="J5250" s="15" t="s">
        <v>30</v>
      </c>
      <c r="K5250" s="9">
        <v>26</v>
      </c>
      <c r="L5250" s="16" t="s">
        <v>27</v>
      </c>
      <c r="M5250" s="16">
        <f t="shared" si="489"/>
        <v>2.9575903857523567E-2</v>
      </c>
      <c r="N5250">
        <f t="shared" si="490"/>
        <v>0</v>
      </c>
      <c r="O5250">
        <f t="shared" si="491"/>
        <v>0</v>
      </c>
      <c r="P5250">
        <f t="shared" si="488"/>
        <v>4700</v>
      </c>
      <c r="Q5250">
        <f t="shared" si="492"/>
        <v>4700</v>
      </c>
      <c r="T5250" s="16">
        <f t="shared" si="493"/>
        <v>2.9575903857523185E-2</v>
      </c>
    </row>
    <row r="5251" spans="7:20" ht="14.4" x14ac:dyDescent="0.25">
      <c r="G5251" s="10">
        <v>6614</v>
      </c>
      <c r="H5251" s="9">
        <v>47075</v>
      </c>
      <c r="I5251" s="14">
        <f>DATE(2012,12,31)-441</f>
        <v>40833</v>
      </c>
      <c r="J5251" s="15" t="s">
        <v>16</v>
      </c>
      <c r="K5251" s="9">
        <v>42</v>
      </c>
      <c r="L5251" s="16" t="s">
        <v>29</v>
      </c>
      <c r="M5251" s="16">
        <f t="shared" si="489"/>
        <v>1.1345323297650665</v>
      </c>
      <c r="N5251">
        <f t="shared" si="490"/>
        <v>0</v>
      </c>
      <c r="O5251">
        <f t="shared" si="491"/>
        <v>0</v>
      </c>
      <c r="P5251">
        <f t="shared" si="488"/>
        <v>5500</v>
      </c>
      <c r="Q5251">
        <f t="shared" si="492"/>
        <v>5500</v>
      </c>
      <c r="T5251" s="16">
        <f t="shared" si="493"/>
        <v>1.1345323297650662</v>
      </c>
    </row>
    <row r="5252" spans="7:20" ht="14.4" x14ac:dyDescent="0.25">
      <c r="G5252" s="10">
        <v>6661</v>
      </c>
      <c r="H5252" s="9">
        <v>47399</v>
      </c>
      <c r="I5252" s="14">
        <f>DATE(2012,12,31)-152</f>
        <v>41122</v>
      </c>
      <c r="J5252" s="15" t="s">
        <v>25</v>
      </c>
      <c r="K5252" s="9">
        <v>26</v>
      </c>
      <c r="L5252" s="16" t="s">
        <v>26</v>
      </c>
      <c r="M5252" s="16">
        <f t="shared" si="489"/>
        <v>2.9575903857523567E-2</v>
      </c>
      <c r="N5252">
        <f t="shared" si="490"/>
        <v>0</v>
      </c>
      <c r="O5252">
        <f t="shared" si="491"/>
        <v>0</v>
      </c>
      <c r="P5252">
        <f t="shared" si="488"/>
        <v>4700</v>
      </c>
      <c r="Q5252">
        <f t="shared" si="492"/>
        <v>4700</v>
      </c>
      <c r="T5252" s="16">
        <f t="shared" si="493"/>
        <v>2.9575903857523185E-2</v>
      </c>
    </row>
    <row r="5253" spans="7:20" ht="14.4" x14ac:dyDescent="0.25">
      <c r="G5253" s="10">
        <v>6673</v>
      </c>
      <c r="H5253" s="9">
        <v>47493</v>
      </c>
      <c r="I5253" s="14">
        <f>DATE(2012,12,31)-1419</f>
        <v>39855</v>
      </c>
      <c r="J5253" s="15" t="s">
        <v>30</v>
      </c>
      <c r="K5253" s="9">
        <v>36</v>
      </c>
      <c r="L5253" s="16" t="s">
        <v>29</v>
      </c>
      <c r="M5253" s="16">
        <f t="shared" si="489"/>
        <v>0.72017367004973787</v>
      </c>
      <c r="N5253">
        <f t="shared" si="490"/>
        <v>0</v>
      </c>
      <c r="O5253">
        <f t="shared" si="491"/>
        <v>0</v>
      </c>
      <c r="P5253">
        <f t="shared" si="488"/>
        <v>5200</v>
      </c>
      <c r="Q5253">
        <f t="shared" si="492"/>
        <v>5200</v>
      </c>
      <c r="T5253" s="16">
        <f t="shared" si="493"/>
        <v>0.72017367004973754</v>
      </c>
    </row>
    <row r="5254" spans="7:20" ht="14.4" x14ac:dyDescent="0.25">
      <c r="G5254" s="10">
        <v>6708</v>
      </c>
      <c r="H5254" s="9">
        <v>47777</v>
      </c>
      <c r="I5254" s="14">
        <f>DATE(2012,12,31)-36</f>
        <v>41238</v>
      </c>
      <c r="J5254" s="15" t="s">
        <v>25</v>
      </c>
      <c r="K5254" s="9">
        <v>13</v>
      </c>
      <c r="L5254" s="16" t="s">
        <v>26</v>
      </c>
      <c r="M5254" s="16">
        <f t="shared" si="489"/>
        <v>-0.86820119219235514</v>
      </c>
      <c r="N5254">
        <f t="shared" si="490"/>
        <v>0</v>
      </c>
      <c r="O5254">
        <f t="shared" si="491"/>
        <v>0</v>
      </c>
      <c r="P5254">
        <f t="shared" si="488"/>
        <v>4050</v>
      </c>
      <c r="Q5254">
        <f t="shared" si="492"/>
        <v>4050</v>
      </c>
      <c r="T5254" s="16">
        <f t="shared" si="493"/>
        <v>-0.86820119219235548</v>
      </c>
    </row>
    <row r="5255" spans="7:20" ht="14.4" x14ac:dyDescent="0.25">
      <c r="G5255" s="10">
        <v>6714</v>
      </c>
      <c r="H5255" s="9">
        <v>47844</v>
      </c>
      <c r="I5255" s="14">
        <f>DATE(2012,12,31)-750</f>
        <v>40524</v>
      </c>
      <c r="J5255" s="15" t="s">
        <v>30</v>
      </c>
      <c r="K5255" s="9">
        <v>41</v>
      </c>
      <c r="L5255" s="16" t="s">
        <v>29</v>
      </c>
      <c r="M5255" s="16">
        <f t="shared" si="489"/>
        <v>1.0654725531458451</v>
      </c>
      <c r="N5255">
        <f t="shared" si="490"/>
        <v>0</v>
      </c>
      <c r="O5255">
        <f t="shared" si="491"/>
        <v>0</v>
      </c>
      <c r="P5255">
        <f t="shared" si="488"/>
        <v>5450</v>
      </c>
      <c r="Q5255">
        <f t="shared" si="492"/>
        <v>5450</v>
      </c>
      <c r="T5255" s="16">
        <f t="shared" si="493"/>
        <v>1.0654725531458447</v>
      </c>
    </row>
    <row r="5256" spans="7:20" ht="14.4" x14ac:dyDescent="0.25">
      <c r="G5256" s="10">
        <v>6732</v>
      </c>
      <c r="H5256" s="9">
        <v>47941</v>
      </c>
      <c r="I5256" s="14">
        <f>DATE(2012,12,31)-1241</f>
        <v>40033</v>
      </c>
      <c r="J5256" s="15" t="s">
        <v>17</v>
      </c>
      <c r="K5256" s="9">
        <v>15</v>
      </c>
      <c r="L5256" s="16" t="s">
        <v>27</v>
      </c>
      <c r="M5256" s="16">
        <f t="shared" si="489"/>
        <v>-0.7300816389539122</v>
      </c>
      <c r="N5256">
        <f t="shared" si="490"/>
        <v>0</v>
      </c>
      <c r="O5256">
        <f t="shared" si="491"/>
        <v>0</v>
      </c>
      <c r="P5256">
        <f t="shared" si="488"/>
        <v>4150</v>
      </c>
      <c r="Q5256">
        <f t="shared" si="492"/>
        <v>4150</v>
      </c>
      <c r="T5256" s="16">
        <f t="shared" si="493"/>
        <v>-0.73008163895391265</v>
      </c>
    </row>
    <row r="5257" spans="7:20" ht="14.4" x14ac:dyDescent="0.25">
      <c r="G5257" s="10">
        <v>6795</v>
      </c>
      <c r="H5257" s="9">
        <v>48423</v>
      </c>
      <c r="I5257" s="14">
        <f>DATE(2012,12,31)-61</f>
        <v>41213</v>
      </c>
      <c r="J5257" s="15" t="s">
        <v>17</v>
      </c>
      <c r="K5257" s="9">
        <v>49</v>
      </c>
      <c r="L5257" s="16" t="s">
        <v>26</v>
      </c>
      <c r="M5257" s="16">
        <f t="shared" si="489"/>
        <v>1.6179507660996166</v>
      </c>
      <c r="N5257">
        <f t="shared" si="490"/>
        <v>0</v>
      </c>
      <c r="O5257">
        <f t="shared" si="491"/>
        <v>0</v>
      </c>
      <c r="P5257">
        <f t="shared" si="488"/>
        <v>5850</v>
      </c>
      <c r="Q5257">
        <f t="shared" si="492"/>
        <v>5850</v>
      </c>
      <c r="T5257" s="16">
        <f t="shared" si="493"/>
        <v>1.6179507660996162</v>
      </c>
    </row>
    <row r="5258" spans="7:20" ht="14.4" x14ac:dyDescent="0.25">
      <c r="G5258" s="10">
        <v>6857</v>
      </c>
      <c r="H5258" s="9">
        <v>48837</v>
      </c>
      <c r="I5258" s="14">
        <f>DATE(2012,12,31)-532</f>
        <v>40742</v>
      </c>
      <c r="J5258" s="15" t="s">
        <v>28</v>
      </c>
      <c r="K5258" s="9">
        <v>39</v>
      </c>
      <c r="L5258" s="16" t="s">
        <v>27</v>
      </c>
      <c r="M5258" s="16">
        <f t="shared" si="489"/>
        <v>0.92735299990740228</v>
      </c>
      <c r="N5258">
        <f t="shared" si="490"/>
        <v>0</v>
      </c>
      <c r="O5258">
        <f t="shared" si="491"/>
        <v>0</v>
      </c>
      <c r="P5258">
        <f t="shared" si="488"/>
        <v>5350</v>
      </c>
      <c r="Q5258">
        <f t="shared" si="492"/>
        <v>5350</v>
      </c>
      <c r="T5258" s="16">
        <f t="shared" si="493"/>
        <v>0.92735299990740183</v>
      </c>
    </row>
    <row r="5259" spans="7:20" ht="14.4" x14ac:dyDescent="0.25">
      <c r="G5259" s="10">
        <v>6874</v>
      </c>
      <c r="H5259" s="9">
        <v>48993</v>
      </c>
      <c r="I5259" s="14">
        <f>DATE(2012,12,31)-214</f>
        <v>41060</v>
      </c>
      <c r="J5259" s="15" t="s">
        <v>25</v>
      </c>
      <c r="K5259" s="9">
        <v>17</v>
      </c>
      <c r="L5259" s="16" t="s">
        <v>26</v>
      </c>
      <c r="M5259" s="16">
        <f t="shared" si="489"/>
        <v>-0.59196208571546938</v>
      </c>
      <c r="N5259">
        <f t="shared" si="490"/>
        <v>0</v>
      </c>
      <c r="O5259">
        <f t="shared" si="491"/>
        <v>0</v>
      </c>
      <c r="P5259">
        <f t="shared" si="488"/>
        <v>4250</v>
      </c>
      <c r="Q5259">
        <f t="shared" si="492"/>
        <v>4250</v>
      </c>
      <c r="T5259" s="16">
        <f t="shared" si="493"/>
        <v>-0.59196208571546971</v>
      </c>
    </row>
    <row r="5260" spans="7:20" ht="14.4" x14ac:dyDescent="0.25">
      <c r="G5260" s="10">
        <v>6889</v>
      </c>
      <c r="H5260" s="9">
        <v>49123</v>
      </c>
      <c r="I5260" s="14">
        <f>DATE(2012,12,31)-1405</f>
        <v>39869</v>
      </c>
      <c r="J5260" s="15" t="s">
        <v>17</v>
      </c>
      <c r="K5260" s="9">
        <v>31</v>
      </c>
      <c r="L5260" s="16" t="s">
        <v>26</v>
      </c>
      <c r="M5260" s="16">
        <f t="shared" si="489"/>
        <v>0.37487478695363075</v>
      </c>
      <c r="N5260">
        <f t="shared" si="490"/>
        <v>0</v>
      </c>
      <c r="O5260">
        <f t="shared" si="491"/>
        <v>0</v>
      </c>
      <c r="P5260">
        <f t="shared" ref="P5260:P5323" si="494">50*K5260+$P$10</f>
        <v>4950</v>
      </c>
      <c r="Q5260">
        <f t="shared" si="492"/>
        <v>4950</v>
      </c>
      <c r="T5260" s="16">
        <f t="shared" si="493"/>
        <v>0.37487478695363036</v>
      </c>
    </row>
    <row r="5261" spans="7:20" ht="14.4" x14ac:dyDescent="0.25">
      <c r="G5261" s="10">
        <v>6890</v>
      </c>
      <c r="H5261" s="9">
        <v>49123</v>
      </c>
      <c r="I5261" s="14">
        <f>DATE(2012,12,31)-1405</f>
        <v>39869</v>
      </c>
      <c r="J5261" s="15" t="s">
        <v>17</v>
      </c>
      <c r="K5261" s="9">
        <v>3</v>
      </c>
      <c r="L5261" s="16" t="s">
        <v>27</v>
      </c>
      <c r="M5261" s="16">
        <f t="shared" ref="M5261:M5324" si="495">(K5261-$K$4)/$K$7</f>
        <v>-1.5587989583845694</v>
      </c>
      <c r="N5261">
        <f t="shared" ref="N5261:N5324" si="496">IF(MOD($B$20+G5261,1000)=0,1,0)</f>
        <v>0</v>
      </c>
      <c r="O5261">
        <f t="shared" ref="O5261:O5324" si="497">+ROUND(N5261*(IF(K5261&lt;$K$4,-4.5,10.5)*$P$5),-2)</f>
        <v>0</v>
      </c>
      <c r="P5261">
        <f t="shared" si="494"/>
        <v>3550</v>
      </c>
      <c r="Q5261">
        <f t="shared" ref="Q5261:Q5324" si="498">P5261+O5261</f>
        <v>3550</v>
      </c>
      <c r="T5261" s="16">
        <f t="shared" ref="T5261:T5324" si="499">(Q5261-$P$4)/$P$5</f>
        <v>-1.5587989583845698</v>
      </c>
    </row>
    <row r="5262" spans="7:20" ht="14.4" x14ac:dyDescent="0.25">
      <c r="G5262" s="10">
        <v>6903</v>
      </c>
      <c r="H5262" s="9">
        <v>49220</v>
      </c>
      <c r="I5262" s="14">
        <f>DATE(2012,12,31)-506</f>
        <v>40768</v>
      </c>
      <c r="J5262" s="15" t="s">
        <v>30</v>
      </c>
      <c r="K5262" s="9">
        <v>13</v>
      </c>
      <c r="L5262" s="16" t="s">
        <v>26</v>
      </c>
      <c r="M5262" s="16">
        <f t="shared" si="495"/>
        <v>-0.86820119219235514</v>
      </c>
      <c r="N5262">
        <f t="shared" si="496"/>
        <v>0</v>
      </c>
      <c r="O5262">
        <f t="shared" si="497"/>
        <v>0</v>
      </c>
      <c r="P5262">
        <f t="shared" si="494"/>
        <v>4050</v>
      </c>
      <c r="Q5262">
        <f t="shared" si="498"/>
        <v>4050</v>
      </c>
      <c r="T5262" s="16">
        <f t="shared" si="499"/>
        <v>-0.86820119219235548</v>
      </c>
    </row>
    <row r="5263" spans="7:20" ht="14.4" x14ac:dyDescent="0.25">
      <c r="G5263" s="10">
        <v>6925</v>
      </c>
      <c r="H5263" s="9">
        <v>49409</v>
      </c>
      <c r="I5263" s="14">
        <f>DATE(2012,12,31)-503</f>
        <v>40771</v>
      </c>
      <c r="J5263" s="15" t="s">
        <v>17</v>
      </c>
      <c r="K5263" s="9">
        <v>28</v>
      </c>
      <c r="L5263" s="16" t="s">
        <v>27</v>
      </c>
      <c r="M5263" s="16">
        <f t="shared" si="495"/>
        <v>0.16769545709596645</v>
      </c>
      <c r="N5263">
        <f t="shared" si="496"/>
        <v>0</v>
      </c>
      <c r="O5263">
        <f t="shared" si="497"/>
        <v>0</v>
      </c>
      <c r="P5263">
        <f t="shared" si="494"/>
        <v>4800</v>
      </c>
      <c r="Q5263">
        <f t="shared" si="498"/>
        <v>4800</v>
      </c>
      <c r="T5263" s="16">
        <f t="shared" si="499"/>
        <v>0.16769545709596606</v>
      </c>
    </row>
    <row r="5264" spans="7:20" ht="14.4" x14ac:dyDescent="0.25">
      <c r="G5264" s="10">
        <v>6934</v>
      </c>
      <c r="H5264" s="9">
        <v>49479</v>
      </c>
      <c r="I5264" s="14">
        <f>DATE(2012,12,31)-523</f>
        <v>40751</v>
      </c>
      <c r="J5264" s="15" t="s">
        <v>16</v>
      </c>
      <c r="K5264" s="9">
        <v>46</v>
      </c>
      <c r="L5264" s="16" t="s">
        <v>27</v>
      </c>
      <c r="M5264" s="16">
        <f t="shared" si="495"/>
        <v>1.4107714362419523</v>
      </c>
      <c r="N5264">
        <f t="shared" si="496"/>
        <v>0</v>
      </c>
      <c r="O5264">
        <f t="shared" si="497"/>
        <v>0</v>
      </c>
      <c r="P5264">
        <f t="shared" si="494"/>
        <v>5700</v>
      </c>
      <c r="Q5264">
        <f t="shared" si="498"/>
        <v>5700</v>
      </c>
      <c r="T5264" s="16">
        <f t="shared" si="499"/>
        <v>1.4107714362419519</v>
      </c>
    </row>
    <row r="5265" spans="7:20" ht="14.4" x14ac:dyDescent="0.25">
      <c r="G5265" s="10">
        <v>6943</v>
      </c>
      <c r="H5265" s="9">
        <v>49600</v>
      </c>
      <c r="I5265" s="14">
        <f>DATE(2012,12,31)-665</f>
        <v>40609</v>
      </c>
      <c r="J5265" s="15" t="s">
        <v>25</v>
      </c>
      <c r="K5265" s="9">
        <v>33</v>
      </c>
      <c r="L5265" s="16" t="s">
        <v>26</v>
      </c>
      <c r="M5265" s="16">
        <f t="shared" si="495"/>
        <v>0.51299434019207357</v>
      </c>
      <c r="N5265">
        <f t="shared" si="496"/>
        <v>0</v>
      </c>
      <c r="O5265">
        <f t="shared" si="497"/>
        <v>0</v>
      </c>
      <c r="P5265">
        <f t="shared" si="494"/>
        <v>5050</v>
      </c>
      <c r="Q5265">
        <f t="shared" si="498"/>
        <v>5050</v>
      </c>
      <c r="T5265" s="16">
        <f t="shared" si="499"/>
        <v>0.51299434019207324</v>
      </c>
    </row>
    <row r="5266" spans="7:20" ht="14.4" x14ac:dyDescent="0.25">
      <c r="G5266" s="10">
        <v>6998</v>
      </c>
      <c r="H5266" s="9">
        <v>49987</v>
      </c>
      <c r="I5266" s="14">
        <f>DATE(2012,12,31)-712</f>
        <v>40562</v>
      </c>
      <c r="J5266" s="15" t="s">
        <v>17</v>
      </c>
      <c r="K5266" s="9">
        <v>14</v>
      </c>
      <c r="L5266" s="16" t="s">
        <v>27</v>
      </c>
      <c r="M5266" s="16">
        <f t="shared" si="495"/>
        <v>-0.79914141557313367</v>
      </c>
      <c r="N5266">
        <f t="shared" si="496"/>
        <v>0</v>
      </c>
      <c r="O5266">
        <f t="shared" si="497"/>
        <v>0</v>
      </c>
      <c r="P5266">
        <f t="shared" si="494"/>
        <v>4100</v>
      </c>
      <c r="Q5266">
        <f t="shared" si="498"/>
        <v>4100</v>
      </c>
      <c r="T5266" s="16">
        <f t="shared" si="499"/>
        <v>-0.79914141557313401</v>
      </c>
    </row>
    <row r="5267" spans="7:20" ht="14.4" x14ac:dyDescent="0.25">
      <c r="G5267" s="10">
        <v>7037</v>
      </c>
      <c r="H5267" s="9">
        <v>50242</v>
      </c>
      <c r="I5267" s="14">
        <f>DATE(2012,12,31)-896</f>
        <v>40378</v>
      </c>
      <c r="J5267" s="15" t="s">
        <v>28</v>
      </c>
      <c r="K5267" s="9">
        <v>8</v>
      </c>
      <c r="L5267" s="16" t="s">
        <v>27</v>
      </c>
      <c r="M5267" s="16">
        <f t="shared" si="495"/>
        <v>-1.2135000752884624</v>
      </c>
      <c r="N5267">
        <f t="shared" si="496"/>
        <v>0</v>
      </c>
      <c r="O5267">
        <f t="shared" si="497"/>
        <v>0</v>
      </c>
      <c r="P5267">
        <f t="shared" si="494"/>
        <v>3800</v>
      </c>
      <c r="Q5267">
        <f t="shared" si="498"/>
        <v>3800</v>
      </c>
      <c r="T5267" s="16">
        <f t="shared" si="499"/>
        <v>-1.2135000752884626</v>
      </c>
    </row>
    <row r="5268" spans="7:20" ht="14.4" x14ac:dyDescent="0.25">
      <c r="G5268" s="10">
        <v>7039</v>
      </c>
      <c r="H5268" s="9">
        <v>50275</v>
      </c>
      <c r="I5268" s="14">
        <f>DATE(2012,12,31)-1122</f>
        <v>40152</v>
      </c>
      <c r="J5268" s="15" t="s">
        <v>16</v>
      </c>
      <c r="K5268" s="9">
        <v>5</v>
      </c>
      <c r="L5268" s="16" t="s">
        <v>27</v>
      </c>
      <c r="M5268" s="16">
        <f t="shared" si="495"/>
        <v>-1.4206794051461267</v>
      </c>
      <c r="N5268">
        <f t="shared" si="496"/>
        <v>0</v>
      </c>
      <c r="O5268">
        <f t="shared" si="497"/>
        <v>0</v>
      </c>
      <c r="P5268">
        <f t="shared" si="494"/>
        <v>3650</v>
      </c>
      <c r="Q5268">
        <f t="shared" si="498"/>
        <v>3650</v>
      </c>
      <c r="T5268" s="16">
        <f t="shared" si="499"/>
        <v>-1.4206794051461269</v>
      </c>
    </row>
    <row r="5269" spans="7:20" ht="14.4" x14ac:dyDescent="0.25">
      <c r="G5269" s="10">
        <v>7040</v>
      </c>
      <c r="H5269" s="9">
        <v>50275</v>
      </c>
      <c r="I5269" s="14">
        <f>DATE(2012,12,31)-1122</f>
        <v>40152</v>
      </c>
      <c r="J5269" s="15" t="s">
        <v>16</v>
      </c>
      <c r="K5269" s="9">
        <v>31</v>
      </c>
      <c r="L5269" s="16" t="s">
        <v>26</v>
      </c>
      <c r="M5269" s="16">
        <f t="shared" si="495"/>
        <v>0.37487478695363075</v>
      </c>
      <c r="N5269">
        <f t="shared" si="496"/>
        <v>0</v>
      </c>
      <c r="O5269">
        <f t="shared" si="497"/>
        <v>0</v>
      </c>
      <c r="P5269">
        <f t="shared" si="494"/>
        <v>4950</v>
      </c>
      <c r="Q5269">
        <f t="shared" si="498"/>
        <v>4950</v>
      </c>
      <c r="T5269" s="16">
        <f t="shared" si="499"/>
        <v>0.37487478695363036</v>
      </c>
    </row>
    <row r="5270" spans="7:20" ht="14.4" x14ac:dyDescent="0.25">
      <c r="G5270" s="10">
        <v>7061</v>
      </c>
      <c r="H5270" s="9">
        <v>50403</v>
      </c>
      <c r="I5270" s="14">
        <f>DATE(2012,12,31)-233</f>
        <v>41041</v>
      </c>
      <c r="J5270" s="15" t="s">
        <v>28</v>
      </c>
      <c r="K5270" s="9">
        <v>22</v>
      </c>
      <c r="L5270" s="16" t="s">
        <v>26</v>
      </c>
      <c r="M5270" s="16">
        <f t="shared" si="495"/>
        <v>-0.24666320261936217</v>
      </c>
      <c r="N5270">
        <f t="shared" si="496"/>
        <v>0</v>
      </c>
      <c r="O5270">
        <f t="shared" si="497"/>
        <v>0</v>
      </c>
      <c r="P5270">
        <f t="shared" si="494"/>
        <v>4500</v>
      </c>
      <c r="Q5270">
        <f t="shared" si="498"/>
        <v>4500</v>
      </c>
      <c r="T5270" s="16">
        <f t="shared" si="499"/>
        <v>-0.24666320261936256</v>
      </c>
    </row>
    <row r="5271" spans="7:20" ht="14.4" x14ac:dyDescent="0.25">
      <c r="G5271" s="10">
        <v>7065</v>
      </c>
      <c r="H5271" s="9">
        <v>50405</v>
      </c>
      <c r="I5271" s="14">
        <f>DATE(2012,12,31)-548</f>
        <v>40726</v>
      </c>
      <c r="J5271" s="15" t="s">
        <v>16</v>
      </c>
      <c r="K5271" s="9">
        <v>8</v>
      </c>
      <c r="L5271" s="16" t="s">
        <v>26</v>
      </c>
      <c r="M5271" s="16">
        <f t="shared" si="495"/>
        <v>-1.2135000752884624</v>
      </c>
      <c r="N5271">
        <f t="shared" si="496"/>
        <v>0</v>
      </c>
      <c r="O5271">
        <f t="shared" si="497"/>
        <v>0</v>
      </c>
      <c r="P5271">
        <f t="shared" si="494"/>
        <v>3800</v>
      </c>
      <c r="Q5271">
        <f t="shared" si="498"/>
        <v>3800</v>
      </c>
      <c r="T5271" s="16">
        <f t="shared" si="499"/>
        <v>-1.2135000752884626</v>
      </c>
    </row>
    <row r="5272" spans="7:20" ht="14.4" x14ac:dyDescent="0.25">
      <c r="G5272" s="10">
        <v>7069</v>
      </c>
      <c r="H5272" s="9">
        <v>50464</v>
      </c>
      <c r="I5272" s="14">
        <f>DATE(2012,12,31)-461</f>
        <v>40813</v>
      </c>
      <c r="J5272" s="15" t="s">
        <v>30</v>
      </c>
      <c r="K5272" s="9">
        <v>7</v>
      </c>
      <c r="L5272" s="16" t="s">
        <v>26</v>
      </c>
      <c r="M5272" s="16">
        <f t="shared" si="495"/>
        <v>-1.2825598519076837</v>
      </c>
      <c r="N5272">
        <f t="shared" si="496"/>
        <v>0</v>
      </c>
      <c r="O5272">
        <f t="shared" si="497"/>
        <v>0</v>
      </c>
      <c r="P5272">
        <f t="shared" si="494"/>
        <v>3750</v>
      </c>
      <c r="Q5272">
        <f t="shared" si="498"/>
        <v>3750</v>
      </c>
      <c r="T5272" s="16">
        <f t="shared" si="499"/>
        <v>-1.2825598519076842</v>
      </c>
    </row>
    <row r="5273" spans="7:20" ht="14.4" x14ac:dyDescent="0.25">
      <c r="G5273" s="10">
        <v>7070</v>
      </c>
      <c r="H5273" s="9">
        <v>50465</v>
      </c>
      <c r="I5273" s="14">
        <f>DATE(2012,12,31)-661</f>
        <v>40613</v>
      </c>
      <c r="J5273" s="15" t="s">
        <v>16</v>
      </c>
      <c r="K5273" s="9">
        <v>29</v>
      </c>
      <c r="L5273" s="16" t="s">
        <v>26</v>
      </c>
      <c r="M5273" s="16">
        <f t="shared" si="495"/>
        <v>0.23675523371518786</v>
      </c>
      <c r="N5273">
        <f t="shared" si="496"/>
        <v>0</v>
      </c>
      <c r="O5273">
        <f t="shared" si="497"/>
        <v>0</v>
      </c>
      <c r="P5273">
        <f t="shared" si="494"/>
        <v>4850</v>
      </c>
      <c r="Q5273">
        <f t="shared" si="498"/>
        <v>4850</v>
      </c>
      <c r="T5273" s="16">
        <f t="shared" si="499"/>
        <v>0.2367552337151875</v>
      </c>
    </row>
    <row r="5274" spans="7:20" ht="14.4" x14ac:dyDescent="0.25">
      <c r="G5274" s="10">
        <v>7072</v>
      </c>
      <c r="H5274" s="9">
        <v>50469</v>
      </c>
      <c r="I5274" s="14">
        <f>DATE(2012,12,31)-926</f>
        <v>40348</v>
      </c>
      <c r="J5274" s="15" t="s">
        <v>28</v>
      </c>
      <c r="K5274" s="9">
        <v>44</v>
      </c>
      <c r="L5274" s="16" t="s">
        <v>27</v>
      </c>
      <c r="M5274" s="16">
        <f t="shared" si="495"/>
        <v>1.2726518830035094</v>
      </c>
      <c r="N5274">
        <f t="shared" si="496"/>
        <v>0</v>
      </c>
      <c r="O5274">
        <f t="shared" si="497"/>
        <v>0</v>
      </c>
      <c r="P5274">
        <f t="shared" si="494"/>
        <v>5600</v>
      </c>
      <c r="Q5274">
        <f t="shared" si="498"/>
        <v>5600</v>
      </c>
      <c r="T5274" s="16">
        <f t="shared" si="499"/>
        <v>1.272651883003509</v>
      </c>
    </row>
    <row r="5275" spans="7:20" ht="14.4" x14ac:dyDescent="0.25">
      <c r="G5275" s="10">
        <v>7118</v>
      </c>
      <c r="H5275" s="9">
        <v>50789</v>
      </c>
      <c r="I5275" s="14">
        <f>DATE(2012,12,31)-660</f>
        <v>40614</v>
      </c>
      <c r="J5275" s="15" t="s">
        <v>28</v>
      </c>
      <c r="K5275" s="9">
        <v>23</v>
      </c>
      <c r="L5275" s="16" t="s">
        <v>26</v>
      </c>
      <c r="M5275" s="16">
        <f t="shared" si="495"/>
        <v>-0.17760342600014073</v>
      </c>
      <c r="N5275">
        <f t="shared" si="496"/>
        <v>0</v>
      </c>
      <c r="O5275">
        <f t="shared" si="497"/>
        <v>0</v>
      </c>
      <c r="P5275">
        <f t="shared" si="494"/>
        <v>4550</v>
      </c>
      <c r="Q5275">
        <f t="shared" si="498"/>
        <v>4550</v>
      </c>
      <c r="T5275" s="16">
        <f t="shared" si="499"/>
        <v>-0.17760342600014112</v>
      </c>
    </row>
    <row r="5276" spans="7:20" ht="14.4" x14ac:dyDescent="0.25">
      <c r="G5276" s="10">
        <v>7153</v>
      </c>
      <c r="H5276" s="9">
        <v>51044</v>
      </c>
      <c r="I5276" s="14">
        <f>DATE(2012,12,31)-348</f>
        <v>40926</v>
      </c>
      <c r="J5276" s="15" t="s">
        <v>25</v>
      </c>
      <c r="K5276" s="9">
        <v>17</v>
      </c>
      <c r="L5276" s="16" t="s">
        <v>26</v>
      </c>
      <c r="M5276" s="16">
        <f t="shared" si="495"/>
        <v>-0.59196208571546938</v>
      </c>
      <c r="N5276">
        <f t="shared" si="496"/>
        <v>0</v>
      </c>
      <c r="O5276">
        <f t="shared" si="497"/>
        <v>0</v>
      </c>
      <c r="P5276">
        <f t="shared" si="494"/>
        <v>4250</v>
      </c>
      <c r="Q5276">
        <f t="shared" si="498"/>
        <v>4250</v>
      </c>
      <c r="T5276" s="16">
        <f t="shared" si="499"/>
        <v>-0.59196208571546971</v>
      </c>
    </row>
    <row r="5277" spans="7:20" ht="14.4" x14ac:dyDescent="0.25">
      <c r="G5277" s="10">
        <v>7154</v>
      </c>
      <c r="H5277" s="9">
        <v>51044</v>
      </c>
      <c r="I5277" s="14">
        <f>DATE(2012,12,31)-348</f>
        <v>40926</v>
      </c>
      <c r="J5277" s="15" t="s">
        <v>25</v>
      </c>
      <c r="K5277" s="9">
        <v>26</v>
      </c>
      <c r="L5277" s="16" t="s">
        <v>29</v>
      </c>
      <c r="M5277" s="16">
        <f t="shared" si="495"/>
        <v>2.9575903857523567E-2</v>
      </c>
      <c r="N5277">
        <f t="shared" si="496"/>
        <v>0</v>
      </c>
      <c r="O5277">
        <f t="shared" si="497"/>
        <v>0</v>
      </c>
      <c r="P5277">
        <f t="shared" si="494"/>
        <v>4700</v>
      </c>
      <c r="Q5277">
        <f t="shared" si="498"/>
        <v>4700</v>
      </c>
      <c r="T5277" s="16">
        <f t="shared" si="499"/>
        <v>2.9575903857523185E-2</v>
      </c>
    </row>
    <row r="5278" spans="7:20" ht="14.4" x14ac:dyDescent="0.25">
      <c r="G5278" s="10">
        <v>7155</v>
      </c>
      <c r="H5278" s="9">
        <v>51044</v>
      </c>
      <c r="I5278" s="14">
        <f>DATE(2012,12,31)-348</f>
        <v>40926</v>
      </c>
      <c r="J5278" s="15" t="s">
        <v>25</v>
      </c>
      <c r="K5278" s="9">
        <v>19</v>
      </c>
      <c r="L5278" s="16" t="s">
        <v>26</v>
      </c>
      <c r="M5278" s="16">
        <f t="shared" si="495"/>
        <v>-0.45384253247702649</v>
      </c>
      <c r="N5278">
        <f t="shared" si="496"/>
        <v>0</v>
      </c>
      <c r="O5278">
        <f t="shared" si="497"/>
        <v>0</v>
      </c>
      <c r="P5278">
        <f t="shared" si="494"/>
        <v>4350</v>
      </c>
      <c r="Q5278">
        <f t="shared" si="498"/>
        <v>4350</v>
      </c>
      <c r="T5278" s="16">
        <f t="shared" si="499"/>
        <v>-0.45384253247702688</v>
      </c>
    </row>
    <row r="5279" spans="7:20" ht="14.4" x14ac:dyDescent="0.25">
      <c r="G5279" s="10">
        <v>7193</v>
      </c>
      <c r="H5279" s="9">
        <v>51302</v>
      </c>
      <c r="I5279" s="14">
        <f>DATE(2012,12,31)-495</f>
        <v>40779</v>
      </c>
      <c r="J5279" s="15" t="s">
        <v>28</v>
      </c>
      <c r="K5279" s="9">
        <v>44</v>
      </c>
      <c r="L5279" s="16" t="s">
        <v>26</v>
      </c>
      <c r="M5279" s="16">
        <f t="shared" si="495"/>
        <v>1.2726518830035094</v>
      </c>
      <c r="N5279">
        <f t="shared" si="496"/>
        <v>0</v>
      </c>
      <c r="O5279">
        <f t="shared" si="497"/>
        <v>0</v>
      </c>
      <c r="P5279">
        <f t="shared" si="494"/>
        <v>5600</v>
      </c>
      <c r="Q5279">
        <f t="shared" si="498"/>
        <v>5600</v>
      </c>
      <c r="T5279" s="16">
        <f t="shared" si="499"/>
        <v>1.272651883003509</v>
      </c>
    </row>
    <row r="5280" spans="7:20" ht="14.4" x14ac:dyDescent="0.25">
      <c r="G5280" s="10">
        <v>7203</v>
      </c>
      <c r="H5280" s="9">
        <v>51392</v>
      </c>
      <c r="I5280" s="14">
        <f>DATE(2012,12,31)-1145</f>
        <v>40129</v>
      </c>
      <c r="J5280" s="15" t="s">
        <v>16</v>
      </c>
      <c r="K5280" s="9">
        <v>10</v>
      </c>
      <c r="L5280" s="16" t="s">
        <v>27</v>
      </c>
      <c r="M5280" s="16">
        <f t="shared" si="495"/>
        <v>-1.0753805220500194</v>
      </c>
      <c r="N5280">
        <f t="shared" si="496"/>
        <v>0</v>
      </c>
      <c r="O5280">
        <f t="shared" si="497"/>
        <v>0</v>
      </c>
      <c r="P5280">
        <f t="shared" si="494"/>
        <v>3900</v>
      </c>
      <c r="Q5280">
        <f t="shared" si="498"/>
        <v>3900</v>
      </c>
      <c r="T5280" s="16">
        <f t="shared" si="499"/>
        <v>-1.0753805220500199</v>
      </c>
    </row>
    <row r="5281" spans="7:20" ht="14.4" x14ac:dyDescent="0.25">
      <c r="G5281" s="10">
        <v>7244</v>
      </c>
      <c r="H5281" s="9">
        <v>51650</v>
      </c>
      <c r="I5281" s="14">
        <f>DATE(2012,12,31)-579</f>
        <v>40695</v>
      </c>
      <c r="J5281" s="15" t="s">
        <v>17</v>
      </c>
      <c r="K5281" s="9">
        <v>25</v>
      </c>
      <c r="L5281" s="16" t="s">
        <v>26</v>
      </c>
      <c r="M5281" s="16">
        <f t="shared" si="495"/>
        <v>-3.9483872761697868E-2</v>
      </c>
      <c r="N5281">
        <f t="shared" si="496"/>
        <v>0</v>
      </c>
      <c r="O5281">
        <f t="shared" si="497"/>
        <v>0</v>
      </c>
      <c r="P5281">
        <f t="shared" si="494"/>
        <v>4650</v>
      </c>
      <c r="Q5281">
        <f t="shared" si="498"/>
        <v>4650</v>
      </c>
      <c r="T5281" s="16">
        <f t="shared" si="499"/>
        <v>-3.9483872761698249E-2</v>
      </c>
    </row>
    <row r="5282" spans="7:20" ht="14.4" x14ac:dyDescent="0.25">
      <c r="G5282" s="10">
        <v>7245</v>
      </c>
      <c r="H5282" s="9">
        <v>51650</v>
      </c>
      <c r="I5282" s="14">
        <f>DATE(2012,12,31)-579</f>
        <v>40695</v>
      </c>
      <c r="J5282" s="15" t="s">
        <v>17</v>
      </c>
      <c r="K5282" s="9">
        <v>43</v>
      </c>
      <c r="L5282" s="16" t="s">
        <v>27</v>
      </c>
      <c r="M5282" s="16">
        <f t="shared" si="495"/>
        <v>1.203592106384288</v>
      </c>
      <c r="N5282">
        <f t="shared" si="496"/>
        <v>0</v>
      </c>
      <c r="O5282">
        <f t="shared" si="497"/>
        <v>0</v>
      </c>
      <c r="P5282">
        <f t="shared" si="494"/>
        <v>5550</v>
      </c>
      <c r="Q5282">
        <f t="shared" si="498"/>
        <v>5550</v>
      </c>
      <c r="T5282" s="16">
        <f t="shared" si="499"/>
        <v>1.2035921063842876</v>
      </c>
    </row>
    <row r="5283" spans="7:20" ht="14.4" x14ac:dyDescent="0.25">
      <c r="G5283" s="10">
        <v>7246</v>
      </c>
      <c r="H5283" s="9">
        <v>51650</v>
      </c>
      <c r="I5283" s="14">
        <f>DATE(2012,12,31)-579</f>
        <v>40695</v>
      </c>
      <c r="J5283" s="15" t="s">
        <v>17</v>
      </c>
      <c r="K5283" s="9">
        <v>19</v>
      </c>
      <c r="L5283" s="16" t="s">
        <v>26</v>
      </c>
      <c r="M5283" s="16">
        <f t="shared" si="495"/>
        <v>-0.45384253247702649</v>
      </c>
      <c r="N5283">
        <f t="shared" si="496"/>
        <v>0</v>
      </c>
      <c r="O5283">
        <f t="shared" si="497"/>
        <v>0</v>
      </c>
      <c r="P5283">
        <f t="shared" si="494"/>
        <v>4350</v>
      </c>
      <c r="Q5283">
        <f t="shared" si="498"/>
        <v>4350</v>
      </c>
      <c r="T5283" s="16">
        <f t="shared" si="499"/>
        <v>-0.45384253247702688</v>
      </c>
    </row>
    <row r="5284" spans="7:20" ht="14.4" x14ac:dyDescent="0.25">
      <c r="G5284" s="10">
        <v>7247</v>
      </c>
      <c r="H5284" s="9">
        <v>51652</v>
      </c>
      <c r="I5284" s="14">
        <f>DATE(2012,12,31)-632</f>
        <v>40642</v>
      </c>
      <c r="J5284" s="15" t="s">
        <v>28</v>
      </c>
      <c r="K5284" s="9">
        <v>37</v>
      </c>
      <c r="L5284" s="16" t="s">
        <v>26</v>
      </c>
      <c r="M5284" s="16">
        <f t="shared" si="495"/>
        <v>0.78923344666895934</v>
      </c>
      <c r="N5284">
        <f t="shared" si="496"/>
        <v>0</v>
      </c>
      <c r="O5284">
        <f t="shared" si="497"/>
        <v>0</v>
      </c>
      <c r="P5284">
        <f t="shared" si="494"/>
        <v>5250</v>
      </c>
      <c r="Q5284">
        <f t="shared" si="498"/>
        <v>5250</v>
      </c>
      <c r="T5284" s="16">
        <f t="shared" si="499"/>
        <v>0.789233446668959</v>
      </c>
    </row>
    <row r="5285" spans="7:20" ht="14.4" x14ac:dyDescent="0.25">
      <c r="G5285" s="10">
        <v>7248</v>
      </c>
      <c r="H5285" s="9">
        <v>51652</v>
      </c>
      <c r="I5285" s="14">
        <f>DATE(2012,12,31)-632</f>
        <v>40642</v>
      </c>
      <c r="J5285" s="15" t="s">
        <v>28</v>
      </c>
      <c r="K5285" s="9">
        <v>38</v>
      </c>
      <c r="L5285" s="16" t="s">
        <v>26</v>
      </c>
      <c r="M5285" s="16">
        <f t="shared" si="495"/>
        <v>0.85829322328818081</v>
      </c>
      <c r="N5285">
        <f t="shared" si="496"/>
        <v>0</v>
      </c>
      <c r="O5285">
        <f t="shared" si="497"/>
        <v>0</v>
      </c>
      <c r="P5285">
        <f t="shared" si="494"/>
        <v>5300</v>
      </c>
      <c r="Q5285">
        <f t="shared" si="498"/>
        <v>5300</v>
      </c>
      <c r="T5285" s="16">
        <f t="shared" si="499"/>
        <v>0.85829322328818036</v>
      </c>
    </row>
    <row r="5286" spans="7:20" ht="14.4" x14ac:dyDescent="0.25">
      <c r="G5286" s="10">
        <v>7272</v>
      </c>
      <c r="H5286" s="9">
        <v>51876</v>
      </c>
      <c r="I5286" s="14">
        <f>DATE(2012,12,31)-300</f>
        <v>40974</v>
      </c>
      <c r="J5286" s="15" t="s">
        <v>30</v>
      </c>
      <c r="K5286" s="9">
        <v>2</v>
      </c>
      <c r="L5286" s="16" t="s">
        <v>27</v>
      </c>
      <c r="M5286" s="16">
        <f t="shared" si="495"/>
        <v>-1.627858735003791</v>
      </c>
      <c r="N5286">
        <f t="shared" si="496"/>
        <v>0</v>
      </c>
      <c r="O5286">
        <f t="shared" si="497"/>
        <v>0</v>
      </c>
      <c r="P5286">
        <f t="shared" si="494"/>
        <v>3500</v>
      </c>
      <c r="Q5286">
        <f t="shared" si="498"/>
        <v>3500</v>
      </c>
      <c r="T5286" s="16">
        <f t="shared" si="499"/>
        <v>-1.6278587350037912</v>
      </c>
    </row>
    <row r="5287" spans="7:20" ht="14.4" x14ac:dyDescent="0.25">
      <c r="G5287" s="10">
        <v>7304</v>
      </c>
      <c r="H5287" s="9">
        <v>52070</v>
      </c>
      <c r="I5287" s="14">
        <f>DATE(2012,12,31)-1126</f>
        <v>40148</v>
      </c>
      <c r="J5287" s="15" t="s">
        <v>28</v>
      </c>
      <c r="K5287" s="9">
        <v>29</v>
      </c>
      <c r="L5287" s="16" t="s">
        <v>26</v>
      </c>
      <c r="M5287" s="16">
        <f t="shared" si="495"/>
        <v>0.23675523371518786</v>
      </c>
      <c r="N5287">
        <f t="shared" si="496"/>
        <v>0</v>
      </c>
      <c r="O5287">
        <f t="shared" si="497"/>
        <v>0</v>
      </c>
      <c r="P5287">
        <f t="shared" si="494"/>
        <v>4850</v>
      </c>
      <c r="Q5287">
        <f t="shared" si="498"/>
        <v>4850</v>
      </c>
      <c r="T5287" s="16">
        <f t="shared" si="499"/>
        <v>0.2367552337151875</v>
      </c>
    </row>
    <row r="5288" spans="7:20" ht="14.4" x14ac:dyDescent="0.25">
      <c r="G5288" s="10">
        <v>7313</v>
      </c>
      <c r="H5288" s="9">
        <v>52160</v>
      </c>
      <c r="I5288" s="14">
        <f>DATE(2012,12,31)-547</f>
        <v>40727</v>
      </c>
      <c r="J5288" s="15" t="s">
        <v>30</v>
      </c>
      <c r="K5288" s="9">
        <v>5</v>
      </c>
      <c r="L5288" s="16" t="s">
        <v>26</v>
      </c>
      <c r="M5288" s="16">
        <f t="shared" si="495"/>
        <v>-1.4206794051461267</v>
      </c>
      <c r="N5288">
        <f t="shared" si="496"/>
        <v>0</v>
      </c>
      <c r="O5288">
        <f t="shared" si="497"/>
        <v>0</v>
      </c>
      <c r="P5288">
        <f t="shared" si="494"/>
        <v>3650</v>
      </c>
      <c r="Q5288">
        <f t="shared" si="498"/>
        <v>3650</v>
      </c>
      <c r="T5288" s="16">
        <f t="shared" si="499"/>
        <v>-1.4206794051461269</v>
      </c>
    </row>
    <row r="5289" spans="7:20" ht="14.4" x14ac:dyDescent="0.25">
      <c r="G5289" s="10">
        <v>7314</v>
      </c>
      <c r="H5289" s="9">
        <v>52160</v>
      </c>
      <c r="I5289" s="14">
        <f>DATE(2012,12,31)-547</f>
        <v>40727</v>
      </c>
      <c r="J5289" s="15" t="s">
        <v>30</v>
      </c>
      <c r="K5289" s="9">
        <v>6</v>
      </c>
      <c r="L5289" s="16" t="s">
        <v>27</v>
      </c>
      <c r="M5289" s="16">
        <f t="shared" si="495"/>
        <v>-1.3516196285269051</v>
      </c>
      <c r="N5289">
        <f t="shared" si="496"/>
        <v>0</v>
      </c>
      <c r="O5289">
        <f t="shared" si="497"/>
        <v>0</v>
      </c>
      <c r="P5289">
        <f t="shared" si="494"/>
        <v>3700</v>
      </c>
      <c r="Q5289">
        <f t="shared" si="498"/>
        <v>3700</v>
      </c>
      <c r="T5289" s="16">
        <f t="shared" si="499"/>
        <v>-1.3516196285269055</v>
      </c>
    </row>
    <row r="5290" spans="7:20" ht="14.4" x14ac:dyDescent="0.25">
      <c r="G5290" s="10">
        <v>7333</v>
      </c>
      <c r="H5290" s="9">
        <v>52258</v>
      </c>
      <c r="I5290" s="14">
        <f>DATE(2012,12,31)-1420</f>
        <v>39854</v>
      </c>
      <c r="J5290" s="15" t="s">
        <v>25</v>
      </c>
      <c r="K5290" s="9">
        <v>5</v>
      </c>
      <c r="L5290" s="16" t="s">
        <v>29</v>
      </c>
      <c r="M5290" s="16">
        <f t="shared" si="495"/>
        <v>-1.4206794051461267</v>
      </c>
      <c r="N5290">
        <f t="shared" si="496"/>
        <v>0</v>
      </c>
      <c r="O5290">
        <f t="shared" si="497"/>
        <v>0</v>
      </c>
      <c r="P5290">
        <f t="shared" si="494"/>
        <v>3650</v>
      </c>
      <c r="Q5290">
        <f t="shared" si="498"/>
        <v>3650</v>
      </c>
      <c r="T5290" s="16">
        <f t="shared" si="499"/>
        <v>-1.4206794051461269</v>
      </c>
    </row>
    <row r="5291" spans="7:20" ht="14.4" x14ac:dyDescent="0.25">
      <c r="G5291" s="10">
        <v>7378</v>
      </c>
      <c r="H5291" s="9">
        <v>52608</v>
      </c>
      <c r="I5291" s="14">
        <f>DATE(2012,12,31)-1440</f>
        <v>39834</v>
      </c>
      <c r="J5291" s="15" t="s">
        <v>25</v>
      </c>
      <c r="K5291" s="9">
        <v>36</v>
      </c>
      <c r="L5291" s="16" t="s">
        <v>26</v>
      </c>
      <c r="M5291" s="16">
        <f t="shared" si="495"/>
        <v>0.72017367004973787</v>
      </c>
      <c r="N5291">
        <f t="shared" si="496"/>
        <v>0</v>
      </c>
      <c r="O5291">
        <f t="shared" si="497"/>
        <v>0</v>
      </c>
      <c r="P5291">
        <f t="shared" si="494"/>
        <v>5200</v>
      </c>
      <c r="Q5291">
        <f t="shared" si="498"/>
        <v>5200</v>
      </c>
      <c r="T5291" s="16">
        <f t="shared" si="499"/>
        <v>0.72017367004973754</v>
      </c>
    </row>
    <row r="5292" spans="7:20" ht="14.4" x14ac:dyDescent="0.25">
      <c r="G5292" s="10">
        <v>7382</v>
      </c>
      <c r="H5292" s="9">
        <v>52640</v>
      </c>
      <c r="I5292" s="14">
        <f>DATE(2012,12,31)-730</f>
        <v>40544</v>
      </c>
      <c r="J5292" s="15" t="s">
        <v>16</v>
      </c>
      <c r="K5292" s="9">
        <v>18</v>
      </c>
      <c r="L5292" s="16" t="s">
        <v>26</v>
      </c>
      <c r="M5292" s="16">
        <f t="shared" si="495"/>
        <v>-0.52290230909624791</v>
      </c>
      <c r="N5292">
        <f t="shared" si="496"/>
        <v>0</v>
      </c>
      <c r="O5292">
        <f t="shared" si="497"/>
        <v>0</v>
      </c>
      <c r="P5292">
        <f t="shared" si="494"/>
        <v>4300</v>
      </c>
      <c r="Q5292">
        <f t="shared" si="498"/>
        <v>4300</v>
      </c>
      <c r="T5292" s="16">
        <f t="shared" si="499"/>
        <v>-0.52290230909624835</v>
      </c>
    </row>
    <row r="5293" spans="7:20" ht="14.4" x14ac:dyDescent="0.25">
      <c r="G5293" s="10">
        <v>7482</v>
      </c>
      <c r="H5293" s="9">
        <v>53412</v>
      </c>
      <c r="I5293" s="14">
        <f>DATE(2012,12,31)-1203</f>
        <v>40071</v>
      </c>
      <c r="J5293" s="15" t="s">
        <v>30</v>
      </c>
      <c r="K5293" s="9">
        <v>45</v>
      </c>
      <c r="L5293" s="16" t="s">
        <v>29</v>
      </c>
      <c r="M5293" s="16">
        <f t="shared" si="495"/>
        <v>1.3417116596227308</v>
      </c>
      <c r="N5293">
        <f t="shared" si="496"/>
        <v>0</v>
      </c>
      <c r="O5293">
        <f t="shared" si="497"/>
        <v>0</v>
      </c>
      <c r="P5293">
        <f t="shared" si="494"/>
        <v>5650</v>
      </c>
      <c r="Q5293">
        <f t="shared" si="498"/>
        <v>5650</v>
      </c>
      <c r="T5293" s="16">
        <f t="shared" si="499"/>
        <v>1.3417116596227305</v>
      </c>
    </row>
    <row r="5294" spans="7:20" ht="14.4" x14ac:dyDescent="0.25">
      <c r="G5294" s="10">
        <v>7504</v>
      </c>
      <c r="H5294" s="9">
        <v>53568</v>
      </c>
      <c r="I5294" s="14">
        <f>DATE(2012,12,31)-917</f>
        <v>40357</v>
      </c>
      <c r="J5294" s="15" t="s">
        <v>16</v>
      </c>
      <c r="K5294" s="9">
        <v>34</v>
      </c>
      <c r="L5294" s="16" t="s">
        <v>29</v>
      </c>
      <c r="M5294" s="16">
        <f t="shared" si="495"/>
        <v>0.58205411681129504</v>
      </c>
      <c r="N5294">
        <f t="shared" si="496"/>
        <v>0</v>
      </c>
      <c r="O5294">
        <f t="shared" si="497"/>
        <v>0</v>
      </c>
      <c r="P5294">
        <f t="shared" si="494"/>
        <v>5100</v>
      </c>
      <c r="Q5294">
        <f t="shared" si="498"/>
        <v>5100</v>
      </c>
      <c r="T5294" s="16">
        <f t="shared" si="499"/>
        <v>0.58205411681129471</v>
      </c>
    </row>
    <row r="5295" spans="7:20" ht="14.4" x14ac:dyDescent="0.25">
      <c r="G5295" s="10">
        <v>7546</v>
      </c>
      <c r="H5295" s="9">
        <v>53956</v>
      </c>
      <c r="I5295" s="14">
        <f>DATE(2012,12,31)-511</f>
        <v>40763</v>
      </c>
      <c r="J5295" s="15" t="s">
        <v>17</v>
      </c>
      <c r="K5295" s="9">
        <v>43</v>
      </c>
      <c r="L5295" s="16" t="s">
        <v>26</v>
      </c>
      <c r="M5295" s="16">
        <f t="shared" si="495"/>
        <v>1.203592106384288</v>
      </c>
      <c r="N5295">
        <f t="shared" si="496"/>
        <v>0</v>
      </c>
      <c r="O5295">
        <f t="shared" si="497"/>
        <v>0</v>
      </c>
      <c r="P5295">
        <f t="shared" si="494"/>
        <v>5550</v>
      </c>
      <c r="Q5295">
        <f t="shared" si="498"/>
        <v>5550</v>
      </c>
      <c r="T5295" s="16">
        <f t="shared" si="499"/>
        <v>1.2035921063842876</v>
      </c>
    </row>
    <row r="5296" spans="7:20" ht="14.4" x14ac:dyDescent="0.25">
      <c r="G5296" s="10">
        <v>7601</v>
      </c>
      <c r="H5296" s="9">
        <v>54371</v>
      </c>
      <c r="I5296" s="14">
        <f>DATE(2012,12,31)-320</f>
        <v>40954</v>
      </c>
      <c r="J5296" s="15" t="s">
        <v>28</v>
      </c>
      <c r="K5296" s="9">
        <v>28</v>
      </c>
      <c r="L5296" s="16" t="s">
        <v>26</v>
      </c>
      <c r="M5296" s="16">
        <f t="shared" si="495"/>
        <v>0.16769545709596645</v>
      </c>
      <c r="N5296">
        <f t="shared" si="496"/>
        <v>0</v>
      </c>
      <c r="O5296">
        <f t="shared" si="497"/>
        <v>0</v>
      </c>
      <c r="P5296">
        <f t="shared" si="494"/>
        <v>4800</v>
      </c>
      <c r="Q5296">
        <f t="shared" si="498"/>
        <v>4800</v>
      </c>
      <c r="T5296" s="16">
        <f t="shared" si="499"/>
        <v>0.16769545709596606</v>
      </c>
    </row>
    <row r="5297" spans="7:20" ht="14.4" x14ac:dyDescent="0.25">
      <c r="G5297" s="10">
        <v>7602</v>
      </c>
      <c r="H5297" s="9">
        <v>54371</v>
      </c>
      <c r="I5297" s="14">
        <f>DATE(2012,12,31)-320</f>
        <v>40954</v>
      </c>
      <c r="J5297" s="15" t="s">
        <v>28</v>
      </c>
      <c r="K5297" s="9">
        <v>7</v>
      </c>
      <c r="L5297" s="16" t="s">
        <v>26</v>
      </c>
      <c r="M5297" s="16">
        <f t="shared" si="495"/>
        <v>-1.2825598519076837</v>
      </c>
      <c r="N5297">
        <f t="shared" si="496"/>
        <v>0</v>
      </c>
      <c r="O5297">
        <f t="shared" si="497"/>
        <v>0</v>
      </c>
      <c r="P5297">
        <f t="shared" si="494"/>
        <v>3750</v>
      </c>
      <c r="Q5297">
        <f t="shared" si="498"/>
        <v>3750</v>
      </c>
      <c r="T5297" s="16">
        <f t="shared" si="499"/>
        <v>-1.2825598519076842</v>
      </c>
    </row>
    <row r="5298" spans="7:20" ht="14.4" x14ac:dyDescent="0.25">
      <c r="G5298" s="10">
        <v>7605</v>
      </c>
      <c r="H5298" s="9">
        <v>54436</v>
      </c>
      <c r="I5298" s="14">
        <f>DATE(2012,12,31)-1199</f>
        <v>40075</v>
      </c>
      <c r="J5298" s="15" t="s">
        <v>17</v>
      </c>
      <c r="K5298" s="9">
        <v>17</v>
      </c>
      <c r="L5298" s="16" t="s">
        <v>27</v>
      </c>
      <c r="M5298" s="16">
        <f t="shared" si="495"/>
        <v>-0.59196208571546938</v>
      </c>
      <c r="N5298">
        <f t="shared" si="496"/>
        <v>0</v>
      </c>
      <c r="O5298">
        <f t="shared" si="497"/>
        <v>0</v>
      </c>
      <c r="P5298">
        <f t="shared" si="494"/>
        <v>4250</v>
      </c>
      <c r="Q5298">
        <f t="shared" si="498"/>
        <v>4250</v>
      </c>
      <c r="T5298" s="16">
        <f t="shared" si="499"/>
        <v>-0.59196208571546971</v>
      </c>
    </row>
    <row r="5299" spans="7:20" ht="14.4" x14ac:dyDescent="0.25">
      <c r="G5299" s="10">
        <v>7606</v>
      </c>
      <c r="H5299" s="9">
        <v>54436</v>
      </c>
      <c r="I5299" s="14">
        <f>DATE(2012,12,31)-1199</f>
        <v>40075</v>
      </c>
      <c r="J5299" s="15" t="s">
        <v>17</v>
      </c>
      <c r="K5299" s="9">
        <v>37</v>
      </c>
      <c r="L5299" s="16" t="s">
        <v>27</v>
      </c>
      <c r="M5299" s="16">
        <f t="shared" si="495"/>
        <v>0.78923344666895934</v>
      </c>
      <c r="N5299">
        <f t="shared" si="496"/>
        <v>0</v>
      </c>
      <c r="O5299">
        <f t="shared" si="497"/>
        <v>0</v>
      </c>
      <c r="P5299">
        <f t="shared" si="494"/>
        <v>5250</v>
      </c>
      <c r="Q5299">
        <f t="shared" si="498"/>
        <v>5250</v>
      </c>
      <c r="T5299" s="16">
        <f t="shared" si="499"/>
        <v>0.789233446668959</v>
      </c>
    </row>
    <row r="5300" spans="7:20" ht="14.4" x14ac:dyDescent="0.25">
      <c r="G5300" s="10">
        <v>7608</v>
      </c>
      <c r="H5300" s="9">
        <v>54464</v>
      </c>
      <c r="I5300" s="14">
        <f>DATE(2012,12,31)-1217</f>
        <v>40057</v>
      </c>
      <c r="J5300" s="15" t="s">
        <v>17</v>
      </c>
      <c r="K5300" s="9">
        <v>11</v>
      </c>
      <c r="L5300" s="16" t="s">
        <v>29</v>
      </c>
      <c r="M5300" s="16">
        <f t="shared" si="495"/>
        <v>-1.0063207454307979</v>
      </c>
      <c r="N5300">
        <f t="shared" si="496"/>
        <v>0</v>
      </c>
      <c r="O5300">
        <f t="shared" si="497"/>
        <v>0</v>
      </c>
      <c r="P5300">
        <f t="shared" si="494"/>
        <v>3950</v>
      </c>
      <c r="Q5300">
        <f t="shared" si="498"/>
        <v>3950</v>
      </c>
      <c r="T5300" s="16">
        <f t="shared" si="499"/>
        <v>-1.0063207454307983</v>
      </c>
    </row>
    <row r="5301" spans="7:20" ht="14.4" x14ac:dyDescent="0.25">
      <c r="G5301" s="10">
        <v>7609</v>
      </c>
      <c r="H5301" s="9">
        <v>54464</v>
      </c>
      <c r="I5301" s="14">
        <f>DATE(2012,12,31)-1217</f>
        <v>40057</v>
      </c>
      <c r="J5301" s="15" t="s">
        <v>17</v>
      </c>
      <c r="K5301" s="9">
        <v>50</v>
      </c>
      <c r="L5301" s="16" t="s">
        <v>29</v>
      </c>
      <c r="M5301" s="16">
        <f t="shared" si="495"/>
        <v>1.687010542718838</v>
      </c>
      <c r="N5301">
        <f t="shared" si="496"/>
        <v>0</v>
      </c>
      <c r="O5301">
        <f t="shared" si="497"/>
        <v>0</v>
      </c>
      <c r="P5301">
        <f t="shared" si="494"/>
        <v>5900</v>
      </c>
      <c r="Q5301">
        <f t="shared" si="498"/>
        <v>5900</v>
      </c>
      <c r="T5301" s="16">
        <f t="shared" si="499"/>
        <v>1.6870105427188375</v>
      </c>
    </row>
    <row r="5302" spans="7:20" ht="14.4" x14ac:dyDescent="0.25">
      <c r="G5302" s="10">
        <v>7613</v>
      </c>
      <c r="H5302" s="9">
        <v>54468</v>
      </c>
      <c r="I5302" s="14">
        <f>DATE(2012,12,31)-1113</f>
        <v>40161</v>
      </c>
      <c r="J5302" s="15" t="s">
        <v>17</v>
      </c>
      <c r="K5302" s="9">
        <v>15</v>
      </c>
      <c r="L5302" s="16" t="s">
        <v>26</v>
      </c>
      <c r="M5302" s="16">
        <f t="shared" si="495"/>
        <v>-0.7300816389539122</v>
      </c>
      <c r="N5302">
        <f t="shared" si="496"/>
        <v>0</v>
      </c>
      <c r="O5302">
        <f t="shared" si="497"/>
        <v>0</v>
      </c>
      <c r="P5302">
        <f t="shared" si="494"/>
        <v>4150</v>
      </c>
      <c r="Q5302">
        <f t="shared" si="498"/>
        <v>4150</v>
      </c>
      <c r="T5302" s="16">
        <f t="shared" si="499"/>
        <v>-0.73008163895391265</v>
      </c>
    </row>
    <row r="5303" spans="7:20" ht="14.4" x14ac:dyDescent="0.25">
      <c r="G5303" s="10">
        <v>7614</v>
      </c>
      <c r="H5303" s="9">
        <v>54468</v>
      </c>
      <c r="I5303" s="14">
        <f>DATE(2012,12,31)-1113</f>
        <v>40161</v>
      </c>
      <c r="J5303" s="15" t="s">
        <v>17</v>
      </c>
      <c r="K5303" s="9">
        <v>35</v>
      </c>
      <c r="L5303" s="16" t="s">
        <v>26</v>
      </c>
      <c r="M5303" s="16">
        <f t="shared" si="495"/>
        <v>0.65111389343051651</v>
      </c>
      <c r="N5303">
        <f t="shared" si="496"/>
        <v>0</v>
      </c>
      <c r="O5303">
        <f t="shared" si="497"/>
        <v>0</v>
      </c>
      <c r="P5303">
        <f t="shared" si="494"/>
        <v>5150</v>
      </c>
      <c r="Q5303">
        <f t="shared" si="498"/>
        <v>5150</v>
      </c>
      <c r="T5303" s="16">
        <f t="shared" si="499"/>
        <v>0.65111389343051607</v>
      </c>
    </row>
    <row r="5304" spans="7:20" ht="14.4" x14ac:dyDescent="0.25">
      <c r="G5304" s="10">
        <v>7649</v>
      </c>
      <c r="H5304" s="9">
        <v>54819</v>
      </c>
      <c r="I5304" s="14">
        <f>DATE(2012,12,31)-1178</f>
        <v>40096</v>
      </c>
      <c r="J5304" s="15" t="s">
        <v>25</v>
      </c>
      <c r="K5304" s="9">
        <v>10</v>
      </c>
      <c r="L5304" s="16" t="s">
        <v>29</v>
      </c>
      <c r="M5304" s="16">
        <f t="shared" si="495"/>
        <v>-1.0753805220500194</v>
      </c>
      <c r="N5304">
        <f t="shared" si="496"/>
        <v>0</v>
      </c>
      <c r="O5304">
        <f t="shared" si="497"/>
        <v>0</v>
      </c>
      <c r="P5304">
        <f t="shared" si="494"/>
        <v>3900</v>
      </c>
      <c r="Q5304">
        <f t="shared" si="498"/>
        <v>3900</v>
      </c>
      <c r="T5304" s="16">
        <f t="shared" si="499"/>
        <v>-1.0753805220500199</v>
      </c>
    </row>
    <row r="5305" spans="7:20" ht="14.4" x14ac:dyDescent="0.25">
      <c r="G5305" s="10">
        <v>7650</v>
      </c>
      <c r="H5305" s="9">
        <v>54819</v>
      </c>
      <c r="I5305" s="14">
        <f>DATE(2012,12,31)-1178</f>
        <v>40096</v>
      </c>
      <c r="J5305" s="15" t="s">
        <v>25</v>
      </c>
      <c r="K5305" s="9">
        <v>26</v>
      </c>
      <c r="L5305" s="16" t="s">
        <v>26</v>
      </c>
      <c r="M5305" s="16">
        <f t="shared" si="495"/>
        <v>2.9575903857523567E-2</v>
      </c>
      <c r="N5305">
        <f t="shared" si="496"/>
        <v>0</v>
      </c>
      <c r="O5305">
        <f t="shared" si="497"/>
        <v>0</v>
      </c>
      <c r="P5305">
        <f t="shared" si="494"/>
        <v>4700</v>
      </c>
      <c r="Q5305">
        <f t="shared" si="498"/>
        <v>4700</v>
      </c>
      <c r="T5305" s="16">
        <f t="shared" si="499"/>
        <v>2.9575903857523185E-2</v>
      </c>
    </row>
    <row r="5306" spans="7:20" ht="14.4" x14ac:dyDescent="0.25">
      <c r="G5306" s="10">
        <v>7651</v>
      </c>
      <c r="H5306" s="9">
        <v>54819</v>
      </c>
      <c r="I5306" s="14">
        <f>DATE(2012,12,31)-1178</f>
        <v>40096</v>
      </c>
      <c r="J5306" s="15" t="s">
        <v>25</v>
      </c>
      <c r="K5306" s="9">
        <v>46</v>
      </c>
      <c r="L5306" s="16" t="s">
        <v>27</v>
      </c>
      <c r="M5306" s="16">
        <f t="shared" si="495"/>
        <v>1.4107714362419523</v>
      </c>
      <c r="N5306">
        <f t="shared" si="496"/>
        <v>0</v>
      </c>
      <c r="O5306">
        <f t="shared" si="497"/>
        <v>0</v>
      </c>
      <c r="P5306">
        <f t="shared" si="494"/>
        <v>5700</v>
      </c>
      <c r="Q5306">
        <f t="shared" si="498"/>
        <v>5700</v>
      </c>
      <c r="T5306" s="16">
        <f t="shared" si="499"/>
        <v>1.4107714362419519</v>
      </c>
    </row>
    <row r="5307" spans="7:20" ht="14.4" x14ac:dyDescent="0.25">
      <c r="G5307" s="10">
        <v>7654</v>
      </c>
      <c r="H5307" s="9">
        <v>54882</v>
      </c>
      <c r="I5307" s="14">
        <f>DATE(2012,12,31)-694</f>
        <v>40580</v>
      </c>
      <c r="J5307" s="15" t="s">
        <v>30</v>
      </c>
      <c r="K5307" s="9">
        <v>17</v>
      </c>
      <c r="L5307" s="16" t="s">
        <v>26</v>
      </c>
      <c r="M5307" s="16">
        <f t="shared" si="495"/>
        <v>-0.59196208571546938</v>
      </c>
      <c r="N5307">
        <f t="shared" si="496"/>
        <v>0</v>
      </c>
      <c r="O5307">
        <f t="shared" si="497"/>
        <v>0</v>
      </c>
      <c r="P5307">
        <f t="shared" si="494"/>
        <v>4250</v>
      </c>
      <c r="Q5307">
        <f t="shared" si="498"/>
        <v>4250</v>
      </c>
      <c r="T5307" s="16">
        <f t="shared" si="499"/>
        <v>-0.59196208571546971</v>
      </c>
    </row>
    <row r="5308" spans="7:20" ht="14.4" x14ac:dyDescent="0.25">
      <c r="G5308" s="10">
        <v>7655</v>
      </c>
      <c r="H5308" s="9">
        <v>54882</v>
      </c>
      <c r="I5308" s="14">
        <f>DATE(2012,12,31)-694</f>
        <v>40580</v>
      </c>
      <c r="J5308" s="15" t="s">
        <v>30</v>
      </c>
      <c r="K5308" s="9">
        <v>2</v>
      </c>
      <c r="L5308" s="16" t="s">
        <v>26</v>
      </c>
      <c r="M5308" s="16">
        <f t="shared" si="495"/>
        <v>-1.627858735003791</v>
      </c>
      <c r="N5308">
        <f t="shared" si="496"/>
        <v>0</v>
      </c>
      <c r="O5308">
        <f t="shared" si="497"/>
        <v>0</v>
      </c>
      <c r="P5308">
        <f t="shared" si="494"/>
        <v>3500</v>
      </c>
      <c r="Q5308">
        <f t="shared" si="498"/>
        <v>3500</v>
      </c>
      <c r="T5308" s="16">
        <f t="shared" si="499"/>
        <v>-1.6278587350037912</v>
      </c>
    </row>
    <row r="5309" spans="7:20" ht="14.4" x14ac:dyDescent="0.25">
      <c r="G5309" s="10">
        <v>7680</v>
      </c>
      <c r="H5309" s="9">
        <v>55042</v>
      </c>
      <c r="I5309" s="14">
        <f>DATE(2012,12,31)-389</f>
        <v>40885</v>
      </c>
      <c r="J5309" s="15" t="s">
        <v>17</v>
      </c>
      <c r="K5309" s="9">
        <v>28</v>
      </c>
      <c r="L5309" s="16" t="s">
        <v>26</v>
      </c>
      <c r="M5309" s="16">
        <f t="shared" si="495"/>
        <v>0.16769545709596645</v>
      </c>
      <c r="N5309">
        <f t="shared" si="496"/>
        <v>0</v>
      </c>
      <c r="O5309">
        <f t="shared" si="497"/>
        <v>0</v>
      </c>
      <c r="P5309">
        <f t="shared" si="494"/>
        <v>4800</v>
      </c>
      <c r="Q5309">
        <f t="shared" si="498"/>
        <v>4800</v>
      </c>
      <c r="T5309" s="16">
        <f t="shared" si="499"/>
        <v>0.16769545709596606</v>
      </c>
    </row>
    <row r="5310" spans="7:20" ht="14.4" x14ac:dyDescent="0.25">
      <c r="G5310" s="10">
        <v>7681</v>
      </c>
      <c r="H5310" s="9">
        <v>55042</v>
      </c>
      <c r="I5310" s="14">
        <f>DATE(2012,12,31)-389</f>
        <v>40885</v>
      </c>
      <c r="J5310" s="15" t="s">
        <v>17</v>
      </c>
      <c r="K5310" s="9">
        <v>38</v>
      </c>
      <c r="L5310" s="16" t="s">
        <v>27</v>
      </c>
      <c r="M5310" s="16">
        <f t="shared" si="495"/>
        <v>0.85829322328818081</v>
      </c>
      <c r="N5310">
        <f t="shared" si="496"/>
        <v>0</v>
      </c>
      <c r="O5310">
        <f t="shared" si="497"/>
        <v>0</v>
      </c>
      <c r="P5310">
        <f t="shared" si="494"/>
        <v>5300</v>
      </c>
      <c r="Q5310">
        <f t="shared" si="498"/>
        <v>5300</v>
      </c>
      <c r="T5310" s="16">
        <f t="shared" si="499"/>
        <v>0.85829322328818036</v>
      </c>
    </row>
    <row r="5311" spans="7:20" ht="14.4" x14ac:dyDescent="0.25">
      <c r="G5311" s="10">
        <v>7683</v>
      </c>
      <c r="H5311" s="9">
        <v>55046</v>
      </c>
      <c r="I5311" s="14">
        <f>DATE(2012,12,31)-1358</f>
        <v>39916</v>
      </c>
      <c r="J5311" s="15" t="s">
        <v>30</v>
      </c>
      <c r="K5311" s="9">
        <v>2</v>
      </c>
      <c r="L5311" s="16" t="s">
        <v>26</v>
      </c>
      <c r="M5311" s="16">
        <f t="shared" si="495"/>
        <v>-1.627858735003791</v>
      </c>
      <c r="N5311">
        <f t="shared" si="496"/>
        <v>0</v>
      </c>
      <c r="O5311">
        <f t="shared" si="497"/>
        <v>0</v>
      </c>
      <c r="P5311">
        <f t="shared" si="494"/>
        <v>3500</v>
      </c>
      <c r="Q5311">
        <f t="shared" si="498"/>
        <v>3500</v>
      </c>
      <c r="T5311" s="16">
        <f t="shared" si="499"/>
        <v>-1.6278587350037912</v>
      </c>
    </row>
    <row r="5312" spans="7:20" ht="14.4" x14ac:dyDescent="0.25">
      <c r="G5312" s="10">
        <v>7715</v>
      </c>
      <c r="H5312" s="9">
        <v>55297</v>
      </c>
      <c r="I5312" s="14">
        <f>DATE(2012,12,31)-804</f>
        <v>40470</v>
      </c>
      <c r="J5312" s="15" t="s">
        <v>16</v>
      </c>
      <c r="K5312" s="9">
        <v>29</v>
      </c>
      <c r="L5312" s="16" t="s">
        <v>26</v>
      </c>
      <c r="M5312" s="16">
        <f t="shared" si="495"/>
        <v>0.23675523371518786</v>
      </c>
      <c r="N5312">
        <f t="shared" si="496"/>
        <v>0</v>
      </c>
      <c r="O5312">
        <f t="shared" si="497"/>
        <v>0</v>
      </c>
      <c r="P5312">
        <f t="shared" si="494"/>
        <v>4850</v>
      </c>
      <c r="Q5312">
        <f t="shared" si="498"/>
        <v>4850</v>
      </c>
      <c r="T5312" s="16">
        <f t="shared" si="499"/>
        <v>0.2367552337151875</v>
      </c>
    </row>
    <row r="5313" spans="7:20" ht="14.4" x14ac:dyDescent="0.25">
      <c r="G5313" s="10">
        <v>7724</v>
      </c>
      <c r="H5313" s="9">
        <v>55360</v>
      </c>
      <c r="I5313" s="14">
        <f>DATE(2012,12,31)-1439</f>
        <v>39835</v>
      </c>
      <c r="J5313" s="15" t="s">
        <v>16</v>
      </c>
      <c r="K5313" s="9">
        <v>49</v>
      </c>
      <c r="L5313" s="16" t="s">
        <v>26</v>
      </c>
      <c r="M5313" s="16">
        <f t="shared" si="495"/>
        <v>1.6179507660996166</v>
      </c>
      <c r="N5313">
        <f t="shared" si="496"/>
        <v>0</v>
      </c>
      <c r="O5313">
        <f t="shared" si="497"/>
        <v>0</v>
      </c>
      <c r="P5313">
        <f t="shared" si="494"/>
        <v>5850</v>
      </c>
      <c r="Q5313">
        <f t="shared" si="498"/>
        <v>5850</v>
      </c>
      <c r="T5313" s="16">
        <f t="shared" si="499"/>
        <v>1.6179507660996162</v>
      </c>
    </row>
    <row r="5314" spans="7:20" ht="14.4" x14ac:dyDescent="0.25">
      <c r="G5314" s="10">
        <v>7725</v>
      </c>
      <c r="H5314" s="9">
        <v>55360</v>
      </c>
      <c r="I5314" s="14">
        <f>DATE(2012,12,31)-1439</f>
        <v>39835</v>
      </c>
      <c r="J5314" s="15" t="s">
        <v>16</v>
      </c>
      <c r="K5314" s="9">
        <v>39</v>
      </c>
      <c r="L5314" s="16" t="s">
        <v>29</v>
      </c>
      <c r="M5314" s="16">
        <f t="shared" si="495"/>
        <v>0.92735299990740228</v>
      </c>
      <c r="N5314">
        <f t="shared" si="496"/>
        <v>0</v>
      </c>
      <c r="O5314">
        <f t="shared" si="497"/>
        <v>0</v>
      </c>
      <c r="P5314">
        <f t="shared" si="494"/>
        <v>5350</v>
      </c>
      <c r="Q5314">
        <f t="shared" si="498"/>
        <v>5350</v>
      </c>
      <c r="T5314" s="16">
        <f t="shared" si="499"/>
        <v>0.92735299990740183</v>
      </c>
    </row>
    <row r="5315" spans="7:20" ht="14.4" x14ac:dyDescent="0.25">
      <c r="G5315" s="10">
        <v>7772</v>
      </c>
      <c r="H5315" s="9">
        <v>55623</v>
      </c>
      <c r="I5315" s="14">
        <f>DATE(2012,12,31)-87</f>
        <v>41187</v>
      </c>
      <c r="J5315" s="15" t="s">
        <v>30</v>
      </c>
      <c r="K5315" s="9">
        <v>47</v>
      </c>
      <c r="L5315" s="16" t="s">
        <v>29</v>
      </c>
      <c r="M5315" s="16">
        <f t="shared" si="495"/>
        <v>1.4798312128611737</v>
      </c>
      <c r="N5315">
        <f t="shared" si="496"/>
        <v>0</v>
      </c>
      <c r="O5315">
        <f t="shared" si="497"/>
        <v>0</v>
      </c>
      <c r="P5315">
        <f t="shared" si="494"/>
        <v>5750</v>
      </c>
      <c r="Q5315">
        <f t="shared" si="498"/>
        <v>5750</v>
      </c>
      <c r="T5315" s="16">
        <f t="shared" si="499"/>
        <v>1.4798312128611733</v>
      </c>
    </row>
    <row r="5316" spans="7:20" ht="14.4" x14ac:dyDescent="0.25">
      <c r="G5316" s="10">
        <v>7774</v>
      </c>
      <c r="H5316" s="9">
        <v>55650</v>
      </c>
      <c r="I5316" s="14">
        <f>DATE(2012,12,31)-437</f>
        <v>40837</v>
      </c>
      <c r="J5316" s="15" t="s">
        <v>25</v>
      </c>
      <c r="K5316" s="9">
        <v>41</v>
      </c>
      <c r="L5316" s="16" t="s">
        <v>27</v>
      </c>
      <c r="M5316" s="16">
        <f t="shared" si="495"/>
        <v>1.0654725531458451</v>
      </c>
      <c r="N5316">
        <f t="shared" si="496"/>
        <v>0</v>
      </c>
      <c r="O5316">
        <f t="shared" si="497"/>
        <v>0</v>
      </c>
      <c r="P5316">
        <f t="shared" si="494"/>
        <v>5450</v>
      </c>
      <c r="Q5316">
        <f t="shared" si="498"/>
        <v>5450</v>
      </c>
      <c r="T5316" s="16">
        <f t="shared" si="499"/>
        <v>1.0654725531458447</v>
      </c>
    </row>
    <row r="5317" spans="7:20" ht="14.4" x14ac:dyDescent="0.25">
      <c r="G5317" s="10">
        <v>7776</v>
      </c>
      <c r="H5317" s="9">
        <v>55651</v>
      </c>
      <c r="I5317" s="14">
        <f>DATE(2012,12,31)-299</f>
        <v>40975</v>
      </c>
      <c r="J5317" s="15" t="s">
        <v>16</v>
      </c>
      <c r="K5317" s="9">
        <v>41</v>
      </c>
      <c r="L5317" s="16" t="s">
        <v>29</v>
      </c>
      <c r="M5317" s="16">
        <f t="shared" si="495"/>
        <v>1.0654725531458451</v>
      </c>
      <c r="N5317">
        <f t="shared" si="496"/>
        <v>0</v>
      </c>
      <c r="O5317">
        <f t="shared" si="497"/>
        <v>0</v>
      </c>
      <c r="P5317">
        <f t="shared" si="494"/>
        <v>5450</v>
      </c>
      <c r="Q5317">
        <f t="shared" si="498"/>
        <v>5450</v>
      </c>
      <c r="T5317" s="16">
        <f t="shared" si="499"/>
        <v>1.0654725531458447</v>
      </c>
    </row>
    <row r="5318" spans="7:20" ht="14.4" x14ac:dyDescent="0.25">
      <c r="G5318" s="10">
        <v>7777</v>
      </c>
      <c r="H5318" s="9">
        <v>55651</v>
      </c>
      <c r="I5318" s="14">
        <f>DATE(2012,12,31)-299</f>
        <v>40975</v>
      </c>
      <c r="J5318" s="15" t="s">
        <v>16</v>
      </c>
      <c r="K5318" s="9">
        <v>2</v>
      </c>
      <c r="L5318" s="16" t="s">
        <v>26</v>
      </c>
      <c r="M5318" s="16">
        <f t="shared" si="495"/>
        <v>-1.627858735003791</v>
      </c>
      <c r="N5318">
        <f t="shared" si="496"/>
        <v>0</v>
      </c>
      <c r="O5318">
        <f t="shared" si="497"/>
        <v>0</v>
      </c>
      <c r="P5318">
        <f t="shared" si="494"/>
        <v>3500</v>
      </c>
      <c r="Q5318">
        <f t="shared" si="498"/>
        <v>3500</v>
      </c>
      <c r="T5318" s="16">
        <f t="shared" si="499"/>
        <v>-1.6278587350037912</v>
      </c>
    </row>
    <row r="5319" spans="7:20" ht="14.4" x14ac:dyDescent="0.25">
      <c r="G5319" s="10">
        <v>7876</v>
      </c>
      <c r="H5319" s="9">
        <v>56322</v>
      </c>
      <c r="I5319" s="14">
        <f>DATE(2012,12,31)-458</f>
        <v>40816</v>
      </c>
      <c r="J5319" s="15" t="s">
        <v>16</v>
      </c>
      <c r="K5319" s="9">
        <v>26</v>
      </c>
      <c r="L5319" s="16" t="s">
        <v>27</v>
      </c>
      <c r="M5319" s="16">
        <f t="shared" si="495"/>
        <v>2.9575903857523567E-2</v>
      </c>
      <c r="N5319">
        <f t="shared" si="496"/>
        <v>0</v>
      </c>
      <c r="O5319">
        <f t="shared" si="497"/>
        <v>0</v>
      </c>
      <c r="P5319">
        <f t="shared" si="494"/>
        <v>4700</v>
      </c>
      <c r="Q5319">
        <f t="shared" si="498"/>
        <v>4700</v>
      </c>
      <c r="T5319" s="16">
        <f t="shared" si="499"/>
        <v>2.9575903857523185E-2</v>
      </c>
    </row>
    <row r="5320" spans="7:20" ht="14.4" x14ac:dyDescent="0.25">
      <c r="G5320" s="10">
        <v>7877</v>
      </c>
      <c r="H5320" s="9">
        <v>56322</v>
      </c>
      <c r="I5320" s="14">
        <f>DATE(2012,12,31)-458</f>
        <v>40816</v>
      </c>
      <c r="J5320" s="15" t="s">
        <v>16</v>
      </c>
      <c r="K5320" s="9">
        <v>16</v>
      </c>
      <c r="L5320" s="16" t="s">
        <v>27</v>
      </c>
      <c r="M5320" s="16">
        <f t="shared" si="495"/>
        <v>-0.66102186233469074</v>
      </c>
      <c r="N5320">
        <f t="shared" si="496"/>
        <v>0</v>
      </c>
      <c r="O5320">
        <f t="shared" si="497"/>
        <v>0</v>
      </c>
      <c r="P5320">
        <f t="shared" si="494"/>
        <v>4200</v>
      </c>
      <c r="Q5320">
        <f t="shared" si="498"/>
        <v>4200</v>
      </c>
      <c r="T5320" s="16">
        <f t="shared" si="499"/>
        <v>-0.66102186233469118</v>
      </c>
    </row>
    <row r="5321" spans="7:20" ht="14.4" x14ac:dyDescent="0.25">
      <c r="G5321" s="10">
        <v>7918</v>
      </c>
      <c r="H5321" s="9">
        <v>56608</v>
      </c>
      <c r="I5321" s="14">
        <f>DATE(2012,12,31)-1139</f>
        <v>40135</v>
      </c>
      <c r="J5321" s="15" t="s">
        <v>30</v>
      </c>
      <c r="K5321" s="9">
        <v>23</v>
      </c>
      <c r="L5321" s="16" t="s">
        <v>26</v>
      </c>
      <c r="M5321" s="16">
        <f t="shared" si="495"/>
        <v>-0.17760342600014073</v>
      </c>
      <c r="N5321">
        <f t="shared" si="496"/>
        <v>0</v>
      </c>
      <c r="O5321">
        <f t="shared" si="497"/>
        <v>0</v>
      </c>
      <c r="P5321">
        <f t="shared" si="494"/>
        <v>4550</v>
      </c>
      <c r="Q5321">
        <f t="shared" si="498"/>
        <v>4550</v>
      </c>
      <c r="T5321" s="16">
        <f t="shared" si="499"/>
        <v>-0.17760342600014112</v>
      </c>
    </row>
    <row r="5322" spans="7:20" ht="14.4" x14ac:dyDescent="0.25">
      <c r="G5322" s="10">
        <v>7920</v>
      </c>
      <c r="H5322" s="9">
        <v>56612</v>
      </c>
      <c r="I5322" s="14">
        <f>DATE(2012,12,31)-1258</f>
        <v>40016</v>
      </c>
      <c r="J5322" s="15" t="s">
        <v>17</v>
      </c>
      <c r="K5322" s="9">
        <v>38</v>
      </c>
      <c r="L5322" s="16" t="s">
        <v>27</v>
      </c>
      <c r="M5322" s="16">
        <f t="shared" si="495"/>
        <v>0.85829322328818081</v>
      </c>
      <c r="N5322">
        <f t="shared" si="496"/>
        <v>0</v>
      </c>
      <c r="O5322">
        <f t="shared" si="497"/>
        <v>0</v>
      </c>
      <c r="P5322">
        <f t="shared" si="494"/>
        <v>5300</v>
      </c>
      <c r="Q5322">
        <f t="shared" si="498"/>
        <v>5300</v>
      </c>
      <c r="T5322" s="16">
        <f t="shared" si="499"/>
        <v>0.85829322328818036</v>
      </c>
    </row>
    <row r="5323" spans="7:20" ht="14.4" x14ac:dyDescent="0.25">
      <c r="G5323" s="10">
        <v>7956</v>
      </c>
      <c r="H5323" s="9">
        <v>56835</v>
      </c>
      <c r="I5323" s="14">
        <f>DATE(2012,12,31)-1045</f>
        <v>40229</v>
      </c>
      <c r="J5323" s="15" t="s">
        <v>28</v>
      </c>
      <c r="K5323" s="9">
        <v>1</v>
      </c>
      <c r="L5323" s="16" t="s">
        <v>26</v>
      </c>
      <c r="M5323" s="16">
        <f t="shared" si="495"/>
        <v>-1.6969185116230123</v>
      </c>
      <c r="N5323">
        <f t="shared" si="496"/>
        <v>0</v>
      </c>
      <c r="O5323">
        <f t="shared" si="497"/>
        <v>0</v>
      </c>
      <c r="P5323">
        <f t="shared" si="494"/>
        <v>3450</v>
      </c>
      <c r="Q5323">
        <f t="shared" si="498"/>
        <v>3450</v>
      </c>
      <c r="T5323" s="16">
        <f t="shared" si="499"/>
        <v>-1.6969185116230128</v>
      </c>
    </row>
    <row r="5324" spans="7:20" ht="14.4" x14ac:dyDescent="0.25">
      <c r="G5324" s="10">
        <v>7975</v>
      </c>
      <c r="H5324" s="9">
        <v>57058</v>
      </c>
      <c r="I5324" s="14">
        <f>DATE(2012,12,31)-236</f>
        <v>41038</v>
      </c>
      <c r="J5324" s="15" t="s">
        <v>16</v>
      </c>
      <c r="K5324" s="9">
        <v>28</v>
      </c>
      <c r="L5324" s="16" t="s">
        <v>26</v>
      </c>
      <c r="M5324" s="16">
        <f t="shared" si="495"/>
        <v>0.16769545709596645</v>
      </c>
      <c r="N5324">
        <f t="shared" si="496"/>
        <v>0</v>
      </c>
      <c r="O5324">
        <f t="shared" si="497"/>
        <v>0</v>
      </c>
      <c r="P5324">
        <f t="shared" ref="P5324:P5387" si="500">50*K5324+$P$10</f>
        <v>4800</v>
      </c>
      <c r="Q5324">
        <f t="shared" si="498"/>
        <v>4800</v>
      </c>
      <c r="T5324" s="16">
        <f t="shared" si="499"/>
        <v>0.16769545709596606</v>
      </c>
    </row>
    <row r="5325" spans="7:20" ht="14.4" x14ac:dyDescent="0.25">
      <c r="G5325" s="10">
        <v>7976</v>
      </c>
      <c r="H5325" s="9">
        <v>57058</v>
      </c>
      <c r="I5325" s="14">
        <f>DATE(2012,12,31)-236</f>
        <v>41038</v>
      </c>
      <c r="J5325" s="15" t="s">
        <v>16</v>
      </c>
      <c r="K5325" s="9">
        <v>27</v>
      </c>
      <c r="L5325" s="16" t="s">
        <v>27</v>
      </c>
      <c r="M5325" s="16">
        <f t="shared" ref="M5325:M5388" si="501">(K5325-$K$4)/$K$7</f>
        <v>9.8635680476745008E-2</v>
      </c>
      <c r="N5325">
        <f t="shared" ref="N5325:N5388" si="502">IF(MOD($B$20+G5325,1000)=0,1,0)</f>
        <v>0</v>
      </c>
      <c r="O5325">
        <f t="shared" ref="O5325:O5388" si="503">+ROUND(N5325*(IF(K5325&lt;$K$4,-4.5,10.5)*$P$5),-2)</f>
        <v>0</v>
      </c>
      <c r="P5325">
        <f t="shared" si="500"/>
        <v>4750</v>
      </c>
      <c r="Q5325">
        <f t="shared" ref="Q5325:Q5388" si="504">P5325+O5325</f>
        <v>4750</v>
      </c>
      <c r="T5325" s="16">
        <f t="shared" ref="T5325:T5388" si="505">(Q5325-$P$4)/$P$5</f>
        <v>9.8635680476744619E-2</v>
      </c>
    </row>
    <row r="5326" spans="7:20" ht="14.4" x14ac:dyDescent="0.25">
      <c r="G5326" s="10">
        <v>8055</v>
      </c>
      <c r="H5326" s="9">
        <v>57506</v>
      </c>
      <c r="I5326" s="14">
        <f>DATE(2012,12,31)-1417</f>
        <v>39857</v>
      </c>
      <c r="J5326" s="15" t="s">
        <v>16</v>
      </c>
      <c r="K5326" s="9">
        <v>48</v>
      </c>
      <c r="L5326" s="16" t="s">
        <v>26</v>
      </c>
      <c r="M5326" s="16">
        <f t="shared" si="501"/>
        <v>1.5488909894803951</v>
      </c>
      <c r="N5326">
        <f t="shared" si="502"/>
        <v>0</v>
      </c>
      <c r="O5326">
        <f t="shared" si="503"/>
        <v>0</v>
      </c>
      <c r="P5326">
        <f t="shared" si="500"/>
        <v>5800</v>
      </c>
      <c r="Q5326">
        <f t="shared" si="504"/>
        <v>5800</v>
      </c>
      <c r="T5326" s="16">
        <f t="shared" si="505"/>
        <v>1.5488909894803948</v>
      </c>
    </row>
    <row r="5327" spans="7:20" ht="14.4" x14ac:dyDescent="0.25">
      <c r="G5327" s="10">
        <v>8072</v>
      </c>
      <c r="H5327" s="9">
        <v>57574</v>
      </c>
      <c r="I5327" s="14">
        <f>DATE(2012,12,31)-161</f>
        <v>41113</v>
      </c>
      <c r="J5327" s="15" t="s">
        <v>30</v>
      </c>
      <c r="K5327" s="9">
        <v>20</v>
      </c>
      <c r="L5327" s="16" t="s">
        <v>29</v>
      </c>
      <c r="M5327" s="16">
        <f t="shared" si="501"/>
        <v>-0.38478275585780503</v>
      </c>
      <c r="N5327">
        <f t="shared" si="502"/>
        <v>0</v>
      </c>
      <c r="O5327">
        <f t="shared" si="503"/>
        <v>0</v>
      </c>
      <c r="P5327">
        <f t="shared" si="500"/>
        <v>4400</v>
      </c>
      <c r="Q5327">
        <f t="shared" si="504"/>
        <v>4400</v>
      </c>
      <c r="T5327" s="16">
        <f t="shared" si="505"/>
        <v>-0.38478275585780541</v>
      </c>
    </row>
    <row r="5328" spans="7:20" ht="14.4" x14ac:dyDescent="0.25">
      <c r="G5328" s="10">
        <v>8076</v>
      </c>
      <c r="H5328" s="9">
        <v>57602</v>
      </c>
      <c r="I5328" s="14">
        <f>DATE(2012,12,31)-228</f>
        <v>41046</v>
      </c>
      <c r="J5328" s="15" t="s">
        <v>25</v>
      </c>
      <c r="K5328" s="9">
        <v>43</v>
      </c>
      <c r="L5328" s="16" t="s">
        <v>26</v>
      </c>
      <c r="M5328" s="16">
        <f t="shared" si="501"/>
        <v>1.203592106384288</v>
      </c>
      <c r="N5328">
        <f t="shared" si="502"/>
        <v>0</v>
      </c>
      <c r="O5328">
        <f t="shared" si="503"/>
        <v>0</v>
      </c>
      <c r="P5328">
        <f t="shared" si="500"/>
        <v>5550</v>
      </c>
      <c r="Q5328">
        <f t="shared" si="504"/>
        <v>5550</v>
      </c>
      <c r="T5328" s="16">
        <f t="shared" si="505"/>
        <v>1.2035921063842876</v>
      </c>
    </row>
    <row r="5329" spans="7:20" ht="14.4" x14ac:dyDescent="0.25">
      <c r="G5329" s="10">
        <v>8112</v>
      </c>
      <c r="H5329" s="9">
        <v>57921</v>
      </c>
      <c r="I5329" s="14">
        <f>DATE(2012,12,31)-866</f>
        <v>40408</v>
      </c>
      <c r="J5329" s="15" t="s">
        <v>16</v>
      </c>
      <c r="K5329" s="9">
        <v>8</v>
      </c>
      <c r="L5329" s="16" t="s">
        <v>27</v>
      </c>
      <c r="M5329" s="16">
        <f t="shared" si="501"/>
        <v>-1.2135000752884624</v>
      </c>
      <c r="N5329">
        <f t="shared" si="502"/>
        <v>0</v>
      </c>
      <c r="O5329">
        <f t="shared" si="503"/>
        <v>0</v>
      </c>
      <c r="P5329">
        <f t="shared" si="500"/>
        <v>3800</v>
      </c>
      <c r="Q5329">
        <f t="shared" si="504"/>
        <v>3800</v>
      </c>
      <c r="T5329" s="16">
        <f t="shared" si="505"/>
        <v>-1.2135000752884626</v>
      </c>
    </row>
    <row r="5330" spans="7:20" ht="14.4" x14ac:dyDescent="0.25">
      <c r="G5330" s="10">
        <v>8113</v>
      </c>
      <c r="H5330" s="9">
        <v>57921</v>
      </c>
      <c r="I5330" s="14">
        <f>DATE(2012,12,31)-866</f>
        <v>40408</v>
      </c>
      <c r="J5330" s="15" t="s">
        <v>16</v>
      </c>
      <c r="K5330" s="9">
        <v>7</v>
      </c>
      <c r="L5330" s="16" t="s">
        <v>26</v>
      </c>
      <c r="M5330" s="16">
        <f t="shared" si="501"/>
        <v>-1.2825598519076837</v>
      </c>
      <c r="N5330">
        <f t="shared" si="502"/>
        <v>0</v>
      </c>
      <c r="O5330">
        <f t="shared" si="503"/>
        <v>0</v>
      </c>
      <c r="P5330">
        <f t="shared" si="500"/>
        <v>3750</v>
      </c>
      <c r="Q5330">
        <f t="shared" si="504"/>
        <v>3750</v>
      </c>
      <c r="T5330" s="16">
        <f t="shared" si="505"/>
        <v>-1.2825598519076842</v>
      </c>
    </row>
    <row r="5331" spans="7:20" ht="14.4" x14ac:dyDescent="0.25">
      <c r="G5331" s="10">
        <v>8115</v>
      </c>
      <c r="H5331" s="9">
        <v>57958</v>
      </c>
      <c r="I5331" s="14">
        <f>DATE(2012,12,31)-1402</f>
        <v>39872</v>
      </c>
      <c r="J5331" s="15" t="s">
        <v>30</v>
      </c>
      <c r="K5331" s="9">
        <v>46</v>
      </c>
      <c r="L5331" s="16" t="s">
        <v>26</v>
      </c>
      <c r="M5331" s="16">
        <f t="shared" si="501"/>
        <v>1.4107714362419523</v>
      </c>
      <c r="N5331">
        <f t="shared" si="502"/>
        <v>0</v>
      </c>
      <c r="O5331">
        <f t="shared" si="503"/>
        <v>0</v>
      </c>
      <c r="P5331">
        <f t="shared" si="500"/>
        <v>5700</v>
      </c>
      <c r="Q5331">
        <f t="shared" si="504"/>
        <v>5700</v>
      </c>
      <c r="T5331" s="16">
        <f t="shared" si="505"/>
        <v>1.4107714362419519</v>
      </c>
    </row>
    <row r="5332" spans="7:20" ht="14.4" x14ac:dyDescent="0.25">
      <c r="G5332" s="10">
        <v>8127</v>
      </c>
      <c r="H5332" s="9">
        <v>58086</v>
      </c>
      <c r="I5332" s="14">
        <f>DATE(2012,12,31)-662</f>
        <v>40612</v>
      </c>
      <c r="J5332" s="15" t="s">
        <v>16</v>
      </c>
      <c r="K5332" s="9">
        <v>27</v>
      </c>
      <c r="L5332" s="16" t="s">
        <v>26</v>
      </c>
      <c r="M5332" s="16">
        <f t="shared" si="501"/>
        <v>9.8635680476745008E-2</v>
      </c>
      <c r="N5332">
        <f t="shared" si="502"/>
        <v>0</v>
      </c>
      <c r="O5332">
        <f t="shared" si="503"/>
        <v>0</v>
      </c>
      <c r="P5332">
        <f t="shared" si="500"/>
        <v>4750</v>
      </c>
      <c r="Q5332">
        <f t="shared" si="504"/>
        <v>4750</v>
      </c>
      <c r="T5332" s="16">
        <f t="shared" si="505"/>
        <v>9.8635680476744619E-2</v>
      </c>
    </row>
    <row r="5333" spans="7:20" ht="14.4" x14ac:dyDescent="0.25">
      <c r="G5333" s="10">
        <v>8128</v>
      </c>
      <c r="H5333" s="9">
        <v>58086</v>
      </c>
      <c r="I5333" s="14">
        <f>DATE(2012,12,31)-662</f>
        <v>40612</v>
      </c>
      <c r="J5333" s="15" t="s">
        <v>16</v>
      </c>
      <c r="K5333" s="9">
        <v>31</v>
      </c>
      <c r="L5333" s="16" t="s">
        <v>26</v>
      </c>
      <c r="M5333" s="16">
        <f t="shared" si="501"/>
        <v>0.37487478695363075</v>
      </c>
      <c r="N5333">
        <f t="shared" si="502"/>
        <v>0</v>
      </c>
      <c r="O5333">
        <f t="shared" si="503"/>
        <v>0</v>
      </c>
      <c r="P5333">
        <f t="shared" si="500"/>
        <v>4950</v>
      </c>
      <c r="Q5333">
        <f t="shared" si="504"/>
        <v>4950</v>
      </c>
      <c r="T5333" s="16">
        <f t="shared" si="505"/>
        <v>0.37487478695363036</v>
      </c>
    </row>
    <row r="5334" spans="7:20" ht="14.4" x14ac:dyDescent="0.25">
      <c r="G5334" s="10">
        <v>8141</v>
      </c>
      <c r="H5334" s="9">
        <v>58182</v>
      </c>
      <c r="I5334" s="14">
        <f>DATE(2012,12,31)-1410</f>
        <v>39864</v>
      </c>
      <c r="J5334" s="15" t="s">
        <v>17</v>
      </c>
      <c r="K5334" s="9">
        <v>24</v>
      </c>
      <c r="L5334" s="16" t="s">
        <v>29</v>
      </c>
      <c r="M5334" s="16">
        <f t="shared" si="501"/>
        <v>-0.1085436493809193</v>
      </c>
      <c r="N5334">
        <f t="shared" si="502"/>
        <v>0</v>
      </c>
      <c r="O5334">
        <f t="shared" si="503"/>
        <v>0</v>
      </c>
      <c r="P5334">
        <f t="shared" si="500"/>
        <v>4600</v>
      </c>
      <c r="Q5334">
        <f t="shared" si="504"/>
        <v>4600</v>
      </c>
      <c r="T5334" s="16">
        <f t="shared" si="505"/>
        <v>-0.10854364938091969</v>
      </c>
    </row>
    <row r="5335" spans="7:20" ht="14.4" x14ac:dyDescent="0.25">
      <c r="G5335" s="10">
        <v>8160</v>
      </c>
      <c r="H5335" s="9">
        <v>58342</v>
      </c>
      <c r="I5335" s="14">
        <f>DATE(2012,12,31)-640</f>
        <v>40634</v>
      </c>
      <c r="J5335" s="15" t="s">
        <v>17</v>
      </c>
      <c r="K5335" s="9">
        <v>40</v>
      </c>
      <c r="L5335" s="16" t="s">
        <v>27</v>
      </c>
      <c r="M5335" s="16">
        <f t="shared" si="501"/>
        <v>0.99641277652662363</v>
      </c>
      <c r="N5335">
        <f t="shared" si="502"/>
        <v>0</v>
      </c>
      <c r="O5335">
        <f t="shared" si="503"/>
        <v>0</v>
      </c>
      <c r="P5335">
        <f t="shared" si="500"/>
        <v>5400</v>
      </c>
      <c r="Q5335">
        <f t="shared" si="504"/>
        <v>5400</v>
      </c>
      <c r="T5335" s="16">
        <f t="shared" si="505"/>
        <v>0.9964127765266233</v>
      </c>
    </row>
    <row r="5336" spans="7:20" ht="14.4" x14ac:dyDescent="0.25">
      <c r="G5336" s="10">
        <v>8279</v>
      </c>
      <c r="H5336" s="9">
        <v>59174</v>
      </c>
      <c r="I5336" s="14">
        <f>DATE(2012,12,31)-1095</f>
        <v>40179</v>
      </c>
      <c r="J5336" s="15" t="s">
        <v>16</v>
      </c>
      <c r="K5336" s="9">
        <v>6</v>
      </c>
      <c r="L5336" s="16" t="s">
        <v>27</v>
      </c>
      <c r="M5336" s="16">
        <f t="shared" si="501"/>
        <v>-1.3516196285269051</v>
      </c>
      <c r="N5336">
        <f t="shared" si="502"/>
        <v>0</v>
      </c>
      <c r="O5336">
        <f t="shared" si="503"/>
        <v>0</v>
      </c>
      <c r="P5336">
        <f t="shared" si="500"/>
        <v>3700</v>
      </c>
      <c r="Q5336">
        <f t="shared" si="504"/>
        <v>3700</v>
      </c>
      <c r="T5336" s="16">
        <f t="shared" si="505"/>
        <v>-1.3516196285269055</v>
      </c>
    </row>
    <row r="5337" spans="7:20" ht="14.4" x14ac:dyDescent="0.25">
      <c r="G5337" s="10">
        <v>8308</v>
      </c>
      <c r="H5337" s="9">
        <v>59361</v>
      </c>
      <c r="I5337" s="14">
        <f>DATE(2012,12,31)-124</f>
        <v>41150</v>
      </c>
      <c r="J5337" s="15" t="s">
        <v>17</v>
      </c>
      <c r="K5337" s="9">
        <v>45</v>
      </c>
      <c r="L5337" s="16" t="s">
        <v>27</v>
      </c>
      <c r="M5337" s="16">
        <f t="shared" si="501"/>
        <v>1.3417116596227308</v>
      </c>
      <c r="N5337">
        <f t="shared" si="502"/>
        <v>0</v>
      </c>
      <c r="O5337">
        <f t="shared" si="503"/>
        <v>0</v>
      </c>
      <c r="P5337">
        <f t="shared" si="500"/>
        <v>5650</v>
      </c>
      <c r="Q5337">
        <f t="shared" si="504"/>
        <v>5650</v>
      </c>
      <c r="T5337" s="16">
        <f t="shared" si="505"/>
        <v>1.3417116596227305</v>
      </c>
    </row>
    <row r="5338" spans="7:20" ht="14.4" x14ac:dyDescent="0.25">
      <c r="G5338" s="10">
        <v>8310</v>
      </c>
      <c r="H5338" s="9">
        <v>59365</v>
      </c>
      <c r="I5338" s="14">
        <f>DATE(2012,12,31)-1120</f>
        <v>40154</v>
      </c>
      <c r="J5338" s="15" t="s">
        <v>16</v>
      </c>
      <c r="K5338" s="9">
        <v>1</v>
      </c>
      <c r="L5338" s="16" t="s">
        <v>27</v>
      </c>
      <c r="M5338" s="16">
        <f t="shared" si="501"/>
        <v>-1.6969185116230123</v>
      </c>
      <c r="N5338">
        <f t="shared" si="502"/>
        <v>0</v>
      </c>
      <c r="O5338">
        <f t="shared" si="503"/>
        <v>0</v>
      </c>
      <c r="P5338">
        <f t="shared" si="500"/>
        <v>3450</v>
      </c>
      <c r="Q5338">
        <f t="shared" si="504"/>
        <v>3450</v>
      </c>
      <c r="T5338" s="16">
        <f t="shared" si="505"/>
        <v>-1.6969185116230128</v>
      </c>
    </row>
    <row r="5339" spans="7:20" ht="14.4" x14ac:dyDescent="0.25">
      <c r="G5339" s="10">
        <v>8326</v>
      </c>
      <c r="H5339" s="9">
        <v>59492</v>
      </c>
      <c r="I5339" s="14">
        <f>DATE(2012,12,31)-61</f>
        <v>41213</v>
      </c>
      <c r="J5339" s="15" t="s">
        <v>28</v>
      </c>
      <c r="K5339" s="9">
        <v>25</v>
      </c>
      <c r="L5339" s="16" t="s">
        <v>26</v>
      </c>
      <c r="M5339" s="16">
        <f t="shared" si="501"/>
        <v>-3.9483872761697868E-2</v>
      </c>
      <c r="N5339">
        <f t="shared" si="502"/>
        <v>0</v>
      </c>
      <c r="O5339">
        <f t="shared" si="503"/>
        <v>0</v>
      </c>
      <c r="P5339">
        <f t="shared" si="500"/>
        <v>4650</v>
      </c>
      <c r="Q5339">
        <f t="shared" si="504"/>
        <v>4650</v>
      </c>
      <c r="T5339" s="16">
        <f t="shared" si="505"/>
        <v>-3.9483872761698249E-2</v>
      </c>
    </row>
    <row r="5340" spans="7:20" ht="14.4" x14ac:dyDescent="0.25">
      <c r="G5340" s="10">
        <v>8350</v>
      </c>
      <c r="H5340" s="9">
        <v>59684</v>
      </c>
      <c r="I5340" s="14">
        <f>DATE(2012,12,31)-733</f>
        <v>40541</v>
      </c>
      <c r="J5340" s="15" t="s">
        <v>16</v>
      </c>
      <c r="K5340" s="9">
        <v>50</v>
      </c>
      <c r="L5340" s="16" t="s">
        <v>26</v>
      </c>
      <c r="M5340" s="16">
        <f t="shared" si="501"/>
        <v>1.687010542718838</v>
      </c>
      <c r="N5340">
        <f t="shared" si="502"/>
        <v>0</v>
      </c>
      <c r="O5340">
        <f t="shared" si="503"/>
        <v>0</v>
      </c>
      <c r="P5340">
        <f t="shared" si="500"/>
        <v>5900</v>
      </c>
      <c r="Q5340">
        <f t="shared" si="504"/>
        <v>5900</v>
      </c>
      <c r="T5340" s="16">
        <f t="shared" si="505"/>
        <v>1.6870105427188375</v>
      </c>
    </row>
    <row r="5341" spans="7:20" ht="14.4" x14ac:dyDescent="0.25">
      <c r="G5341" s="10">
        <v>8351</v>
      </c>
      <c r="H5341" s="9">
        <v>59684</v>
      </c>
      <c r="I5341" s="14">
        <f>DATE(2012,12,31)-733</f>
        <v>40541</v>
      </c>
      <c r="J5341" s="15" t="s">
        <v>16</v>
      </c>
      <c r="K5341" s="9">
        <v>41</v>
      </c>
      <c r="L5341" s="16" t="s">
        <v>27</v>
      </c>
      <c r="M5341" s="16">
        <f t="shared" si="501"/>
        <v>1.0654725531458451</v>
      </c>
      <c r="N5341">
        <f t="shared" si="502"/>
        <v>0</v>
      </c>
      <c r="O5341">
        <f t="shared" si="503"/>
        <v>0</v>
      </c>
      <c r="P5341">
        <f t="shared" si="500"/>
        <v>5450</v>
      </c>
      <c r="Q5341">
        <f t="shared" si="504"/>
        <v>5450</v>
      </c>
      <c r="T5341" s="16">
        <f t="shared" si="505"/>
        <v>1.0654725531458447</v>
      </c>
    </row>
    <row r="5342" spans="7:20" ht="14.4" x14ac:dyDescent="0.25">
      <c r="G5342" s="10">
        <v>8352</v>
      </c>
      <c r="H5342" s="9">
        <v>59684</v>
      </c>
      <c r="I5342" s="14">
        <f>DATE(2012,12,31)-733</f>
        <v>40541</v>
      </c>
      <c r="J5342" s="15" t="s">
        <v>16</v>
      </c>
      <c r="K5342" s="9">
        <v>3</v>
      </c>
      <c r="L5342" s="16" t="s">
        <v>26</v>
      </c>
      <c r="M5342" s="16">
        <f t="shared" si="501"/>
        <v>-1.5587989583845694</v>
      </c>
      <c r="N5342">
        <f t="shared" si="502"/>
        <v>0</v>
      </c>
      <c r="O5342">
        <f t="shared" si="503"/>
        <v>0</v>
      </c>
      <c r="P5342">
        <f t="shared" si="500"/>
        <v>3550</v>
      </c>
      <c r="Q5342">
        <f t="shared" si="504"/>
        <v>3550</v>
      </c>
      <c r="T5342" s="16">
        <f t="shared" si="505"/>
        <v>-1.5587989583845698</v>
      </c>
    </row>
    <row r="5343" spans="7:20" ht="14.4" x14ac:dyDescent="0.25">
      <c r="G5343" s="10">
        <v>8353</v>
      </c>
      <c r="H5343" s="9">
        <v>59684</v>
      </c>
      <c r="I5343" s="14">
        <f>DATE(2012,12,31)-733</f>
        <v>40541</v>
      </c>
      <c r="J5343" s="15" t="s">
        <v>16</v>
      </c>
      <c r="K5343" s="9">
        <v>25</v>
      </c>
      <c r="L5343" s="16" t="s">
        <v>26</v>
      </c>
      <c r="M5343" s="16">
        <f t="shared" si="501"/>
        <v>-3.9483872761697868E-2</v>
      </c>
      <c r="N5343">
        <f t="shared" si="502"/>
        <v>0</v>
      </c>
      <c r="O5343">
        <f t="shared" si="503"/>
        <v>0</v>
      </c>
      <c r="P5343">
        <f t="shared" si="500"/>
        <v>4650</v>
      </c>
      <c r="Q5343">
        <f t="shared" si="504"/>
        <v>4650</v>
      </c>
      <c r="T5343" s="16">
        <f t="shared" si="505"/>
        <v>-3.9483872761698249E-2</v>
      </c>
    </row>
    <row r="5344" spans="7:20" ht="14.4" x14ac:dyDescent="0.25">
      <c r="G5344" s="10">
        <v>38</v>
      </c>
      <c r="H5344" s="9">
        <v>229</v>
      </c>
      <c r="I5344" s="14">
        <f>DATE(2012,12,31)-734</f>
        <v>40540</v>
      </c>
      <c r="J5344" s="15" t="s">
        <v>30</v>
      </c>
      <c r="K5344" s="9">
        <v>24</v>
      </c>
      <c r="L5344" s="16" t="s">
        <v>26</v>
      </c>
      <c r="M5344" s="16">
        <f t="shared" si="501"/>
        <v>-0.1085436493809193</v>
      </c>
      <c r="N5344">
        <f t="shared" si="502"/>
        <v>0</v>
      </c>
      <c r="O5344">
        <f t="shared" si="503"/>
        <v>0</v>
      </c>
      <c r="P5344">
        <f t="shared" si="500"/>
        <v>4600</v>
      </c>
      <c r="Q5344">
        <f t="shared" si="504"/>
        <v>4600</v>
      </c>
      <c r="T5344" s="16">
        <f t="shared" si="505"/>
        <v>-0.10854364938091969</v>
      </c>
    </row>
    <row r="5345" spans="7:20" ht="14.4" x14ac:dyDescent="0.25">
      <c r="G5345" s="10">
        <v>82</v>
      </c>
      <c r="H5345" s="9">
        <v>512</v>
      </c>
      <c r="I5345" s="14">
        <f>DATE(2012,12,31)-592</f>
        <v>40682</v>
      </c>
      <c r="J5345" s="15" t="s">
        <v>25</v>
      </c>
      <c r="K5345" s="9">
        <v>6</v>
      </c>
      <c r="L5345" s="16" t="s">
        <v>29</v>
      </c>
      <c r="M5345" s="16">
        <f t="shared" si="501"/>
        <v>-1.3516196285269051</v>
      </c>
      <c r="N5345">
        <f t="shared" si="502"/>
        <v>0</v>
      </c>
      <c r="O5345">
        <f t="shared" si="503"/>
        <v>0</v>
      </c>
      <c r="P5345">
        <f t="shared" si="500"/>
        <v>3700</v>
      </c>
      <c r="Q5345">
        <f t="shared" si="504"/>
        <v>3700</v>
      </c>
      <c r="T5345" s="16">
        <f t="shared" si="505"/>
        <v>-1.3516196285269055</v>
      </c>
    </row>
    <row r="5346" spans="7:20" ht="14.4" x14ac:dyDescent="0.25">
      <c r="G5346" s="10">
        <v>83</v>
      </c>
      <c r="H5346" s="9">
        <v>512</v>
      </c>
      <c r="I5346" s="14">
        <f>DATE(2012,12,31)-592</f>
        <v>40682</v>
      </c>
      <c r="J5346" s="15" t="s">
        <v>25</v>
      </c>
      <c r="K5346" s="9">
        <v>48</v>
      </c>
      <c r="L5346" s="16" t="s">
        <v>26</v>
      </c>
      <c r="M5346" s="16">
        <f t="shared" si="501"/>
        <v>1.5488909894803951</v>
      </c>
      <c r="N5346">
        <f t="shared" si="502"/>
        <v>0</v>
      </c>
      <c r="O5346">
        <f t="shared" si="503"/>
        <v>0</v>
      </c>
      <c r="P5346">
        <f t="shared" si="500"/>
        <v>5800</v>
      </c>
      <c r="Q5346">
        <f t="shared" si="504"/>
        <v>5800</v>
      </c>
      <c r="T5346" s="16">
        <f t="shared" si="505"/>
        <v>1.5488909894803948</v>
      </c>
    </row>
    <row r="5347" spans="7:20" ht="14.4" x14ac:dyDescent="0.25">
      <c r="G5347" s="10">
        <v>197</v>
      </c>
      <c r="H5347" s="9">
        <v>1287</v>
      </c>
      <c r="I5347" s="14">
        <f>DATE(2012,12,31)-1276</f>
        <v>39998</v>
      </c>
      <c r="J5347" s="15" t="s">
        <v>17</v>
      </c>
      <c r="K5347" s="9">
        <v>39</v>
      </c>
      <c r="L5347" s="16" t="s">
        <v>29</v>
      </c>
      <c r="M5347" s="16">
        <f t="shared" si="501"/>
        <v>0.92735299990740228</v>
      </c>
      <c r="N5347">
        <f t="shared" si="502"/>
        <v>0</v>
      </c>
      <c r="O5347">
        <f t="shared" si="503"/>
        <v>0</v>
      </c>
      <c r="P5347">
        <f t="shared" si="500"/>
        <v>5350</v>
      </c>
      <c r="Q5347">
        <f t="shared" si="504"/>
        <v>5350</v>
      </c>
      <c r="T5347" s="16">
        <f t="shared" si="505"/>
        <v>0.92735299990740183</v>
      </c>
    </row>
    <row r="5348" spans="7:20" ht="14.4" x14ac:dyDescent="0.25">
      <c r="G5348" s="10">
        <v>277</v>
      </c>
      <c r="H5348" s="9">
        <v>1895</v>
      </c>
      <c r="I5348" s="14">
        <f>DATE(2012,12,31)-1312</f>
        <v>39962</v>
      </c>
      <c r="J5348" s="15" t="s">
        <v>16</v>
      </c>
      <c r="K5348" s="9">
        <v>5</v>
      </c>
      <c r="L5348" s="16" t="s">
        <v>26</v>
      </c>
      <c r="M5348" s="16">
        <f t="shared" si="501"/>
        <v>-1.4206794051461267</v>
      </c>
      <c r="N5348">
        <f t="shared" si="502"/>
        <v>0</v>
      </c>
      <c r="O5348">
        <f t="shared" si="503"/>
        <v>0</v>
      </c>
      <c r="P5348">
        <f t="shared" si="500"/>
        <v>3650</v>
      </c>
      <c r="Q5348">
        <f t="shared" si="504"/>
        <v>3650</v>
      </c>
      <c r="T5348" s="16">
        <f t="shared" si="505"/>
        <v>-1.4206794051461269</v>
      </c>
    </row>
    <row r="5349" spans="7:20" ht="14.4" x14ac:dyDescent="0.25">
      <c r="G5349" s="10">
        <v>290</v>
      </c>
      <c r="H5349" s="9">
        <v>2023</v>
      </c>
      <c r="I5349" s="14">
        <f>DATE(2012,12,31)-240</f>
        <v>41034</v>
      </c>
      <c r="J5349" s="15" t="s">
        <v>25</v>
      </c>
      <c r="K5349" s="9">
        <v>4</v>
      </c>
      <c r="L5349" s="16" t="s">
        <v>27</v>
      </c>
      <c r="M5349" s="16">
        <f t="shared" si="501"/>
        <v>-1.489739181765348</v>
      </c>
      <c r="N5349">
        <f t="shared" si="502"/>
        <v>0</v>
      </c>
      <c r="O5349">
        <f t="shared" si="503"/>
        <v>0</v>
      </c>
      <c r="P5349">
        <f t="shared" si="500"/>
        <v>3600</v>
      </c>
      <c r="Q5349">
        <f t="shared" si="504"/>
        <v>3600</v>
      </c>
      <c r="T5349" s="16">
        <f t="shared" si="505"/>
        <v>-1.4897391817653485</v>
      </c>
    </row>
    <row r="5350" spans="7:20" ht="14.4" x14ac:dyDescent="0.25">
      <c r="G5350" s="10">
        <v>291</v>
      </c>
      <c r="H5350" s="9">
        <v>2023</v>
      </c>
      <c r="I5350" s="14">
        <f>DATE(2012,12,31)-240</f>
        <v>41034</v>
      </c>
      <c r="J5350" s="15" t="s">
        <v>25</v>
      </c>
      <c r="K5350" s="9">
        <v>50</v>
      </c>
      <c r="L5350" s="16" t="s">
        <v>26</v>
      </c>
      <c r="M5350" s="16">
        <f t="shared" si="501"/>
        <v>1.687010542718838</v>
      </c>
      <c r="N5350">
        <f t="shared" si="502"/>
        <v>0</v>
      </c>
      <c r="O5350">
        <f t="shared" si="503"/>
        <v>0</v>
      </c>
      <c r="P5350">
        <f t="shared" si="500"/>
        <v>5900</v>
      </c>
      <c r="Q5350">
        <f t="shared" si="504"/>
        <v>5900</v>
      </c>
      <c r="T5350" s="16">
        <f t="shared" si="505"/>
        <v>1.6870105427188375</v>
      </c>
    </row>
    <row r="5351" spans="7:20" ht="14.4" x14ac:dyDescent="0.25">
      <c r="G5351" s="10">
        <v>372</v>
      </c>
      <c r="H5351" s="9">
        <v>2593</v>
      </c>
      <c r="I5351" s="14">
        <f>DATE(2012,12,31)-850</f>
        <v>40424</v>
      </c>
      <c r="J5351" s="15" t="s">
        <v>17</v>
      </c>
      <c r="K5351" s="9">
        <v>5</v>
      </c>
      <c r="L5351" s="16" t="s">
        <v>26</v>
      </c>
      <c r="M5351" s="16">
        <f t="shared" si="501"/>
        <v>-1.4206794051461267</v>
      </c>
      <c r="N5351">
        <f t="shared" si="502"/>
        <v>0</v>
      </c>
      <c r="O5351">
        <f t="shared" si="503"/>
        <v>0</v>
      </c>
      <c r="P5351">
        <f t="shared" si="500"/>
        <v>3650</v>
      </c>
      <c r="Q5351">
        <f t="shared" si="504"/>
        <v>3650</v>
      </c>
      <c r="T5351" s="16">
        <f t="shared" si="505"/>
        <v>-1.4206794051461269</v>
      </c>
    </row>
    <row r="5352" spans="7:20" ht="14.4" x14ac:dyDescent="0.25">
      <c r="G5352" s="10">
        <v>373</v>
      </c>
      <c r="H5352" s="9">
        <v>2593</v>
      </c>
      <c r="I5352" s="14">
        <f>DATE(2012,12,31)-850</f>
        <v>40424</v>
      </c>
      <c r="J5352" s="15" t="s">
        <v>17</v>
      </c>
      <c r="K5352" s="9">
        <v>15</v>
      </c>
      <c r="L5352" s="16" t="s">
        <v>29</v>
      </c>
      <c r="M5352" s="16">
        <f t="shared" si="501"/>
        <v>-0.7300816389539122</v>
      </c>
      <c r="N5352">
        <f t="shared" si="502"/>
        <v>0</v>
      </c>
      <c r="O5352">
        <f t="shared" si="503"/>
        <v>0</v>
      </c>
      <c r="P5352">
        <f t="shared" si="500"/>
        <v>4150</v>
      </c>
      <c r="Q5352">
        <f t="shared" si="504"/>
        <v>4150</v>
      </c>
      <c r="T5352" s="16">
        <f t="shared" si="505"/>
        <v>-0.73008163895391265</v>
      </c>
    </row>
    <row r="5353" spans="7:20" ht="14.4" x14ac:dyDescent="0.25">
      <c r="G5353" s="10">
        <v>501</v>
      </c>
      <c r="H5353" s="9">
        <v>3461</v>
      </c>
      <c r="I5353" s="14">
        <f>DATE(2012,12,31)-1066</f>
        <v>40208</v>
      </c>
      <c r="J5353" s="15" t="s">
        <v>30</v>
      </c>
      <c r="K5353" s="9">
        <v>47</v>
      </c>
      <c r="L5353" s="16" t="s">
        <v>27</v>
      </c>
      <c r="M5353" s="16">
        <f t="shared" si="501"/>
        <v>1.4798312128611737</v>
      </c>
      <c r="N5353">
        <f t="shared" si="502"/>
        <v>0</v>
      </c>
      <c r="O5353">
        <f t="shared" si="503"/>
        <v>0</v>
      </c>
      <c r="P5353">
        <f t="shared" si="500"/>
        <v>5750</v>
      </c>
      <c r="Q5353">
        <f t="shared" si="504"/>
        <v>5750</v>
      </c>
      <c r="T5353" s="16">
        <f t="shared" si="505"/>
        <v>1.4798312128611733</v>
      </c>
    </row>
    <row r="5354" spans="7:20" ht="14.4" x14ac:dyDescent="0.25">
      <c r="G5354" s="10">
        <v>502</v>
      </c>
      <c r="H5354" s="9">
        <v>3461</v>
      </c>
      <c r="I5354" s="14">
        <f>DATE(2012,12,31)-1066</f>
        <v>40208</v>
      </c>
      <c r="J5354" s="15" t="s">
        <v>30</v>
      </c>
      <c r="K5354" s="9">
        <v>35</v>
      </c>
      <c r="L5354" s="16" t="s">
        <v>27</v>
      </c>
      <c r="M5354" s="16">
        <f t="shared" si="501"/>
        <v>0.65111389343051651</v>
      </c>
      <c r="N5354">
        <f t="shared" si="502"/>
        <v>0</v>
      </c>
      <c r="O5354">
        <f t="shared" si="503"/>
        <v>0</v>
      </c>
      <c r="P5354">
        <f t="shared" si="500"/>
        <v>5150</v>
      </c>
      <c r="Q5354">
        <f t="shared" si="504"/>
        <v>5150</v>
      </c>
      <c r="T5354" s="16">
        <f t="shared" si="505"/>
        <v>0.65111389343051607</v>
      </c>
    </row>
    <row r="5355" spans="7:20" ht="14.4" x14ac:dyDescent="0.25">
      <c r="G5355" s="10">
        <v>517</v>
      </c>
      <c r="H5355" s="9">
        <v>3554</v>
      </c>
      <c r="I5355" s="14">
        <f>DATE(2012,12,31)-564</f>
        <v>40710</v>
      </c>
      <c r="J5355" s="15" t="s">
        <v>25</v>
      </c>
      <c r="K5355" s="9">
        <v>25</v>
      </c>
      <c r="L5355" s="16" t="s">
        <v>26</v>
      </c>
      <c r="M5355" s="16">
        <f t="shared" si="501"/>
        <v>-3.9483872761697868E-2</v>
      </c>
      <c r="N5355">
        <f t="shared" si="502"/>
        <v>0</v>
      </c>
      <c r="O5355">
        <f t="shared" si="503"/>
        <v>0</v>
      </c>
      <c r="P5355">
        <f t="shared" si="500"/>
        <v>4650</v>
      </c>
      <c r="Q5355">
        <f t="shared" si="504"/>
        <v>4650</v>
      </c>
      <c r="T5355" s="16">
        <f t="shared" si="505"/>
        <v>-3.9483872761698249E-2</v>
      </c>
    </row>
    <row r="5356" spans="7:20" ht="14.4" x14ac:dyDescent="0.25">
      <c r="G5356" s="10">
        <v>610</v>
      </c>
      <c r="H5356" s="9">
        <v>4166</v>
      </c>
      <c r="I5356" s="14">
        <f>DATE(2012,12,31)-1038</f>
        <v>40236</v>
      </c>
      <c r="J5356" s="15" t="s">
        <v>25</v>
      </c>
      <c r="K5356" s="9">
        <v>19</v>
      </c>
      <c r="L5356" s="16" t="s">
        <v>26</v>
      </c>
      <c r="M5356" s="16">
        <f t="shared" si="501"/>
        <v>-0.45384253247702649</v>
      </c>
      <c r="N5356">
        <f t="shared" si="502"/>
        <v>0</v>
      </c>
      <c r="O5356">
        <f t="shared" si="503"/>
        <v>0</v>
      </c>
      <c r="P5356">
        <f t="shared" si="500"/>
        <v>4350</v>
      </c>
      <c r="Q5356">
        <f t="shared" si="504"/>
        <v>4350</v>
      </c>
      <c r="T5356" s="16">
        <f t="shared" si="505"/>
        <v>-0.45384253247702688</v>
      </c>
    </row>
    <row r="5357" spans="7:20" ht="14.4" x14ac:dyDescent="0.25">
      <c r="G5357" s="10">
        <v>712</v>
      </c>
      <c r="H5357" s="9">
        <v>5059</v>
      </c>
      <c r="I5357" s="14">
        <f>DATE(2012,12,31)-783</f>
        <v>40491</v>
      </c>
      <c r="J5357" s="15" t="s">
        <v>17</v>
      </c>
      <c r="K5357" s="9">
        <v>5</v>
      </c>
      <c r="L5357" s="16" t="s">
        <v>26</v>
      </c>
      <c r="M5357" s="16">
        <f t="shared" si="501"/>
        <v>-1.4206794051461267</v>
      </c>
      <c r="N5357">
        <f t="shared" si="502"/>
        <v>0</v>
      </c>
      <c r="O5357">
        <f t="shared" si="503"/>
        <v>0</v>
      </c>
      <c r="P5357">
        <f t="shared" si="500"/>
        <v>3650</v>
      </c>
      <c r="Q5357">
        <f t="shared" si="504"/>
        <v>3650</v>
      </c>
      <c r="T5357" s="16">
        <f t="shared" si="505"/>
        <v>-1.4206794051461269</v>
      </c>
    </row>
    <row r="5358" spans="7:20" ht="14.4" x14ac:dyDescent="0.25">
      <c r="G5358" s="10">
        <v>730</v>
      </c>
      <c r="H5358" s="9">
        <v>5254</v>
      </c>
      <c r="I5358" s="14">
        <f>DATE(2012,12,31)-159</f>
        <v>41115</v>
      </c>
      <c r="J5358" s="15" t="s">
        <v>28</v>
      </c>
      <c r="K5358" s="9">
        <v>31</v>
      </c>
      <c r="L5358" s="16" t="s">
        <v>27</v>
      </c>
      <c r="M5358" s="16">
        <f t="shared" si="501"/>
        <v>0.37487478695363075</v>
      </c>
      <c r="N5358">
        <f t="shared" si="502"/>
        <v>0</v>
      </c>
      <c r="O5358">
        <f t="shared" si="503"/>
        <v>0</v>
      </c>
      <c r="P5358">
        <f t="shared" si="500"/>
        <v>4950</v>
      </c>
      <c r="Q5358">
        <f t="shared" si="504"/>
        <v>4950</v>
      </c>
      <c r="T5358" s="16">
        <f t="shared" si="505"/>
        <v>0.37487478695363036</v>
      </c>
    </row>
    <row r="5359" spans="7:20" ht="14.4" x14ac:dyDescent="0.25">
      <c r="G5359" s="10">
        <v>784</v>
      </c>
      <c r="H5359" s="9">
        <v>5575</v>
      </c>
      <c r="I5359" s="14">
        <f>DATE(2012,12,31)-527</f>
        <v>40747</v>
      </c>
      <c r="J5359" s="15" t="s">
        <v>25</v>
      </c>
      <c r="K5359" s="9">
        <v>41</v>
      </c>
      <c r="L5359" s="16" t="s">
        <v>26</v>
      </c>
      <c r="M5359" s="16">
        <f t="shared" si="501"/>
        <v>1.0654725531458451</v>
      </c>
      <c r="N5359">
        <f t="shared" si="502"/>
        <v>0</v>
      </c>
      <c r="O5359">
        <f t="shared" si="503"/>
        <v>0</v>
      </c>
      <c r="P5359">
        <f t="shared" si="500"/>
        <v>5450</v>
      </c>
      <c r="Q5359">
        <f t="shared" si="504"/>
        <v>5450</v>
      </c>
      <c r="T5359" s="16">
        <f t="shared" si="505"/>
        <v>1.0654725531458447</v>
      </c>
    </row>
    <row r="5360" spans="7:20" ht="14.4" x14ac:dyDescent="0.25">
      <c r="G5360" s="10">
        <v>823</v>
      </c>
      <c r="H5360" s="9">
        <v>5954</v>
      </c>
      <c r="I5360" s="14">
        <f>DATE(2012,12,31)-29</f>
        <v>41245</v>
      </c>
      <c r="J5360" s="15" t="s">
        <v>30</v>
      </c>
      <c r="K5360" s="9">
        <v>32</v>
      </c>
      <c r="L5360" s="16" t="s">
        <v>27</v>
      </c>
      <c r="M5360" s="16">
        <f t="shared" si="501"/>
        <v>0.44393456357285216</v>
      </c>
      <c r="N5360">
        <f t="shared" si="502"/>
        <v>0</v>
      </c>
      <c r="O5360">
        <f t="shared" si="503"/>
        <v>0</v>
      </c>
      <c r="P5360">
        <f t="shared" si="500"/>
        <v>5000</v>
      </c>
      <c r="Q5360">
        <f t="shared" si="504"/>
        <v>5000</v>
      </c>
      <c r="T5360" s="16">
        <f t="shared" si="505"/>
        <v>0.44393456357285183</v>
      </c>
    </row>
    <row r="5361" spans="7:20" ht="14.4" x14ac:dyDescent="0.25">
      <c r="G5361" s="10">
        <v>840</v>
      </c>
      <c r="H5361" s="9">
        <v>6018</v>
      </c>
      <c r="I5361" s="14">
        <f>DATE(2012,12,31)-135</f>
        <v>41139</v>
      </c>
      <c r="J5361" s="15" t="s">
        <v>25</v>
      </c>
      <c r="K5361" s="9">
        <v>39</v>
      </c>
      <c r="L5361" s="16" t="s">
        <v>29</v>
      </c>
      <c r="M5361" s="16">
        <f t="shared" si="501"/>
        <v>0.92735299990740228</v>
      </c>
      <c r="N5361">
        <f t="shared" si="502"/>
        <v>0</v>
      </c>
      <c r="O5361">
        <f t="shared" si="503"/>
        <v>0</v>
      </c>
      <c r="P5361">
        <f t="shared" si="500"/>
        <v>5350</v>
      </c>
      <c r="Q5361">
        <f t="shared" si="504"/>
        <v>5350</v>
      </c>
      <c r="T5361" s="16">
        <f t="shared" si="505"/>
        <v>0.92735299990740183</v>
      </c>
    </row>
    <row r="5362" spans="7:20" ht="14.4" x14ac:dyDescent="0.25">
      <c r="G5362" s="10">
        <v>841</v>
      </c>
      <c r="H5362" s="9">
        <v>6018</v>
      </c>
      <c r="I5362" s="14">
        <f>DATE(2012,12,31)-135</f>
        <v>41139</v>
      </c>
      <c r="J5362" s="15" t="s">
        <v>25</v>
      </c>
      <c r="K5362" s="9">
        <v>2</v>
      </c>
      <c r="L5362" s="16" t="s">
        <v>26</v>
      </c>
      <c r="M5362" s="16">
        <f t="shared" si="501"/>
        <v>-1.627858735003791</v>
      </c>
      <c r="N5362">
        <f t="shared" si="502"/>
        <v>0</v>
      </c>
      <c r="O5362">
        <f t="shared" si="503"/>
        <v>0</v>
      </c>
      <c r="P5362">
        <f t="shared" si="500"/>
        <v>3500</v>
      </c>
      <c r="Q5362">
        <f t="shared" si="504"/>
        <v>3500</v>
      </c>
      <c r="T5362" s="16">
        <f t="shared" si="505"/>
        <v>-1.6278587350037912</v>
      </c>
    </row>
    <row r="5363" spans="7:20" ht="14.4" x14ac:dyDescent="0.25">
      <c r="G5363" s="10">
        <v>881</v>
      </c>
      <c r="H5363" s="9">
        <v>6336</v>
      </c>
      <c r="I5363" s="14">
        <f>DATE(2012,12,31)-491</f>
        <v>40783</v>
      </c>
      <c r="J5363" s="15" t="s">
        <v>17</v>
      </c>
      <c r="K5363" s="9">
        <v>43</v>
      </c>
      <c r="L5363" s="16" t="s">
        <v>26</v>
      </c>
      <c r="M5363" s="16">
        <f t="shared" si="501"/>
        <v>1.203592106384288</v>
      </c>
      <c r="N5363">
        <f t="shared" si="502"/>
        <v>0</v>
      </c>
      <c r="O5363">
        <f t="shared" si="503"/>
        <v>0</v>
      </c>
      <c r="P5363">
        <f t="shared" si="500"/>
        <v>5550</v>
      </c>
      <c r="Q5363">
        <f t="shared" si="504"/>
        <v>5550</v>
      </c>
      <c r="T5363" s="16">
        <f t="shared" si="505"/>
        <v>1.2035921063842876</v>
      </c>
    </row>
    <row r="5364" spans="7:20" ht="14.4" x14ac:dyDescent="0.25">
      <c r="G5364" s="10">
        <v>1037</v>
      </c>
      <c r="H5364" s="9">
        <v>7559</v>
      </c>
      <c r="I5364" s="14">
        <f>DATE(2012,12,31)-811</f>
        <v>40463</v>
      </c>
      <c r="J5364" s="15" t="s">
        <v>30</v>
      </c>
      <c r="K5364" s="9">
        <v>9</v>
      </c>
      <c r="L5364" s="16" t="s">
        <v>26</v>
      </c>
      <c r="M5364" s="16">
        <f t="shared" si="501"/>
        <v>-1.1444402986692408</v>
      </c>
      <c r="N5364">
        <f t="shared" si="502"/>
        <v>0</v>
      </c>
      <c r="O5364">
        <f t="shared" si="503"/>
        <v>0</v>
      </c>
      <c r="P5364">
        <f t="shared" si="500"/>
        <v>3850</v>
      </c>
      <c r="Q5364">
        <f t="shared" si="504"/>
        <v>3850</v>
      </c>
      <c r="T5364" s="16">
        <f t="shared" si="505"/>
        <v>-1.1444402986692412</v>
      </c>
    </row>
    <row r="5365" spans="7:20" ht="14.4" x14ac:dyDescent="0.25">
      <c r="G5365" s="10">
        <v>1038</v>
      </c>
      <c r="H5365" s="9">
        <v>7559</v>
      </c>
      <c r="I5365" s="14">
        <f>DATE(2012,12,31)-811</f>
        <v>40463</v>
      </c>
      <c r="J5365" s="15" t="s">
        <v>30</v>
      </c>
      <c r="K5365" s="9">
        <v>39</v>
      </c>
      <c r="L5365" s="16" t="s">
        <v>27</v>
      </c>
      <c r="M5365" s="16">
        <f t="shared" si="501"/>
        <v>0.92735299990740228</v>
      </c>
      <c r="N5365">
        <f t="shared" si="502"/>
        <v>0</v>
      </c>
      <c r="O5365">
        <f t="shared" si="503"/>
        <v>0</v>
      </c>
      <c r="P5365">
        <f t="shared" si="500"/>
        <v>5350</v>
      </c>
      <c r="Q5365">
        <f t="shared" si="504"/>
        <v>5350</v>
      </c>
      <c r="T5365" s="16">
        <f t="shared" si="505"/>
        <v>0.92735299990740183</v>
      </c>
    </row>
    <row r="5366" spans="7:20" ht="14.4" x14ac:dyDescent="0.25">
      <c r="G5366" s="10">
        <v>1091</v>
      </c>
      <c r="H5366" s="9">
        <v>8007</v>
      </c>
      <c r="I5366" s="14">
        <f>DATE(2012,12,31)-324</f>
        <v>40950</v>
      </c>
      <c r="J5366" s="15" t="s">
        <v>25</v>
      </c>
      <c r="K5366" s="9">
        <v>35</v>
      </c>
      <c r="L5366" s="16" t="s">
        <v>27</v>
      </c>
      <c r="M5366" s="16">
        <f t="shared" si="501"/>
        <v>0.65111389343051651</v>
      </c>
      <c r="N5366">
        <f t="shared" si="502"/>
        <v>0</v>
      </c>
      <c r="O5366">
        <f t="shared" si="503"/>
        <v>0</v>
      </c>
      <c r="P5366">
        <f t="shared" si="500"/>
        <v>5150</v>
      </c>
      <c r="Q5366">
        <f t="shared" si="504"/>
        <v>5150</v>
      </c>
      <c r="T5366" s="16">
        <f t="shared" si="505"/>
        <v>0.65111389343051607</v>
      </c>
    </row>
    <row r="5367" spans="7:20" ht="14.4" x14ac:dyDescent="0.25">
      <c r="G5367" s="10">
        <v>1100</v>
      </c>
      <c r="H5367" s="9">
        <v>8070</v>
      </c>
      <c r="I5367" s="14">
        <f>DATE(2012,12,31)-338</f>
        <v>40936</v>
      </c>
      <c r="J5367" s="15" t="s">
        <v>16</v>
      </c>
      <c r="K5367" s="9">
        <v>14</v>
      </c>
      <c r="L5367" s="16" t="s">
        <v>26</v>
      </c>
      <c r="M5367" s="16">
        <f t="shared" si="501"/>
        <v>-0.79914141557313367</v>
      </c>
      <c r="N5367">
        <f t="shared" si="502"/>
        <v>0</v>
      </c>
      <c r="O5367">
        <f t="shared" si="503"/>
        <v>0</v>
      </c>
      <c r="P5367">
        <f t="shared" si="500"/>
        <v>4100</v>
      </c>
      <c r="Q5367">
        <f t="shared" si="504"/>
        <v>4100</v>
      </c>
      <c r="T5367" s="16">
        <f t="shared" si="505"/>
        <v>-0.79914141557313401</v>
      </c>
    </row>
    <row r="5368" spans="7:20" ht="14.4" x14ac:dyDescent="0.25">
      <c r="G5368" s="10">
        <v>1131</v>
      </c>
      <c r="H5368" s="9">
        <v>8259</v>
      </c>
      <c r="I5368" s="14">
        <f>DATE(2012,12,31)-1353</f>
        <v>39921</v>
      </c>
      <c r="J5368" s="15" t="s">
        <v>16</v>
      </c>
      <c r="K5368" s="9">
        <v>25</v>
      </c>
      <c r="L5368" s="16" t="s">
        <v>29</v>
      </c>
      <c r="M5368" s="16">
        <f t="shared" si="501"/>
        <v>-3.9483872761697868E-2</v>
      </c>
      <c r="N5368">
        <f t="shared" si="502"/>
        <v>0</v>
      </c>
      <c r="O5368">
        <f t="shared" si="503"/>
        <v>0</v>
      </c>
      <c r="P5368">
        <f t="shared" si="500"/>
        <v>4650</v>
      </c>
      <c r="Q5368">
        <f t="shared" si="504"/>
        <v>4650</v>
      </c>
      <c r="T5368" s="16">
        <f t="shared" si="505"/>
        <v>-3.9483872761698249E-2</v>
      </c>
    </row>
    <row r="5369" spans="7:20" ht="14.4" x14ac:dyDescent="0.25">
      <c r="G5369" s="10">
        <v>1180</v>
      </c>
      <c r="H5369" s="9">
        <v>8642</v>
      </c>
      <c r="I5369" s="14">
        <f>DATE(2012,12,31)-1080</f>
        <v>40194</v>
      </c>
      <c r="J5369" s="15" t="s">
        <v>17</v>
      </c>
      <c r="K5369" s="9">
        <v>26</v>
      </c>
      <c r="L5369" s="16" t="s">
        <v>26</v>
      </c>
      <c r="M5369" s="16">
        <f t="shared" si="501"/>
        <v>2.9575903857523567E-2</v>
      </c>
      <c r="N5369">
        <f t="shared" si="502"/>
        <v>0</v>
      </c>
      <c r="O5369">
        <f t="shared" si="503"/>
        <v>0</v>
      </c>
      <c r="P5369">
        <f t="shared" si="500"/>
        <v>4700</v>
      </c>
      <c r="Q5369">
        <f t="shared" si="504"/>
        <v>4700</v>
      </c>
      <c r="T5369" s="16">
        <f t="shared" si="505"/>
        <v>2.9575903857523185E-2</v>
      </c>
    </row>
    <row r="5370" spans="7:20" ht="14.4" x14ac:dyDescent="0.25">
      <c r="G5370" s="10">
        <v>1181</v>
      </c>
      <c r="H5370" s="9">
        <v>8642</v>
      </c>
      <c r="I5370" s="14">
        <f>DATE(2012,12,31)-1080</f>
        <v>40194</v>
      </c>
      <c r="J5370" s="15" t="s">
        <v>17</v>
      </c>
      <c r="K5370" s="9">
        <v>13</v>
      </c>
      <c r="L5370" s="16" t="s">
        <v>26</v>
      </c>
      <c r="M5370" s="16">
        <f t="shared" si="501"/>
        <v>-0.86820119219235514</v>
      </c>
      <c r="N5370">
        <f t="shared" si="502"/>
        <v>0</v>
      </c>
      <c r="O5370">
        <f t="shared" si="503"/>
        <v>0</v>
      </c>
      <c r="P5370">
        <f t="shared" si="500"/>
        <v>4050</v>
      </c>
      <c r="Q5370">
        <f t="shared" si="504"/>
        <v>4050</v>
      </c>
      <c r="T5370" s="16">
        <f t="shared" si="505"/>
        <v>-0.86820119219235548</v>
      </c>
    </row>
    <row r="5371" spans="7:20" ht="14.4" x14ac:dyDescent="0.25">
      <c r="G5371" s="10">
        <v>1200</v>
      </c>
      <c r="H5371" s="9">
        <v>8803</v>
      </c>
      <c r="I5371" s="14">
        <f>DATE(2012,12,31)-11</f>
        <v>41263</v>
      </c>
      <c r="J5371" s="15" t="s">
        <v>28</v>
      </c>
      <c r="K5371" s="9">
        <v>6</v>
      </c>
      <c r="L5371" s="16" t="s">
        <v>26</v>
      </c>
      <c r="M5371" s="16">
        <f t="shared" si="501"/>
        <v>-1.3516196285269051</v>
      </c>
      <c r="N5371">
        <f t="shared" si="502"/>
        <v>0</v>
      </c>
      <c r="O5371">
        <f t="shared" si="503"/>
        <v>0</v>
      </c>
      <c r="P5371">
        <f t="shared" si="500"/>
        <v>3700</v>
      </c>
      <c r="Q5371">
        <f t="shared" si="504"/>
        <v>3700</v>
      </c>
      <c r="T5371" s="16">
        <f t="shared" si="505"/>
        <v>-1.3516196285269055</v>
      </c>
    </row>
    <row r="5372" spans="7:20" ht="14.4" x14ac:dyDescent="0.25">
      <c r="G5372" s="10">
        <v>1201</v>
      </c>
      <c r="H5372" s="9">
        <v>8803</v>
      </c>
      <c r="I5372" s="14">
        <f>DATE(2012,12,31)-11</f>
        <v>41263</v>
      </c>
      <c r="J5372" s="15" t="s">
        <v>28</v>
      </c>
      <c r="K5372" s="9">
        <v>17</v>
      </c>
      <c r="L5372" s="16" t="s">
        <v>26</v>
      </c>
      <c r="M5372" s="16">
        <f t="shared" si="501"/>
        <v>-0.59196208571546938</v>
      </c>
      <c r="N5372">
        <f t="shared" si="502"/>
        <v>0</v>
      </c>
      <c r="O5372">
        <f t="shared" si="503"/>
        <v>0</v>
      </c>
      <c r="P5372">
        <f t="shared" si="500"/>
        <v>4250</v>
      </c>
      <c r="Q5372">
        <f t="shared" si="504"/>
        <v>4250</v>
      </c>
      <c r="T5372" s="16">
        <f t="shared" si="505"/>
        <v>-0.59196208571546971</v>
      </c>
    </row>
    <row r="5373" spans="7:20" ht="14.4" x14ac:dyDescent="0.25">
      <c r="G5373" s="10">
        <v>1287</v>
      </c>
      <c r="H5373" s="9">
        <v>9383</v>
      </c>
      <c r="I5373" s="14">
        <f>DATE(2012,12,31)-1386</f>
        <v>39888</v>
      </c>
      <c r="J5373" s="15" t="s">
        <v>28</v>
      </c>
      <c r="K5373" s="9">
        <v>11</v>
      </c>
      <c r="L5373" s="16" t="s">
        <v>29</v>
      </c>
      <c r="M5373" s="16">
        <f t="shared" si="501"/>
        <v>-1.0063207454307979</v>
      </c>
      <c r="N5373">
        <f t="shared" si="502"/>
        <v>0</v>
      </c>
      <c r="O5373">
        <f t="shared" si="503"/>
        <v>0</v>
      </c>
      <c r="P5373">
        <f t="shared" si="500"/>
        <v>3950</v>
      </c>
      <c r="Q5373">
        <f t="shared" si="504"/>
        <v>3950</v>
      </c>
      <c r="T5373" s="16">
        <f t="shared" si="505"/>
        <v>-1.0063207454307983</v>
      </c>
    </row>
    <row r="5374" spans="7:20" ht="14.4" x14ac:dyDescent="0.25">
      <c r="G5374" s="10">
        <v>1418</v>
      </c>
      <c r="H5374" s="9">
        <v>10278</v>
      </c>
      <c r="I5374" s="14">
        <f>DATE(2012,12,31)-476</f>
        <v>40798</v>
      </c>
      <c r="J5374" s="15" t="s">
        <v>25</v>
      </c>
      <c r="K5374" s="9">
        <v>25</v>
      </c>
      <c r="L5374" s="16" t="s">
        <v>29</v>
      </c>
      <c r="M5374" s="16">
        <f t="shared" si="501"/>
        <v>-3.9483872761697868E-2</v>
      </c>
      <c r="N5374">
        <f t="shared" si="502"/>
        <v>0</v>
      </c>
      <c r="O5374">
        <f t="shared" si="503"/>
        <v>0</v>
      </c>
      <c r="P5374">
        <f t="shared" si="500"/>
        <v>4650</v>
      </c>
      <c r="Q5374">
        <f t="shared" si="504"/>
        <v>4650</v>
      </c>
      <c r="T5374" s="16">
        <f t="shared" si="505"/>
        <v>-3.9483872761698249E-2</v>
      </c>
    </row>
    <row r="5375" spans="7:20" ht="14.4" x14ac:dyDescent="0.25">
      <c r="G5375" s="10">
        <v>1515</v>
      </c>
      <c r="H5375" s="9">
        <v>10949</v>
      </c>
      <c r="I5375" s="14">
        <f>DATE(2012,12,31)-1372</f>
        <v>39902</v>
      </c>
      <c r="J5375" s="15" t="s">
        <v>16</v>
      </c>
      <c r="K5375" s="9">
        <v>46</v>
      </c>
      <c r="L5375" s="16" t="s">
        <v>27</v>
      </c>
      <c r="M5375" s="16">
        <f t="shared" si="501"/>
        <v>1.4107714362419523</v>
      </c>
      <c r="N5375">
        <f t="shared" si="502"/>
        <v>0</v>
      </c>
      <c r="O5375">
        <f t="shared" si="503"/>
        <v>0</v>
      </c>
      <c r="P5375">
        <f t="shared" si="500"/>
        <v>5700</v>
      </c>
      <c r="Q5375">
        <f t="shared" si="504"/>
        <v>5700</v>
      </c>
      <c r="T5375" s="16">
        <f t="shared" si="505"/>
        <v>1.4107714362419519</v>
      </c>
    </row>
    <row r="5376" spans="7:20" ht="14.4" x14ac:dyDescent="0.25">
      <c r="G5376" s="10">
        <v>1569</v>
      </c>
      <c r="H5376" s="9">
        <v>11335</v>
      </c>
      <c r="I5376" s="14">
        <f>DATE(2012,12,31)-1167</f>
        <v>40107</v>
      </c>
      <c r="J5376" s="15" t="s">
        <v>17</v>
      </c>
      <c r="K5376" s="9">
        <v>3</v>
      </c>
      <c r="L5376" s="16" t="s">
        <v>26</v>
      </c>
      <c r="M5376" s="16">
        <f t="shared" si="501"/>
        <v>-1.5587989583845694</v>
      </c>
      <c r="N5376">
        <f t="shared" si="502"/>
        <v>0</v>
      </c>
      <c r="O5376">
        <f t="shared" si="503"/>
        <v>0</v>
      </c>
      <c r="P5376">
        <f t="shared" si="500"/>
        <v>3550</v>
      </c>
      <c r="Q5376">
        <f t="shared" si="504"/>
        <v>3550</v>
      </c>
      <c r="T5376" s="16">
        <f t="shared" si="505"/>
        <v>-1.5587989583845698</v>
      </c>
    </row>
    <row r="5377" spans="7:20" ht="14.4" x14ac:dyDescent="0.25">
      <c r="G5377" s="10">
        <v>1570</v>
      </c>
      <c r="H5377" s="9">
        <v>11335</v>
      </c>
      <c r="I5377" s="14">
        <f>DATE(2012,12,31)-1167</f>
        <v>40107</v>
      </c>
      <c r="J5377" s="15" t="s">
        <v>17</v>
      </c>
      <c r="K5377" s="9">
        <v>8</v>
      </c>
      <c r="L5377" s="16" t="s">
        <v>27</v>
      </c>
      <c r="M5377" s="16">
        <f t="shared" si="501"/>
        <v>-1.2135000752884624</v>
      </c>
      <c r="N5377">
        <f t="shared" si="502"/>
        <v>0</v>
      </c>
      <c r="O5377">
        <f t="shared" si="503"/>
        <v>0</v>
      </c>
      <c r="P5377">
        <f t="shared" si="500"/>
        <v>3800</v>
      </c>
      <c r="Q5377">
        <f t="shared" si="504"/>
        <v>3800</v>
      </c>
      <c r="T5377" s="16">
        <f t="shared" si="505"/>
        <v>-1.2135000752884626</v>
      </c>
    </row>
    <row r="5378" spans="7:20" ht="14.4" x14ac:dyDescent="0.25">
      <c r="G5378" s="10">
        <v>1719</v>
      </c>
      <c r="H5378" s="9">
        <v>12355</v>
      </c>
      <c r="I5378" s="14">
        <f>DATE(2012,12,31)-583</f>
        <v>40691</v>
      </c>
      <c r="J5378" s="15" t="s">
        <v>28</v>
      </c>
      <c r="K5378" s="9">
        <v>36</v>
      </c>
      <c r="L5378" s="16" t="s">
        <v>26</v>
      </c>
      <c r="M5378" s="16">
        <f t="shared" si="501"/>
        <v>0.72017367004973787</v>
      </c>
      <c r="N5378">
        <f t="shared" si="502"/>
        <v>0</v>
      </c>
      <c r="O5378">
        <f t="shared" si="503"/>
        <v>0</v>
      </c>
      <c r="P5378">
        <f t="shared" si="500"/>
        <v>5200</v>
      </c>
      <c r="Q5378">
        <f t="shared" si="504"/>
        <v>5200</v>
      </c>
      <c r="T5378" s="16">
        <f t="shared" si="505"/>
        <v>0.72017367004973754</v>
      </c>
    </row>
    <row r="5379" spans="7:20" ht="14.4" x14ac:dyDescent="0.25">
      <c r="G5379" s="10">
        <v>1720</v>
      </c>
      <c r="H5379" s="9">
        <v>12355</v>
      </c>
      <c r="I5379" s="14">
        <f>DATE(2012,12,31)-583</f>
        <v>40691</v>
      </c>
      <c r="J5379" s="15" t="s">
        <v>28</v>
      </c>
      <c r="K5379" s="9">
        <v>14</v>
      </c>
      <c r="L5379" s="16" t="s">
        <v>26</v>
      </c>
      <c r="M5379" s="16">
        <f t="shared" si="501"/>
        <v>-0.79914141557313367</v>
      </c>
      <c r="N5379">
        <f t="shared" si="502"/>
        <v>0</v>
      </c>
      <c r="O5379">
        <f t="shared" si="503"/>
        <v>0</v>
      </c>
      <c r="P5379">
        <f t="shared" si="500"/>
        <v>4100</v>
      </c>
      <c r="Q5379">
        <f t="shared" si="504"/>
        <v>4100</v>
      </c>
      <c r="T5379" s="16">
        <f t="shared" si="505"/>
        <v>-0.79914141557313401</v>
      </c>
    </row>
    <row r="5380" spans="7:20" ht="14.4" x14ac:dyDescent="0.25">
      <c r="G5380" s="10">
        <v>1834</v>
      </c>
      <c r="H5380" s="9">
        <v>13127</v>
      </c>
      <c r="I5380" s="14">
        <f>DATE(2012,12,31)-884</f>
        <v>40390</v>
      </c>
      <c r="J5380" s="15" t="s">
        <v>16</v>
      </c>
      <c r="K5380" s="9">
        <v>13</v>
      </c>
      <c r="L5380" s="16" t="s">
        <v>26</v>
      </c>
      <c r="M5380" s="16">
        <f t="shared" si="501"/>
        <v>-0.86820119219235514</v>
      </c>
      <c r="N5380">
        <f t="shared" si="502"/>
        <v>0</v>
      </c>
      <c r="O5380">
        <f t="shared" si="503"/>
        <v>0</v>
      </c>
      <c r="P5380">
        <f t="shared" si="500"/>
        <v>4050</v>
      </c>
      <c r="Q5380">
        <f t="shared" si="504"/>
        <v>4050</v>
      </c>
      <c r="T5380" s="16">
        <f t="shared" si="505"/>
        <v>-0.86820119219235548</v>
      </c>
    </row>
    <row r="5381" spans="7:20" ht="14.4" x14ac:dyDescent="0.25">
      <c r="G5381" s="10">
        <v>2092</v>
      </c>
      <c r="H5381" s="9">
        <v>14978</v>
      </c>
      <c r="I5381" s="14">
        <f>DATE(2012,12,31)-949</f>
        <v>40325</v>
      </c>
      <c r="J5381" s="15" t="s">
        <v>30</v>
      </c>
      <c r="K5381" s="9">
        <v>14</v>
      </c>
      <c r="L5381" s="16" t="s">
        <v>29</v>
      </c>
      <c r="M5381" s="16">
        <f t="shared" si="501"/>
        <v>-0.79914141557313367</v>
      </c>
      <c r="N5381">
        <f t="shared" si="502"/>
        <v>0</v>
      </c>
      <c r="O5381">
        <f t="shared" si="503"/>
        <v>0</v>
      </c>
      <c r="P5381">
        <f t="shared" si="500"/>
        <v>4100</v>
      </c>
      <c r="Q5381">
        <f t="shared" si="504"/>
        <v>4100</v>
      </c>
      <c r="T5381" s="16">
        <f t="shared" si="505"/>
        <v>-0.79914141557313401</v>
      </c>
    </row>
    <row r="5382" spans="7:20" ht="14.4" x14ac:dyDescent="0.25">
      <c r="G5382" s="10">
        <v>2093</v>
      </c>
      <c r="H5382" s="9">
        <v>14978</v>
      </c>
      <c r="I5382" s="14">
        <f>DATE(2012,12,31)-949</f>
        <v>40325</v>
      </c>
      <c r="J5382" s="15" t="s">
        <v>30</v>
      </c>
      <c r="K5382" s="9">
        <v>14</v>
      </c>
      <c r="L5382" s="16" t="s">
        <v>26</v>
      </c>
      <c r="M5382" s="16">
        <f t="shared" si="501"/>
        <v>-0.79914141557313367</v>
      </c>
      <c r="N5382">
        <f t="shared" si="502"/>
        <v>0</v>
      </c>
      <c r="O5382">
        <f t="shared" si="503"/>
        <v>0</v>
      </c>
      <c r="P5382">
        <f t="shared" si="500"/>
        <v>4100</v>
      </c>
      <c r="Q5382">
        <f t="shared" si="504"/>
        <v>4100</v>
      </c>
      <c r="T5382" s="16">
        <f t="shared" si="505"/>
        <v>-0.79914141557313401</v>
      </c>
    </row>
    <row r="5383" spans="7:20" ht="14.4" x14ac:dyDescent="0.25">
      <c r="G5383" s="10">
        <v>2187</v>
      </c>
      <c r="H5383" s="9">
        <v>15751</v>
      </c>
      <c r="I5383" s="14">
        <f>DATE(2012,12,31)-1234</f>
        <v>40040</v>
      </c>
      <c r="J5383" s="15" t="s">
        <v>30</v>
      </c>
      <c r="K5383" s="9">
        <v>37</v>
      </c>
      <c r="L5383" s="16" t="s">
        <v>26</v>
      </c>
      <c r="M5383" s="16">
        <f t="shared" si="501"/>
        <v>0.78923344666895934</v>
      </c>
      <c r="N5383">
        <f t="shared" si="502"/>
        <v>0</v>
      </c>
      <c r="O5383">
        <f t="shared" si="503"/>
        <v>0</v>
      </c>
      <c r="P5383">
        <f t="shared" si="500"/>
        <v>5250</v>
      </c>
      <c r="Q5383">
        <f t="shared" si="504"/>
        <v>5250</v>
      </c>
      <c r="T5383" s="16">
        <f t="shared" si="505"/>
        <v>0.789233446668959</v>
      </c>
    </row>
    <row r="5384" spans="7:20" ht="14.4" x14ac:dyDescent="0.25">
      <c r="G5384" s="10">
        <v>2188</v>
      </c>
      <c r="H5384" s="9">
        <v>15751</v>
      </c>
      <c r="I5384" s="14">
        <f>DATE(2012,12,31)-1234</f>
        <v>40040</v>
      </c>
      <c r="J5384" s="15" t="s">
        <v>30</v>
      </c>
      <c r="K5384" s="9">
        <v>21</v>
      </c>
      <c r="L5384" s="16" t="s">
        <v>27</v>
      </c>
      <c r="M5384" s="16">
        <f t="shared" si="501"/>
        <v>-0.31572297923858361</v>
      </c>
      <c r="N5384">
        <f t="shared" si="502"/>
        <v>0</v>
      </c>
      <c r="O5384">
        <f t="shared" si="503"/>
        <v>0</v>
      </c>
      <c r="P5384">
        <f t="shared" si="500"/>
        <v>4450</v>
      </c>
      <c r="Q5384">
        <f t="shared" si="504"/>
        <v>4450</v>
      </c>
      <c r="T5384" s="16">
        <f t="shared" si="505"/>
        <v>-0.315722979238584</v>
      </c>
    </row>
    <row r="5385" spans="7:20" ht="14.4" x14ac:dyDescent="0.25">
      <c r="G5385" s="10">
        <v>2197</v>
      </c>
      <c r="H5385" s="9">
        <v>15815</v>
      </c>
      <c r="I5385" s="14">
        <f>DATE(2012,12,31)-1340</f>
        <v>39934</v>
      </c>
      <c r="J5385" s="15" t="s">
        <v>30</v>
      </c>
      <c r="K5385" s="9">
        <v>43</v>
      </c>
      <c r="L5385" s="16" t="s">
        <v>26</v>
      </c>
      <c r="M5385" s="16">
        <f t="shared" si="501"/>
        <v>1.203592106384288</v>
      </c>
      <c r="N5385">
        <f t="shared" si="502"/>
        <v>0</v>
      </c>
      <c r="O5385">
        <f t="shared" si="503"/>
        <v>0</v>
      </c>
      <c r="P5385">
        <f t="shared" si="500"/>
        <v>5550</v>
      </c>
      <c r="Q5385">
        <f t="shared" si="504"/>
        <v>5550</v>
      </c>
      <c r="T5385" s="16">
        <f t="shared" si="505"/>
        <v>1.2035921063842876</v>
      </c>
    </row>
    <row r="5386" spans="7:20" ht="14.4" x14ac:dyDescent="0.25">
      <c r="G5386" s="10">
        <v>2198</v>
      </c>
      <c r="H5386" s="9">
        <v>15815</v>
      </c>
      <c r="I5386" s="14">
        <f>DATE(2012,12,31)-1340</f>
        <v>39934</v>
      </c>
      <c r="J5386" s="15" t="s">
        <v>30</v>
      </c>
      <c r="K5386" s="9">
        <v>24</v>
      </c>
      <c r="L5386" s="16" t="s">
        <v>26</v>
      </c>
      <c r="M5386" s="16">
        <f t="shared" si="501"/>
        <v>-0.1085436493809193</v>
      </c>
      <c r="N5386">
        <f t="shared" si="502"/>
        <v>0</v>
      </c>
      <c r="O5386">
        <f t="shared" si="503"/>
        <v>0</v>
      </c>
      <c r="P5386">
        <f t="shared" si="500"/>
        <v>4600</v>
      </c>
      <c r="Q5386">
        <f t="shared" si="504"/>
        <v>4600</v>
      </c>
      <c r="T5386" s="16">
        <f t="shared" si="505"/>
        <v>-0.10854364938091969</v>
      </c>
    </row>
    <row r="5387" spans="7:20" ht="14.4" x14ac:dyDescent="0.25">
      <c r="G5387" s="10">
        <v>2322</v>
      </c>
      <c r="H5387" s="9">
        <v>16737</v>
      </c>
      <c r="I5387" s="14">
        <f>DATE(2012,12,31)-560</f>
        <v>40714</v>
      </c>
      <c r="J5387" s="15" t="s">
        <v>28</v>
      </c>
      <c r="K5387" s="9">
        <v>15</v>
      </c>
      <c r="L5387" s="16" t="s">
        <v>26</v>
      </c>
      <c r="M5387" s="16">
        <f t="shared" si="501"/>
        <v>-0.7300816389539122</v>
      </c>
      <c r="N5387">
        <f t="shared" si="502"/>
        <v>0</v>
      </c>
      <c r="O5387">
        <f t="shared" si="503"/>
        <v>0</v>
      </c>
      <c r="P5387">
        <f t="shared" si="500"/>
        <v>4150</v>
      </c>
      <c r="Q5387">
        <f t="shared" si="504"/>
        <v>4150</v>
      </c>
      <c r="T5387" s="16">
        <f t="shared" si="505"/>
        <v>-0.73008163895391265</v>
      </c>
    </row>
    <row r="5388" spans="7:20" ht="14.4" x14ac:dyDescent="0.25">
      <c r="G5388" s="10">
        <v>2366</v>
      </c>
      <c r="H5388" s="9">
        <v>17124</v>
      </c>
      <c r="I5388" s="14">
        <f>DATE(2012,12,31)-1163</f>
        <v>40111</v>
      </c>
      <c r="J5388" s="15" t="s">
        <v>30</v>
      </c>
      <c r="K5388" s="9">
        <v>39</v>
      </c>
      <c r="L5388" s="16" t="s">
        <v>26</v>
      </c>
      <c r="M5388" s="16">
        <f t="shared" si="501"/>
        <v>0.92735299990740228</v>
      </c>
      <c r="N5388">
        <f t="shared" si="502"/>
        <v>0</v>
      </c>
      <c r="O5388">
        <f t="shared" si="503"/>
        <v>0</v>
      </c>
      <c r="P5388">
        <f t="shared" ref="P5388:P5451" si="506">50*K5388+$P$10</f>
        <v>5350</v>
      </c>
      <c r="Q5388">
        <f t="shared" si="504"/>
        <v>5350</v>
      </c>
      <c r="T5388" s="16">
        <f t="shared" si="505"/>
        <v>0.92735299990740183</v>
      </c>
    </row>
    <row r="5389" spans="7:20" ht="14.4" x14ac:dyDescent="0.25">
      <c r="G5389" s="10">
        <v>2429</v>
      </c>
      <c r="H5389" s="9">
        <v>17666</v>
      </c>
      <c r="I5389" s="14">
        <f>DATE(2012,12,31)-845</f>
        <v>40429</v>
      </c>
      <c r="J5389" s="15" t="s">
        <v>16</v>
      </c>
      <c r="K5389" s="9">
        <v>19</v>
      </c>
      <c r="L5389" s="16" t="s">
        <v>26</v>
      </c>
      <c r="M5389" s="16">
        <f t="shared" ref="M5389:M5452" si="507">(K5389-$K$4)/$K$7</f>
        <v>-0.45384253247702649</v>
      </c>
      <c r="N5389">
        <f t="shared" ref="N5389:N5452" si="508">IF(MOD($B$20+G5389,1000)=0,1,0)</f>
        <v>0</v>
      </c>
      <c r="O5389">
        <f t="shared" ref="O5389:O5452" si="509">+ROUND(N5389*(IF(K5389&lt;$K$4,-4.5,10.5)*$P$5),-2)</f>
        <v>0</v>
      </c>
      <c r="P5389">
        <f t="shared" si="506"/>
        <v>4350</v>
      </c>
      <c r="Q5389">
        <f t="shared" ref="Q5389:Q5452" si="510">P5389+O5389</f>
        <v>4350</v>
      </c>
      <c r="T5389" s="16">
        <f t="shared" ref="T5389:T5452" si="511">(Q5389-$P$4)/$P$5</f>
        <v>-0.45384253247702688</v>
      </c>
    </row>
    <row r="5390" spans="7:20" ht="14.4" x14ac:dyDescent="0.25">
      <c r="G5390" s="10">
        <v>2430</v>
      </c>
      <c r="H5390" s="9">
        <v>17666</v>
      </c>
      <c r="I5390" s="14">
        <f>DATE(2012,12,31)-845</f>
        <v>40429</v>
      </c>
      <c r="J5390" s="15" t="s">
        <v>16</v>
      </c>
      <c r="K5390" s="9">
        <v>11</v>
      </c>
      <c r="L5390" s="16" t="s">
        <v>26</v>
      </c>
      <c r="M5390" s="16">
        <f t="shared" si="507"/>
        <v>-1.0063207454307979</v>
      </c>
      <c r="N5390">
        <f t="shared" si="508"/>
        <v>0</v>
      </c>
      <c r="O5390">
        <f t="shared" si="509"/>
        <v>0</v>
      </c>
      <c r="P5390">
        <f t="shared" si="506"/>
        <v>3950</v>
      </c>
      <c r="Q5390">
        <f t="shared" si="510"/>
        <v>3950</v>
      </c>
      <c r="T5390" s="16">
        <f t="shared" si="511"/>
        <v>-1.0063207454307983</v>
      </c>
    </row>
    <row r="5391" spans="7:20" ht="14.4" x14ac:dyDescent="0.25">
      <c r="G5391" s="10">
        <v>2636</v>
      </c>
      <c r="H5391" s="9">
        <v>19075</v>
      </c>
      <c r="I5391" s="14">
        <f>DATE(2012,12,31)-1192</f>
        <v>40082</v>
      </c>
      <c r="J5391" s="15" t="s">
        <v>30</v>
      </c>
      <c r="K5391" s="9">
        <v>36</v>
      </c>
      <c r="L5391" s="16" t="s">
        <v>27</v>
      </c>
      <c r="M5391" s="16">
        <f t="shared" si="507"/>
        <v>0.72017367004973787</v>
      </c>
      <c r="N5391">
        <f t="shared" si="508"/>
        <v>0</v>
      </c>
      <c r="O5391">
        <f t="shared" si="509"/>
        <v>0</v>
      </c>
      <c r="P5391">
        <f t="shared" si="506"/>
        <v>5200</v>
      </c>
      <c r="Q5391">
        <f t="shared" si="510"/>
        <v>5200</v>
      </c>
      <c r="T5391" s="16">
        <f t="shared" si="511"/>
        <v>0.72017367004973754</v>
      </c>
    </row>
    <row r="5392" spans="7:20" ht="14.4" x14ac:dyDescent="0.25">
      <c r="G5392" s="10">
        <v>2927</v>
      </c>
      <c r="H5392" s="9">
        <v>21220</v>
      </c>
      <c r="I5392" s="14">
        <f>DATE(2012,12,31)-9</f>
        <v>41265</v>
      </c>
      <c r="J5392" s="15" t="s">
        <v>28</v>
      </c>
      <c r="K5392" s="9">
        <v>4</v>
      </c>
      <c r="L5392" s="16" t="s">
        <v>27</v>
      </c>
      <c r="M5392" s="16">
        <f t="shared" si="507"/>
        <v>-1.489739181765348</v>
      </c>
      <c r="N5392">
        <f t="shared" si="508"/>
        <v>0</v>
      </c>
      <c r="O5392">
        <f t="shared" si="509"/>
        <v>0</v>
      </c>
      <c r="P5392">
        <f t="shared" si="506"/>
        <v>3600</v>
      </c>
      <c r="Q5392">
        <f t="shared" si="510"/>
        <v>3600</v>
      </c>
      <c r="T5392" s="16">
        <f t="shared" si="511"/>
        <v>-1.4897391817653485</v>
      </c>
    </row>
    <row r="5393" spans="7:20" ht="14.4" x14ac:dyDescent="0.25">
      <c r="G5393" s="10">
        <v>2991</v>
      </c>
      <c r="H5393" s="9">
        <v>21600</v>
      </c>
      <c r="I5393" s="14">
        <f>DATE(2012,12,31)-1002</f>
        <v>40272</v>
      </c>
      <c r="J5393" s="15" t="s">
        <v>25</v>
      </c>
      <c r="K5393" s="9">
        <v>17</v>
      </c>
      <c r="L5393" s="16" t="s">
        <v>26</v>
      </c>
      <c r="M5393" s="16">
        <f t="shared" si="507"/>
        <v>-0.59196208571546938</v>
      </c>
      <c r="N5393">
        <f t="shared" si="508"/>
        <v>0</v>
      </c>
      <c r="O5393">
        <f t="shared" si="509"/>
        <v>0</v>
      </c>
      <c r="P5393">
        <f t="shared" si="506"/>
        <v>4250</v>
      </c>
      <c r="Q5393">
        <f t="shared" si="510"/>
        <v>4250</v>
      </c>
      <c r="T5393" s="16">
        <f t="shared" si="511"/>
        <v>-0.59196208571546971</v>
      </c>
    </row>
    <row r="5394" spans="7:20" ht="14.4" x14ac:dyDescent="0.25">
      <c r="G5394" s="10">
        <v>3082</v>
      </c>
      <c r="H5394" s="9">
        <v>22117</v>
      </c>
      <c r="I5394" s="14">
        <f>DATE(2012,12,31)-872</f>
        <v>40402</v>
      </c>
      <c r="J5394" s="15" t="s">
        <v>30</v>
      </c>
      <c r="K5394" s="9">
        <v>16</v>
      </c>
      <c r="L5394" s="16" t="s">
        <v>26</v>
      </c>
      <c r="M5394" s="16">
        <f t="shared" si="507"/>
        <v>-0.66102186233469074</v>
      </c>
      <c r="N5394">
        <f t="shared" si="508"/>
        <v>0</v>
      </c>
      <c r="O5394">
        <f t="shared" si="509"/>
        <v>0</v>
      </c>
      <c r="P5394">
        <f t="shared" si="506"/>
        <v>4200</v>
      </c>
      <c r="Q5394">
        <f t="shared" si="510"/>
        <v>4200</v>
      </c>
      <c r="T5394" s="16">
        <f t="shared" si="511"/>
        <v>-0.66102186233469118</v>
      </c>
    </row>
    <row r="5395" spans="7:20" ht="14.4" x14ac:dyDescent="0.25">
      <c r="G5395" s="10">
        <v>3083</v>
      </c>
      <c r="H5395" s="9">
        <v>22117</v>
      </c>
      <c r="I5395" s="14">
        <f>DATE(2012,12,31)-872</f>
        <v>40402</v>
      </c>
      <c r="J5395" s="15" t="s">
        <v>30</v>
      </c>
      <c r="K5395" s="9">
        <v>5</v>
      </c>
      <c r="L5395" s="16" t="s">
        <v>26</v>
      </c>
      <c r="M5395" s="16">
        <f t="shared" si="507"/>
        <v>-1.4206794051461267</v>
      </c>
      <c r="N5395">
        <f t="shared" si="508"/>
        <v>0</v>
      </c>
      <c r="O5395">
        <f t="shared" si="509"/>
        <v>0</v>
      </c>
      <c r="P5395">
        <f t="shared" si="506"/>
        <v>3650</v>
      </c>
      <c r="Q5395">
        <f t="shared" si="510"/>
        <v>3650</v>
      </c>
      <c r="T5395" s="16">
        <f t="shared" si="511"/>
        <v>-1.4206794051461269</v>
      </c>
    </row>
    <row r="5396" spans="7:20" ht="14.4" x14ac:dyDescent="0.25">
      <c r="G5396" s="10">
        <v>3099</v>
      </c>
      <c r="H5396" s="9">
        <v>22211</v>
      </c>
      <c r="I5396" s="14">
        <f>DATE(2012,12,31)-455</f>
        <v>40819</v>
      </c>
      <c r="J5396" s="15" t="s">
        <v>28</v>
      </c>
      <c r="K5396" s="9">
        <v>30</v>
      </c>
      <c r="L5396" s="16" t="s">
        <v>26</v>
      </c>
      <c r="M5396" s="16">
        <f t="shared" si="507"/>
        <v>0.30581501033440933</v>
      </c>
      <c r="N5396">
        <f t="shared" si="508"/>
        <v>0</v>
      </c>
      <c r="O5396">
        <f t="shared" si="509"/>
        <v>0</v>
      </c>
      <c r="P5396">
        <f t="shared" si="506"/>
        <v>4900</v>
      </c>
      <c r="Q5396">
        <f t="shared" si="510"/>
        <v>4900</v>
      </c>
      <c r="T5396" s="16">
        <f t="shared" si="511"/>
        <v>0.30581501033440894</v>
      </c>
    </row>
    <row r="5397" spans="7:20" ht="14.4" x14ac:dyDescent="0.25">
      <c r="G5397" s="10">
        <v>3100</v>
      </c>
      <c r="H5397" s="9">
        <v>22211</v>
      </c>
      <c r="I5397" s="14">
        <f>DATE(2012,12,31)-455</f>
        <v>40819</v>
      </c>
      <c r="J5397" s="15" t="s">
        <v>28</v>
      </c>
      <c r="K5397" s="9">
        <v>47</v>
      </c>
      <c r="L5397" s="16" t="s">
        <v>29</v>
      </c>
      <c r="M5397" s="16">
        <f t="shared" si="507"/>
        <v>1.4798312128611737</v>
      </c>
      <c r="N5397">
        <f t="shared" si="508"/>
        <v>0</v>
      </c>
      <c r="O5397">
        <f t="shared" si="509"/>
        <v>0</v>
      </c>
      <c r="P5397">
        <f t="shared" si="506"/>
        <v>5750</v>
      </c>
      <c r="Q5397">
        <f t="shared" si="510"/>
        <v>5750</v>
      </c>
      <c r="T5397" s="16">
        <f t="shared" si="511"/>
        <v>1.4798312128611733</v>
      </c>
    </row>
    <row r="5398" spans="7:20" ht="14.4" x14ac:dyDescent="0.25">
      <c r="G5398" s="10">
        <v>3119</v>
      </c>
      <c r="H5398" s="9">
        <v>22404</v>
      </c>
      <c r="I5398" s="14">
        <f>DATE(2012,12,31)-776</f>
        <v>40498</v>
      </c>
      <c r="J5398" s="15" t="s">
        <v>25</v>
      </c>
      <c r="K5398" s="9">
        <v>35</v>
      </c>
      <c r="L5398" s="16" t="s">
        <v>29</v>
      </c>
      <c r="M5398" s="16">
        <f t="shared" si="507"/>
        <v>0.65111389343051651</v>
      </c>
      <c r="N5398">
        <f t="shared" si="508"/>
        <v>0</v>
      </c>
      <c r="O5398">
        <f t="shared" si="509"/>
        <v>0</v>
      </c>
      <c r="P5398">
        <f t="shared" si="506"/>
        <v>5150</v>
      </c>
      <c r="Q5398">
        <f t="shared" si="510"/>
        <v>5150</v>
      </c>
      <c r="T5398" s="16">
        <f t="shared" si="511"/>
        <v>0.65111389343051607</v>
      </c>
    </row>
    <row r="5399" spans="7:20" ht="14.4" x14ac:dyDescent="0.25">
      <c r="G5399" s="10">
        <v>3266</v>
      </c>
      <c r="H5399" s="9">
        <v>23362</v>
      </c>
      <c r="I5399" s="14">
        <f>DATE(2012,12,31)-857</f>
        <v>40417</v>
      </c>
      <c r="J5399" s="15" t="s">
        <v>16</v>
      </c>
      <c r="K5399" s="9">
        <v>45</v>
      </c>
      <c r="L5399" s="16" t="s">
        <v>29</v>
      </c>
      <c r="M5399" s="16">
        <f t="shared" si="507"/>
        <v>1.3417116596227308</v>
      </c>
      <c r="N5399">
        <f t="shared" si="508"/>
        <v>0</v>
      </c>
      <c r="O5399">
        <f t="shared" si="509"/>
        <v>0</v>
      </c>
      <c r="P5399">
        <f t="shared" si="506"/>
        <v>5650</v>
      </c>
      <c r="Q5399">
        <f t="shared" si="510"/>
        <v>5650</v>
      </c>
      <c r="T5399" s="16">
        <f t="shared" si="511"/>
        <v>1.3417116596227305</v>
      </c>
    </row>
    <row r="5400" spans="7:20" ht="14.4" x14ac:dyDescent="0.25">
      <c r="G5400" s="10">
        <v>3275</v>
      </c>
      <c r="H5400" s="9">
        <v>23399</v>
      </c>
      <c r="I5400" s="14">
        <f>DATE(2012,12,31)-733</f>
        <v>40541</v>
      </c>
      <c r="J5400" s="15" t="s">
        <v>17</v>
      </c>
      <c r="K5400" s="9">
        <v>14</v>
      </c>
      <c r="L5400" s="16" t="s">
        <v>26</v>
      </c>
      <c r="M5400" s="16">
        <f t="shared" si="507"/>
        <v>-0.79914141557313367</v>
      </c>
      <c r="N5400">
        <f t="shared" si="508"/>
        <v>0</v>
      </c>
      <c r="O5400">
        <f t="shared" si="509"/>
        <v>0</v>
      </c>
      <c r="P5400">
        <f t="shared" si="506"/>
        <v>4100</v>
      </c>
      <c r="Q5400">
        <f t="shared" si="510"/>
        <v>4100</v>
      </c>
      <c r="T5400" s="16">
        <f t="shared" si="511"/>
        <v>-0.79914141557313401</v>
      </c>
    </row>
    <row r="5401" spans="7:20" ht="14.4" x14ac:dyDescent="0.25">
      <c r="G5401" s="10">
        <v>3326</v>
      </c>
      <c r="H5401" s="9">
        <v>23781</v>
      </c>
      <c r="I5401" s="14">
        <f>DATE(2012,12,31)-427</f>
        <v>40847</v>
      </c>
      <c r="J5401" s="15" t="s">
        <v>30</v>
      </c>
      <c r="K5401" s="9">
        <v>30</v>
      </c>
      <c r="L5401" s="16" t="s">
        <v>26</v>
      </c>
      <c r="M5401" s="16">
        <f t="shared" si="507"/>
        <v>0.30581501033440933</v>
      </c>
      <c r="N5401">
        <f t="shared" si="508"/>
        <v>0</v>
      </c>
      <c r="O5401">
        <f t="shared" si="509"/>
        <v>0</v>
      </c>
      <c r="P5401">
        <f t="shared" si="506"/>
        <v>4900</v>
      </c>
      <c r="Q5401">
        <f t="shared" si="510"/>
        <v>4900</v>
      </c>
      <c r="T5401" s="16">
        <f t="shared" si="511"/>
        <v>0.30581501033440894</v>
      </c>
    </row>
    <row r="5402" spans="7:20" ht="14.4" x14ac:dyDescent="0.25">
      <c r="G5402" s="10">
        <v>3332</v>
      </c>
      <c r="H5402" s="9">
        <v>23812</v>
      </c>
      <c r="I5402" s="14">
        <f>DATE(2012,12,31)-157</f>
        <v>41117</v>
      </c>
      <c r="J5402" s="15" t="s">
        <v>30</v>
      </c>
      <c r="K5402" s="9">
        <v>32</v>
      </c>
      <c r="L5402" s="16" t="s">
        <v>27</v>
      </c>
      <c r="M5402" s="16">
        <f t="shared" si="507"/>
        <v>0.44393456357285216</v>
      </c>
      <c r="N5402">
        <f t="shared" si="508"/>
        <v>0</v>
      </c>
      <c r="O5402">
        <f t="shared" si="509"/>
        <v>0</v>
      </c>
      <c r="P5402">
        <f t="shared" si="506"/>
        <v>5000</v>
      </c>
      <c r="Q5402">
        <f t="shared" si="510"/>
        <v>5000</v>
      </c>
      <c r="T5402" s="16">
        <f t="shared" si="511"/>
        <v>0.44393456357285183</v>
      </c>
    </row>
    <row r="5403" spans="7:20" ht="14.4" x14ac:dyDescent="0.25">
      <c r="G5403" s="10">
        <v>3399</v>
      </c>
      <c r="H5403" s="9">
        <v>24199</v>
      </c>
      <c r="I5403" s="14">
        <f>DATE(2012,12,31)-1294</f>
        <v>39980</v>
      </c>
      <c r="J5403" s="15" t="s">
        <v>30</v>
      </c>
      <c r="K5403" s="9">
        <v>16</v>
      </c>
      <c r="L5403" s="16" t="s">
        <v>27</v>
      </c>
      <c r="M5403" s="16">
        <f t="shared" si="507"/>
        <v>-0.66102186233469074</v>
      </c>
      <c r="N5403">
        <f t="shared" si="508"/>
        <v>0</v>
      </c>
      <c r="O5403">
        <f t="shared" si="509"/>
        <v>0</v>
      </c>
      <c r="P5403">
        <f t="shared" si="506"/>
        <v>4200</v>
      </c>
      <c r="Q5403">
        <f t="shared" si="510"/>
        <v>4200</v>
      </c>
      <c r="T5403" s="16">
        <f t="shared" si="511"/>
        <v>-0.66102186233469118</v>
      </c>
    </row>
    <row r="5404" spans="7:20" ht="14.4" x14ac:dyDescent="0.25">
      <c r="G5404" s="10">
        <v>3534</v>
      </c>
      <c r="H5404" s="9">
        <v>25155</v>
      </c>
      <c r="I5404" s="14">
        <f>DATE(2012,12,31)-1076</f>
        <v>40198</v>
      </c>
      <c r="J5404" s="15" t="s">
        <v>25</v>
      </c>
      <c r="K5404" s="9">
        <v>48</v>
      </c>
      <c r="L5404" s="16" t="s">
        <v>29</v>
      </c>
      <c r="M5404" s="16">
        <f t="shared" si="507"/>
        <v>1.5488909894803951</v>
      </c>
      <c r="N5404">
        <f t="shared" si="508"/>
        <v>0</v>
      </c>
      <c r="O5404">
        <f t="shared" si="509"/>
        <v>0</v>
      </c>
      <c r="P5404">
        <f t="shared" si="506"/>
        <v>5800</v>
      </c>
      <c r="Q5404">
        <f t="shared" si="510"/>
        <v>5800</v>
      </c>
      <c r="T5404" s="16">
        <f t="shared" si="511"/>
        <v>1.5488909894803948</v>
      </c>
    </row>
    <row r="5405" spans="7:20" ht="14.4" x14ac:dyDescent="0.25">
      <c r="G5405" s="10">
        <v>3535</v>
      </c>
      <c r="H5405" s="9">
        <v>25155</v>
      </c>
      <c r="I5405" s="14">
        <f>DATE(2012,12,31)-1076</f>
        <v>40198</v>
      </c>
      <c r="J5405" s="15" t="s">
        <v>25</v>
      </c>
      <c r="K5405" s="9">
        <v>17</v>
      </c>
      <c r="L5405" s="16" t="s">
        <v>26</v>
      </c>
      <c r="M5405" s="16">
        <f t="shared" si="507"/>
        <v>-0.59196208571546938</v>
      </c>
      <c r="N5405">
        <f t="shared" si="508"/>
        <v>0</v>
      </c>
      <c r="O5405">
        <f t="shared" si="509"/>
        <v>0</v>
      </c>
      <c r="P5405">
        <f t="shared" si="506"/>
        <v>4250</v>
      </c>
      <c r="Q5405">
        <f t="shared" si="510"/>
        <v>4250</v>
      </c>
      <c r="T5405" s="16">
        <f t="shared" si="511"/>
        <v>-0.59196208571546971</v>
      </c>
    </row>
    <row r="5406" spans="7:20" ht="14.4" x14ac:dyDescent="0.25">
      <c r="G5406" s="10">
        <v>3536</v>
      </c>
      <c r="H5406" s="9">
        <v>25155</v>
      </c>
      <c r="I5406" s="14">
        <f>DATE(2012,12,31)-1076</f>
        <v>40198</v>
      </c>
      <c r="J5406" s="15" t="s">
        <v>25</v>
      </c>
      <c r="K5406" s="9">
        <v>3</v>
      </c>
      <c r="L5406" s="16" t="s">
        <v>26</v>
      </c>
      <c r="M5406" s="16">
        <f t="shared" si="507"/>
        <v>-1.5587989583845694</v>
      </c>
      <c r="N5406">
        <f t="shared" si="508"/>
        <v>0</v>
      </c>
      <c r="O5406">
        <f t="shared" si="509"/>
        <v>0</v>
      </c>
      <c r="P5406">
        <f t="shared" si="506"/>
        <v>3550</v>
      </c>
      <c r="Q5406">
        <f t="shared" si="510"/>
        <v>3550</v>
      </c>
      <c r="T5406" s="16">
        <f t="shared" si="511"/>
        <v>-1.5587989583845698</v>
      </c>
    </row>
    <row r="5407" spans="7:20" ht="14.4" x14ac:dyDescent="0.25">
      <c r="G5407" s="10">
        <v>3648</v>
      </c>
      <c r="H5407" s="9">
        <v>26084</v>
      </c>
      <c r="I5407" s="14">
        <f>DATE(2012,12,31)-76</f>
        <v>41198</v>
      </c>
      <c r="J5407" s="15" t="s">
        <v>25</v>
      </c>
      <c r="K5407" s="9">
        <v>33</v>
      </c>
      <c r="L5407" s="16" t="s">
        <v>26</v>
      </c>
      <c r="M5407" s="16">
        <f t="shared" si="507"/>
        <v>0.51299434019207357</v>
      </c>
      <c r="N5407">
        <f t="shared" si="508"/>
        <v>0</v>
      </c>
      <c r="O5407">
        <f t="shared" si="509"/>
        <v>0</v>
      </c>
      <c r="P5407">
        <f t="shared" si="506"/>
        <v>5050</v>
      </c>
      <c r="Q5407">
        <f t="shared" si="510"/>
        <v>5050</v>
      </c>
      <c r="T5407" s="16">
        <f t="shared" si="511"/>
        <v>0.51299434019207324</v>
      </c>
    </row>
    <row r="5408" spans="7:20" ht="14.4" x14ac:dyDescent="0.25">
      <c r="G5408" s="10">
        <v>3654</v>
      </c>
      <c r="H5408" s="9">
        <v>26146</v>
      </c>
      <c r="I5408" s="14">
        <f>DATE(2012,12,31)-1177</f>
        <v>40097</v>
      </c>
      <c r="J5408" s="15" t="s">
        <v>25</v>
      </c>
      <c r="K5408" s="9">
        <v>13</v>
      </c>
      <c r="L5408" s="16" t="s">
        <v>26</v>
      </c>
      <c r="M5408" s="16">
        <f t="shared" si="507"/>
        <v>-0.86820119219235514</v>
      </c>
      <c r="N5408">
        <f t="shared" si="508"/>
        <v>0</v>
      </c>
      <c r="O5408">
        <f t="shared" si="509"/>
        <v>0</v>
      </c>
      <c r="P5408">
        <f t="shared" si="506"/>
        <v>4050</v>
      </c>
      <c r="Q5408">
        <f t="shared" si="510"/>
        <v>4050</v>
      </c>
      <c r="T5408" s="16">
        <f t="shared" si="511"/>
        <v>-0.86820119219235548</v>
      </c>
    </row>
    <row r="5409" spans="7:20" ht="14.4" x14ac:dyDescent="0.25">
      <c r="G5409" s="10">
        <v>3655</v>
      </c>
      <c r="H5409" s="9">
        <v>26146</v>
      </c>
      <c r="I5409" s="14">
        <f>DATE(2012,12,31)-1177</f>
        <v>40097</v>
      </c>
      <c r="J5409" s="15" t="s">
        <v>25</v>
      </c>
      <c r="K5409" s="9">
        <v>49</v>
      </c>
      <c r="L5409" s="16" t="s">
        <v>26</v>
      </c>
      <c r="M5409" s="16">
        <f t="shared" si="507"/>
        <v>1.6179507660996166</v>
      </c>
      <c r="N5409">
        <f t="shared" si="508"/>
        <v>0</v>
      </c>
      <c r="O5409">
        <f t="shared" si="509"/>
        <v>0</v>
      </c>
      <c r="P5409">
        <f t="shared" si="506"/>
        <v>5850</v>
      </c>
      <c r="Q5409">
        <f t="shared" si="510"/>
        <v>5850</v>
      </c>
      <c r="T5409" s="16">
        <f t="shared" si="511"/>
        <v>1.6179507660996162</v>
      </c>
    </row>
    <row r="5410" spans="7:20" ht="14.4" x14ac:dyDescent="0.25">
      <c r="G5410" s="10">
        <v>3715</v>
      </c>
      <c r="H5410" s="9">
        <v>26529</v>
      </c>
      <c r="I5410" s="14">
        <f>DATE(2012,12,31)-703</f>
        <v>40571</v>
      </c>
      <c r="J5410" s="15" t="s">
        <v>25</v>
      </c>
      <c r="K5410" s="9">
        <v>41</v>
      </c>
      <c r="L5410" s="16" t="s">
        <v>27</v>
      </c>
      <c r="M5410" s="16">
        <f t="shared" si="507"/>
        <v>1.0654725531458451</v>
      </c>
      <c r="N5410">
        <f t="shared" si="508"/>
        <v>0</v>
      </c>
      <c r="O5410">
        <f t="shared" si="509"/>
        <v>0</v>
      </c>
      <c r="P5410">
        <f t="shared" si="506"/>
        <v>5450</v>
      </c>
      <c r="Q5410">
        <f t="shared" si="510"/>
        <v>5450</v>
      </c>
      <c r="T5410" s="16">
        <f t="shared" si="511"/>
        <v>1.0654725531458447</v>
      </c>
    </row>
    <row r="5411" spans="7:20" ht="14.4" x14ac:dyDescent="0.25">
      <c r="G5411" s="10">
        <v>3736</v>
      </c>
      <c r="H5411" s="9">
        <v>26693</v>
      </c>
      <c r="I5411" s="14">
        <f>DATE(2012,12,31)-863</f>
        <v>40411</v>
      </c>
      <c r="J5411" s="15" t="s">
        <v>16</v>
      </c>
      <c r="K5411" s="9">
        <v>44</v>
      </c>
      <c r="L5411" s="16" t="s">
        <v>27</v>
      </c>
      <c r="M5411" s="16">
        <f t="shared" si="507"/>
        <v>1.2726518830035094</v>
      </c>
      <c r="N5411">
        <f t="shared" si="508"/>
        <v>0</v>
      </c>
      <c r="O5411">
        <f t="shared" si="509"/>
        <v>0</v>
      </c>
      <c r="P5411">
        <f t="shared" si="506"/>
        <v>5600</v>
      </c>
      <c r="Q5411">
        <f t="shared" si="510"/>
        <v>5600</v>
      </c>
      <c r="T5411" s="16">
        <f t="shared" si="511"/>
        <v>1.272651883003509</v>
      </c>
    </row>
    <row r="5412" spans="7:20" ht="14.4" x14ac:dyDescent="0.25">
      <c r="G5412" s="10">
        <v>3775</v>
      </c>
      <c r="H5412" s="9">
        <v>26948</v>
      </c>
      <c r="I5412" s="14">
        <f>DATE(2012,12,31)-405</f>
        <v>40869</v>
      </c>
      <c r="J5412" s="15" t="s">
        <v>17</v>
      </c>
      <c r="K5412" s="9">
        <v>38</v>
      </c>
      <c r="L5412" s="16" t="s">
        <v>26</v>
      </c>
      <c r="M5412" s="16">
        <f t="shared" si="507"/>
        <v>0.85829322328818081</v>
      </c>
      <c r="N5412">
        <f t="shared" si="508"/>
        <v>0</v>
      </c>
      <c r="O5412">
        <f t="shared" si="509"/>
        <v>0</v>
      </c>
      <c r="P5412">
        <f t="shared" si="506"/>
        <v>5300</v>
      </c>
      <c r="Q5412">
        <f t="shared" si="510"/>
        <v>5300</v>
      </c>
      <c r="T5412" s="16">
        <f t="shared" si="511"/>
        <v>0.85829322328818036</v>
      </c>
    </row>
    <row r="5413" spans="7:20" ht="14.4" x14ac:dyDescent="0.25">
      <c r="G5413" s="10">
        <v>3777</v>
      </c>
      <c r="H5413" s="9">
        <v>26951</v>
      </c>
      <c r="I5413" s="14">
        <f>DATE(2012,12,31)-998</f>
        <v>40276</v>
      </c>
      <c r="J5413" s="15" t="s">
        <v>28</v>
      </c>
      <c r="K5413" s="9">
        <v>3</v>
      </c>
      <c r="L5413" s="16" t="s">
        <v>27</v>
      </c>
      <c r="M5413" s="16">
        <f t="shared" si="507"/>
        <v>-1.5587989583845694</v>
      </c>
      <c r="N5413">
        <f t="shared" si="508"/>
        <v>0</v>
      </c>
      <c r="O5413">
        <f t="shared" si="509"/>
        <v>0</v>
      </c>
      <c r="P5413">
        <f t="shared" si="506"/>
        <v>3550</v>
      </c>
      <c r="Q5413">
        <f t="shared" si="510"/>
        <v>3550</v>
      </c>
      <c r="T5413" s="16">
        <f t="shared" si="511"/>
        <v>-1.5587989583845698</v>
      </c>
    </row>
    <row r="5414" spans="7:20" ht="14.4" x14ac:dyDescent="0.25">
      <c r="G5414" s="10">
        <v>3812</v>
      </c>
      <c r="H5414" s="9">
        <v>27141</v>
      </c>
      <c r="I5414" s="14">
        <f>DATE(2012,12,31)-1061</f>
        <v>40213</v>
      </c>
      <c r="J5414" s="15" t="s">
        <v>28</v>
      </c>
      <c r="K5414" s="9">
        <v>25</v>
      </c>
      <c r="L5414" s="16" t="s">
        <v>29</v>
      </c>
      <c r="M5414" s="16">
        <f t="shared" si="507"/>
        <v>-3.9483872761697868E-2</v>
      </c>
      <c r="N5414">
        <f t="shared" si="508"/>
        <v>0</v>
      </c>
      <c r="O5414">
        <f t="shared" si="509"/>
        <v>0</v>
      </c>
      <c r="P5414">
        <f t="shared" si="506"/>
        <v>4650</v>
      </c>
      <c r="Q5414">
        <f t="shared" si="510"/>
        <v>4650</v>
      </c>
      <c r="T5414" s="16">
        <f t="shared" si="511"/>
        <v>-3.9483872761698249E-2</v>
      </c>
    </row>
    <row r="5415" spans="7:20" ht="14.4" x14ac:dyDescent="0.25">
      <c r="G5415" s="10">
        <v>3813</v>
      </c>
      <c r="H5415" s="9">
        <v>27141</v>
      </c>
      <c r="I5415" s="14">
        <f>DATE(2012,12,31)-1061</f>
        <v>40213</v>
      </c>
      <c r="J5415" s="15" t="s">
        <v>28</v>
      </c>
      <c r="K5415" s="9">
        <v>28</v>
      </c>
      <c r="L5415" s="16" t="s">
        <v>26</v>
      </c>
      <c r="M5415" s="16">
        <f t="shared" si="507"/>
        <v>0.16769545709596645</v>
      </c>
      <c r="N5415">
        <f t="shared" si="508"/>
        <v>0</v>
      </c>
      <c r="O5415">
        <f t="shared" si="509"/>
        <v>0</v>
      </c>
      <c r="P5415">
        <f t="shared" si="506"/>
        <v>4800</v>
      </c>
      <c r="Q5415">
        <f t="shared" si="510"/>
        <v>4800</v>
      </c>
      <c r="T5415" s="16">
        <f t="shared" si="511"/>
        <v>0.16769545709596606</v>
      </c>
    </row>
    <row r="5416" spans="7:20" ht="14.4" x14ac:dyDescent="0.25">
      <c r="G5416" s="10">
        <v>3832</v>
      </c>
      <c r="H5416" s="9">
        <v>27302</v>
      </c>
      <c r="I5416" s="14">
        <f>DATE(2012,12,31)-110</f>
        <v>41164</v>
      </c>
      <c r="J5416" s="15" t="s">
        <v>25</v>
      </c>
      <c r="K5416" s="9">
        <v>16</v>
      </c>
      <c r="L5416" s="16" t="s">
        <v>29</v>
      </c>
      <c r="M5416" s="16">
        <f t="shared" si="507"/>
        <v>-0.66102186233469074</v>
      </c>
      <c r="N5416">
        <f t="shared" si="508"/>
        <v>0</v>
      </c>
      <c r="O5416">
        <f t="shared" si="509"/>
        <v>0</v>
      </c>
      <c r="P5416">
        <f t="shared" si="506"/>
        <v>4200</v>
      </c>
      <c r="Q5416">
        <f t="shared" si="510"/>
        <v>4200</v>
      </c>
      <c r="T5416" s="16">
        <f t="shared" si="511"/>
        <v>-0.66102186233469118</v>
      </c>
    </row>
    <row r="5417" spans="7:20" ht="14.4" x14ac:dyDescent="0.25">
      <c r="G5417" s="10">
        <v>3833</v>
      </c>
      <c r="H5417" s="9">
        <v>27302</v>
      </c>
      <c r="I5417" s="14">
        <f>DATE(2012,12,31)-110</f>
        <v>41164</v>
      </c>
      <c r="J5417" s="15" t="s">
        <v>25</v>
      </c>
      <c r="K5417" s="9">
        <v>3</v>
      </c>
      <c r="L5417" s="16" t="s">
        <v>26</v>
      </c>
      <c r="M5417" s="16">
        <f t="shared" si="507"/>
        <v>-1.5587989583845694</v>
      </c>
      <c r="N5417">
        <f t="shared" si="508"/>
        <v>0</v>
      </c>
      <c r="O5417">
        <f t="shared" si="509"/>
        <v>0</v>
      </c>
      <c r="P5417">
        <f t="shared" si="506"/>
        <v>3550</v>
      </c>
      <c r="Q5417">
        <f t="shared" si="510"/>
        <v>3550</v>
      </c>
      <c r="T5417" s="16">
        <f t="shared" si="511"/>
        <v>-1.5587989583845698</v>
      </c>
    </row>
    <row r="5418" spans="7:20" ht="14.4" x14ac:dyDescent="0.25">
      <c r="G5418" s="10">
        <v>3843</v>
      </c>
      <c r="H5418" s="9">
        <v>27426</v>
      </c>
      <c r="I5418" s="14">
        <f>DATE(2012,12,31)-1042</f>
        <v>40232</v>
      </c>
      <c r="J5418" s="15" t="s">
        <v>25</v>
      </c>
      <c r="K5418" s="9">
        <v>41</v>
      </c>
      <c r="L5418" s="16" t="s">
        <v>26</v>
      </c>
      <c r="M5418" s="16">
        <f t="shared" si="507"/>
        <v>1.0654725531458451</v>
      </c>
      <c r="N5418">
        <f t="shared" si="508"/>
        <v>0</v>
      </c>
      <c r="O5418">
        <f t="shared" si="509"/>
        <v>0</v>
      </c>
      <c r="P5418">
        <f t="shared" si="506"/>
        <v>5450</v>
      </c>
      <c r="Q5418">
        <f t="shared" si="510"/>
        <v>5450</v>
      </c>
      <c r="T5418" s="16">
        <f t="shared" si="511"/>
        <v>1.0654725531458447</v>
      </c>
    </row>
    <row r="5419" spans="7:20" ht="14.4" x14ac:dyDescent="0.25">
      <c r="G5419" s="10">
        <v>3844</v>
      </c>
      <c r="H5419" s="9">
        <v>27426</v>
      </c>
      <c r="I5419" s="14">
        <f>DATE(2012,12,31)-1042</f>
        <v>40232</v>
      </c>
      <c r="J5419" s="15" t="s">
        <v>25</v>
      </c>
      <c r="K5419" s="9">
        <v>32</v>
      </c>
      <c r="L5419" s="16" t="s">
        <v>26</v>
      </c>
      <c r="M5419" s="16">
        <f t="shared" si="507"/>
        <v>0.44393456357285216</v>
      </c>
      <c r="N5419">
        <f t="shared" si="508"/>
        <v>0</v>
      </c>
      <c r="O5419">
        <f t="shared" si="509"/>
        <v>0</v>
      </c>
      <c r="P5419">
        <f t="shared" si="506"/>
        <v>5000</v>
      </c>
      <c r="Q5419">
        <f t="shared" si="510"/>
        <v>5000</v>
      </c>
      <c r="T5419" s="16">
        <f t="shared" si="511"/>
        <v>0.44393456357285183</v>
      </c>
    </row>
    <row r="5420" spans="7:20" ht="14.4" x14ac:dyDescent="0.25">
      <c r="G5420" s="10">
        <v>3898</v>
      </c>
      <c r="H5420" s="9">
        <v>27810</v>
      </c>
      <c r="I5420" s="14">
        <f>DATE(2012,12,31)-1068</f>
        <v>40206</v>
      </c>
      <c r="J5420" s="15" t="s">
        <v>17</v>
      </c>
      <c r="K5420" s="9">
        <v>32</v>
      </c>
      <c r="L5420" s="16" t="s">
        <v>26</v>
      </c>
      <c r="M5420" s="16">
        <f t="shared" si="507"/>
        <v>0.44393456357285216</v>
      </c>
      <c r="N5420">
        <f t="shared" si="508"/>
        <v>0</v>
      </c>
      <c r="O5420">
        <f t="shared" si="509"/>
        <v>0</v>
      </c>
      <c r="P5420">
        <f t="shared" si="506"/>
        <v>5000</v>
      </c>
      <c r="Q5420">
        <f t="shared" si="510"/>
        <v>5000</v>
      </c>
      <c r="T5420" s="16">
        <f t="shared" si="511"/>
        <v>0.44393456357285183</v>
      </c>
    </row>
    <row r="5421" spans="7:20" ht="14.4" x14ac:dyDescent="0.25">
      <c r="G5421" s="10">
        <v>4016</v>
      </c>
      <c r="H5421" s="9">
        <v>28674</v>
      </c>
      <c r="I5421" s="14">
        <f>DATE(2012,12,31)-504</f>
        <v>40770</v>
      </c>
      <c r="J5421" s="15" t="s">
        <v>17</v>
      </c>
      <c r="K5421" s="9">
        <v>26</v>
      </c>
      <c r="L5421" s="16" t="s">
        <v>26</v>
      </c>
      <c r="M5421" s="16">
        <f t="shared" si="507"/>
        <v>2.9575903857523567E-2</v>
      </c>
      <c r="N5421">
        <f t="shared" si="508"/>
        <v>0</v>
      </c>
      <c r="O5421">
        <f t="shared" si="509"/>
        <v>0</v>
      </c>
      <c r="P5421">
        <f t="shared" si="506"/>
        <v>4700</v>
      </c>
      <c r="Q5421">
        <f t="shared" si="510"/>
        <v>4700</v>
      </c>
      <c r="T5421" s="16">
        <f t="shared" si="511"/>
        <v>2.9575903857523185E-2</v>
      </c>
    </row>
    <row r="5422" spans="7:20" ht="14.4" x14ac:dyDescent="0.25">
      <c r="G5422" s="10">
        <v>4025</v>
      </c>
      <c r="H5422" s="9">
        <v>28742</v>
      </c>
      <c r="I5422" s="14">
        <f>DATE(2012,12,31)-246</f>
        <v>41028</v>
      </c>
      <c r="J5422" s="15" t="s">
        <v>25</v>
      </c>
      <c r="K5422" s="9">
        <v>35</v>
      </c>
      <c r="L5422" s="16" t="s">
        <v>26</v>
      </c>
      <c r="M5422" s="16">
        <f t="shared" si="507"/>
        <v>0.65111389343051651</v>
      </c>
      <c r="N5422">
        <f t="shared" si="508"/>
        <v>0</v>
      </c>
      <c r="O5422">
        <f t="shared" si="509"/>
        <v>0</v>
      </c>
      <c r="P5422">
        <f t="shared" si="506"/>
        <v>5150</v>
      </c>
      <c r="Q5422">
        <f t="shared" si="510"/>
        <v>5150</v>
      </c>
      <c r="T5422" s="16">
        <f t="shared" si="511"/>
        <v>0.65111389343051607</v>
      </c>
    </row>
    <row r="5423" spans="7:20" ht="14.4" x14ac:dyDescent="0.25">
      <c r="G5423" s="10">
        <v>4026</v>
      </c>
      <c r="H5423" s="9">
        <v>28742</v>
      </c>
      <c r="I5423" s="14">
        <f>DATE(2012,12,31)-246</f>
        <v>41028</v>
      </c>
      <c r="J5423" s="15" t="s">
        <v>25</v>
      </c>
      <c r="K5423" s="9">
        <v>7</v>
      </c>
      <c r="L5423" s="16" t="s">
        <v>29</v>
      </c>
      <c r="M5423" s="16">
        <f t="shared" si="507"/>
        <v>-1.2825598519076837</v>
      </c>
      <c r="N5423">
        <f t="shared" si="508"/>
        <v>0</v>
      </c>
      <c r="O5423">
        <f t="shared" si="509"/>
        <v>0</v>
      </c>
      <c r="P5423">
        <f t="shared" si="506"/>
        <v>3750</v>
      </c>
      <c r="Q5423">
        <f t="shared" si="510"/>
        <v>3750</v>
      </c>
      <c r="T5423" s="16">
        <f t="shared" si="511"/>
        <v>-1.2825598519076842</v>
      </c>
    </row>
    <row r="5424" spans="7:20" ht="14.4" x14ac:dyDescent="0.25">
      <c r="G5424" s="10">
        <v>4028</v>
      </c>
      <c r="H5424" s="9">
        <v>28772</v>
      </c>
      <c r="I5424" s="14">
        <f>DATE(2012,12,31)-1424</f>
        <v>39850</v>
      </c>
      <c r="J5424" s="15" t="s">
        <v>17</v>
      </c>
      <c r="K5424" s="9">
        <v>16</v>
      </c>
      <c r="L5424" s="16" t="s">
        <v>29</v>
      </c>
      <c r="M5424" s="16">
        <f t="shared" si="507"/>
        <v>-0.66102186233469074</v>
      </c>
      <c r="N5424">
        <f t="shared" si="508"/>
        <v>0</v>
      </c>
      <c r="O5424">
        <f t="shared" si="509"/>
        <v>0</v>
      </c>
      <c r="P5424">
        <f t="shared" si="506"/>
        <v>4200</v>
      </c>
      <c r="Q5424">
        <f t="shared" si="510"/>
        <v>4200</v>
      </c>
      <c r="T5424" s="16">
        <f t="shared" si="511"/>
        <v>-0.66102186233469118</v>
      </c>
    </row>
    <row r="5425" spans="7:20" ht="14.4" x14ac:dyDescent="0.25">
      <c r="G5425" s="10">
        <v>4029</v>
      </c>
      <c r="H5425" s="9">
        <v>28772</v>
      </c>
      <c r="I5425" s="14">
        <f>DATE(2012,12,31)-1424</f>
        <v>39850</v>
      </c>
      <c r="J5425" s="15" t="s">
        <v>17</v>
      </c>
      <c r="K5425" s="9">
        <v>4</v>
      </c>
      <c r="L5425" s="16" t="s">
        <v>27</v>
      </c>
      <c r="M5425" s="16">
        <f t="shared" si="507"/>
        <v>-1.489739181765348</v>
      </c>
      <c r="N5425">
        <f t="shared" si="508"/>
        <v>0</v>
      </c>
      <c r="O5425">
        <f t="shared" si="509"/>
        <v>0</v>
      </c>
      <c r="P5425">
        <f t="shared" si="506"/>
        <v>3600</v>
      </c>
      <c r="Q5425">
        <f t="shared" si="510"/>
        <v>3600</v>
      </c>
      <c r="T5425" s="16">
        <f t="shared" si="511"/>
        <v>-1.4897391817653485</v>
      </c>
    </row>
    <row r="5426" spans="7:20" ht="14.4" x14ac:dyDescent="0.25">
      <c r="G5426" s="10">
        <v>4087</v>
      </c>
      <c r="H5426" s="9">
        <v>29152</v>
      </c>
      <c r="I5426" s="14">
        <f>DATE(2012,12,31)-527</f>
        <v>40747</v>
      </c>
      <c r="J5426" s="15" t="s">
        <v>25</v>
      </c>
      <c r="K5426" s="9">
        <v>3</v>
      </c>
      <c r="L5426" s="16" t="s">
        <v>27</v>
      </c>
      <c r="M5426" s="16">
        <f t="shared" si="507"/>
        <v>-1.5587989583845694</v>
      </c>
      <c r="N5426">
        <f t="shared" si="508"/>
        <v>0</v>
      </c>
      <c r="O5426">
        <f t="shared" si="509"/>
        <v>0</v>
      </c>
      <c r="P5426">
        <f t="shared" si="506"/>
        <v>3550</v>
      </c>
      <c r="Q5426">
        <f t="shared" si="510"/>
        <v>3550</v>
      </c>
      <c r="T5426" s="16">
        <f t="shared" si="511"/>
        <v>-1.5587989583845698</v>
      </c>
    </row>
    <row r="5427" spans="7:20" ht="14.4" x14ac:dyDescent="0.25">
      <c r="G5427" s="10">
        <v>4088</v>
      </c>
      <c r="H5427" s="9">
        <v>29152</v>
      </c>
      <c r="I5427" s="14">
        <f>DATE(2012,12,31)-527</f>
        <v>40747</v>
      </c>
      <c r="J5427" s="15" t="s">
        <v>25</v>
      </c>
      <c r="K5427" s="9">
        <v>13</v>
      </c>
      <c r="L5427" s="16" t="s">
        <v>26</v>
      </c>
      <c r="M5427" s="16">
        <f t="shared" si="507"/>
        <v>-0.86820119219235514</v>
      </c>
      <c r="N5427">
        <f t="shared" si="508"/>
        <v>0</v>
      </c>
      <c r="O5427">
        <f t="shared" si="509"/>
        <v>0</v>
      </c>
      <c r="P5427">
        <f t="shared" si="506"/>
        <v>4050</v>
      </c>
      <c r="Q5427">
        <f t="shared" si="510"/>
        <v>4050</v>
      </c>
      <c r="T5427" s="16">
        <f t="shared" si="511"/>
        <v>-0.86820119219235548</v>
      </c>
    </row>
    <row r="5428" spans="7:20" ht="14.4" x14ac:dyDescent="0.25">
      <c r="G5428" s="10">
        <v>4177</v>
      </c>
      <c r="H5428" s="9">
        <v>29639</v>
      </c>
      <c r="I5428" s="14">
        <f>DATE(2012,12,31)-624</f>
        <v>40650</v>
      </c>
      <c r="J5428" s="15" t="s">
        <v>30</v>
      </c>
      <c r="K5428" s="9">
        <v>8</v>
      </c>
      <c r="L5428" s="16" t="s">
        <v>26</v>
      </c>
      <c r="M5428" s="16">
        <f t="shared" si="507"/>
        <v>-1.2135000752884624</v>
      </c>
      <c r="N5428">
        <f t="shared" si="508"/>
        <v>0</v>
      </c>
      <c r="O5428">
        <f t="shared" si="509"/>
        <v>0</v>
      </c>
      <c r="P5428">
        <f t="shared" si="506"/>
        <v>3800</v>
      </c>
      <c r="Q5428">
        <f t="shared" si="510"/>
        <v>3800</v>
      </c>
      <c r="T5428" s="16">
        <f t="shared" si="511"/>
        <v>-1.2135000752884626</v>
      </c>
    </row>
    <row r="5429" spans="7:20" ht="14.4" x14ac:dyDescent="0.25">
      <c r="G5429" s="10">
        <v>4275</v>
      </c>
      <c r="H5429" s="9">
        <v>30407</v>
      </c>
      <c r="I5429" s="14">
        <f>DATE(2012,12,31)-1354</f>
        <v>39920</v>
      </c>
      <c r="J5429" s="15" t="s">
        <v>25</v>
      </c>
      <c r="K5429" s="9">
        <v>41</v>
      </c>
      <c r="L5429" s="16" t="s">
        <v>26</v>
      </c>
      <c r="M5429" s="16">
        <f t="shared" si="507"/>
        <v>1.0654725531458451</v>
      </c>
      <c r="N5429">
        <f t="shared" si="508"/>
        <v>0</v>
      </c>
      <c r="O5429">
        <f t="shared" si="509"/>
        <v>0</v>
      </c>
      <c r="P5429">
        <f t="shared" si="506"/>
        <v>5450</v>
      </c>
      <c r="Q5429">
        <f t="shared" si="510"/>
        <v>5450</v>
      </c>
      <c r="T5429" s="16">
        <f t="shared" si="511"/>
        <v>1.0654725531458447</v>
      </c>
    </row>
    <row r="5430" spans="7:20" ht="14.4" x14ac:dyDescent="0.25">
      <c r="G5430" s="10">
        <v>4378</v>
      </c>
      <c r="H5430" s="9">
        <v>31175</v>
      </c>
      <c r="I5430" s="14">
        <f>DATE(2012,12,31)-1192</f>
        <v>40082</v>
      </c>
      <c r="J5430" s="15" t="s">
        <v>30</v>
      </c>
      <c r="K5430" s="9">
        <v>26</v>
      </c>
      <c r="L5430" s="16" t="s">
        <v>26</v>
      </c>
      <c r="M5430" s="16">
        <f t="shared" si="507"/>
        <v>2.9575903857523567E-2</v>
      </c>
      <c r="N5430">
        <f t="shared" si="508"/>
        <v>0</v>
      </c>
      <c r="O5430">
        <f t="shared" si="509"/>
        <v>0</v>
      </c>
      <c r="P5430">
        <f t="shared" si="506"/>
        <v>4700</v>
      </c>
      <c r="Q5430">
        <f t="shared" si="510"/>
        <v>4700</v>
      </c>
      <c r="T5430" s="16">
        <f t="shared" si="511"/>
        <v>2.9575903857523185E-2</v>
      </c>
    </row>
    <row r="5431" spans="7:20" ht="14.4" x14ac:dyDescent="0.25">
      <c r="G5431" s="10">
        <v>4565</v>
      </c>
      <c r="H5431" s="9">
        <v>32455</v>
      </c>
      <c r="I5431" s="14">
        <f>DATE(2012,12,31)-830</f>
        <v>40444</v>
      </c>
      <c r="J5431" s="15" t="s">
        <v>17</v>
      </c>
      <c r="K5431" s="9">
        <v>43</v>
      </c>
      <c r="L5431" s="16" t="s">
        <v>27</v>
      </c>
      <c r="M5431" s="16">
        <f t="shared" si="507"/>
        <v>1.203592106384288</v>
      </c>
      <c r="N5431">
        <f t="shared" si="508"/>
        <v>0</v>
      </c>
      <c r="O5431">
        <f t="shared" si="509"/>
        <v>0</v>
      </c>
      <c r="P5431">
        <f t="shared" si="506"/>
        <v>5550</v>
      </c>
      <c r="Q5431">
        <f t="shared" si="510"/>
        <v>5550</v>
      </c>
      <c r="T5431" s="16">
        <f t="shared" si="511"/>
        <v>1.2035921063842876</v>
      </c>
    </row>
    <row r="5432" spans="7:20" ht="14.4" x14ac:dyDescent="0.25">
      <c r="G5432" s="10">
        <v>4566</v>
      </c>
      <c r="H5432" s="9">
        <v>32484</v>
      </c>
      <c r="I5432" s="14">
        <f>DATE(2012,12,31)-696</f>
        <v>40578</v>
      </c>
      <c r="J5432" s="15" t="s">
        <v>28</v>
      </c>
      <c r="K5432" s="9">
        <v>9</v>
      </c>
      <c r="L5432" s="16" t="s">
        <v>29</v>
      </c>
      <c r="M5432" s="16">
        <f t="shared" si="507"/>
        <v>-1.1444402986692408</v>
      </c>
      <c r="N5432">
        <f t="shared" si="508"/>
        <v>0</v>
      </c>
      <c r="O5432">
        <f t="shared" si="509"/>
        <v>0</v>
      </c>
      <c r="P5432">
        <f t="shared" si="506"/>
        <v>3850</v>
      </c>
      <c r="Q5432">
        <f t="shared" si="510"/>
        <v>3850</v>
      </c>
      <c r="T5432" s="16">
        <f t="shared" si="511"/>
        <v>-1.1444402986692412</v>
      </c>
    </row>
    <row r="5433" spans="7:20" ht="14.4" x14ac:dyDescent="0.25">
      <c r="G5433" s="10">
        <v>4835</v>
      </c>
      <c r="H5433" s="9">
        <v>34402</v>
      </c>
      <c r="I5433" s="14">
        <f>DATE(2012,12,31)-974</f>
        <v>40300</v>
      </c>
      <c r="J5433" s="15" t="s">
        <v>17</v>
      </c>
      <c r="K5433" s="9">
        <v>38</v>
      </c>
      <c r="L5433" s="16" t="s">
        <v>26</v>
      </c>
      <c r="M5433" s="16">
        <f t="shared" si="507"/>
        <v>0.85829322328818081</v>
      </c>
      <c r="N5433">
        <f t="shared" si="508"/>
        <v>0</v>
      </c>
      <c r="O5433">
        <f t="shared" si="509"/>
        <v>0</v>
      </c>
      <c r="P5433">
        <f t="shared" si="506"/>
        <v>5300</v>
      </c>
      <c r="Q5433">
        <f t="shared" si="510"/>
        <v>5300</v>
      </c>
      <c r="T5433" s="16">
        <f t="shared" si="511"/>
        <v>0.85829322328818036</v>
      </c>
    </row>
    <row r="5434" spans="7:20" ht="14.4" x14ac:dyDescent="0.25">
      <c r="G5434" s="10">
        <v>4836</v>
      </c>
      <c r="H5434" s="9">
        <v>34402</v>
      </c>
      <c r="I5434" s="14">
        <f>DATE(2012,12,31)-974</f>
        <v>40300</v>
      </c>
      <c r="J5434" s="15" t="s">
        <v>17</v>
      </c>
      <c r="K5434" s="9">
        <v>11</v>
      </c>
      <c r="L5434" s="16" t="s">
        <v>26</v>
      </c>
      <c r="M5434" s="16">
        <f t="shared" si="507"/>
        <v>-1.0063207454307979</v>
      </c>
      <c r="N5434">
        <f t="shared" si="508"/>
        <v>0</v>
      </c>
      <c r="O5434">
        <f t="shared" si="509"/>
        <v>0</v>
      </c>
      <c r="P5434">
        <f t="shared" si="506"/>
        <v>3950</v>
      </c>
      <c r="Q5434">
        <f t="shared" si="510"/>
        <v>3950</v>
      </c>
      <c r="T5434" s="16">
        <f t="shared" si="511"/>
        <v>-1.0063207454307983</v>
      </c>
    </row>
    <row r="5435" spans="7:20" ht="14.4" x14ac:dyDescent="0.25">
      <c r="G5435" s="10">
        <v>4880</v>
      </c>
      <c r="H5435" s="9">
        <v>34723</v>
      </c>
      <c r="I5435" s="14">
        <f>DATE(2012,12,31)-22</f>
        <v>41252</v>
      </c>
      <c r="J5435" s="15" t="s">
        <v>16</v>
      </c>
      <c r="K5435" s="9">
        <v>4</v>
      </c>
      <c r="L5435" s="16" t="s">
        <v>27</v>
      </c>
      <c r="M5435" s="16">
        <f t="shared" si="507"/>
        <v>-1.489739181765348</v>
      </c>
      <c r="N5435">
        <f t="shared" si="508"/>
        <v>0</v>
      </c>
      <c r="O5435">
        <f t="shared" si="509"/>
        <v>0</v>
      </c>
      <c r="P5435">
        <f t="shared" si="506"/>
        <v>3600</v>
      </c>
      <c r="Q5435">
        <f t="shared" si="510"/>
        <v>3600</v>
      </c>
      <c r="T5435" s="16">
        <f t="shared" si="511"/>
        <v>-1.4897391817653485</v>
      </c>
    </row>
    <row r="5436" spans="7:20" ht="14.4" x14ac:dyDescent="0.25">
      <c r="G5436" s="10">
        <v>4881</v>
      </c>
      <c r="H5436" s="9">
        <v>34723</v>
      </c>
      <c r="I5436" s="14">
        <f>DATE(2012,12,31)-22</f>
        <v>41252</v>
      </c>
      <c r="J5436" s="15" t="s">
        <v>16</v>
      </c>
      <c r="K5436" s="9">
        <v>46</v>
      </c>
      <c r="L5436" s="16" t="s">
        <v>27</v>
      </c>
      <c r="M5436" s="16">
        <f t="shared" si="507"/>
        <v>1.4107714362419523</v>
      </c>
      <c r="N5436">
        <f t="shared" si="508"/>
        <v>0</v>
      </c>
      <c r="O5436">
        <f t="shared" si="509"/>
        <v>0</v>
      </c>
      <c r="P5436">
        <f t="shared" si="506"/>
        <v>5700</v>
      </c>
      <c r="Q5436">
        <f t="shared" si="510"/>
        <v>5700</v>
      </c>
      <c r="T5436" s="16">
        <f t="shared" si="511"/>
        <v>1.4107714362419519</v>
      </c>
    </row>
    <row r="5437" spans="7:20" ht="14.4" x14ac:dyDescent="0.25">
      <c r="G5437" s="10">
        <v>4882</v>
      </c>
      <c r="H5437" s="9">
        <v>34723</v>
      </c>
      <c r="I5437" s="14">
        <f>DATE(2012,12,31)-22</f>
        <v>41252</v>
      </c>
      <c r="J5437" s="15" t="s">
        <v>16</v>
      </c>
      <c r="K5437" s="9">
        <v>29</v>
      </c>
      <c r="L5437" s="16" t="s">
        <v>27</v>
      </c>
      <c r="M5437" s="16">
        <f t="shared" si="507"/>
        <v>0.23675523371518786</v>
      </c>
      <c r="N5437">
        <f t="shared" si="508"/>
        <v>0</v>
      </c>
      <c r="O5437">
        <f t="shared" si="509"/>
        <v>0</v>
      </c>
      <c r="P5437">
        <f t="shared" si="506"/>
        <v>4850</v>
      </c>
      <c r="Q5437">
        <f t="shared" si="510"/>
        <v>4850</v>
      </c>
      <c r="T5437" s="16">
        <f t="shared" si="511"/>
        <v>0.2367552337151875</v>
      </c>
    </row>
    <row r="5438" spans="7:20" ht="14.4" x14ac:dyDescent="0.25">
      <c r="G5438" s="10">
        <v>4887</v>
      </c>
      <c r="H5438" s="9">
        <v>34757</v>
      </c>
      <c r="I5438" s="14">
        <f>DATE(2012,12,31)-217</f>
        <v>41057</v>
      </c>
      <c r="J5438" s="15" t="s">
        <v>17</v>
      </c>
      <c r="K5438" s="9">
        <v>40</v>
      </c>
      <c r="L5438" s="16" t="s">
        <v>26</v>
      </c>
      <c r="M5438" s="16">
        <f t="shared" si="507"/>
        <v>0.99641277652662363</v>
      </c>
      <c r="N5438">
        <f t="shared" si="508"/>
        <v>0</v>
      </c>
      <c r="O5438">
        <f t="shared" si="509"/>
        <v>0</v>
      </c>
      <c r="P5438">
        <f t="shared" si="506"/>
        <v>5400</v>
      </c>
      <c r="Q5438">
        <f t="shared" si="510"/>
        <v>5400</v>
      </c>
      <c r="T5438" s="16">
        <f t="shared" si="511"/>
        <v>0.9964127765266233</v>
      </c>
    </row>
    <row r="5439" spans="7:20" ht="14.4" x14ac:dyDescent="0.25">
      <c r="G5439" s="10">
        <v>4905</v>
      </c>
      <c r="H5439" s="9">
        <v>34913</v>
      </c>
      <c r="I5439" s="14">
        <f>DATE(2012,12,31)-405</f>
        <v>40869</v>
      </c>
      <c r="J5439" s="15" t="s">
        <v>16</v>
      </c>
      <c r="K5439" s="9">
        <v>15</v>
      </c>
      <c r="L5439" s="16" t="s">
        <v>26</v>
      </c>
      <c r="M5439" s="16">
        <f t="shared" si="507"/>
        <v>-0.7300816389539122</v>
      </c>
      <c r="N5439">
        <f t="shared" si="508"/>
        <v>0</v>
      </c>
      <c r="O5439">
        <f t="shared" si="509"/>
        <v>0</v>
      </c>
      <c r="P5439">
        <f t="shared" si="506"/>
        <v>4150</v>
      </c>
      <c r="Q5439">
        <f t="shared" si="510"/>
        <v>4150</v>
      </c>
      <c r="T5439" s="16">
        <f t="shared" si="511"/>
        <v>-0.73008163895391265</v>
      </c>
    </row>
    <row r="5440" spans="7:20" ht="14.4" x14ac:dyDescent="0.25">
      <c r="G5440" s="10">
        <v>4938</v>
      </c>
      <c r="H5440" s="9">
        <v>35136</v>
      </c>
      <c r="I5440" s="14">
        <f>DATE(2012,12,31)-1180</f>
        <v>40094</v>
      </c>
      <c r="J5440" s="15" t="s">
        <v>30</v>
      </c>
      <c r="K5440" s="9">
        <v>23</v>
      </c>
      <c r="L5440" s="16" t="s">
        <v>26</v>
      </c>
      <c r="M5440" s="16">
        <f t="shared" si="507"/>
        <v>-0.17760342600014073</v>
      </c>
      <c r="N5440">
        <f t="shared" si="508"/>
        <v>0</v>
      </c>
      <c r="O5440">
        <f t="shared" si="509"/>
        <v>0</v>
      </c>
      <c r="P5440">
        <f t="shared" si="506"/>
        <v>4550</v>
      </c>
      <c r="Q5440">
        <f t="shared" si="510"/>
        <v>4550</v>
      </c>
      <c r="T5440" s="16">
        <f t="shared" si="511"/>
        <v>-0.17760342600014112</v>
      </c>
    </row>
    <row r="5441" spans="7:20" ht="14.4" x14ac:dyDescent="0.25">
      <c r="G5441" s="10">
        <v>4961</v>
      </c>
      <c r="H5441" s="9">
        <v>35299</v>
      </c>
      <c r="I5441" s="14">
        <f>DATE(2012,12,31)-143</f>
        <v>41131</v>
      </c>
      <c r="J5441" s="15" t="s">
        <v>28</v>
      </c>
      <c r="K5441" s="9">
        <v>41</v>
      </c>
      <c r="L5441" s="16" t="s">
        <v>27</v>
      </c>
      <c r="M5441" s="16">
        <f t="shared" si="507"/>
        <v>1.0654725531458451</v>
      </c>
      <c r="N5441">
        <f t="shared" si="508"/>
        <v>0</v>
      </c>
      <c r="O5441">
        <f t="shared" si="509"/>
        <v>0</v>
      </c>
      <c r="P5441">
        <f t="shared" si="506"/>
        <v>5450</v>
      </c>
      <c r="Q5441">
        <f t="shared" si="510"/>
        <v>5450</v>
      </c>
      <c r="T5441" s="16">
        <f t="shared" si="511"/>
        <v>1.0654725531458447</v>
      </c>
    </row>
    <row r="5442" spans="7:20" ht="14.4" x14ac:dyDescent="0.25">
      <c r="G5442" s="10">
        <v>5145</v>
      </c>
      <c r="H5442" s="9">
        <v>36676</v>
      </c>
      <c r="I5442" s="14">
        <f>DATE(2012,12,31)-494</f>
        <v>40780</v>
      </c>
      <c r="J5442" s="15" t="s">
        <v>28</v>
      </c>
      <c r="K5442" s="9">
        <v>32</v>
      </c>
      <c r="L5442" s="16" t="s">
        <v>27</v>
      </c>
      <c r="M5442" s="16">
        <f t="shared" si="507"/>
        <v>0.44393456357285216</v>
      </c>
      <c r="N5442">
        <f t="shared" si="508"/>
        <v>0</v>
      </c>
      <c r="O5442">
        <f t="shared" si="509"/>
        <v>0</v>
      </c>
      <c r="P5442">
        <f t="shared" si="506"/>
        <v>5000</v>
      </c>
      <c r="Q5442">
        <f t="shared" si="510"/>
        <v>5000</v>
      </c>
      <c r="T5442" s="16">
        <f t="shared" si="511"/>
        <v>0.44393456357285183</v>
      </c>
    </row>
    <row r="5443" spans="7:20" ht="14.4" x14ac:dyDescent="0.25">
      <c r="G5443" s="10">
        <v>5146</v>
      </c>
      <c r="H5443" s="9">
        <v>36676</v>
      </c>
      <c r="I5443" s="14">
        <f>DATE(2012,12,31)-494</f>
        <v>40780</v>
      </c>
      <c r="J5443" s="15" t="s">
        <v>28</v>
      </c>
      <c r="K5443" s="9">
        <v>15</v>
      </c>
      <c r="L5443" s="16" t="s">
        <v>26</v>
      </c>
      <c r="M5443" s="16">
        <f t="shared" si="507"/>
        <v>-0.7300816389539122</v>
      </c>
      <c r="N5443">
        <f t="shared" si="508"/>
        <v>0</v>
      </c>
      <c r="O5443">
        <f t="shared" si="509"/>
        <v>0</v>
      </c>
      <c r="P5443">
        <f t="shared" si="506"/>
        <v>4150</v>
      </c>
      <c r="Q5443">
        <f t="shared" si="510"/>
        <v>4150</v>
      </c>
      <c r="T5443" s="16">
        <f t="shared" si="511"/>
        <v>-0.73008163895391265</v>
      </c>
    </row>
    <row r="5444" spans="7:20" ht="14.4" x14ac:dyDescent="0.25">
      <c r="G5444" s="10">
        <v>5155</v>
      </c>
      <c r="H5444" s="9">
        <v>36708</v>
      </c>
      <c r="I5444" s="14">
        <f>DATE(2012,12,31)-469</f>
        <v>40805</v>
      </c>
      <c r="J5444" s="15" t="s">
        <v>28</v>
      </c>
      <c r="K5444" s="9">
        <v>46</v>
      </c>
      <c r="L5444" s="16" t="s">
        <v>27</v>
      </c>
      <c r="M5444" s="16">
        <f t="shared" si="507"/>
        <v>1.4107714362419523</v>
      </c>
      <c r="N5444">
        <f t="shared" si="508"/>
        <v>0</v>
      </c>
      <c r="O5444">
        <f t="shared" si="509"/>
        <v>0</v>
      </c>
      <c r="P5444">
        <f t="shared" si="506"/>
        <v>5700</v>
      </c>
      <c r="Q5444">
        <f t="shared" si="510"/>
        <v>5700</v>
      </c>
      <c r="T5444" s="16">
        <f t="shared" si="511"/>
        <v>1.4107714362419519</v>
      </c>
    </row>
    <row r="5445" spans="7:20" ht="14.4" x14ac:dyDescent="0.25">
      <c r="G5445" s="10">
        <v>5156</v>
      </c>
      <c r="H5445" s="9">
        <v>36708</v>
      </c>
      <c r="I5445" s="14">
        <f>DATE(2012,12,31)-469</f>
        <v>40805</v>
      </c>
      <c r="J5445" s="15" t="s">
        <v>28</v>
      </c>
      <c r="K5445" s="9">
        <v>25</v>
      </c>
      <c r="L5445" s="16" t="s">
        <v>27</v>
      </c>
      <c r="M5445" s="16">
        <f t="shared" si="507"/>
        <v>-3.9483872761697868E-2</v>
      </c>
      <c r="N5445">
        <f t="shared" si="508"/>
        <v>0</v>
      </c>
      <c r="O5445">
        <f t="shared" si="509"/>
        <v>0</v>
      </c>
      <c r="P5445">
        <f t="shared" si="506"/>
        <v>4650</v>
      </c>
      <c r="Q5445">
        <f t="shared" si="510"/>
        <v>4650</v>
      </c>
      <c r="T5445" s="16">
        <f t="shared" si="511"/>
        <v>-3.9483872761698249E-2</v>
      </c>
    </row>
    <row r="5446" spans="7:20" ht="14.4" x14ac:dyDescent="0.25">
      <c r="G5446" s="10">
        <v>5181</v>
      </c>
      <c r="H5446" s="9">
        <v>36835</v>
      </c>
      <c r="I5446" s="14">
        <f>DATE(2012,12,31)-1168</f>
        <v>40106</v>
      </c>
      <c r="J5446" s="15" t="s">
        <v>30</v>
      </c>
      <c r="K5446" s="9">
        <v>39</v>
      </c>
      <c r="L5446" s="16" t="s">
        <v>26</v>
      </c>
      <c r="M5446" s="16">
        <f t="shared" si="507"/>
        <v>0.92735299990740228</v>
      </c>
      <c r="N5446">
        <f t="shared" si="508"/>
        <v>0</v>
      </c>
      <c r="O5446">
        <f t="shared" si="509"/>
        <v>0</v>
      </c>
      <c r="P5446">
        <f t="shared" si="506"/>
        <v>5350</v>
      </c>
      <c r="Q5446">
        <f t="shared" si="510"/>
        <v>5350</v>
      </c>
      <c r="T5446" s="16">
        <f t="shared" si="511"/>
        <v>0.92735299990740183</v>
      </c>
    </row>
    <row r="5447" spans="7:20" ht="14.4" x14ac:dyDescent="0.25">
      <c r="G5447" s="10">
        <v>5182</v>
      </c>
      <c r="H5447" s="9">
        <v>36835</v>
      </c>
      <c r="I5447" s="14">
        <f>DATE(2012,12,31)-1168</f>
        <v>40106</v>
      </c>
      <c r="J5447" s="15" t="s">
        <v>30</v>
      </c>
      <c r="K5447" s="9">
        <v>25</v>
      </c>
      <c r="L5447" s="16" t="s">
        <v>29</v>
      </c>
      <c r="M5447" s="16">
        <f t="shared" si="507"/>
        <v>-3.9483872761697868E-2</v>
      </c>
      <c r="N5447">
        <f t="shared" si="508"/>
        <v>0</v>
      </c>
      <c r="O5447">
        <f t="shared" si="509"/>
        <v>0</v>
      </c>
      <c r="P5447">
        <f t="shared" si="506"/>
        <v>4650</v>
      </c>
      <c r="Q5447">
        <f t="shared" si="510"/>
        <v>4650</v>
      </c>
      <c r="T5447" s="16">
        <f t="shared" si="511"/>
        <v>-3.9483872761698249E-2</v>
      </c>
    </row>
    <row r="5448" spans="7:20" ht="14.4" x14ac:dyDescent="0.25">
      <c r="G5448" s="10">
        <v>5183</v>
      </c>
      <c r="H5448" s="9">
        <v>36835</v>
      </c>
      <c r="I5448" s="14">
        <f>DATE(2012,12,31)-1168</f>
        <v>40106</v>
      </c>
      <c r="J5448" s="15" t="s">
        <v>30</v>
      </c>
      <c r="K5448" s="9">
        <v>18</v>
      </c>
      <c r="L5448" s="16" t="s">
        <v>29</v>
      </c>
      <c r="M5448" s="16">
        <f t="shared" si="507"/>
        <v>-0.52290230909624791</v>
      </c>
      <c r="N5448">
        <f t="shared" si="508"/>
        <v>0</v>
      </c>
      <c r="O5448">
        <f t="shared" si="509"/>
        <v>0</v>
      </c>
      <c r="P5448">
        <f t="shared" si="506"/>
        <v>4300</v>
      </c>
      <c r="Q5448">
        <f t="shared" si="510"/>
        <v>4300</v>
      </c>
      <c r="T5448" s="16">
        <f t="shared" si="511"/>
        <v>-0.52290230909624835</v>
      </c>
    </row>
    <row r="5449" spans="7:20" ht="14.4" x14ac:dyDescent="0.25">
      <c r="G5449" s="10">
        <v>5218</v>
      </c>
      <c r="H5449" s="9">
        <v>37127</v>
      </c>
      <c r="I5449" s="14">
        <f>DATE(2012,12,31)-821</f>
        <v>40453</v>
      </c>
      <c r="J5449" s="15" t="s">
        <v>17</v>
      </c>
      <c r="K5449" s="9">
        <v>19</v>
      </c>
      <c r="L5449" s="16" t="s">
        <v>26</v>
      </c>
      <c r="M5449" s="16">
        <f t="shared" si="507"/>
        <v>-0.45384253247702649</v>
      </c>
      <c r="N5449">
        <f t="shared" si="508"/>
        <v>0</v>
      </c>
      <c r="O5449">
        <f t="shared" si="509"/>
        <v>0</v>
      </c>
      <c r="P5449">
        <f t="shared" si="506"/>
        <v>4350</v>
      </c>
      <c r="Q5449">
        <f t="shared" si="510"/>
        <v>4350</v>
      </c>
      <c r="T5449" s="16">
        <f t="shared" si="511"/>
        <v>-0.45384253247702688</v>
      </c>
    </row>
    <row r="5450" spans="7:20" ht="14.4" x14ac:dyDescent="0.25">
      <c r="G5450" s="10">
        <v>5288</v>
      </c>
      <c r="H5450" s="9">
        <v>37667</v>
      </c>
      <c r="I5450" s="14">
        <f>DATE(2012,12,31)-395</f>
        <v>40879</v>
      </c>
      <c r="J5450" s="15" t="s">
        <v>17</v>
      </c>
      <c r="K5450" s="9">
        <v>31</v>
      </c>
      <c r="L5450" s="16" t="s">
        <v>26</v>
      </c>
      <c r="M5450" s="16">
        <f t="shared" si="507"/>
        <v>0.37487478695363075</v>
      </c>
      <c r="N5450">
        <f t="shared" si="508"/>
        <v>0</v>
      </c>
      <c r="O5450">
        <f t="shared" si="509"/>
        <v>0</v>
      </c>
      <c r="P5450">
        <f t="shared" si="506"/>
        <v>4950</v>
      </c>
      <c r="Q5450">
        <f t="shared" si="510"/>
        <v>4950</v>
      </c>
      <c r="T5450" s="16">
        <f t="shared" si="511"/>
        <v>0.37487478695363036</v>
      </c>
    </row>
    <row r="5451" spans="7:20" ht="14.4" x14ac:dyDescent="0.25">
      <c r="G5451" s="10">
        <v>5316</v>
      </c>
      <c r="H5451" s="9">
        <v>37825</v>
      </c>
      <c r="I5451" s="14">
        <f>DATE(2012,12,31)-1258</f>
        <v>40016</v>
      </c>
      <c r="J5451" s="15" t="s">
        <v>25</v>
      </c>
      <c r="K5451" s="9">
        <v>44</v>
      </c>
      <c r="L5451" s="16" t="s">
        <v>26</v>
      </c>
      <c r="M5451" s="16">
        <f t="shared" si="507"/>
        <v>1.2726518830035094</v>
      </c>
      <c r="N5451">
        <f t="shared" si="508"/>
        <v>0</v>
      </c>
      <c r="O5451">
        <f t="shared" si="509"/>
        <v>0</v>
      </c>
      <c r="P5451">
        <f t="shared" si="506"/>
        <v>5600</v>
      </c>
      <c r="Q5451">
        <f t="shared" si="510"/>
        <v>5600</v>
      </c>
      <c r="T5451" s="16">
        <f t="shared" si="511"/>
        <v>1.272651883003509</v>
      </c>
    </row>
    <row r="5452" spans="7:20" ht="14.4" x14ac:dyDescent="0.25">
      <c r="G5452" s="10">
        <v>5317</v>
      </c>
      <c r="H5452" s="9">
        <v>37825</v>
      </c>
      <c r="I5452" s="14">
        <f>DATE(2012,12,31)-1258</f>
        <v>40016</v>
      </c>
      <c r="J5452" s="15" t="s">
        <v>25</v>
      </c>
      <c r="K5452" s="9">
        <v>41</v>
      </c>
      <c r="L5452" s="16" t="s">
        <v>26</v>
      </c>
      <c r="M5452" s="16">
        <f t="shared" si="507"/>
        <v>1.0654725531458451</v>
      </c>
      <c r="N5452">
        <f t="shared" si="508"/>
        <v>0</v>
      </c>
      <c r="O5452">
        <f t="shared" si="509"/>
        <v>0</v>
      </c>
      <c r="P5452">
        <f t="shared" ref="P5452:P5515" si="512">50*K5452+$P$10</f>
        <v>5450</v>
      </c>
      <c r="Q5452">
        <f t="shared" si="510"/>
        <v>5450</v>
      </c>
      <c r="T5452" s="16">
        <f t="shared" si="511"/>
        <v>1.0654725531458447</v>
      </c>
    </row>
    <row r="5453" spans="7:20" ht="14.4" x14ac:dyDescent="0.25">
      <c r="G5453" s="10">
        <v>5326</v>
      </c>
      <c r="H5453" s="9">
        <v>37861</v>
      </c>
      <c r="I5453" s="14">
        <f>DATE(2012,12,31)-369</f>
        <v>40905</v>
      </c>
      <c r="J5453" s="15" t="s">
        <v>28</v>
      </c>
      <c r="K5453" s="9">
        <v>32</v>
      </c>
      <c r="L5453" s="16" t="s">
        <v>26</v>
      </c>
      <c r="M5453" s="16">
        <f t="shared" ref="M5453:M5516" si="513">(K5453-$K$4)/$K$7</f>
        <v>0.44393456357285216</v>
      </c>
      <c r="N5453">
        <f t="shared" ref="N5453:N5516" si="514">IF(MOD($B$20+G5453,1000)=0,1,0)</f>
        <v>0</v>
      </c>
      <c r="O5453">
        <f t="shared" ref="O5453:O5516" si="515">+ROUND(N5453*(IF(K5453&lt;$K$4,-4.5,10.5)*$P$5),-2)</f>
        <v>0</v>
      </c>
      <c r="P5453">
        <f t="shared" si="512"/>
        <v>5000</v>
      </c>
      <c r="Q5453">
        <f t="shared" ref="Q5453:Q5516" si="516">P5453+O5453</f>
        <v>5000</v>
      </c>
      <c r="T5453" s="16">
        <f t="shared" ref="T5453:T5516" si="517">(Q5453-$P$4)/$P$5</f>
        <v>0.44393456357285183</v>
      </c>
    </row>
    <row r="5454" spans="7:20" ht="14.4" x14ac:dyDescent="0.25">
      <c r="G5454" s="10">
        <v>5342</v>
      </c>
      <c r="H5454" s="9">
        <v>37926</v>
      </c>
      <c r="I5454" s="14">
        <f>DATE(2012,12,31)-1210</f>
        <v>40064</v>
      </c>
      <c r="J5454" s="15" t="s">
        <v>30</v>
      </c>
      <c r="K5454" s="9">
        <v>31</v>
      </c>
      <c r="L5454" s="16" t="s">
        <v>26</v>
      </c>
      <c r="M5454" s="16">
        <f t="shared" si="513"/>
        <v>0.37487478695363075</v>
      </c>
      <c r="N5454">
        <f t="shared" si="514"/>
        <v>0</v>
      </c>
      <c r="O5454">
        <f t="shared" si="515"/>
        <v>0</v>
      </c>
      <c r="P5454">
        <f t="shared" si="512"/>
        <v>4950</v>
      </c>
      <c r="Q5454">
        <f t="shared" si="516"/>
        <v>4950</v>
      </c>
      <c r="T5454" s="16">
        <f t="shared" si="517"/>
        <v>0.37487478695363036</v>
      </c>
    </row>
    <row r="5455" spans="7:20" ht="14.4" x14ac:dyDescent="0.25">
      <c r="G5455" s="10">
        <v>5385</v>
      </c>
      <c r="H5455" s="9">
        <v>38304</v>
      </c>
      <c r="I5455" s="14">
        <f>DATE(2012,12,31)-650</f>
        <v>40624</v>
      </c>
      <c r="J5455" s="15" t="s">
        <v>17</v>
      </c>
      <c r="K5455" s="9">
        <v>7</v>
      </c>
      <c r="L5455" s="16" t="s">
        <v>26</v>
      </c>
      <c r="M5455" s="16">
        <f t="shared" si="513"/>
        <v>-1.2825598519076837</v>
      </c>
      <c r="N5455">
        <f t="shared" si="514"/>
        <v>0</v>
      </c>
      <c r="O5455">
        <f t="shared" si="515"/>
        <v>0</v>
      </c>
      <c r="P5455">
        <f t="shared" si="512"/>
        <v>3750</v>
      </c>
      <c r="Q5455">
        <f t="shared" si="516"/>
        <v>3750</v>
      </c>
      <c r="T5455" s="16">
        <f t="shared" si="517"/>
        <v>-1.2825598519076842</v>
      </c>
    </row>
    <row r="5456" spans="7:20" ht="14.4" x14ac:dyDescent="0.25">
      <c r="G5456" s="10">
        <v>5495</v>
      </c>
      <c r="H5456" s="9">
        <v>38978</v>
      </c>
      <c r="I5456" s="14">
        <f>DATE(2012,12,31)-1246</f>
        <v>40028</v>
      </c>
      <c r="J5456" s="15" t="s">
        <v>25</v>
      </c>
      <c r="K5456" s="9">
        <v>24</v>
      </c>
      <c r="L5456" s="16" t="s">
        <v>29</v>
      </c>
      <c r="M5456" s="16">
        <f t="shared" si="513"/>
        <v>-0.1085436493809193</v>
      </c>
      <c r="N5456">
        <f t="shared" si="514"/>
        <v>0</v>
      </c>
      <c r="O5456">
        <f t="shared" si="515"/>
        <v>0</v>
      </c>
      <c r="P5456">
        <f t="shared" si="512"/>
        <v>4600</v>
      </c>
      <c r="Q5456">
        <f t="shared" si="516"/>
        <v>4600</v>
      </c>
      <c r="T5456" s="16">
        <f t="shared" si="517"/>
        <v>-0.10854364938091969</v>
      </c>
    </row>
    <row r="5457" spans="7:20" ht="14.4" x14ac:dyDescent="0.25">
      <c r="G5457" s="10">
        <v>5543</v>
      </c>
      <c r="H5457" s="9">
        <v>39267</v>
      </c>
      <c r="I5457" s="14">
        <f>DATE(2012,12,31)-1078</f>
        <v>40196</v>
      </c>
      <c r="J5457" s="15" t="s">
        <v>17</v>
      </c>
      <c r="K5457" s="9">
        <v>26</v>
      </c>
      <c r="L5457" s="16" t="s">
        <v>29</v>
      </c>
      <c r="M5457" s="16">
        <f t="shared" si="513"/>
        <v>2.9575903857523567E-2</v>
      </c>
      <c r="N5457">
        <f t="shared" si="514"/>
        <v>0</v>
      </c>
      <c r="O5457">
        <f t="shared" si="515"/>
        <v>0</v>
      </c>
      <c r="P5457">
        <f t="shared" si="512"/>
        <v>4700</v>
      </c>
      <c r="Q5457">
        <f t="shared" si="516"/>
        <v>4700</v>
      </c>
      <c r="T5457" s="16">
        <f t="shared" si="517"/>
        <v>2.9575903857523185E-2</v>
      </c>
    </row>
    <row r="5458" spans="7:20" ht="14.4" x14ac:dyDescent="0.25">
      <c r="G5458" s="10">
        <v>5544</v>
      </c>
      <c r="H5458" s="9">
        <v>39267</v>
      </c>
      <c r="I5458" s="14">
        <f>DATE(2012,12,31)-1078</f>
        <v>40196</v>
      </c>
      <c r="J5458" s="15" t="s">
        <v>17</v>
      </c>
      <c r="K5458" s="9">
        <v>46</v>
      </c>
      <c r="L5458" s="16" t="s">
        <v>26</v>
      </c>
      <c r="M5458" s="16">
        <f t="shared" si="513"/>
        <v>1.4107714362419523</v>
      </c>
      <c r="N5458">
        <f t="shared" si="514"/>
        <v>0</v>
      </c>
      <c r="O5458">
        <f t="shared" si="515"/>
        <v>0</v>
      </c>
      <c r="P5458">
        <f t="shared" si="512"/>
        <v>5700</v>
      </c>
      <c r="Q5458">
        <f t="shared" si="516"/>
        <v>5700</v>
      </c>
      <c r="T5458" s="16">
        <f t="shared" si="517"/>
        <v>1.4107714362419519</v>
      </c>
    </row>
    <row r="5459" spans="7:20" ht="14.4" x14ac:dyDescent="0.25">
      <c r="G5459" s="10">
        <v>5738</v>
      </c>
      <c r="H5459" s="9">
        <v>40772</v>
      </c>
      <c r="I5459" s="14">
        <f>DATE(2012,12,31)-322</f>
        <v>40952</v>
      </c>
      <c r="J5459" s="15" t="s">
        <v>30</v>
      </c>
      <c r="K5459" s="9">
        <v>15</v>
      </c>
      <c r="L5459" s="16" t="s">
        <v>26</v>
      </c>
      <c r="M5459" s="16">
        <f t="shared" si="513"/>
        <v>-0.7300816389539122</v>
      </c>
      <c r="N5459">
        <f t="shared" si="514"/>
        <v>0</v>
      </c>
      <c r="O5459">
        <f t="shared" si="515"/>
        <v>0</v>
      </c>
      <c r="P5459">
        <f t="shared" si="512"/>
        <v>4150</v>
      </c>
      <c r="Q5459">
        <f t="shared" si="516"/>
        <v>4150</v>
      </c>
      <c r="T5459" s="16">
        <f t="shared" si="517"/>
        <v>-0.73008163895391265</v>
      </c>
    </row>
    <row r="5460" spans="7:20" ht="14.4" x14ac:dyDescent="0.25">
      <c r="G5460" s="10">
        <v>5765</v>
      </c>
      <c r="H5460" s="9">
        <v>40928</v>
      </c>
      <c r="I5460" s="14">
        <f>DATE(2012,12,31)-1206</f>
        <v>40068</v>
      </c>
      <c r="J5460" s="15" t="s">
        <v>25</v>
      </c>
      <c r="K5460" s="9">
        <v>4</v>
      </c>
      <c r="L5460" s="16" t="s">
        <v>27</v>
      </c>
      <c r="M5460" s="16">
        <f t="shared" si="513"/>
        <v>-1.489739181765348</v>
      </c>
      <c r="N5460">
        <f t="shared" si="514"/>
        <v>0</v>
      </c>
      <c r="O5460">
        <f t="shared" si="515"/>
        <v>0</v>
      </c>
      <c r="P5460">
        <f t="shared" si="512"/>
        <v>3600</v>
      </c>
      <c r="Q5460">
        <f t="shared" si="516"/>
        <v>3600</v>
      </c>
      <c r="T5460" s="16">
        <f t="shared" si="517"/>
        <v>-1.4897391817653485</v>
      </c>
    </row>
    <row r="5461" spans="7:20" ht="14.4" x14ac:dyDescent="0.25">
      <c r="G5461" s="10">
        <v>5812</v>
      </c>
      <c r="H5461" s="9">
        <v>41216</v>
      </c>
      <c r="I5461" s="14">
        <f>DATE(2012,12,31)-1279</f>
        <v>39995</v>
      </c>
      <c r="J5461" s="15" t="s">
        <v>28</v>
      </c>
      <c r="K5461" s="9">
        <v>8</v>
      </c>
      <c r="L5461" s="16" t="s">
        <v>26</v>
      </c>
      <c r="M5461" s="16">
        <f t="shared" si="513"/>
        <v>-1.2135000752884624</v>
      </c>
      <c r="N5461">
        <f t="shared" si="514"/>
        <v>0</v>
      </c>
      <c r="O5461">
        <f t="shared" si="515"/>
        <v>0</v>
      </c>
      <c r="P5461">
        <f t="shared" si="512"/>
        <v>3800</v>
      </c>
      <c r="Q5461">
        <f t="shared" si="516"/>
        <v>3800</v>
      </c>
      <c r="T5461" s="16">
        <f t="shared" si="517"/>
        <v>-1.2135000752884626</v>
      </c>
    </row>
    <row r="5462" spans="7:20" ht="14.4" x14ac:dyDescent="0.25">
      <c r="G5462" s="10">
        <v>5813</v>
      </c>
      <c r="H5462" s="9">
        <v>41216</v>
      </c>
      <c r="I5462" s="14">
        <f>DATE(2012,12,31)-1279</f>
        <v>39995</v>
      </c>
      <c r="J5462" s="15" t="s">
        <v>28</v>
      </c>
      <c r="K5462" s="9">
        <v>45</v>
      </c>
      <c r="L5462" s="16" t="s">
        <v>29</v>
      </c>
      <c r="M5462" s="16">
        <f t="shared" si="513"/>
        <v>1.3417116596227308</v>
      </c>
      <c r="N5462">
        <f t="shared" si="514"/>
        <v>0</v>
      </c>
      <c r="O5462">
        <f t="shared" si="515"/>
        <v>0</v>
      </c>
      <c r="P5462">
        <f t="shared" si="512"/>
        <v>5650</v>
      </c>
      <c r="Q5462">
        <f t="shared" si="516"/>
        <v>5650</v>
      </c>
      <c r="T5462" s="16">
        <f t="shared" si="517"/>
        <v>1.3417116596227305</v>
      </c>
    </row>
    <row r="5463" spans="7:20" ht="14.4" x14ac:dyDescent="0.25">
      <c r="G5463" s="10">
        <v>5966</v>
      </c>
      <c r="H5463" s="9">
        <v>42310</v>
      </c>
      <c r="I5463" s="14">
        <f>DATE(2012,12,31)-1259</f>
        <v>40015</v>
      </c>
      <c r="J5463" s="15" t="s">
        <v>30</v>
      </c>
      <c r="K5463" s="9">
        <v>20</v>
      </c>
      <c r="L5463" s="16" t="s">
        <v>27</v>
      </c>
      <c r="M5463" s="16">
        <f t="shared" si="513"/>
        <v>-0.38478275585780503</v>
      </c>
      <c r="N5463">
        <f t="shared" si="514"/>
        <v>0</v>
      </c>
      <c r="O5463">
        <f t="shared" si="515"/>
        <v>0</v>
      </c>
      <c r="P5463">
        <f t="shared" si="512"/>
        <v>4400</v>
      </c>
      <c r="Q5463">
        <f t="shared" si="516"/>
        <v>4400</v>
      </c>
      <c r="T5463" s="16">
        <f t="shared" si="517"/>
        <v>-0.38478275585780541</v>
      </c>
    </row>
    <row r="5464" spans="7:20" ht="14.4" x14ac:dyDescent="0.25">
      <c r="G5464" s="10">
        <v>5983</v>
      </c>
      <c r="H5464" s="9">
        <v>42403</v>
      </c>
      <c r="I5464" s="14">
        <f>DATE(2012,12,31)-1290</f>
        <v>39984</v>
      </c>
      <c r="J5464" s="15" t="s">
        <v>28</v>
      </c>
      <c r="K5464" s="9">
        <v>38</v>
      </c>
      <c r="L5464" s="16" t="s">
        <v>26</v>
      </c>
      <c r="M5464" s="16">
        <f t="shared" si="513"/>
        <v>0.85829322328818081</v>
      </c>
      <c r="N5464">
        <f t="shared" si="514"/>
        <v>0</v>
      </c>
      <c r="O5464">
        <f t="shared" si="515"/>
        <v>0</v>
      </c>
      <c r="P5464">
        <f t="shared" si="512"/>
        <v>5300</v>
      </c>
      <c r="Q5464">
        <f t="shared" si="516"/>
        <v>5300</v>
      </c>
      <c r="T5464" s="16">
        <f t="shared" si="517"/>
        <v>0.85829322328818036</v>
      </c>
    </row>
    <row r="5465" spans="7:20" ht="14.4" x14ac:dyDescent="0.25">
      <c r="G5465" s="10">
        <v>5984</v>
      </c>
      <c r="H5465" s="9">
        <v>42403</v>
      </c>
      <c r="I5465" s="14">
        <f>DATE(2012,12,31)-1290</f>
        <v>39984</v>
      </c>
      <c r="J5465" s="15" t="s">
        <v>28</v>
      </c>
      <c r="K5465" s="9">
        <v>47</v>
      </c>
      <c r="L5465" s="16" t="s">
        <v>26</v>
      </c>
      <c r="M5465" s="16">
        <f t="shared" si="513"/>
        <v>1.4798312128611737</v>
      </c>
      <c r="N5465">
        <f t="shared" si="514"/>
        <v>0</v>
      </c>
      <c r="O5465">
        <f t="shared" si="515"/>
        <v>0</v>
      </c>
      <c r="P5465">
        <f t="shared" si="512"/>
        <v>5750</v>
      </c>
      <c r="Q5465">
        <f t="shared" si="516"/>
        <v>5750</v>
      </c>
      <c r="T5465" s="16">
        <f t="shared" si="517"/>
        <v>1.4798312128611733</v>
      </c>
    </row>
    <row r="5466" spans="7:20" ht="14.4" x14ac:dyDescent="0.25">
      <c r="G5466" s="10">
        <v>6089</v>
      </c>
      <c r="H5466" s="9">
        <v>43138</v>
      </c>
      <c r="I5466" s="14">
        <f>DATE(2012,12,31)-292</f>
        <v>40982</v>
      </c>
      <c r="J5466" s="15" t="s">
        <v>25</v>
      </c>
      <c r="K5466" s="9">
        <v>43</v>
      </c>
      <c r="L5466" s="16" t="s">
        <v>26</v>
      </c>
      <c r="M5466" s="16">
        <f t="shared" si="513"/>
        <v>1.203592106384288</v>
      </c>
      <c r="N5466">
        <f t="shared" si="514"/>
        <v>0</v>
      </c>
      <c r="O5466">
        <f t="shared" si="515"/>
        <v>0</v>
      </c>
      <c r="P5466">
        <f t="shared" si="512"/>
        <v>5550</v>
      </c>
      <c r="Q5466">
        <f t="shared" si="516"/>
        <v>5550</v>
      </c>
      <c r="T5466" s="16">
        <f t="shared" si="517"/>
        <v>1.2035921063842876</v>
      </c>
    </row>
    <row r="5467" spans="7:20" ht="14.4" x14ac:dyDescent="0.25">
      <c r="G5467" s="10">
        <v>6090</v>
      </c>
      <c r="H5467" s="9">
        <v>43138</v>
      </c>
      <c r="I5467" s="14">
        <f>DATE(2012,12,31)-292</f>
        <v>40982</v>
      </c>
      <c r="J5467" s="15" t="s">
        <v>25</v>
      </c>
      <c r="K5467" s="9">
        <v>50</v>
      </c>
      <c r="L5467" s="16" t="s">
        <v>29</v>
      </c>
      <c r="M5467" s="16">
        <f t="shared" si="513"/>
        <v>1.687010542718838</v>
      </c>
      <c r="N5467">
        <f t="shared" si="514"/>
        <v>0</v>
      </c>
      <c r="O5467">
        <f t="shared" si="515"/>
        <v>0</v>
      </c>
      <c r="P5467">
        <f t="shared" si="512"/>
        <v>5900</v>
      </c>
      <c r="Q5467">
        <f t="shared" si="516"/>
        <v>5900</v>
      </c>
      <c r="T5467" s="16">
        <f t="shared" si="517"/>
        <v>1.6870105427188375</v>
      </c>
    </row>
    <row r="5468" spans="7:20" ht="14.4" x14ac:dyDescent="0.25">
      <c r="G5468" s="10">
        <v>6098</v>
      </c>
      <c r="H5468" s="9">
        <v>43206</v>
      </c>
      <c r="I5468" s="14">
        <f>DATE(2012,12,31)-1226</f>
        <v>40048</v>
      </c>
      <c r="J5468" s="15" t="s">
        <v>16</v>
      </c>
      <c r="K5468" s="9">
        <v>16</v>
      </c>
      <c r="L5468" s="16" t="s">
        <v>27</v>
      </c>
      <c r="M5468" s="16">
        <f t="shared" si="513"/>
        <v>-0.66102186233469074</v>
      </c>
      <c r="N5468">
        <f t="shared" si="514"/>
        <v>0</v>
      </c>
      <c r="O5468">
        <f t="shared" si="515"/>
        <v>0</v>
      </c>
      <c r="P5468">
        <f t="shared" si="512"/>
        <v>4200</v>
      </c>
      <c r="Q5468">
        <f t="shared" si="516"/>
        <v>4200</v>
      </c>
      <c r="T5468" s="16">
        <f t="shared" si="517"/>
        <v>-0.66102186233469118</v>
      </c>
    </row>
    <row r="5469" spans="7:20" ht="14.4" x14ac:dyDescent="0.25">
      <c r="G5469" s="10">
        <v>6099</v>
      </c>
      <c r="H5469" s="9">
        <v>43207</v>
      </c>
      <c r="I5469" s="14">
        <f>DATE(2012,12,31)-936</f>
        <v>40338</v>
      </c>
      <c r="J5469" s="15" t="s">
        <v>25</v>
      </c>
      <c r="K5469" s="9">
        <v>45</v>
      </c>
      <c r="L5469" s="16" t="s">
        <v>29</v>
      </c>
      <c r="M5469" s="16">
        <f t="shared" si="513"/>
        <v>1.3417116596227308</v>
      </c>
      <c r="N5469">
        <f t="shared" si="514"/>
        <v>0</v>
      </c>
      <c r="O5469">
        <f t="shared" si="515"/>
        <v>0</v>
      </c>
      <c r="P5469">
        <f t="shared" si="512"/>
        <v>5650</v>
      </c>
      <c r="Q5469">
        <f t="shared" si="516"/>
        <v>5650</v>
      </c>
      <c r="T5469" s="16">
        <f t="shared" si="517"/>
        <v>1.3417116596227305</v>
      </c>
    </row>
    <row r="5470" spans="7:20" ht="14.4" x14ac:dyDescent="0.25">
      <c r="G5470" s="10">
        <v>6100</v>
      </c>
      <c r="H5470" s="9">
        <v>43207</v>
      </c>
      <c r="I5470" s="14">
        <f>DATE(2012,12,31)-936</f>
        <v>40338</v>
      </c>
      <c r="J5470" s="15" t="s">
        <v>25</v>
      </c>
      <c r="K5470" s="9">
        <v>41</v>
      </c>
      <c r="L5470" s="16" t="s">
        <v>26</v>
      </c>
      <c r="M5470" s="16">
        <f t="shared" si="513"/>
        <v>1.0654725531458451</v>
      </c>
      <c r="N5470">
        <f t="shared" si="514"/>
        <v>0</v>
      </c>
      <c r="O5470">
        <f t="shared" si="515"/>
        <v>0</v>
      </c>
      <c r="P5470">
        <f t="shared" si="512"/>
        <v>5450</v>
      </c>
      <c r="Q5470">
        <f t="shared" si="516"/>
        <v>5450</v>
      </c>
      <c r="T5470" s="16">
        <f t="shared" si="517"/>
        <v>1.0654725531458447</v>
      </c>
    </row>
    <row r="5471" spans="7:20" ht="14.4" x14ac:dyDescent="0.25">
      <c r="G5471" s="10">
        <v>6101</v>
      </c>
      <c r="H5471" s="9">
        <v>43207</v>
      </c>
      <c r="I5471" s="14">
        <f>DATE(2012,12,31)-936</f>
        <v>40338</v>
      </c>
      <c r="J5471" s="15" t="s">
        <v>25</v>
      </c>
      <c r="K5471" s="9">
        <v>8</v>
      </c>
      <c r="L5471" s="16" t="s">
        <v>26</v>
      </c>
      <c r="M5471" s="16">
        <f t="shared" si="513"/>
        <v>-1.2135000752884624</v>
      </c>
      <c r="N5471">
        <f t="shared" si="514"/>
        <v>0</v>
      </c>
      <c r="O5471">
        <f t="shared" si="515"/>
        <v>0</v>
      </c>
      <c r="P5471">
        <f t="shared" si="512"/>
        <v>3800</v>
      </c>
      <c r="Q5471">
        <f t="shared" si="516"/>
        <v>3800</v>
      </c>
      <c r="T5471" s="16">
        <f t="shared" si="517"/>
        <v>-1.2135000752884626</v>
      </c>
    </row>
    <row r="5472" spans="7:20" ht="14.4" x14ac:dyDescent="0.25">
      <c r="G5472" s="10">
        <v>6160</v>
      </c>
      <c r="H5472" s="9">
        <v>43650</v>
      </c>
      <c r="I5472" s="14">
        <f>DATE(2012,12,31)-1379</f>
        <v>39895</v>
      </c>
      <c r="J5472" s="15" t="s">
        <v>28</v>
      </c>
      <c r="K5472" s="9">
        <v>3</v>
      </c>
      <c r="L5472" s="16" t="s">
        <v>27</v>
      </c>
      <c r="M5472" s="16">
        <f t="shared" si="513"/>
        <v>-1.5587989583845694</v>
      </c>
      <c r="N5472">
        <f t="shared" si="514"/>
        <v>0</v>
      </c>
      <c r="O5472">
        <f t="shared" si="515"/>
        <v>0</v>
      </c>
      <c r="P5472">
        <f t="shared" si="512"/>
        <v>3550</v>
      </c>
      <c r="Q5472">
        <f t="shared" si="516"/>
        <v>3550</v>
      </c>
      <c r="T5472" s="16">
        <f t="shared" si="517"/>
        <v>-1.5587989583845698</v>
      </c>
    </row>
    <row r="5473" spans="7:20" ht="14.4" x14ac:dyDescent="0.25">
      <c r="G5473" s="10">
        <v>6161</v>
      </c>
      <c r="H5473" s="9">
        <v>43650</v>
      </c>
      <c r="I5473" s="14">
        <f>DATE(2012,12,31)-1379</f>
        <v>39895</v>
      </c>
      <c r="J5473" s="15" t="s">
        <v>28</v>
      </c>
      <c r="K5473" s="9">
        <v>7</v>
      </c>
      <c r="L5473" s="16" t="s">
        <v>26</v>
      </c>
      <c r="M5473" s="16">
        <f t="shared" si="513"/>
        <v>-1.2825598519076837</v>
      </c>
      <c r="N5473">
        <f t="shared" si="514"/>
        <v>0</v>
      </c>
      <c r="O5473">
        <f t="shared" si="515"/>
        <v>0</v>
      </c>
      <c r="P5473">
        <f t="shared" si="512"/>
        <v>3750</v>
      </c>
      <c r="Q5473">
        <f t="shared" si="516"/>
        <v>3750</v>
      </c>
      <c r="T5473" s="16">
        <f t="shared" si="517"/>
        <v>-1.2825598519076842</v>
      </c>
    </row>
    <row r="5474" spans="7:20" ht="14.4" x14ac:dyDescent="0.25">
      <c r="G5474" s="10">
        <v>6253</v>
      </c>
      <c r="H5474" s="9">
        <v>44290</v>
      </c>
      <c r="I5474" s="14">
        <f>DATE(2012,12,31)-1016</f>
        <v>40258</v>
      </c>
      <c r="J5474" s="15" t="s">
        <v>16</v>
      </c>
      <c r="K5474" s="9">
        <v>49</v>
      </c>
      <c r="L5474" s="16" t="s">
        <v>29</v>
      </c>
      <c r="M5474" s="16">
        <f t="shared" si="513"/>
        <v>1.6179507660996166</v>
      </c>
      <c r="N5474">
        <f t="shared" si="514"/>
        <v>0</v>
      </c>
      <c r="O5474">
        <f t="shared" si="515"/>
        <v>0</v>
      </c>
      <c r="P5474">
        <f t="shared" si="512"/>
        <v>5850</v>
      </c>
      <c r="Q5474">
        <f t="shared" si="516"/>
        <v>5850</v>
      </c>
      <c r="T5474" s="16">
        <f t="shared" si="517"/>
        <v>1.6179507660996162</v>
      </c>
    </row>
    <row r="5475" spans="7:20" ht="14.4" x14ac:dyDescent="0.25">
      <c r="G5475" s="10">
        <v>6254</v>
      </c>
      <c r="H5475" s="9">
        <v>44290</v>
      </c>
      <c r="I5475" s="14">
        <f>DATE(2012,12,31)-1016</f>
        <v>40258</v>
      </c>
      <c r="J5475" s="15" t="s">
        <v>16</v>
      </c>
      <c r="K5475" s="9">
        <v>28</v>
      </c>
      <c r="L5475" s="16" t="s">
        <v>26</v>
      </c>
      <c r="M5475" s="16">
        <f t="shared" si="513"/>
        <v>0.16769545709596645</v>
      </c>
      <c r="N5475">
        <f t="shared" si="514"/>
        <v>0</v>
      </c>
      <c r="O5475">
        <f t="shared" si="515"/>
        <v>0</v>
      </c>
      <c r="P5475">
        <f t="shared" si="512"/>
        <v>4800</v>
      </c>
      <c r="Q5475">
        <f t="shared" si="516"/>
        <v>4800</v>
      </c>
      <c r="T5475" s="16">
        <f t="shared" si="517"/>
        <v>0.16769545709596606</v>
      </c>
    </row>
    <row r="5476" spans="7:20" ht="14.4" x14ac:dyDescent="0.25">
      <c r="G5476" s="10">
        <v>6255</v>
      </c>
      <c r="H5476" s="9">
        <v>44290</v>
      </c>
      <c r="I5476" s="14">
        <f>DATE(2012,12,31)-1016</f>
        <v>40258</v>
      </c>
      <c r="J5476" s="15" t="s">
        <v>16</v>
      </c>
      <c r="K5476" s="9">
        <v>41</v>
      </c>
      <c r="L5476" s="16" t="s">
        <v>26</v>
      </c>
      <c r="M5476" s="16">
        <f t="shared" si="513"/>
        <v>1.0654725531458451</v>
      </c>
      <c r="N5476">
        <f t="shared" si="514"/>
        <v>0</v>
      </c>
      <c r="O5476">
        <f t="shared" si="515"/>
        <v>0</v>
      </c>
      <c r="P5476">
        <f t="shared" si="512"/>
        <v>5450</v>
      </c>
      <c r="Q5476">
        <f t="shared" si="516"/>
        <v>5450</v>
      </c>
      <c r="T5476" s="16">
        <f t="shared" si="517"/>
        <v>1.0654725531458447</v>
      </c>
    </row>
    <row r="5477" spans="7:20" ht="14.4" x14ac:dyDescent="0.25">
      <c r="G5477" s="10">
        <v>6304</v>
      </c>
      <c r="H5477" s="9">
        <v>44613</v>
      </c>
      <c r="I5477" s="14">
        <f>DATE(2012,12,31)-854</f>
        <v>40420</v>
      </c>
      <c r="J5477" s="15" t="s">
        <v>17</v>
      </c>
      <c r="K5477" s="9">
        <v>34</v>
      </c>
      <c r="L5477" s="16" t="s">
        <v>26</v>
      </c>
      <c r="M5477" s="16">
        <f t="shared" si="513"/>
        <v>0.58205411681129504</v>
      </c>
      <c r="N5477">
        <f t="shared" si="514"/>
        <v>0</v>
      </c>
      <c r="O5477">
        <f t="shared" si="515"/>
        <v>0</v>
      </c>
      <c r="P5477">
        <f t="shared" si="512"/>
        <v>5100</v>
      </c>
      <c r="Q5477">
        <f t="shared" si="516"/>
        <v>5100</v>
      </c>
      <c r="T5477" s="16">
        <f t="shared" si="517"/>
        <v>0.58205411681129471</v>
      </c>
    </row>
    <row r="5478" spans="7:20" ht="14.4" x14ac:dyDescent="0.25">
      <c r="G5478" s="10">
        <v>6305</v>
      </c>
      <c r="H5478" s="9">
        <v>44613</v>
      </c>
      <c r="I5478" s="14">
        <f>DATE(2012,12,31)-854</f>
        <v>40420</v>
      </c>
      <c r="J5478" s="15" t="s">
        <v>17</v>
      </c>
      <c r="K5478" s="9">
        <v>17</v>
      </c>
      <c r="L5478" s="16" t="s">
        <v>27</v>
      </c>
      <c r="M5478" s="16">
        <f t="shared" si="513"/>
        <v>-0.59196208571546938</v>
      </c>
      <c r="N5478">
        <f t="shared" si="514"/>
        <v>0</v>
      </c>
      <c r="O5478">
        <f t="shared" si="515"/>
        <v>0</v>
      </c>
      <c r="P5478">
        <f t="shared" si="512"/>
        <v>4250</v>
      </c>
      <c r="Q5478">
        <f t="shared" si="516"/>
        <v>4250</v>
      </c>
      <c r="T5478" s="16">
        <f t="shared" si="517"/>
        <v>-0.59196208571546971</v>
      </c>
    </row>
    <row r="5479" spans="7:20" ht="14.4" x14ac:dyDescent="0.25">
      <c r="G5479" s="10">
        <v>6306</v>
      </c>
      <c r="H5479" s="9">
        <v>44613</v>
      </c>
      <c r="I5479" s="14">
        <f>DATE(2012,12,31)-854</f>
        <v>40420</v>
      </c>
      <c r="J5479" s="15" t="s">
        <v>17</v>
      </c>
      <c r="K5479" s="9">
        <v>45</v>
      </c>
      <c r="L5479" s="16" t="s">
        <v>26</v>
      </c>
      <c r="M5479" s="16">
        <f t="shared" si="513"/>
        <v>1.3417116596227308</v>
      </c>
      <c r="N5479">
        <f t="shared" si="514"/>
        <v>0</v>
      </c>
      <c r="O5479">
        <f t="shared" si="515"/>
        <v>0</v>
      </c>
      <c r="P5479">
        <f t="shared" si="512"/>
        <v>5650</v>
      </c>
      <c r="Q5479">
        <f t="shared" si="516"/>
        <v>5650</v>
      </c>
      <c r="T5479" s="16">
        <f t="shared" si="517"/>
        <v>1.3417116596227305</v>
      </c>
    </row>
    <row r="5480" spans="7:20" ht="14.4" x14ac:dyDescent="0.25">
      <c r="G5480" s="10">
        <v>6344</v>
      </c>
      <c r="H5480" s="9">
        <v>44965</v>
      </c>
      <c r="I5480" s="14">
        <f>DATE(2012,12,31)-456</f>
        <v>40818</v>
      </c>
      <c r="J5480" s="15" t="s">
        <v>25</v>
      </c>
      <c r="K5480" s="9">
        <v>19</v>
      </c>
      <c r="L5480" s="16" t="s">
        <v>26</v>
      </c>
      <c r="M5480" s="16">
        <f t="shared" si="513"/>
        <v>-0.45384253247702649</v>
      </c>
      <c r="N5480">
        <f t="shared" si="514"/>
        <v>0</v>
      </c>
      <c r="O5480">
        <f t="shared" si="515"/>
        <v>0</v>
      </c>
      <c r="P5480">
        <f t="shared" si="512"/>
        <v>4350</v>
      </c>
      <c r="Q5480">
        <f t="shared" si="516"/>
        <v>4350</v>
      </c>
      <c r="T5480" s="16">
        <f t="shared" si="517"/>
        <v>-0.45384253247702688</v>
      </c>
    </row>
    <row r="5481" spans="7:20" ht="14.4" x14ac:dyDescent="0.25">
      <c r="G5481" s="10">
        <v>6345</v>
      </c>
      <c r="H5481" s="9">
        <v>44965</v>
      </c>
      <c r="I5481" s="14">
        <f>DATE(2012,12,31)-456</f>
        <v>40818</v>
      </c>
      <c r="J5481" s="15" t="s">
        <v>25</v>
      </c>
      <c r="K5481" s="9">
        <v>45</v>
      </c>
      <c r="L5481" s="16" t="s">
        <v>26</v>
      </c>
      <c r="M5481" s="16">
        <f t="shared" si="513"/>
        <v>1.3417116596227308</v>
      </c>
      <c r="N5481">
        <f t="shared" si="514"/>
        <v>0</v>
      </c>
      <c r="O5481">
        <f t="shared" si="515"/>
        <v>0</v>
      </c>
      <c r="P5481">
        <f t="shared" si="512"/>
        <v>5650</v>
      </c>
      <c r="Q5481">
        <f t="shared" si="516"/>
        <v>5650</v>
      </c>
      <c r="T5481" s="16">
        <f t="shared" si="517"/>
        <v>1.3417116596227305</v>
      </c>
    </row>
    <row r="5482" spans="7:20" ht="14.4" x14ac:dyDescent="0.25">
      <c r="G5482" s="10">
        <v>6435</v>
      </c>
      <c r="H5482" s="9">
        <v>45733</v>
      </c>
      <c r="I5482" s="14">
        <f>DATE(2012,12,31)-756</f>
        <v>40518</v>
      </c>
      <c r="J5482" s="15" t="s">
        <v>30</v>
      </c>
      <c r="K5482" s="9">
        <v>39</v>
      </c>
      <c r="L5482" s="16" t="s">
        <v>26</v>
      </c>
      <c r="M5482" s="16">
        <f t="shared" si="513"/>
        <v>0.92735299990740228</v>
      </c>
      <c r="N5482">
        <f t="shared" si="514"/>
        <v>0</v>
      </c>
      <c r="O5482">
        <f t="shared" si="515"/>
        <v>0</v>
      </c>
      <c r="P5482">
        <f t="shared" si="512"/>
        <v>5350</v>
      </c>
      <c r="Q5482">
        <f t="shared" si="516"/>
        <v>5350</v>
      </c>
      <c r="T5482" s="16">
        <f t="shared" si="517"/>
        <v>0.92735299990740183</v>
      </c>
    </row>
    <row r="5483" spans="7:20" ht="14.4" x14ac:dyDescent="0.25">
      <c r="G5483" s="10">
        <v>6448</v>
      </c>
      <c r="H5483" s="9">
        <v>45893</v>
      </c>
      <c r="I5483" s="14">
        <f>DATE(2012,12,31)-585</f>
        <v>40689</v>
      </c>
      <c r="J5483" s="15" t="s">
        <v>17</v>
      </c>
      <c r="K5483" s="9">
        <v>15</v>
      </c>
      <c r="L5483" s="16" t="s">
        <v>26</v>
      </c>
      <c r="M5483" s="16">
        <f t="shared" si="513"/>
        <v>-0.7300816389539122</v>
      </c>
      <c r="N5483">
        <f t="shared" si="514"/>
        <v>0</v>
      </c>
      <c r="O5483">
        <f t="shared" si="515"/>
        <v>0</v>
      </c>
      <c r="P5483">
        <f t="shared" si="512"/>
        <v>4150</v>
      </c>
      <c r="Q5483">
        <f t="shared" si="516"/>
        <v>4150</v>
      </c>
      <c r="T5483" s="16">
        <f t="shared" si="517"/>
        <v>-0.73008163895391265</v>
      </c>
    </row>
    <row r="5484" spans="7:20" ht="14.4" x14ac:dyDescent="0.25">
      <c r="G5484" s="10">
        <v>6476</v>
      </c>
      <c r="H5484" s="9">
        <v>46113</v>
      </c>
      <c r="I5484" s="14">
        <f>DATE(2012,12,31)-1125</f>
        <v>40149</v>
      </c>
      <c r="J5484" s="15" t="s">
        <v>28</v>
      </c>
      <c r="K5484" s="9">
        <v>18</v>
      </c>
      <c r="L5484" s="16" t="s">
        <v>29</v>
      </c>
      <c r="M5484" s="16">
        <f t="shared" si="513"/>
        <v>-0.52290230909624791</v>
      </c>
      <c r="N5484">
        <f t="shared" si="514"/>
        <v>0</v>
      </c>
      <c r="O5484">
        <f t="shared" si="515"/>
        <v>0</v>
      </c>
      <c r="P5484">
        <f t="shared" si="512"/>
        <v>4300</v>
      </c>
      <c r="Q5484">
        <f t="shared" si="516"/>
        <v>4300</v>
      </c>
      <c r="T5484" s="16">
        <f t="shared" si="517"/>
        <v>-0.52290230909624835</v>
      </c>
    </row>
    <row r="5485" spans="7:20" ht="14.4" x14ac:dyDescent="0.25">
      <c r="G5485" s="10">
        <v>6507</v>
      </c>
      <c r="H5485" s="9">
        <v>46311</v>
      </c>
      <c r="I5485" s="14">
        <f>DATE(2012,12,31)-525</f>
        <v>40749</v>
      </c>
      <c r="J5485" s="15" t="s">
        <v>17</v>
      </c>
      <c r="K5485" s="9">
        <v>42</v>
      </c>
      <c r="L5485" s="16" t="s">
        <v>27</v>
      </c>
      <c r="M5485" s="16">
        <f t="shared" si="513"/>
        <v>1.1345323297650665</v>
      </c>
      <c r="N5485">
        <f t="shared" si="514"/>
        <v>0</v>
      </c>
      <c r="O5485">
        <f t="shared" si="515"/>
        <v>0</v>
      </c>
      <c r="P5485">
        <f t="shared" si="512"/>
        <v>5500</v>
      </c>
      <c r="Q5485">
        <f t="shared" si="516"/>
        <v>5500</v>
      </c>
      <c r="T5485" s="16">
        <f t="shared" si="517"/>
        <v>1.1345323297650662</v>
      </c>
    </row>
    <row r="5486" spans="7:20" ht="14.4" x14ac:dyDescent="0.25">
      <c r="G5486" s="10">
        <v>6508</v>
      </c>
      <c r="H5486" s="9">
        <v>46311</v>
      </c>
      <c r="I5486" s="14">
        <f>DATE(2012,12,31)-525</f>
        <v>40749</v>
      </c>
      <c r="J5486" s="15" t="s">
        <v>17</v>
      </c>
      <c r="K5486" s="9">
        <v>42</v>
      </c>
      <c r="L5486" s="16" t="s">
        <v>29</v>
      </c>
      <c r="M5486" s="16">
        <f t="shared" si="513"/>
        <v>1.1345323297650665</v>
      </c>
      <c r="N5486">
        <f t="shared" si="514"/>
        <v>0</v>
      </c>
      <c r="O5486">
        <f t="shared" si="515"/>
        <v>0</v>
      </c>
      <c r="P5486">
        <f t="shared" si="512"/>
        <v>5500</v>
      </c>
      <c r="Q5486">
        <f t="shared" si="516"/>
        <v>5500</v>
      </c>
      <c r="T5486" s="16">
        <f t="shared" si="517"/>
        <v>1.1345323297650662</v>
      </c>
    </row>
    <row r="5487" spans="7:20" ht="14.4" x14ac:dyDescent="0.25">
      <c r="G5487" s="10">
        <v>6509</v>
      </c>
      <c r="H5487" s="9">
        <v>46311</v>
      </c>
      <c r="I5487" s="14">
        <f>DATE(2012,12,31)-525</f>
        <v>40749</v>
      </c>
      <c r="J5487" s="15" t="s">
        <v>17</v>
      </c>
      <c r="K5487" s="9">
        <v>44</v>
      </c>
      <c r="L5487" s="16" t="s">
        <v>26</v>
      </c>
      <c r="M5487" s="16">
        <f t="shared" si="513"/>
        <v>1.2726518830035094</v>
      </c>
      <c r="N5487">
        <f t="shared" si="514"/>
        <v>0</v>
      </c>
      <c r="O5487">
        <f t="shared" si="515"/>
        <v>0</v>
      </c>
      <c r="P5487">
        <f t="shared" si="512"/>
        <v>5600</v>
      </c>
      <c r="Q5487">
        <f t="shared" si="516"/>
        <v>5600</v>
      </c>
      <c r="T5487" s="16">
        <f t="shared" si="517"/>
        <v>1.272651883003509</v>
      </c>
    </row>
    <row r="5488" spans="7:20" ht="14.4" x14ac:dyDescent="0.25">
      <c r="G5488" s="10">
        <v>6660</v>
      </c>
      <c r="H5488" s="9">
        <v>47398</v>
      </c>
      <c r="I5488" s="14">
        <f>DATE(2012,12,31)-563</f>
        <v>40711</v>
      </c>
      <c r="J5488" s="15" t="s">
        <v>16</v>
      </c>
      <c r="K5488" s="9">
        <v>6</v>
      </c>
      <c r="L5488" s="16" t="s">
        <v>29</v>
      </c>
      <c r="M5488" s="16">
        <f t="shared" si="513"/>
        <v>-1.3516196285269051</v>
      </c>
      <c r="N5488">
        <f t="shared" si="514"/>
        <v>0</v>
      </c>
      <c r="O5488">
        <f t="shared" si="515"/>
        <v>0</v>
      </c>
      <c r="P5488">
        <f t="shared" si="512"/>
        <v>3700</v>
      </c>
      <c r="Q5488">
        <f t="shared" si="516"/>
        <v>3700</v>
      </c>
      <c r="T5488" s="16">
        <f t="shared" si="517"/>
        <v>-1.3516196285269055</v>
      </c>
    </row>
    <row r="5489" spans="7:20" ht="14.4" x14ac:dyDescent="0.25">
      <c r="G5489" s="10">
        <v>6685</v>
      </c>
      <c r="H5489" s="9">
        <v>47554</v>
      </c>
      <c r="I5489" s="14">
        <f>DATE(2012,12,31)-1024</f>
        <v>40250</v>
      </c>
      <c r="J5489" s="15" t="s">
        <v>25</v>
      </c>
      <c r="K5489" s="9">
        <v>9</v>
      </c>
      <c r="L5489" s="16" t="s">
        <v>29</v>
      </c>
      <c r="M5489" s="16">
        <f t="shared" si="513"/>
        <v>-1.1444402986692408</v>
      </c>
      <c r="N5489">
        <f t="shared" si="514"/>
        <v>0</v>
      </c>
      <c r="O5489">
        <f t="shared" si="515"/>
        <v>0</v>
      </c>
      <c r="P5489">
        <f t="shared" si="512"/>
        <v>3850</v>
      </c>
      <c r="Q5489">
        <f t="shared" si="516"/>
        <v>3850</v>
      </c>
      <c r="T5489" s="16">
        <f t="shared" si="517"/>
        <v>-1.1444402986692412</v>
      </c>
    </row>
    <row r="5490" spans="7:20" ht="14.4" x14ac:dyDescent="0.25">
      <c r="G5490" s="10">
        <v>6686</v>
      </c>
      <c r="H5490" s="9">
        <v>47554</v>
      </c>
      <c r="I5490" s="14">
        <f>DATE(2012,12,31)-1024</f>
        <v>40250</v>
      </c>
      <c r="J5490" s="15" t="s">
        <v>25</v>
      </c>
      <c r="K5490" s="9">
        <v>47</v>
      </c>
      <c r="L5490" s="16" t="s">
        <v>29</v>
      </c>
      <c r="M5490" s="16">
        <f t="shared" si="513"/>
        <v>1.4798312128611737</v>
      </c>
      <c r="N5490">
        <f t="shared" si="514"/>
        <v>0</v>
      </c>
      <c r="O5490">
        <f t="shared" si="515"/>
        <v>0</v>
      </c>
      <c r="P5490">
        <f t="shared" si="512"/>
        <v>5750</v>
      </c>
      <c r="Q5490">
        <f t="shared" si="516"/>
        <v>5750</v>
      </c>
      <c r="T5490" s="16">
        <f t="shared" si="517"/>
        <v>1.4798312128611733</v>
      </c>
    </row>
    <row r="5491" spans="7:20" ht="14.4" x14ac:dyDescent="0.25">
      <c r="G5491" s="10">
        <v>6757</v>
      </c>
      <c r="H5491" s="9">
        <v>48135</v>
      </c>
      <c r="I5491" s="14">
        <f>DATE(2012,12,31)-1352</f>
        <v>39922</v>
      </c>
      <c r="J5491" s="15" t="s">
        <v>17</v>
      </c>
      <c r="K5491" s="9">
        <v>40</v>
      </c>
      <c r="L5491" s="16" t="s">
        <v>29</v>
      </c>
      <c r="M5491" s="16">
        <f t="shared" si="513"/>
        <v>0.99641277652662363</v>
      </c>
      <c r="N5491">
        <f t="shared" si="514"/>
        <v>0</v>
      </c>
      <c r="O5491">
        <f t="shared" si="515"/>
        <v>0</v>
      </c>
      <c r="P5491">
        <f t="shared" si="512"/>
        <v>5400</v>
      </c>
      <c r="Q5491">
        <f t="shared" si="516"/>
        <v>5400</v>
      </c>
      <c r="T5491" s="16">
        <f t="shared" si="517"/>
        <v>0.9964127765266233</v>
      </c>
    </row>
    <row r="5492" spans="7:20" ht="14.4" x14ac:dyDescent="0.25">
      <c r="G5492" s="10">
        <v>6917</v>
      </c>
      <c r="H5492" s="9">
        <v>49346</v>
      </c>
      <c r="I5492" s="14">
        <f>DATE(2012,12,31)-606</f>
        <v>40668</v>
      </c>
      <c r="J5492" s="15" t="s">
        <v>28</v>
      </c>
      <c r="K5492" s="9">
        <v>8</v>
      </c>
      <c r="L5492" s="16" t="s">
        <v>29</v>
      </c>
      <c r="M5492" s="16">
        <f t="shared" si="513"/>
        <v>-1.2135000752884624</v>
      </c>
      <c r="N5492">
        <f t="shared" si="514"/>
        <v>0</v>
      </c>
      <c r="O5492">
        <f t="shared" si="515"/>
        <v>0</v>
      </c>
      <c r="P5492">
        <f t="shared" si="512"/>
        <v>3800</v>
      </c>
      <c r="Q5492">
        <f t="shared" si="516"/>
        <v>3800</v>
      </c>
      <c r="T5492" s="16">
        <f t="shared" si="517"/>
        <v>-1.2135000752884626</v>
      </c>
    </row>
    <row r="5493" spans="7:20" ht="14.4" x14ac:dyDescent="0.25">
      <c r="G5493" s="10">
        <v>6918</v>
      </c>
      <c r="H5493" s="9">
        <v>49346</v>
      </c>
      <c r="I5493" s="14">
        <f>DATE(2012,12,31)-606</f>
        <v>40668</v>
      </c>
      <c r="J5493" s="15" t="s">
        <v>28</v>
      </c>
      <c r="K5493" s="9">
        <v>50</v>
      </c>
      <c r="L5493" s="16" t="s">
        <v>26</v>
      </c>
      <c r="M5493" s="16">
        <f t="shared" si="513"/>
        <v>1.687010542718838</v>
      </c>
      <c r="N5493">
        <f t="shared" si="514"/>
        <v>0</v>
      </c>
      <c r="O5493">
        <f t="shared" si="515"/>
        <v>0</v>
      </c>
      <c r="P5493">
        <f t="shared" si="512"/>
        <v>5900</v>
      </c>
      <c r="Q5493">
        <f t="shared" si="516"/>
        <v>5900</v>
      </c>
      <c r="T5493" s="16">
        <f t="shared" si="517"/>
        <v>1.6870105427188375</v>
      </c>
    </row>
    <row r="5494" spans="7:20" ht="14.4" x14ac:dyDescent="0.25">
      <c r="G5494" s="10">
        <v>6954</v>
      </c>
      <c r="H5494" s="9">
        <v>49735</v>
      </c>
      <c r="I5494" s="14">
        <f>DATE(2012,12,31)-1195</f>
        <v>40079</v>
      </c>
      <c r="J5494" s="15" t="s">
        <v>28</v>
      </c>
      <c r="K5494" s="9">
        <v>32</v>
      </c>
      <c r="L5494" s="16" t="s">
        <v>26</v>
      </c>
      <c r="M5494" s="16">
        <f t="shared" si="513"/>
        <v>0.44393456357285216</v>
      </c>
      <c r="N5494">
        <f t="shared" si="514"/>
        <v>0</v>
      </c>
      <c r="O5494">
        <f t="shared" si="515"/>
        <v>0</v>
      </c>
      <c r="P5494">
        <f t="shared" si="512"/>
        <v>5000</v>
      </c>
      <c r="Q5494">
        <f t="shared" si="516"/>
        <v>5000</v>
      </c>
      <c r="T5494" s="16">
        <f t="shared" si="517"/>
        <v>0.44393456357285183</v>
      </c>
    </row>
    <row r="5495" spans="7:20" ht="14.4" x14ac:dyDescent="0.25">
      <c r="G5495" s="10">
        <v>7020</v>
      </c>
      <c r="H5495" s="9">
        <v>50087</v>
      </c>
      <c r="I5495" s="14">
        <f>DATE(2012,12,31)-961</f>
        <v>40313</v>
      </c>
      <c r="J5495" s="15" t="s">
        <v>28</v>
      </c>
      <c r="K5495" s="9">
        <v>17</v>
      </c>
      <c r="L5495" s="16" t="s">
        <v>26</v>
      </c>
      <c r="M5495" s="16">
        <f t="shared" si="513"/>
        <v>-0.59196208571546938</v>
      </c>
      <c r="N5495">
        <f t="shared" si="514"/>
        <v>0</v>
      </c>
      <c r="O5495">
        <f t="shared" si="515"/>
        <v>0</v>
      </c>
      <c r="P5495">
        <f t="shared" si="512"/>
        <v>4250</v>
      </c>
      <c r="Q5495">
        <f t="shared" si="516"/>
        <v>4250</v>
      </c>
      <c r="T5495" s="16">
        <f t="shared" si="517"/>
        <v>-0.59196208571546971</v>
      </c>
    </row>
    <row r="5496" spans="7:20" ht="14.4" x14ac:dyDescent="0.25">
      <c r="G5496" s="10">
        <v>7071</v>
      </c>
      <c r="H5496" s="9">
        <v>50466</v>
      </c>
      <c r="I5496" s="14">
        <f>DATE(2012,12,31)-186</f>
        <v>41088</v>
      </c>
      <c r="J5496" s="15" t="s">
        <v>30</v>
      </c>
      <c r="K5496" s="9">
        <v>32</v>
      </c>
      <c r="L5496" s="16" t="s">
        <v>26</v>
      </c>
      <c r="M5496" s="16">
        <f t="shared" si="513"/>
        <v>0.44393456357285216</v>
      </c>
      <c r="N5496">
        <f t="shared" si="514"/>
        <v>0</v>
      </c>
      <c r="O5496">
        <f t="shared" si="515"/>
        <v>0</v>
      </c>
      <c r="P5496">
        <f t="shared" si="512"/>
        <v>5000</v>
      </c>
      <c r="Q5496">
        <f t="shared" si="516"/>
        <v>5000</v>
      </c>
      <c r="T5496" s="16">
        <f t="shared" si="517"/>
        <v>0.44393456357285183</v>
      </c>
    </row>
    <row r="5497" spans="7:20" ht="14.4" x14ac:dyDescent="0.25">
      <c r="G5497" s="10">
        <v>7078</v>
      </c>
      <c r="H5497" s="9">
        <v>50501</v>
      </c>
      <c r="I5497" s="14">
        <f>DATE(2012,12,31)-1312</f>
        <v>39962</v>
      </c>
      <c r="J5497" s="15" t="s">
        <v>17</v>
      </c>
      <c r="K5497" s="9">
        <v>31</v>
      </c>
      <c r="L5497" s="16" t="s">
        <v>27</v>
      </c>
      <c r="M5497" s="16">
        <f t="shared" si="513"/>
        <v>0.37487478695363075</v>
      </c>
      <c r="N5497">
        <f t="shared" si="514"/>
        <v>0</v>
      </c>
      <c r="O5497">
        <f t="shared" si="515"/>
        <v>0</v>
      </c>
      <c r="P5497">
        <f t="shared" si="512"/>
        <v>4950</v>
      </c>
      <c r="Q5497">
        <f t="shared" si="516"/>
        <v>4950</v>
      </c>
      <c r="T5497" s="16">
        <f t="shared" si="517"/>
        <v>0.37487478695363036</v>
      </c>
    </row>
    <row r="5498" spans="7:20" ht="14.4" x14ac:dyDescent="0.25">
      <c r="G5498" s="10">
        <v>7123</v>
      </c>
      <c r="H5498" s="9">
        <v>50818</v>
      </c>
      <c r="I5498" s="14">
        <f>DATE(2012,12,31)-86</f>
        <v>41188</v>
      </c>
      <c r="J5498" s="15" t="s">
        <v>16</v>
      </c>
      <c r="K5498" s="9">
        <v>34</v>
      </c>
      <c r="L5498" s="16" t="s">
        <v>27</v>
      </c>
      <c r="M5498" s="16">
        <f t="shared" si="513"/>
        <v>0.58205411681129504</v>
      </c>
      <c r="N5498">
        <f t="shared" si="514"/>
        <v>0</v>
      </c>
      <c r="O5498">
        <f t="shared" si="515"/>
        <v>0</v>
      </c>
      <c r="P5498">
        <f t="shared" si="512"/>
        <v>5100</v>
      </c>
      <c r="Q5498">
        <f t="shared" si="516"/>
        <v>5100</v>
      </c>
      <c r="T5498" s="16">
        <f t="shared" si="517"/>
        <v>0.58205411681129471</v>
      </c>
    </row>
    <row r="5499" spans="7:20" ht="14.4" x14ac:dyDescent="0.25">
      <c r="G5499" s="10">
        <v>7130</v>
      </c>
      <c r="H5499" s="9">
        <v>50852</v>
      </c>
      <c r="I5499" s="14">
        <f>DATE(2012,12,31)-568</f>
        <v>40706</v>
      </c>
      <c r="J5499" s="15" t="s">
        <v>16</v>
      </c>
      <c r="K5499" s="9">
        <v>24</v>
      </c>
      <c r="L5499" s="16" t="s">
        <v>26</v>
      </c>
      <c r="M5499" s="16">
        <f t="shared" si="513"/>
        <v>-0.1085436493809193</v>
      </c>
      <c r="N5499">
        <f t="shared" si="514"/>
        <v>0</v>
      </c>
      <c r="O5499">
        <f t="shared" si="515"/>
        <v>0</v>
      </c>
      <c r="P5499">
        <f t="shared" si="512"/>
        <v>4600</v>
      </c>
      <c r="Q5499">
        <f t="shared" si="516"/>
        <v>4600</v>
      </c>
      <c r="T5499" s="16">
        <f t="shared" si="517"/>
        <v>-0.10854364938091969</v>
      </c>
    </row>
    <row r="5500" spans="7:20" ht="14.4" x14ac:dyDescent="0.25">
      <c r="G5500" s="10">
        <v>7300</v>
      </c>
      <c r="H5500" s="9">
        <v>52068</v>
      </c>
      <c r="I5500" s="14">
        <f>DATE(2012,12,31)-353</f>
        <v>40921</v>
      </c>
      <c r="J5500" s="15" t="s">
        <v>28</v>
      </c>
      <c r="K5500" s="9">
        <v>31</v>
      </c>
      <c r="L5500" s="16" t="s">
        <v>26</v>
      </c>
      <c r="M5500" s="16">
        <f t="shared" si="513"/>
        <v>0.37487478695363075</v>
      </c>
      <c r="N5500">
        <f t="shared" si="514"/>
        <v>0</v>
      </c>
      <c r="O5500">
        <f t="shared" si="515"/>
        <v>0</v>
      </c>
      <c r="P5500">
        <f t="shared" si="512"/>
        <v>4950</v>
      </c>
      <c r="Q5500">
        <f t="shared" si="516"/>
        <v>4950</v>
      </c>
      <c r="T5500" s="16">
        <f t="shared" si="517"/>
        <v>0.37487478695363036</v>
      </c>
    </row>
    <row r="5501" spans="7:20" ht="14.4" x14ac:dyDescent="0.25">
      <c r="G5501" s="10">
        <v>7301</v>
      </c>
      <c r="H5501" s="9">
        <v>52068</v>
      </c>
      <c r="I5501" s="14">
        <f>DATE(2012,12,31)-353</f>
        <v>40921</v>
      </c>
      <c r="J5501" s="15" t="s">
        <v>28</v>
      </c>
      <c r="K5501" s="9">
        <v>47</v>
      </c>
      <c r="L5501" s="16" t="s">
        <v>27</v>
      </c>
      <c r="M5501" s="16">
        <f t="shared" si="513"/>
        <v>1.4798312128611737</v>
      </c>
      <c r="N5501">
        <f t="shared" si="514"/>
        <v>0</v>
      </c>
      <c r="O5501">
        <f t="shared" si="515"/>
        <v>0</v>
      </c>
      <c r="P5501">
        <f t="shared" si="512"/>
        <v>5750</v>
      </c>
      <c r="Q5501">
        <f t="shared" si="516"/>
        <v>5750</v>
      </c>
      <c r="T5501" s="16">
        <f t="shared" si="517"/>
        <v>1.4798312128611733</v>
      </c>
    </row>
    <row r="5502" spans="7:20" ht="14.4" x14ac:dyDescent="0.25">
      <c r="G5502" s="10">
        <v>7302</v>
      </c>
      <c r="H5502" s="9">
        <v>52068</v>
      </c>
      <c r="I5502" s="14">
        <f>DATE(2012,12,31)-353</f>
        <v>40921</v>
      </c>
      <c r="J5502" s="15" t="s">
        <v>28</v>
      </c>
      <c r="K5502" s="9">
        <v>21</v>
      </c>
      <c r="L5502" s="16" t="s">
        <v>29</v>
      </c>
      <c r="M5502" s="16">
        <f t="shared" si="513"/>
        <v>-0.31572297923858361</v>
      </c>
      <c r="N5502">
        <f t="shared" si="514"/>
        <v>0</v>
      </c>
      <c r="O5502">
        <f t="shared" si="515"/>
        <v>0</v>
      </c>
      <c r="P5502">
        <f t="shared" si="512"/>
        <v>4450</v>
      </c>
      <c r="Q5502">
        <f t="shared" si="516"/>
        <v>4450</v>
      </c>
      <c r="T5502" s="16">
        <f t="shared" si="517"/>
        <v>-0.315722979238584</v>
      </c>
    </row>
    <row r="5503" spans="7:20" ht="14.4" x14ac:dyDescent="0.25">
      <c r="G5503" s="10">
        <v>7303</v>
      </c>
      <c r="H5503" s="9">
        <v>52068</v>
      </c>
      <c r="I5503" s="14">
        <f>DATE(2012,12,31)-353</f>
        <v>40921</v>
      </c>
      <c r="J5503" s="15" t="s">
        <v>28</v>
      </c>
      <c r="K5503" s="9">
        <v>17</v>
      </c>
      <c r="L5503" s="16" t="s">
        <v>29</v>
      </c>
      <c r="M5503" s="16">
        <f t="shared" si="513"/>
        <v>-0.59196208571546938</v>
      </c>
      <c r="N5503">
        <f t="shared" si="514"/>
        <v>0</v>
      </c>
      <c r="O5503">
        <f t="shared" si="515"/>
        <v>0</v>
      </c>
      <c r="P5503">
        <f t="shared" si="512"/>
        <v>4250</v>
      </c>
      <c r="Q5503">
        <f t="shared" si="516"/>
        <v>4250</v>
      </c>
      <c r="T5503" s="16">
        <f t="shared" si="517"/>
        <v>-0.59196208571546971</v>
      </c>
    </row>
    <row r="5504" spans="7:20" ht="14.4" x14ac:dyDescent="0.25">
      <c r="G5504" s="10">
        <v>7383</v>
      </c>
      <c r="H5504" s="9">
        <v>52641</v>
      </c>
      <c r="I5504" s="14">
        <f>DATE(2012,12,31)-815</f>
        <v>40459</v>
      </c>
      <c r="J5504" s="15" t="s">
        <v>28</v>
      </c>
      <c r="K5504" s="9">
        <v>6</v>
      </c>
      <c r="L5504" s="16" t="s">
        <v>27</v>
      </c>
      <c r="M5504" s="16">
        <f t="shared" si="513"/>
        <v>-1.3516196285269051</v>
      </c>
      <c r="N5504">
        <f t="shared" si="514"/>
        <v>0</v>
      </c>
      <c r="O5504">
        <f t="shared" si="515"/>
        <v>0</v>
      </c>
      <c r="P5504">
        <f t="shared" si="512"/>
        <v>3700</v>
      </c>
      <c r="Q5504">
        <f t="shared" si="516"/>
        <v>3700</v>
      </c>
      <c r="T5504" s="16">
        <f t="shared" si="517"/>
        <v>-1.3516196285269055</v>
      </c>
    </row>
    <row r="5505" spans="7:20" ht="14.4" x14ac:dyDescent="0.25">
      <c r="G5505" s="10">
        <v>7474</v>
      </c>
      <c r="H5505" s="9">
        <v>53378</v>
      </c>
      <c r="I5505" s="14">
        <f>DATE(2012,12,31)-171</f>
        <v>41103</v>
      </c>
      <c r="J5505" s="15" t="s">
        <v>16</v>
      </c>
      <c r="K5505" s="9">
        <v>50</v>
      </c>
      <c r="L5505" s="16" t="s">
        <v>27</v>
      </c>
      <c r="M5505" s="16">
        <f t="shared" si="513"/>
        <v>1.687010542718838</v>
      </c>
      <c r="N5505">
        <f t="shared" si="514"/>
        <v>0</v>
      </c>
      <c r="O5505">
        <f t="shared" si="515"/>
        <v>0</v>
      </c>
      <c r="P5505">
        <f t="shared" si="512"/>
        <v>5900</v>
      </c>
      <c r="Q5505">
        <f t="shared" si="516"/>
        <v>5900</v>
      </c>
      <c r="T5505" s="16">
        <f t="shared" si="517"/>
        <v>1.6870105427188375</v>
      </c>
    </row>
    <row r="5506" spans="7:20" ht="14.4" x14ac:dyDescent="0.25">
      <c r="G5506" s="10">
        <v>7475</v>
      </c>
      <c r="H5506" s="9">
        <v>53378</v>
      </c>
      <c r="I5506" s="14">
        <f>DATE(2012,12,31)-171</f>
        <v>41103</v>
      </c>
      <c r="J5506" s="15" t="s">
        <v>16</v>
      </c>
      <c r="K5506" s="9">
        <v>38</v>
      </c>
      <c r="L5506" s="16" t="s">
        <v>29</v>
      </c>
      <c r="M5506" s="16">
        <f t="shared" si="513"/>
        <v>0.85829322328818081</v>
      </c>
      <c r="N5506">
        <f t="shared" si="514"/>
        <v>0</v>
      </c>
      <c r="O5506">
        <f t="shared" si="515"/>
        <v>0</v>
      </c>
      <c r="P5506">
        <f t="shared" si="512"/>
        <v>5300</v>
      </c>
      <c r="Q5506">
        <f t="shared" si="516"/>
        <v>5300</v>
      </c>
      <c r="T5506" s="16">
        <f t="shared" si="517"/>
        <v>0.85829322328818036</v>
      </c>
    </row>
    <row r="5507" spans="7:20" ht="14.4" x14ac:dyDescent="0.25">
      <c r="G5507" s="10">
        <v>7476</v>
      </c>
      <c r="H5507" s="9">
        <v>53378</v>
      </c>
      <c r="I5507" s="14">
        <f>DATE(2012,12,31)-171</f>
        <v>41103</v>
      </c>
      <c r="J5507" s="15" t="s">
        <v>16</v>
      </c>
      <c r="K5507" s="9">
        <v>49</v>
      </c>
      <c r="L5507" s="16" t="s">
        <v>27</v>
      </c>
      <c r="M5507" s="16">
        <f t="shared" si="513"/>
        <v>1.6179507660996166</v>
      </c>
      <c r="N5507">
        <f t="shared" si="514"/>
        <v>0</v>
      </c>
      <c r="O5507">
        <f t="shared" si="515"/>
        <v>0</v>
      </c>
      <c r="P5507">
        <f t="shared" si="512"/>
        <v>5850</v>
      </c>
      <c r="Q5507">
        <f t="shared" si="516"/>
        <v>5850</v>
      </c>
      <c r="T5507" s="16">
        <f t="shared" si="517"/>
        <v>1.6179507660996162</v>
      </c>
    </row>
    <row r="5508" spans="7:20" ht="14.4" x14ac:dyDescent="0.25">
      <c r="G5508" s="10">
        <v>7689</v>
      </c>
      <c r="H5508" s="9">
        <v>55136</v>
      </c>
      <c r="I5508" s="14">
        <f>DATE(2012,12,31)-814</f>
        <v>40460</v>
      </c>
      <c r="J5508" s="15" t="s">
        <v>30</v>
      </c>
      <c r="K5508" s="9">
        <v>29</v>
      </c>
      <c r="L5508" s="16" t="s">
        <v>26</v>
      </c>
      <c r="M5508" s="16">
        <f t="shared" si="513"/>
        <v>0.23675523371518786</v>
      </c>
      <c r="N5508">
        <f t="shared" si="514"/>
        <v>0</v>
      </c>
      <c r="O5508">
        <f t="shared" si="515"/>
        <v>0</v>
      </c>
      <c r="P5508">
        <f t="shared" si="512"/>
        <v>4850</v>
      </c>
      <c r="Q5508">
        <f t="shared" si="516"/>
        <v>4850</v>
      </c>
      <c r="T5508" s="16">
        <f t="shared" si="517"/>
        <v>0.2367552337151875</v>
      </c>
    </row>
    <row r="5509" spans="7:20" ht="14.4" x14ac:dyDescent="0.25">
      <c r="G5509" s="10">
        <v>7780</v>
      </c>
      <c r="H5509" s="9">
        <v>55655</v>
      </c>
      <c r="I5509" s="14">
        <f>DATE(2012,12,31)-98</f>
        <v>41176</v>
      </c>
      <c r="J5509" s="15" t="s">
        <v>25</v>
      </c>
      <c r="K5509" s="9">
        <v>33</v>
      </c>
      <c r="L5509" s="16" t="s">
        <v>27</v>
      </c>
      <c r="M5509" s="16">
        <f t="shared" si="513"/>
        <v>0.51299434019207357</v>
      </c>
      <c r="N5509">
        <f t="shared" si="514"/>
        <v>0</v>
      </c>
      <c r="O5509">
        <f t="shared" si="515"/>
        <v>0</v>
      </c>
      <c r="P5509">
        <f t="shared" si="512"/>
        <v>5050</v>
      </c>
      <c r="Q5509">
        <f t="shared" si="516"/>
        <v>5050</v>
      </c>
      <c r="T5509" s="16">
        <f t="shared" si="517"/>
        <v>0.51299434019207324</v>
      </c>
    </row>
    <row r="5510" spans="7:20" ht="14.4" x14ac:dyDescent="0.25">
      <c r="G5510" s="10">
        <v>7794</v>
      </c>
      <c r="H5510" s="9">
        <v>55750</v>
      </c>
      <c r="I5510" s="14">
        <f>DATE(2012,12,31)-857</f>
        <v>40417</v>
      </c>
      <c r="J5510" s="15" t="s">
        <v>30</v>
      </c>
      <c r="K5510" s="9">
        <v>31</v>
      </c>
      <c r="L5510" s="16" t="s">
        <v>29</v>
      </c>
      <c r="M5510" s="16">
        <f t="shared" si="513"/>
        <v>0.37487478695363075</v>
      </c>
      <c r="N5510">
        <f t="shared" si="514"/>
        <v>0</v>
      </c>
      <c r="O5510">
        <f t="shared" si="515"/>
        <v>0</v>
      </c>
      <c r="P5510">
        <f t="shared" si="512"/>
        <v>4950</v>
      </c>
      <c r="Q5510">
        <f t="shared" si="516"/>
        <v>4950</v>
      </c>
      <c r="T5510" s="16">
        <f t="shared" si="517"/>
        <v>0.37487478695363036</v>
      </c>
    </row>
    <row r="5511" spans="7:20" ht="14.4" x14ac:dyDescent="0.25">
      <c r="G5511" s="10">
        <v>7841</v>
      </c>
      <c r="H5511" s="9">
        <v>56064</v>
      </c>
      <c r="I5511" s="14">
        <f>DATE(2012,12,31)-1159</f>
        <v>40115</v>
      </c>
      <c r="J5511" s="15" t="s">
        <v>16</v>
      </c>
      <c r="K5511" s="9">
        <v>41</v>
      </c>
      <c r="L5511" s="16" t="s">
        <v>26</v>
      </c>
      <c r="M5511" s="16">
        <f t="shared" si="513"/>
        <v>1.0654725531458451</v>
      </c>
      <c r="N5511">
        <f t="shared" si="514"/>
        <v>0</v>
      </c>
      <c r="O5511">
        <f t="shared" si="515"/>
        <v>0</v>
      </c>
      <c r="P5511">
        <f t="shared" si="512"/>
        <v>5450</v>
      </c>
      <c r="Q5511">
        <f t="shared" si="516"/>
        <v>5450</v>
      </c>
      <c r="T5511" s="16">
        <f t="shared" si="517"/>
        <v>1.0654725531458447</v>
      </c>
    </row>
    <row r="5512" spans="7:20" ht="14.4" x14ac:dyDescent="0.25">
      <c r="G5512" s="10">
        <v>7950</v>
      </c>
      <c r="H5512" s="9">
        <v>56804</v>
      </c>
      <c r="I5512" s="14">
        <f>DATE(2012,12,31)-645</f>
        <v>40629</v>
      </c>
      <c r="J5512" s="15" t="s">
        <v>30</v>
      </c>
      <c r="K5512" s="9">
        <v>41</v>
      </c>
      <c r="L5512" s="16" t="s">
        <v>26</v>
      </c>
      <c r="M5512" s="16">
        <f t="shared" si="513"/>
        <v>1.0654725531458451</v>
      </c>
      <c r="N5512">
        <f t="shared" si="514"/>
        <v>0</v>
      </c>
      <c r="O5512">
        <f t="shared" si="515"/>
        <v>0</v>
      </c>
      <c r="P5512">
        <f t="shared" si="512"/>
        <v>5450</v>
      </c>
      <c r="Q5512">
        <f t="shared" si="516"/>
        <v>5450</v>
      </c>
      <c r="T5512" s="16">
        <f t="shared" si="517"/>
        <v>1.0654725531458447</v>
      </c>
    </row>
    <row r="5513" spans="7:20" ht="14.4" x14ac:dyDescent="0.25">
      <c r="G5513" s="10">
        <v>7951</v>
      </c>
      <c r="H5513" s="9">
        <v>56804</v>
      </c>
      <c r="I5513" s="14">
        <f>DATE(2012,12,31)-645</f>
        <v>40629</v>
      </c>
      <c r="J5513" s="15" t="s">
        <v>30</v>
      </c>
      <c r="K5513" s="9">
        <v>24</v>
      </c>
      <c r="L5513" s="16" t="s">
        <v>26</v>
      </c>
      <c r="M5513" s="16">
        <f t="shared" si="513"/>
        <v>-0.1085436493809193</v>
      </c>
      <c r="N5513">
        <f t="shared" si="514"/>
        <v>0</v>
      </c>
      <c r="O5513">
        <f t="shared" si="515"/>
        <v>0</v>
      </c>
      <c r="P5513">
        <f t="shared" si="512"/>
        <v>4600</v>
      </c>
      <c r="Q5513">
        <f t="shared" si="516"/>
        <v>4600</v>
      </c>
      <c r="T5513" s="16">
        <f t="shared" si="517"/>
        <v>-0.10854364938091969</v>
      </c>
    </row>
    <row r="5514" spans="7:20" ht="14.4" x14ac:dyDescent="0.25">
      <c r="G5514" s="10">
        <v>8000</v>
      </c>
      <c r="H5514" s="9">
        <v>57157</v>
      </c>
      <c r="I5514" s="14">
        <f>DATE(2012,12,31)-309</f>
        <v>40965</v>
      </c>
      <c r="J5514" s="15" t="s">
        <v>30</v>
      </c>
      <c r="K5514" s="9">
        <v>18</v>
      </c>
      <c r="L5514" s="16" t="s">
        <v>26</v>
      </c>
      <c r="M5514" s="16">
        <f t="shared" si="513"/>
        <v>-0.52290230909624791</v>
      </c>
      <c r="N5514">
        <f t="shared" si="514"/>
        <v>0</v>
      </c>
      <c r="O5514">
        <f t="shared" si="515"/>
        <v>0</v>
      </c>
      <c r="P5514">
        <f t="shared" si="512"/>
        <v>4300</v>
      </c>
      <c r="Q5514">
        <f t="shared" si="516"/>
        <v>4300</v>
      </c>
      <c r="T5514" s="16">
        <f t="shared" si="517"/>
        <v>-0.52290230909624835</v>
      </c>
    </row>
    <row r="5515" spans="7:20" ht="14.4" x14ac:dyDescent="0.25">
      <c r="G5515" s="10">
        <v>8122</v>
      </c>
      <c r="H5515" s="9">
        <v>58053</v>
      </c>
      <c r="I5515" s="14">
        <f>DATE(2012,12,31)-1088</f>
        <v>40186</v>
      </c>
      <c r="J5515" s="15" t="s">
        <v>16</v>
      </c>
      <c r="K5515" s="9">
        <v>42</v>
      </c>
      <c r="L5515" s="16" t="s">
        <v>26</v>
      </c>
      <c r="M5515" s="16">
        <f t="shared" si="513"/>
        <v>1.1345323297650665</v>
      </c>
      <c r="N5515">
        <f t="shared" si="514"/>
        <v>0</v>
      </c>
      <c r="O5515">
        <f t="shared" si="515"/>
        <v>0</v>
      </c>
      <c r="P5515">
        <f t="shared" si="512"/>
        <v>5500</v>
      </c>
      <c r="Q5515">
        <f t="shared" si="516"/>
        <v>5500</v>
      </c>
      <c r="T5515" s="16">
        <f t="shared" si="517"/>
        <v>1.1345323297650662</v>
      </c>
    </row>
    <row r="5516" spans="7:20" ht="14.4" x14ac:dyDescent="0.25">
      <c r="G5516" s="10">
        <v>8131</v>
      </c>
      <c r="H5516" s="9">
        <v>58116</v>
      </c>
      <c r="I5516" s="14">
        <f>DATE(2012,12,31)-1374</f>
        <v>39900</v>
      </c>
      <c r="J5516" s="15" t="s">
        <v>30</v>
      </c>
      <c r="K5516" s="9">
        <v>6</v>
      </c>
      <c r="L5516" s="16" t="s">
        <v>29</v>
      </c>
      <c r="M5516" s="16">
        <f t="shared" si="513"/>
        <v>-1.3516196285269051</v>
      </c>
      <c r="N5516">
        <f t="shared" si="514"/>
        <v>0</v>
      </c>
      <c r="O5516">
        <f t="shared" si="515"/>
        <v>0</v>
      </c>
      <c r="P5516">
        <f t="shared" ref="P5516:P5579" si="518">50*K5516+$P$10</f>
        <v>3700</v>
      </c>
      <c r="Q5516">
        <f t="shared" si="516"/>
        <v>3700</v>
      </c>
      <c r="T5516" s="16">
        <f t="shared" si="517"/>
        <v>-1.3516196285269055</v>
      </c>
    </row>
    <row r="5517" spans="7:20" ht="14.4" x14ac:dyDescent="0.25">
      <c r="G5517" s="10">
        <v>8140</v>
      </c>
      <c r="H5517" s="9">
        <v>58181</v>
      </c>
      <c r="I5517" s="14">
        <f>DATE(2012,12,31)-85</f>
        <v>41189</v>
      </c>
      <c r="J5517" s="15" t="s">
        <v>28</v>
      </c>
      <c r="K5517" s="9">
        <v>5</v>
      </c>
      <c r="L5517" s="16" t="s">
        <v>26</v>
      </c>
      <c r="M5517" s="16">
        <f t="shared" ref="M5517:M5580" si="519">(K5517-$K$4)/$K$7</f>
        <v>-1.4206794051461267</v>
      </c>
      <c r="N5517">
        <f t="shared" ref="N5517:N5580" si="520">IF(MOD($B$20+G5517,1000)=0,1,0)</f>
        <v>0</v>
      </c>
      <c r="O5517">
        <f t="shared" ref="O5517:O5580" si="521">+ROUND(N5517*(IF(K5517&lt;$K$4,-4.5,10.5)*$P$5),-2)</f>
        <v>0</v>
      </c>
      <c r="P5517">
        <f t="shared" si="518"/>
        <v>3650</v>
      </c>
      <c r="Q5517">
        <f t="shared" ref="Q5517:Q5580" si="522">P5517+O5517</f>
        <v>3650</v>
      </c>
      <c r="T5517" s="16">
        <f t="shared" ref="T5517:T5580" si="523">(Q5517-$P$4)/$P$5</f>
        <v>-1.4206794051461269</v>
      </c>
    </row>
    <row r="5518" spans="7:20" ht="14.4" x14ac:dyDescent="0.25">
      <c r="G5518" s="10">
        <v>8152</v>
      </c>
      <c r="H5518" s="9">
        <v>58308</v>
      </c>
      <c r="I5518" s="14">
        <f>DATE(2012,12,31)-955</f>
        <v>40319</v>
      </c>
      <c r="J5518" s="15" t="s">
        <v>28</v>
      </c>
      <c r="K5518" s="9">
        <v>35</v>
      </c>
      <c r="L5518" s="16" t="s">
        <v>29</v>
      </c>
      <c r="M5518" s="16">
        <f t="shared" si="519"/>
        <v>0.65111389343051651</v>
      </c>
      <c r="N5518">
        <f t="shared" si="520"/>
        <v>0</v>
      </c>
      <c r="O5518">
        <f t="shared" si="521"/>
        <v>0</v>
      </c>
      <c r="P5518">
        <f t="shared" si="518"/>
        <v>5150</v>
      </c>
      <c r="Q5518">
        <f t="shared" si="522"/>
        <v>5150</v>
      </c>
      <c r="T5518" s="16">
        <f t="shared" si="523"/>
        <v>0.65111389343051607</v>
      </c>
    </row>
    <row r="5519" spans="7:20" ht="14.4" x14ac:dyDescent="0.25">
      <c r="G5519" s="10">
        <v>8153</v>
      </c>
      <c r="H5519" s="9">
        <v>58308</v>
      </c>
      <c r="I5519" s="14">
        <f>DATE(2012,12,31)-955</f>
        <v>40319</v>
      </c>
      <c r="J5519" s="15" t="s">
        <v>28</v>
      </c>
      <c r="K5519" s="9">
        <v>20</v>
      </c>
      <c r="L5519" s="16" t="s">
        <v>27</v>
      </c>
      <c r="M5519" s="16">
        <f t="shared" si="519"/>
        <v>-0.38478275585780503</v>
      </c>
      <c r="N5519">
        <f t="shared" si="520"/>
        <v>0</v>
      </c>
      <c r="O5519">
        <f t="shared" si="521"/>
        <v>0</v>
      </c>
      <c r="P5519">
        <f t="shared" si="518"/>
        <v>4400</v>
      </c>
      <c r="Q5519">
        <f t="shared" si="522"/>
        <v>4400</v>
      </c>
      <c r="T5519" s="16">
        <f t="shared" si="523"/>
        <v>-0.38478275585780541</v>
      </c>
    </row>
    <row r="5520" spans="7:20" ht="14.4" x14ac:dyDescent="0.25">
      <c r="G5520" s="10">
        <v>8154</v>
      </c>
      <c r="H5520" s="9">
        <v>58308</v>
      </c>
      <c r="I5520" s="14">
        <f>DATE(2012,12,31)-955</f>
        <v>40319</v>
      </c>
      <c r="J5520" s="15" t="s">
        <v>28</v>
      </c>
      <c r="K5520" s="9">
        <v>2</v>
      </c>
      <c r="L5520" s="16" t="s">
        <v>29</v>
      </c>
      <c r="M5520" s="16">
        <f t="shared" si="519"/>
        <v>-1.627858735003791</v>
      </c>
      <c r="N5520">
        <f t="shared" si="520"/>
        <v>0</v>
      </c>
      <c r="O5520">
        <f t="shared" si="521"/>
        <v>0</v>
      </c>
      <c r="P5520">
        <f t="shared" si="518"/>
        <v>3500</v>
      </c>
      <c r="Q5520">
        <f t="shared" si="522"/>
        <v>3500</v>
      </c>
      <c r="T5520" s="16">
        <f t="shared" si="523"/>
        <v>-1.6278587350037912</v>
      </c>
    </row>
    <row r="5521" spans="7:20" ht="14.4" x14ac:dyDescent="0.25">
      <c r="G5521" s="10">
        <v>8157</v>
      </c>
      <c r="H5521" s="9">
        <v>58339</v>
      </c>
      <c r="I5521" s="14">
        <f>DATE(2012,12,31)-1297</f>
        <v>39977</v>
      </c>
      <c r="J5521" s="15" t="s">
        <v>17</v>
      </c>
      <c r="K5521" s="9">
        <v>9</v>
      </c>
      <c r="L5521" s="16" t="s">
        <v>26</v>
      </c>
      <c r="M5521" s="16">
        <f t="shared" si="519"/>
        <v>-1.1444402986692408</v>
      </c>
      <c r="N5521">
        <f t="shared" si="520"/>
        <v>0</v>
      </c>
      <c r="O5521">
        <f t="shared" si="521"/>
        <v>0</v>
      </c>
      <c r="P5521">
        <f t="shared" si="518"/>
        <v>3850</v>
      </c>
      <c r="Q5521">
        <f t="shared" si="522"/>
        <v>3850</v>
      </c>
      <c r="T5521" s="16">
        <f t="shared" si="523"/>
        <v>-1.1444402986692412</v>
      </c>
    </row>
    <row r="5522" spans="7:20" ht="14.4" x14ac:dyDescent="0.25">
      <c r="G5522" s="10">
        <v>8158</v>
      </c>
      <c r="H5522" s="9">
        <v>58339</v>
      </c>
      <c r="I5522" s="14">
        <f>DATE(2012,12,31)-1297</f>
        <v>39977</v>
      </c>
      <c r="J5522" s="15" t="s">
        <v>17</v>
      </c>
      <c r="K5522" s="9">
        <v>11</v>
      </c>
      <c r="L5522" s="16" t="s">
        <v>26</v>
      </c>
      <c r="M5522" s="16">
        <f t="shared" si="519"/>
        <v>-1.0063207454307979</v>
      </c>
      <c r="N5522">
        <f t="shared" si="520"/>
        <v>0</v>
      </c>
      <c r="O5522">
        <f t="shared" si="521"/>
        <v>0</v>
      </c>
      <c r="P5522">
        <f t="shared" si="518"/>
        <v>3950</v>
      </c>
      <c r="Q5522">
        <f t="shared" si="522"/>
        <v>3950</v>
      </c>
      <c r="T5522" s="16">
        <f t="shared" si="523"/>
        <v>-1.0063207454307983</v>
      </c>
    </row>
    <row r="5523" spans="7:20" ht="14.4" x14ac:dyDescent="0.25">
      <c r="G5523" s="10">
        <v>8237</v>
      </c>
      <c r="H5523" s="9">
        <v>58883</v>
      </c>
      <c r="I5523" s="14">
        <f>DATE(2012,12,31)-141</f>
        <v>41133</v>
      </c>
      <c r="J5523" s="15" t="s">
        <v>25</v>
      </c>
      <c r="K5523" s="9">
        <v>36</v>
      </c>
      <c r="L5523" s="16" t="s">
        <v>26</v>
      </c>
      <c r="M5523" s="16">
        <f t="shared" si="519"/>
        <v>0.72017367004973787</v>
      </c>
      <c r="N5523">
        <f t="shared" si="520"/>
        <v>0</v>
      </c>
      <c r="O5523">
        <f t="shared" si="521"/>
        <v>0</v>
      </c>
      <c r="P5523">
        <f t="shared" si="518"/>
        <v>5200</v>
      </c>
      <c r="Q5523">
        <f t="shared" si="522"/>
        <v>5200</v>
      </c>
      <c r="T5523" s="16">
        <f t="shared" si="523"/>
        <v>0.72017367004973754</v>
      </c>
    </row>
    <row r="5524" spans="7:20" ht="14.4" x14ac:dyDescent="0.25">
      <c r="G5524" s="10">
        <v>8363</v>
      </c>
      <c r="H5524" s="9">
        <v>59777</v>
      </c>
      <c r="I5524" s="14">
        <f>DATE(2012,12,31)-750</f>
        <v>40524</v>
      </c>
      <c r="J5524" s="15" t="s">
        <v>17</v>
      </c>
      <c r="K5524" s="9">
        <v>19</v>
      </c>
      <c r="L5524" s="16" t="s">
        <v>27</v>
      </c>
      <c r="M5524" s="16">
        <f t="shared" si="519"/>
        <v>-0.45384253247702649</v>
      </c>
      <c r="N5524">
        <f t="shared" si="520"/>
        <v>0</v>
      </c>
      <c r="O5524">
        <f t="shared" si="521"/>
        <v>0</v>
      </c>
      <c r="P5524">
        <f t="shared" si="518"/>
        <v>4350</v>
      </c>
      <c r="Q5524">
        <f t="shared" si="522"/>
        <v>4350</v>
      </c>
      <c r="T5524" s="16">
        <f t="shared" si="523"/>
        <v>-0.45384253247702688</v>
      </c>
    </row>
    <row r="5525" spans="7:20" ht="14.4" x14ac:dyDescent="0.25">
      <c r="G5525" s="10">
        <v>87</v>
      </c>
      <c r="H5525" s="9">
        <v>548</v>
      </c>
      <c r="I5525" s="14">
        <f>DATE(2012,12,31)-1198</f>
        <v>40076</v>
      </c>
      <c r="J5525" s="15" t="s">
        <v>30</v>
      </c>
      <c r="K5525" s="9">
        <v>41</v>
      </c>
      <c r="L5525" s="16" t="s">
        <v>26</v>
      </c>
      <c r="M5525" s="16">
        <f t="shared" si="519"/>
        <v>1.0654725531458451</v>
      </c>
      <c r="N5525">
        <f t="shared" si="520"/>
        <v>0</v>
      </c>
      <c r="O5525">
        <f t="shared" si="521"/>
        <v>0</v>
      </c>
      <c r="P5525">
        <f t="shared" si="518"/>
        <v>5450</v>
      </c>
      <c r="Q5525">
        <f t="shared" si="522"/>
        <v>5450</v>
      </c>
      <c r="T5525" s="16">
        <f t="shared" si="523"/>
        <v>1.0654725531458447</v>
      </c>
    </row>
    <row r="5526" spans="7:20" ht="14.4" x14ac:dyDescent="0.25">
      <c r="G5526" s="10">
        <v>88</v>
      </c>
      <c r="H5526" s="9">
        <v>548</v>
      </c>
      <c r="I5526" s="14">
        <f>DATE(2012,12,31)-1198</f>
        <v>40076</v>
      </c>
      <c r="J5526" s="15" t="s">
        <v>30</v>
      </c>
      <c r="K5526" s="9">
        <v>29</v>
      </c>
      <c r="L5526" s="16" t="s">
        <v>26</v>
      </c>
      <c r="M5526" s="16">
        <f t="shared" si="519"/>
        <v>0.23675523371518786</v>
      </c>
      <c r="N5526">
        <f t="shared" si="520"/>
        <v>0</v>
      </c>
      <c r="O5526">
        <f t="shared" si="521"/>
        <v>0</v>
      </c>
      <c r="P5526">
        <f t="shared" si="518"/>
        <v>4850</v>
      </c>
      <c r="Q5526">
        <f t="shared" si="522"/>
        <v>4850</v>
      </c>
      <c r="T5526" s="16">
        <f t="shared" si="523"/>
        <v>0.2367552337151875</v>
      </c>
    </row>
    <row r="5527" spans="7:20" ht="14.4" x14ac:dyDescent="0.25">
      <c r="G5527" s="10">
        <v>89</v>
      </c>
      <c r="H5527" s="9">
        <v>548</v>
      </c>
      <c r="I5527" s="14">
        <f>DATE(2012,12,31)-1198</f>
        <v>40076</v>
      </c>
      <c r="J5527" s="15" t="s">
        <v>30</v>
      </c>
      <c r="K5527" s="9">
        <v>26</v>
      </c>
      <c r="L5527" s="16" t="s">
        <v>27</v>
      </c>
      <c r="M5527" s="16">
        <f t="shared" si="519"/>
        <v>2.9575903857523567E-2</v>
      </c>
      <c r="N5527">
        <f t="shared" si="520"/>
        <v>0</v>
      </c>
      <c r="O5527">
        <f t="shared" si="521"/>
        <v>0</v>
      </c>
      <c r="P5527">
        <f t="shared" si="518"/>
        <v>4700</v>
      </c>
      <c r="Q5527">
        <f t="shared" si="522"/>
        <v>4700</v>
      </c>
      <c r="T5527" s="16">
        <f t="shared" si="523"/>
        <v>2.9575903857523185E-2</v>
      </c>
    </row>
    <row r="5528" spans="7:20" ht="14.4" x14ac:dyDescent="0.25">
      <c r="G5528" s="10">
        <v>116</v>
      </c>
      <c r="H5528" s="9">
        <v>771</v>
      </c>
      <c r="I5528" s="14">
        <f>DATE(2012,12,31)-564</f>
        <v>40710</v>
      </c>
      <c r="J5528" s="15" t="s">
        <v>30</v>
      </c>
      <c r="K5528" s="9">
        <v>18</v>
      </c>
      <c r="L5528" s="16" t="s">
        <v>26</v>
      </c>
      <c r="M5528" s="16">
        <f t="shared" si="519"/>
        <v>-0.52290230909624791</v>
      </c>
      <c r="N5528">
        <f t="shared" si="520"/>
        <v>0</v>
      </c>
      <c r="O5528">
        <f t="shared" si="521"/>
        <v>0</v>
      </c>
      <c r="P5528">
        <f t="shared" si="518"/>
        <v>4300</v>
      </c>
      <c r="Q5528">
        <f t="shared" si="522"/>
        <v>4300</v>
      </c>
      <c r="T5528" s="16">
        <f t="shared" si="523"/>
        <v>-0.52290230909624835</v>
      </c>
    </row>
    <row r="5529" spans="7:20" ht="14.4" x14ac:dyDescent="0.25">
      <c r="G5529" s="10">
        <v>279</v>
      </c>
      <c r="H5529" s="9">
        <v>1925</v>
      </c>
      <c r="I5529" s="14">
        <f>DATE(2012,12,31)-302</f>
        <v>40972</v>
      </c>
      <c r="J5529" s="15" t="s">
        <v>30</v>
      </c>
      <c r="K5529" s="9">
        <v>40</v>
      </c>
      <c r="L5529" s="16" t="s">
        <v>27</v>
      </c>
      <c r="M5529" s="16">
        <f t="shared" si="519"/>
        <v>0.99641277652662363</v>
      </c>
      <c r="N5529">
        <f t="shared" si="520"/>
        <v>0</v>
      </c>
      <c r="O5529">
        <f t="shared" si="521"/>
        <v>0</v>
      </c>
      <c r="P5529">
        <f t="shared" si="518"/>
        <v>5400</v>
      </c>
      <c r="Q5529">
        <f t="shared" si="522"/>
        <v>5400</v>
      </c>
      <c r="T5529" s="16">
        <f t="shared" si="523"/>
        <v>0.9964127765266233</v>
      </c>
    </row>
    <row r="5530" spans="7:20" ht="14.4" x14ac:dyDescent="0.25">
      <c r="G5530" s="10">
        <v>303</v>
      </c>
      <c r="H5530" s="9">
        <v>2086</v>
      </c>
      <c r="I5530" s="14">
        <f>DATE(2012,12,31)-1170</f>
        <v>40104</v>
      </c>
      <c r="J5530" s="15" t="s">
        <v>30</v>
      </c>
      <c r="K5530" s="9">
        <v>24</v>
      </c>
      <c r="L5530" s="16" t="s">
        <v>26</v>
      </c>
      <c r="M5530" s="16">
        <f t="shared" si="519"/>
        <v>-0.1085436493809193</v>
      </c>
      <c r="N5530">
        <f t="shared" si="520"/>
        <v>0</v>
      </c>
      <c r="O5530">
        <f t="shared" si="521"/>
        <v>0</v>
      </c>
      <c r="P5530">
        <f t="shared" si="518"/>
        <v>4600</v>
      </c>
      <c r="Q5530">
        <f t="shared" si="522"/>
        <v>4600</v>
      </c>
      <c r="T5530" s="16">
        <f t="shared" si="523"/>
        <v>-0.10854364938091969</v>
      </c>
    </row>
    <row r="5531" spans="7:20" ht="14.4" x14ac:dyDescent="0.25">
      <c r="G5531" s="10">
        <v>304</v>
      </c>
      <c r="H5531" s="9">
        <v>2086</v>
      </c>
      <c r="I5531" s="14">
        <f>DATE(2012,12,31)-1170</f>
        <v>40104</v>
      </c>
      <c r="J5531" s="15" t="s">
        <v>30</v>
      </c>
      <c r="K5531" s="9">
        <v>38</v>
      </c>
      <c r="L5531" s="16" t="s">
        <v>27</v>
      </c>
      <c r="M5531" s="16">
        <f t="shared" si="519"/>
        <v>0.85829322328818081</v>
      </c>
      <c r="N5531">
        <f t="shared" si="520"/>
        <v>0</v>
      </c>
      <c r="O5531">
        <f t="shared" si="521"/>
        <v>0</v>
      </c>
      <c r="P5531">
        <f t="shared" si="518"/>
        <v>5300</v>
      </c>
      <c r="Q5531">
        <f t="shared" si="522"/>
        <v>5300</v>
      </c>
      <c r="T5531" s="16">
        <f t="shared" si="523"/>
        <v>0.85829322328818036</v>
      </c>
    </row>
    <row r="5532" spans="7:20" ht="14.4" x14ac:dyDescent="0.25">
      <c r="G5532" s="10">
        <v>305</v>
      </c>
      <c r="H5532" s="9">
        <v>2086</v>
      </c>
      <c r="I5532" s="14">
        <f>DATE(2012,12,31)-1170</f>
        <v>40104</v>
      </c>
      <c r="J5532" s="15" t="s">
        <v>30</v>
      </c>
      <c r="K5532" s="9">
        <v>9</v>
      </c>
      <c r="L5532" s="16" t="s">
        <v>29</v>
      </c>
      <c r="M5532" s="16">
        <f t="shared" si="519"/>
        <v>-1.1444402986692408</v>
      </c>
      <c r="N5532">
        <f t="shared" si="520"/>
        <v>0</v>
      </c>
      <c r="O5532">
        <f t="shared" si="521"/>
        <v>0</v>
      </c>
      <c r="P5532">
        <f t="shared" si="518"/>
        <v>3850</v>
      </c>
      <c r="Q5532">
        <f t="shared" si="522"/>
        <v>3850</v>
      </c>
      <c r="T5532" s="16">
        <f t="shared" si="523"/>
        <v>-1.1444402986692412</v>
      </c>
    </row>
    <row r="5533" spans="7:20" ht="14.4" x14ac:dyDescent="0.25">
      <c r="G5533" s="10">
        <v>912</v>
      </c>
      <c r="H5533" s="9">
        <v>6560</v>
      </c>
      <c r="I5533" s="14">
        <f>DATE(2012,12,31)-727</f>
        <v>40547</v>
      </c>
      <c r="J5533" s="15" t="s">
        <v>25</v>
      </c>
      <c r="K5533" s="9">
        <v>20</v>
      </c>
      <c r="L5533" s="16" t="s">
        <v>26</v>
      </c>
      <c r="M5533" s="16">
        <f t="shared" si="519"/>
        <v>-0.38478275585780503</v>
      </c>
      <c r="N5533">
        <f t="shared" si="520"/>
        <v>0</v>
      </c>
      <c r="O5533">
        <f t="shared" si="521"/>
        <v>0</v>
      </c>
      <c r="P5533">
        <f t="shared" si="518"/>
        <v>4400</v>
      </c>
      <c r="Q5533">
        <f t="shared" si="522"/>
        <v>4400</v>
      </c>
      <c r="T5533" s="16">
        <f t="shared" si="523"/>
        <v>-0.38478275585780541</v>
      </c>
    </row>
    <row r="5534" spans="7:20" ht="14.4" x14ac:dyDescent="0.25">
      <c r="G5534" s="10">
        <v>913</v>
      </c>
      <c r="H5534" s="9">
        <v>6560</v>
      </c>
      <c r="I5534" s="14">
        <f>DATE(2012,12,31)-727</f>
        <v>40547</v>
      </c>
      <c r="J5534" s="15" t="s">
        <v>25</v>
      </c>
      <c r="K5534" s="9">
        <v>37</v>
      </c>
      <c r="L5534" s="16" t="s">
        <v>29</v>
      </c>
      <c r="M5534" s="16">
        <f t="shared" si="519"/>
        <v>0.78923344666895934</v>
      </c>
      <c r="N5534">
        <f t="shared" si="520"/>
        <v>0</v>
      </c>
      <c r="O5534">
        <f t="shared" si="521"/>
        <v>0</v>
      </c>
      <c r="P5534">
        <f t="shared" si="518"/>
        <v>5250</v>
      </c>
      <c r="Q5534">
        <f t="shared" si="522"/>
        <v>5250</v>
      </c>
      <c r="T5534" s="16">
        <f t="shared" si="523"/>
        <v>0.789233446668959</v>
      </c>
    </row>
    <row r="5535" spans="7:20" ht="14.4" x14ac:dyDescent="0.25">
      <c r="G5535" s="10">
        <v>981</v>
      </c>
      <c r="H5535" s="9">
        <v>7105</v>
      </c>
      <c r="I5535" s="14">
        <f>DATE(2012,12,31)-924</f>
        <v>40350</v>
      </c>
      <c r="J5535" s="15" t="s">
        <v>25</v>
      </c>
      <c r="K5535" s="9">
        <v>17</v>
      </c>
      <c r="L5535" s="16" t="s">
        <v>26</v>
      </c>
      <c r="M5535" s="16">
        <f t="shared" si="519"/>
        <v>-0.59196208571546938</v>
      </c>
      <c r="N5535">
        <f t="shared" si="520"/>
        <v>0</v>
      </c>
      <c r="O5535">
        <f t="shared" si="521"/>
        <v>0</v>
      </c>
      <c r="P5535">
        <f t="shared" si="518"/>
        <v>4250</v>
      </c>
      <c r="Q5535">
        <f t="shared" si="522"/>
        <v>4250</v>
      </c>
      <c r="T5535" s="16">
        <f t="shared" si="523"/>
        <v>-0.59196208571546971</v>
      </c>
    </row>
    <row r="5536" spans="7:20" ht="14.4" x14ac:dyDescent="0.25">
      <c r="G5536" s="10">
        <v>1052</v>
      </c>
      <c r="H5536" s="9">
        <v>7776</v>
      </c>
      <c r="I5536" s="14">
        <f>DATE(2012,12,31)-1388</f>
        <v>39886</v>
      </c>
      <c r="J5536" s="15" t="s">
        <v>16</v>
      </c>
      <c r="K5536" s="9">
        <v>36</v>
      </c>
      <c r="L5536" s="16" t="s">
        <v>29</v>
      </c>
      <c r="M5536" s="16">
        <f t="shared" si="519"/>
        <v>0.72017367004973787</v>
      </c>
      <c r="N5536">
        <f t="shared" si="520"/>
        <v>0</v>
      </c>
      <c r="O5536">
        <f t="shared" si="521"/>
        <v>0</v>
      </c>
      <c r="P5536">
        <f t="shared" si="518"/>
        <v>5200</v>
      </c>
      <c r="Q5536">
        <f t="shared" si="522"/>
        <v>5200</v>
      </c>
      <c r="T5536" s="16">
        <f t="shared" si="523"/>
        <v>0.72017367004973754</v>
      </c>
    </row>
    <row r="5537" spans="7:20" ht="14.4" x14ac:dyDescent="0.25">
      <c r="G5537" s="10">
        <v>1053</v>
      </c>
      <c r="H5537" s="9">
        <v>7776</v>
      </c>
      <c r="I5537" s="14">
        <f>DATE(2012,12,31)-1388</f>
        <v>39886</v>
      </c>
      <c r="J5537" s="15" t="s">
        <v>16</v>
      </c>
      <c r="K5537" s="9">
        <v>6</v>
      </c>
      <c r="L5537" s="16" t="s">
        <v>29</v>
      </c>
      <c r="M5537" s="16">
        <f t="shared" si="519"/>
        <v>-1.3516196285269051</v>
      </c>
      <c r="N5537">
        <f t="shared" si="520"/>
        <v>0</v>
      </c>
      <c r="O5537">
        <f t="shared" si="521"/>
        <v>0</v>
      </c>
      <c r="P5537">
        <f t="shared" si="518"/>
        <v>3700</v>
      </c>
      <c r="Q5537">
        <f t="shared" si="522"/>
        <v>3700</v>
      </c>
      <c r="T5537" s="16">
        <f t="shared" si="523"/>
        <v>-1.3516196285269055</v>
      </c>
    </row>
    <row r="5538" spans="7:20" ht="14.4" x14ac:dyDescent="0.25">
      <c r="G5538" s="10">
        <v>1160</v>
      </c>
      <c r="H5538" s="9">
        <v>8450</v>
      </c>
      <c r="I5538" s="14">
        <f>DATE(2012,12,31)-262</f>
        <v>41012</v>
      </c>
      <c r="J5538" s="15" t="s">
        <v>28</v>
      </c>
      <c r="K5538" s="9">
        <v>24</v>
      </c>
      <c r="L5538" s="16" t="s">
        <v>26</v>
      </c>
      <c r="M5538" s="16">
        <f t="shared" si="519"/>
        <v>-0.1085436493809193</v>
      </c>
      <c r="N5538">
        <f t="shared" si="520"/>
        <v>0</v>
      </c>
      <c r="O5538">
        <f t="shared" si="521"/>
        <v>0</v>
      </c>
      <c r="P5538">
        <f t="shared" si="518"/>
        <v>4600</v>
      </c>
      <c r="Q5538">
        <f t="shared" si="522"/>
        <v>4600</v>
      </c>
      <c r="T5538" s="16">
        <f t="shared" si="523"/>
        <v>-0.10854364938091969</v>
      </c>
    </row>
    <row r="5539" spans="7:20" ht="14.4" x14ac:dyDescent="0.25">
      <c r="G5539" s="10">
        <v>1161</v>
      </c>
      <c r="H5539" s="9">
        <v>8450</v>
      </c>
      <c r="I5539" s="14">
        <f>DATE(2012,12,31)-262</f>
        <v>41012</v>
      </c>
      <c r="J5539" s="15" t="s">
        <v>28</v>
      </c>
      <c r="K5539" s="9">
        <v>22</v>
      </c>
      <c r="L5539" s="16" t="s">
        <v>26</v>
      </c>
      <c r="M5539" s="16">
        <f t="shared" si="519"/>
        <v>-0.24666320261936217</v>
      </c>
      <c r="N5539">
        <f t="shared" si="520"/>
        <v>0</v>
      </c>
      <c r="O5539">
        <f t="shared" si="521"/>
        <v>0</v>
      </c>
      <c r="P5539">
        <f t="shared" si="518"/>
        <v>4500</v>
      </c>
      <c r="Q5539">
        <f t="shared" si="522"/>
        <v>4500</v>
      </c>
      <c r="T5539" s="16">
        <f t="shared" si="523"/>
        <v>-0.24666320261936256</v>
      </c>
    </row>
    <row r="5540" spans="7:20" ht="14.4" x14ac:dyDescent="0.25">
      <c r="G5540" s="10">
        <v>2241</v>
      </c>
      <c r="H5540" s="9">
        <v>16164</v>
      </c>
      <c r="I5540" s="14">
        <f>DATE(2012,12,31)-363</f>
        <v>40911</v>
      </c>
      <c r="J5540" s="15" t="s">
        <v>25</v>
      </c>
      <c r="K5540" s="9">
        <v>26</v>
      </c>
      <c r="L5540" s="16" t="s">
        <v>27</v>
      </c>
      <c r="M5540" s="16">
        <f t="shared" si="519"/>
        <v>2.9575903857523567E-2</v>
      </c>
      <c r="N5540">
        <f t="shared" si="520"/>
        <v>0</v>
      </c>
      <c r="O5540">
        <f t="shared" si="521"/>
        <v>0</v>
      </c>
      <c r="P5540">
        <f t="shared" si="518"/>
        <v>4700</v>
      </c>
      <c r="Q5540">
        <f t="shared" si="522"/>
        <v>4700</v>
      </c>
      <c r="T5540" s="16">
        <f t="shared" si="523"/>
        <v>2.9575903857523185E-2</v>
      </c>
    </row>
    <row r="5541" spans="7:20" ht="14.4" x14ac:dyDescent="0.25">
      <c r="G5541" s="10">
        <v>2601</v>
      </c>
      <c r="H5541" s="9">
        <v>18789</v>
      </c>
      <c r="I5541" s="14">
        <f>DATE(2012,12,31)-656</f>
        <v>40618</v>
      </c>
      <c r="J5541" s="15" t="s">
        <v>17</v>
      </c>
      <c r="K5541" s="9">
        <v>50</v>
      </c>
      <c r="L5541" s="16" t="s">
        <v>26</v>
      </c>
      <c r="M5541" s="16">
        <f t="shared" si="519"/>
        <v>1.687010542718838</v>
      </c>
      <c r="N5541">
        <f t="shared" si="520"/>
        <v>0</v>
      </c>
      <c r="O5541">
        <f t="shared" si="521"/>
        <v>0</v>
      </c>
      <c r="P5541">
        <f t="shared" si="518"/>
        <v>5900</v>
      </c>
      <c r="Q5541">
        <f t="shared" si="522"/>
        <v>5900</v>
      </c>
      <c r="T5541" s="16">
        <f t="shared" si="523"/>
        <v>1.6870105427188375</v>
      </c>
    </row>
    <row r="5542" spans="7:20" ht="14.4" x14ac:dyDescent="0.25">
      <c r="G5542" s="10">
        <v>2639</v>
      </c>
      <c r="H5542" s="9">
        <v>19105</v>
      </c>
      <c r="I5542" s="14">
        <f>DATE(2012,12,31)-1160</f>
        <v>40114</v>
      </c>
      <c r="J5542" s="15" t="s">
        <v>17</v>
      </c>
      <c r="K5542" s="9">
        <v>31</v>
      </c>
      <c r="L5542" s="16" t="s">
        <v>26</v>
      </c>
      <c r="M5542" s="16">
        <f t="shared" si="519"/>
        <v>0.37487478695363075</v>
      </c>
      <c r="N5542">
        <f t="shared" si="520"/>
        <v>0</v>
      </c>
      <c r="O5542">
        <f t="shared" si="521"/>
        <v>0</v>
      </c>
      <c r="P5542">
        <f t="shared" si="518"/>
        <v>4950</v>
      </c>
      <c r="Q5542">
        <f t="shared" si="522"/>
        <v>4950</v>
      </c>
      <c r="T5542" s="16">
        <f t="shared" si="523"/>
        <v>0.37487478695363036</v>
      </c>
    </row>
    <row r="5543" spans="7:20" ht="14.4" x14ac:dyDescent="0.25">
      <c r="G5543" s="10">
        <v>2640</v>
      </c>
      <c r="H5543" s="9">
        <v>19105</v>
      </c>
      <c r="I5543" s="14">
        <f>DATE(2012,12,31)-1160</f>
        <v>40114</v>
      </c>
      <c r="J5543" s="15" t="s">
        <v>17</v>
      </c>
      <c r="K5543" s="9">
        <v>29</v>
      </c>
      <c r="L5543" s="16" t="s">
        <v>26</v>
      </c>
      <c r="M5543" s="16">
        <f t="shared" si="519"/>
        <v>0.23675523371518786</v>
      </c>
      <c r="N5543">
        <f t="shared" si="520"/>
        <v>0</v>
      </c>
      <c r="O5543">
        <f t="shared" si="521"/>
        <v>0</v>
      </c>
      <c r="P5543">
        <f t="shared" si="518"/>
        <v>4850</v>
      </c>
      <c r="Q5543">
        <f t="shared" si="522"/>
        <v>4850</v>
      </c>
      <c r="T5543" s="16">
        <f t="shared" si="523"/>
        <v>0.2367552337151875</v>
      </c>
    </row>
    <row r="5544" spans="7:20" ht="14.4" x14ac:dyDescent="0.25">
      <c r="G5544" s="10">
        <v>2642</v>
      </c>
      <c r="H5544" s="9">
        <v>19136</v>
      </c>
      <c r="I5544" s="14">
        <f>DATE(2012,12,31)-880</f>
        <v>40394</v>
      </c>
      <c r="J5544" s="15" t="s">
        <v>28</v>
      </c>
      <c r="K5544" s="9">
        <v>44</v>
      </c>
      <c r="L5544" s="16" t="s">
        <v>27</v>
      </c>
      <c r="M5544" s="16">
        <f t="shared" si="519"/>
        <v>1.2726518830035094</v>
      </c>
      <c r="N5544">
        <f t="shared" si="520"/>
        <v>0</v>
      </c>
      <c r="O5544">
        <f t="shared" si="521"/>
        <v>0</v>
      </c>
      <c r="P5544">
        <f t="shared" si="518"/>
        <v>5600</v>
      </c>
      <c r="Q5544">
        <f t="shared" si="522"/>
        <v>5600</v>
      </c>
      <c r="T5544" s="16">
        <f t="shared" si="523"/>
        <v>1.272651883003509</v>
      </c>
    </row>
    <row r="5545" spans="7:20" ht="14.4" x14ac:dyDescent="0.25">
      <c r="G5545" s="10">
        <v>2657</v>
      </c>
      <c r="H5545" s="9">
        <v>19206</v>
      </c>
      <c r="I5545" s="14">
        <f>DATE(2012,12,31)-1007</f>
        <v>40267</v>
      </c>
      <c r="J5545" s="15" t="s">
        <v>25</v>
      </c>
      <c r="K5545" s="9">
        <v>40</v>
      </c>
      <c r="L5545" s="16" t="s">
        <v>26</v>
      </c>
      <c r="M5545" s="16">
        <f t="shared" si="519"/>
        <v>0.99641277652662363</v>
      </c>
      <c r="N5545">
        <f t="shared" si="520"/>
        <v>0</v>
      </c>
      <c r="O5545">
        <f t="shared" si="521"/>
        <v>0</v>
      </c>
      <c r="P5545">
        <f t="shared" si="518"/>
        <v>5400</v>
      </c>
      <c r="Q5545">
        <f t="shared" si="522"/>
        <v>5400</v>
      </c>
      <c r="T5545" s="16">
        <f t="shared" si="523"/>
        <v>0.9964127765266233</v>
      </c>
    </row>
    <row r="5546" spans="7:20" ht="14.4" x14ac:dyDescent="0.25">
      <c r="G5546" s="10">
        <v>2658</v>
      </c>
      <c r="H5546" s="9">
        <v>19206</v>
      </c>
      <c r="I5546" s="14">
        <f>DATE(2012,12,31)-1007</f>
        <v>40267</v>
      </c>
      <c r="J5546" s="15" t="s">
        <v>25</v>
      </c>
      <c r="K5546" s="9">
        <v>32</v>
      </c>
      <c r="L5546" s="16" t="s">
        <v>29</v>
      </c>
      <c r="M5546" s="16">
        <f t="shared" si="519"/>
        <v>0.44393456357285216</v>
      </c>
      <c r="N5546">
        <f t="shared" si="520"/>
        <v>0</v>
      </c>
      <c r="O5546">
        <f t="shared" si="521"/>
        <v>0</v>
      </c>
      <c r="P5546">
        <f t="shared" si="518"/>
        <v>5000</v>
      </c>
      <c r="Q5546">
        <f t="shared" si="522"/>
        <v>5000</v>
      </c>
      <c r="T5546" s="16">
        <f t="shared" si="523"/>
        <v>0.44393456357285183</v>
      </c>
    </row>
    <row r="5547" spans="7:20" ht="14.4" x14ac:dyDescent="0.25">
      <c r="G5547" s="10">
        <v>2725</v>
      </c>
      <c r="H5547" s="9">
        <v>19654</v>
      </c>
      <c r="I5547" s="14">
        <f>DATE(2012,12,31)-722</f>
        <v>40552</v>
      </c>
      <c r="J5547" s="15" t="s">
        <v>17</v>
      </c>
      <c r="K5547" s="9">
        <v>8</v>
      </c>
      <c r="L5547" s="16" t="s">
        <v>29</v>
      </c>
      <c r="M5547" s="16">
        <f t="shared" si="519"/>
        <v>-1.2135000752884624</v>
      </c>
      <c r="N5547">
        <f t="shared" si="520"/>
        <v>0</v>
      </c>
      <c r="O5547">
        <f t="shared" si="521"/>
        <v>0</v>
      </c>
      <c r="P5547">
        <f t="shared" si="518"/>
        <v>3800</v>
      </c>
      <c r="Q5547">
        <f t="shared" si="522"/>
        <v>3800</v>
      </c>
      <c r="T5547" s="16">
        <f t="shared" si="523"/>
        <v>-1.2135000752884626</v>
      </c>
    </row>
    <row r="5548" spans="7:20" ht="14.4" x14ac:dyDescent="0.25">
      <c r="G5548" s="10">
        <v>2775</v>
      </c>
      <c r="H5548" s="9">
        <v>20037</v>
      </c>
      <c r="I5548" s="14">
        <f>DATE(2012,12,31)-1451</f>
        <v>39823</v>
      </c>
      <c r="J5548" s="15" t="s">
        <v>25</v>
      </c>
      <c r="K5548" s="9">
        <v>35</v>
      </c>
      <c r="L5548" s="16" t="s">
        <v>29</v>
      </c>
      <c r="M5548" s="16">
        <f t="shared" si="519"/>
        <v>0.65111389343051651</v>
      </c>
      <c r="N5548">
        <f t="shared" si="520"/>
        <v>0</v>
      </c>
      <c r="O5548">
        <f t="shared" si="521"/>
        <v>0</v>
      </c>
      <c r="P5548">
        <f t="shared" si="518"/>
        <v>5150</v>
      </c>
      <c r="Q5548">
        <f t="shared" si="522"/>
        <v>5150</v>
      </c>
      <c r="T5548" s="16">
        <f t="shared" si="523"/>
        <v>0.65111389343051607</v>
      </c>
    </row>
    <row r="5549" spans="7:20" ht="14.4" x14ac:dyDescent="0.25">
      <c r="G5549" s="10">
        <v>2776</v>
      </c>
      <c r="H5549" s="9">
        <v>20037</v>
      </c>
      <c r="I5549" s="14">
        <f>DATE(2012,12,31)-1451</f>
        <v>39823</v>
      </c>
      <c r="J5549" s="15" t="s">
        <v>25</v>
      </c>
      <c r="K5549" s="9">
        <v>49</v>
      </c>
      <c r="L5549" s="16" t="s">
        <v>27</v>
      </c>
      <c r="M5549" s="16">
        <f t="shared" si="519"/>
        <v>1.6179507660996166</v>
      </c>
      <c r="N5549">
        <f t="shared" si="520"/>
        <v>0</v>
      </c>
      <c r="O5549">
        <f t="shared" si="521"/>
        <v>0</v>
      </c>
      <c r="P5549">
        <f t="shared" si="518"/>
        <v>5850</v>
      </c>
      <c r="Q5549">
        <f t="shared" si="522"/>
        <v>5850</v>
      </c>
      <c r="T5549" s="16">
        <f t="shared" si="523"/>
        <v>1.6179507660996162</v>
      </c>
    </row>
    <row r="5550" spans="7:20" ht="14.4" x14ac:dyDescent="0.25">
      <c r="G5550" s="10">
        <v>2855</v>
      </c>
      <c r="H5550" s="9">
        <v>20549</v>
      </c>
      <c r="I5550" s="14">
        <f>DATE(2012,12,31)-1449</f>
        <v>39825</v>
      </c>
      <c r="J5550" s="15" t="s">
        <v>28</v>
      </c>
      <c r="K5550" s="9">
        <v>40</v>
      </c>
      <c r="L5550" s="16" t="s">
        <v>26</v>
      </c>
      <c r="M5550" s="16">
        <f t="shared" si="519"/>
        <v>0.99641277652662363</v>
      </c>
      <c r="N5550">
        <f t="shared" si="520"/>
        <v>0</v>
      </c>
      <c r="O5550">
        <f t="shared" si="521"/>
        <v>0</v>
      </c>
      <c r="P5550">
        <f t="shared" si="518"/>
        <v>5400</v>
      </c>
      <c r="Q5550">
        <f t="shared" si="522"/>
        <v>5400</v>
      </c>
      <c r="T5550" s="16">
        <f t="shared" si="523"/>
        <v>0.9964127765266233</v>
      </c>
    </row>
    <row r="5551" spans="7:20" ht="14.4" x14ac:dyDescent="0.25">
      <c r="G5551" s="10">
        <v>2888</v>
      </c>
      <c r="H5551" s="9">
        <v>20832</v>
      </c>
      <c r="I5551" s="14">
        <f>DATE(2012,12,31)-885</f>
        <v>40389</v>
      </c>
      <c r="J5551" s="15" t="s">
        <v>28</v>
      </c>
      <c r="K5551" s="9">
        <v>47</v>
      </c>
      <c r="L5551" s="16" t="s">
        <v>26</v>
      </c>
      <c r="M5551" s="16">
        <f t="shared" si="519"/>
        <v>1.4798312128611737</v>
      </c>
      <c r="N5551">
        <f t="shared" si="520"/>
        <v>0</v>
      </c>
      <c r="O5551">
        <f t="shared" si="521"/>
        <v>0</v>
      </c>
      <c r="P5551">
        <f t="shared" si="518"/>
        <v>5750</v>
      </c>
      <c r="Q5551">
        <f t="shared" si="522"/>
        <v>5750</v>
      </c>
      <c r="T5551" s="16">
        <f t="shared" si="523"/>
        <v>1.4798312128611733</v>
      </c>
    </row>
    <row r="5552" spans="7:20" ht="14.4" x14ac:dyDescent="0.25">
      <c r="G5552" s="10">
        <v>2889</v>
      </c>
      <c r="H5552" s="9">
        <v>20832</v>
      </c>
      <c r="I5552" s="14">
        <f>DATE(2012,12,31)-885</f>
        <v>40389</v>
      </c>
      <c r="J5552" s="15" t="s">
        <v>28</v>
      </c>
      <c r="K5552" s="9">
        <v>39</v>
      </c>
      <c r="L5552" s="16" t="s">
        <v>26</v>
      </c>
      <c r="M5552" s="16">
        <f t="shared" si="519"/>
        <v>0.92735299990740228</v>
      </c>
      <c r="N5552">
        <f t="shared" si="520"/>
        <v>0</v>
      </c>
      <c r="O5552">
        <f t="shared" si="521"/>
        <v>0</v>
      </c>
      <c r="P5552">
        <f t="shared" si="518"/>
        <v>5350</v>
      </c>
      <c r="Q5552">
        <f t="shared" si="522"/>
        <v>5350</v>
      </c>
      <c r="T5552" s="16">
        <f t="shared" si="523"/>
        <v>0.92735299990740183</v>
      </c>
    </row>
    <row r="5553" spans="7:20" ht="14.4" x14ac:dyDescent="0.25">
      <c r="G5553" s="10">
        <v>3191</v>
      </c>
      <c r="H5553" s="9">
        <v>22887</v>
      </c>
      <c r="I5553" s="14">
        <f>DATE(2012,12,31)-774</f>
        <v>40500</v>
      </c>
      <c r="J5553" s="15" t="s">
        <v>28</v>
      </c>
      <c r="K5553" s="9">
        <v>34</v>
      </c>
      <c r="L5553" s="16" t="s">
        <v>29</v>
      </c>
      <c r="M5553" s="16">
        <f t="shared" si="519"/>
        <v>0.58205411681129504</v>
      </c>
      <c r="N5553">
        <f t="shared" si="520"/>
        <v>0</v>
      </c>
      <c r="O5553">
        <f t="shared" si="521"/>
        <v>0</v>
      </c>
      <c r="P5553">
        <f t="shared" si="518"/>
        <v>5100</v>
      </c>
      <c r="Q5553">
        <f t="shared" si="522"/>
        <v>5100</v>
      </c>
      <c r="T5553" s="16">
        <f t="shared" si="523"/>
        <v>0.58205411681129471</v>
      </c>
    </row>
    <row r="5554" spans="7:20" ht="14.4" x14ac:dyDescent="0.25">
      <c r="G5554" s="10">
        <v>3345</v>
      </c>
      <c r="H5554" s="9">
        <v>23936</v>
      </c>
      <c r="I5554" s="14">
        <f>DATE(2012,12,31)-1110</f>
        <v>40164</v>
      </c>
      <c r="J5554" s="15" t="s">
        <v>16</v>
      </c>
      <c r="K5554" s="9">
        <v>27</v>
      </c>
      <c r="L5554" s="16" t="s">
        <v>26</v>
      </c>
      <c r="M5554" s="16">
        <f t="shared" si="519"/>
        <v>9.8635680476745008E-2</v>
      </c>
      <c r="N5554">
        <f t="shared" si="520"/>
        <v>0</v>
      </c>
      <c r="O5554">
        <f t="shared" si="521"/>
        <v>0</v>
      </c>
      <c r="P5554">
        <f t="shared" si="518"/>
        <v>4750</v>
      </c>
      <c r="Q5554">
        <f t="shared" si="522"/>
        <v>4750</v>
      </c>
      <c r="T5554" s="16">
        <f t="shared" si="523"/>
        <v>9.8635680476744619E-2</v>
      </c>
    </row>
    <row r="5555" spans="7:20" ht="14.4" x14ac:dyDescent="0.25">
      <c r="G5555" s="10">
        <v>3407</v>
      </c>
      <c r="H5555" s="9">
        <v>24326</v>
      </c>
      <c r="I5555" s="14">
        <f>DATE(2012,12,31)-459</f>
        <v>40815</v>
      </c>
      <c r="J5555" s="15" t="s">
        <v>30</v>
      </c>
      <c r="K5555" s="9">
        <v>37</v>
      </c>
      <c r="L5555" s="16" t="s">
        <v>26</v>
      </c>
      <c r="M5555" s="16">
        <f t="shared" si="519"/>
        <v>0.78923344666895934</v>
      </c>
      <c r="N5555">
        <f t="shared" si="520"/>
        <v>0</v>
      </c>
      <c r="O5555">
        <f t="shared" si="521"/>
        <v>0</v>
      </c>
      <c r="P5555">
        <f t="shared" si="518"/>
        <v>5250</v>
      </c>
      <c r="Q5555">
        <f t="shared" si="522"/>
        <v>5250</v>
      </c>
      <c r="T5555" s="16">
        <f t="shared" si="523"/>
        <v>0.789233446668959</v>
      </c>
    </row>
    <row r="5556" spans="7:20" ht="14.4" x14ac:dyDescent="0.25">
      <c r="G5556" s="10">
        <v>3408</v>
      </c>
      <c r="H5556" s="9">
        <v>24326</v>
      </c>
      <c r="I5556" s="14">
        <f>DATE(2012,12,31)-459</f>
        <v>40815</v>
      </c>
      <c r="J5556" s="15" t="s">
        <v>30</v>
      </c>
      <c r="K5556" s="9">
        <v>12</v>
      </c>
      <c r="L5556" s="16" t="s">
        <v>26</v>
      </c>
      <c r="M5556" s="16">
        <f t="shared" si="519"/>
        <v>-0.9372609688115765</v>
      </c>
      <c r="N5556">
        <f t="shared" si="520"/>
        <v>0</v>
      </c>
      <c r="O5556">
        <f t="shared" si="521"/>
        <v>0</v>
      </c>
      <c r="P5556">
        <f t="shared" si="518"/>
        <v>4000</v>
      </c>
      <c r="Q5556">
        <f t="shared" si="522"/>
        <v>4000</v>
      </c>
      <c r="T5556" s="16">
        <f t="shared" si="523"/>
        <v>-0.93726096881157694</v>
      </c>
    </row>
    <row r="5557" spans="7:20" ht="14.4" x14ac:dyDescent="0.25">
      <c r="G5557" s="10">
        <v>3627</v>
      </c>
      <c r="H5557" s="9">
        <v>25926</v>
      </c>
      <c r="I5557" s="14">
        <f>DATE(2012,12,31)-1137</f>
        <v>40137</v>
      </c>
      <c r="J5557" s="15" t="s">
        <v>17</v>
      </c>
      <c r="K5557" s="9">
        <v>20</v>
      </c>
      <c r="L5557" s="16" t="s">
        <v>29</v>
      </c>
      <c r="M5557" s="16">
        <f t="shared" si="519"/>
        <v>-0.38478275585780503</v>
      </c>
      <c r="N5557">
        <f t="shared" si="520"/>
        <v>0</v>
      </c>
      <c r="O5557">
        <f t="shared" si="521"/>
        <v>0</v>
      </c>
      <c r="P5557">
        <f t="shared" si="518"/>
        <v>4400</v>
      </c>
      <c r="Q5557">
        <f t="shared" si="522"/>
        <v>4400</v>
      </c>
      <c r="T5557" s="16">
        <f t="shared" si="523"/>
        <v>-0.38478275585780541</v>
      </c>
    </row>
    <row r="5558" spans="7:20" ht="14.4" x14ac:dyDescent="0.25">
      <c r="G5558" s="10">
        <v>3628</v>
      </c>
      <c r="H5558" s="9">
        <v>25926</v>
      </c>
      <c r="I5558" s="14">
        <f>DATE(2012,12,31)-1137</f>
        <v>40137</v>
      </c>
      <c r="J5558" s="15" t="s">
        <v>17</v>
      </c>
      <c r="K5558" s="9">
        <v>23</v>
      </c>
      <c r="L5558" s="16" t="s">
        <v>26</v>
      </c>
      <c r="M5558" s="16">
        <f t="shared" si="519"/>
        <v>-0.17760342600014073</v>
      </c>
      <c r="N5558">
        <f t="shared" si="520"/>
        <v>0</v>
      </c>
      <c r="O5558">
        <f t="shared" si="521"/>
        <v>0</v>
      </c>
      <c r="P5558">
        <f t="shared" si="518"/>
        <v>4550</v>
      </c>
      <c r="Q5558">
        <f t="shared" si="522"/>
        <v>4550</v>
      </c>
      <c r="T5558" s="16">
        <f t="shared" si="523"/>
        <v>-0.17760342600014112</v>
      </c>
    </row>
    <row r="5559" spans="7:20" ht="14.4" x14ac:dyDescent="0.25">
      <c r="G5559" s="10">
        <v>3878</v>
      </c>
      <c r="H5559" s="9">
        <v>27687</v>
      </c>
      <c r="I5559" s="14">
        <f>DATE(2012,12,31)-984</f>
        <v>40290</v>
      </c>
      <c r="J5559" s="15" t="s">
        <v>16</v>
      </c>
      <c r="K5559" s="9">
        <v>38</v>
      </c>
      <c r="L5559" s="16" t="s">
        <v>26</v>
      </c>
      <c r="M5559" s="16">
        <f t="shared" si="519"/>
        <v>0.85829322328818081</v>
      </c>
      <c r="N5559">
        <f t="shared" si="520"/>
        <v>0</v>
      </c>
      <c r="O5559">
        <f t="shared" si="521"/>
        <v>0</v>
      </c>
      <c r="P5559">
        <f t="shared" si="518"/>
        <v>5300</v>
      </c>
      <c r="Q5559">
        <f t="shared" si="522"/>
        <v>5300</v>
      </c>
      <c r="T5559" s="16">
        <f t="shared" si="523"/>
        <v>0.85829322328818036</v>
      </c>
    </row>
    <row r="5560" spans="7:20" ht="14.4" x14ac:dyDescent="0.25">
      <c r="G5560" s="10">
        <v>3889</v>
      </c>
      <c r="H5560" s="9">
        <v>27776</v>
      </c>
      <c r="I5560" s="14">
        <f>DATE(2012,12,31)-972</f>
        <v>40302</v>
      </c>
      <c r="J5560" s="15" t="s">
        <v>25</v>
      </c>
      <c r="K5560" s="9">
        <v>41</v>
      </c>
      <c r="L5560" s="16" t="s">
        <v>26</v>
      </c>
      <c r="M5560" s="16">
        <f t="shared" si="519"/>
        <v>1.0654725531458451</v>
      </c>
      <c r="N5560">
        <f t="shared" si="520"/>
        <v>0</v>
      </c>
      <c r="O5560">
        <f t="shared" si="521"/>
        <v>0</v>
      </c>
      <c r="P5560">
        <f t="shared" si="518"/>
        <v>5450</v>
      </c>
      <c r="Q5560">
        <f t="shared" si="522"/>
        <v>5450</v>
      </c>
      <c r="T5560" s="16">
        <f t="shared" si="523"/>
        <v>1.0654725531458447</v>
      </c>
    </row>
    <row r="5561" spans="7:20" ht="14.4" x14ac:dyDescent="0.25">
      <c r="G5561" s="10">
        <v>3901</v>
      </c>
      <c r="H5561" s="9">
        <v>27813</v>
      </c>
      <c r="I5561" s="14">
        <f>DATE(2012,12,31)-1449</f>
        <v>39825</v>
      </c>
      <c r="J5561" s="15" t="s">
        <v>16</v>
      </c>
      <c r="K5561" s="9">
        <v>10</v>
      </c>
      <c r="L5561" s="16" t="s">
        <v>27</v>
      </c>
      <c r="M5561" s="16">
        <f t="shared" si="519"/>
        <v>-1.0753805220500194</v>
      </c>
      <c r="N5561">
        <f t="shared" si="520"/>
        <v>0</v>
      </c>
      <c r="O5561">
        <f t="shared" si="521"/>
        <v>0</v>
      </c>
      <c r="P5561">
        <f t="shared" si="518"/>
        <v>3900</v>
      </c>
      <c r="Q5561">
        <f t="shared" si="522"/>
        <v>3900</v>
      </c>
      <c r="T5561" s="16">
        <f t="shared" si="523"/>
        <v>-1.0753805220500199</v>
      </c>
    </row>
    <row r="5562" spans="7:20" ht="14.4" x14ac:dyDescent="0.25">
      <c r="G5562" s="10">
        <v>3958</v>
      </c>
      <c r="H5562" s="9">
        <v>28256</v>
      </c>
      <c r="I5562" s="14">
        <f>DATE(2012,12,31)-1407</f>
        <v>39867</v>
      </c>
      <c r="J5562" s="15" t="s">
        <v>17</v>
      </c>
      <c r="K5562" s="9">
        <v>19</v>
      </c>
      <c r="L5562" s="16" t="s">
        <v>26</v>
      </c>
      <c r="M5562" s="16">
        <f t="shared" si="519"/>
        <v>-0.45384253247702649</v>
      </c>
      <c r="N5562">
        <f t="shared" si="520"/>
        <v>0</v>
      </c>
      <c r="O5562">
        <f t="shared" si="521"/>
        <v>0</v>
      </c>
      <c r="P5562">
        <f t="shared" si="518"/>
        <v>4350</v>
      </c>
      <c r="Q5562">
        <f t="shared" si="522"/>
        <v>4350</v>
      </c>
      <c r="T5562" s="16">
        <f t="shared" si="523"/>
        <v>-0.45384253247702688</v>
      </c>
    </row>
    <row r="5563" spans="7:20" ht="14.4" x14ac:dyDescent="0.25">
      <c r="G5563" s="10">
        <v>4001</v>
      </c>
      <c r="H5563" s="9">
        <v>28550</v>
      </c>
      <c r="I5563" s="14">
        <f>DATE(2012,12,31)-652</f>
        <v>40622</v>
      </c>
      <c r="J5563" s="15" t="s">
        <v>28</v>
      </c>
      <c r="K5563" s="9">
        <v>44</v>
      </c>
      <c r="L5563" s="16" t="s">
        <v>27</v>
      </c>
      <c r="M5563" s="16">
        <f t="shared" si="519"/>
        <v>1.2726518830035094</v>
      </c>
      <c r="N5563">
        <f t="shared" si="520"/>
        <v>0</v>
      </c>
      <c r="O5563">
        <f t="shared" si="521"/>
        <v>0</v>
      </c>
      <c r="P5563">
        <f t="shared" si="518"/>
        <v>5600</v>
      </c>
      <c r="Q5563">
        <f t="shared" si="522"/>
        <v>5600</v>
      </c>
      <c r="T5563" s="16">
        <f t="shared" si="523"/>
        <v>1.272651883003509</v>
      </c>
    </row>
    <row r="5564" spans="7:20" ht="14.4" x14ac:dyDescent="0.25">
      <c r="G5564" s="10">
        <v>4002</v>
      </c>
      <c r="H5564" s="9">
        <v>28550</v>
      </c>
      <c r="I5564" s="14">
        <f>DATE(2012,12,31)-652</f>
        <v>40622</v>
      </c>
      <c r="J5564" s="15" t="s">
        <v>28</v>
      </c>
      <c r="K5564" s="9">
        <v>1</v>
      </c>
      <c r="L5564" s="16" t="s">
        <v>26</v>
      </c>
      <c r="M5564" s="16">
        <f t="shared" si="519"/>
        <v>-1.6969185116230123</v>
      </c>
      <c r="N5564">
        <f t="shared" si="520"/>
        <v>0</v>
      </c>
      <c r="O5564">
        <f t="shared" si="521"/>
        <v>0</v>
      </c>
      <c r="P5564">
        <f t="shared" si="518"/>
        <v>3450</v>
      </c>
      <c r="Q5564">
        <f t="shared" si="522"/>
        <v>3450</v>
      </c>
      <c r="T5564" s="16">
        <f t="shared" si="523"/>
        <v>-1.6969185116230128</v>
      </c>
    </row>
    <row r="5565" spans="7:20" ht="14.4" x14ac:dyDescent="0.25">
      <c r="G5565" s="10">
        <v>4049</v>
      </c>
      <c r="H5565" s="9">
        <v>28870</v>
      </c>
      <c r="I5565" s="14">
        <f>DATE(2012,12,31)-417</f>
        <v>40857</v>
      </c>
      <c r="J5565" s="15" t="s">
        <v>17</v>
      </c>
      <c r="K5565" s="9">
        <v>27</v>
      </c>
      <c r="L5565" s="16" t="s">
        <v>27</v>
      </c>
      <c r="M5565" s="16">
        <f t="shared" si="519"/>
        <v>9.8635680476745008E-2</v>
      </c>
      <c r="N5565">
        <f t="shared" si="520"/>
        <v>0</v>
      </c>
      <c r="O5565">
        <f t="shared" si="521"/>
        <v>0</v>
      </c>
      <c r="P5565">
        <f t="shared" si="518"/>
        <v>4750</v>
      </c>
      <c r="Q5565">
        <f t="shared" si="522"/>
        <v>4750</v>
      </c>
      <c r="T5565" s="16">
        <f t="shared" si="523"/>
        <v>9.8635680476744619E-2</v>
      </c>
    </row>
    <row r="5566" spans="7:20" ht="14.4" x14ac:dyDescent="0.25">
      <c r="G5566" s="10">
        <v>4268</v>
      </c>
      <c r="H5566" s="9">
        <v>30374</v>
      </c>
      <c r="I5566" s="14">
        <f>DATE(2012,12,31)-1016</f>
        <v>40258</v>
      </c>
      <c r="J5566" s="15" t="s">
        <v>30</v>
      </c>
      <c r="K5566" s="9">
        <v>12</v>
      </c>
      <c r="L5566" s="16" t="s">
        <v>26</v>
      </c>
      <c r="M5566" s="16">
        <f t="shared" si="519"/>
        <v>-0.9372609688115765</v>
      </c>
      <c r="N5566">
        <f t="shared" si="520"/>
        <v>0</v>
      </c>
      <c r="O5566">
        <f t="shared" si="521"/>
        <v>0</v>
      </c>
      <c r="P5566">
        <f t="shared" si="518"/>
        <v>4000</v>
      </c>
      <c r="Q5566">
        <f t="shared" si="522"/>
        <v>4000</v>
      </c>
      <c r="T5566" s="16">
        <f t="shared" si="523"/>
        <v>-0.93726096881157694</v>
      </c>
    </row>
    <row r="5567" spans="7:20" ht="14.4" x14ac:dyDescent="0.25">
      <c r="G5567" s="10">
        <v>4269</v>
      </c>
      <c r="H5567" s="9">
        <v>30374</v>
      </c>
      <c r="I5567" s="14">
        <f>DATE(2012,12,31)-1016</f>
        <v>40258</v>
      </c>
      <c r="J5567" s="15" t="s">
        <v>30</v>
      </c>
      <c r="K5567" s="9">
        <v>42</v>
      </c>
      <c r="L5567" s="16" t="s">
        <v>27</v>
      </c>
      <c r="M5567" s="16">
        <f t="shared" si="519"/>
        <v>1.1345323297650665</v>
      </c>
      <c r="N5567">
        <f t="shared" si="520"/>
        <v>0</v>
      </c>
      <c r="O5567">
        <f t="shared" si="521"/>
        <v>0</v>
      </c>
      <c r="P5567">
        <f t="shared" si="518"/>
        <v>5500</v>
      </c>
      <c r="Q5567">
        <f t="shared" si="522"/>
        <v>5500</v>
      </c>
      <c r="T5567" s="16">
        <f t="shared" si="523"/>
        <v>1.1345323297650662</v>
      </c>
    </row>
    <row r="5568" spans="7:20" ht="14.4" x14ac:dyDescent="0.25">
      <c r="G5568" s="10">
        <v>4288</v>
      </c>
      <c r="H5568" s="9">
        <v>30564</v>
      </c>
      <c r="I5568" s="14">
        <f>DATE(2012,12,31)-1404</f>
        <v>39870</v>
      </c>
      <c r="J5568" s="15" t="s">
        <v>30</v>
      </c>
      <c r="K5568" s="9">
        <v>20</v>
      </c>
      <c r="L5568" s="16" t="s">
        <v>27</v>
      </c>
      <c r="M5568" s="16">
        <f t="shared" si="519"/>
        <v>-0.38478275585780503</v>
      </c>
      <c r="N5568">
        <f t="shared" si="520"/>
        <v>0</v>
      </c>
      <c r="O5568">
        <f t="shared" si="521"/>
        <v>0</v>
      </c>
      <c r="P5568">
        <f t="shared" si="518"/>
        <v>4400</v>
      </c>
      <c r="Q5568">
        <f t="shared" si="522"/>
        <v>4400</v>
      </c>
      <c r="T5568" s="16">
        <f t="shared" si="523"/>
        <v>-0.38478275585780541</v>
      </c>
    </row>
    <row r="5569" spans="7:20" ht="14.4" x14ac:dyDescent="0.25">
      <c r="G5569" s="10">
        <v>4440</v>
      </c>
      <c r="H5569" s="9">
        <v>31620</v>
      </c>
      <c r="I5569" s="14">
        <f>DATE(2012,12,31)-508</f>
        <v>40766</v>
      </c>
      <c r="J5569" s="15" t="s">
        <v>30</v>
      </c>
      <c r="K5569" s="9">
        <v>20</v>
      </c>
      <c r="L5569" s="16" t="s">
        <v>27</v>
      </c>
      <c r="M5569" s="16">
        <f t="shared" si="519"/>
        <v>-0.38478275585780503</v>
      </c>
      <c r="N5569">
        <f t="shared" si="520"/>
        <v>0</v>
      </c>
      <c r="O5569">
        <f t="shared" si="521"/>
        <v>0</v>
      </c>
      <c r="P5569">
        <f t="shared" si="518"/>
        <v>4400</v>
      </c>
      <c r="Q5569">
        <f t="shared" si="522"/>
        <v>4400</v>
      </c>
      <c r="T5569" s="16">
        <f t="shared" si="523"/>
        <v>-0.38478275585780541</v>
      </c>
    </row>
    <row r="5570" spans="7:20" ht="14.4" x14ac:dyDescent="0.25">
      <c r="G5570" s="10">
        <v>4458</v>
      </c>
      <c r="H5570" s="9">
        <v>31780</v>
      </c>
      <c r="I5570" s="14">
        <f>DATE(2012,12,31)-1067</f>
        <v>40207</v>
      </c>
      <c r="J5570" s="15" t="s">
        <v>16</v>
      </c>
      <c r="K5570" s="9">
        <v>17</v>
      </c>
      <c r="L5570" s="16" t="s">
        <v>26</v>
      </c>
      <c r="M5570" s="16">
        <f t="shared" si="519"/>
        <v>-0.59196208571546938</v>
      </c>
      <c r="N5570">
        <f t="shared" si="520"/>
        <v>0</v>
      </c>
      <c r="O5570">
        <f t="shared" si="521"/>
        <v>0</v>
      </c>
      <c r="P5570">
        <f t="shared" si="518"/>
        <v>4250</v>
      </c>
      <c r="Q5570">
        <f t="shared" si="522"/>
        <v>4250</v>
      </c>
      <c r="T5570" s="16">
        <f t="shared" si="523"/>
        <v>-0.59196208571546971</v>
      </c>
    </row>
    <row r="5571" spans="7:20" ht="14.4" x14ac:dyDescent="0.25">
      <c r="G5571" s="10">
        <v>4479</v>
      </c>
      <c r="H5571" s="9">
        <v>31876</v>
      </c>
      <c r="I5571" s="14">
        <f>DATE(2012,12,31)-604</f>
        <v>40670</v>
      </c>
      <c r="J5571" s="15" t="s">
        <v>17</v>
      </c>
      <c r="K5571" s="9">
        <v>8</v>
      </c>
      <c r="L5571" s="16" t="s">
        <v>26</v>
      </c>
      <c r="M5571" s="16">
        <f t="shared" si="519"/>
        <v>-1.2135000752884624</v>
      </c>
      <c r="N5571">
        <f t="shared" si="520"/>
        <v>0</v>
      </c>
      <c r="O5571">
        <f t="shared" si="521"/>
        <v>0</v>
      </c>
      <c r="P5571">
        <f t="shared" si="518"/>
        <v>3800</v>
      </c>
      <c r="Q5571">
        <f t="shared" si="522"/>
        <v>3800</v>
      </c>
      <c r="T5571" s="16">
        <f t="shared" si="523"/>
        <v>-1.2135000752884626</v>
      </c>
    </row>
    <row r="5572" spans="7:20" ht="14.4" x14ac:dyDescent="0.25">
      <c r="G5572" s="10">
        <v>4549</v>
      </c>
      <c r="H5572" s="9">
        <v>32356</v>
      </c>
      <c r="I5572" s="14">
        <f>DATE(2012,12,31)-82</f>
        <v>41192</v>
      </c>
      <c r="J5572" s="15" t="s">
        <v>28</v>
      </c>
      <c r="K5572" s="9">
        <v>12</v>
      </c>
      <c r="L5572" s="16" t="s">
        <v>26</v>
      </c>
      <c r="M5572" s="16">
        <f t="shared" si="519"/>
        <v>-0.9372609688115765</v>
      </c>
      <c r="N5572">
        <f t="shared" si="520"/>
        <v>0</v>
      </c>
      <c r="O5572">
        <f t="shared" si="521"/>
        <v>0</v>
      </c>
      <c r="P5572">
        <f t="shared" si="518"/>
        <v>4000</v>
      </c>
      <c r="Q5572">
        <f t="shared" si="522"/>
        <v>4000</v>
      </c>
      <c r="T5572" s="16">
        <f t="shared" si="523"/>
        <v>-0.93726096881157694</v>
      </c>
    </row>
    <row r="5573" spans="7:20" ht="14.4" x14ac:dyDescent="0.25">
      <c r="G5573" s="10">
        <v>4550</v>
      </c>
      <c r="H5573" s="9">
        <v>32356</v>
      </c>
      <c r="I5573" s="14">
        <f>DATE(2012,12,31)-82</f>
        <v>41192</v>
      </c>
      <c r="J5573" s="15" t="s">
        <v>28</v>
      </c>
      <c r="K5573" s="9">
        <v>47</v>
      </c>
      <c r="L5573" s="16" t="s">
        <v>29</v>
      </c>
      <c r="M5573" s="16">
        <f t="shared" si="519"/>
        <v>1.4798312128611737</v>
      </c>
      <c r="N5573">
        <f t="shared" si="520"/>
        <v>0</v>
      </c>
      <c r="O5573">
        <f t="shared" si="521"/>
        <v>0</v>
      </c>
      <c r="P5573">
        <f t="shared" si="518"/>
        <v>5750</v>
      </c>
      <c r="Q5573">
        <f t="shared" si="522"/>
        <v>5750</v>
      </c>
      <c r="T5573" s="16">
        <f t="shared" si="523"/>
        <v>1.4798312128611733</v>
      </c>
    </row>
    <row r="5574" spans="7:20" ht="14.4" x14ac:dyDescent="0.25">
      <c r="G5574" s="10">
        <v>4696</v>
      </c>
      <c r="H5574" s="9">
        <v>33473</v>
      </c>
      <c r="I5574" s="14">
        <f>DATE(2012,12,31)-727</f>
        <v>40547</v>
      </c>
      <c r="J5574" s="15" t="s">
        <v>25</v>
      </c>
      <c r="K5574" s="9">
        <v>50</v>
      </c>
      <c r="L5574" s="16" t="s">
        <v>26</v>
      </c>
      <c r="M5574" s="16">
        <f t="shared" si="519"/>
        <v>1.687010542718838</v>
      </c>
      <c r="N5574">
        <f t="shared" si="520"/>
        <v>0</v>
      </c>
      <c r="O5574">
        <f t="shared" si="521"/>
        <v>0</v>
      </c>
      <c r="P5574">
        <f t="shared" si="518"/>
        <v>5900</v>
      </c>
      <c r="Q5574">
        <f t="shared" si="522"/>
        <v>5900</v>
      </c>
      <c r="T5574" s="16">
        <f t="shared" si="523"/>
        <v>1.6870105427188375</v>
      </c>
    </row>
    <row r="5575" spans="7:20" ht="14.4" x14ac:dyDescent="0.25">
      <c r="G5575" s="10">
        <v>4923</v>
      </c>
      <c r="H5575" s="9">
        <v>35043</v>
      </c>
      <c r="I5575" s="14">
        <f>DATE(2012,12,31)-896</f>
        <v>40378</v>
      </c>
      <c r="J5575" s="15" t="s">
        <v>28</v>
      </c>
      <c r="K5575" s="9">
        <v>45</v>
      </c>
      <c r="L5575" s="16" t="s">
        <v>26</v>
      </c>
      <c r="M5575" s="16">
        <f t="shared" si="519"/>
        <v>1.3417116596227308</v>
      </c>
      <c r="N5575">
        <f t="shared" si="520"/>
        <v>0</v>
      </c>
      <c r="O5575">
        <f t="shared" si="521"/>
        <v>0</v>
      </c>
      <c r="P5575">
        <f t="shared" si="518"/>
        <v>5650</v>
      </c>
      <c r="Q5575">
        <f t="shared" si="522"/>
        <v>5650</v>
      </c>
      <c r="T5575" s="16">
        <f t="shared" si="523"/>
        <v>1.3417116596227305</v>
      </c>
    </row>
    <row r="5576" spans="7:20" ht="14.4" x14ac:dyDescent="0.25">
      <c r="G5576" s="10">
        <v>4924</v>
      </c>
      <c r="H5576" s="9">
        <v>35043</v>
      </c>
      <c r="I5576" s="14">
        <f>DATE(2012,12,31)-896</f>
        <v>40378</v>
      </c>
      <c r="J5576" s="15" t="s">
        <v>28</v>
      </c>
      <c r="K5576" s="9">
        <v>9</v>
      </c>
      <c r="L5576" s="16" t="s">
        <v>27</v>
      </c>
      <c r="M5576" s="16">
        <f t="shared" si="519"/>
        <v>-1.1444402986692408</v>
      </c>
      <c r="N5576">
        <f t="shared" si="520"/>
        <v>0</v>
      </c>
      <c r="O5576">
        <f t="shared" si="521"/>
        <v>0</v>
      </c>
      <c r="P5576">
        <f t="shared" si="518"/>
        <v>3850</v>
      </c>
      <c r="Q5576">
        <f t="shared" si="522"/>
        <v>3850</v>
      </c>
      <c r="T5576" s="16">
        <f t="shared" si="523"/>
        <v>-1.1444402986692412</v>
      </c>
    </row>
    <row r="5577" spans="7:20" ht="14.4" x14ac:dyDescent="0.25">
      <c r="G5577" s="10">
        <v>5281</v>
      </c>
      <c r="H5577" s="9">
        <v>37603</v>
      </c>
      <c r="I5577" s="14">
        <f>DATE(2012,12,31)-768</f>
        <v>40506</v>
      </c>
      <c r="J5577" s="15" t="s">
        <v>16</v>
      </c>
      <c r="K5577" s="9">
        <v>50</v>
      </c>
      <c r="L5577" s="16" t="s">
        <v>27</v>
      </c>
      <c r="M5577" s="16">
        <f t="shared" si="519"/>
        <v>1.687010542718838</v>
      </c>
      <c r="N5577">
        <f t="shared" si="520"/>
        <v>0</v>
      </c>
      <c r="O5577">
        <f t="shared" si="521"/>
        <v>0</v>
      </c>
      <c r="P5577">
        <f t="shared" si="518"/>
        <v>5900</v>
      </c>
      <c r="Q5577">
        <f t="shared" si="522"/>
        <v>5900</v>
      </c>
      <c r="T5577" s="16">
        <f t="shared" si="523"/>
        <v>1.6870105427188375</v>
      </c>
    </row>
    <row r="5578" spans="7:20" ht="14.4" x14ac:dyDescent="0.25">
      <c r="G5578" s="10">
        <v>5282</v>
      </c>
      <c r="H5578" s="9">
        <v>37603</v>
      </c>
      <c r="I5578" s="14">
        <f>DATE(2012,12,31)-768</f>
        <v>40506</v>
      </c>
      <c r="J5578" s="15" t="s">
        <v>16</v>
      </c>
      <c r="K5578" s="9">
        <v>23</v>
      </c>
      <c r="L5578" s="16" t="s">
        <v>27</v>
      </c>
      <c r="M5578" s="16">
        <f t="shared" si="519"/>
        <v>-0.17760342600014073</v>
      </c>
      <c r="N5578">
        <f t="shared" si="520"/>
        <v>0</v>
      </c>
      <c r="O5578">
        <f t="shared" si="521"/>
        <v>0</v>
      </c>
      <c r="P5578">
        <f t="shared" si="518"/>
        <v>4550</v>
      </c>
      <c r="Q5578">
        <f t="shared" si="522"/>
        <v>4550</v>
      </c>
      <c r="T5578" s="16">
        <f t="shared" si="523"/>
        <v>-0.17760342600014112</v>
      </c>
    </row>
    <row r="5579" spans="7:20" ht="14.4" x14ac:dyDescent="0.25">
      <c r="G5579" s="10">
        <v>5426</v>
      </c>
      <c r="H5579" s="9">
        <v>38561</v>
      </c>
      <c r="I5579" s="14">
        <f>DATE(2012,12,31)-489</f>
        <v>40785</v>
      </c>
      <c r="J5579" s="15" t="s">
        <v>30</v>
      </c>
      <c r="K5579" s="9">
        <v>19</v>
      </c>
      <c r="L5579" s="16" t="s">
        <v>29</v>
      </c>
      <c r="M5579" s="16">
        <f t="shared" si="519"/>
        <v>-0.45384253247702649</v>
      </c>
      <c r="N5579">
        <f t="shared" si="520"/>
        <v>0</v>
      </c>
      <c r="O5579">
        <f t="shared" si="521"/>
        <v>0</v>
      </c>
      <c r="P5579">
        <f t="shared" si="518"/>
        <v>4350</v>
      </c>
      <c r="Q5579">
        <f t="shared" si="522"/>
        <v>4350</v>
      </c>
      <c r="T5579" s="16">
        <f t="shared" si="523"/>
        <v>-0.45384253247702688</v>
      </c>
    </row>
    <row r="5580" spans="7:20" ht="14.4" x14ac:dyDescent="0.25">
      <c r="G5580" s="10">
        <v>5629</v>
      </c>
      <c r="H5580" s="9">
        <v>39846</v>
      </c>
      <c r="I5580" s="14">
        <f>DATE(2012,12,31)-1403</f>
        <v>39871</v>
      </c>
      <c r="J5580" s="15" t="s">
        <v>25</v>
      </c>
      <c r="K5580" s="9">
        <v>10</v>
      </c>
      <c r="L5580" s="16" t="s">
        <v>29</v>
      </c>
      <c r="M5580" s="16">
        <f t="shared" si="519"/>
        <v>-1.0753805220500194</v>
      </c>
      <c r="N5580">
        <f t="shared" si="520"/>
        <v>0</v>
      </c>
      <c r="O5580">
        <f t="shared" si="521"/>
        <v>0</v>
      </c>
      <c r="P5580">
        <f t="shared" ref="P5580:P5643" si="524">50*K5580+$P$10</f>
        <v>3900</v>
      </c>
      <c r="Q5580">
        <f t="shared" si="522"/>
        <v>3900</v>
      </c>
      <c r="T5580" s="16">
        <f t="shared" si="523"/>
        <v>-1.0753805220500199</v>
      </c>
    </row>
    <row r="5581" spans="7:20" ht="14.4" x14ac:dyDescent="0.25">
      <c r="G5581" s="10">
        <v>5722</v>
      </c>
      <c r="H5581" s="9">
        <v>40547</v>
      </c>
      <c r="I5581" s="14">
        <f>DATE(2012,12,31)-1271</f>
        <v>40003</v>
      </c>
      <c r="J5581" s="15" t="s">
        <v>30</v>
      </c>
      <c r="K5581" s="9">
        <v>45</v>
      </c>
      <c r="L5581" s="16" t="s">
        <v>27</v>
      </c>
      <c r="M5581" s="16">
        <f t="shared" ref="M5581:M5644" si="525">(K5581-$K$4)/$K$7</f>
        <v>1.3417116596227308</v>
      </c>
      <c r="N5581">
        <f t="shared" ref="N5581:N5644" si="526">IF(MOD($B$20+G5581,1000)=0,1,0)</f>
        <v>0</v>
      </c>
      <c r="O5581">
        <f t="shared" ref="O5581:O5644" si="527">+ROUND(N5581*(IF(K5581&lt;$K$4,-4.5,10.5)*$P$5),-2)</f>
        <v>0</v>
      </c>
      <c r="P5581">
        <f t="shared" si="524"/>
        <v>5650</v>
      </c>
      <c r="Q5581">
        <f t="shared" ref="Q5581:Q5644" si="528">P5581+O5581</f>
        <v>5650</v>
      </c>
      <c r="T5581" s="16">
        <f t="shared" ref="T5581:T5644" si="529">(Q5581-$P$4)/$P$5</f>
        <v>1.3417116596227305</v>
      </c>
    </row>
    <row r="5582" spans="7:20" ht="14.4" x14ac:dyDescent="0.25">
      <c r="G5582" s="10">
        <v>5725</v>
      </c>
      <c r="H5582" s="9">
        <v>40611</v>
      </c>
      <c r="I5582" s="14">
        <f>DATE(2012,12,31)-278</f>
        <v>40996</v>
      </c>
      <c r="J5582" s="15" t="s">
        <v>28</v>
      </c>
      <c r="K5582" s="9">
        <v>12</v>
      </c>
      <c r="L5582" s="16" t="s">
        <v>26</v>
      </c>
      <c r="M5582" s="16">
        <f t="shared" si="525"/>
        <v>-0.9372609688115765</v>
      </c>
      <c r="N5582">
        <f t="shared" si="526"/>
        <v>0</v>
      </c>
      <c r="O5582">
        <f t="shared" si="527"/>
        <v>0</v>
      </c>
      <c r="P5582">
        <f t="shared" si="524"/>
        <v>4000</v>
      </c>
      <c r="Q5582">
        <f t="shared" si="528"/>
        <v>4000</v>
      </c>
      <c r="T5582" s="16">
        <f t="shared" si="529"/>
        <v>-0.93726096881157694</v>
      </c>
    </row>
    <row r="5583" spans="7:20" ht="14.4" x14ac:dyDescent="0.25">
      <c r="G5583" s="10">
        <v>5726</v>
      </c>
      <c r="H5583" s="9">
        <v>40611</v>
      </c>
      <c r="I5583" s="14">
        <f>DATE(2012,12,31)-278</f>
        <v>40996</v>
      </c>
      <c r="J5583" s="15" t="s">
        <v>28</v>
      </c>
      <c r="K5583" s="9">
        <v>43</v>
      </c>
      <c r="L5583" s="16" t="s">
        <v>27</v>
      </c>
      <c r="M5583" s="16">
        <f t="shared" si="525"/>
        <v>1.203592106384288</v>
      </c>
      <c r="N5583">
        <f t="shared" si="526"/>
        <v>0</v>
      </c>
      <c r="O5583">
        <f t="shared" si="527"/>
        <v>0</v>
      </c>
      <c r="P5583">
        <f t="shared" si="524"/>
        <v>5550</v>
      </c>
      <c r="Q5583">
        <f t="shared" si="528"/>
        <v>5550</v>
      </c>
      <c r="T5583" s="16">
        <f t="shared" si="529"/>
        <v>1.2035921063842876</v>
      </c>
    </row>
    <row r="5584" spans="7:20" ht="14.4" x14ac:dyDescent="0.25">
      <c r="G5584" s="10">
        <v>5762</v>
      </c>
      <c r="H5584" s="9">
        <v>40901</v>
      </c>
      <c r="I5584" s="14">
        <f>DATE(2012,12,31)-155</f>
        <v>41119</v>
      </c>
      <c r="J5584" s="15" t="s">
        <v>16</v>
      </c>
      <c r="K5584" s="9">
        <v>40</v>
      </c>
      <c r="L5584" s="16" t="s">
        <v>27</v>
      </c>
      <c r="M5584" s="16">
        <f t="shared" si="525"/>
        <v>0.99641277652662363</v>
      </c>
      <c r="N5584">
        <f t="shared" si="526"/>
        <v>0</v>
      </c>
      <c r="O5584">
        <f t="shared" si="527"/>
        <v>0</v>
      </c>
      <c r="P5584">
        <f t="shared" si="524"/>
        <v>5400</v>
      </c>
      <c r="Q5584">
        <f t="shared" si="528"/>
        <v>5400</v>
      </c>
      <c r="T5584" s="16">
        <f t="shared" si="529"/>
        <v>0.9964127765266233</v>
      </c>
    </row>
    <row r="5585" spans="7:20" ht="14.4" x14ac:dyDescent="0.25">
      <c r="G5585" s="10">
        <v>5763</v>
      </c>
      <c r="H5585" s="9">
        <v>40901</v>
      </c>
      <c r="I5585" s="14">
        <f>DATE(2012,12,31)-155</f>
        <v>41119</v>
      </c>
      <c r="J5585" s="15" t="s">
        <v>16</v>
      </c>
      <c r="K5585" s="9">
        <v>22</v>
      </c>
      <c r="L5585" s="16" t="s">
        <v>27</v>
      </c>
      <c r="M5585" s="16">
        <f t="shared" si="525"/>
        <v>-0.24666320261936217</v>
      </c>
      <c r="N5585">
        <f t="shared" si="526"/>
        <v>0</v>
      </c>
      <c r="O5585">
        <f t="shared" si="527"/>
        <v>0</v>
      </c>
      <c r="P5585">
        <f t="shared" si="524"/>
        <v>4500</v>
      </c>
      <c r="Q5585">
        <f t="shared" si="528"/>
        <v>4500</v>
      </c>
      <c r="T5585" s="16">
        <f t="shared" si="529"/>
        <v>-0.24666320261936256</v>
      </c>
    </row>
    <row r="5586" spans="7:20" ht="14.4" x14ac:dyDescent="0.25">
      <c r="G5586" s="10">
        <v>5867</v>
      </c>
      <c r="H5586" s="9">
        <v>41634</v>
      </c>
      <c r="I5586" s="14">
        <f>DATE(2012,12,31)-23</f>
        <v>41251</v>
      </c>
      <c r="J5586" s="15" t="s">
        <v>28</v>
      </c>
      <c r="K5586" s="9">
        <v>7</v>
      </c>
      <c r="L5586" s="16" t="s">
        <v>27</v>
      </c>
      <c r="M5586" s="16">
        <f t="shared" si="525"/>
        <v>-1.2825598519076837</v>
      </c>
      <c r="N5586">
        <f t="shared" si="526"/>
        <v>0</v>
      </c>
      <c r="O5586">
        <f t="shared" si="527"/>
        <v>0</v>
      </c>
      <c r="P5586">
        <f t="shared" si="524"/>
        <v>3750</v>
      </c>
      <c r="Q5586">
        <f t="shared" si="528"/>
        <v>3750</v>
      </c>
      <c r="T5586" s="16">
        <f t="shared" si="529"/>
        <v>-1.2825598519076842</v>
      </c>
    </row>
    <row r="5587" spans="7:20" ht="14.4" x14ac:dyDescent="0.25">
      <c r="G5587" s="10">
        <v>5868</v>
      </c>
      <c r="H5587" s="9">
        <v>41634</v>
      </c>
      <c r="I5587" s="14">
        <f>DATE(2012,12,31)-23</f>
        <v>41251</v>
      </c>
      <c r="J5587" s="15" t="s">
        <v>28</v>
      </c>
      <c r="K5587" s="9">
        <v>10</v>
      </c>
      <c r="L5587" s="16" t="s">
        <v>26</v>
      </c>
      <c r="M5587" s="16">
        <f t="shared" si="525"/>
        <v>-1.0753805220500194</v>
      </c>
      <c r="N5587">
        <f t="shared" si="526"/>
        <v>0</v>
      </c>
      <c r="O5587">
        <f t="shared" si="527"/>
        <v>0</v>
      </c>
      <c r="P5587">
        <f t="shared" si="524"/>
        <v>3900</v>
      </c>
      <c r="Q5587">
        <f t="shared" si="528"/>
        <v>3900</v>
      </c>
      <c r="T5587" s="16">
        <f t="shared" si="529"/>
        <v>-1.0753805220500199</v>
      </c>
    </row>
    <row r="5588" spans="7:20" ht="14.4" x14ac:dyDescent="0.25">
      <c r="G5588" s="10">
        <v>5889</v>
      </c>
      <c r="H5588" s="9">
        <v>41766</v>
      </c>
      <c r="I5588" s="14">
        <f>DATE(2012,12,31)-111</f>
        <v>41163</v>
      </c>
      <c r="J5588" s="15" t="s">
        <v>30</v>
      </c>
      <c r="K5588" s="9">
        <v>10</v>
      </c>
      <c r="L5588" s="16" t="s">
        <v>27</v>
      </c>
      <c r="M5588" s="16">
        <f t="shared" si="525"/>
        <v>-1.0753805220500194</v>
      </c>
      <c r="N5588">
        <f t="shared" si="526"/>
        <v>0</v>
      </c>
      <c r="O5588">
        <f t="shared" si="527"/>
        <v>0</v>
      </c>
      <c r="P5588">
        <f t="shared" si="524"/>
        <v>3900</v>
      </c>
      <c r="Q5588">
        <f t="shared" si="528"/>
        <v>3900</v>
      </c>
      <c r="T5588" s="16">
        <f t="shared" si="529"/>
        <v>-1.0753805220500199</v>
      </c>
    </row>
    <row r="5589" spans="7:20" ht="14.4" x14ac:dyDescent="0.25">
      <c r="G5589" s="10">
        <v>5916</v>
      </c>
      <c r="H5589" s="9">
        <v>41956</v>
      </c>
      <c r="I5589" s="14">
        <f>DATE(2012,12,31)-385</f>
        <v>40889</v>
      </c>
      <c r="J5589" s="15" t="s">
        <v>16</v>
      </c>
      <c r="K5589" s="9">
        <v>22</v>
      </c>
      <c r="L5589" s="16" t="s">
        <v>26</v>
      </c>
      <c r="M5589" s="16">
        <f t="shared" si="525"/>
        <v>-0.24666320261936217</v>
      </c>
      <c r="N5589">
        <f t="shared" si="526"/>
        <v>0</v>
      </c>
      <c r="O5589">
        <f t="shared" si="527"/>
        <v>0</v>
      </c>
      <c r="P5589">
        <f t="shared" si="524"/>
        <v>4500</v>
      </c>
      <c r="Q5589">
        <f t="shared" si="528"/>
        <v>4500</v>
      </c>
      <c r="T5589" s="16">
        <f t="shared" si="529"/>
        <v>-0.24666320261936256</v>
      </c>
    </row>
    <row r="5590" spans="7:20" ht="14.4" x14ac:dyDescent="0.25">
      <c r="G5590" s="10">
        <v>5917</v>
      </c>
      <c r="H5590" s="9">
        <v>41956</v>
      </c>
      <c r="I5590" s="14">
        <f>DATE(2012,12,31)-385</f>
        <v>40889</v>
      </c>
      <c r="J5590" s="15" t="s">
        <v>16</v>
      </c>
      <c r="K5590" s="9">
        <v>16</v>
      </c>
      <c r="L5590" s="16" t="s">
        <v>27</v>
      </c>
      <c r="M5590" s="16">
        <f t="shared" si="525"/>
        <v>-0.66102186233469074</v>
      </c>
      <c r="N5590">
        <f t="shared" si="526"/>
        <v>0</v>
      </c>
      <c r="O5590">
        <f t="shared" si="527"/>
        <v>0</v>
      </c>
      <c r="P5590">
        <f t="shared" si="524"/>
        <v>4200</v>
      </c>
      <c r="Q5590">
        <f t="shared" si="528"/>
        <v>4200</v>
      </c>
      <c r="T5590" s="16">
        <f t="shared" si="529"/>
        <v>-0.66102186233469118</v>
      </c>
    </row>
    <row r="5591" spans="7:20" ht="14.4" x14ac:dyDescent="0.25">
      <c r="G5591" s="10">
        <v>6310</v>
      </c>
      <c r="H5591" s="9">
        <v>44646</v>
      </c>
      <c r="I5591" s="14">
        <f>DATE(2012,12,31)-362</f>
        <v>40912</v>
      </c>
      <c r="J5591" s="15" t="s">
        <v>25</v>
      </c>
      <c r="K5591" s="9">
        <v>47</v>
      </c>
      <c r="L5591" s="16" t="s">
        <v>26</v>
      </c>
      <c r="M5591" s="16">
        <f t="shared" si="525"/>
        <v>1.4798312128611737</v>
      </c>
      <c r="N5591">
        <f t="shared" si="526"/>
        <v>0</v>
      </c>
      <c r="O5591">
        <f t="shared" si="527"/>
        <v>0</v>
      </c>
      <c r="P5591">
        <f t="shared" si="524"/>
        <v>5750</v>
      </c>
      <c r="Q5591">
        <f t="shared" si="528"/>
        <v>5750</v>
      </c>
      <c r="T5591" s="16">
        <f t="shared" si="529"/>
        <v>1.4798312128611733</v>
      </c>
    </row>
    <row r="5592" spans="7:20" ht="14.4" x14ac:dyDescent="0.25">
      <c r="G5592" s="10">
        <v>6444</v>
      </c>
      <c r="H5592" s="9">
        <v>45825</v>
      </c>
      <c r="I5592" s="14">
        <f>DATE(2012,12,31)-85</f>
        <v>41189</v>
      </c>
      <c r="J5592" s="15" t="s">
        <v>16</v>
      </c>
      <c r="K5592" s="9">
        <v>43</v>
      </c>
      <c r="L5592" s="16" t="s">
        <v>26</v>
      </c>
      <c r="M5592" s="16">
        <f t="shared" si="525"/>
        <v>1.203592106384288</v>
      </c>
      <c r="N5592">
        <f t="shared" si="526"/>
        <v>0</v>
      </c>
      <c r="O5592">
        <f t="shared" si="527"/>
        <v>0</v>
      </c>
      <c r="P5592">
        <f t="shared" si="524"/>
        <v>5550</v>
      </c>
      <c r="Q5592">
        <f t="shared" si="528"/>
        <v>5550</v>
      </c>
      <c r="T5592" s="16">
        <f t="shared" si="529"/>
        <v>1.2035921063842876</v>
      </c>
    </row>
    <row r="5593" spans="7:20" ht="14.4" x14ac:dyDescent="0.25">
      <c r="G5593" s="10">
        <v>6641</v>
      </c>
      <c r="H5593" s="9">
        <v>47232</v>
      </c>
      <c r="I5593" s="14">
        <f>DATE(2012,12,31)-867</f>
        <v>40407</v>
      </c>
      <c r="J5593" s="15" t="s">
        <v>28</v>
      </c>
      <c r="K5593" s="9">
        <v>39</v>
      </c>
      <c r="L5593" s="16" t="s">
        <v>26</v>
      </c>
      <c r="M5593" s="16">
        <f t="shared" si="525"/>
        <v>0.92735299990740228</v>
      </c>
      <c r="N5593">
        <f t="shared" si="526"/>
        <v>0</v>
      </c>
      <c r="O5593">
        <f t="shared" si="527"/>
        <v>0</v>
      </c>
      <c r="P5593">
        <f t="shared" si="524"/>
        <v>5350</v>
      </c>
      <c r="Q5593">
        <f t="shared" si="528"/>
        <v>5350</v>
      </c>
      <c r="T5593" s="16">
        <f t="shared" si="529"/>
        <v>0.92735299990740183</v>
      </c>
    </row>
    <row r="5594" spans="7:20" ht="14.4" x14ac:dyDescent="0.25">
      <c r="G5594" s="10">
        <v>6915</v>
      </c>
      <c r="H5594" s="9">
        <v>49344</v>
      </c>
      <c r="I5594" s="14">
        <f>DATE(2012,12,31)-1</f>
        <v>41273</v>
      </c>
      <c r="J5594" s="15" t="s">
        <v>25</v>
      </c>
      <c r="K5594" s="9">
        <v>31</v>
      </c>
      <c r="L5594" s="16" t="s">
        <v>27</v>
      </c>
      <c r="M5594" s="16">
        <f t="shared" si="525"/>
        <v>0.37487478695363075</v>
      </c>
      <c r="N5594">
        <f t="shared" si="526"/>
        <v>0</v>
      </c>
      <c r="O5594">
        <f t="shared" si="527"/>
        <v>0</v>
      </c>
      <c r="P5594">
        <f t="shared" si="524"/>
        <v>4950</v>
      </c>
      <c r="Q5594">
        <f t="shared" si="528"/>
        <v>4950</v>
      </c>
      <c r="T5594" s="16">
        <f t="shared" si="529"/>
        <v>0.37487478695363036</v>
      </c>
    </row>
    <row r="5595" spans="7:20" ht="14.4" x14ac:dyDescent="0.25">
      <c r="G5595" s="10">
        <v>6916</v>
      </c>
      <c r="H5595" s="9">
        <v>49344</v>
      </c>
      <c r="I5595" s="14">
        <f>DATE(2012,12,31)-1</f>
        <v>41273</v>
      </c>
      <c r="J5595" s="15" t="s">
        <v>25</v>
      </c>
      <c r="K5595" s="9">
        <v>1</v>
      </c>
      <c r="L5595" s="16" t="s">
        <v>26</v>
      </c>
      <c r="M5595" s="16">
        <f t="shared" si="525"/>
        <v>-1.6969185116230123</v>
      </c>
      <c r="N5595">
        <f t="shared" si="526"/>
        <v>0</v>
      </c>
      <c r="O5595">
        <f t="shared" si="527"/>
        <v>0</v>
      </c>
      <c r="P5595">
        <f t="shared" si="524"/>
        <v>3450</v>
      </c>
      <c r="Q5595">
        <f t="shared" si="528"/>
        <v>3450</v>
      </c>
      <c r="T5595" s="16">
        <f t="shared" si="529"/>
        <v>-1.6969185116230128</v>
      </c>
    </row>
    <row r="5596" spans="7:20" ht="14.4" x14ac:dyDescent="0.25">
      <c r="G5596" s="10">
        <v>6922</v>
      </c>
      <c r="H5596" s="9">
        <v>49351</v>
      </c>
      <c r="I5596" s="14">
        <f>DATE(2012,12,31)-276</f>
        <v>40998</v>
      </c>
      <c r="J5596" s="15" t="s">
        <v>25</v>
      </c>
      <c r="K5596" s="9">
        <v>27</v>
      </c>
      <c r="L5596" s="16" t="s">
        <v>26</v>
      </c>
      <c r="M5596" s="16">
        <f t="shared" si="525"/>
        <v>9.8635680476745008E-2</v>
      </c>
      <c r="N5596">
        <f t="shared" si="526"/>
        <v>0</v>
      </c>
      <c r="O5596">
        <f t="shared" si="527"/>
        <v>0</v>
      </c>
      <c r="P5596">
        <f t="shared" si="524"/>
        <v>4750</v>
      </c>
      <c r="Q5596">
        <f t="shared" si="528"/>
        <v>4750</v>
      </c>
      <c r="T5596" s="16">
        <f t="shared" si="529"/>
        <v>9.8635680476744619E-2</v>
      </c>
    </row>
    <row r="5597" spans="7:20" ht="14.4" x14ac:dyDescent="0.25">
      <c r="G5597" s="10">
        <v>6939</v>
      </c>
      <c r="H5597" s="9">
        <v>49511</v>
      </c>
      <c r="I5597" s="14">
        <f>DATE(2012,12,31)-1351</f>
        <v>39923</v>
      </c>
      <c r="J5597" s="15" t="s">
        <v>17</v>
      </c>
      <c r="K5597" s="9">
        <v>35</v>
      </c>
      <c r="L5597" s="16" t="s">
        <v>26</v>
      </c>
      <c r="M5597" s="16">
        <f t="shared" si="525"/>
        <v>0.65111389343051651</v>
      </c>
      <c r="N5597">
        <f t="shared" si="526"/>
        <v>0</v>
      </c>
      <c r="O5597">
        <f t="shared" si="527"/>
        <v>0</v>
      </c>
      <c r="P5597">
        <f t="shared" si="524"/>
        <v>5150</v>
      </c>
      <c r="Q5597">
        <f t="shared" si="528"/>
        <v>5150</v>
      </c>
      <c r="T5597" s="16">
        <f t="shared" si="529"/>
        <v>0.65111389343051607</v>
      </c>
    </row>
    <row r="5598" spans="7:20" ht="14.4" x14ac:dyDescent="0.25">
      <c r="G5598" s="10">
        <v>7358</v>
      </c>
      <c r="H5598" s="9">
        <v>52419</v>
      </c>
      <c r="I5598" s="14">
        <f>DATE(2012,12,31)-104</f>
        <v>41170</v>
      </c>
      <c r="J5598" s="15" t="s">
        <v>17</v>
      </c>
      <c r="K5598" s="9">
        <v>32</v>
      </c>
      <c r="L5598" s="16" t="s">
        <v>26</v>
      </c>
      <c r="M5598" s="16">
        <f t="shared" si="525"/>
        <v>0.44393456357285216</v>
      </c>
      <c r="N5598">
        <f t="shared" si="526"/>
        <v>0</v>
      </c>
      <c r="O5598">
        <f t="shared" si="527"/>
        <v>0</v>
      </c>
      <c r="P5598">
        <f t="shared" si="524"/>
        <v>5000</v>
      </c>
      <c r="Q5598">
        <f t="shared" si="528"/>
        <v>5000</v>
      </c>
      <c r="T5598" s="16">
        <f t="shared" si="529"/>
        <v>0.44393456357285183</v>
      </c>
    </row>
    <row r="5599" spans="7:20" ht="14.4" x14ac:dyDescent="0.25">
      <c r="G5599" s="10">
        <v>7440</v>
      </c>
      <c r="H5599" s="9">
        <v>53029</v>
      </c>
      <c r="I5599" s="14">
        <f>DATE(2012,12,31)-1253</f>
        <v>40021</v>
      </c>
      <c r="J5599" s="15" t="s">
        <v>25</v>
      </c>
      <c r="K5599" s="9">
        <v>39</v>
      </c>
      <c r="L5599" s="16" t="s">
        <v>26</v>
      </c>
      <c r="M5599" s="16">
        <f t="shared" si="525"/>
        <v>0.92735299990740228</v>
      </c>
      <c r="N5599">
        <f t="shared" si="526"/>
        <v>0</v>
      </c>
      <c r="O5599">
        <f t="shared" si="527"/>
        <v>0</v>
      </c>
      <c r="P5599">
        <f t="shared" si="524"/>
        <v>5350</v>
      </c>
      <c r="Q5599">
        <f t="shared" si="528"/>
        <v>5350</v>
      </c>
      <c r="T5599" s="16">
        <f t="shared" si="529"/>
        <v>0.92735299990740183</v>
      </c>
    </row>
    <row r="5600" spans="7:20" ht="14.4" x14ac:dyDescent="0.25">
      <c r="G5600" s="10">
        <v>7644</v>
      </c>
      <c r="H5600" s="9">
        <v>54786</v>
      </c>
      <c r="I5600" s="14">
        <f>DATE(2012,12,31)-355</f>
        <v>40919</v>
      </c>
      <c r="J5600" s="15" t="s">
        <v>28</v>
      </c>
      <c r="K5600" s="9">
        <v>30</v>
      </c>
      <c r="L5600" s="16" t="s">
        <v>26</v>
      </c>
      <c r="M5600" s="16">
        <f t="shared" si="525"/>
        <v>0.30581501033440933</v>
      </c>
      <c r="N5600">
        <f t="shared" si="526"/>
        <v>0</v>
      </c>
      <c r="O5600">
        <f t="shared" si="527"/>
        <v>0</v>
      </c>
      <c r="P5600">
        <f t="shared" si="524"/>
        <v>4900</v>
      </c>
      <c r="Q5600">
        <f t="shared" si="528"/>
        <v>4900</v>
      </c>
      <c r="T5600" s="16">
        <f t="shared" si="529"/>
        <v>0.30581501033440894</v>
      </c>
    </row>
    <row r="5601" spans="7:20" ht="14.4" x14ac:dyDescent="0.25">
      <c r="G5601" s="10">
        <v>7728</v>
      </c>
      <c r="H5601" s="9">
        <v>55362</v>
      </c>
      <c r="I5601" s="14">
        <f>DATE(2012,12,31)-621</f>
        <v>40653</v>
      </c>
      <c r="J5601" s="15" t="s">
        <v>17</v>
      </c>
      <c r="K5601" s="9">
        <v>24</v>
      </c>
      <c r="L5601" s="16" t="s">
        <v>26</v>
      </c>
      <c r="M5601" s="16">
        <f t="shared" si="525"/>
        <v>-0.1085436493809193</v>
      </c>
      <c r="N5601">
        <f t="shared" si="526"/>
        <v>0</v>
      </c>
      <c r="O5601">
        <f t="shared" si="527"/>
        <v>0</v>
      </c>
      <c r="P5601">
        <f t="shared" si="524"/>
        <v>4600</v>
      </c>
      <c r="Q5601">
        <f t="shared" si="528"/>
        <v>4600</v>
      </c>
      <c r="T5601" s="16">
        <f t="shared" si="529"/>
        <v>-0.10854364938091969</v>
      </c>
    </row>
    <row r="5602" spans="7:20" ht="14.4" x14ac:dyDescent="0.25">
      <c r="G5602" s="10">
        <v>7844</v>
      </c>
      <c r="H5602" s="9">
        <v>56099</v>
      </c>
      <c r="I5602" s="14">
        <f>DATE(2012,12,31)-818</f>
        <v>40456</v>
      </c>
      <c r="J5602" s="15" t="s">
        <v>25</v>
      </c>
      <c r="K5602" s="9">
        <v>11</v>
      </c>
      <c r="L5602" s="16" t="s">
        <v>26</v>
      </c>
      <c r="M5602" s="16">
        <f t="shared" si="525"/>
        <v>-1.0063207454307979</v>
      </c>
      <c r="N5602">
        <f t="shared" si="526"/>
        <v>0</v>
      </c>
      <c r="O5602">
        <f t="shared" si="527"/>
        <v>0</v>
      </c>
      <c r="P5602">
        <f t="shared" si="524"/>
        <v>3950</v>
      </c>
      <c r="Q5602">
        <f t="shared" si="528"/>
        <v>3950</v>
      </c>
      <c r="T5602" s="16">
        <f t="shared" si="529"/>
        <v>-1.0063207454307983</v>
      </c>
    </row>
    <row r="5603" spans="7:20" ht="14.4" x14ac:dyDescent="0.25">
      <c r="G5603" s="10">
        <v>7903</v>
      </c>
      <c r="H5603" s="9">
        <v>56516</v>
      </c>
      <c r="I5603" s="14">
        <f>DATE(2012,12,31)-1246</f>
        <v>40028</v>
      </c>
      <c r="J5603" s="15" t="s">
        <v>16</v>
      </c>
      <c r="K5603" s="9">
        <v>6</v>
      </c>
      <c r="L5603" s="16" t="s">
        <v>26</v>
      </c>
      <c r="M5603" s="16">
        <f t="shared" si="525"/>
        <v>-1.3516196285269051</v>
      </c>
      <c r="N5603">
        <f t="shared" si="526"/>
        <v>0</v>
      </c>
      <c r="O5603">
        <f t="shared" si="527"/>
        <v>0</v>
      </c>
      <c r="P5603">
        <f t="shared" si="524"/>
        <v>3700</v>
      </c>
      <c r="Q5603">
        <f t="shared" si="528"/>
        <v>3700</v>
      </c>
      <c r="T5603" s="16">
        <f t="shared" si="529"/>
        <v>-1.3516196285269055</v>
      </c>
    </row>
    <row r="5604" spans="7:20" ht="14.4" x14ac:dyDescent="0.25">
      <c r="G5604" s="10">
        <v>7904</v>
      </c>
      <c r="H5604" s="9">
        <v>56516</v>
      </c>
      <c r="I5604" s="14">
        <f>DATE(2012,12,31)-1246</f>
        <v>40028</v>
      </c>
      <c r="J5604" s="15" t="s">
        <v>16</v>
      </c>
      <c r="K5604" s="9">
        <v>24</v>
      </c>
      <c r="L5604" s="16" t="s">
        <v>27</v>
      </c>
      <c r="M5604" s="16">
        <f t="shared" si="525"/>
        <v>-0.1085436493809193</v>
      </c>
      <c r="N5604">
        <f t="shared" si="526"/>
        <v>0</v>
      </c>
      <c r="O5604">
        <f t="shared" si="527"/>
        <v>0</v>
      </c>
      <c r="P5604">
        <f t="shared" si="524"/>
        <v>4600</v>
      </c>
      <c r="Q5604">
        <f t="shared" si="528"/>
        <v>4600</v>
      </c>
      <c r="T5604" s="16">
        <f t="shared" si="529"/>
        <v>-0.10854364938091969</v>
      </c>
    </row>
    <row r="5605" spans="7:20" ht="14.4" x14ac:dyDescent="0.25">
      <c r="G5605" s="10">
        <v>8331</v>
      </c>
      <c r="H5605" s="9">
        <v>59556</v>
      </c>
      <c r="I5605" s="14">
        <f>DATE(2012,12,31)-1112</f>
        <v>40162</v>
      </c>
      <c r="J5605" s="15" t="s">
        <v>28</v>
      </c>
      <c r="K5605" s="9">
        <v>27</v>
      </c>
      <c r="L5605" s="16" t="s">
        <v>26</v>
      </c>
      <c r="M5605" s="16">
        <f t="shared" si="525"/>
        <v>9.8635680476745008E-2</v>
      </c>
      <c r="N5605">
        <f t="shared" si="526"/>
        <v>0</v>
      </c>
      <c r="O5605">
        <f t="shared" si="527"/>
        <v>0</v>
      </c>
      <c r="P5605">
        <f t="shared" si="524"/>
        <v>4750</v>
      </c>
      <c r="Q5605">
        <f t="shared" si="528"/>
        <v>4750</v>
      </c>
      <c r="T5605" s="16">
        <f t="shared" si="529"/>
        <v>9.8635680476744619E-2</v>
      </c>
    </row>
    <row r="5606" spans="7:20" ht="14.4" x14ac:dyDescent="0.25">
      <c r="G5606" s="10">
        <v>8332</v>
      </c>
      <c r="H5606" s="9">
        <v>59556</v>
      </c>
      <c r="I5606" s="14">
        <f>DATE(2012,12,31)-1112</f>
        <v>40162</v>
      </c>
      <c r="J5606" s="15" t="s">
        <v>28</v>
      </c>
      <c r="K5606" s="9">
        <v>5</v>
      </c>
      <c r="L5606" s="16" t="s">
        <v>27</v>
      </c>
      <c r="M5606" s="16">
        <f t="shared" si="525"/>
        <v>-1.4206794051461267</v>
      </c>
      <c r="N5606">
        <f t="shared" si="526"/>
        <v>0</v>
      </c>
      <c r="O5606">
        <f t="shared" si="527"/>
        <v>0</v>
      </c>
      <c r="P5606">
        <f t="shared" si="524"/>
        <v>3650</v>
      </c>
      <c r="Q5606">
        <f t="shared" si="528"/>
        <v>3650</v>
      </c>
      <c r="T5606" s="16">
        <f t="shared" si="529"/>
        <v>-1.4206794051461269</v>
      </c>
    </row>
    <row r="5607" spans="7:20" ht="14.4" x14ac:dyDescent="0.25">
      <c r="G5607" s="10">
        <v>8364</v>
      </c>
      <c r="H5607" s="9">
        <v>59779</v>
      </c>
      <c r="I5607" s="14">
        <f>DATE(2012,12,31)-1324</f>
        <v>39950</v>
      </c>
      <c r="J5607" s="15" t="s">
        <v>25</v>
      </c>
      <c r="K5607" s="9">
        <v>30</v>
      </c>
      <c r="L5607" s="16" t="s">
        <v>29</v>
      </c>
      <c r="M5607" s="16">
        <f t="shared" si="525"/>
        <v>0.30581501033440933</v>
      </c>
      <c r="N5607">
        <f t="shared" si="526"/>
        <v>0</v>
      </c>
      <c r="O5607">
        <f t="shared" si="527"/>
        <v>0</v>
      </c>
      <c r="P5607">
        <f t="shared" si="524"/>
        <v>4900</v>
      </c>
      <c r="Q5607">
        <f t="shared" si="528"/>
        <v>4900</v>
      </c>
      <c r="T5607" s="16">
        <f t="shared" si="529"/>
        <v>0.30581501033440894</v>
      </c>
    </row>
    <row r="5608" spans="7:20" ht="14.4" x14ac:dyDescent="0.25">
      <c r="G5608" s="10">
        <v>183</v>
      </c>
      <c r="H5608" s="9">
        <v>1217</v>
      </c>
      <c r="I5608" s="14">
        <f>DATE(2012,12,31)-250</f>
        <v>41024</v>
      </c>
      <c r="J5608" s="15" t="s">
        <v>28</v>
      </c>
      <c r="K5608" s="9">
        <v>25</v>
      </c>
      <c r="L5608" s="16" t="s">
        <v>27</v>
      </c>
      <c r="M5608" s="16">
        <f t="shared" si="525"/>
        <v>-3.9483872761697868E-2</v>
      </c>
      <c r="N5608">
        <f t="shared" si="526"/>
        <v>0</v>
      </c>
      <c r="O5608">
        <f t="shared" si="527"/>
        <v>0</v>
      </c>
      <c r="P5608">
        <f t="shared" si="524"/>
        <v>4650</v>
      </c>
      <c r="Q5608">
        <f t="shared" si="528"/>
        <v>4650</v>
      </c>
      <c r="T5608" s="16">
        <f t="shared" si="529"/>
        <v>-3.9483872761698249E-2</v>
      </c>
    </row>
    <row r="5609" spans="7:20" ht="14.4" x14ac:dyDescent="0.25">
      <c r="G5609" s="10">
        <v>245</v>
      </c>
      <c r="H5609" s="9">
        <v>1666</v>
      </c>
      <c r="I5609" s="14">
        <f>DATE(2012,12,31)-441</f>
        <v>40833</v>
      </c>
      <c r="J5609" s="15" t="s">
        <v>30</v>
      </c>
      <c r="K5609" s="9">
        <v>19</v>
      </c>
      <c r="L5609" s="16" t="s">
        <v>26</v>
      </c>
      <c r="M5609" s="16">
        <f t="shared" si="525"/>
        <v>-0.45384253247702649</v>
      </c>
      <c r="N5609">
        <f t="shared" si="526"/>
        <v>0</v>
      </c>
      <c r="O5609">
        <f t="shared" si="527"/>
        <v>0</v>
      </c>
      <c r="P5609">
        <f t="shared" si="524"/>
        <v>4350</v>
      </c>
      <c r="Q5609">
        <f t="shared" si="528"/>
        <v>4350</v>
      </c>
      <c r="T5609" s="16">
        <f t="shared" si="529"/>
        <v>-0.45384253247702688</v>
      </c>
    </row>
    <row r="5610" spans="7:20" ht="14.4" x14ac:dyDescent="0.25">
      <c r="G5610" s="10">
        <v>265</v>
      </c>
      <c r="H5610" s="9">
        <v>1829</v>
      </c>
      <c r="I5610" s="14">
        <f>DATE(2012,12,31)-1334</f>
        <v>39940</v>
      </c>
      <c r="J5610" s="15" t="s">
        <v>17</v>
      </c>
      <c r="K5610" s="9">
        <v>48</v>
      </c>
      <c r="L5610" s="16" t="s">
        <v>26</v>
      </c>
      <c r="M5610" s="16">
        <f t="shared" si="525"/>
        <v>1.5488909894803951</v>
      </c>
      <c r="N5610">
        <f t="shared" si="526"/>
        <v>0</v>
      </c>
      <c r="O5610">
        <f t="shared" si="527"/>
        <v>0</v>
      </c>
      <c r="P5610">
        <f t="shared" si="524"/>
        <v>5800</v>
      </c>
      <c r="Q5610">
        <f t="shared" si="528"/>
        <v>5800</v>
      </c>
      <c r="T5610" s="16">
        <f t="shared" si="529"/>
        <v>1.5488909894803948</v>
      </c>
    </row>
    <row r="5611" spans="7:20" ht="14.4" x14ac:dyDescent="0.25">
      <c r="G5611" s="10">
        <v>468</v>
      </c>
      <c r="H5611" s="9">
        <v>3202</v>
      </c>
      <c r="I5611" s="14">
        <f>DATE(2012,12,31)-8</f>
        <v>41266</v>
      </c>
      <c r="J5611" s="15" t="s">
        <v>25</v>
      </c>
      <c r="K5611" s="9">
        <v>10</v>
      </c>
      <c r="L5611" s="16" t="s">
        <v>27</v>
      </c>
      <c r="M5611" s="16">
        <f t="shared" si="525"/>
        <v>-1.0753805220500194</v>
      </c>
      <c r="N5611">
        <f t="shared" si="526"/>
        <v>0</v>
      </c>
      <c r="O5611">
        <f t="shared" si="527"/>
        <v>0</v>
      </c>
      <c r="P5611">
        <f t="shared" si="524"/>
        <v>3900</v>
      </c>
      <c r="Q5611">
        <f t="shared" si="528"/>
        <v>3900</v>
      </c>
      <c r="T5611" s="16">
        <f t="shared" si="529"/>
        <v>-1.0753805220500199</v>
      </c>
    </row>
    <row r="5612" spans="7:20" ht="14.4" x14ac:dyDescent="0.25">
      <c r="G5612" s="10">
        <v>697</v>
      </c>
      <c r="H5612" s="9">
        <v>4871</v>
      </c>
      <c r="I5612" s="14">
        <f>DATE(2012,12,31)-569</f>
        <v>40705</v>
      </c>
      <c r="J5612" s="15" t="s">
        <v>30</v>
      </c>
      <c r="K5612" s="9">
        <v>8</v>
      </c>
      <c r="L5612" s="16" t="s">
        <v>29</v>
      </c>
      <c r="M5612" s="16">
        <f t="shared" si="525"/>
        <v>-1.2135000752884624</v>
      </c>
      <c r="N5612">
        <f t="shared" si="526"/>
        <v>0</v>
      </c>
      <c r="O5612">
        <f t="shared" si="527"/>
        <v>0</v>
      </c>
      <c r="P5612">
        <f t="shared" si="524"/>
        <v>3800</v>
      </c>
      <c r="Q5612">
        <f t="shared" si="528"/>
        <v>3800</v>
      </c>
      <c r="T5612" s="16">
        <f t="shared" si="529"/>
        <v>-1.2135000752884626</v>
      </c>
    </row>
    <row r="5613" spans="7:20" ht="14.4" x14ac:dyDescent="0.25">
      <c r="G5613" s="10">
        <v>698</v>
      </c>
      <c r="H5613" s="9">
        <v>4871</v>
      </c>
      <c r="I5613" s="14">
        <f>DATE(2012,12,31)-569</f>
        <v>40705</v>
      </c>
      <c r="J5613" s="15" t="s">
        <v>30</v>
      </c>
      <c r="K5613" s="9">
        <v>26</v>
      </c>
      <c r="L5613" s="16" t="s">
        <v>26</v>
      </c>
      <c r="M5613" s="16">
        <f t="shared" si="525"/>
        <v>2.9575903857523567E-2</v>
      </c>
      <c r="N5613">
        <f t="shared" si="526"/>
        <v>0</v>
      </c>
      <c r="O5613">
        <f t="shared" si="527"/>
        <v>0</v>
      </c>
      <c r="P5613">
        <f t="shared" si="524"/>
        <v>4700</v>
      </c>
      <c r="Q5613">
        <f t="shared" si="528"/>
        <v>4700</v>
      </c>
      <c r="T5613" s="16">
        <f t="shared" si="529"/>
        <v>2.9575903857523185E-2</v>
      </c>
    </row>
    <row r="5614" spans="7:20" ht="14.4" x14ac:dyDescent="0.25">
      <c r="G5614" s="10">
        <v>866</v>
      </c>
      <c r="H5614" s="9">
        <v>6211</v>
      </c>
      <c r="I5614" s="14">
        <f>DATE(2012,12,31)-1134</f>
        <v>40140</v>
      </c>
      <c r="J5614" s="15" t="s">
        <v>30</v>
      </c>
      <c r="K5614" s="9">
        <v>28</v>
      </c>
      <c r="L5614" s="16" t="s">
        <v>26</v>
      </c>
      <c r="M5614" s="16">
        <f t="shared" si="525"/>
        <v>0.16769545709596645</v>
      </c>
      <c r="N5614">
        <f t="shared" si="526"/>
        <v>0</v>
      </c>
      <c r="O5614">
        <f t="shared" si="527"/>
        <v>0</v>
      </c>
      <c r="P5614">
        <f t="shared" si="524"/>
        <v>4800</v>
      </c>
      <c r="Q5614">
        <f t="shared" si="528"/>
        <v>4800</v>
      </c>
      <c r="T5614" s="16">
        <f t="shared" si="529"/>
        <v>0.16769545709596606</v>
      </c>
    </row>
    <row r="5615" spans="7:20" ht="14.4" x14ac:dyDescent="0.25">
      <c r="G5615" s="10">
        <v>867</v>
      </c>
      <c r="H5615" s="9">
        <v>6211</v>
      </c>
      <c r="I5615" s="14">
        <f>DATE(2012,12,31)-1134</f>
        <v>40140</v>
      </c>
      <c r="J5615" s="15" t="s">
        <v>30</v>
      </c>
      <c r="K5615" s="9">
        <v>3</v>
      </c>
      <c r="L5615" s="16" t="s">
        <v>26</v>
      </c>
      <c r="M5615" s="16">
        <f t="shared" si="525"/>
        <v>-1.5587989583845694</v>
      </c>
      <c r="N5615">
        <f t="shared" si="526"/>
        <v>0</v>
      </c>
      <c r="O5615">
        <f t="shared" si="527"/>
        <v>0</v>
      </c>
      <c r="P5615">
        <f t="shared" si="524"/>
        <v>3550</v>
      </c>
      <c r="Q5615">
        <f t="shared" si="528"/>
        <v>3550</v>
      </c>
      <c r="T5615" s="16">
        <f t="shared" si="529"/>
        <v>-1.5587989583845698</v>
      </c>
    </row>
    <row r="5616" spans="7:20" ht="14.4" x14ac:dyDescent="0.25">
      <c r="G5616" s="10">
        <v>1007</v>
      </c>
      <c r="H5616" s="9">
        <v>7363</v>
      </c>
      <c r="I5616" s="14">
        <f>DATE(2012,12,31)-783</f>
        <v>40491</v>
      </c>
      <c r="J5616" s="15" t="s">
        <v>16</v>
      </c>
      <c r="K5616" s="9">
        <v>24</v>
      </c>
      <c r="L5616" s="16" t="s">
        <v>29</v>
      </c>
      <c r="M5616" s="16">
        <f t="shared" si="525"/>
        <v>-0.1085436493809193</v>
      </c>
      <c r="N5616">
        <f t="shared" si="526"/>
        <v>0</v>
      </c>
      <c r="O5616">
        <f t="shared" si="527"/>
        <v>0</v>
      </c>
      <c r="P5616">
        <f t="shared" si="524"/>
        <v>4600</v>
      </c>
      <c r="Q5616">
        <f t="shared" si="528"/>
        <v>4600</v>
      </c>
      <c r="T5616" s="16">
        <f t="shared" si="529"/>
        <v>-0.10854364938091969</v>
      </c>
    </row>
    <row r="5617" spans="7:20" ht="14.4" x14ac:dyDescent="0.25">
      <c r="G5617" s="10">
        <v>1109</v>
      </c>
      <c r="H5617" s="9">
        <v>8133</v>
      </c>
      <c r="I5617" s="14">
        <f>DATE(2012,12,31)-674</f>
        <v>40600</v>
      </c>
      <c r="J5617" s="15" t="s">
        <v>16</v>
      </c>
      <c r="K5617" s="9">
        <v>11</v>
      </c>
      <c r="L5617" s="16" t="s">
        <v>26</v>
      </c>
      <c r="M5617" s="16">
        <f t="shared" si="525"/>
        <v>-1.0063207454307979</v>
      </c>
      <c r="N5617">
        <f t="shared" si="526"/>
        <v>0</v>
      </c>
      <c r="O5617">
        <f t="shared" si="527"/>
        <v>0</v>
      </c>
      <c r="P5617">
        <f t="shared" si="524"/>
        <v>3950</v>
      </c>
      <c r="Q5617">
        <f t="shared" si="528"/>
        <v>3950</v>
      </c>
      <c r="T5617" s="16">
        <f t="shared" si="529"/>
        <v>-1.0063207454307983</v>
      </c>
    </row>
    <row r="5618" spans="7:20" ht="14.4" x14ac:dyDescent="0.25">
      <c r="G5618" s="10">
        <v>1155</v>
      </c>
      <c r="H5618" s="9">
        <v>8416</v>
      </c>
      <c r="I5618" s="14">
        <f>DATE(2012,12,31)-878</f>
        <v>40396</v>
      </c>
      <c r="J5618" s="15" t="s">
        <v>25</v>
      </c>
      <c r="K5618" s="9">
        <v>2</v>
      </c>
      <c r="L5618" s="16" t="s">
        <v>26</v>
      </c>
      <c r="M5618" s="16">
        <f t="shared" si="525"/>
        <v>-1.627858735003791</v>
      </c>
      <c r="N5618">
        <f t="shared" si="526"/>
        <v>0</v>
      </c>
      <c r="O5618">
        <f t="shared" si="527"/>
        <v>0</v>
      </c>
      <c r="P5618">
        <f t="shared" si="524"/>
        <v>3500</v>
      </c>
      <c r="Q5618">
        <f t="shared" si="528"/>
        <v>3500</v>
      </c>
      <c r="T5618" s="16">
        <f t="shared" si="529"/>
        <v>-1.6278587350037912</v>
      </c>
    </row>
    <row r="5619" spans="7:20" ht="14.4" x14ac:dyDescent="0.25">
      <c r="G5619" s="10">
        <v>1199</v>
      </c>
      <c r="H5619" s="9">
        <v>8802</v>
      </c>
      <c r="I5619" s="14">
        <f>DATE(2012,12,31)-700</f>
        <v>40574</v>
      </c>
      <c r="J5619" s="15" t="s">
        <v>16</v>
      </c>
      <c r="K5619" s="9">
        <v>15</v>
      </c>
      <c r="L5619" s="16" t="s">
        <v>26</v>
      </c>
      <c r="M5619" s="16">
        <f t="shared" si="525"/>
        <v>-0.7300816389539122</v>
      </c>
      <c r="N5619">
        <f t="shared" si="526"/>
        <v>0</v>
      </c>
      <c r="O5619">
        <f t="shared" si="527"/>
        <v>0</v>
      </c>
      <c r="P5619">
        <f t="shared" si="524"/>
        <v>4150</v>
      </c>
      <c r="Q5619">
        <f t="shared" si="528"/>
        <v>4150</v>
      </c>
      <c r="T5619" s="16">
        <f t="shared" si="529"/>
        <v>-0.73008163895391265</v>
      </c>
    </row>
    <row r="5620" spans="7:20" ht="14.4" x14ac:dyDescent="0.25">
      <c r="G5620" s="10">
        <v>1315</v>
      </c>
      <c r="H5620" s="9">
        <v>9637</v>
      </c>
      <c r="I5620" s="14">
        <f>DATE(2012,12,31)-1458</f>
        <v>39816</v>
      </c>
      <c r="J5620" s="15" t="s">
        <v>25</v>
      </c>
      <c r="K5620" s="9">
        <v>12</v>
      </c>
      <c r="L5620" s="16" t="s">
        <v>27</v>
      </c>
      <c r="M5620" s="16">
        <f t="shared" si="525"/>
        <v>-0.9372609688115765</v>
      </c>
      <c r="N5620">
        <f t="shared" si="526"/>
        <v>0</v>
      </c>
      <c r="O5620">
        <f t="shared" si="527"/>
        <v>0</v>
      </c>
      <c r="P5620">
        <f t="shared" si="524"/>
        <v>4000</v>
      </c>
      <c r="Q5620">
        <f t="shared" si="528"/>
        <v>4000</v>
      </c>
      <c r="T5620" s="16">
        <f t="shared" si="529"/>
        <v>-0.93726096881157694</v>
      </c>
    </row>
    <row r="5621" spans="7:20" ht="14.4" x14ac:dyDescent="0.25">
      <c r="G5621" s="10">
        <v>1316</v>
      </c>
      <c r="H5621" s="9">
        <v>9637</v>
      </c>
      <c r="I5621" s="14">
        <f>DATE(2012,12,31)-1458</f>
        <v>39816</v>
      </c>
      <c r="J5621" s="15" t="s">
        <v>25</v>
      </c>
      <c r="K5621" s="9">
        <v>49</v>
      </c>
      <c r="L5621" s="16" t="s">
        <v>27</v>
      </c>
      <c r="M5621" s="16">
        <f t="shared" si="525"/>
        <v>1.6179507660996166</v>
      </c>
      <c r="N5621">
        <f t="shared" si="526"/>
        <v>0</v>
      </c>
      <c r="O5621">
        <f t="shared" si="527"/>
        <v>0</v>
      </c>
      <c r="P5621">
        <f t="shared" si="524"/>
        <v>5850</v>
      </c>
      <c r="Q5621">
        <f t="shared" si="528"/>
        <v>5850</v>
      </c>
      <c r="T5621" s="16">
        <f t="shared" si="529"/>
        <v>1.6179507660996162</v>
      </c>
    </row>
    <row r="5622" spans="7:20" ht="14.4" x14ac:dyDescent="0.25">
      <c r="G5622" s="10">
        <v>1317</v>
      </c>
      <c r="H5622" s="9">
        <v>9637</v>
      </c>
      <c r="I5622" s="14">
        <f>DATE(2012,12,31)-1458</f>
        <v>39816</v>
      </c>
      <c r="J5622" s="15" t="s">
        <v>25</v>
      </c>
      <c r="K5622" s="9">
        <v>12</v>
      </c>
      <c r="L5622" s="16" t="s">
        <v>26</v>
      </c>
      <c r="M5622" s="16">
        <f t="shared" si="525"/>
        <v>-0.9372609688115765</v>
      </c>
      <c r="N5622">
        <f t="shared" si="526"/>
        <v>0</v>
      </c>
      <c r="O5622">
        <f t="shared" si="527"/>
        <v>0</v>
      </c>
      <c r="P5622">
        <f t="shared" si="524"/>
        <v>4000</v>
      </c>
      <c r="Q5622">
        <f t="shared" si="528"/>
        <v>4000</v>
      </c>
      <c r="T5622" s="16">
        <f t="shared" si="529"/>
        <v>-0.93726096881157694</v>
      </c>
    </row>
    <row r="5623" spans="7:20" ht="14.4" x14ac:dyDescent="0.25">
      <c r="G5623" s="10">
        <v>1327</v>
      </c>
      <c r="H5623" s="9">
        <v>9671</v>
      </c>
      <c r="I5623" s="14">
        <f>DATE(2012,12,31)-476</f>
        <v>40798</v>
      </c>
      <c r="J5623" s="15" t="s">
        <v>17</v>
      </c>
      <c r="K5623" s="9">
        <v>6</v>
      </c>
      <c r="L5623" s="16" t="s">
        <v>26</v>
      </c>
      <c r="M5623" s="16">
        <f t="shared" si="525"/>
        <v>-1.3516196285269051</v>
      </c>
      <c r="N5623">
        <f t="shared" si="526"/>
        <v>0</v>
      </c>
      <c r="O5623">
        <f t="shared" si="527"/>
        <v>0</v>
      </c>
      <c r="P5623">
        <f t="shared" si="524"/>
        <v>3700</v>
      </c>
      <c r="Q5623">
        <f t="shared" si="528"/>
        <v>3700</v>
      </c>
      <c r="T5623" s="16">
        <f t="shared" si="529"/>
        <v>-1.3516196285269055</v>
      </c>
    </row>
    <row r="5624" spans="7:20" ht="14.4" x14ac:dyDescent="0.25">
      <c r="G5624" s="10">
        <v>1378</v>
      </c>
      <c r="H5624" s="9">
        <v>9957</v>
      </c>
      <c r="I5624" s="14">
        <f>DATE(2012,12,31)-762</f>
        <v>40512</v>
      </c>
      <c r="J5624" s="15" t="s">
        <v>28</v>
      </c>
      <c r="K5624" s="9">
        <v>31</v>
      </c>
      <c r="L5624" s="16" t="s">
        <v>26</v>
      </c>
      <c r="M5624" s="16">
        <f t="shared" si="525"/>
        <v>0.37487478695363075</v>
      </c>
      <c r="N5624">
        <f t="shared" si="526"/>
        <v>0</v>
      </c>
      <c r="O5624">
        <f t="shared" si="527"/>
        <v>0</v>
      </c>
      <c r="P5624">
        <f t="shared" si="524"/>
        <v>4950</v>
      </c>
      <c r="Q5624">
        <f t="shared" si="528"/>
        <v>4950</v>
      </c>
      <c r="T5624" s="16">
        <f t="shared" si="529"/>
        <v>0.37487478695363036</v>
      </c>
    </row>
    <row r="5625" spans="7:20" ht="14.4" x14ac:dyDescent="0.25">
      <c r="G5625" s="10">
        <v>1467</v>
      </c>
      <c r="H5625" s="9">
        <v>10567</v>
      </c>
      <c r="I5625" s="14">
        <f>DATE(2012,12,31)-277</f>
        <v>40997</v>
      </c>
      <c r="J5625" s="15" t="s">
        <v>17</v>
      </c>
      <c r="K5625" s="9">
        <v>10</v>
      </c>
      <c r="L5625" s="16" t="s">
        <v>29</v>
      </c>
      <c r="M5625" s="16">
        <f t="shared" si="525"/>
        <v>-1.0753805220500194</v>
      </c>
      <c r="N5625">
        <f t="shared" si="526"/>
        <v>0</v>
      </c>
      <c r="O5625">
        <f t="shared" si="527"/>
        <v>0</v>
      </c>
      <c r="P5625">
        <f t="shared" si="524"/>
        <v>3900</v>
      </c>
      <c r="Q5625">
        <f t="shared" si="528"/>
        <v>3900</v>
      </c>
      <c r="T5625" s="16">
        <f t="shared" si="529"/>
        <v>-1.0753805220500199</v>
      </c>
    </row>
    <row r="5626" spans="7:20" ht="14.4" x14ac:dyDescent="0.25">
      <c r="G5626" s="10">
        <v>1760</v>
      </c>
      <c r="H5626" s="9">
        <v>12613</v>
      </c>
      <c r="I5626" s="14">
        <f>DATE(2012,12,31)-996</f>
        <v>40278</v>
      </c>
      <c r="J5626" s="15" t="s">
        <v>16</v>
      </c>
      <c r="K5626" s="9">
        <v>3</v>
      </c>
      <c r="L5626" s="16" t="s">
        <v>26</v>
      </c>
      <c r="M5626" s="16">
        <f t="shared" si="525"/>
        <v>-1.5587989583845694</v>
      </c>
      <c r="N5626">
        <f t="shared" si="526"/>
        <v>0</v>
      </c>
      <c r="O5626">
        <f t="shared" si="527"/>
        <v>0</v>
      </c>
      <c r="P5626">
        <f t="shared" si="524"/>
        <v>3550</v>
      </c>
      <c r="Q5626">
        <f t="shared" si="528"/>
        <v>3550</v>
      </c>
      <c r="T5626" s="16">
        <f t="shared" si="529"/>
        <v>-1.5587989583845698</v>
      </c>
    </row>
    <row r="5627" spans="7:20" ht="14.4" x14ac:dyDescent="0.25">
      <c r="G5627" s="10">
        <v>1761</v>
      </c>
      <c r="H5627" s="9">
        <v>12613</v>
      </c>
      <c r="I5627" s="14">
        <f>DATE(2012,12,31)-996</f>
        <v>40278</v>
      </c>
      <c r="J5627" s="15" t="s">
        <v>16</v>
      </c>
      <c r="K5627" s="9">
        <v>28</v>
      </c>
      <c r="L5627" s="16" t="s">
        <v>26</v>
      </c>
      <c r="M5627" s="16">
        <f t="shared" si="525"/>
        <v>0.16769545709596645</v>
      </c>
      <c r="N5627">
        <f t="shared" si="526"/>
        <v>0</v>
      </c>
      <c r="O5627">
        <f t="shared" si="527"/>
        <v>0</v>
      </c>
      <c r="P5627">
        <f t="shared" si="524"/>
        <v>4800</v>
      </c>
      <c r="Q5627">
        <f t="shared" si="528"/>
        <v>4800</v>
      </c>
      <c r="T5627" s="16">
        <f t="shared" si="529"/>
        <v>0.16769545709596606</v>
      </c>
    </row>
    <row r="5628" spans="7:20" ht="14.4" x14ac:dyDescent="0.25">
      <c r="G5628" s="10">
        <v>1762</v>
      </c>
      <c r="H5628" s="9">
        <v>12613</v>
      </c>
      <c r="I5628" s="14">
        <f>DATE(2012,12,31)-996</f>
        <v>40278</v>
      </c>
      <c r="J5628" s="15" t="s">
        <v>16</v>
      </c>
      <c r="K5628" s="9">
        <v>18</v>
      </c>
      <c r="L5628" s="16" t="s">
        <v>29</v>
      </c>
      <c r="M5628" s="16">
        <f t="shared" si="525"/>
        <v>-0.52290230909624791</v>
      </c>
      <c r="N5628">
        <f t="shared" si="526"/>
        <v>0</v>
      </c>
      <c r="O5628">
        <f t="shared" si="527"/>
        <v>0</v>
      </c>
      <c r="P5628">
        <f t="shared" si="524"/>
        <v>4300</v>
      </c>
      <c r="Q5628">
        <f t="shared" si="528"/>
        <v>4300</v>
      </c>
      <c r="T5628" s="16">
        <f t="shared" si="529"/>
        <v>-0.52290230909624835</v>
      </c>
    </row>
    <row r="5629" spans="7:20" ht="14.4" x14ac:dyDescent="0.25">
      <c r="G5629" s="10">
        <v>1776</v>
      </c>
      <c r="H5629" s="9">
        <v>12711</v>
      </c>
      <c r="I5629" s="14">
        <f>DATE(2012,12,31)-316</f>
        <v>40958</v>
      </c>
      <c r="J5629" s="15" t="s">
        <v>30</v>
      </c>
      <c r="K5629" s="9">
        <v>32</v>
      </c>
      <c r="L5629" s="16" t="s">
        <v>26</v>
      </c>
      <c r="M5629" s="16">
        <f t="shared" si="525"/>
        <v>0.44393456357285216</v>
      </c>
      <c r="N5629">
        <f t="shared" si="526"/>
        <v>0</v>
      </c>
      <c r="O5629">
        <f t="shared" si="527"/>
        <v>0</v>
      </c>
      <c r="P5629">
        <f t="shared" si="524"/>
        <v>5000</v>
      </c>
      <c r="Q5629">
        <f t="shared" si="528"/>
        <v>5000</v>
      </c>
      <c r="T5629" s="16">
        <f t="shared" si="529"/>
        <v>0.44393456357285183</v>
      </c>
    </row>
    <row r="5630" spans="7:20" ht="14.4" x14ac:dyDescent="0.25">
      <c r="G5630" s="10">
        <v>1777</v>
      </c>
      <c r="H5630" s="9">
        <v>12711</v>
      </c>
      <c r="I5630" s="14">
        <f>DATE(2012,12,31)-316</f>
        <v>40958</v>
      </c>
      <c r="J5630" s="15" t="s">
        <v>30</v>
      </c>
      <c r="K5630" s="9">
        <v>45</v>
      </c>
      <c r="L5630" s="16" t="s">
        <v>26</v>
      </c>
      <c r="M5630" s="16">
        <f t="shared" si="525"/>
        <v>1.3417116596227308</v>
      </c>
      <c r="N5630">
        <f t="shared" si="526"/>
        <v>0</v>
      </c>
      <c r="O5630">
        <f t="shared" si="527"/>
        <v>0</v>
      </c>
      <c r="P5630">
        <f t="shared" si="524"/>
        <v>5650</v>
      </c>
      <c r="Q5630">
        <f t="shared" si="528"/>
        <v>5650</v>
      </c>
      <c r="T5630" s="16">
        <f t="shared" si="529"/>
        <v>1.3417116596227305</v>
      </c>
    </row>
    <row r="5631" spans="7:20" ht="14.4" x14ac:dyDescent="0.25">
      <c r="G5631" s="10">
        <v>1886</v>
      </c>
      <c r="H5631" s="9">
        <v>13543</v>
      </c>
      <c r="I5631" s="14">
        <f>DATE(2012,12,31)-145</f>
        <v>41129</v>
      </c>
      <c r="J5631" s="15" t="s">
        <v>16</v>
      </c>
      <c r="K5631" s="9">
        <v>2</v>
      </c>
      <c r="L5631" s="16" t="s">
        <v>26</v>
      </c>
      <c r="M5631" s="16">
        <f t="shared" si="525"/>
        <v>-1.627858735003791</v>
      </c>
      <c r="N5631">
        <f t="shared" si="526"/>
        <v>0</v>
      </c>
      <c r="O5631">
        <f t="shared" si="527"/>
        <v>0</v>
      </c>
      <c r="P5631">
        <f t="shared" si="524"/>
        <v>3500</v>
      </c>
      <c r="Q5631">
        <f t="shared" si="528"/>
        <v>3500</v>
      </c>
      <c r="T5631" s="16">
        <f t="shared" si="529"/>
        <v>-1.6278587350037912</v>
      </c>
    </row>
    <row r="5632" spans="7:20" ht="14.4" x14ac:dyDescent="0.25">
      <c r="G5632" s="10">
        <v>1924</v>
      </c>
      <c r="H5632" s="9">
        <v>13767</v>
      </c>
      <c r="I5632" s="14">
        <f>DATE(2012,12,31)-858</f>
        <v>40416</v>
      </c>
      <c r="J5632" s="15" t="s">
        <v>17</v>
      </c>
      <c r="K5632" s="9">
        <v>29</v>
      </c>
      <c r="L5632" s="16" t="s">
        <v>26</v>
      </c>
      <c r="M5632" s="16">
        <f t="shared" si="525"/>
        <v>0.23675523371518786</v>
      </c>
      <c r="N5632">
        <f t="shared" si="526"/>
        <v>0</v>
      </c>
      <c r="O5632">
        <f t="shared" si="527"/>
        <v>0</v>
      </c>
      <c r="P5632">
        <f t="shared" si="524"/>
        <v>4850</v>
      </c>
      <c r="Q5632">
        <f t="shared" si="528"/>
        <v>4850</v>
      </c>
      <c r="T5632" s="16">
        <f t="shared" si="529"/>
        <v>0.2367552337151875</v>
      </c>
    </row>
    <row r="5633" spans="7:20" ht="14.4" x14ac:dyDescent="0.25">
      <c r="G5633" s="10">
        <v>1925</v>
      </c>
      <c r="H5633" s="9">
        <v>13767</v>
      </c>
      <c r="I5633" s="14">
        <f>DATE(2012,12,31)-858</f>
        <v>40416</v>
      </c>
      <c r="J5633" s="15" t="s">
        <v>17</v>
      </c>
      <c r="K5633" s="9">
        <v>45</v>
      </c>
      <c r="L5633" s="16" t="s">
        <v>27</v>
      </c>
      <c r="M5633" s="16">
        <f t="shared" si="525"/>
        <v>1.3417116596227308</v>
      </c>
      <c r="N5633">
        <f t="shared" si="526"/>
        <v>0</v>
      </c>
      <c r="O5633">
        <f t="shared" si="527"/>
        <v>0</v>
      </c>
      <c r="P5633">
        <f t="shared" si="524"/>
        <v>5650</v>
      </c>
      <c r="Q5633">
        <f t="shared" si="528"/>
        <v>5650</v>
      </c>
      <c r="T5633" s="16">
        <f t="shared" si="529"/>
        <v>1.3417116596227305</v>
      </c>
    </row>
    <row r="5634" spans="7:20" ht="14.4" x14ac:dyDescent="0.25">
      <c r="G5634" s="10">
        <v>1926</v>
      </c>
      <c r="H5634" s="9">
        <v>13767</v>
      </c>
      <c r="I5634" s="14">
        <f>DATE(2012,12,31)-858</f>
        <v>40416</v>
      </c>
      <c r="J5634" s="15" t="s">
        <v>17</v>
      </c>
      <c r="K5634" s="9">
        <v>10</v>
      </c>
      <c r="L5634" s="16" t="s">
        <v>27</v>
      </c>
      <c r="M5634" s="16">
        <f t="shared" si="525"/>
        <v>-1.0753805220500194</v>
      </c>
      <c r="N5634">
        <f t="shared" si="526"/>
        <v>0</v>
      </c>
      <c r="O5634">
        <f t="shared" si="527"/>
        <v>0</v>
      </c>
      <c r="P5634">
        <f t="shared" si="524"/>
        <v>3900</v>
      </c>
      <c r="Q5634">
        <f t="shared" si="528"/>
        <v>3900</v>
      </c>
      <c r="T5634" s="16">
        <f t="shared" si="529"/>
        <v>-1.0753805220500199</v>
      </c>
    </row>
    <row r="5635" spans="7:20" ht="14.4" x14ac:dyDescent="0.25">
      <c r="G5635" s="10">
        <v>2462</v>
      </c>
      <c r="H5635" s="9">
        <v>17924</v>
      </c>
      <c r="I5635" s="14">
        <f>DATE(2012,12,31)-493</f>
        <v>40781</v>
      </c>
      <c r="J5635" s="15" t="s">
        <v>30</v>
      </c>
      <c r="K5635" s="9">
        <v>42</v>
      </c>
      <c r="L5635" s="16" t="s">
        <v>26</v>
      </c>
      <c r="M5635" s="16">
        <f t="shared" si="525"/>
        <v>1.1345323297650665</v>
      </c>
      <c r="N5635">
        <f t="shared" si="526"/>
        <v>0</v>
      </c>
      <c r="O5635">
        <f t="shared" si="527"/>
        <v>0</v>
      </c>
      <c r="P5635">
        <f t="shared" si="524"/>
        <v>5500</v>
      </c>
      <c r="Q5635">
        <f t="shared" si="528"/>
        <v>5500</v>
      </c>
      <c r="T5635" s="16">
        <f t="shared" si="529"/>
        <v>1.1345323297650662</v>
      </c>
    </row>
    <row r="5636" spans="7:20" ht="14.4" x14ac:dyDescent="0.25">
      <c r="G5636" s="10">
        <v>2533</v>
      </c>
      <c r="H5636" s="9">
        <v>18374</v>
      </c>
      <c r="I5636" s="14">
        <f>DATE(2012,12,31)-92</f>
        <v>41182</v>
      </c>
      <c r="J5636" s="15" t="s">
        <v>25</v>
      </c>
      <c r="K5636" s="9">
        <v>21</v>
      </c>
      <c r="L5636" s="16" t="s">
        <v>26</v>
      </c>
      <c r="M5636" s="16">
        <f t="shared" si="525"/>
        <v>-0.31572297923858361</v>
      </c>
      <c r="N5636">
        <f t="shared" si="526"/>
        <v>1</v>
      </c>
      <c r="O5636">
        <f t="shared" si="527"/>
        <v>-3300</v>
      </c>
      <c r="P5636">
        <f t="shared" si="524"/>
        <v>4450</v>
      </c>
      <c r="Q5636">
        <f t="shared" si="528"/>
        <v>1150</v>
      </c>
      <c r="T5636" s="16">
        <f t="shared" si="529"/>
        <v>-4.873668236107199</v>
      </c>
    </row>
    <row r="5637" spans="7:20" ht="14.4" x14ac:dyDescent="0.25">
      <c r="G5637" s="10">
        <v>2750</v>
      </c>
      <c r="H5637" s="9">
        <v>19841</v>
      </c>
      <c r="I5637" s="14">
        <f>DATE(2012,12,31)-736</f>
        <v>40538</v>
      </c>
      <c r="J5637" s="15" t="s">
        <v>25</v>
      </c>
      <c r="K5637" s="9">
        <v>43</v>
      </c>
      <c r="L5637" s="16" t="s">
        <v>27</v>
      </c>
      <c r="M5637" s="16">
        <f t="shared" si="525"/>
        <v>1.203592106384288</v>
      </c>
      <c r="N5637">
        <f t="shared" si="526"/>
        <v>0</v>
      </c>
      <c r="O5637">
        <f t="shared" si="527"/>
        <v>0</v>
      </c>
      <c r="P5637">
        <f t="shared" si="524"/>
        <v>5550</v>
      </c>
      <c r="Q5637">
        <f t="shared" si="528"/>
        <v>5550</v>
      </c>
      <c r="T5637" s="16">
        <f t="shared" si="529"/>
        <v>1.2035921063842876</v>
      </c>
    </row>
    <row r="5638" spans="7:20" ht="14.4" x14ac:dyDescent="0.25">
      <c r="G5638" s="10">
        <v>2953</v>
      </c>
      <c r="H5638" s="9">
        <v>21382</v>
      </c>
      <c r="I5638" s="14">
        <f>DATE(2012,12,31)-354</f>
        <v>40920</v>
      </c>
      <c r="J5638" s="15" t="s">
        <v>30</v>
      </c>
      <c r="K5638" s="9">
        <v>21</v>
      </c>
      <c r="L5638" s="16" t="s">
        <v>29</v>
      </c>
      <c r="M5638" s="16">
        <f t="shared" si="525"/>
        <v>-0.31572297923858361</v>
      </c>
      <c r="N5638">
        <f t="shared" si="526"/>
        <v>0</v>
      </c>
      <c r="O5638">
        <f t="shared" si="527"/>
        <v>0</v>
      </c>
      <c r="P5638">
        <f t="shared" si="524"/>
        <v>4450</v>
      </c>
      <c r="Q5638">
        <f t="shared" si="528"/>
        <v>4450</v>
      </c>
      <c r="T5638" s="16">
        <f t="shared" si="529"/>
        <v>-0.315722979238584</v>
      </c>
    </row>
    <row r="5639" spans="7:20" ht="14.4" x14ac:dyDescent="0.25">
      <c r="G5639" s="10">
        <v>2954</v>
      </c>
      <c r="H5639" s="9">
        <v>21382</v>
      </c>
      <c r="I5639" s="14">
        <f>DATE(2012,12,31)-354</f>
        <v>40920</v>
      </c>
      <c r="J5639" s="15" t="s">
        <v>30</v>
      </c>
      <c r="K5639" s="9">
        <v>11</v>
      </c>
      <c r="L5639" s="16" t="s">
        <v>27</v>
      </c>
      <c r="M5639" s="16">
        <f t="shared" si="525"/>
        <v>-1.0063207454307979</v>
      </c>
      <c r="N5639">
        <f t="shared" si="526"/>
        <v>0</v>
      </c>
      <c r="O5639">
        <f t="shared" si="527"/>
        <v>0</v>
      </c>
      <c r="P5639">
        <f t="shared" si="524"/>
        <v>3950</v>
      </c>
      <c r="Q5639">
        <f t="shared" si="528"/>
        <v>3950</v>
      </c>
      <c r="T5639" s="16">
        <f t="shared" si="529"/>
        <v>-1.0063207454307983</v>
      </c>
    </row>
    <row r="5640" spans="7:20" ht="14.4" x14ac:dyDescent="0.25">
      <c r="G5640" s="10">
        <v>3007</v>
      </c>
      <c r="H5640" s="9">
        <v>21638</v>
      </c>
      <c r="I5640" s="14">
        <f>DATE(2012,12,31)-259</f>
        <v>41015</v>
      </c>
      <c r="J5640" s="15" t="s">
        <v>17</v>
      </c>
      <c r="K5640" s="9">
        <v>13</v>
      </c>
      <c r="L5640" s="16" t="s">
        <v>26</v>
      </c>
      <c r="M5640" s="16">
        <f t="shared" si="525"/>
        <v>-0.86820119219235514</v>
      </c>
      <c r="N5640">
        <f t="shared" si="526"/>
        <v>0</v>
      </c>
      <c r="O5640">
        <f t="shared" si="527"/>
        <v>0</v>
      </c>
      <c r="P5640">
        <f t="shared" si="524"/>
        <v>4050</v>
      </c>
      <c r="Q5640">
        <f t="shared" si="528"/>
        <v>4050</v>
      </c>
      <c r="T5640" s="16">
        <f t="shared" si="529"/>
        <v>-0.86820119219235548</v>
      </c>
    </row>
    <row r="5641" spans="7:20" ht="14.4" x14ac:dyDescent="0.25">
      <c r="G5641" s="10">
        <v>3120</v>
      </c>
      <c r="H5641" s="9">
        <v>22407</v>
      </c>
      <c r="I5641" s="14">
        <f>DATE(2012,12,31)-1140</f>
        <v>40134</v>
      </c>
      <c r="J5641" s="15" t="s">
        <v>28</v>
      </c>
      <c r="K5641" s="9">
        <v>20</v>
      </c>
      <c r="L5641" s="16" t="s">
        <v>26</v>
      </c>
      <c r="M5641" s="16">
        <f t="shared" si="525"/>
        <v>-0.38478275585780503</v>
      </c>
      <c r="N5641">
        <f t="shared" si="526"/>
        <v>0</v>
      </c>
      <c r="O5641">
        <f t="shared" si="527"/>
        <v>0</v>
      </c>
      <c r="P5641">
        <f t="shared" si="524"/>
        <v>4400</v>
      </c>
      <c r="Q5641">
        <f t="shared" si="528"/>
        <v>4400</v>
      </c>
      <c r="T5641" s="16">
        <f t="shared" si="529"/>
        <v>-0.38478275585780541</v>
      </c>
    </row>
    <row r="5642" spans="7:20" ht="14.4" x14ac:dyDescent="0.25">
      <c r="G5642" s="10">
        <v>3121</v>
      </c>
      <c r="H5642" s="9">
        <v>22407</v>
      </c>
      <c r="I5642" s="14">
        <f>DATE(2012,12,31)-1140</f>
        <v>40134</v>
      </c>
      <c r="J5642" s="15" t="s">
        <v>28</v>
      </c>
      <c r="K5642" s="9">
        <v>10</v>
      </c>
      <c r="L5642" s="16" t="s">
        <v>26</v>
      </c>
      <c r="M5642" s="16">
        <f t="shared" si="525"/>
        <v>-1.0753805220500194</v>
      </c>
      <c r="N5642">
        <f t="shared" si="526"/>
        <v>0</v>
      </c>
      <c r="O5642">
        <f t="shared" si="527"/>
        <v>0</v>
      </c>
      <c r="P5642">
        <f t="shared" si="524"/>
        <v>3900</v>
      </c>
      <c r="Q5642">
        <f t="shared" si="528"/>
        <v>3900</v>
      </c>
      <c r="T5642" s="16">
        <f t="shared" si="529"/>
        <v>-1.0753805220500199</v>
      </c>
    </row>
    <row r="5643" spans="7:20" ht="14.4" x14ac:dyDescent="0.25">
      <c r="G5643" s="10">
        <v>3122</v>
      </c>
      <c r="H5643" s="9">
        <v>22407</v>
      </c>
      <c r="I5643" s="14">
        <f>DATE(2012,12,31)-1140</f>
        <v>40134</v>
      </c>
      <c r="J5643" s="15" t="s">
        <v>28</v>
      </c>
      <c r="K5643" s="9">
        <v>15</v>
      </c>
      <c r="L5643" s="16" t="s">
        <v>26</v>
      </c>
      <c r="M5643" s="16">
        <f t="shared" si="525"/>
        <v>-0.7300816389539122</v>
      </c>
      <c r="N5643">
        <f t="shared" si="526"/>
        <v>0</v>
      </c>
      <c r="O5643">
        <f t="shared" si="527"/>
        <v>0</v>
      </c>
      <c r="P5643">
        <f t="shared" si="524"/>
        <v>4150</v>
      </c>
      <c r="Q5643">
        <f t="shared" si="528"/>
        <v>4150</v>
      </c>
      <c r="T5643" s="16">
        <f t="shared" si="529"/>
        <v>-0.73008163895391265</v>
      </c>
    </row>
    <row r="5644" spans="7:20" ht="14.4" x14ac:dyDescent="0.25">
      <c r="G5644" s="10">
        <v>3548</v>
      </c>
      <c r="H5644" s="9">
        <v>25314</v>
      </c>
      <c r="I5644" s="14">
        <f>DATE(2012,12,31)-311</f>
        <v>40963</v>
      </c>
      <c r="J5644" s="15" t="s">
        <v>17</v>
      </c>
      <c r="K5644" s="9">
        <v>43</v>
      </c>
      <c r="L5644" s="16" t="s">
        <v>27</v>
      </c>
      <c r="M5644" s="16">
        <f t="shared" si="525"/>
        <v>1.203592106384288</v>
      </c>
      <c r="N5644">
        <f t="shared" si="526"/>
        <v>0</v>
      </c>
      <c r="O5644">
        <f t="shared" si="527"/>
        <v>0</v>
      </c>
      <c r="P5644">
        <f t="shared" ref="P5644:P5707" si="530">50*K5644+$P$10</f>
        <v>5550</v>
      </c>
      <c r="Q5644">
        <f t="shared" si="528"/>
        <v>5550</v>
      </c>
      <c r="T5644" s="16">
        <f t="shared" si="529"/>
        <v>1.2035921063842876</v>
      </c>
    </row>
    <row r="5645" spans="7:20" ht="14.4" x14ac:dyDescent="0.25">
      <c r="G5645" s="10">
        <v>3586</v>
      </c>
      <c r="H5645" s="9">
        <v>25574</v>
      </c>
      <c r="I5645" s="14">
        <f>DATE(2012,12,31)-1390</f>
        <v>39884</v>
      </c>
      <c r="J5645" s="15" t="s">
        <v>28</v>
      </c>
      <c r="K5645" s="9">
        <v>46</v>
      </c>
      <c r="L5645" s="16" t="s">
        <v>29</v>
      </c>
      <c r="M5645" s="16">
        <f t="shared" ref="M5645:M5708" si="531">(K5645-$K$4)/$K$7</f>
        <v>1.4107714362419523</v>
      </c>
      <c r="N5645">
        <f t="shared" ref="N5645:N5708" si="532">IF(MOD($B$20+G5645,1000)=0,1,0)</f>
        <v>0</v>
      </c>
      <c r="O5645">
        <f t="shared" ref="O5645:O5708" si="533">+ROUND(N5645*(IF(K5645&lt;$K$4,-4.5,10.5)*$P$5),-2)</f>
        <v>0</v>
      </c>
      <c r="P5645">
        <f t="shared" si="530"/>
        <v>5700</v>
      </c>
      <c r="Q5645">
        <f t="shared" ref="Q5645:Q5708" si="534">P5645+O5645</f>
        <v>5700</v>
      </c>
      <c r="T5645" s="16">
        <f t="shared" ref="T5645:T5708" si="535">(Q5645-$P$4)/$P$5</f>
        <v>1.4107714362419519</v>
      </c>
    </row>
    <row r="5646" spans="7:20" ht="14.4" x14ac:dyDescent="0.25">
      <c r="G5646" s="10">
        <v>3587</v>
      </c>
      <c r="H5646" s="9">
        <v>25574</v>
      </c>
      <c r="I5646" s="14">
        <f>DATE(2012,12,31)-1390</f>
        <v>39884</v>
      </c>
      <c r="J5646" s="15" t="s">
        <v>28</v>
      </c>
      <c r="K5646" s="9">
        <v>31</v>
      </c>
      <c r="L5646" s="16" t="s">
        <v>27</v>
      </c>
      <c r="M5646" s="16">
        <f t="shared" si="531"/>
        <v>0.37487478695363075</v>
      </c>
      <c r="N5646">
        <f t="shared" si="532"/>
        <v>0</v>
      </c>
      <c r="O5646">
        <f t="shared" si="533"/>
        <v>0</v>
      </c>
      <c r="P5646">
        <f t="shared" si="530"/>
        <v>4950</v>
      </c>
      <c r="Q5646">
        <f t="shared" si="534"/>
        <v>4950</v>
      </c>
      <c r="T5646" s="16">
        <f t="shared" si="535"/>
        <v>0.37487478695363036</v>
      </c>
    </row>
    <row r="5647" spans="7:20" ht="14.4" x14ac:dyDescent="0.25">
      <c r="G5647" s="10">
        <v>3678</v>
      </c>
      <c r="H5647" s="9">
        <v>26310</v>
      </c>
      <c r="I5647" s="14">
        <f>DATE(2012,12,31)-155</f>
        <v>41119</v>
      </c>
      <c r="J5647" s="15" t="s">
        <v>28</v>
      </c>
      <c r="K5647" s="9">
        <v>5</v>
      </c>
      <c r="L5647" s="16" t="s">
        <v>26</v>
      </c>
      <c r="M5647" s="16">
        <f t="shared" si="531"/>
        <v>-1.4206794051461267</v>
      </c>
      <c r="N5647">
        <f t="shared" si="532"/>
        <v>0</v>
      </c>
      <c r="O5647">
        <f t="shared" si="533"/>
        <v>0</v>
      </c>
      <c r="P5647">
        <f t="shared" si="530"/>
        <v>3650</v>
      </c>
      <c r="Q5647">
        <f t="shared" si="534"/>
        <v>3650</v>
      </c>
      <c r="T5647" s="16">
        <f t="shared" si="535"/>
        <v>-1.4206794051461269</v>
      </c>
    </row>
    <row r="5648" spans="7:20" ht="14.4" x14ac:dyDescent="0.25">
      <c r="G5648" s="10">
        <v>3679</v>
      </c>
      <c r="H5648" s="9">
        <v>26310</v>
      </c>
      <c r="I5648" s="14">
        <f>DATE(2012,12,31)-155</f>
        <v>41119</v>
      </c>
      <c r="J5648" s="15" t="s">
        <v>28</v>
      </c>
      <c r="K5648" s="9">
        <v>19</v>
      </c>
      <c r="L5648" s="16" t="s">
        <v>26</v>
      </c>
      <c r="M5648" s="16">
        <f t="shared" si="531"/>
        <v>-0.45384253247702649</v>
      </c>
      <c r="N5648">
        <f t="shared" si="532"/>
        <v>0</v>
      </c>
      <c r="O5648">
        <f t="shared" si="533"/>
        <v>0</v>
      </c>
      <c r="P5648">
        <f t="shared" si="530"/>
        <v>4350</v>
      </c>
      <c r="Q5648">
        <f t="shared" si="534"/>
        <v>4350</v>
      </c>
      <c r="T5648" s="16">
        <f t="shared" si="535"/>
        <v>-0.45384253247702688</v>
      </c>
    </row>
    <row r="5649" spans="7:20" ht="14.4" x14ac:dyDescent="0.25">
      <c r="G5649" s="10">
        <v>3870</v>
      </c>
      <c r="H5649" s="9">
        <v>27616</v>
      </c>
      <c r="I5649" s="14">
        <f>DATE(2012,12,31)-154</f>
        <v>41120</v>
      </c>
      <c r="J5649" s="15" t="s">
        <v>25</v>
      </c>
      <c r="K5649" s="9">
        <v>3</v>
      </c>
      <c r="L5649" s="16" t="s">
        <v>27</v>
      </c>
      <c r="M5649" s="16">
        <f t="shared" si="531"/>
        <v>-1.5587989583845694</v>
      </c>
      <c r="N5649">
        <f t="shared" si="532"/>
        <v>0</v>
      </c>
      <c r="O5649">
        <f t="shared" si="533"/>
        <v>0</v>
      </c>
      <c r="P5649">
        <f t="shared" si="530"/>
        <v>3550</v>
      </c>
      <c r="Q5649">
        <f t="shared" si="534"/>
        <v>3550</v>
      </c>
      <c r="T5649" s="16">
        <f t="shared" si="535"/>
        <v>-1.5587989583845698</v>
      </c>
    </row>
    <row r="5650" spans="7:20" ht="14.4" x14ac:dyDescent="0.25">
      <c r="G5650" s="10">
        <v>4169</v>
      </c>
      <c r="H5650" s="9">
        <v>29539</v>
      </c>
      <c r="I5650" s="14">
        <f>DATE(2012,12,31)-618</f>
        <v>40656</v>
      </c>
      <c r="J5650" s="15" t="s">
        <v>17</v>
      </c>
      <c r="K5650" s="9">
        <v>24</v>
      </c>
      <c r="L5650" s="16" t="s">
        <v>26</v>
      </c>
      <c r="M5650" s="16">
        <f t="shared" si="531"/>
        <v>-0.1085436493809193</v>
      </c>
      <c r="N5650">
        <f t="shared" si="532"/>
        <v>0</v>
      </c>
      <c r="O5650">
        <f t="shared" si="533"/>
        <v>0</v>
      </c>
      <c r="P5650">
        <f t="shared" si="530"/>
        <v>4600</v>
      </c>
      <c r="Q5650">
        <f t="shared" si="534"/>
        <v>4600</v>
      </c>
      <c r="T5650" s="16">
        <f t="shared" si="535"/>
        <v>-0.10854364938091969</v>
      </c>
    </row>
    <row r="5651" spans="7:20" ht="14.4" x14ac:dyDescent="0.25">
      <c r="G5651" s="10">
        <v>4364</v>
      </c>
      <c r="H5651" s="9">
        <v>31106</v>
      </c>
      <c r="I5651" s="14">
        <f>DATE(2012,12,31)-319</f>
        <v>40955</v>
      </c>
      <c r="J5651" s="15" t="s">
        <v>25</v>
      </c>
      <c r="K5651" s="9">
        <v>37</v>
      </c>
      <c r="L5651" s="16" t="s">
        <v>26</v>
      </c>
      <c r="M5651" s="16">
        <f t="shared" si="531"/>
        <v>0.78923344666895934</v>
      </c>
      <c r="N5651">
        <f t="shared" si="532"/>
        <v>0</v>
      </c>
      <c r="O5651">
        <f t="shared" si="533"/>
        <v>0</v>
      </c>
      <c r="P5651">
        <f t="shared" si="530"/>
        <v>5250</v>
      </c>
      <c r="Q5651">
        <f t="shared" si="534"/>
        <v>5250</v>
      </c>
      <c r="T5651" s="16">
        <f t="shared" si="535"/>
        <v>0.789233446668959</v>
      </c>
    </row>
    <row r="5652" spans="7:20" ht="14.4" x14ac:dyDescent="0.25">
      <c r="G5652" s="10">
        <v>4365</v>
      </c>
      <c r="H5652" s="9">
        <v>31106</v>
      </c>
      <c r="I5652" s="14">
        <f>DATE(2012,12,31)-319</f>
        <v>40955</v>
      </c>
      <c r="J5652" s="15" t="s">
        <v>25</v>
      </c>
      <c r="K5652" s="9">
        <v>7</v>
      </c>
      <c r="L5652" s="16" t="s">
        <v>29</v>
      </c>
      <c r="M5652" s="16">
        <f t="shared" si="531"/>
        <v>-1.2825598519076837</v>
      </c>
      <c r="N5652">
        <f t="shared" si="532"/>
        <v>0</v>
      </c>
      <c r="O5652">
        <f t="shared" si="533"/>
        <v>0</v>
      </c>
      <c r="P5652">
        <f t="shared" si="530"/>
        <v>3750</v>
      </c>
      <c r="Q5652">
        <f t="shared" si="534"/>
        <v>3750</v>
      </c>
      <c r="T5652" s="16">
        <f t="shared" si="535"/>
        <v>-1.2825598519076842</v>
      </c>
    </row>
    <row r="5653" spans="7:20" ht="14.4" x14ac:dyDescent="0.25">
      <c r="G5653" s="10">
        <v>4366</v>
      </c>
      <c r="H5653" s="9">
        <v>31106</v>
      </c>
      <c r="I5653" s="14">
        <f>DATE(2012,12,31)-319</f>
        <v>40955</v>
      </c>
      <c r="J5653" s="15" t="s">
        <v>25</v>
      </c>
      <c r="K5653" s="9">
        <v>45</v>
      </c>
      <c r="L5653" s="16" t="s">
        <v>26</v>
      </c>
      <c r="M5653" s="16">
        <f t="shared" si="531"/>
        <v>1.3417116596227308</v>
      </c>
      <c r="N5653">
        <f t="shared" si="532"/>
        <v>0</v>
      </c>
      <c r="O5653">
        <f t="shared" si="533"/>
        <v>0</v>
      </c>
      <c r="P5653">
        <f t="shared" si="530"/>
        <v>5650</v>
      </c>
      <c r="Q5653">
        <f t="shared" si="534"/>
        <v>5650</v>
      </c>
      <c r="T5653" s="16">
        <f t="shared" si="535"/>
        <v>1.3417116596227305</v>
      </c>
    </row>
    <row r="5654" spans="7:20" ht="14.4" x14ac:dyDescent="0.25">
      <c r="G5654" s="10">
        <v>4367</v>
      </c>
      <c r="H5654" s="9">
        <v>31106</v>
      </c>
      <c r="I5654" s="14">
        <f>DATE(2012,12,31)-319</f>
        <v>40955</v>
      </c>
      <c r="J5654" s="15" t="s">
        <v>25</v>
      </c>
      <c r="K5654" s="9">
        <v>43</v>
      </c>
      <c r="L5654" s="16" t="s">
        <v>27</v>
      </c>
      <c r="M5654" s="16">
        <f t="shared" si="531"/>
        <v>1.203592106384288</v>
      </c>
      <c r="N5654">
        <f t="shared" si="532"/>
        <v>0</v>
      </c>
      <c r="O5654">
        <f t="shared" si="533"/>
        <v>0</v>
      </c>
      <c r="P5654">
        <f t="shared" si="530"/>
        <v>5550</v>
      </c>
      <c r="Q5654">
        <f t="shared" si="534"/>
        <v>5550</v>
      </c>
      <c r="T5654" s="16">
        <f t="shared" si="535"/>
        <v>1.2035921063842876</v>
      </c>
    </row>
    <row r="5655" spans="7:20" ht="14.4" x14ac:dyDescent="0.25">
      <c r="G5655" s="10">
        <v>4371</v>
      </c>
      <c r="H5655" s="9">
        <v>31140</v>
      </c>
      <c r="I5655" s="14">
        <f>DATE(2012,12,31)-699</f>
        <v>40575</v>
      </c>
      <c r="J5655" s="15" t="s">
        <v>30</v>
      </c>
      <c r="K5655" s="9">
        <v>4</v>
      </c>
      <c r="L5655" s="16" t="s">
        <v>26</v>
      </c>
      <c r="M5655" s="16">
        <f t="shared" si="531"/>
        <v>-1.489739181765348</v>
      </c>
      <c r="N5655">
        <f t="shared" si="532"/>
        <v>0</v>
      </c>
      <c r="O5655">
        <f t="shared" si="533"/>
        <v>0</v>
      </c>
      <c r="P5655">
        <f t="shared" si="530"/>
        <v>3600</v>
      </c>
      <c r="Q5655">
        <f t="shared" si="534"/>
        <v>3600</v>
      </c>
      <c r="T5655" s="16">
        <f t="shared" si="535"/>
        <v>-1.4897391817653485</v>
      </c>
    </row>
    <row r="5656" spans="7:20" ht="14.4" x14ac:dyDescent="0.25">
      <c r="G5656" s="10">
        <v>4373</v>
      </c>
      <c r="H5656" s="9">
        <v>31170</v>
      </c>
      <c r="I5656" s="14">
        <f>DATE(2012,12,31)-339</f>
        <v>40935</v>
      </c>
      <c r="J5656" s="15" t="s">
        <v>16</v>
      </c>
      <c r="K5656" s="9">
        <v>32</v>
      </c>
      <c r="L5656" s="16" t="s">
        <v>27</v>
      </c>
      <c r="M5656" s="16">
        <f t="shared" si="531"/>
        <v>0.44393456357285216</v>
      </c>
      <c r="N5656">
        <f t="shared" si="532"/>
        <v>0</v>
      </c>
      <c r="O5656">
        <f t="shared" si="533"/>
        <v>0</v>
      </c>
      <c r="P5656">
        <f t="shared" si="530"/>
        <v>5000</v>
      </c>
      <c r="Q5656">
        <f t="shared" si="534"/>
        <v>5000</v>
      </c>
      <c r="T5656" s="16">
        <f t="shared" si="535"/>
        <v>0.44393456357285183</v>
      </c>
    </row>
    <row r="5657" spans="7:20" ht="14.4" x14ac:dyDescent="0.25">
      <c r="G5657" s="10">
        <v>4417</v>
      </c>
      <c r="H5657" s="9">
        <v>31520</v>
      </c>
      <c r="I5657" s="14">
        <f>DATE(2012,12,31)-399</f>
        <v>40875</v>
      </c>
      <c r="J5657" s="15" t="s">
        <v>17</v>
      </c>
      <c r="K5657" s="9">
        <v>23</v>
      </c>
      <c r="L5657" s="16" t="s">
        <v>29</v>
      </c>
      <c r="M5657" s="16">
        <f t="shared" si="531"/>
        <v>-0.17760342600014073</v>
      </c>
      <c r="N5657">
        <f t="shared" si="532"/>
        <v>0</v>
      </c>
      <c r="O5657">
        <f t="shared" si="533"/>
        <v>0</v>
      </c>
      <c r="P5657">
        <f t="shared" si="530"/>
        <v>4550</v>
      </c>
      <c r="Q5657">
        <f t="shared" si="534"/>
        <v>4550</v>
      </c>
      <c r="T5657" s="16">
        <f t="shared" si="535"/>
        <v>-0.17760342600014112</v>
      </c>
    </row>
    <row r="5658" spans="7:20" ht="14.4" x14ac:dyDescent="0.25">
      <c r="G5658" s="10">
        <v>4873</v>
      </c>
      <c r="H5658" s="9">
        <v>34663</v>
      </c>
      <c r="I5658" s="14">
        <f>DATE(2012,12,31)-544</f>
        <v>40730</v>
      </c>
      <c r="J5658" s="15" t="s">
        <v>28</v>
      </c>
      <c r="K5658" s="9">
        <v>38</v>
      </c>
      <c r="L5658" s="16" t="s">
        <v>27</v>
      </c>
      <c r="M5658" s="16">
        <f t="shared" si="531"/>
        <v>0.85829322328818081</v>
      </c>
      <c r="N5658">
        <f t="shared" si="532"/>
        <v>0</v>
      </c>
      <c r="O5658">
        <f t="shared" si="533"/>
        <v>0</v>
      </c>
      <c r="P5658">
        <f t="shared" si="530"/>
        <v>5300</v>
      </c>
      <c r="Q5658">
        <f t="shared" si="534"/>
        <v>5300</v>
      </c>
      <c r="T5658" s="16">
        <f t="shared" si="535"/>
        <v>0.85829322328818036</v>
      </c>
    </row>
    <row r="5659" spans="7:20" ht="14.4" x14ac:dyDescent="0.25">
      <c r="G5659" s="10">
        <v>5029</v>
      </c>
      <c r="H5659" s="9">
        <v>35842</v>
      </c>
      <c r="I5659" s="14">
        <f>DATE(2012,12,31)-221</f>
        <v>41053</v>
      </c>
      <c r="J5659" s="15" t="s">
        <v>17</v>
      </c>
      <c r="K5659" s="9">
        <v>18</v>
      </c>
      <c r="L5659" s="16" t="s">
        <v>26</v>
      </c>
      <c r="M5659" s="16">
        <f t="shared" si="531"/>
        <v>-0.52290230909624791</v>
      </c>
      <c r="N5659">
        <f t="shared" si="532"/>
        <v>0</v>
      </c>
      <c r="O5659">
        <f t="shared" si="533"/>
        <v>0</v>
      </c>
      <c r="P5659">
        <f t="shared" si="530"/>
        <v>4300</v>
      </c>
      <c r="Q5659">
        <f t="shared" si="534"/>
        <v>4300</v>
      </c>
      <c r="T5659" s="16">
        <f t="shared" si="535"/>
        <v>-0.52290230909624835</v>
      </c>
    </row>
    <row r="5660" spans="7:20" ht="14.4" x14ac:dyDescent="0.25">
      <c r="G5660" s="10">
        <v>5069</v>
      </c>
      <c r="H5660" s="9">
        <v>36131</v>
      </c>
      <c r="I5660" s="14">
        <f>DATE(2012,12,31)-1324</f>
        <v>39950</v>
      </c>
      <c r="J5660" s="15" t="s">
        <v>17</v>
      </c>
      <c r="K5660" s="9">
        <v>43</v>
      </c>
      <c r="L5660" s="16" t="s">
        <v>26</v>
      </c>
      <c r="M5660" s="16">
        <f t="shared" si="531"/>
        <v>1.203592106384288</v>
      </c>
      <c r="N5660">
        <f t="shared" si="532"/>
        <v>0</v>
      </c>
      <c r="O5660">
        <f t="shared" si="533"/>
        <v>0</v>
      </c>
      <c r="P5660">
        <f t="shared" si="530"/>
        <v>5550</v>
      </c>
      <c r="Q5660">
        <f t="shared" si="534"/>
        <v>5550</v>
      </c>
      <c r="T5660" s="16">
        <f t="shared" si="535"/>
        <v>1.2035921063842876</v>
      </c>
    </row>
    <row r="5661" spans="7:20" ht="14.4" x14ac:dyDescent="0.25">
      <c r="G5661" s="10">
        <v>5070</v>
      </c>
      <c r="H5661" s="9">
        <v>36131</v>
      </c>
      <c r="I5661" s="14">
        <f>DATE(2012,12,31)-1324</f>
        <v>39950</v>
      </c>
      <c r="J5661" s="15" t="s">
        <v>17</v>
      </c>
      <c r="K5661" s="9">
        <v>26</v>
      </c>
      <c r="L5661" s="16" t="s">
        <v>26</v>
      </c>
      <c r="M5661" s="16">
        <f t="shared" si="531"/>
        <v>2.9575903857523567E-2</v>
      </c>
      <c r="N5661">
        <f t="shared" si="532"/>
        <v>0</v>
      </c>
      <c r="O5661">
        <f t="shared" si="533"/>
        <v>0</v>
      </c>
      <c r="P5661">
        <f t="shared" si="530"/>
        <v>4700</v>
      </c>
      <c r="Q5661">
        <f t="shared" si="534"/>
        <v>4700</v>
      </c>
      <c r="T5661" s="16">
        <f t="shared" si="535"/>
        <v>2.9575903857523185E-2</v>
      </c>
    </row>
    <row r="5662" spans="7:20" ht="14.4" x14ac:dyDescent="0.25">
      <c r="G5662" s="10">
        <v>5203</v>
      </c>
      <c r="H5662" s="9">
        <v>36992</v>
      </c>
      <c r="I5662" s="14">
        <f>DATE(2012,12,31)-1120</f>
        <v>40154</v>
      </c>
      <c r="J5662" s="15" t="s">
        <v>16</v>
      </c>
      <c r="K5662" s="9">
        <v>34</v>
      </c>
      <c r="L5662" s="16" t="s">
        <v>26</v>
      </c>
      <c r="M5662" s="16">
        <f t="shared" si="531"/>
        <v>0.58205411681129504</v>
      </c>
      <c r="N5662">
        <f t="shared" si="532"/>
        <v>0</v>
      </c>
      <c r="O5662">
        <f t="shared" si="533"/>
        <v>0</v>
      </c>
      <c r="P5662">
        <f t="shared" si="530"/>
        <v>5100</v>
      </c>
      <c r="Q5662">
        <f t="shared" si="534"/>
        <v>5100</v>
      </c>
      <c r="T5662" s="16">
        <f t="shared" si="535"/>
        <v>0.58205411681129471</v>
      </c>
    </row>
    <row r="5663" spans="7:20" ht="14.4" x14ac:dyDescent="0.25">
      <c r="G5663" s="10">
        <v>5432</v>
      </c>
      <c r="H5663" s="9">
        <v>38596</v>
      </c>
      <c r="I5663" s="14">
        <f>DATE(2012,12,31)-1004</f>
        <v>40270</v>
      </c>
      <c r="J5663" s="15" t="s">
        <v>16</v>
      </c>
      <c r="K5663" s="9">
        <v>20</v>
      </c>
      <c r="L5663" s="16" t="s">
        <v>26</v>
      </c>
      <c r="M5663" s="16">
        <f t="shared" si="531"/>
        <v>-0.38478275585780503</v>
      </c>
      <c r="N5663">
        <f t="shared" si="532"/>
        <v>0</v>
      </c>
      <c r="O5663">
        <f t="shared" si="533"/>
        <v>0</v>
      </c>
      <c r="P5663">
        <f t="shared" si="530"/>
        <v>4400</v>
      </c>
      <c r="Q5663">
        <f t="shared" si="534"/>
        <v>4400</v>
      </c>
      <c r="T5663" s="16">
        <f t="shared" si="535"/>
        <v>-0.38478275585780541</v>
      </c>
    </row>
    <row r="5664" spans="7:20" ht="14.4" x14ac:dyDescent="0.25">
      <c r="G5664" s="10">
        <v>5526</v>
      </c>
      <c r="H5664" s="9">
        <v>39143</v>
      </c>
      <c r="I5664" s="14">
        <f>DATE(2012,12,31)-269</f>
        <v>41005</v>
      </c>
      <c r="J5664" s="15" t="s">
        <v>28</v>
      </c>
      <c r="K5664" s="9">
        <v>46</v>
      </c>
      <c r="L5664" s="16" t="s">
        <v>29</v>
      </c>
      <c r="M5664" s="16">
        <f t="shared" si="531"/>
        <v>1.4107714362419523</v>
      </c>
      <c r="N5664">
        <f t="shared" si="532"/>
        <v>0</v>
      </c>
      <c r="O5664">
        <f t="shared" si="533"/>
        <v>0</v>
      </c>
      <c r="P5664">
        <f t="shared" si="530"/>
        <v>5700</v>
      </c>
      <c r="Q5664">
        <f t="shared" si="534"/>
        <v>5700</v>
      </c>
      <c r="T5664" s="16">
        <f t="shared" si="535"/>
        <v>1.4107714362419519</v>
      </c>
    </row>
    <row r="5665" spans="7:20" ht="14.4" x14ac:dyDescent="0.25">
      <c r="G5665" s="10">
        <v>5807</v>
      </c>
      <c r="H5665" s="9">
        <v>41186</v>
      </c>
      <c r="I5665" s="14">
        <f>DATE(2012,12,31)-770</f>
        <v>40504</v>
      </c>
      <c r="J5665" s="15" t="s">
        <v>17</v>
      </c>
      <c r="K5665" s="9">
        <v>33</v>
      </c>
      <c r="L5665" s="16" t="s">
        <v>27</v>
      </c>
      <c r="M5665" s="16">
        <f t="shared" si="531"/>
        <v>0.51299434019207357</v>
      </c>
      <c r="N5665">
        <f t="shared" si="532"/>
        <v>0</v>
      </c>
      <c r="O5665">
        <f t="shared" si="533"/>
        <v>0</v>
      </c>
      <c r="P5665">
        <f t="shared" si="530"/>
        <v>5050</v>
      </c>
      <c r="Q5665">
        <f t="shared" si="534"/>
        <v>5050</v>
      </c>
      <c r="T5665" s="16">
        <f t="shared" si="535"/>
        <v>0.51299434019207324</v>
      </c>
    </row>
    <row r="5666" spans="7:20" ht="14.4" x14ac:dyDescent="0.25">
      <c r="G5666" s="10">
        <v>6143</v>
      </c>
      <c r="H5666" s="9">
        <v>43493</v>
      </c>
      <c r="I5666" s="14">
        <f>DATE(2012,12,31)-235</f>
        <v>41039</v>
      </c>
      <c r="J5666" s="15" t="s">
        <v>17</v>
      </c>
      <c r="K5666" s="9">
        <v>22</v>
      </c>
      <c r="L5666" s="16" t="s">
        <v>26</v>
      </c>
      <c r="M5666" s="16">
        <f t="shared" si="531"/>
        <v>-0.24666320261936217</v>
      </c>
      <c r="N5666">
        <f t="shared" si="532"/>
        <v>0</v>
      </c>
      <c r="O5666">
        <f t="shared" si="533"/>
        <v>0</v>
      </c>
      <c r="P5666">
        <f t="shared" si="530"/>
        <v>4500</v>
      </c>
      <c r="Q5666">
        <f t="shared" si="534"/>
        <v>4500</v>
      </c>
      <c r="T5666" s="16">
        <f t="shared" si="535"/>
        <v>-0.24666320261936256</v>
      </c>
    </row>
    <row r="5667" spans="7:20" ht="14.4" x14ac:dyDescent="0.25">
      <c r="G5667" s="10">
        <v>6144</v>
      </c>
      <c r="H5667" s="9">
        <v>43493</v>
      </c>
      <c r="I5667" s="14">
        <f>DATE(2012,12,31)-235</f>
        <v>41039</v>
      </c>
      <c r="J5667" s="15" t="s">
        <v>17</v>
      </c>
      <c r="K5667" s="9">
        <v>14</v>
      </c>
      <c r="L5667" s="16" t="s">
        <v>26</v>
      </c>
      <c r="M5667" s="16">
        <f t="shared" si="531"/>
        <v>-0.79914141557313367</v>
      </c>
      <c r="N5667">
        <f t="shared" si="532"/>
        <v>0</v>
      </c>
      <c r="O5667">
        <f t="shared" si="533"/>
        <v>0</v>
      </c>
      <c r="P5667">
        <f t="shared" si="530"/>
        <v>4100</v>
      </c>
      <c r="Q5667">
        <f t="shared" si="534"/>
        <v>4100</v>
      </c>
      <c r="T5667" s="16">
        <f t="shared" si="535"/>
        <v>-0.79914141557313401</v>
      </c>
    </row>
    <row r="5668" spans="7:20" ht="14.4" x14ac:dyDescent="0.25">
      <c r="G5668" s="10">
        <v>6145</v>
      </c>
      <c r="H5668" s="9">
        <v>43493</v>
      </c>
      <c r="I5668" s="14">
        <f>DATE(2012,12,31)-235</f>
        <v>41039</v>
      </c>
      <c r="J5668" s="15" t="s">
        <v>17</v>
      </c>
      <c r="K5668" s="9">
        <v>37</v>
      </c>
      <c r="L5668" s="16" t="s">
        <v>27</v>
      </c>
      <c r="M5668" s="16">
        <f t="shared" si="531"/>
        <v>0.78923344666895934</v>
      </c>
      <c r="N5668">
        <f t="shared" si="532"/>
        <v>0</v>
      </c>
      <c r="O5668">
        <f t="shared" si="533"/>
        <v>0</v>
      </c>
      <c r="P5668">
        <f t="shared" si="530"/>
        <v>5250</v>
      </c>
      <c r="Q5668">
        <f t="shared" si="534"/>
        <v>5250</v>
      </c>
      <c r="T5668" s="16">
        <f t="shared" si="535"/>
        <v>0.789233446668959</v>
      </c>
    </row>
    <row r="5669" spans="7:20" ht="14.4" x14ac:dyDescent="0.25">
      <c r="G5669" s="10">
        <v>6152</v>
      </c>
      <c r="H5669" s="9">
        <v>43555</v>
      </c>
      <c r="I5669" s="14">
        <f>DATE(2012,12,31)-181</f>
        <v>41093</v>
      </c>
      <c r="J5669" s="15" t="s">
        <v>16</v>
      </c>
      <c r="K5669" s="9">
        <v>34</v>
      </c>
      <c r="L5669" s="16" t="s">
        <v>26</v>
      </c>
      <c r="M5669" s="16">
        <f t="shared" si="531"/>
        <v>0.58205411681129504</v>
      </c>
      <c r="N5669">
        <f t="shared" si="532"/>
        <v>0</v>
      </c>
      <c r="O5669">
        <f t="shared" si="533"/>
        <v>0</v>
      </c>
      <c r="P5669">
        <f t="shared" si="530"/>
        <v>5100</v>
      </c>
      <c r="Q5669">
        <f t="shared" si="534"/>
        <v>5100</v>
      </c>
      <c r="T5669" s="16">
        <f t="shared" si="535"/>
        <v>0.58205411681129471</v>
      </c>
    </row>
    <row r="5670" spans="7:20" ht="14.4" x14ac:dyDescent="0.25">
      <c r="G5670" s="10">
        <v>6283</v>
      </c>
      <c r="H5670" s="9">
        <v>44452</v>
      </c>
      <c r="I5670" s="14">
        <f>DATE(2012,12,31)-388</f>
        <v>40886</v>
      </c>
      <c r="J5670" s="15" t="s">
        <v>28</v>
      </c>
      <c r="K5670" s="9">
        <v>50</v>
      </c>
      <c r="L5670" s="16" t="s">
        <v>26</v>
      </c>
      <c r="M5670" s="16">
        <f t="shared" si="531"/>
        <v>1.687010542718838</v>
      </c>
      <c r="N5670">
        <f t="shared" si="532"/>
        <v>0</v>
      </c>
      <c r="O5670">
        <f t="shared" si="533"/>
        <v>0</v>
      </c>
      <c r="P5670">
        <f t="shared" si="530"/>
        <v>5900</v>
      </c>
      <c r="Q5670">
        <f t="shared" si="534"/>
        <v>5900</v>
      </c>
      <c r="T5670" s="16">
        <f t="shared" si="535"/>
        <v>1.6870105427188375</v>
      </c>
    </row>
    <row r="5671" spans="7:20" ht="14.4" x14ac:dyDescent="0.25">
      <c r="G5671" s="10">
        <v>6404</v>
      </c>
      <c r="H5671" s="9">
        <v>45506</v>
      </c>
      <c r="I5671" s="14">
        <f>DATE(2012,12,31)-371</f>
        <v>40903</v>
      </c>
      <c r="J5671" s="15" t="s">
        <v>25</v>
      </c>
      <c r="K5671" s="9">
        <v>3</v>
      </c>
      <c r="L5671" s="16" t="s">
        <v>27</v>
      </c>
      <c r="M5671" s="16">
        <f t="shared" si="531"/>
        <v>-1.5587989583845694</v>
      </c>
      <c r="N5671">
        <f t="shared" si="532"/>
        <v>0</v>
      </c>
      <c r="O5671">
        <f t="shared" si="533"/>
        <v>0</v>
      </c>
      <c r="P5671">
        <f t="shared" si="530"/>
        <v>3550</v>
      </c>
      <c r="Q5671">
        <f t="shared" si="534"/>
        <v>3550</v>
      </c>
      <c r="T5671" s="16">
        <f t="shared" si="535"/>
        <v>-1.5587989583845698</v>
      </c>
    </row>
    <row r="5672" spans="7:20" ht="14.4" x14ac:dyDescent="0.25">
      <c r="G5672" s="10">
        <v>6441</v>
      </c>
      <c r="H5672" s="9">
        <v>45767</v>
      </c>
      <c r="I5672" s="14">
        <f>DATE(2012,12,31)-174</f>
        <v>41100</v>
      </c>
      <c r="J5672" s="15" t="s">
        <v>17</v>
      </c>
      <c r="K5672" s="9">
        <v>49</v>
      </c>
      <c r="L5672" s="16" t="s">
        <v>26</v>
      </c>
      <c r="M5672" s="16">
        <f t="shared" si="531"/>
        <v>1.6179507660996166</v>
      </c>
      <c r="N5672">
        <f t="shared" si="532"/>
        <v>0</v>
      </c>
      <c r="O5672">
        <f t="shared" si="533"/>
        <v>0</v>
      </c>
      <c r="P5672">
        <f t="shared" si="530"/>
        <v>5850</v>
      </c>
      <c r="Q5672">
        <f t="shared" si="534"/>
        <v>5850</v>
      </c>
      <c r="T5672" s="16">
        <f t="shared" si="535"/>
        <v>1.6179507660996162</v>
      </c>
    </row>
    <row r="5673" spans="7:20" ht="14.4" x14ac:dyDescent="0.25">
      <c r="G5673" s="10">
        <v>6457</v>
      </c>
      <c r="H5673" s="9">
        <v>45986</v>
      </c>
      <c r="I5673" s="14">
        <f>DATE(2012,12,31)-1102</f>
        <v>40172</v>
      </c>
      <c r="J5673" s="15" t="s">
        <v>25</v>
      </c>
      <c r="K5673" s="9">
        <v>20</v>
      </c>
      <c r="L5673" s="16" t="s">
        <v>26</v>
      </c>
      <c r="M5673" s="16">
        <f t="shared" si="531"/>
        <v>-0.38478275585780503</v>
      </c>
      <c r="N5673">
        <f t="shared" si="532"/>
        <v>0</v>
      </c>
      <c r="O5673">
        <f t="shared" si="533"/>
        <v>0</v>
      </c>
      <c r="P5673">
        <f t="shared" si="530"/>
        <v>4400</v>
      </c>
      <c r="Q5673">
        <f t="shared" si="534"/>
        <v>4400</v>
      </c>
      <c r="T5673" s="16">
        <f t="shared" si="535"/>
        <v>-0.38478275585780541</v>
      </c>
    </row>
    <row r="5674" spans="7:20" ht="14.4" x14ac:dyDescent="0.25">
      <c r="G5674" s="10">
        <v>6584</v>
      </c>
      <c r="H5674" s="9">
        <v>46881</v>
      </c>
      <c r="I5674" s="14">
        <f>DATE(2012,12,31)-1182</f>
        <v>40092</v>
      </c>
      <c r="J5674" s="15" t="s">
        <v>30</v>
      </c>
      <c r="K5674" s="9">
        <v>31</v>
      </c>
      <c r="L5674" s="16" t="s">
        <v>26</v>
      </c>
      <c r="M5674" s="16">
        <f t="shared" si="531"/>
        <v>0.37487478695363075</v>
      </c>
      <c r="N5674">
        <f t="shared" si="532"/>
        <v>0</v>
      </c>
      <c r="O5674">
        <f t="shared" si="533"/>
        <v>0</v>
      </c>
      <c r="P5674">
        <f t="shared" si="530"/>
        <v>4950</v>
      </c>
      <c r="Q5674">
        <f t="shared" si="534"/>
        <v>4950</v>
      </c>
      <c r="T5674" s="16">
        <f t="shared" si="535"/>
        <v>0.37487478695363036</v>
      </c>
    </row>
    <row r="5675" spans="7:20" ht="14.4" x14ac:dyDescent="0.25">
      <c r="G5675" s="10">
        <v>6601</v>
      </c>
      <c r="H5675" s="9">
        <v>46979</v>
      </c>
      <c r="I5675" s="14">
        <f>DATE(2012,12,31)-168</f>
        <v>41106</v>
      </c>
      <c r="J5675" s="15" t="s">
        <v>25</v>
      </c>
      <c r="K5675" s="9">
        <v>30</v>
      </c>
      <c r="L5675" s="16" t="s">
        <v>27</v>
      </c>
      <c r="M5675" s="16">
        <f t="shared" si="531"/>
        <v>0.30581501033440933</v>
      </c>
      <c r="N5675">
        <f t="shared" si="532"/>
        <v>0</v>
      </c>
      <c r="O5675">
        <f t="shared" si="533"/>
        <v>0</v>
      </c>
      <c r="P5675">
        <f t="shared" si="530"/>
        <v>4900</v>
      </c>
      <c r="Q5675">
        <f t="shared" si="534"/>
        <v>4900</v>
      </c>
      <c r="T5675" s="16">
        <f t="shared" si="535"/>
        <v>0.30581501033440894</v>
      </c>
    </row>
    <row r="5676" spans="7:20" ht="14.4" x14ac:dyDescent="0.25">
      <c r="G5676" s="10">
        <v>6602</v>
      </c>
      <c r="H5676" s="9">
        <v>46979</v>
      </c>
      <c r="I5676" s="14">
        <f>DATE(2012,12,31)-168</f>
        <v>41106</v>
      </c>
      <c r="J5676" s="15" t="s">
        <v>25</v>
      </c>
      <c r="K5676" s="9">
        <v>26</v>
      </c>
      <c r="L5676" s="16" t="s">
        <v>26</v>
      </c>
      <c r="M5676" s="16">
        <f t="shared" si="531"/>
        <v>2.9575903857523567E-2</v>
      </c>
      <c r="N5676">
        <f t="shared" si="532"/>
        <v>0</v>
      </c>
      <c r="O5676">
        <f t="shared" si="533"/>
        <v>0</v>
      </c>
      <c r="P5676">
        <f t="shared" si="530"/>
        <v>4700</v>
      </c>
      <c r="Q5676">
        <f t="shared" si="534"/>
        <v>4700</v>
      </c>
      <c r="T5676" s="16">
        <f t="shared" si="535"/>
        <v>2.9575903857523185E-2</v>
      </c>
    </row>
    <row r="5677" spans="7:20" ht="14.4" x14ac:dyDescent="0.25">
      <c r="G5677" s="10">
        <v>6611</v>
      </c>
      <c r="H5677" s="9">
        <v>47040</v>
      </c>
      <c r="I5677" s="14">
        <f>DATE(2012,12,31)-868</f>
        <v>40406</v>
      </c>
      <c r="J5677" s="15" t="s">
        <v>17</v>
      </c>
      <c r="K5677" s="9">
        <v>38</v>
      </c>
      <c r="L5677" s="16" t="s">
        <v>26</v>
      </c>
      <c r="M5677" s="16">
        <f t="shared" si="531"/>
        <v>0.85829322328818081</v>
      </c>
      <c r="N5677">
        <f t="shared" si="532"/>
        <v>0</v>
      </c>
      <c r="O5677">
        <f t="shared" si="533"/>
        <v>0</v>
      </c>
      <c r="P5677">
        <f t="shared" si="530"/>
        <v>5300</v>
      </c>
      <c r="Q5677">
        <f t="shared" si="534"/>
        <v>5300</v>
      </c>
      <c r="T5677" s="16">
        <f t="shared" si="535"/>
        <v>0.85829322328818036</v>
      </c>
    </row>
    <row r="5678" spans="7:20" ht="14.4" x14ac:dyDescent="0.25">
      <c r="G5678" s="10">
        <v>6792</v>
      </c>
      <c r="H5678" s="9">
        <v>48391</v>
      </c>
      <c r="I5678" s="14">
        <f>DATE(2012,12,31)-794</f>
        <v>40480</v>
      </c>
      <c r="J5678" s="15" t="s">
        <v>28</v>
      </c>
      <c r="K5678" s="9">
        <v>45</v>
      </c>
      <c r="L5678" s="16" t="s">
        <v>26</v>
      </c>
      <c r="M5678" s="16">
        <f t="shared" si="531"/>
        <v>1.3417116596227308</v>
      </c>
      <c r="N5678">
        <f t="shared" si="532"/>
        <v>0</v>
      </c>
      <c r="O5678">
        <f t="shared" si="533"/>
        <v>0</v>
      </c>
      <c r="P5678">
        <f t="shared" si="530"/>
        <v>5650</v>
      </c>
      <c r="Q5678">
        <f t="shared" si="534"/>
        <v>5650</v>
      </c>
      <c r="T5678" s="16">
        <f t="shared" si="535"/>
        <v>1.3417116596227305</v>
      </c>
    </row>
    <row r="5679" spans="7:20" ht="14.4" x14ac:dyDescent="0.25">
      <c r="G5679" s="10">
        <v>7255</v>
      </c>
      <c r="H5679" s="9">
        <v>51780</v>
      </c>
      <c r="I5679" s="14">
        <f>DATE(2012,12,31)-891</f>
        <v>40383</v>
      </c>
      <c r="J5679" s="15" t="s">
        <v>25</v>
      </c>
      <c r="K5679" s="9">
        <v>26</v>
      </c>
      <c r="L5679" s="16" t="s">
        <v>26</v>
      </c>
      <c r="M5679" s="16">
        <f t="shared" si="531"/>
        <v>2.9575903857523567E-2</v>
      </c>
      <c r="N5679">
        <f t="shared" si="532"/>
        <v>0</v>
      </c>
      <c r="O5679">
        <f t="shared" si="533"/>
        <v>0</v>
      </c>
      <c r="P5679">
        <f t="shared" si="530"/>
        <v>4700</v>
      </c>
      <c r="Q5679">
        <f t="shared" si="534"/>
        <v>4700</v>
      </c>
      <c r="T5679" s="16">
        <f t="shared" si="535"/>
        <v>2.9575903857523185E-2</v>
      </c>
    </row>
    <row r="5680" spans="7:20" ht="14.4" x14ac:dyDescent="0.25">
      <c r="G5680" s="10">
        <v>7256</v>
      </c>
      <c r="H5680" s="9">
        <v>51780</v>
      </c>
      <c r="I5680" s="14">
        <f>DATE(2012,12,31)-891</f>
        <v>40383</v>
      </c>
      <c r="J5680" s="15" t="s">
        <v>25</v>
      </c>
      <c r="K5680" s="9">
        <v>11</v>
      </c>
      <c r="L5680" s="16" t="s">
        <v>26</v>
      </c>
      <c r="M5680" s="16">
        <f t="shared" si="531"/>
        <v>-1.0063207454307979</v>
      </c>
      <c r="N5680">
        <f t="shared" si="532"/>
        <v>0</v>
      </c>
      <c r="O5680">
        <f t="shared" si="533"/>
        <v>0</v>
      </c>
      <c r="P5680">
        <f t="shared" si="530"/>
        <v>3950</v>
      </c>
      <c r="Q5680">
        <f t="shared" si="534"/>
        <v>3950</v>
      </c>
      <c r="T5680" s="16">
        <f t="shared" si="535"/>
        <v>-1.0063207454307983</v>
      </c>
    </row>
    <row r="5681" spans="7:20" ht="14.4" x14ac:dyDescent="0.25">
      <c r="G5681" s="10">
        <v>7257</v>
      </c>
      <c r="H5681" s="9">
        <v>51780</v>
      </c>
      <c r="I5681" s="14">
        <f>DATE(2012,12,31)-891</f>
        <v>40383</v>
      </c>
      <c r="J5681" s="15" t="s">
        <v>25</v>
      </c>
      <c r="K5681" s="9">
        <v>44</v>
      </c>
      <c r="L5681" s="16" t="s">
        <v>26</v>
      </c>
      <c r="M5681" s="16">
        <f t="shared" si="531"/>
        <v>1.2726518830035094</v>
      </c>
      <c r="N5681">
        <f t="shared" si="532"/>
        <v>0</v>
      </c>
      <c r="O5681">
        <f t="shared" si="533"/>
        <v>0</v>
      </c>
      <c r="P5681">
        <f t="shared" si="530"/>
        <v>5600</v>
      </c>
      <c r="Q5681">
        <f t="shared" si="534"/>
        <v>5600</v>
      </c>
      <c r="T5681" s="16">
        <f t="shared" si="535"/>
        <v>1.272651883003509</v>
      </c>
    </row>
    <row r="5682" spans="7:20" ht="14.4" x14ac:dyDescent="0.25">
      <c r="G5682" s="10">
        <v>7473</v>
      </c>
      <c r="H5682" s="9">
        <v>53350</v>
      </c>
      <c r="I5682" s="14">
        <f>DATE(2012,12,31)-1296</f>
        <v>39978</v>
      </c>
      <c r="J5682" s="15" t="s">
        <v>28</v>
      </c>
      <c r="K5682" s="9">
        <v>24</v>
      </c>
      <c r="L5682" s="16" t="s">
        <v>26</v>
      </c>
      <c r="M5682" s="16">
        <f t="shared" si="531"/>
        <v>-0.1085436493809193</v>
      </c>
      <c r="N5682">
        <f t="shared" si="532"/>
        <v>0</v>
      </c>
      <c r="O5682">
        <f t="shared" si="533"/>
        <v>0</v>
      </c>
      <c r="P5682">
        <f t="shared" si="530"/>
        <v>4600</v>
      </c>
      <c r="Q5682">
        <f t="shared" si="534"/>
        <v>4600</v>
      </c>
      <c r="T5682" s="16">
        <f t="shared" si="535"/>
        <v>-0.10854364938091969</v>
      </c>
    </row>
    <row r="5683" spans="7:20" ht="14.4" x14ac:dyDescent="0.25">
      <c r="G5683" s="10">
        <v>7773</v>
      </c>
      <c r="H5683" s="9">
        <v>55648</v>
      </c>
      <c r="I5683" s="14">
        <f>DATE(2012,12,31)-1209</f>
        <v>40065</v>
      </c>
      <c r="J5683" s="15" t="s">
        <v>30</v>
      </c>
      <c r="K5683" s="9">
        <v>5</v>
      </c>
      <c r="L5683" s="16" t="s">
        <v>26</v>
      </c>
      <c r="M5683" s="16">
        <f t="shared" si="531"/>
        <v>-1.4206794051461267</v>
      </c>
      <c r="N5683">
        <f t="shared" si="532"/>
        <v>0</v>
      </c>
      <c r="O5683">
        <f t="shared" si="533"/>
        <v>0</v>
      </c>
      <c r="P5683">
        <f t="shared" si="530"/>
        <v>3650</v>
      </c>
      <c r="Q5683">
        <f t="shared" si="534"/>
        <v>3650</v>
      </c>
      <c r="T5683" s="16">
        <f t="shared" si="535"/>
        <v>-1.4206794051461269</v>
      </c>
    </row>
    <row r="5684" spans="7:20" ht="14.4" x14ac:dyDescent="0.25">
      <c r="G5684" s="10">
        <v>7783</v>
      </c>
      <c r="H5684" s="9">
        <v>55686</v>
      </c>
      <c r="I5684" s="14">
        <f>DATE(2012,12,31)-647</f>
        <v>40627</v>
      </c>
      <c r="J5684" s="15" t="s">
        <v>30</v>
      </c>
      <c r="K5684" s="9">
        <v>26</v>
      </c>
      <c r="L5684" s="16" t="s">
        <v>27</v>
      </c>
      <c r="M5684" s="16">
        <f t="shared" si="531"/>
        <v>2.9575903857523567E-2</v>
      </c>
      <c r="N5684">
        <f t="shared" si="532"/>
        <v>0</v>
      </c>
      <c r="O5684">
        <f t="shared" si="533"/>
        <v>0</v>
      </c>
      <c r="P5684">
        <f t="shared" si="530"/>
        <v>4700</v>
      </c>
      <c r="Q5684">
        <f t="shared" si="534"/>
        <v>4700</v>
      </c>
      <c r="T5684" s="16">
        <f t="shared" si="535"/>
        <v>2.9575903857523185E-2</v>
      </c>
    </row>
    <row r="5685" spans="7:20" ht="14.4" x14ac:dyDescent="0.25">
      <c r="G5685" s="10">
        <v>7784</v>
      </c>
      <c r="H5685" s="9">
        <v>55686</v>
      </c>
      <c r="I5685" s="14">
        <f>DATE(2012,12,31)-647</f>
        <v>40627</v>
      </c>
      <c r="J5685" s="15" t="s">
        <v>30</v>
      </c>
      <c r="K5685" s="9">
        <v>22</v>
      </c>
      <c r="L5685" s="16" t="s">
        <v>26</v>
      </c>
      <c r="M5685" s="16">
        <f t="shared" si="531"/>
        <v>-0.24666320261936217</v>
      </c>
      <c r="N5685">
        <f t="shared" si="532"/>
        <v>0</v>
      </c>
      <c r="O5685">
        <f t="shared" si="533"/>
        <v>0</v>
      </c>
      <c r="P5685">
        <f t="shared" si="530"/>
        <v>4500</v>
      </c>
      <c r="Q5685">
        <f t="shared" si="534"/>
        <v>4500</v>
      </c>
      <c r="T5685" s="16">
        <f t="shared" si="535"/>
        <v>-0.24666320261936256</v>
      </c>
    </row>
    <row r="5686" spans="7:20" ht="14.4" x14ac:dyDescent="0.25">
      <c r="G5686" s="10">
        <v>7785</v>
      </c>
      <c r="H5686" s="9">
        <v>55686</v>
      </c>
      <c r="I5686" s="14">
        <f>DATE(2012,12,31)-647</f>
        <v>40627</v>
      </c>
      <c r="J5686" s="15" t="s">
        <v>30</v>
      </c>
      <c r="K5686" s="9">
        <v>2</v>
      </c>
      <c r="L5686" s="16" t="s">
        <v>26</v>
      </c>
      <c r="M5686" s="16">
        <f t="shared" si="531"/>
        <v>-1.627858735003791</v>
      </c>
      <c r="N5686">
        <f t="shared" si="532"/>
        <v>0</v>
      </c>
      <c r="O5686">
        <f t="shared" si="533"/>
        <v>0</v>
      </c>
      <c r="P5686">
        <f t="shared" si="530"/>
        <v>3500</v>
      </c>
      <c r="Q5686">
        <f t="shared" si="534"/>
        <v>3500</v>
      </c>
      <c r="T5686" s="16">
        <f t="shared" si="535"/>
        <v>-1.6278587350037912</v>
      </c>
    </row>
    <row r="5687" spans="7:20" ht="14.4" x14ac:dyDescent="0.25">
      <c r="G5687" s="10">
        <v>7807</v>
      </c>
      <c r="H5687" s="9">
        <v>55847</v>
      </c>
      <c r="I5687" s="14">
        <f>DATE(2012,12,31)-1260</f>
        <v>40014</v>
      </c>
      <c r="J5687" s="15" t="s">
        <v>28</v>
      </c>
      <c r="K5687" s="9">
        <v>21</v>
      </c>
      <c r="L5687" s="16" t="s">
        <v>26</v>
      </c>
      <c r="M5687" s="16">
        <f t="shared" si="531"/>
        <v>-0.31572297923858361</v>
      </c>
      <c r="N5687">
        <f t="shared" si="532"/>
        <v>0</v>
      </c>
      <c r="O5687">
        <f t="shared" si="533"/>
        <v>0</v>
      </c>
      <c r="P5687">
        <f t="shared" si="530"/>
        <v>4450</v>
      </c>
      <c r="Q5687">
        <f t="shared" si="534"/>
        <v>4450</v>
      </c>
      <c r="T5687" s="16">
        <f t="shared" si="535"/>
        <v>-0.315722979238584</v>
      </c>
    </row>
    <row r="5688" spans="7:20" ht="14.4" x14ac:dyDescent="0.25">
      <c r="G5688" s="10">
        <v>7808</v>
      </c>
      <c r="H5688" s="9">
        <v>55847</v>
      </c>
      <c r="I5688" s="14">
        <f>DATE(2012,12,31)-1260</f>
        <v>40014</v>
      </c>
      <c r="J5688" s="15" t="s">
        <v>28</v>
      </c>
      <c r="K5688" s="9">
        <v>45</v>
      </c>
      <c r="L5688" s="16" t="s">
        <v>26</v>
      </c>
      <c r="M5688" s="16">
        <f t="shared" si="531"/>
        <v>1.3417116596227308</v>
      </c>
      <c r="N5688">
        <f t="shared" si="532"/>
        <v>0</v>
      </c>
      <c r="O5688">
        <f t="shared" si="533"/>
        <v>0</v>
      </c>
      <c r="P5688">
        <f t="shared" si="530"/>
        <v>5650</v>
      </c>
      <c r="Q5688">
        <f t="shared" si="534"/>
        <v>5650</v>
      </c>
      <c r="T5688" s="16">
        <f t="shared" si="535"/>
        <v>1.3417116596227305</v>
      </c>
    </row>
    <row r="5689" spans="7:20" ht="14.4" x14ac:dyDescent="0.25">
      <c r="G5689" s="10">
        <v>7843</v>
      </c>
      <c r="H5689" s="9">
        <v>56099</v>
      </c>
      <c r="I5689" s="14">
        <f>DATE(2012,12,31)-818</f>
        <v>40456</v>
      </c>
      <c r="J5689" s="15" t="s">
        <v>25</v>
      </c>
      <c r="K5689" s="9">
        <v>6</v>
      </c>
      <c r="L5689" s="16" t="s">
        <v>26</v>
      </c>
      <c r="M5689" s="16">
        <f t="shared" si="531"/>
        <v>-1.3516196285269051</v>
      </c>
      <c r="N5689">
        <f t="shared" si="532"/>
        <v>0</v>
      </c>
      <c r="O5689">
        <f t="shared" si="533"/>
        <v>0</v>
      </c>
      <c r="P5689">
        <f t="shared" si="530"/>
        <v>3700</v>
      </c>
      <c r="Q5689">
        <f t="shared" si="534"/>
        <v>3700</v>
      </c>
      <c r="T5689" s="16">
        <f t="shared" si="535"/>
        <v>-1.3516196285269055</v>
      </c>
    </row>
    <row r="5690" spans="7:20" ht="14.4" x14ac:dyDescent="0.25">
      <c r="G5690" s="10">
        <v>7859</v>
      </c>
      <c r="H5690" s="9">
        <v>56197</v>
      </c>
      <c r="I5690" s="14">
        <f>DATE(2012,12,31)-1330</f>
        <v>39944</v>
      </c>
      <c r="J5690" s="15" t="s">
        <v>17</v>
      </c>
      <c r="K5690" s="9">
        <v>11</v>
      </c>
      <c r="L5690" s="16" t="s">
        <v>29</v>
      </c>
      <c r="M5690" s="16">
        <f t="shared" si="531"/>
        <v>-1.0063207454307979</v>
      </c>
      <c r="N5690">
        <f t="shared" si="532"/>
        <v>0</v>
      </c>
      <c r="O5690">
        <f t="shared" si="533"/>
        <v>0</v>
      </c>
      <c r="P5690">
        <f t="shared" si="530"/>
        <v>3950</v>
      </c>
      <c r="Q5690">
        <f t="shared" si="534"/>
        <v>3950</v>
      </c>
      <c r="T5690" s="16">
        <f t="shared" si="535"/>
        <v>-1.0063207454307983</v>
      </c>
    </row>
    <row r="5691" spans="7:20" ht="14.4" x14ac:dyDescent="0.25">
      <c r="G5691" s="10">
        <v>7860</v>
      </c>
      <c r="H5691" s="9">
        <v>56197</v>
      </c>
      <c r="I5691" s="14">
        <f>DATE(2012,12,31)-1330</f>
        <v>39944</v>
      </c>
      <c r="J5691" s="15" t="s">
        <v>17</v>
      </c>
      <c r="K5691" s="9">
        <v>45</v>
      </c>
      <c r="L5691" s="16" t="s">
        <v>29</v>
      </c>
      <c r="M5691" s="16">
        <f t="shared" si="531"/>
        <v>1.3417116596227308</v>
      </c>
      <c r="N5691">
        <f t="shared" si="532"/>
        <v>0</v>
      </c>
      <c r="O5691">
        <f t="shared" si="533"/>
        <v>0</v>
      </c>
      <c r="P5691">
        <f t="shared" si="530"/>
        <v>5650</v>
      </c>
      <c r="Q5691">
        <f t="shared" si="534"/>
        <v>5650</v>
      </c>
      <c r="T5691" s="16">
        <f t="shared" si="535"/>
        <v>1.3417116596227305</v>
      </c>
    </row>
    <row r="5692" spans="7:20" ht="14.4" x14ac:dyDescent="0.25">
      <c r="G5692" s="10">
        <v>7905</v>
      </c>
      <c r="H5692" s="9">
        <v>56548</v>
      </c>
      <c r="I5692" s="14">
        <f>DATE(2012,12,31)-117</f>
        <v>41157</v>
      </c>
      <c r="J5692" s="15" t="s">
        <v>16</v>
      </c>
      <c r="K5692" s="9">
        <v>7</v>
      </c>
      <c r="L5692" s="16" t="s">
        <v>29</v>
      </c>
      <c r="M5692" s="16">
        <f t="shared" si="531"/>
        <v>-1.2825598519076837</v>
      </c>
      <c r="N5692">
        <f t="shared" si="532"/>
        <v>0</v>
      </c>
      <c r="O5692">
        <f t="shared" si="533"/>
        <v>0</v>
      </c>
      <c r="P5692">
        <f t="shared" si="530"/>
        <v>3750</v>
      </c>
      <c r="Q5692">
        <f t="shared" si="534"/>
        <v>3750</v>
      </c>
      <c r="T5692" s="16">
        <f t="shared" si="535"/>
        <v>-1.2825598519076842</v>
      </c>
    </row>
    <row r="5693" spans="7:20" ht="14.4" x14ac:dyDescent="0.25">
      <c r="G5693" s="10">
        <v>8291</v>
      </c>
      <c r="H5693" s="9">
        <v>59232</v>
      </c>
      <c r="I5693" s="14">
        <f>DATE(2012,12,31)-1456</f>
        <v>39818</v>
      </c>
      <c r="J5693" s="15" t="s">
        <v>17</v>
      </c>
      <c r="K5693" s="9">
        <v>23</v>
      </c>
      <c r="L5693" s="16" t="s">
        <v>26</v>
      </c>
      <c r="M5693" s="16">
        <f t="shared" si="531"/>
        <v>-0.17760342600014073</v>
      </c>
      <c r="N5693">
        <f t="shared" si="532"/>
        <v>0</v>
      </c>
      <c r="O5693">
        <f t="shared" si="533"/>
        <v>0</v>
      </c>
      <c r="P5693">
        <f t="shared" si="530"/>
        <v>4550</v>
      </c>
      <c r="Q5693">
        <f t="shared" si="534"/>
        <v>4550</v>
      </c>
      <c r="T5693" s="16">
        <f t="shared" si="535"/>
        <v>-0.17760342600014112</v>
      </c>
    </row>
    <row r="5694" spans="7:20" ht="14.4" x14ac:dyDescent="0.25">
      <c r="G5694" s="10">
        <v>8390</v>
      </c>
      <c r="H5694" s="9">
        <v>59939</v>
      </c>
      <c r="I5694" s="14">
        <f>DATE(2012,12,31)-852</f>
        <v>40422</v>
      </c>
      <c r="J5694" s="15" t="s">
        <v>16</v>
      </c>
      <c r="K5694" s="9">
        <v>42</v>
      </c>
      <c r="L5694" s="16" t="s">
        <v>26</v>
      </c>
      <c r="M5694" s="16">
        <f t="shared" si="531"/>
        <v>1.1345323297650665</v>
      </c>
      <c r="N5694">
        <f t="shared" si="532"/>
        <v>0</v>
      </c>
      <c r="O5694">
        <f t="shared" si="533"/>
        <v>0</v>
      </c>
      <c r="P5694">
        <f t="shared" si="530"/>
        <v>5500</v>
      </c>
      <c r="Q5694">
        <f t="shared" si="534"/>
        <v>5500</v>
      </c>
      <c r="T5694" s="16">
        <f t="shared" si="535"/>
        <v>1.1345323297650662</v>
      </c>
    </row>
    <row r="5695" spans="7:20" ht="14.4" x14ac:dyDescent="0.25">
      <c r="G5695" s="10">
        <v>8398</v>
      </c>
      <c r="H5695" s="9">
        <v>59973</v>
      </c>
      <c r="I5695" s="14">
        <f>DATE(2012,12,31)-412</f>
        <v>40862</v>
      </c>
      <c r="J5695" s="15" t="s">
        <v>25</v>
      </c>
      <c r="K5695" s="9">
        <v>29</v>
      </c>
      <c r="L5695" s="16" t="s">
        <v>27</v>
      </c>
      <c r="M5695" s="16">
        <f t="shared" si="531"/>
        <v>0.23675523371518786</v>
      </c>
      <c r="N5695">
        <f t="shared" si="532"/>
        <v>0</v>
      </c>
      <c r="O5695">
        <f t="shared" si="533"/>
        <v>0</v>
      </c>
      <c r="P5695">
        <f t="shared" si="530"/>
        <v>4850</v>
      </c>
      <c r="Q5695">
        <f t="shared" si="534"/>
        <v>4850</v>
      </c>
      <c r="T5695" s="16">
        <f t="shared" si="535"/>
        <v>0.2367552337151875</v>
      </c>
    </row>
    <row r="5696" spans="7:20" ht="14.4" x14ac:dyDescent="0.25">
      <c r="G5696" s="10">
        <v>8399</v>
      </c>
      <c r="H5696" s="9">
        <v>59973</v>
      </c>
      <c r="I5696" s="14">
        <f>DATE(2012,12,31)-412</f>
        <v>40862</v>
      </c>
      <c r="J5696" s="15" t="s">
        <v>25</v>
      </c>
      <c r="K5696" s="9">
        <v>30</v>
      </c>
      <c r="L5696" s="16" t="s">
        <v>29</v>
      </c>
      <c r="M5696" s="16">
        <f t="shared" si="531"/>
        <v>0.30581501033440933</v>
      </c>
      <c r="N5696">
        <f t="shared" si="532"/>
        <v>0</v>
      </c>
      <c r="O5696">
        <f t="shared" si="533"/>
        <v>0</v>
      </c>
      <c r="P5696">
        <f t="shared" si="530"/>
        <v>4900</v>
      </c>
      <c r="Q5696">
        <f t="shared" si="534"/>
        <v>4900</v>
      </c>
      <c r="T5696" s="16">
        <f t="shared" si="535"/>
        <v>0.30581501033440894</v>
      </c>
    </row>
    <row r="5697" spans="7:20" ht="14.4" x14ac:dyDescent="0.25">
      <c r="G5697" s="10">
        <v>370</v>
      </c>
      <c r="H5697" s="9">
        <v>2563</v>
      </c>
      <c r="I5697" s="14">
        <f>DATE(2012,12,31)-774</f>
        <v>40500</v>
      </c>
      <c r="J5697" s="15" t="s">
        <v>28</v>
      </c>
      <c r="K5697" s="9">
        <v>12</v>
      </c>
      <c r="L5697" s="16" t="s">
        <v>26</v>
      </c>
      <c r="M5697" s="16">
        <f t="shared" si="531"/>
        <v>-0.9372609688115765</v>
      </c>
      <c r="N5697">
        <f t="shared" si="532"/>
        <v>0</v>
      </c>
      <c r="O5697">
        <f t="shared" si="533"/>
        <v>0</v>
      </c>
      <c r="P5697">
        <f t="shared" si="530"/>
        <v>4000</v>
      </c>
      <c r="Q5697">
        <f t="shared" si="534"/>
        <v>4000</v>
      </c>
      <c r="T5697" s="16">
        <f t="shared" si="535"/>
        <v>-0.93726096881157694</v>
      </c>
    </row>
    <row r="5698" spans="7:20" ht="14.4" x14ac:dyDescent="0.25">
      <c r="G5698" s="10">
        <v>371</v>
      </c>
      <c r="H5698" s="9">
        <v>2563</v>
      </c>
      <c r="I5698" s="14">
        <f>DATE(2012,12,31)-774</f>
        <v>40500</v>
      </c>
      <c r="J5698" s="15" t="s">
        <v>28</v>
      </c>
      <c r="K5698" s="9">
        <v>33</v>
      </c>
      <c r="L5698" s="16" t="s">
        <v>26</v>
      </c>
      <c r="M5698" s="16">
        <f t="shared" si="531"/>
        <v>0.51299434019207357</v>
      </c>
      <c r="N5698">
        <f t="shared" si="532"/>
        <v>0</v>
      </c>
      <c r="O5698">
        <f t="shared" si="533"/>
        <v>0</v>
      </c>
      <c r="P5698">
        <f t="shared" si="530"/>
        <v>5050</v>
      </c>
      <c r="Q5698">
        <f t="shared" si="534"/>
        <v>5050</v>
      </c>
      <c r="T5698" s="16">
        <f t="shared" si="535"/>
        <v>0.51299434019207324</v>
      </c>
    </row>
    <row r="5699" spans="7:20" ht="14.4" x14ac:dyDescent="0.25">
      <c r="G5699" s="10">
        <v>408</v>
      </c>
      <c r="H5699" s="9">
        <v>2759</v>
      </c>
      <c r="I5699" s="14">
        <f>DATE(2012,12,31)-768</f>
        <v>40506</v>
      </c>
      <c r="J5699" s="15" t="s">
        <v>28</v>
      </c>
      <c r="K5699" s="9">
        <v>25</v>
      </c>
      <c r="L5699" s="16" t="s">
        <v>27</v>
      </c>
      <c r="M5699" s="16">
        <f t="shared" si="531"/>
        <v>-3.9483872761697868E-2</v>
      </c>
      <c r="N5699">
        <f t="shared" si="532"/>
        <v>0</v>
      </c>
      <c r="O5699">
        <f t="shared" si="533"/>
        <v>0</v>
      </c>
      <c r="P5699">
        <f t="shared" si="530"/>
        <v>4650</v>
      </c>
      <c r="Q5699">
        <f t="shared" si="534"/>
        <v>4650</v>
      </c>
      <c r="T5699" s="16">
        <f t="shared" si="535"/>
        <v>-3.9483872761698249E-2</v>
      </c>
    </row>
    <row r="5700" spans="7:20" ht="14.4" x14ac:dyDescent="0.25">
      <c r="G5700" s="10">
        <v>748</v>
      </c>
      <c r="H5700" s="9">
        <v>5350</v>
      </c>
      <c r="I5700" s="14">
        <f>DATE(2012,12,31)-814</f>
        <v>40460</v>
      </c>
      <c r="J5700" s="15" t="s">
        <v>25</v>
      </c>
      <c r="K5700" s="9">
        <v>50</v>
      </c>
      <c r="L5700" s="16" t="s">
        <v>26</v>
      </c>
      <c r="M5700" s="16">
        <f t="shared" si="531"/>
        <v>1.687010542718838</v>
      </c>
      <c r="N5700">
        <f t="shared" si="532"/>
        <v>0</v>
      </c>
      <c r="O5700">
        <f t="shared" si="533"/>
        <v>0</v>
      </c>
      <c r="P5700">
        <f t="shared" si="530"/>
        <v>5900</v>
      </c>
      <c r="Q5700">
        <f t="shared" si="534"/>
        <v>5900</v>
      </c>
      <c r="T5700" s="16">
        <f t="shared" si="535"/>
        <v>1.6870105427188375</v>
      </c>
    </row>
    <row r="5701" spans="7:20" ht="14.4" x14ac:dyDescent="0.25">
      <c r="G5701" s="10">
        <v>1361</v>
      </c>
      <c r="H5701" s="9">
        <v>9922</v>
      </c>
      <c r="I5701" s="14">
        <f>DATE(2012,12,31)-638</f>
        <v>40636</v>
      </c>
      <c r="J5701" s="15" t="s">
        <v>28</v>
      </c>
      <c r="K5701" s="9">
        <v>26</v>
      </c>
      <c r="L5701" s="16" t="s">
        <v>27</v>
      </c>
      <c r="M5701" s="16">
        <f t="shared" si="531"/>
        <v>2.9575903857523567E-2</v>
      </c>
      <c r="N5701">
        <f t="shared" si="532"/>
        <v>0</v>
      </c>
      <c r="O5701">
        <f t="shared" si="533"/>
        <v>0</v>
      </c>
      <c r="P5701">
        <f t="shared" si="530"/>
        <v>4700</v>
      </c>
      <c r="Q5701">
        <f t="shared" si="534"/>
        <v>4700</v>
      </c>
      <c r="T5701" s="16">
        <f t="shared" si="535"/>
        <v>2.9575903857523185E-2</v>
      </c>
    </row>
    <row r="5702" spans="7:20" ht="14.4" x14ac:dyDescent="0.25">
      <c r="G5702" s="10">
        <v>1362</v>
      </c>
      <c r="H5702" s="9">
        <v>9922</v>
      </c>
      <c r="I5702" s="14">
        <f>DATE(2012,12,31)-638</f>
        <v>40636</v>
      </c>
      <c r="J5702" s="15" t="s">
        <v>28</v>
      </c>
      <c r="K5702" s="9">
        <v>21</v>
      </c>
      <c r="L5702" s="16" t="s">
        <v>27</v>
      </c>
      <c r="M5702" s="16">
        <f t="shared" si="531"/>
        <v>-0.31572297923858361</v>
      </c>
      <c r="N5702">
        <f t="shared" si="532"/>
        <v>0</v>
      </c>
      <c r="O5702">
        <f t="shared" si="533"/>
        <v>0</v>
      </c>
      <c r="P5702">
        <f t="shared" si="530"/>
        <v>4450</v>
      </c>
      <c r="Q5702">
        <f t="shared" si="534"/>
        <v>4450</v>
      </c>
      <c r="T5702" s="16">
        <f t="shared" si="535"/>
        <v>-0.315722979238584</v>
      </c>
    </row>
    <row r="5703" spans="7:20" ht="14.4" x14ac:dyDescent="0.25">
      <c r="G5703" s="10">
        <v>1627</v>
      </c>
      <c r="H5703" s="9">
        <v>11777</v>
      </c>
      <c r="I5703" s="14">
        <f>DATE(2012,12,31)-1102</f>
        <v>40172</v>
      </c>
      <c r="J5703" s="15" t="s">
        <v>25</v>
      </c>
      <c r="K5703" s="9">
        <v>39</v>
      </c>
      <c r="L5703" s="16" t="s">
        <v>26</v>
      </c>
      <c r="M5703" s="16">
        <f t="shared" si="531"/>
        <v>0.92735299990740228</v>
      </c>
      <c r="N5703">
        <f t="shared" si="532"/>
        <v>0</v>
      </c>
      <c r="O5703">
        <f t="shared" si="533"/>
        <v>0</v>
      </c>
      <c r="P5703">
        <f t="shared" si="530"/>
        <v>5350</v>
      </c>
      <c r="Q5703">
        <f t="shared" si="534"/>
        <v>5350</v>
      </c>
      <c r="T5703" s="16">
        <f t="shared" si="535"/>
        <v>0.92735299990740183</v>
      </c>
    </row>
    <row r="5704" spans="7:20" ht="14.4" x14ac:dyDescent="0.25">
      <c r="G5704" s="10">
        <v>1728</v>
      </c>
      <c r="H5704" s="9">
        <v>12420</v>
      </c>
      <c r="I5704" s="14">
        <f>DATE(2012,12,31)-736</f>
        <v>40538</v>
      </c>
      <c r="J5704" s="15" t="s">
        <v>16</v>
      </c>
      <c r="K5704" s="9">
        <v>34</v>
      </c>
      <c r="L5704" s="16" t="s">
        <v>26</v>
      </c>
      <c r="M5704" s="16">
        <f t="shared" si="531"/>
        <v>0.58205411681129504</v>
      </c>
      <c r="N5704">
        <f t="shared" si="532"/>
        <v>0</v>
      </c>
      <c r="O5704">
        <f t="shared" si="533"/>
        <v>0</v>
      </c>
      <c r="P5704">
        <f t="shared" si="530"/>
        <v>5100</v>
      </c>
      <c r="Q5704">
        <f t="shared" si="534"/>
        <v>5100</v>
      </c>
      <c r="T5704" s="16">
        <f t="shared" si="535"/>
        <v>0.58205411681129471</v>
      </c>
    </row>
    <row r="5705" spans="7:20" ht="14.4" x14ac:dyDescent="0.25">
      <c r="G5705" s="10">
        <v>1729</v>
      </c>
      <c r="H5705" s="9">
        <v>12420</v>
      </c>
      <c r="I5705" s="14">
        <f>DATE(2012,12,31)-736</f>
        <v>40538</v>
      </c>
      <c r="J5705" s="15" t="s">
        <v>16</v>
      </c>
      <c r="K5705" s="9">
        <v>1</v>
      </c>
      <c r="L5705" s="16" t="s">
        <v>26</v>
      </c>
      <c r="M5705" s="16">
        <f t="shared" si="531"/>
        <v>-1.6969185116230123</v>
      </c>
      <c r="N5705">
        <f t="shared" si="532"/>
        <v>0</v>
      </c>
      <c r="O5705">
        <f t="shared" si="533"/>
        <v>0</v>
      </c>
      <c r="P5705">
        <f t="shared" si="530"/>
        <v>3450</v>
      </c>
      <c r="Q5705">
        <f t="shared" si="534"/>
        <v>3450</v>
      </c>
      <c r="T5705" s="16">
        <f t="shared" si="535"/>
        <v>-1.6969185116230128</v>
      </c>
    </row>
    <row r="5706" spans="7:20" ht="14.4" x14ac:dyDescent="0.25">
      <c r="G5706" s="10">
        <v>1757</v>
      </c>
      <c r="H5706" s="9">
        <v>12611</v>
      </c>
      <c r="I5706" s="14">
        <f>DATE(2012,12,31)-443</f>
        <v>40831</v>
      </c>
      <c r="J5706" s="15" t="s">
        <v>16</v>
      </c>
      <c r="K5706" s="9">
        <v>13</v>
      </c>
      <c r="L5706" s="16" t="s">
        <v>26</v>
      </c>
      <c r="M5706" s="16">
        <f t="shared" si="531"/>
        <v>-0.86820119219235514</v>
      </c>
      <c r="N5706">
        <f t="shared" si="532"/>
        <v>0</v>
      </c>
      <c r="O5706">
        <f t="shared" si="533"/>
        <v>0</v>
      </c>
      <c r="P5706">
        <f t="shared" si="530"/>
        <v>4050</v>
      </c>
      <c r="Q5706">
        <f t="shared" si="534"/>
        <v>4050</v>
      </c>
      <c r="T5706" s="16">
        <f t="shared" si="535"/>
        <v>-0.86820119219235548</v>
      </c>
    </row>
    <row r="5707" spans="7:20" ht="14.4" x14ac:dyDescent="0.25">
      <c r="G5707" s="10">
        <v>1769</v>
      </c>
      <c r="H5707" s="9">
        <v>12676</v>
      </c>
      <c r="I5707" s="14">
        <f>DATE(2012,12,31)-1446</f>
        <v>39828</v>
      </c>
      <c r="J5707" s="15" t="s">
        <v>17</v>
      </c>
      <c r="K5707" s="9">
        <v>25</v>
      </c>
      <c r="L5707" s="16" t="s">
        <v>29</v>
      </c>
      <c r="M5707" s="16">
        <f t="shared" si="531"/>
        <v>-3.9483872761697868E-2</v>
      </c>
      <c r="N5707">
        <f t="shared" si="532"/>
        <v>0</v>
      </c>
      <c r="O5707">
        <f t="shared" si="533"/>
        <v>0</v>
      </c>
      <c r="P5707">
        <f t="shared" si="530"/>
        <v>4650</v>
      </c>
      <c r="Q5707">
        <f t="shared" si="534"/>
        <v>4650</v>
      </c>
      <c r="T5707" s="16">
        <f t="shared" si="535"/>
        <v>-3.9483872761698249E-2</v>
      </c>
    </row>
    <row r="5708" spans="7:20" ht="14.4" x14ac:dyDescent="0.25">
      <c r="G5708" s="10">
        <v>1798</v>
      </c>
      <c r="H5708" s="9">
        <v>12871</v>
      </c>
      <c r="I5708" s="14">
        <f>DATE(2012,12,31)-454</f>
        <v>40820</v>
      </c>
      <c r="J5708" s="15" t="s">
        <v>28</v>
      </c>
      <c r="K5708" s="9">
        <v>46</v>
      </c>
      <c r="L5708" s="16" t="s">
        <v>26</v>
      </c>
      <c r="M5708" s="16">
        <f t="shared" si="531"/>
        <v>1.4107714362419523</v>
      </c>
      <c r="N5708">
        <f t="shared" si="532"/>
        <v>0</v>
      </c>
      <c r="O5708">
        <f t="shared" si="533"/>
        <v>0</v>
      </c>
      <c r="P5708">
        <f t="shared" ref="P5708:P5771" si="536">50*K5708+$P$10</f>
        <v>5700</v>
      </c>
      <c r="Q5708">
        <f t="shared" si="534"/>
        <v>5700</v>
      </c>
      <c r="T5708" s="16">
        <f t="shared" si="535"/>
        <v>1.4107714362419519</v>
      </c>
    </row>
    <row r="5709" spans="7:20" ht="14.4" x14ac:dyDescent="0.25">
      <c r="G5709" s="10">
        <v>2103</v>
      </c>
      <c r="H5709" s="9">
        <v>15040</v>
      </c>
      <c r="I5709" s="14">
        <f>DATE(2012,12,31)-1123</f>
        <v>40151</v>
      </c>
      <c r="J5709" s="15" t="s">
        <v>25</v>
      </c>
      <c r="K5709" s="9">
        <v>48</v>
      </c>
      <c r="L5709" s="16" t="s">
        <v>26</v>
      </c>
      <c r="M5709" s="16">
        <f t="shared" ref="M5709:M5772" si="537">(K5709-$K$4)/$K$7</f>
        <v>1.5488909894803951</v>
      </c>
      <c r="N5709">
        <f t="shared" ref="N5709:N5772" si="538">IF(MOD($B$20+G5709,1000)=0,1,0)</f>
        <v>0</v>
      </c>
      <c r="O5709">
        <f t="shared" ref="O5709:O5772" si="539">+ROUND(N5709*(IF(K5709&lt;$K$4,-4.5,10.5)*$P$5),-2)</f>
        <v>0</v>
      </c>
      <c r="P5709">
        <f t="shared" si="536"/>
        <v>5800</v>
      </c>
      <c r="Q5709">
        <f t="shared" ref="Q5709:Q5772" si="540">P5709+O5709</f>
        <v>5800</v>
      </c>
      <c r="T5709" s="16">
        <f t="shared" ref="T5709:T5772" si="541">(Q5709-$P$4)/$P$5</f>
        <v>1.5488909894803948</v>
      </c>
    </row>
    <row r="5710" spans="7:20" ht="14.4" x14ac:dyDescent="0.25">
      <c r="G5710" s="10">
        <v>2159</v>
      </c>
      <c r="H5710" s="9">
        <v>15491</v>
      </c>
      <c r="I5710" s="14">
        <f>DATE(2012,12,31)-348</f>
        <v>40926</v>
      </c>
      <c r="J5710" s="15" t="s">
        <v>16</v>
      </c>
      <c r="K5710" s="9">
        <v>5</v>
      </c>
      <c r="L5710" s="16" t="s">
        <v>27</v>
      </c>
      <c r="M5710" s="16">
        <f t="shared" si="537"/>
        <v>-1.4206794051461267</v>
      </c>
      <c r="N5710">
        <f t="shared" si="538"/>
        <v>0</v>
      </c>
      <c r="O5710">
        <f t="shared" si="539"/>
        <v>0</v>
      </c>
      <c r="P5710">
        <f t="shared" si="536"/>
        <v>3650</v>
      </c>
      <c r="Q5710">
        <f t="shared" si="540"/>
        <v>3650</v>
      </c>
      <c r="T5710" s="16">
        <f t="shared" si="541"/>
        <v>-1.4206794051461269</v>
      </c>
    </row>
    <row r="5711" spans="7:20" ht="14.4" x14ac:dyDescent="0.25">
      <c r="G5711" s="10">
        <v>2359</v>
      </c>
      <c r="H5711" s="9">
        <v>17028</v>
      </c>
      <c r="I5711" s="14">
        <f>DATE(2012,12,31)-1173</f>
        <v>40101</v>
      </c>
      <c r="J5711" s="15" t="s">
        <v>17</v>
      </c>
      <c r="K5711" s="9">
        <v>19</v>
      </c>
      <c r="L5711" s="16" t="s">
        <v>26</v>
      </c>
      <c r="M5711" s="16">
        <f t="shared" si="537"/>
        <v>-0.45384253247702649</v>
      </c>
      <c r="N5711">
        <f t="shared" si="538"/>
        <v>0</v>
      </c>
      <c r="O5711">
        <f t="shared" si="539"/>
        <v>0</v>
      </c>
      <c r="P5711">
        <f t="shared" si="536"/>
        <v>4350</v>
      </c>
      <c r="Q5711">
        <f t="shared" si="540"/>
        <v>4350</v>
      </c>
      <c r="T5711" s="16">
        <f t="shared" si="541"/>
        <v>-0.45384253247702688</v>
      </c>
    </row>
    <row r="5712" spans="7:20" ht="14.4" x14ac:dyDescent="0.25">
      <c r="G5712" s="10">
        <v>2458</v>
      </c>
      <c r="H5712" s="9">
        <v>17859</v>
      </c>
      <c r="I5712" s="14">
        <f>DATE(2012,12,31)-950</f>
        <v>40324</v>
      </c>
      <c r="J5712" s="15" t="s">
        <v>30</v>
      </c>
      <c r="K5712" s="9">
        <v>7</v>
      </c>
      <c r="L5712" s="16" t="s">
        <v>27</v>
      </c>
      <c r="M5712" s="16">
        <f t="shared" si="537"/>
        <v>-1.2825598519076837</v>
      </c>
      <c r="N5712">
        <f t="shared" si="538"/>
        <v>0</v>
      </c>
      <c r="O5712">
        <f t="shared" si="539"/>
        <v>0</v>
      </c>
      <c r="P5712">
        <f t="shared" si="536"/>
        <v>3750</v>
      </c>
      <c r="Q5712">
        <f t="shared" si="540"/>
        <v>3750</v>
      </c>
      <c r="T5712" s="16">
        <f t="shared" si="541"/>
        <v>-1.2825598519076842</v>
      </c>
    </row>
    <row r="5713" spans="7:20" ht="14.4" x14ac:dyDescent="0.25">
      <c r="G5713" s="10">
        <v>2524</v>
      </c>
      <c r="H5713" s="9">
        <v>18340</v>
      </c>
      <c r="I5713" s="14">
        <f>DATE(2012,12,31)-563</f>
        <v>40711</v>
      </c>
      <c r="J5713" s="15" t="s">
        <v>16</v>
      </c>
      <c r="K5713" s="9">
        <v>20</v>
      </c>
      <c r="L5713" s="16" t="s">
        <v>26</v>
      </c>
      <c r="M5713" s="16">
        <f t="shared" si="537"/>
        <v>-0.38478275585780503</v>
      </c>
      <c r="N5713">
        <f t="shared" si="538"/>
        <v>0</v>
      </c>
      <c r="O5713">
        <f t="shared" si="539"/>
        <v>0</v>
      </c>
      <c r="P5713">
        <f t="shared" si="536"/>
        <v>4400</v>
      </c>
      <c r="Q5713">
        <f t="shared" si="540"/>
        <v>4400</v>
      </c>
      <c r="T5713" s="16">
        <f t="shared" si="541"/>
        <v>-0.38478275585780541</v>
      </c>
    </row>
    <row r="5714" spans="7:20" ht="14.4" x14ac:dyDescent="0.25">
      <c r="G5714" s="10">
        <v>2525</v>
      </c>
      <c r="H5714" s="9">
        <v>18340</v>
      </c>
      <c r="I5714" s="14">
        <f>DATE(2012,12,31)-563</f>
        <v>40711</v>
      </c>
      <c r="J5714" s="15" t="s">
        <v>16</v>
      </c>
      <c r="K5714" s="9">
        <v>28</v>
      </c>
      <c r="L5714" s="16" t="s">
        <v>26</v>
      </c>
      <c r="M5714" s="16">
        <f t="shared" si="537"/>
        <v>0.16769545709596645</v>
      </c>
      <c r="N5714">
        <f t="shared" si="538"/>
        <v>0</v>
      </c>
      <c r="O5714">
        <f t="shared" si="539"/>
        <v>0</v>
      </c>
      <c r="P5714">
        <f t="shared" si="536"/>
        <v>4800</v>
      </c>
      <c r="Q5714">
        <f t="shared" si="540"/>
        <v>4800</v>
      </c>
      <c r="T5714" s="16">
        <f t="shared" si="541"/>
        <v>0.16769545709596606</v>
      </c>
    </row>
    <row r="5715" spans="7:20" ht="14.4" x14ac:dyDescent="0.25">
      <c r="G5715" s="10">
        <v>2866</v>
      </c>
      <c r="H5715" s="9">
        <v>20704</v>
      </c>
      <c r="I5715" s="14">
        <f>DATE(2012,12,31)-1055</f>
        <v>40219</v>
      </c>
      <c r="J5715" s="15" t="s">
        <v>25</v>
      </c>
      <c r="K5715" s="9">
        <v>1</v>
      </c>
      <c r="L5715" s="16" t="s">
        <v>26</v>
      </c>
      <c r="M5715" s="16">
        <f t="shared" si="537"/>
        <v>-1.6969185116230123</v>
      </c>
      <c r="N5715">
        <f t="shared" si="538"/>
        <v>0</v>
      </c>
      <c r="O5715">
        <f t="shared" si="539"/>
        <v>0</v>
      </c>
      <c r="P5715">
        <f t="shared" si="536"/>
        <v>3450</v>
      </c>
      <c r="Q5715">
        <f t="shared" si="540"/>
        <v>3450</v>
      </c>
      <c r="T5715" s="16">
        <f t="shared" si="541"/>
        <v>-1.6969185116230128</v>
      </c>
    </row>
    <row r="5716" spans="7:20" ht="14.4" x14ac:dyDescent="0.25">
      <c r="G5716" s="10">
        <v>2867</v>
      </c>
      <c r="H5716" s="9">
        <v>20704</v>
      </c>
      <c r="I5716" s="14">
        <f>DATE(2012,12,31)-1055</f>
        <v>40219</v>
      </c>
      <c r="J5716" s="15" t="s">
        <v>25</v>
      </c>
      <c r="K5716" s="9">
        <v>5</v>
      </c>
      <c r="L5716" s="16" t="s">
        <v>26</v>
      </c>
      <c r="M5716" s="16">
        <f t="shared" si="537"/>
        <v>-1.4206794051461267</v>
      </c>
      <c r="N5716">
        <f t="shared" si="538"/>
        <v>0</v>
      </c>
      <c r="O5716">
        <f t="shared" si="539"/>
        <v>0</v>
      </c>
      <c r="P5716">
        <f t="shared" si="536"/>
        <v>3650</v>
      </c>
      <c r="Q5716">
        <f t="shared" si="540"/>
        <v>3650</v>
      </c>
      <c r="T5716" s="16">
        <f t="shared" si="541"/>
        <v>-1.4206794051461269</v>
      </c>
    </row>
    <row r="5717" spans="7:20" ht="14.4" x14ac:dyDescent="0.25">
      <c r="G5717" s="10">
        <v>2868</v>
      </c>
      <c r="H5717" s="9">
        <v>20704</v>
      </c>
      <c r="I5717" s="14">
        <f>DATE(2012,12,31)-1055</f>
        <v>40219</v>
      </c>
      <c r="J5717" s="15" t="s">
        <v>25</v>
      </c>
      <c r="K5717" s="9">
        <v>38</v>
      </c>
      <c r="L5717" s="16" t="s">
        <v>26</v>
      </c>
      <c r="M5717" s="16">
        <f t="shared" si="537"/>
        <v>0.85829322328818081</v>
      </c>
      <c r="N5717">
        <f t="shared" si="538"/>
        <v>0</v>
      </c>
      <c r="O5717">
        <f t="shared" si="539"/>
        <v>0</v>
      </c>
      <c r="P5717">
        <f t="shared" si="536"/>
        <v>5300</v>
      </c>
      <c r="Q5717">
        <f t="shared" si="540"/>
        <v>5300</v>
      </c>
      <c r="T5717" s="16">
        <f t="shared" si="541"/>
        <v>0.85829322328818036</v>
      </c>
    </row>
    <row r="5718" spans="7:20" ht="14.4" x14ac:dyDescent="0.25">
      <c r="G5718" s="10">
        <v>2972</v>
      </c>
      <c r="H5718" s="9">
        <v>21477</v>
      </c>
      <c r="I5718" s="14">
        <f>DATE(2012,12,31)-590</f>
        <v>40684</v>
      </c>
      <c r="J5718" s="15" t="s">
        <v>25</v>
      </c>
      <c r="K5718" s="9">
        <v>7</v>
      </c>
      <c r="L5718" s="16" t="s">
        <v>26</v>
      </c>
      <c r="M5718" s="16">
        <f t="shared" si="537"/>
        <v>-1.2825598519076837</v>
      </c>
      <c r="N5718">
        <f t="shared" si="538"/>
        <v>0</v>
      </c>
      <c r="O5718">
        <f t="shared" si="539"/>
        <v>0</v>
      </c>
      <c r="P5718">
        <f t="shared" si="536"/>
        <v>3750</v>
      </c>
      <c r="Q5718">
        <f t="shared" si="540"/>
        <v>3750</v>
      </c>
      <c r="T5718" s="16">
        <f t="shared" si="541"/>
        <v>-1.2825598519076842</v>
      </c>
    </row>
    <row r="5719" spans="7:20" ht="14.4" x14ac:dyDescent="0.25">
      <c r="G5719" s="10">
        <v>2973</v>
      </c>
      <c r="H5719" s="9">
        <v>21477</v>
      </c>
      <c r="I5719" s="14">
        <f>DATE(2012,12,31)-590</f>
        <v>40684</v>
      </c>
      <c r="J5719" s="15" t="s">
        <v>25</v>
      </c>
      <c r="K5719" s="9">
        <v>40</v>
      </c>
      <c r="L5719" s="16" t="s">
        <v>26</v>
      </c>
      <c r="M5719" s="16">
        <f t="shared" si="537"/>
        <v>0.99641277652662363</v>
      </c>
      <c r="N5719">
        <f t="shared" si="538"/>
        <v>0</v>
      </c>
      <c r="O5719">
        <f t="shared" si="539"/>
        <v>0</v>
      </c>
      <c r="P5719">
        <f t="shared" si="536"/>
        <v>5400</v>
      </c>
      <c r="Q5719">
        <f t="shared" si="540"/>
        <v>5400</v>
      </c>
      <c r="T5719" s="16">
        <f t="shared" si="541"/>
        <v>0.9964127765266233</v>
      </c>
    </row>
    <row r="5720" spans="7:20" ht="14.4" x14ac:dyDescent="0.25">
      <c r="G5720" s="10">
        <v>2993</v>
      </c>
      <c r="H5720" s="9">
        <v>21602</v>
      </c>
      <c r="I5720" s="14">
        <f>DATE(2012,12,31)-1279</f>
        <v>39995</v>
      </c>
      <c r="J5720" s="15" t="s">
        <v>30</v>
      </c>
      <c r="K5720" s="9">
        <v>6</v>
      </c>
      <c r="L5720" s="16" t="s">
        <v>29</v>
      </c>
      <c r="M5720" s="16">
        <f t="shared" si="537"/>
        <v>-1.3516196285269051</v>
      </c>
      <c r="N5720">
        <f t="shared" si="538"/>
        <v>0</v>
      </c>
      <c r="O5720">
        <f t="shared" si="539"/>
        <v>0</v>
      </c>
      <c r="P5720">
        <f t="shared" si="536"/>
        <v>3700</v>
      </c>
      <c r="Q5720">
        <f t="shared" si="540"/>
        <v>3700</v>
      </c>
      <c r="T5720" s="16">
        <f t="shared" si="541"/>
        <v>-1.3516196285269055</v>
      </c>
    </row>
    <row r="5721" spans="7:20" ht="14.4" x14ac:dyDescent="0.25">
      <c r="G5721" s="10">
        <v>3616</v>
      </c>
      <c r="H5721" s="9">
        <v>25828</v>
      </c>
      <c r="I5721" s="14">
        <f>DATE(2012,12,31)-769</f>
        <v>40505</v>
      </c>
      <c r="J5721" s="15" t="s">
        <v>28</v>
      </c>
      <c r="K5721" s="9">
        <v>29</v>
      </c>
      <c r="L5721" s="16" t="s">
        <v>26</v>
      </c>
      <c r="M5721" s="16">
        <f t="shared" si="537"/>
        <v>0.23675523371518786</v>
      </c>
      <c r="N5721">
        <f t="shared" si="538"/>
        <v>0</v>
      </c>
      <c r="O5721">
        <f t="shared" si="539"/>
        <v>0</v>
      </c>
      <c r="P5721">
        <f t="shared" si="536"/>
        <v>4850</v>
      </c>
      <c r="Q5721">
        <f t="shared" si="540"/>
        <v>4850</v>
      </c>
      <c r="T5721" s="16">
        <f t="shared" si="541"/>
        <v>0.2367552337151875</v>
      </c>
    </row>
    <row r="5722" spans="7:20" ht="14.4" x14ac:dyDescent="0.25">
      <c r="G5722" s="10">
        <v>3617</v>
      </c>
      <c r="H5722" s="9">
        <v>25828</v>
      </c>
      <c r="I5722" s="14">
        <f>DATE(2012,12,31)-769</f>
        <v>40505</v>
      </c>
      <c r="J5722" s="15" t="s">
        <v>28</v>
      </c>
      <c r="K5722" s="9">
        <v>31</v>
      </c>
      <c r="L5722" s="16" t="s">
        <v>29</v>
      </c>
      <c r="M5722" s="16">
        <f t="shared" si="537"/>
        <v>0.37487478695363075</v>
      </c>
      <c r="N5722">
        <f t="shared" si="538"/>
        <v>0</v>
      </c>
      <c r="O5722">
        <f t="shared" si="539"/>
        <v>0</v>
      </c>
      <c r="P5722">
        <f t="shared" si="536"/>
        <v>4950</v>
      </c>
      <c r="Q5722">
        <f t="shared" si="540"/>
        <v>4950</v>
      </c>
      <c r="T5722" s="16">
        <f t="shared" si="541"/>
        <v>0.37487478695363036</v>
      </c>
    </row>
    <row r="5723" spans="7:20" ht="14.4" x14ac:dyDescent="0.25">
      <c r="G5723" s="10">
        <v>3746</v>
      </c>
      <c r="H5723" s="9">
        <v>26758</v>
      </c>
      <c r="I5723" s="14">
        <f>DATE(2012,12,31)-1318</f>
        <v>39956</v>
      </c>
      <c r="J5723" s="15" t="s">
        <v>28</v>
      </c>
      <c r="K5723" s="9">
        <v>46</v>
      </c>
      <c r="L5723" s="16" t="s">
        <v>27</v>
      </c>
      <c r="M5723" s="16">
        <f t="shared" si="537"/>
        <v>1.4107714362419523</v>
      </c>
      <c r="N5723">
        <f t="shared" si="538"/>
        <v>0</v>
      </c>
      <c r="O5723">
        <f t="shared" si="539"/>
        <v>0</v>
      </c>
      <c r="P5723">
        <f t="shared" si="536"/>
        <v>5700</v>
      </c>
      <c r="Q5723">
        <f t="shared" si="540"/>
        <v>5700</v>
      </c>
      <c r="T5723" s="16">
        <f t="shared" si="541"/>
        <v>1.4107714362419519</v>
      </c>
    </row>
    <row r="5724" spans="7:20" ht="14.4" x14ac:dyDescent="0.25">
      <c r="G5724" s="10">
        <v>3747</v>
      </c>
      <c r="H5724" s="9">
        <v>26758</v>
      </c>
      <c r="I5724" s="14">
        <f>DATE(2012,12,31)-1318</f>
        <v>39956</v>
      </c>
      <c r="J5724" s="15" t="s">
        <v>28</v>
      </c>
      <c r="K5724" s="9">
        <v>37</v>
      </c>
      <c r="L5724" s="16" t="s">
        <v>26</v>
      </c>
      <c r="M5724" s="16">
        <f t="shared" si="537"/>
        <v>0.78923344666895934</v>
      </c>
      <c r="N5724">
        <f t="shared" si="538"/>
        <v>0</v>
      </c>
      <c r="O5724">
        <f t="shared" si="539"/>
        <v>0</v>
      </c>
      <c r="P5724">
        <f t="shared" si="536"/>
        <v>5250</v>
      </c>
      <c r="Q5724">
        <f t="shared" si="540"/>
        <v>5250</v>
      </c>
      <c r="T5724" s="16">
        <f t="shared" si="541"/>
        <v>0.789233446668959</v>
      </c>
    </row>
    <row r="5725" spans="7:20" ht="14.4" x14ac:dyDescent="0.25">
      <c r="G5725" s="10">
        <v>3966</v>
      </c>
      <c r="H5725" s="9">
        <v>28291</v>
      </c>
      <c r="I5725" s="14">
        <f>DATE(2012,12,31)-1398</f>
        <v>39876</v>
      </c>
      <c r="J5725" s="15" t="s">
        <v>30</v>
      </c>
      <c r="K5725" s="9">
        <v>14</v>
      </c>
      <c r="L5725" s="16" t="s">
        <v>29</v>
      </c>
      <c r="M5725" s="16">
        <f t="shared" si="537"/>
        <v>-0.79914141557313367</v>
      </c>
      <c r="N5725">
        <f t="shared" si="538"/>
        <v>0</v>
      </c>
      <c r="O5725">
        <f t="shared" si="539"/>
        <v>0</v>
      </c>
      <c r="P5725">
        <f t="shared" si="536"/>
        <v>4100</v>
      </c>
      <c r="Q5725">
        <f t="shared" si="540"/>
        <v>4100</v>
      </c>
      <c r="T5725" s="16">
        <f t="shared" si="541"/>
        <v>-0.79914141557313401</v>
      </c>
    </row>
    <row r="5726" spans="7:20" ht="14.4" x14ac:dyDescent="0.25">
      <c r="G5726" s="10">
        <v>3986</v>
      </c>
      <c r="H5726" s="9">
        <v>28455</v>
      </c>
      <c r="I5726" s="14">
        <f>DATE(2012,12,31)-946</f>
        <v>40328</v>
      </c>
      <c r="J5726" s="15" t="s">
        <v>16</v>
      </c>
      <c r="K5726" s="9">
        <v>12</v>
      </c>
      <c r="L5726" s="16" t="s">
        <v>27</v>
      </c>
      <c r="M5726" s="16">
        <f t="shared" si="537"/>
        <v>-0.9372609688115765</v>
      </c>
      <c r="N5726">
        <f t="shared" si="538"/>
        <v>0</v>
      </c>
      <c r="O5726">
        <f t="shared" si="539"/>
        <v>0</v>
      </c>
      <c r="P5726">
        <f t="shared" si="536"/>
        <v>4000</v>
      </c>
      <c r="Q5726">
        <f t="shared" si="540"/>
        <v>4000</v>
      </c>
      <c r="T5726" s="16">
        <f t="shared" si="541"/>
        <v>-0.93726096881157694</v>
      </c>
    </row>
    <row r="5727" spans="7:20" ht="14.4" x14ac:dyDescent="0.25">
      <c r="G5727" s="10">
        <v>3987</v>
      </c>
      <c r="H5727" s="9">
        <v>28455</v>
      </c>
      <c r="I5727" s="14">
        <f>DATE(2012,12,31)-946</f>
        <v>40328</v>
      </c>
      <c r="J5727" s="15" t="s">
        <v>16</v>
      </c>
      <c r="K5727" s="9">
        <v>37</v>
      </c>
      <c r="L5727" s="16" t="s">
        <v>27</v>
      </c>
      <c r="M5727" s="16">
        <f t="shared" si="537"/>
        <v>0.78923344666895934</v>
      </c>
      <c r="N5727">
        <f t="shared" si="538"/>
        <v>0</v>
      </c>
      <c r="O5727">
        <f t="shared" si="539"/>
        <v>0</v>
      </c>
      <c r="P5727">
        <f t="shared" si="536"/>
        <v>5250</v>
      </c>
      <c r="Q5727">
        <f t="shared" si="540"/>
        <v>5250</v>
      </c>
      <c r="T5727" s="16">
        <f t="shared" si="541"/>
        <v>0.789233446668959</v>
      </c>
    </row>
    <row r="5728" spans="7:20" ht="14.4" x14ac:dyDescent="0.25">
      <c r="G5728" s="10">
        <v>4069</v>
      </c>
      <c r="H5728" s="9">
        <v>28963</v>
      </c>
      <c r="I5728" s="14">
        <f>DATE(2012,12,31)-393</f>
        <v>40881</v>
      </c>
      <c r="J5728" s="15" t="s">
        <v>28</v>
      </c>
      <c r="K5728" s="9">
        <v>37</v>
      </c>
      <c r="L5728" s="16" t="s">
        <v>27</v>
      </c>
      <c r="M5728" s="16">
        <f t="shared" si="537"/>
        <v>0.78923344666895934</v>
      </c>
      <c r="N5728">
        <f t="shared" si="538"/>
        <v>0</v>
      </c>
      <c r="O5728">
        <f t="shared" si="539"/>
        <v>0</v>
      </c>
      <c r="P5728">
        <f t="shared" si="536"/>
        <v>5250</v>
      </c>
      <c r="Q5728">
        <f t="shared" si="540"/>
        <v>5250</v>
      </c>
      <c r="T5728" s="16">
        <f t="shared" si="541"/>
        <v>0.789233446668959</v>
      </c>
    </row>
    <row r="5729" spans="7:20" ht="14.4" x14ac:dyDescent="0.25">
      <c r="G5729" s="10">
        <v>4100</v>
      </c>
      <c r="H5729" s="9">
        <v>29216</v>
      </c>
      <c r="I5729" s="14">
        <f>DATE(2012,12,31)-2</f>
        <v>41272</v>
      </c>
      <c r="J5729" s="15" t="s">
        <v>30</v>
      </c>
      <c r="K5729" s="9">
        <v>46</v>
      </c>
      <c r="L5729" s="16" t="s">
        <v>27</v>
      </c>
      <c r="M5729" s="16">
        <f t="shared" si="537"/>
        <v>1.4107714362419523</v>
      </c>
      <c r="N5729">
        <f t="shared" si="538"/>
        <v>0</v>
      </c>
      <c r="O5729">
        <f t="shared" si="539"/>
        <v>0</v>
      </c>
      <c r="P5729">
        <f t="shared" si="536"/>
        <v>5700</v>
      </c>
      <c r="Q5729">
        <f t="shared" si="540"/>
        <v>5700</v>
      </c>
      <c r="T5729" s="16">
        <f t="shared" si="541"/>
        <v>1.4107714362419519</v>
      </c>
    </row>
    <row r="5730" spans="7:20" ht="14.4" x14ac:dyDescent="0.25">
      <c r="G5730" s="10">
        <v>4101</v>
      </c>
      <c r="H5730" s="9">
        <v>29216</v>
      </c>
      <c r="I5730" s="14">
        <f>DATE(2012,12,31)-2</f>
        <v>41272</v>
      </c>
      <c r="J5730" s="15" t="s">
        <v>30</v>
      </c>
      <c r="K5730" s="9">
        <v>17</v>
      </c>
      <c r="L5730" s="16" t="s">
        <v>29</v>
      </c>
      <c r="M5730" s="16">
        <f t="shared" si="537"/>
        <v>-0.59196208571546938</v>
      </c>
      <c r="N5730">
        <f t="shared" si="538"/>
        <v>0</v>
      </c>
      <c r="O5730">
        <f t="shared" si="539"/>
        <v>0</v>
      </c>
      <c r="P5730">
        <f t="shared" si="536"/>
        <v>4250</v>
      </c>
      <c r="Q5730">
        <f t="shared" si="540"/>
        <v>4250</v>
      </c>
      <c r="T5730" s="16">
        <f t="shared" si="541"/>
        <v>-0.59196208571546971</v>
      </c>
    </row>
    <row r="5731" spans="7:20" ht="14.4" x14ac:dyDescent="0.25">
      <c r="G5731" s="10">
        <v>4274</v>
      </c>
      <c r="H5731" s="9">
        <v>30405</v>
      </c>
      <c r="I5731" s="14">
        <f>DATE(2012,12,31)-247</f>
        <v>41027</v>
      </c>
      <c r="J5731" s="15" t="s">
        <v>25</v>
      </c>
      <c r="K5731" s="9">
        <v>7</v>
      </c>
      <c r="L5731" s="16" t="s">
        <v>29</v>
      </c>
      <c r="M5731" s="16">
        <f t="shared" si="537"/>
        <v>-1.2825598519076837</v>
      </c>
      <c r="N5731">
        <f t="shared" si="538"/>
        <v>0</v>
      </c>
      <c r="O5731">
        <f t="shared" si="539"/>
        <v>0</v>
      </c>
      <c r="P5731">
        <f t="shared" si="536"/>
        <v>3750</v>
      </c>
      <c r="Q5731">
        <f t="shared" si="540"/>
        <v>3750</v>
      </c>
      <c r="T5731" s="16">
        <f t="shared" si="541"/>
        <v>-1.2825598519076842</v>
      </c>
    </row>
    <row r="5732" spans="7:20" ht="14.4" x14ac:dyDescent="0.25">
      <c r="G5732" s="10">
        <v>4348</v>
      </c>
      <c r="H5732" s="9">
        <v>30976</v>
      </c>
      <c r="I5732" s="14">
        <f>DATE(2012,12,31)-68</f>
        <v>41206</v>
      </c>
      <c r="J5732" s="15" t="s">
        <v>17</v>
      </c>
      <c r="K5732" s="9">
        <v>10</v>
      </c>
      <c r="L5732" s="16" t="s">
        <v>27</v>
      </c>
      <c r="M5732" s="16">
        <f t="shared" si="537"/>
        <v>-1.0753805220500194</v>
      </c>
      <c r="N5732">
        <f t="shared" si="538"/>
        <v>0</v>
      </c>
      <c r="O5732">
        <f t="shared" si="539"/>
        <v>0</v>
      </c>
      <c r="P5732">
        <f t="shared" si="536"/>
        <v>3900</v>
      </c>
      <c r="Q5732">
        <f t="shared" si="540"/>
        <v>3900</v>
      </c>
      <c r="T5732" s="16">
        <f t="shared" si="541"/>
        <v>-1.0753805220500199</v>
      </c>
    </row>
    <row r="5733" spans="7:20" ht="14.4" x14ac:dyDescent="0.25">
      <c r="G5733" s="10">
        <v>4667</v>
      </c>
      <c r="H5733" s="9">
        <v>33220</v>
      </c>
      <c r="I5733" s="14">
        <f>DATE(2012,12,31)-1356</f>
        <v>39918</v>
      </c>
      <c r="J5733" s="15" t="s">
        <v>28</v>
      </c>
      <c r="K5733" s="9">
        <v>49</v>
      </c>
      <c r="L5733" s="16" t="s">
        <v>26</v>
      </c>
      <c r="M5733" s="16">
        <f t="shared" si="537"/>
        <v>1.6179507660996166</v>
      </c>
      <c r="N5733">
        <f t="shared" si="538"/>
        <v>0</v>
      </c>
      <c r="O5733">
        <f t="shared" si="539"/>
        <v>0</v>
      </c>
      <c r="P5733">
        <f t="shared" si="536"/>
        <v>5850</v>
      </c>
      <c r="Q5733">
        <f t="shared" si="540"/>
        <v>5850</v>
      </c>
      <c r="T5733" s="16">
        <f t="shared" si="541"/>
        <v>1.6179507660996162</v>
      </c>
    </row>
    <row r="5734" spans="7:20" ht="14.4" x14ac:dyDescent="0.25">
      <c r="G5734" s="10">
        <v>4668</v>
      </c>
      <c r="H5734" s="9">
        <v>33220</v>
      </c>
      <c r="I5734" s="14">
        <f>DATE(2012,12,31)-1356</f>
        <v>39918</v>
      </c>
      <c r="J5734" s="15" t="s">
        <v>28</v>
      </c>
      <c r="K5734" s="9">
        <v>40</v>
      </c>
      <c r="L5734" s="16" t="s">
        <v>29</v>
      </c>
      <c r="M5734" s="16">
        <f t="shared" si="537"/>
        <v>0.99641277652662363</v>
      </c>
      <c r="N5734">
        <f t="shared" si="538"/>
        <v>0</v>
      </c>
      <c r="O5734">
        <f t="shared" si="539"/>
        <v>0</v>
      </c>
      <c r="P5734">
        <f t="shared" si="536"/>
        <v>5400</v>
      </c>
      <c r="Q5734">
        <f t="shared" si="540"/>
        <v>5400</v>
      </c>
      <c r="T5734" s="16">
        <f t="shared" si="541"/>
        <v>0.9964127765266233</v>
      </c>
    </row>
    <row r="5735" spans="7:20" ht="14.4" x14ac:dyDescent="0.25">
      <c r="G5735" s="10">
        <v>4736</v>
      </c>
      <c r="H5735" s="9">
        <v>33701</v>
      </c>
      <c r="I5735" s="14">
        <f>DATE(2012,12,31)-1187</f>
        <v>40087</v>
      </c>
      <c r="J5735" s="15" t="s">
        <v>16</v>
      </c>
      <c r="K5735" s="9">
        <v>35</v>
      </c>
      <c r="L5735" s="16" t="s">
        <v>26</v>
      </c>
      <c r="M5735" s="16">
        <f t="shared" si="537"/>
        <v>0.65111389343051651</v>
      </c>
      <c r="N5735">
        <f t="shared" si="538"/>
        <v>0</v>
      </c>
      <c r="O5735">
        <f t="shared" si="539"/>
        <v>0</v>
      </c>
      <c r="P5735">
        <f t="shared" si="536"/>
        <v>5150</v>
      </c>
      <c r="Q5735">
        <f t="shared" si="540"/>
        <v>5150</v>
      </c>
      <c r="T5735" s="16">
        <f t="shared" si="541"/>
        <v>0.65111389343051607</v>
      </c>
    </row>
    <row r="5736" spans="7:20" ht="14.4" x14ac:dyDescent="0.25">
      <c r="G5736" s="10">
        <v>4752</v>
      </c>
      <c r="H5736" s="9">
        <v>33793</v>
      </c>
      <c r="I5736" s="14">
        <f>DATE(2012,12,31)-187</f>
        <v>41087</v>
      </c>
      <c r="J5736" s="15" t="s">
        <v>30</v>
      </c>
      <c r="K5736" s="9">
        <v>17</v>
      </c>
      <c r="L5736" s="16" t="s">
        <v>26</v>
      </c>
      <c r="M5736" s="16">
        <f t="shared" si="537"/>
        <v>-0.59196208571546938</v>
      </c>
      <c r="N5736">
        <f t="shared" si="538"/>
        <v>0</v>
      </c>
      <c r="O5736">
        <f t="shared" si="539"/>
        <v>0</v>
      </c>
      <c r="P5736">
        <f t="shared" si="536"/>
        <v>4250</v>
      </c>
      <c r="Q5736">
        <f t="shared" si="540"/>
        <v>4250</v>
      </c>
      <c r="T5736" s="16">
        <f t="shared" si="541"/>
        <v>-0.59196208571546971</v>
      </c>
    </row>
    <row r="5737" spans="7:20" ht="14.4" x14ac:dyDescent="0.25">
      <c r="G5737" s="10">
        <v>4850</v>
      </c>
      <c r="H5737" s="9">
        <v>34499</v>
      </c>
      <c r="I5737" s="14">
        <f>DATE(2012,12,31)-897</f>
        <v>40377</v>
      </c>
      <c r="J5737" s="15" t="s">
        <v>16</v>
      </c>
      <c r="K5737" s="9">
        <v>2</v>
      </c>
      <c r="L5737" s="16" t="s">
        <v>29</v>
      </c>
      <c r="M5737" s="16">
        <f t="shared" si="537"/>
        <v>-1.627858735003791</v>
      </c>
      <c r="N5737">
        <f t="shared" si="538"/>
        <v>0</v>
      </c>
      <c r="O5737">
        <f t="shared" si="539"/>
        <v>0</v>
      </c>
      <c r="P5737">
        <f t="shared" si="536"/>
        <v>3500</v>
      </c>
      <c r="Q5737">
        <f t="shared" si="540"/>
        <v>3500</v>
      </c>
      <c r="T5737" s="16">
        <f t="shared" si="541"/>
        <v>-1.6278587350037912</v>
      </c>
    </row>
    <row r="5738" spans="7:20" ht="14.4" x14ac:dyDescent="0.25">
      <c r="G5738" s="10">
        <v>4920</v>
      </c>
      <c r="H5738" s="9">
        <v>35040</v>
      </c>
      <c r="I5738" s="14">
        <f>DATE(2012,12,31)-257</f>
        <v>41017</v>
      </c>
      <c r="J5738" s="15" t="s">
        <v>28</v>
      </c>
      <c r="K5738" s="9">
        <v>44</v>
      </c>
      <c r="L5738" s="16" t="s">
        <v>26</v>
      </c>
      <c r="M5738" s="16">
        <f t="shared" si="537"/>
        <v>1.2726518830035094</v>
      </c>
      <c r="N5738">
        <f t="shared" si="538"/>
        <v>0</v>
      </c>
      <c r="O5738">
        <f t="shared" si="539"/>
        <v>0</v>
      </c>
      <c r="P5738">
        <f t="shared" si="536"/>
        <v>5600</v>
      </c>
      <c r="Q5738">
        <f t="shared" si="540"/>
        <v>5600</v>
      </c>
      <c r="T5738" s="16">
        <f t="shared" si="541"/>
        <v>1.272651883003509</v>
      </c>
    </row>
    <row r="5739" spans="7:20" ht="14.4" x14ac:dyDescent="0.25">
      <c r="G5739" s="10">
        <v>4951</v>
      </c>
      <c r="H5739" s="9">
        <v>35238</v>
      </c>
      <c r="I5739" s="14">
        <f>DATE(2012,12,31)-613</f>
        <v>40661</v>
      </c>
      <c r="J5739" s="15" t="s">
        <v>25</v>
      </c>
      <c r="K5739" s="9">
        <v>27</v>
      </c>
      <c r="L5739" s="16" t="s">
        <v>27</v>
      </c>
      <c r="M5739" s="16">
        <f t="shared" si="537"/>
        <v>9.8635680476745008E-2</v>
      </c>
      <c r="N5739">
        <f t="shared" si="538"/>
        <v>0</v>
      </c>
      <c r="O5739">
        <f t="shared" si="539"/>
        <v>0</v>
      </c>
      <c r="P5739">
        <f t="shared" si="536"/>
        <v>4750</v>
      </c>
      <c r="Q5739">
        <f t="shared" si="540"/>
        <v>4750</v>
      </c>
      <c r="T5739" s="16">
        <f t="shared" si="541"/>
        <v>9.8635680476744619E-2</v>
      </c>
    </row>
    <row r="5740" spans="7:20" ht="14.4" x14ac:dyDescent="0.25">
      <c r="G5740" s="10">
        <v>4976</v>
      </c>
      <c r="H5740" s="9">
        <v>35399</v>
      </c>
      <c r="I5740" s="14">
        <f>DATE(2012,12,31)-710</f>
        <v>40564</v>
      </c>
      <c r="J5740" s="15" t="s">
        <v>25</v>
      </c>
      <c r="K5740" s="9">
        <v>38</v>
      </c>
      <c r="L5740" s="16" t="s">
        <v>26</v>
      </c>
      <c r="M5740" s="16">
        <f t="shared" si="537"/>
        <v>0.85829322328818081</v>
      </c>
      <c r="N5740">
        <f t="shared" si="538"/>
        <v>0</v>
      </c>
      <c r="O5740">
        <f t="shared" si="539"/>
        <v>0</v>
      </c>
      <c r="P5740">
        <f t="shared" si="536"/>
        <v>5300</v>
      </c>
      <c r="Q5740">
        <f t="shared" si="540"/>
        <v>5300</v>
      </c>
      <c r="T5740" s="16">
        <f t="shared" si="541"/>
        <v>0.85829322328818036</v>
      </c>
    </row>
    <row r="5741" spans="7:20" ht="14.4" x14ac:dyDescent="0.25">
      <c r="G5741" s="10">
        <v>5039</v>
      </c>
      <c r="H5741" s="9">
        <v>35910</v>
      </c>
      <c r="I5741" s="14">
        <f>DATE(2012,12,31)-768</f>
        <v>40506</v>
      </c>
      <c r="J5741" s="15" t="s">
        <v>17</v>
      </c>
      <c r="K5741" s="9">
        <v>28</v>
      </c>
      <c r="L5741" s="16" t="s">
        <v>27</v>
      </c>
      <c r="M5741" s="16">
        <f t="shared" si="537"/>
        <v>0.16769545709596645</v>
      </c>
      <c r="N5741">
        <f t="shared" si="538"/>
        <v>0</v>
      </c>
      <c r="O5741">
        <f t="shared" si="539"/>
        <v>0</v>
      </c>
      <c r="P5741">
        <f t="shared" si="536"/>
        <v>4800</v>
      </c>
      <c r="Q5741">
        <f t="shared" si="540"/>
        <v>4800</v>
      </c>
      <c r="T5741" s="16">
        <f t="shared" si="541"/>
        <v>0.16769545709596606</v>
      </c>
    </row>
    <row r="5742" spans="7:20" ht="14.4" x14ac:dyDescent="0.25">
      <c r="G5742" s="10">
        <v>5040</v>
      </c>
      <c r="H5742" s="9">
        <v>35910</v>
      </c>
      <c r="I5742" s="14">
        <f>DATE(2012,12,31)-768</f>
        <v>40506</v>
      </c>
      <c r="J5742" s="15" t="s">
        <v>17</v>
      </c>
      <c r="K5742" s="9">
        <v>25</v>
      </c>
      <c r="L5742" s="16" t="s">
        <v>26</v>
      </c>
      <c r="M5742" s="16">
        <f t="shared" si="537"/>
        <v>-3.9483872761697868E-2</v>
      </c>
      <c r="N5742">
        <f t="shared" si="538"/>
        <v>0</v>
      </c>
      <c r="O5742">
        <f t="shared" si="539"/>
        <v>0</v>
      </c>
      <c r="P5742">
        <f t="shared" si="536"/>
        <v>4650</v>
      </c>
      <c r="Q5742">
        <f t="shared" si="540"/>
        <v>4650</v>
      </c>
      <c r="T5742" s="16">
        <f t="shared" si="541"/>
        <v>-3.9483872761698249E-2</v>
      </c>
    </row>
    <row r="5743" spans="7:20" ht="14.4" x14ac:dyDescent="0.25">
      <c r="G5743" s="10">
        <v>5041</v>
      </c>
      <c r="H5743" s="9">
        <v>35910</v>
      </c>
      <c r="I5743" s="14">
        <f>DATE(2012,12,31)-768</f>
        <v>40506</v>
      </c>
      <c r="J5743" s="15" t="s">
        <v>17</v>
      </c>
      <c r="K5743" s="9">
        <v>36</v>
      </c>
      <c r="L5743" s="16" t="s">
        <v>27</v>
      </c>
      <c r="M5743" s="16">
        <f t="shared" si="537"/>
        <v>0.72017367004973787</v>
      </c>
      <c r="N5743">
        <f t="shared" si="538"/>
        <v>0</v>
      </c>
      <c r="O5743">
        <f t="shared" si="539"/>
        <v>0</v>
      </c>
      <c r="P5743">
        <f t="shared" si="536"/>
        <v>5200</v>
      </c>
      <c r="Q5743">
        <f t="shared" si="540"/>
        <v>5200</v>
      </c>
      <c r="T5743" s="16">
        <f t="shared" si="541"/>
        <v>0.72017367004973754</v>
      </c>
    </row>
    <row r="5744" spans="7:20" ht="14.4" x14ac:dyDescent="0.25">
      <c r="G5744" s="10">
        <v>5363</v>
      </c>
      <c r="H5744" s="9">
        <v>38118</v>
      </c>
      <c r="I5744" s="14">
        <f>DATE(2012,12,31)-623</f>
        <v>40651</v>
      </c>
      <c r="J5744" s="15" t="s">
        <v>28</v>
      </c>
      <c r="K5744" s="9">
        <v>7</v>
      </c>
      <c r="L5744" s="16" t="s">
        <v>27</v>
      </c>
      <c r="M5744" s="16">
        <f t="shared" si="537"/>
        <v>-1.2825598519076837</v>
      </c>
      <c r="N5744">
        <f t="shared" si="538"/>
        <v>0</v>
      </c>
      <c r="O5744">
        <f t="shared" si="539"/>
        <v>0</v>
      </c>
      <c r="P5744">
        <f t="shared" si="536"/>
        <v>3750</v>
      </c>
      <c r="Q5744">
        <f t="shared" si="540"/>
        <v>3750</v>
      </c>
      <c r="T5744" s="16">
        <f t="shared" si="541"/>
        <v>-1.2825598519076842</v>
      </c>
    </row>
    <row r="5745" spans="7:20" ht="14.4" x14ac:dyDescent="0.25">
      <c r="G5745" s="10">
        <v>6050</v>
      </c>
      <c r="H5745" s="9">
        <v>42886</v>
      </c>
      <c r="I5745" s="14">
        <f>DATE(2012,12,31)-358</f>
        <v>40916</v>
      </c>
      <c r="J5745" s="15" t="s">
        <v>16</v>
      </c>
      <c r="K5745" s="9">
        <v>42</v>
      </c>
      <c r="L5745" s="16" t="s">
        <v>26</v>
      </c>
      <c r="M5745" s="16">
        <f t="shared" si="537"/>
        <v>1.1345323297650665</v>
      </c>
      <c r="N5745">
        <f t="shared" si="538"/>
        <v>0</v>
      </c>
      <c r="O5745">
        <f t="shared" si="539"/>
        <v>0</v>
      </c>
      <c r="P5745">
        <f t="shared" si="536"/>
        <v>5500</v>
      </c>
      <c r="Q5745">
        <f t="shared" si="540"/>
        <v>5500</v>
      </c>
      <c r="T5745" s="16">
        <f t="shared" si="541"/>
        <v>1.1345323297650662</v>
      </c>
    </row>
    <row r="5746" spans="7:20" ht="14.4" x14ac:dyDescent="0.25">
      <c r="G5746" s="10">
        <v>6158</v>
      </c>
      <c r="H5746" s="9">
        <v>43620</v>
      </c>
      <c r="I5746" s="14">
        <f>DATE(2012,12,31)-1444</f>
        <v>39830</v>
      </c>
      <c r="J5746" s="15" t="s">
        <v>16</v>
      </c>
      <c r="K5746" s="9">
        <v>13</v>
      </c>
      <c r="L5746" s="16" t="s">
        <v>26</v>
      </c>
      <c r="M5746" s="16">
        <f t="shared" si="537"/>
        <v>-0.86820119219235514</v>
      </c>
      <c r="N5746">
        <f t="shared" si="538"/>
        <v>0</v>
      </c>
      <c r="O5746">
        <f t="shared" si="539"/>
        <v>0</v>
      </c>
      <c r="P5746">
        <f t="shared" si="536"/>
        <v>4050</v>
      </c>
      <c r="Q5746">
        <f t="shared" si="540"/>
        <v>4050</v>
      </c>
      <c r="T5746" s="16">
        <f t="shared" si="541"/>
        <v>-0.86820119219235548</v>
      </c>
    </row>
    <row r="5747" spans="7:20" ht="14.4" x14ac:dyDescent="0.25">
      <c r="G5747" s="10">
        <v>6159</v>
      </c>
      <c r="H5747" s="9">
        <v>43620</v>
      </c>
      <c r="I5747" s="14">
        <f>DATE(2012,12,31)-1444</f>
        <v>39830</v>
      </c>
      <c r="J5747" s="15" t="s">
        <v>16</v>
      </c>
      <c r="K5747" s="9">
        <v>11</v>
      </c>
      <c r="L5747" s="16" t="s">
        <v>26</v>
      </c>
      <c r="M5747" s="16">
        <f t="shared" si="537"/>
        <v>-1.0063207454307979</v>
      </c>
      <c r="N5747">
        <f t="shared" si="538"/>
        <v>0</v>
      </c>
      <c r="O5747">
        <f t="shared" si="539"/>
        <v>0</v>
      </c>
      <c r="P5747">
        <f t="shared" si="536"/>
        <v>3950</v>
      </c>
      <c r="Q5747">
        <f t="shared" si="540"/>
        <v>3950</v>
      </c>
      <c r="T5747" s="16">
        <f t="shared" si="541"/>
        <v>-1.0063207454307983</v>
      </c>
    </row>
    <row r="5748" spans="7:20" ht="14.4" x14ac:dyDescent="0.25">
      <c r="G5748" s="10">
        <v>6203</v>
      </c>
      <c r="H5748" s="9">
        <v>43936</v>
      </c>
      <c r="I5748" s="14">
        <f>DATE(2012,12,31)-1024</f>
        <v>40250</v>
      </c>
      <c r="J5748" s="15" t="s">
        <v>30</v>
      </c>
      <c r="K5748" s="9">
        <v>42</v>
      </c>
      <c r="L5748" s="16" t="s">
        <v>26</v>
      </c>
      <c r="M5748" s="16">
        <f t="shared" si="537"/>
        <v>1.1345323297650665</v>
      </c>
      <c r="N5748">
        <f t="shared" si="538"/>
        <v>0</v>
      </c>
      <c r="O5748">
        <f t="shared" si="539"/>
        <v>0</v>
      </c>
      <c r="P5748">
        <f t="shared" si="536"/>
        <v>5500</v>
      </c>
      <c r="Q5748">
        <f t="shared" si="540"/>
        <v>5500</v>
      </c>
      <c r="T5748" s="16">
        <f t="shared" si="541"/>
        <v>1.1345323297650662</v>
      </c>
    </row>
    <row r="5749" spans="7:20" ht="14.4" x14ac:dyDescent="0.25">
      <c r="G5749" s="10">
        <v>6463</v>
      </c>
      <c r="H5749" s="9">
        <v>46018</v>
      </c>
      <c r="I5749" s="14">
        <f>DATE(2012,12,31)-1238</f>
        <v>40036</v>
      </c>
      <c r="J5749" s="15" t="s">
        <v>16</v>
      </c>
      <c r="K5749" s="9">
        <v>31</v>
      </c>
      <c r="L5749" s="16" t="s">
        <v>27</v>
      </c>
      <c r="M5749" s="16">
        <f t="shared" si="537"/>
        <v>0.37487478695363075</v>
      </c>
      <c r="N5749">
        <f t="shared" si="538"/>
        <v>0</v>
      </c>
      <c r="O5749">
        <f t="shared" si="539"/>
        <v>0</v>
      </c>
      <c r="P5749">
        <f t="shared" si="536"/>
        <v>4950</v>
      </c>
      <c r="Q5749">
        <f t="shared" si="540"/>
        <v>4950</v>
      </c>
      <c r="T5749" s="16">
        <f t="shared" si="541"/>
        <v>0.37487478695363036</v>
      </c>
    </row>
    <row r="5750" spans="7:20" ht="14.4" x14ac:dyDescent="0.25">
      <c r="G5750" s="10">
        <v>6786</v>
      </c>
      <c r="H5750" s="9">
        <v>48327</v>
      </c>
      <c r="I5750" s="14">
        <f>DATE(2012,12,31)-1239</f>
        <v>40035</v>
      </c>
      <c r="J5750" s="15" t="s">
        <v>28</v>
      </c>
      <c r="K5750" s="9">
        <v>14</v>
      </c>
      <c r="L5750" s="16" t="s">
        <v>27</v>
      </c>
      <c r="M5750" s="16">
        <f t="shared" si="537"/>
        <v>-0.79914141557313367</v>
      </c>
      <c r="N5750">
        <f t="shared" si="538"/>
        <v>0</v>
      </c>
      <c r="O5750">
        <f t="shared" si="539"/>
        <v>0</v>
      </c>
      <c r="P5750">
        <f t="shared" si="536"/>
        <v>4100</v>
      </c>
      <c r="Q5750">
        <f t="shared" si="540"/>
        <v>4100</v>
      </c>
      <c r="T5750" s="16">
        <f t="shared" si="541"/>
        <v>-0.79914141557313401</v>
      </c>
    </row>
    <row r="5751" spans="7:20" ht="14.4" x14ac:dyDescent="0.25">
      <c r="G5751" s="10">
        <v>6796</v>
      </c>
      <c r="H5751" s="9">
        <v>48448</v>
      </c>
      <c r="I5751" s="14">
        <f>DATE(2012,12,31)-45</f>
        <v>41229</v>
      </c>
      <c r="J5751" s="15" t="s">
        <v>25</v>
      </c>
      <c r="K5751" s="9">
        <v>20</v>
      </c>
      <c r="L5751" s="16" t="s">
        <v>27</v>
      </c>
      <c r="M5751" s="16">
        <f t="shared" si="537"/>
        <v>-0.38478275585780503</v>
      </c>
      <c r="N5751">
        <f t="shared" si="538"/>
        <v>0</v>
      </c>
      <c r="O5751">
        <f t="shared" si="539"/>
        <v>0</v>
      </c>
      <c r="P5751">
        <f t="shared" si="536"/>
        <v>4400</v>
      </c>
      <c r="Q5751">
        <f t="shared" si="540"/>
        <v>4400</v>
      </c>
      <c r="T5751" s="16">
        <f t="shared" si="541"/>
        <v>-0.38478275585780541</v>
      </c>
    </row>
    <row r="5752" spans="7:20" ht="14.4" x14ac:dyDescent="0.25">
      <c r="G5752" s="10">
        <v>6818</v>
      </c>
      <c r="H5752" s="9">
        <v>48544</v>
      </c>
      <c r="I5752" s="14">
        <f>DATE(2012,12,31)-595</f>
        <v>40679</v>
      </c>
      <c r="J5752" s="15" t="s">
        <v>17</v>
      </c>
      <c r="K5752" s="9">
        <v>44</v>
      </c>
      <c r="L5752" s="16" t="s">
        <v>27</v>
      </c>
      <c r="M5752" s="16">
        <f t="shared" si="537"/>
        <v>1.2726518830035094</v>
      </c>
      <c r="N5752">
        <f t="shared" si="538"/>
        <v>0</v>
      </c>
      <c r="O5752">
        <f t="shared" si="539"/>
        <v>0</v>
      </c>
      <c r="P5752">
        <f t="shared" si="536"/>
        <v>5600</v>
      </c>
      <c r="Q5752">
        <f t="shared" si="540"/>
        <v>5600</v>
      </c>
      <c r="T5752" s="16">
        <f t="shared" si="541"/>
        <v>1.272651883003509</v>
      </c>
    </row>
    <row r="5753" spans="7:20" ht="14.4" x14ac:dyDescent="0.25">
      <c r="G5753" s="10">
        <v>6862</v>
      </c>
      <c r="H5753" s="9">
        <v>48900</v>
      </c>
      <c r="I5753" s="14">
        <f>DATE(2012,12,31)-1380</f>
        <v>39894</v>
      </c>
      <c r="J5753" s="15" t="s">
        <v>28</v>
      </c>
      <c r="K5753" s="9">
        <v>27</v>
      </c>
      <c r="L5753" s="16" t="s">
        <v>26</v>
      </c>
      <c r="M5753" s="16">
        <f t="shared" si="537"/>
        <v>9.8635680476745008E-2</v>
      </c>
      <c r="N5753">
        <f t="shared" si="538"/>
        <v>0</v>
      </c>
      <c r="O5753">
        <f t="shared" si="539"/>
        <v>0</v>
      </c>
      <c r="P5753">
        <f t="shared" si="536"/>
        <v>4750</v>
      </c>
      <c r="Q5753">
        <f t="shared" si="540"/>
        <v>4750</v>
      </c>
      <c r="T5753" s="16">
        <f t="shared" si="541"/>
        <v>9.8635680476744619E-2</v>
      </c>
    </row>
    <row r="5754" spans="7:20" ht="14.4" x14ac:dyDescent="0.25">
      <c r="G5754" s="10">
        <v>6863</v>
      </c>
      <c r="H5754" s="9">
        <v>48900</v>
      </c>
      <c r="I5754" s="14">
        <f>DATE(2012,12,31)-1380</f>
        <v>39894</v>
      </c>
      <c r="J5754" s="15" t="s">
        <v>28</v>
      </c>
      <c r="K5754" s="9">
        <v>42</v>
      </c>
      <c r="L5754" s="16" t="s">
        <v>26</v>
      </c>
      <c r="M5754" s="16">
        <f t="shared" si="537"/>
        <v>1.1345323297650665</v>
      </c>
      <c r="N5754">
        <f t="shared" si="538"/>
        <v>0</v>
      </c>
      <c r="O5754">
        <f t="shared" si="539"/>
        <v>0</v>
      </c>
      <c r="P5754">
        <f t="shared" si="536"/>
        <v>5500</v>
      </c>
      <c r="Q5754">
        <f t="shared" si="540"/>
        <v>5500</v>
      </c>
      <c r="T5754" s="16">
        <f t="shared" si="541"/>
        <v>1.1345323297650662</v>
      </c>
    </row>
    <row r="5755" spans="7:20" ht="14.4" x14ac:dyDescent="0.25">
      <c r="G5755" s="10">
        <v>6913</v>
      </c>
      <c r="H5755" s="9">
        <v>49319</v>
      </c>
      <c r="I5755" s="14">
        <f>DATE(2012,12,31)-494</f>
        <v>40780</v>
      </c>
      <c r="J5755" s="15" t="s">
        <v>25</v>
      </c>
      <c r="K5755" s="9">
        <v>13</v>
      </c>
      <c r="L5755" s="16" t="s">
        <v>27</v>
      </c>
      <c r="M5755" s="16">
        <f t="shared" si="537"/>
        <v>-0.86820119219235514</v>
      </c>
      <c r="N5755">
        <f t="shared" si="538"/>
        <v>0</v>
      </c>
      <c r="O5755">
        <f t="shared" si="539"/>
        <v>0</v>
      </c>
      <c r="P5755">
        <f t="shared" si="536"/>
        <v>4050</v>
      </c>
      <c r="Q5755">
        <f t="shared" si="540"/>
        <v>4050</v>
      </c>
      <c r="T5755" s="16">
        <f t="shared" si="541"/>
        <v>-0.86820119219235548</v>
      </c>
    </row>
    <row r="5756" spans="7:20" ht="14.4" x14ac:dyDescent="0.25">
      <c r="G5756" s="10">
        <v>6914</v>
      </c>
      <c r="H5756" s="9">
        <v>49319</v>
      </c>
      <c r="I5756" s="14">
        <f>DATE(2012,12,31)-494</f>
        <v>40780</v>
      </c>
      <c r="J5756" s="15" t="s">
        <v>25</v>
      </c>
      <c r="K5756" s="9">
        <v>40</v>
      </c>
      <c r="L5756" s="16" t="s">
        <v>26</v>
      </c>
      <c r="M5756" s="16">
        <f t="shared" si="537"/>
        <v>0.99641277652662363</v>
      </c>
      <c r="N5756">
        <f t="shared" si="538"/>
        <v>0</v>
      </c>
      <c r="O5756">
        <f t="shared" si="539"/>
        <v>0</v>
      </c>
      <c r="P5756">
        <f t="shared" si="536"/>
        <v>5400</v>
      </c>
      <c r="Q5756">
        <f t="shared" si="540"/>
        <v>5400</v>
      </c>
      <c r="T5756" s="16">
        <f t="shared" si="541"/>
        <v>0.9964127765266233</v>
      </c>
    </row>
    <row r="5757" spans="7:20" ht="14.4" x14ac:dyDescent="0.25">
      <c r="G5757" s="10">
        <v>6950</v>
      </c>
      <c r="H5757" s="9">
        <v>49638</v>
      </c>
      <c r="I5757" s="14">
        <f>DATE(2012,12,31)-877</f>
        <v>40397</v>
      </c>
      <c r="J5757" s="15" t="s">
        <v>16</v>
      </c>
      <c r="K5757" s="9">
        <v>17</v>
      </c>
      <c r="L5757" s="16" t="s">
        <v>27</v>
      </c>
      <c r="M5757" s="16">
        <f t="shared" si="537"/>
        <v>-0.59196208571546938</v>
      </c>
      <c r="N5757">
        <f t="shared" si="538"/>
        <v>0</v>
      </c>
      <c r="O5757">
        <f t="shared" si="539"/>
        <v>0</v>
      </c>
      <c r="P5757">
        <f t="shared" si="536"/>
        <v>4250</v>
      </c>
      <c r="Q5757">
        <f t="shared" si="540"/>
        <v>4250</v>
      </c>
      <c r="T5757" s="16">
        <f t="shared" si="541"/>
        <v>-0.59196208571546971</v>
      </c>
    </row>
    <row r="5758" spans="7:20" ht="14.4" x14ac:dyDescent="0.25">
      <c r="G5758" s="10">
        <v>7016</v>
      </c>
      <c r="H5758" s="9">
        <v>50055</v>
      </c>
      <c r="I5758" s="14">
        <f>DATE(2012,12,31)-74</f>
        <v>41200</v>
      </c>
      <c r="J5758" s="15" t="s">
        <v>16</v>
      </c>
      <c r="K5758" s="9">
        <v>1</v>
      </c>
      <c r="L5758" s="16" t="s">
        <v>26</v>
      </c>
      <c r="M5758" s="16">
        <f t="shared" si="537"/>
        <v>-1.6969185116230123</v>
      </c>
      <c r="N5758">
        <f t="shared" si="538"/>
        <v>0</v>
      </c>
      <c r="O5758">
        <f t="shared" si="539"/>
        <v>0</v>
      </c>
      <c r="P5758">
        <f t="shared" si="536"/>
        <v>3450</v>
      </c>
      <c r="Q5758">
        <f t="shared" si="540"/>
        <v>3450</v>
      </c>
      <c r="T5758" s="16">
        <f t="shared" si="541"/>
        <v>-1.6969185116230128</v>
      </c>
    </row>
    <row r="5759" spans="7:20" ht="14.4" x14ac:dyDescent="0.25">
      <c r="G5759" s="10">
        <v>7017</v>
      </c>
      <c r="H5759" s="9">
        <v>50055</v>
      </c>
      <c r="I5759" s="14">
        <f>DATE(2012,12,31)-74</f>
        <v>41200</v>
      </c>
      <c r="J5759" s="15" t="s">
        <v>16</v>
      </c>
      <c r="K5759" s="9">
        <v>11</v>
      </c>
      <c r="L5759" s="16" t="s">
        <v>26</v>
      </c>
      <c r="M5759" s="16">
        <f t="shared" si="537"/>
        <v>-1.0063207454307979</v>
      </c>
      <c r="N5759">
        <f t="shared" si="538"/>
        <v>0</v>
      </c>
      <c r="O5759">
        <f t="shared" si="539"/>
        <v>0</v>
      </c>
      <c r="P5759">
        <f t="shared" si="536"/>
        <v>3950</v>
      </c>
      <c r="Q5759">
        <f t="shared" si="540"/>
        <v>3950</v>
      </c>
      <c r="T5759" s="16">
        <f t="shared" si="541"/>
        <v>-1.0063207454307983</v>
      </c>
    </row>
    <row r="5760" spans="7:20" ht="14.4" x14ac:dyDescent="0.25">
      <c r="G5760" s="10">
        <v>7197</v>
      </c>
      <c r="H5760" s="9">
        <v>51360</v>
      </c>
      <c r="I5760" s="14">
        <f>DATE(2012,12,31)-560</f>
        <v>40714</v>
      </c>
      <c r="J5760" s="15" t="s">
        <v>16</v>
      </c>
      <c r="K5760" s="9">
        <v>12</v>
      </c>
      <c r="L5760" s="16" t="s">
        <v>26</v>
      </c>
      <c r="M5760" s="16">
        <f t="shared" si="537"/>
        <v>-0.9372609688115765</v>
      </c>
      <c r="N5760">
        <f t="shared" si="538"/>
        <v>0</v>
      </c>
      <c r="O5760">
        <f t="shared" si="539"/>
        <v>0</v>
      </c>
      <c r="P5760">
        <f t="shared" si="536"/>
        <v>4000</v>
      </c>
      <c r="Q5760">
        <f t="shared" si="540"/>
        <v>4000</v>
      </c>
      <c r="T5760" s="16">
        <f t="shared" si="541"/>
        <v>-0.93726096881157694</v>
      </c>
    </row>
    <row r="5761" spans="7:20" ht="14.4" x14ac:dyDescent="0.25">
      <c r="G5761" s="10">
        <v>7389</v>
      </c>
      <c r="H5761" s="9">
        <v>52672</v>
      </c>
      <c r="I5761" s="14">
        <f>DATE(2012,12,31)-723</f>
        <v>40551</v>
      </c>
      <c r="J5761" s="15" t="s">
        <v>25</v>
      </c>
      <c r="K5761" s="9">
        <v>29</v>
      </c>
      <c r="L5761" s="16" t="s">
        <v>27</v>
      </c>
      <c r="M5761" s="16">
        <f t="shared" si="537"/>
        <v>0.23675523371518786</v>
      </c>
      <c r="N5761">
        <f t="shared" si="538"/>
        <v>0</v>
      </c>
      <c r="O5761">
        <f t="shared" si="539"/>
        <v>0</v>
      </c>
      <c r="P5761">
        <f t="shared" si="536"/>
        <v>4850</v>
      </c>
      <c r="Q5761">
        <f t="shared" si="540"/>
        <v>4850</v>
      </c>
      <c r="T5761" s="16">
        <f t="shared" si="541"/>
        <v>0.2367552337151875</v>
      </c>
    </row>
    <row r="5762" spans="7:20" ht="14.4" x14ac:dyDescent="0.25">
      <c r="G5762" s="10">
        <v>7409</v>
      </c>
      <c r="H5762" s="9">
        <v>52867</v>
      </c>
      <c r="I5762" s="14">
        <f>DATE(2012,12,31)-1236</f>
        <v>40038</v>
      </c>
      <c r="J5762" s="15" t="s">
        <v>17</v>
      </c>
      <c r="K5762" s="9">
        <v>15</v>
      </c>
      <c r="L5762" s="16" t="s">
        <v>29</v>
      </c>
      <c r="M5762" s="16">
        <f t="shared" si="537"/>
        <v>-0.7300816389539122</v>
      </c>
      <c r="N5762">
        <f t="shared" si="538"/>
        <v>0</v>
      </c>
      <c r="O5762">
        <f t="shared" si="539"/>
        <v>0</v>
      </c>
      <c r="P5762">
        <f t="shared" si="536"/>
        <v>4150</v>
      </c>
      <c r="Q5762">
        <f t="shared" si="540"/>
        <v>4150</v>
      </c>
      <c r="T5762" s="16">
        <f t="shared" si="541"/>
        <v>-0.73008163895391265</v>
      </c>
    </row>
    <row r="5763" spans="7:20" ht="14.4" x14ac:dyDescent="0.25">
      <c r="G5763" s="10">
        <v>7572</v>
      </c>
      <c r="H5763" s="9">
        <v>54176</v>
      </c>
      <c r="I5763" s="14">
        <f>DATE(2012,12,31)-553</f>
        <v>40721</v>
      </c>
      <c r="J5763" s="15" t="s">
        <v>28</v>
      </c>
      <c r="K5763" s="9">
        <v>33</v>
      </c>
      <c r="L5763" s="16" t="s">
        <v>27</v>
      </c>
      <c r="M5763" s="16">
        <f t="shared" si="537"/>
        <v>0.51299434019207357</v>
      </c>
      <c r="N5763">
        <f t="shared" si="538"/>
        <v>0</v>
      </c>
      <c r="O5763">
        <f t="shared" si="539"/>
        <v>0</v>
      </c>
      <c r="P5763">
        <f t="shared" si="536"/>
        <v>5050</v>
      </c>
      <c r="Q5763">
        <f t="shared" si="540"/>
        <v>5050</v>
      </c>
      <c r="T5763" s="16">
        <f t="shared" si="541"/>
        <v>0.51299434019207324</v>
      </c>
    </row>
    <row r="5764" spans="7:20" ht="14.4" x14ac:dyDescent="0.25">
      <c r="G5764" s="10">
        <v>7695</v>
      </c>
      <c r="H5764" s="9">
        <v>55171</v>
      </c>
      <c r="I5764" s="14">
        <f>DATE(2012,12,31)-66</f>
        <v>41208</v>
      </c>
      <c r="J5764" s="15" t="s">
        <v>17</v>
      </c>
      <c r="K5764" s="9">
        <v>29</v>
      </c>
      <c r="L5764" s="16" t="s">
        <v>27</v>
      </c>
      <c r="M5764" s="16">
        <f t="shared" si="537"/>
        <v>0.23675523371518786</v>
      </c>
      <c r="N5764">
        <f t="shared" si="538"/>
        <v>0</v>
      </c>
      <c r="O5764">
        <f t="shared" si="539"/>
        <v>0</v>
      </c>
      <c r="P5764">
        <f t="shared" si="536"/>
        <v>4850</v>
      </c>
      <c r="Q5764">
        <f t="shared" si="540"/>
        <v>4850</v>
      </c>
      <c r="T5764" s="16">
        <f t="shared" si="541"/>
        <v>0.2367552337151875</v>
      </c>
    </row>
    <row r="5765" spans="7:20" ht="14.4" x14ac:dyDescent="0.25">
      <c r="G5765" s="10">
        <v>7696</v>
      </c>
      <c r="H5765" s="9">
        <v>55171</v>
      </c>
      <c r="I5765" s="14">
        <f>DATE(2012,12,31)-66</f>
        <v>41208</v>
      </c>
      <c r="J5765" s="15" t="s">
        <v>17</v>
      </c>
      <c r="K5765" s="9">
        <v>43</v>
      </c>
      <c r="L5765" s="16" t="s">
        <v>26</v>
      </c>
      <c r="M5765" s="16">
        <f t="shared" si="537"/>
        <v>1.203592106384288</v>
      </c>
      <c r="N5765">
        <f t="shared" si="538"/>
        <v>0</v>
      </c>
      <c r="O5765">
        <f t="shared" si="539"/>
        <v>0</v>
      </c>
      <c r="P5765">
        <f t="shared" si="536"/>
        <v>5550</v>
      </c>
      <c r="Q5765">
        <f t="shared" si="540"/>
        <v>5550</v>
      </c>
      <c r="T5765" s="16">
        <f t="shared" si="541"/>
        <v>1.2035921063842876</v>
      </c>
    </row>
    <row r="5766" spans="7:20" ht="14.4" x14ac:dyDescent="0.25">
      <c r="G5766" s="10">
        <v>7781</v>
      </c>
      <c r="H5766" s="9">
        <v>55683</v>
      </c>
      <c r="I5766" s="14">
        <f>DATE(2012,12,31)-169</f>
        <v>41105</v>
      </c>
      <c r="J5766" s="15" t="s">
        <v>17</v>
      </c>
      <c r="K5766" s="9">
        <v>50</v>
      </c>
      <c r="L5766" s="16" t="s">
        <v>26</v>
      </c>
      <c r="M5766" s="16">
        <f t="shared" si="537"/>
        <v>1.687010542718838</v>
      </c>
      <c r="N5766">
        <f t="shared" si="538"/>
        <v>0</v>
      </c>
      <c r="O5766">
        <f t="shared" si="539"/>
        <v>0</v>
      </c>
      <c r="P5766">
        <f t="shared" si="536"/>
        <v>5900</v>
      </c>
      <c r="Q5766">
        <f t="shared" si="540"/>
        <v>5900</v>
      </c>
      <c r="T5766" s="16">
        <f t="shared" si="541"/>
        <v>1.6870105427188375</v>
      </c>
    </row>
    <row r="5767" spans="7:20" ht="14.4" x14ac:dyDescent="0.25">
      <c r="G5767" s="10">
        <v>8135</v>
      </c>
      <c r="H5767" s="9">
        <v>58147</v>
      </c>
      <c r="I5767" s="14">
        <f>DATE(2012,12,31)-1323</f>
        <v>39951</v>
      </c>
      <c r="J5767" s="15" t="s">
        <v>17</v>
      </c>
      <c r="K5767" s="9">
        <v>41</v>
      </c>
      <c r="L5767" s="16" t="s">
        <v>26</v>
      </c>
      <c r="M5767" s="16">
        <f t="shared" si="537"/>
        <v>1.0654725531458451</v>
      </c>
      <c r="N5767">
        <f t="shared" si="538"/>
        <v>0</v>
      </c>
      <c r="O5767">
        <f t="shared" si="539"/>
        <v>0</v>
      </c>
      <c r="P5767">
        <f t="shared" si="536"/>
        <v>5450</v>
      </c>
      <c r="Q5767">
        <f t="shared" si="540"/>
        <v>5450</v>
      </c>
      <c r="T5767" s="16">
        <f t="shared" si="541"/>
        <v>1.0654725531458447</v>
      </c>
    </row>
    <row r="5768" spans="7:20" ht="14.4" x14ac:dyDescent="0.25">
      <c r="G5768" s="10">
        <v>8220</v>
      </c>
      <c r="H5768" s="9">
        <v>58784</v>
      </c>
      <c r="I5768" s="14">
        <f>DATE(2012,12,31)-1443</f>
        <v>39831</v>
      </c>
      <c r="J5768" s="15" t="s">
        <v>16</v>
      </c>
      <c r="K5768" s="9">
        <v>12</v>
      </c>
      <c r="L5768" s="16" t="s">
        <v>26</v>
      </c>
      <c r="M5768" s="16">
        <f t="shared" si="537"/>
        <v>-0.9372609688115765</v>
      </c>
      <c r="N5768">
        <f t="shared" si="538"/>
        <v>0</v>
      </c>
      <c r="O5768">
        <f t="shared" si="539"/>
        <v>0</v>
      </c>
      <c r="P5768">
        <f t="shared" si="536"/>
        <v>4000</v>
      </c>
      <c r="Q5768">
        <f t="shared" si="540"/>
        <v>4000</v>
      </c>
      <c r="T5768" s="16">
        <f t="shared" si="541"/>
        <v>-0.93726096881157694</v>
      </c>
    </row>
    <row r="5769" spans="7:20" ht="14.4" x14ac:dyDescent="0.25">
      <c r="G5769" s="10">
        <v>8221</v>
      </c>
      <c r="H5769" s="9">
        <v>58784</v>
      </c>
      <c r="I5769" s="14">
        <f>DATE(2012,12,31)-1443</f>
        <v>39831</v>
      </c>
      <c r="J5769" s="15" t="s">
        <v>16</v>
      </c>
      <c r="K5769" s="9">
        <v>29</v>
      </c>
      <c r="L5769" s="16" t="s">
        <v>26</v>
      </c>
      <c r="M5769" s="16">
        <f t="shared" si="537"/>
        <v>0.23675523371518786</v>
      </c>
      <c r="N5769">
        <f t="shared" si="538"/>
        <v>0</v>
      </c>
      <c r="O5769">
        <f t="shared" si="539"/>
        <v>0</v>
      </c>
      <c r="P5769">
        <f t="shared" si="536"/>
        <v>4850</v>
      </c>
      <c r="Q5769">
        <f t="shared" si="540"/>
        <v>4850</v>
      </c>
      <c r="T5769" s="16">
        <f t="shared" si="541"/>
        <v>0.2367552337151875</v>
      </c>
    </row>
    <row r="5770" spans="7:20" ht="14.4" x14ac:dyDescent="0.25">
      <c r="G5770" s="10">
        <v>8222</v>
      </c>
      <c r="H5770" s="9">
        <v>58784</v>
      </c>
      <c r="I5770" s="14">
        <f>DATE(2012,12,31)-1443</f>
        <v>39831</v>
      </c>
      <c r="J5770" s="15" t="s">
        <v>16</v>
      </c>
      <c r="K5770" s="9">
        <v>17</v>
      </c>
      <c r="L5770" s="16" t="s">
        <v>26</v>
      </c>
      <c r="M5770" s="16">
        <f t="shared" si="537"/>
        <v>-0.59196208571546938</v>
      </c>
      <c r="N5770">
        <f t="shared" si="538"/>
        <v>0</v>
      </c>
      <c r="O5770">
        <f t="shared" si="539"/>
        <v>0</v>
      </c>
      <c r="P5770">
        <f t="shared" si="536"/>
        <v>4250</v>
      </c>
      <c r="Q5770">
        <f t="shared" si="540"/>
        <v>4250</v>
      </c>
      <c r="T5770" s="16">
        <f t="shared" si="541"/>
        <v>-0.59196208571546971</v>
      </c>
    </row>
    <row r="5771" spans="7:20" ht="14.4" x14ac:dyDescent="0.25">
      <c r="G5771" s="10">
        <v>8320</v>
      </c>
      <c r="H5771" s="9">
        <v>59456</v>
      </c>
      <c r="I5771" s="14">
        <f>DATE(2012,12,31)-358</f>
        <v>40916</v>
      </c>
      <c r="J5771" s="15" t="s">
        <v>25</v>
      </c>
      <c r="K5771" s="9">
        <v>30</v>
      </c>
      <c r="L5771" s="16" t="s">
        <v>26</v>
      </c>
      <c r="M5771" s="16">
        <f t="shared" si="537"/>
        <v>0.30581501033440933</v>
      </c>
      <c r="N5771">
        <f t="shared" si="538"/>
        <v>0</v>
      </c>
      <c r="O5771">
        <f t="shared" si="539"/>
        <v>0</v>
      </c>
      <c r="P5771">
        <f t="shared" si="536"/>
        <v>4900</v>
      </c>
      <c r="Q5771">
        <f t="shared" si="540"/>
        <v>4900</v>
      </c>
      <c r="T5771" s="16">
        <f t="shared" si="541"/>
        <v>0.30581501033440894</v>
      </c>
    </row>
    <row r="5772" spans="7:20" ht="14.4" x14ac:dyDescent="0.25">
      <c r="G5772" s="10">
        <v>8340</v>
      </c>
      <c r="H5772" s="9">
        <v>59591</v>
      </c>
      <c r="I5772" s="14">
        <f>DATE(2012,12,31)-1179</f>
        <v>40095</v>
      </c>
      <c r="J5772" s="15" t="s">
        <v>28</v>
      </c>
      <c r="K5772" s="9">
        <v>34</v>
      </c>
      <c r="L5772" s="16" t="s">
        <v>27</v>
      </c>
      <c r="M5772" s="16">
        <f t="shared" si="537"/>
        <v>0.58205411681129504</v>
      </c>
      <c r="N5772">
        <f t="shared" si="538"/>
        <v>0</v>
      </c>
      <c r="O5772">
        <f t="shared" si="539"/>
        <v>0</v>
      </c>
      <c r="P5772">
        <f t="shared" ref="P5772:P5835" si="542">50*K5772+$P$10</f>
        <v>5100</v>
      </c>
      <c r="Q5772">
        <f t="shared" si="540"/>
        <v>5100</v>
      </c>
      <c r="T5772" s="16">
        <f t="shared" si="541"/>
        <v>0.58205411681129471</v>
      </c>
    </row>
    <row r="5773" spans="7:20" ht="14.4" x14ac:dyDescent="0.25">
      <c r="G5773" s="10">
        <v>8341</v>
      </c>
      <c r="H5773" s="9">
        <v>59591</v>
      </c>
      <c r="I5773" s="14">
        <f>DATE(2012,12,31)-1179</f>
        <v>40095</v>
      </c>
      <c r="J5773" s="15" t="s">
        <v>28</v>
      </c>
      <c r="K5773" s="9">
        <v>29</v>
      </c>
      <c r="L5773" s="16" t="s">
        <v>26</v>
      </c>
      <c r="M5773" s="16">
        <f t="shared" ref="M5773:M5836" si="543">(K5773-$K$4)/$K$7</f>
        <v>0.23675523371518786</v>
      </c>
      <c r="N5773">
        <f t="shared" ref="N5773:N5836" si="544">IF(MOD($B$20+G5773,1000)=0,1,0)</f>
        <v>0</v>
      </c>
      <c r="O5773">
        <f t="shared" ref="O5773:O5836" si="545">+ROUND(N5773*(IF(K5773&lt;$K$4,-4.5,10.5)*$P$5),-2)</f>
        <v>0</v>
      </c>
      <c r="P5773">
        <f t="shared" si="542"/>
        <v>4850</v>
      </c>
      <c r="Q5773">
        <f t="shared" ref="Q5773:Q5836" si="546">P5773+O5773</f>
        <v>4850</v>
      </c>
      <c r="T5773" s="16">
        <f t="shared" ref="T5773:T5836" si="547">(Q5773-$P$4)/$P$5</f>
        <v>0.2367552337151875</v>
      </c>
    </row>
    <row r="5774" spans="7:20" ht="14.4" x14ac:dyDescent="0.25">
      <c r="G5774" s="10">
        <v>8381</v>
      </c>
      <c r="H5774" s="9">
        <v>59879</v>
      </c>
      <c r="I5774" s="14">
        <f>DATE(2012,12,31)-1393</f>
        <v>39881</v>
      </c>
      <c r="J5774" s="15" t="s">
        <v>28</v>
      </c>
      <c r="K5774" s="9">
        <v>33</v>
      </c>
      <c r="L5774" s="16" t="s">
        <v>27</v>
      </c>
      <c r="M5774" s="16">
        <f t="shared" si="543"/>
        <v>0.51299434019207357</v>
      </c>
      <c r="N5774">
        <f t="shared" si="544"/>
        <v>0</v>
      </c>
      <c r="O5774">
        <f t="shared" si="545"/>
        <v>0</v>
      </c>
      <c r="P5774">
        <f t="shared" si="542"/>
        <v>5050</v>
      </c>
      <c r="Q5774">
        <f t="shared" si="546"/>
        <v>5050</v>
      </c>
      <c r="T5774" s="16">
        <f t="shared" si="547"/>
        <v>0.51299434019207324</v>
      </c>
    </row>
    <row r="5775" spans="7:20" ht="14.4" x14ac:dyDescent="0.25">
      <c r="G5775" s="10">
        <v>6</v>
      </c>
      <c r="H5775" s="9">
        <v>32</v>
      </c>
      <c r="I5775" s="14">
        <f>DATE(2012,12,31)-535</f>
        <v>40739</v>
      </c>
      <c r="J5775" s="15" t="s">
        <v>17</v>
      </c>
      <c r="K5775" s="9">
        <v>15</v>
      </c>
      <c r="L5775" s="16" t="s">
        <v>27</v>
      </c>
      <c r="M5775" s="16">
        <f t="shared" si="543"/>
        <v>-0.7300816389539122</v>
      </c>
      <c r="N5775">
        <f t="shared" si="544"/>
        <v>0</v>
      </c>
      <c r="O5775">
        <f t="shared" si="545"/>
        <v>0</v>
      </c>
      <c r="P5775">
        <f t="shared" si="542"/>
        <v>4150</v>
      </c>
      <c r="Q5775">
        <f t="shared" si="546"/>
        <v>4150</v>
      </c>
      <c r="T5775" s="16">
        <f t="shared" si="547"/>
        <v>-0.73008163895391265</v>
      </c>
    </row>
    <row r="5776" spans="7:20" ht="14.4" x14ac:dyDescent="0.25">
      <c r="G5776" s="10">
        <v>12</v>
      </c>
      <c r="H5776" s="9">
        <v>69</v>
      </c>
      <c r="I5776" s="14">
        <f>DATE(2012,12,31)-1307</f>
        <v>39967</v>
      </c>
      <c r="J5776" s="15" t="s">
        <v>28</v>
      </c>
      <c r="K5776" s="9">
        <v>42</v>
      </c>
      <c r="L5776" s="16" t="s">
        <v>29</v>
      </c>
      <c r="M5776" s="16">
        <f t="shared" si="543"/>
        <v>1.1345323297650665</v>
      </c>
      <c r="N5776">
        <f t="shared" si="544"/>
        <v>0</v>
      </c>
      <c r="O5776">
        <f t="shared" si="545"/>
        <v>0</v>
      </c>
      <c r="P5776">
        <f t="shared" si="542"/>
        <v>5500</v>
      </c>
      <c r="Q5776">
        <f t="shared" si="546"/>
        <v>5500</v>
      </c>
      <c r="T5776" s="16">
        <f t="shared" si="547"/>
        <v>1.1345323297650662</v>
      </c>
    </row>
    <row r="5777" spans="7:20" ht="14.4" x14ac:dyDescent="0.25">
      <c r="G5777" s="10">
        <v>13</v>
      </c>
      <c r="H5777" s="9">
        <v>69</v>
      </c>
      <c r="I5777" s="14">
        <f>DATE(2012,12,31)-1307</f>
        <v>39967</v>
      </c>
      <c r="J5777" s="15" t="s">
        <v>28</v>
      </c>
      <c r="K5777" s="9">
        <v>28</v>
      </c>
      <c r="L5777" s="16" t="s">
        <v>26</v>
      </c>
      <c r="M5777" s="16">
        <f t="shared" si="543"/>
        <v>0.16769545709596645</v>
      </c>
      <c r="N5777">
        <f t="shared" si="544"/>
        <v>0</v>
      </c>
      <c r="O5777">
        <f t="shared" si="545"/>
        <v>0</v>
      </c>
      <c r="P5777">
        <f t="shared" si="542"/>
        <v>4800</v>
      </c>
      <c r="Q5777">
        <f t="shared" si="546"/>
        <v>4800</v>
      </c>
      <c r="T5777" s="16">
        <f t="shared" si="547"/>
        <v>0.16769545709596606</v>
      </c>
    </row>
    <row r="5778" spans="7:20" ht="14.4" x14ac:dyDescent="0.25">
      <c r="G5778" s="10">
        <v>56</v>
      </c>
      <c r="H5778" s="9">
        <v>324</v>
      </c>
      <c r="I5778" s="14">
        <f>DATE(2012,12,31)-287</f>
        <v>40987</v>
      </c>
      <c r="J5778" s="15" t="s">
        <v>30</v>
      </c>
      <c r="K5778" s="9">
        <v>25</v>
      </c>
      <c r="L5778" s="16" t="s">
        <v>27</v>
      </c>
      <c r="M5778" s="16">
        <f t="shared" si="543"/>
        <v>-3.9483872761697868E-2</v>
      </c>
      <c r="N5778">
        <f t="shared" si="544"/>
        <v>0</v>
      </c>
      <c r="O5778">
        <f t="shared" si="545"/>
        <v>0</v>
      </c>
      <c r="P5778">
        <f t="shared" si="542"/>
        <v>4650</v>
      </c>
      <c r="Q5778">
        <f t="shared" si="546"/>
        <v>4650</v>
      </c>
      <c r="T5778" s="16">
        <f t="shared" si="547"/>
        <v>-3.9483872761698249E-2</v>
      </c>
    </row>
    <row r="5779" spans="7:20" ht="14.4" x14ac:dyDescent="0.25">
      <c r="G5779" s="10">
        <v>200</v>
      </c>
      <c r="H5779" s="9">
        <v>1317</v>
      </c>
      <c r="I5779" s="14">
        <f>DATE(2012,12,31)-593</f>
        <v>40681</v>
      </c>
      <c r="J5779" s="15" t="s">
        <v>17</v>
      </c>
      <c r="K5779" s="9">
        <v>44</v>
      </c>
      <c r="L5779" s="16" t="s">
        <v>26</v>
      </c>
      <c r="M5779" s="16">
        <f t="shared" si="543"/>
        <v>1.2726518830035094</v>
      </c>
      <c r="N5779">
        <f t="shared" si="544"/>
        <v>0</v>
      </c>
      <c r="O5779">
        <f t="shared" si="545"/>
        <v>0</v>
      </c>
      <c r="P5779">
        <f t="shared" si="542"/>
        <v>5600</v>
      </c>
      <c r="Q5779">
        <f t="shared" si="546"/>
        <v>5600</v>
      </c>
      <c r="T5779" s="16">
        <f t="shared" si="547"/>
        <v>1.272651883003509</v>
      </c>
    </row>
    <row r="5780" spans="7:20" ht="14.4" x14ac:dyDescent="0.25">
      <c r="G5780" s="10">
        <v>201</v>
      </c>
      <c r="H5780" s="9">
        <v>1317</v>
      </c>
      <c r="I5780" s="14">
        <f>DATE(2012,12,31)-593</f>
        <v>40681</v>
      </c>
      <c r="J5780" s="15" t="s">
        <v>17</v>
      </c>
      <c r="K5780" s="9">
        <v>40</v>
      </c>
      <c r="L5780" s="16" t="s">
        <v>26</v>
      </c>
      <c r="M5780" s="16">
        <f t="shared" si="543"/>
        <v>0.99641277652662363</v>
      </c>
      <c r="N5780">
        <f t="shared" si="544"/>
        <v>0</v>
      </c>
      <c r="O5780">
        <f t="shared" si="545"/>
        <v>0</v>
      </c>
      <c r="P5780">
        <f t="shared" si="542"/>
        <v>5400</v>
      </c>
      <c r="Q5780">
        <f t="shared" si="546"/>
        <v>5400</v>
      </c>
      <c r="T5780" s="16">
        <f t="shared" si="547"/>
        <v>0.9964127765266233</v>
      </c>
    </row>
    <row r="5781" spans="7:20" ht="14.4" x14ac:dyDescent="0.25">
      <c r="G5781" s="10">
        <v>202</v>
      </c>
      <c r="H5781" s="9">
        <v>1317</v>
      </c>
      <c r="I5781" s="14">
        <f>DATE(2012,12,31)-593</f>
        <v>40681</v>
      </c>
      <c r="J5781" s="15" t="s">
        <v>17</v>
      </c>
      <c r="K5781" s="9">
        <v>29</v>
      </c>
      <c r="L5781" s="16" t="s">
        <v>26</v>
      </c>
      <c r="M5781" s="16">
        <f t="shared" si="543"/>
        <v>0.23675523371518786</v>
      </c>
      <c r="N5781">
        <f t="shared" si="544"/>
        <v>0</v>
      </c>
      <c r="O5781">
        <f t="shared" si="545"/>
        <v>0</v>
      </c>
      <c r="P5781">
        <f t="shared" si="542"/>
        <v>4850</v>
      </c>
      <c r="Q5781">
        <f t="shared" si="546"/>
        <v>4850</v>
      </c>
      <c r="T5781" s="16">
        <f t="shared" si="547"/>
        <v>0.2367552337151875</v>
      </c>
    </row>
    <row r="5782" spans="7:20" ht="14.4" x14ac:dyDescent="0.25">
      <c r="G5782" s="10">
        <v>239</v>
      </c>
      <c r="H5782" s="9">
        <v>1604</v>
      </c>
      <c r="I5782" s="14">
        <f>DATE(2012,12,31)-899</f>
        <v>40375</v>
      </c>
      <c r="J5782" s="15" t="s">
        <v>25</v>
      </c>
      <c r="K5782" s="9">
        <v>47</v>
      </c>
      <c r="L5782" s="16" t="s">
        <v>29</v>
      </c>
      <c r="M5782" s="16">
        <f t="shared" si="543"/>
        <v>1.4798312128611737</v>
      </c>
      <c r="N5782">
        <f t="shared" si="544"/>
        <v>0</v>
      </c>
      <c r="O5782">
        <f t="shared" si="545"/>
        <v>0</v>
      </c>
      <c r="P5782">
        <f t="shared" si="542"/>
        <v>5750</v>
      </c>
      <c r="Q5782">
        <f t="shared" si="546"/>
        <v>5750</v>
      </c>
      <c r="T5782" s="16">
        <f t="shared" si="547"/>
        <v>1.4798312128611733</v>
      </c>
    </row>
    <row r="5783" spans="7:20" ht="14.4" x14ac:dyDescent="0.25">
      <c r="G5783" s="10">
        <v>306</v>
      </c>
      <c r="H5783" s="9">
        <v>2144</v>
      </c>
      <c r="I5783" s="14">
        <f>DATE(2012,12,31)-1374</f>
        <v>39900</v>
      </c>
      <c r="J5783" s="15" t="s">
        <v>16</v>
      </c>
      <c r="K5783" s="9">
        <v>40</v>
      </c>
      <c r="L5783" s="16" t="s">
        <v>27</v>
      </c>
      <c r="M5783" s="16">
        <f t="shared" si="543"/>
        <v>0.99641277652662363</v>
      </c>
      <c r="N5783">
        <f t="shared" si="544"/>
        <v>0</v>
      </c>
      <c r="O5783">
        <f t="shared" si="545"/>
        <v>0</v>
      </c>
      <c r="P5783">
        <f t="shared" si="542"/>
        <v>5400</v>
      </c>
      <c r="Q5783">
        <f t="shared" si="546"/>
        <v>5400</v>
      </c>
      <c r="T5783" s="16">
        <f t="shared" si="547"/>
        <v>0.9964127765266233</v>
      </c>
    </row>
    <row r="5784" spans="7:20" ht="14.4" x14ac:dyDescent="0.25">
      <c r="G5784" s="10">
        <v>407</v>
      </c>
      <c r="H5784" s="9">
        <v>2757</v>
      </c>
      <c r="I5784" s="14">
        <f>DATE(2012,12,31)-531</f>
        <v>40743</v>
      </c>
      <c r="J5784" s="15" t="s">
        <v>17</v>
      </c>
      <c r="K5784" s="9">
        <v>42</v>
      </c>
      <c r="L5784" s="16" t="s">
        <v>26</v>
      </c>
      <c r="M5784" s="16">
        <f t="shared" si="543"/>
        <v>1.1345323297650665</v>
      </c>
      <c r="N5784">
        <f t="shared" si="544"/>
        <v>0</v>
      </c>
      <c r="O5784">
        <f t="shared" si="545"/>
        <v>0</v>
      </c>
      <c r="P5784">
        <f t="shared" si="542"/>
        <v>5500</v>
      </c>
      <c r="Q5784">
        <f t="shared" si="546"/>
        <v>5500</v>
      </c>
      <c r="T5784" s="16">
        <f t="shared" si="547"/>
        <v>1.1345323297650662</v>
      </c>
    </row>
    <row r="5785" spans="7:20" ht="14.4" x14ac:dyDescent="0.25">
      <c r="G5785" s="10">
        <v>445</v>
      </c>
      <c r="H5785" s="9">
        <v>3012</v>
      </c>
      <c r="I5785" s="14">
        <f>DATE(2012,12,31)-972</f>
        <v>40302</v>
      </c>
      <c r="J5785" s="15" t="s">
        <v>30</v>
      </c>
      <c r="K5785" s="9">
        <v>41</v>
      </c>
      <c r="L5785" s="16" t="s">
        <v>26</v>
      </c>
      <c r="M5785" s="16">
        <f t="shared" si="543"/>
        <v>1.0654725531458451</v>
      </c>
      <c r="N5785">
        <f t="shared" si="544"/>
        <v>0</v>
      </c>
      <c r="O5785">
        <f t="shared" si="545"/>
        <v>0</v>
      </c>
      <c r="P5785">
        <f t="shared" si="542"/>
        <v>5450</v>
      </c>
      <c r="Q5785">
        <f t="shared" si="546"/>
        <v>5450</v>
      </c>
      <c r="T5785" s="16">
        <f t="shared" si="547"/>
        <v>1.0654725531458447</v>
      </c>
    </row>
    <row r="5786" spans="7:20" ht="14.4" x14ac:dyDescent="0.25">
      <c r="G5786" s="10">
        <v>465</v>
      </c>
      <c r="H5786" s="9">
        <v>3169</v>
      </c>
      <c r="I5786" s="14">
        <f>DATE(2012,12,31)-742</f>
        <v>40532</v>
      </c>
      <c r="J5786" s="15" t="s">
        <v>16</v>
      </c>
      <c r="K5786" s="9">
        <v>7</v>
      </c>
      <c r="L5786" s="16" t="s">
        <v>26</v>
      </c>
      <c r="M5786" s="16">
        <f t="shared" si="543"/>
        <v>-1.2825598519076837</v>
      </c>
      <c r="N5786">
        <f t="shared" si="544"/>
        <v>0</v>
      </c>
      <c r="O5786">
        <f t="shared" si="545"/>
        <v>0</v>
      </c>
      <c r="P5786">
        <f t="shared" si="542"/>
        <v>3750</v>
      </c>
      <c r="Q5786">
        <f t="shared" si="546"/>
        <v>3750</v>
      </c>
      <c r="T5786" s="16">
        <f t="shared" si="547"/>
        <v>-1.2825598519076842</v>
      </c>
    </row>
    <row r="5787" spans="7:20" ht="14.4" x14ac:dyDescent="0.25">
      <c r="G5787" s="10">
        <v>479</v>
      </c>
      <c r="H5787" s="9">
        <v>3331</v>
      </c>
      <c r="I5787" s="14">
        <f>DATE(2012,12,31)-956</f>
        <v>40318</v>
      </c>
      <c r="J5787" s="15" t="s">
        <v>17</v>
      </c>
      <c r="K5787" s="9">
        <v>31</v>
      </c>
      <c r="L5787" s="16" t="s">
        <v>26</v>
      </c>
      <c r="M5787" s="16">
        <f t="shared" si="543"/>
        <v>0.37487478695363075</v>
      </c>
      <c r="N5787">
        <f t="shared" si="544"/>
        <v>0</v>
      </c>
      <c r="O5787">
        <f t="shared" si="545"/>
        <v>0</v>
      </c>
      <c r="P5787">
        <f t="shared" si="542"/>
        <v>4950</v>
      </c>
      <c r="Q5787">
        <f t="shared" si="546"/>
        <v>4950</v>
      </c>
      <c r="T5787" s="16">
        <f t="shared" si="547"/>
        <v>0.37487478695363036</v>
      </c>
    </row>
    <row r="5788" spans="7:20" ht="14.4" x14ac:dyDescent="0.25">
      <c r="G5788" s="10">
        <v>538</v>
      </c>
      <c r="H5788" s="9">
        <v>3650</v>
      </c>
      <c r="I5788" s="14">
        <f>DATE(2012,12,31)-218</f>
        <v>41056</v>
      </c>
      <c r="J5788" s="15" t="s">
        <v>28</v>
      </c>
      <c r="K5788" s="9">
        <v>36</v>
      </c>
      <c r="L5788" s="16" t="s">
        <v>26</v>
      </c>
      <c r="M5788" s="16">
        <f t="shared" si="543"/>
        <v>0.72017367004973787</v>
      </c>
      <c r="N5788">
        <f t="shared" si="544"/>
        <v>0</v>
      </c>
      <c r="O5788">
        <f t="shared" si="545"/>
        <v>0</v>
      </c>
      <c r="P5788">
        <f t="shared" si="542"/>
        <v>5200</v>
      </c>
      <c r="Q5788">
        <f t="shared" si="546"/>
        <v>5200</v>
      </c>
      <c r="T5788" s="16">
        <f t="shared" si="547"/>
        <v>0.72017367004973754</v>
      </c>
    </row>
    <row r="5789" spans="7:20" ht="14.4" x14ac:dyDescent="0.25">
      <c r="G5789" s="10">
        <v>539</v>
      </c>
      <c r="H5789" s="9">
        <v>3650</v>
      </c>
      <c r="I5789" s="14">
        <f>DATE(2012,12,31)-218</f>
        <v>41056</v>
      </c>
      <c r="J5789" s="15" t="s">
        <v>28</v>
      </c>
      <c r="K5789" s="9">
        <v>24</v>
      </c>
      <c r="L5789" s="16" t="s">
        <v>29</v>
      </c>
      <c r="M5789" s="16">
        <f t="shared" si="543"/>
        <v>-0.1085436493809193</v>
      </c>
      <c r="N5789">
        <f t="shared" si="544"/>
        <v>0</v>
      </c>
      <c r="O5789">
        <f t="shared" si="545"/>
        <v>0</v>
      </c>
      <c r="P5789">
        <f t="shared" si="542"/>
        <v>4600</v>
      </c>
      <c r="Q5789">
        <f t="shared" si="546"/>
        <v>4600</v>
      </c>
      <c r="T5789" s="16">
        <f t="shared" si="547"/>
        <v>-0.10854364938091969</v>
      </c>
    </row>
    <row r="5790" spans="7:20" ht="14.4" x14ac:dyDescent="0.25">
      <c r="G5790" s="10">
        <v>560</v>
      </c>
      <c r="H5790" s="9">
        <v>3783</v>
      </c>
      <c r="I5790" s="14">
        <f>DATE(2012,12,31)-757</f>
        <v>40517</v>
      </c>
      <c r="J5790" s="15" t="s">
        <v>28</v>
      </c>
      <c r="K5790" s="9">
        <v>11</v>
      </c>
      <c r="L5790" s="16" t="s">
        <v>27</v>
      </c>
      <c r="M5790" s="16">
        <f t="shared" si="543"/>
        <v>-1.0063207454307979</v>
      </c>
      <c r="N5790">
        <f t="shared" si="544"/>
        <v>0</v>
      </c>
      <c r="O5790">
        <f t="shared" si="545"/>
        <v>0</v>
      </c>
      <c r="P5790">
        <f t="shared" si="542"/>
        <v>3950</v>
      </c>
      <c r="Q5790">
        <f t="shared" si="546"/>
        <v>3950</v>
      </c>
      <c r="T5790" s="16">
        <f t="shared" si="547"/>
        <v>-1.0063207454307983</v>
      </c>
    </row>
    <row r="5791" spans="7:20" ht="14.4" x14ac:dyDescent="0.25">
      <c r="G5791" s="10">
        <v>561</v>
      </c>
      <c r="H5791" s="9">
        <v>3783</v>
      </c>
      <c r="I5791" s="14">
        <f>DATE(2012,12,31)-757</f>
        <v>40517</v>
      </c>
      <c r="J5791" s="15" t="s">
        <v>28</v>
      </c>
      <c r="K5791" s="9">
        <v>40</v>
      </c>
      <c r="L5791" s="16" t="s">
        <v>26</v>
      </c>
      <c r="M5791" s="16">
        <f t="shared" si="543"/>
        <v>0.99641277652662363</v>
      </c>
      <c r="N5791">
        <f t="shared" si="544"/>
        <v>0</v>
      </c>
      <c r="O5791">
        <f t="shared" si="545"/>
        <v>0</v>
      </c>
      <c r="P5791">
        <f t="shared" si="542"/>
        <v>5400</v>
      </c>
      <c r="Q5791">
        <f t="shared" si="546"/>
        <v>5400</v>
      </c>
      <c r="T5791" s="16">
        <f t="shared" si="547"/>
        <v>0.9964127765266233</v>
      </c>
    </row>
    <row r="5792" spans="7:20" ht="14.4" x14ac:dyDescent="0.25">
      <c r="G5792" s="10">
        <v>652</v>
      </c>
      <c r="H5792" s="9">
        <v>4583</v>
      </c>
      <c r="I5792" s="14">
        <f>DATE(2012,12,31)-1194</f>
        <v>40080</v>
      </c>
      <c r="J5792" s="15" t="s">
        <v>16</v>
      </c>
      <c r="K5792" s="9">
        <v>44</v>
      </c>
      <c r="L5792" s="16" t="s">
        <v>29</v>
      </c>
      <c r="M5792" s="16">
        <f t="shared" si="543"/>
        <v>1.2726518830035094</v>
      </c>
      <c r="N5792">
        <f t="shared" si="544"/>
        <v>0</v>
      </c>
      <c r="O5792">
        <f t="shared" si="545"/>
        <v>0</v>
      </c>
      <c r="P5792">
        <f t="shared" si="542"/>
        <v>5600</v>
      </c>
      <c r="Q5792">
        <f t="shared" si="546"/>
        <v>5600</v>
      </c>
      <c r="T5792" s="16">
        <f t="shared" si="547"/>
        <v>1.272651883003509</v>
      </c>
    </row>
    <row r="5793" spans="7:20" ht="14.4" x14ac:dyDescent="0.25">
      <c r="G5793" s="10">
        <v>668</v>
      </c>
      <c r="H5793" s="9">
        <v>4675</v>
      </c>
      <c r="I5793" s="14">
        <f>DATE(2012,12,31)-768</f>
        <v>40506</v>
      </c>
      <c r="J5793" s="15" t="s">
        <v>28</v>
      </c>
      <c r="K5793" s="9">
        <v>4</v>
      </c>
      <c r="L5793" s="16" t="s">
        <v>26</v>
      </c>
      <c r="M5793" s="16">
        <f t="shared" si="543"/>
        <v>-1.489739181765348</v>
      </c>
      <c r="N5793">
        <f t="shared" si="544"/>
        <v>0</v>
      </c>
      <c r="O5793">
        <f t="shared" si="545"/>
        <v>0</v>
      </c>
      <c r="P5793">
        <f t="shared" si="542"/>
        <v>3600</v>
      </c>
      <c r="Q5793">
        <f t="shared" si="546"/>
        <v>3600</v>
      </c>
      <c r="T5793" s="16">
        <f t="shared" si="547"/>
        <v>-1.4897391817653485</v>
      </c>
    </row>
    <row r="5794" spans="7:20" ht="14.4" x14ac:dyDescent="0.25">
      <c r="G5794" s="10">
        <v>684</v>
      </c>
      <c r="H5794" s="9">
        <v>4772</v>
      </c>
      <c r="I5794" s="14">
        <f>DATE(2012,12,31)-1205</f>
        <v>40069</v>
      </c>
      <c r="J5794" s="15" t="s">
        <v>30</v>
      </c>
      <c r="K5794" s="9">
        <v>28</v>
      </c>
      <c r="L5794" s="16" t="s">
        <v>27</v>
      </c>
      <c r="M5794" s="16">
        <f t="shared" si="543"/>
        <v>0.16769545709596645</v>
      </c>
      <c r="N5794">
        <f t="shared" si="544"/>
        <v>0</v>
      </c>
      <c r="O5794">
        <f t="shared" si="545"/>
        <v>0</v>
      </c>
      <c r="P5794">
        <f t="shared" si="542"/>
        <v>4800</v>
      </c>
      <c r="Q5794">
        <f t="shared" si="546"/>
        <v>4800</v>
      </c>
      <c r="T5794" s="16">
        <f t="shared" si="547"/>
        <v>0.16769545709596606</v>
      </c>
    </row>
    <row r="5795" spans="7:20" ht="14.4" x14ac:dyDescent="0.25">
      <c r="G5795" s="10">
        <v>725</v>
      </c>
      <c r="H5795" s="9">
        <v>5217</v>
      </c>
      <c r="I5795" s="14">
        <f>DATE(2012,12,31)-446</f>
        <v>40828</v>
      </c>
      <c r="J5795" s="15" t="s">
        <v>17</v>
      </c>
      <c r="K5795" s="9">
        <v>8</v>
      </c>
      <c r="L5795" s="16" t="s">
        <v>26</v>
      </c>
      <c r="M5795" s="16">
        <f t="shared" si="543"/>
        <v>-1.2135000752884624</v>
      </c>
      <c r="N5795">
        <f t="shared" si="544"/>
        <v>0</v>
      </c>
      <c r="O5795">
        <f t="shared" si="545"/>
        <v>0</v>
      </c>
      <c r="P5795">
        <f t="shared" si="542"/>
        <v>3800</v>
      </c>
      <c r="Q5795">
        <f t="shared" si="546"/>
        <v>3800</v>
      </c>
      <c r="T5795" s="16">
        <f t="shared" si="547"/>
        <v>-1.2135000752884626</v>
      </c>
    </row>
    <row r="5796" spans="7:20" ht="14.4" x14ac:dyDescent="0.25">
      <c r="G5796" s="10">
        <v>726</v>
      </c>
      <c r="H5796" s="9">
        <v>5217</v>
      </c>
      <c r="I5796" s="14">
        <f>DATE(2012,12,31)-446</f>
        <v>40828</v>
      </c>
      <c r="J5796" s="15" t="s">
        <v>17</v>
      </c>
      <c r="K5796" s="9">
        <v>11</v>
      </c>
      <c r="L5796" s="16" t="s">
        <v>26</v>
      </c>
      <c r="M5796" s="16">
        <f t="shared" si="543"/>
        <v>-1.0063207454307979</v>
      </c>
      <c r="N5796">
        <f t="shared" si="544"/>
        <v>0</v>
      </c>
      <c r="O5796">
        <f t="shared" si="545"/>
        <v>0</v>
      </c>
      <c r="P5796">
        <f t="shared" si="542"/>
        <v>3950</v>
      </c>
      <c r="Q5796">
        <f t="shared" si="546"/>
        <v>3950</v>
      </c>
      <c r="T5796" s="16">
        <f t="shared" si="547"/>
        <v>-1.0063207454307983</v>
      </c>
    </row>
    <row r="5797" spans="7:20" ht="14.4" x14ac:dyDescent="0.25">
      <c r="G5797" s="10">
        <v>804</v>
      </c>
      <c r="H5797" s="9">
        <v>5765</v>
      </c>
      <c r="I5797" s="14">
        <f>DATE(2012,12,31)-1113</f>
        <v>40161</v>
      </c>
      <c r="J5797" s="15" t="s">
        <v>25</v>
      </c>
      <c r="K5797" s="9">
        <v>23</v>
      </c>
      <c r="L5797" s="16" t="s">
        <v>26</v>
      </c>
      <c r="M5797" s="16">
        <f t="shared" si="543"/>
        <v>-0.17760342600014073</v>
      </c>
      <c r="N5797">
        <f t="shared" si="544"/>
        <v>0</v>
      </c>
      <c r="O5797">
        <f t="shared" si="545"/>
        <v>0</v>
      </c>
      <c r="P5797">
        <f t="shared" si="542"/>
        <v>4550</v>
      </c>
      <c r="Q5797">
        <f t="shared" si="546"/>
        <v>4550</v>
      </c>
      <c r="T5797" s="16">
        <f t="shared" si="547"/>
        <v>-0.17760342600014112</v>
      </c>
    </row>
    <row r="5798" spans="7:20" ht="14.4" x14ac:dyDescent="0.25">
      <c r="G5798" s="10">
        <v>884</v>
      </c>
      <c r="H5798" s="9">
        <v>6339</v>
      </c>
      <c r="I5798" s="14">
        <f>DATE(2012,12,31)-20</f>
        <v>41254</v>
      </c>
      <c r="J5798" s="15" t="s">
        <v>30</v>
      </c>
      <c r="K5798" s="9">
        <v>20</v>
      </c>
      <c r="L5798" s="16" t="s">
        <v>26</v>
      </c>
      <c r="M5798" s="16">
        <f t="shared" si="543"/>
        <v>-0.38478275585780503</v>
      </c>
      <c r="N5798">
        <f t="shared" si="544"/>
        <v>0</v>
      </c>
      <c r="O5798">
        <f t="shared" si="545"/>
        <v>0</v>
      </c>
      <c r="P5798">
        <f t="shared" si="542"/>
        <v>4400</v>
      </c>
      <c r="Q5798">
        <f t="shared" si="546"/>
        <v>4400</v>
      </c>
      <c r="T5798" s="16">
        <f t="shared" si="547"/>
        <v>-0.38478275585780541</v>
      </c>
    </row>
    <row r="5799" spans="7:20" ht="14.4" x14ac:dyDescent="0.25">
      <c r="G5799" s="10">
        <v>942</v>
      </c>
      <c r="H5799" s="9">
        <v>6848</v>
      </c>
      <c r="I5799" s="14">
        <f>DATE(2012,12,31)-840</f>
        <v>40434</v>
      </c>
      <c r="J5799" s="15" t="s">
        <v>17</v>
      </c>
      <c r="K5799" s="9">
        <v>22</v>
      </c>
      <c r="L5799" s="16" t="s">
        <v>26</v>
      </c>
      <c r="M5799" s="16">
        <f t="shared" si="543"/>
        <v>-0.24666320261936217</v>
      </c>
      <c r="N5799">
        <f t="shared" si="544"/>
        <v>0</v>
      </c>
      <c r="O5799">
        <f t="shared" si="545"/>
        <v>0</v>
      </c>
      <c r="P5799">
        <f t="shared" si="542"/>
        <v>4500</v>
      </c>
      <c r="Q5799">
        <f t="shared" si="546"/>
        <v>4500</v>
      </c>
      <c r="T5799" s="16">
        <f t="shared" si="547"/>
        <v>-0.24666320261936256</v>
      </c>
    </row>
    <row r="5800" spans="7:20" ht="14.4" x14ac:dyDescent="0.25">
      <c r="G5800" s="10">
        <v>1054</v>
      </c>
      <c r="H5800" s="9">
        <v>7782</v>
      </c>
      <c r="I5800" s="14">
        <f>DATE(2012,12,31)-1278</f>
        <v>39996</v>
      </c>
      <c r="J5800" s="15" t="s">
        <v>30</v>
      </c>
      <c r="K5800" s="9">
        <v>20</v>
      </c>
      <c r="L5800" s="16" t="s">
        <v>26</v>
      </c>
      <c r="M5800" s="16">
        <f t="shared" si="543"/>
        <v>-0.38478275585780503</v>
      </c>
      <c r="N5800">
        <f t="shared" si="544"/>
        <v>0</v>
      </c>
      <c r="O5800">
        <f t="shared" si="545"/>
        <v>0</v>
      </c>
      <c r="P5800">
        <f t="shared" si="542"/>
        <v>4400</v>
      </c>
      <c r="Q5800">
        <f t="shared" si="546"/>
        <v>4400</v>
      </c>
      <c r="T5800" s="16">
        <f t="shared" si="547"/>
        <v>-0.38478275585780541</v>
      </c>
    </row>
    <row r="5801" spans="7:20" ht="14.4" x14ac:dyDescent="0.25">
      <c r="G5801" s="10">
        <v>1082</v>
      </c>
      <c r="H5801" s="9">
        <v>7941</v>
      </c>
      <c r="I5801" s="14">
        <f>DATE(2012,12,31)-283</f>
        <v>40991</v>
      </c>
      <c r="J5801" s="15" t="s">
        <v>25</v>
      </c>
      <c r="K5801" s="9">
        <v>50</v>
      </c>
      <c r="L5801" s="16" t="s">
        <v>26</v>
      </c>
      <c r="M5801" s="16">
        <f t="shared" si="543"/>
        <v>1.687010542718838</v>
      </c>
      <c r="N5801">
        <f t="shared" si="544"/>
        <v>0</v>
      </c>
      <c r="O5801">
        <f t="shared" si="545"/>
        <v>0</v>
      </c>
      <c r="P5801">
        <f t="shared" si="542"/>
        <v>5900</v>
      </c>
      <c r="Q5801">
        <f t="shared" si="546"/>
        <v>5900</v>
      </c>
      <c r="T5801" s="16">
        <f t="shared" si="547"/>
        <v>1.6870105427188375</v>
      </c>
    </row>
    <row r="5802" spans="7:20" ht="14.4" x14ac:dyDescent="0.25">
      <c r="G5802" s="10">
        <v>1093</v>
      </c>
      <c r="H5802" s="9">
        <v>8034</v>
      </c>
      <c r="I5802" s="14">
        <f>DATE(2012,12,31)-347</f>
        <v>40927</v>
      </c>
      <c r="J5802" s="15" t="s">
        <v>17</v>
      </c>
      <c r="K5802" s="9">
        <v>31</v>
      </c>
      <c r="L5802" s="16" t="s">
        <v>26</v>
      </c>
      <c r="M5802" s="16">
        <f t="shared" si="543"/>
        <v>0.37487478695363075</v>
      </c>
      <c r="N5802">
        <f t="shared" si="544"/>
        <v>0</v>
      </c>
      <c r="O5802">
        <f t="shared" si="545"/>
        <v>0</v>
      </c>
      <c r="P5802">
        <f t="shared" si="542"/>
        <v>4950</v>
      </c>
      <c r="Q5802">
        <f t="shared" si="546"/>
        <v>4950</v>
      </c>
      <c r="T5802" s="16">
        <f t="shared" si="547"/>
        <v>0.37487478695363036</v>
      </c>
    </row>
    <row r="5803" spans="7:20" ht="14.4" x14ac:dyDescent="0.25">
      <c r="G5803" s="10">
        <v>1094</v>
      </c>
      <c r="H5803" s="9">
        <v>8034</v>
      </c>
      <c r="I5803" s="14">
        <f>DATE(2012,12,31)-347</f>
        <v>40927</v>
      </c>
      <c r="J5803" s="15" t="s">
        <v>17</v>
      </c>
      <c r="K5803" s="9">
        <v>13</v>
      </c>
      <c r="L5803" s="16" t="s">
        <v>26</v>
      </c>
      <c r="M5803" s="16">
        <f t="shared" si="543"/>
        <v>-0.86820119219235514</v>
      </c>
      <c r="N5803">
        <f t="shared" si="544"/>
        <v>0</v>
      </c>
      <c r="O5803">
        <f t="shared" si="545"/>
        <v>0</v>
      </c>
      <c r="P5803">
        <f t="shared" si="542"/>
        <v>4050</v>
      </c>
      <c r="Q5803">
        <f t="shared" si="546"/>
        <v>4050</v>
      </c>
      <c r="T5803" s="16">
        <f t="shared" si="547"/>
        <v>-0.86820119219235548</v>
      </c>
    </row>
    <row r="5804" spans="7:20" ht="14.4" x14ac:dyDescent="0.25">
      <c r="G5804" s="10">
        <v>1095</v>
      </c>
      <c r="H5804" s="9">
        <v>8034</v>
      </c>
      <c r="I5804" s="14">
        <f>DATE(2012,12,31)-347</f>
        <v>40927</v>
      </c>
      <c r="J5804" s="15" t="s">
        <v>17</v>
      </c>
      <c r="K5804" s="9">
        <v>36</v>
      </c>
      <c r="L5804" s="16" t="s">
        <v>29</v>
      </c>
      <c r="M5804" s="16">
        <f t="shared" si="543"/>
        <v>0.72017367004973787</v>
      </c>
      <c r="N5804">
        <f t="shared" si="544"/>
        <v>0</v>
      </c>
      <c r="O5804">
        <f t="shared" si="545"/>
        <v>0</v>
      </c>
      <c r="P5804">
        <f t="shared" si="542"/>
        <v>5200</v>
      </c>
      <c r="Q5804">
        <f t="shared" si="546"/>
        <v>5200</v>
      </c>
      <c r="T5804" s="16">
        <f t="shared" si="547"/>
        <v>0.72017367004973754</v>
      </c>
    </row>
    <row r="5805" spans="7:20" ht="14.4" x14ac:dyDescent="0.25">
      <c r="G5805" s="10">
        <v>1110</v>
      </c>
      <c r="H5805" s="9">
        <v>8135</v>
      </c>
      <c r="I5805" s="14">
        <f>DATE(2012,12,31)-554</f>
        <v>40720</v>
      </c>
      <c r="J5805" s="15" t="s">
        <v>28</v>
      </c>
      <c r="K5805" s="9">
        <v>16</v>
      </c>
      <c r="L5805" s="16" t="s">
        <v>27</v>
      </c>
      <c r="M5805" s="16">
        <f t="shared" si="543"/>
        <v>-0.66102186233469074</v>
      </c>
      <c r="N5805">
        <f t="shared" si="544"/>
        <v>0</v>
      </c>
      <c r="O5805">
        <f t="shared" si="545"/>
        <v>0</v>
      </c>
      <c r="P5805">
        <f t="shared" si="542"/>
        <v>4200</v>
      </c>
      <c r="Q5805">
        <f t="shared" si="546"/>
        <v>4200</v>
      </c>
      <c r="T5805" s="16">
        <f t="shared" si="547"/>
        <v>-0.66102186233469118</v>
      </c>
    </row>
    <row r="5806" spans="7:20" ht="14.4" x14ac:dyDescent="0.25">
      <c r="G5806" s="10">
        <v>1290</v>
      </c>
      <c r="H5806" s="9">
        <v>9473</v>
      </c>
      <c r="I5806" s="14">
        <f>DATE(2012,12,31)-81</f>
        <v>41193</v>
      </c>
      <c r="J5806" s="15" t="s">
        <v>28</v>
      </c>
      <c r="K5806" s="9">
        <v>3</v>
      </c>
      <c r="L5806" s="16" t="s">
        <v>26</v>
      </c>
      <c r="M5806" s="16">
        <f t="shared" si="543"/>
        <v>-1.5587989583845694</v>
      </c>
      <c r="N5806">
        <f t="shared" si="544"/>
        <v>0</v>
      </c>
      <c r="O5806">
        <f t="shared" si="545"/>
        <v>0</v>
      </c>
      <c r="P5806">
        <f t="shared" si="542"/>
        <v>3550</v>
      </c>
      <c r="Q5806">
        <f t="shared" si="546"/>
        <v>3550</v>
      </c>
      <c r="T5806" s="16">
        <f t="shared" si="547"/>
        <v>-1.5587989583845698</v>
      </c>
    </row>
    <row r="5807" spans="7:20" ht="14.4" x14ac:dyDescent="0.25">
      <c r="G5807" s="10">
        <v>1291</v>
      </c>
      <c r="H5807" s="9">
        <v>9473</v>
      </c>
      <c r="I5807" s="14">
        <f>DATE(2012,12,31)-81</f>
        <v>41193</v>
      </c>
      <c r="J5807" s="15" t="s">
        <v>28</v>
      </c>
      <c r="K5807" s="9">
        <v>34</v>
      </c>
      <c r="L5807" s="16" t="s">
        <v>26</v>
      </c>
      <c r="M5807" s="16">
        <f t="shared" si="543"/>
        <v>0.58205411681129504</v>
      </c>
      <c r="N5807">
        <f t="shared" si="544"/>
        <v>0</v>
      </c>
      <c r="O5807">
        <f t="shared" si="545"/>
        <v>0</v>
      </c>
      <c r="P5807">
        <f t="shared" si="542"/>
        <v>5100</v>
      </c>
      <c r="Q5807">
        <f t="shared" si="546"/>
        <v>5100</v>
      </c>
      <c r="T5807" s="16">
        <f t="shared" si="547"/>
        <v>0.58205411681129471</v>
      </c>
    </row>
    <row r="5808" spans="7:20" ht="14.4" x14ac:dyDescent="0.25">
      <c r="G5808" s="10">
        <v>1292</v>
      </c>
      <c r="H5808" s="9">
        <v>9473</v>
      </c>
      <c r="I5808" s="14">
        <f>DATE(2012,12,31)-81</f>
        <v>41193</v>
      </c>
      <c r="J5808" s="15" t="s">
        <v>28</v>
      </c>
      <c r="K5808" s="9">
        <v>31</v>
      </c>
      <c r="L5808" s="16" t="s">
        <v>26</v>
      </c>
      <c r="M5808" s="16">
        <f t="shared" si="543"/>
        <v>0.37487478695363075</v>
      </c>
      <c r="N5808">
        <f t="shared" si="544"/>
        <v>0</v>
      </c>
      <c r="O5808">
        <f t="shared" si="545"/>
        <v>0</v>
      </c>
      <c r="P5808">
        <f t="shared" si="542"/>
        <v>4950</v>
      </c>
      <c r="Q5808">
        <f t="shared" si="546"/>
        <v>4950</v>
      </c>
      <c r="T5808" s="16">
        <f t="shared" si="547"/>
        <v>0.37487478695363036</v>
      </c>
    </row>
    <row r="5809" spans="7:20" ht="14.4" x14ac:dyDescent="0.25">
      <c r="G5809" s="10">
        <v>1404</v>
      </c>
      <c r="H5809" s="9">
        <v>10210</v>
      </c>
      <c r="I5809" s="14">
        <f>DATE(2012,12,31)-557</f>
        <v>40717</v>
      </c>
      <c r="J5809" s="15" t="s">
        <v>28</v>
      </c>
      <c r="K5809" s="9">
        <v>10</v>
      </c>
      <c r="L5809" s="16" t="s">
        <v>27</v>
      </c>
      <c r="M5809" s="16">
        <f t="shared" si="543"/>
        <v>-1.0753805220500194</v>
      </c>
      <c r="N5809">
        <f t="shared" si="544"/>
        <v>0</v>
      </c>
      <c r="O5809">
        <f t="shared" si="545"/>
        <v>0</v>
      </c>
      <c r="P5809">
        <f t="shared" si="542"/>
        <v>3900</v>
      </c>
      <c r="Q5809">
        <f t="shared" si="546"/>
        <v>3900</v>
      </c>
      <c r="T5809" s="16">
        <f t="shared" si="547"/>
        <v>-1.0753805220500199</v>
      </c>
    </row>
    <row r="5810" spans="7:20" ht="14.4" x14ac:dyDescent="0.25">
      <c r="G5810" s="10">
        <v>1421</v>
      </c>
      <c r="H5810" s="9">
        <v>10308</v>
      </c>
      <c r="I5810" s="14">
        <f>DATE(2012,12,31)-621</f>
        <v>40653</v>
      </c>
      <c r="J5810" s="15" t="s">
        <v>17</v>
      </c>
      <c r="K5810" s="9">
        <v>40</v>
      </c>
      <c r="L5810" s="16" t="s">
        <v>27</v>
      </c>
      <c r="M5810" s="16">
        <f t="shared" si="543"/>
        <v>0.99641277652662363</v>
      </c>
      <c r="N5810">
        <f t="shared" si="544"/>
        <v>0</v>
      </c>
      <c r="O5810">
        <f t="shared" si="545"/>
        <v>0</v>
      </c>
      <c r="P5810">
        <f t="shared" si="542"/>
        <v>5400</v>
      </c>
      <c r="Q5810">
        <f t="shared" si="546"/>
        <v>5400</v>
      </c>
      <c r="T5810" s="16">
        <f t="shared" si="547"/>
        <v>0.9964127765266233</v>
      </c>
    </row>
    <row r="5811" spans="7:20" ht="14.4" x14ac:dyDescent="0.25">
      <c r="G5811" s="10">
        <v>1516</v>
      </c>
      <c r="H5811" s="9">
        <v>10951</v>
      </c>
      <c r="I5811" s="14">
        <f>DATE(2012,12,31)-55</f>
        <v>41219</v>
      </c>
      <c r="J5811" s="15" t="s">
        <v>28</v>
      </c>
      <c r="K5811" s="9">
        <v>14</v>
      </c>
      <c r="L5811" s="16" t="s">
        <v>29</v>
      </c>
      <c r="M5811" s="16">
        <f t="shared" si="543"/>
        <v>-0.79914141557313367</v>
      </c>
      <c r="N5811">
        <f t="shared" si="544"/>
        <v>0</v>
      </c>
      <c r="O5811">
        <f t="shared" si="545"/>
        <v>0</v>
      </c>
      <c r="P5811">
        <f t="shared" si="542"/>
        <v>4100</v>
      </c>
      <c r="Q5811">
        <f t="shared" si="546"/>
        <v>4100</v>
      </c>
      <c r="T5811" s="16">
        <f t="shared" si="547"/>
        <v>-0.79914141557313401</v>
      </c>
    </row>
    <row r="5812" spans="7:20" ht="14.4" x14ac:dyDescent="0.25">
      <c r="G5812" s="10">
        <v>1687</v>
      </c>
      <c r="H5812" s="9">
        <v>12194</v>
      </c>
      <c r="I5812" s="14">
        <f>DATE(2012,12,31)-671</f>
        <v>40603</v>
      </c>
      <c r="J5812" s="15" t="s">
        <v>30</v>
      </c>
      <c r="K5812" s="9">
        <v>19</v>
      </c>
      <c r="L5812" s="16" t="s">
        <v>27</v>
      </c>
      <c r="M5812" s="16">
        <f t="shared" si="543"/>
        <v>-0.45384253247702649</v>
      </c>
      <c r="N5812">
        <f t="shared" si="544"/>
        <v>0</v>
      </c>
      <c r="O5812">
        <f t="shared" si="545"/>
        <v>0</v>
      </c>
      <c r="P5812">
        <f t="shared" si="542"/>
        <v>4350</v>
      </c>
      <c r="Q5812">
        <f t="shared" si="546"/>
        <v>4350</v>
      </c>
      <c r="T5812" s="16">
        <f t="shared" si="547"/>
        <v>-0.45384253247702688</v>
      </c>
    </row>
    <row r="5813" spans="7:20" ht="14.4" x14ac:dyDescent="0.25">
      <c r="G5813" s="10">
        <v>1766</v>
      </c>
      <c r="H5813" s="9">
        <v>12642</v>
      </c>
      <c r="I5813" s="14">
        <f>DATE(2012,12,31)-1344</f>
        <v>39930</v>
      </c>
      <c r="J5813" s="15" t="s">
        <v>30</v>
      </c>
      <c r="K5813" s="9">
        <v>10</v>
      </c>
      <c r="L5813" s="16" t="s">
        <v>26</v>
      </c>
      <c r="M5813" s="16">
        <f t="shared" si="543"/>
        <v>-1.0753805220500194</v>
      </c>
      <c r="N5813">
        <f t="shared" si="544"/>
        <v>0</v>
      </c>
      <c r="O5813">
        <f t="shared" si="545"/>
        <v>0</v>
      </c>
      <c r="P5813">
        <f t="shared" si="542"/>
        <v>3900</v>
      </c>
      <c r="Q5813">
        <f t="shared" si="546"/>
        <v>3900</v>
      </c>
      <c r="T5813" s="16">
        <f t="shared" si="547"/>
        <v>-1.0753805220500199</v>
      </c>
    </row>
    <row r="5814" spans="7:20" ht="14.4" x14ac:dyDescent="0.25">
      <c r="G5814" s="10">
        <v>1767</v>
      </c>
      <c r="H5814" s="9">
        <v>12642</v>
      </c>
      <c r="I5814" s="14">
        <f>DATE(2012,12,31)-1344</f>
        <v>39930</v>
      </c>
      <c r="J5814" s="15" t="s">
        <v>30</v>
      </c>
      <c r="K5814" s="9">
        <v>14</v>
      </c>
      <c r="L5814" s="16" t="s">
        <v>27</v>
      </c>
      <c r="M5814" s="16">
        <f t="shared" si="543"/>
        <v>-0.79914141557313367</v>
      </c>
      <c r="N5814">
        <f t="shared" si="544"/>
        <v>0</v>
      </c>
      <c r="O5814">
        <f t="shared" si="545"/>
        <v>0</v>
      </c>
      <c r="P5814">
        <f t="shared" si="542"/>
        <v>4100</v>
      </c>
      <c r="Q5814">
        <f t="shared" si="546"/>
        <v>4100</v>
      </c>
      <c r="T5814" s="16">
        <f t="shared" si="547"/>
        <v>-0.79914141557313401</v>
      </c>
    </row>
    <row r="5815" spans="7:20" ht="14.4" x14ac:dyDescent="0.25">
      <c r="G5815" s="10">
        <v>1884</v>
      </c>
      <c r="H5815" s="9">
        <v>13542</v>
      </c>
      <c r="I5815" s="14">
        <f>DATE(2012,12,31)-1394</f>
        <v>39880</v>
      </c>
      <c r="J5815" s="15" t="s">
        <v>25</v>
      </c>
      <c r="K5815" s="9">
        <v>11</v>
      </c>
      <c r="L5815" s="16" t="s">
        <v>29</v>
      </c>
      <c r="M5815" s="16">
        <f t="shared" si="543"/>
        <v>-1.0063207454307979</v>
      </c>
      <c r="N5815">
        <f t="shared" si="544"/>
        <v>0</v>
      </c>
      <c r="O5815">
        <f t="shared" si="545"/>
        <v>0</v>
      </c>
      <c r="P5815">
        <f t="shared" si="542"/>
        <v>3950</v>
      </c>
      <c r="Q5815">
        <f t="shared" si="546"/>
        <v>3950</v>
      </c>
      <c r="T5815" s="16">
        <f t="shared" si="547"/>
        <v>-1.0063207454307983</v>
      </c>
    </row>
    <row r="5816" spans="7:20" ht="14.4" x14ac:dyDescent="0.25">
      <c r="G5816" s="10">
        <v>1885</v>
      </c>
      <c r="H5816" s="9">
        <v>13542</v>
      </c>
      <c r="I5816" s="14">
        <f>DATE(2012,12,31)-1394</f>
        <v>39880</v>
      </c>
      <c r="J5816" s="15" t="s">
        <v>25</v>
      </c>
      <c r="K5816" s="9">
        <v>33</v>
      </c>
      <c r="L5816" s="16" t="s">
        <v>26</v>
      </c>
      <c r="M5816" s="16">
        <f t="shared" si="543"/>
        <v>0.51299434019207357</v>
      </c>
      <c r="N5816">
        <f t="shared" si="544"/>
        <v>0</v>
      </c>
      <c r="O5816">
        <f t="shared" si="545"/>
        <v>0</v>
      </c>
      <c r="P5816">
        <f t="shared" si="542"/>
        <v>5050</v>
      </c>
      <c r="Q5816">
        <f t="shared" si="546"/>
        <v>5050</v>
      </c>
      <c r="T5816" s="16">
        <f t="shared" si="547"/>
        <v>0.51299434019207324</v>
      </c>
    </row>
    <row r="5817" spans="7:20" ht="14.4" x14ac:dyDescent="0.25">
      <c r="G5817" s="10">
        <v>1954</v>
      </c>
      <c r="H5817" s="9">
        <v>13988</v>
      </c>
      <c r="I5817" s="14">
        <f>DATE(2012,12,31)-152</f>
        <v>41122</v>
      </c>
      <c r="J5817" s="15" t="s">
        <v>28</v>
      </c>
      <c r="K5817" s="9">
        <v>34</v>
      </c>
      <c r="L5817" s="16" t="s">
        <v>29</v>
      </c>
      <c r="M5817" s="16">
        <f t="shared" si="543"/>
        <v>0.58205411681129504</v>
      </c>
      <c r="N5817">
        <f t="shared" si="544"/>
        <v>0</v>
      </c>
      <c r="O5817">
        <f t="shared" si="545"/>
        <v>0</v>
      </c>
      <c r="P5817">
        <f t="shared" si="542"/>
        <v>5100</v>
      </c>
      <c r="Q5817">
        <f t="shared" si="546"/>
        <v>5100</v>
      </c>
      <c r="T5817" s="16">
        <f t="shared" si="547"/>
        <v>0.58205411681129471</v>
      </c>
    </row>
    <row r="5818" spans="7:20" ht="14.4" x14ac:dyDescent="0.25">
      <c r="G5818" s="10">
        <v>1955</v>
      </c>
      <c r="H5818" s="9">
        <v>13988</v>
      </c>
      <c r="I5818" s="14">
        <f>DATE(2012,12,31)-152</f>
        <v>41122</v>
      </c>
      <c r="J5818" s="15" t="s">
        <v>28</v>
      </c>
      <c r="K5818" s="9">
        <v>39</v>
      </c>
      <c r="L5818" s="16" t="s">
        <v>26</v>
      </c>
      <c r="M5818" s="16">
        <f t="shared" si="543"/>
        <v>0.92735299990740228</v>
      </c>
      <c r="N5818">
        <f t="shared" si="544"/>
        <v>0</v>
      </c>
      <c r="O5818">
        <f t="shared" si="545"/>
        <v>0</v>
      </c>
      <c r="P5818">
        <f t="shared" si="542"/>
        <v>5350</v>
      </c>
      <c r="Q5818">
        <f t="shared" si="546"/>
        <v>5350</v>
      </c>
      <c r="T5818" s="16">
        <f t="shared" si="547"/>
        <v>0.92735299990740183</v>
      </c>
    </row>
    <row r="5819" spans="7:20" ht="14.4" x14ac:dyDescent="0.25">
      <c r="G5819" s="10">
        <v>1956</v>
      </c>
      <c r="H5819" s="9">
        <v>13988</v>
      </c>
      <c r="I5819" s="14">
        <f>DATE(2012,12,31)-152</f>
        <v>41122</v>
      </c>
      <c r="J5819" s="15" t="s">
        <v>28</v>
      </c>
      <c r="K5819" s="9">
        <v>18</v>
      </c>
      <c r="L5819" s="16" t="s">
        <v>26</v>
      </c>
      <c r="M5819" s="16">
        <f t="shared" si="543"/>
        <v>-0.52290230909624791</v>
      </c>
      <c r="N5819">
        <f t="shared" si="544"/>
        <v>0</v>
      </c>
      <c r="O5819">
        <f t="shared" si="545"/>
        <v>0</v>
      </c>
      <c r="P5819">
        <f t="shared" si="542"/>
        <v>4300</v>
      </c>
      <c r="Q5819">
        <f t="shared" si="546"/>
        <v>4300</v>
      </c>
      <c r="T5819" s="16">
        <f t="shared" si="547"/>
        <v>-0.52290230909624835</v>
      </c>
    </row>
    <row r="5820" spans="7:20" ht="14.4" x14ac:dyDescent="0.25">
      <c r="G5820" s="10">
        <v>1996</v>
      </c>
      <c r="H5820" s="9">
        <v>14241</v>
      </c>
      <c r="I5820" s="14">
        <f>DATE(2012,12,31)-200</f>
        <v>41074</v>
      </c>
      <c r="J5820" s="15" t="s">
        <v>30</v>
      </c>
      <c r="K5820" s="9">
        <v>22</v>
      </c>
      <c r="L5820" s="16" t="s">
        <v>26</v>
      </c>
      <c r="M5820" s="16">
        <f t="shared" si="543"/>
        <v>-0.24666320261936217</v>
      </c>
      <c r="N5820">
        <f t="shared" si="544"/>
        <v>0</v>
      </c>
      <c r="O5820">
        <f t="shared" si="545"/>
        <v>0</v>
      </c>
      <c r="P5820">
        <f t="shared" si="542"/>
        <v>4500</v>
      </c>
      <c r="Q5820">
        <f t="shared" si="546"/>
        <v>4500</v>
      </c>
      <c r="T5820" s="16">
        <f t="shared" si="547"/>
        <v>-0.24666320261936256</v>
      </c>
    </row>
    <row r="5821" spans="7:20" ht="14.4" x14ac:dyDescent="0.25">
      <c r="G5821" s="10">
        <v>1997</v>
      </c>
      <c r="H5821" s="9">
        <v>14242</v>
      </c>
      <c r="I5821" s="14">
        <f>DATE(2012,12,31)-603</f>
        <v>40671</v>
      </c>
      <c r="J5821" s="15" t="s">
        <v>17</v>
      </c>
      <c r="K5821" s="9">
        <v>35</v>
      </c>
      <c r="L5821" s="16" t="s">
        <v>27</v>
      </c>
      <c r="M5821" s="16">
        <f t="shared" si="543"/>
        <v>0.65111389343051651</v>
      </c>
      <c r="N5821">
        <f t="shared" si="544"/>
        <v>0</v>
      </c>
      <c r="O5821">
        <f t="shared" si="545"/>
        <v>0</v>
      </c>
      <c r="P5821">
        <f t="shared" si="542"/>
        <v>5150</v>
      </c>
      <c r="Q5821">
        <f t="shared" si="546"/>
        <v>5150</v>
      </c>
      <c r="T5821" s="16">
        <f t="shared" si="547"/>
        <v>0.65111389343051607</v>
      </c>
    </row>
    <row r="5822" spans="7:20" ht="14.4" x14ac:dyDescent="0.25">
      <c r="G5822" s="10">
        <v>2085</v>
      </c>
      <c r="H5822" s="9">
        <v>14913</v>
      </c>
      <c r="I5822" s="14">
        <f>DATE(2012,12,31)-1416</f>
        <v>39858</v>
      </c>
      <c r="J5822" s="15" t="s">
        <v>17</v>
      </c>
      <c r="K5822" s="9">
        <v>47</v>
      </c>
      <c r="L5822" s="16" t="s">
        <v>26</v>
      </c>
      <c r="M5822" s="16">
        <f t="shared" si="543"/>
        <v>1.4798312128611737</v>
      </c>
      <c r="N5822">
        <f t="shared" si="544"/>
        <v>0</v>
      </c>
      <c r="O5822">
        <f t="shared" si="545"/>
        <v>0</v>
      </c>
      <c r="P5822">
        <f t="shared" si="542"/>
        <v>5750</v>
      </c>
      <c r="Q5822">
        <f t="shared" si="546"/>
        <v>5750</v>
      </c>
      <c r="T5822" s="16">
        <f t="shared" si="547"/>
        <v>1.4798312128611733</v>
      </c>
    </row>
    <row r="5823" spans="7:20" ht="14.4" x14ac:dyDescent="0.25">
      <c r="G5823" s="10">
        <v>2089</v>
      </c>
      <c r="H5823" s="9">
        <v>14951</v>
      </c>
      <c r="I5823" s="14">
        <f>DATE(2012,12,31)-594</f>
        <v>40680</v>
      </c>
      <c r="J5823" s="15" t="s">
        <v>16</v>
      </c>
      <c r="K5823" s="9">
        <v>34</v>
      </c>
      <c r="L5823" s="16" t="s">
        <v>27</v>
      </c>
      <c r="M5823" s="16">
        <f t="shared" si="543"/>
        <v>0.58205411681129504</v>
      </c>
      <c r="N5823">
        <f t="shared" si="544"/>
        <v>0</v>
      </c>
      <c r="O5823">
        <f t="shared" si="545"/>
        <v>0</v>
      </c>
      <c r="P5823">
        <f t="shared" si="542"/>
        <v>5100</v>
      </c>
      <c r="Q5823">
        <f t="shared" si="546"/>
        <v>5100</v>
      </c>
      <c r="T5823" s="16">
        <f t="shared" si="547"/>
        <v>0.58205411681129471</v>
      </c>
    </row>
    <row r="5824" spans="7:20" ht="14.4" x14ac:dyDescent="0.25">
      <c r="G5824" s="10">
        <v>2090</v>
      </c>
      <c r="H5824" s="9">
        <v>14951</v>
      </c>
      <c r="I5824" s="14">
        <f>DATE(2012,12,31)-594</f>
        <v>40680</v>
      </c>
      <c r="J5824" s="15" t="s">
        <v>16</v>
      </c>
      <c r="K5824" s="9">
        <v>26</v>
      </c>
      <c r="L5824" s="16" t="s">
        <v>26</v>
      </c>
      <c r="M5824" s="16">
        <f t="shared" si="543"/>
        <v>2.9575903857523567E-2</v>
      </c>
      <c r="N5824">
        <f t="shared" si="544"/>
        <v>0</v>
      </c>
      <c r="O5824">
        <f t="shared" si="545"/>
        <v>0</v>
      </c>
      <c r="P5824">
        <f t="shared" si="542"/>
        <v>4700</v>
      </c>
      <c r="Q5824">
        <f t="shared" si="546"/>
        <v>4700</v>
      </c>
      <c r="T5824" s="16">
        <f t="shared" si="547"/>
        <v>2.9575903857523185E-2</v>
      </c>
    </row>
    <row r="5825" spans="7:20" ht="14.4" x14ac:dyDescent="0.25">
      <c r="G5825" s="10">
        <v>2097</v>
      </c>
      <c r="H5825" s="9">
        <v>14983</v>
      </c>
      <c r="I5825" s="14">
        <f>DATE(2012,12,31)-1419</f>
        <v>39855</v>
      </c>
      <c r="J5825" s="15" t="s">
        <v>17</v>
      </c>
      <c r="K5825" s="9">
        <v>48</v>
      </c>
      <c r="L5825" s="16" t="s">
        <v>27</v>
      </c>
      <c r="M5825" s="16">
        <f t="shared" si="543"/>
        <v>1.5488909894803951</v>
      </c>
      <c r="N5825">
        <f t="shared" si="544"/>
        <v>0</v>
      </c>
      <c r="O5825">
        <f t="shared" si="545"/>
        <v>0</v>
      </c>
      <c r="P5825">
        <f t="shared" si="542"/>
        <v>5800</v>
      </c>
      <c r="Q5825">
        <f t="shared" si="546"/>
        <v>5800</v>
      </c>
      <c r="T5825" s="16">
        <f t="shared" si="547"/>
        <v>1.5488909894803948</v>
      </c>
    </row>
    <row r="5826" spans="7:20" ht="14.4" x14ac:dyDescent="0.25">
      <c r="G5826" s="10">
        <v>2098</v>
      </c>
      <c r="H5826" s="9">
        <v>14983</v>
      </c>
      <c r="I5826" s="14">
        <f>DATE(2012,12,31)-1419</f>
        <v>39855</v>
      </c>
      <c r="J5826" s="15" t="s">
        <v>17</v>
      </c>
      <c r="K5826" s="9">
        <v>18</v>
      </c>
      <c r="L5826" s="16" t="s">
        <v>27</v>
      </c>
      <c r="M5826" s="16">
        <f t="shared" si="543"/>
        <v>-0.52290230909624791</v>
      </c>
      <c r="N5826">
        <f t="shared" si="544"/>
        <v>0</v>
      </c>
      <c r="O5826">
        <f t="shared" si="545"/>
        <v>0</v>
      </c>
      <c r="P5826">
        <f t="shared" si="542"/>
        <v>4300</v>
      </c>
      <c r="Q5826">
        <f t="shared" si="546"/>
        <v>4300</v>
      </c>
      <c r="T5826" s="16">
        <f t="shared" si="547"/>
        <v>-0.52290230909624835</v>
      </c>
    </row>
    <row r="5827" spans="7:20" ht="14.4" x14ac:dyDescent="0.25">
      <c r="G5827" s="10">
        <v>2160</v>
      </c>
      <c r="H5827" s="9">
        <v>15524</v>
      </c>
      <c r="I5827" s="14">
        <f>DATE(2012,12,31)-234</f>
        <v>41040</v>
      </c>
      <c r="J5827" s="15" t="s">
        <v>16</v>
      </c>
      <c r="K5827" s="9">
        <v>27</v>
      </c>
      <c r="L5827" s="16" t="s">
        <v>26</v>
      </c>
      <c r="M5827" s="16">
        <f t="shared" si="543"/>
        <v>9.8635680476745008E-2</v>
      </c>
      <c r="N5827">
        <f t="shared" si="544"/>
        <v>0</v>
      </c>
      <c r="O5827">
        <f t="shared" si="545"/>
        <v>0</v>
      </c>
      <c r="P5827">
        <f t="shared" si="542"/>
        <v>4750</v>
      </c>
      <c r="Q5827">
        <f t="shared" si="546"/>
        <v>4750</v>
      </c>
      <c r="T5827" s="16">
        <f t="shared" si="547"/>
        <v>9.8635680476744619E-2</v>
      </c>
    </row>
    <row r="5828" spans="7:20" ht="14.4" x14ac:dyDescent="0.25">
      <c r="G5828" s="10">
        <v>2180</v>
      </c>
      <c r="H5828" s="9">
        <v>15714</v>
      </c>
      <c r="I5828" s="14">
        <f>DATE(2012,12,31)-545</f>
        <v>40729</v>
      </c>
      <c r="J5828" s="15" t="s">
        <v>17</v>
      </c>
      <c r="K5828" s="9">
        <v>50</v>
      </c>
      <c r="L5828" s="16" t="s">
        <v>26</v>
      </c>
      <c r="M5828" s="16">
        <f t="shared" si="543"/>
        <v>1.687010542718838</v>
      </c>
      <c r="N5828">
        <f t="shared" si="544"/>
        <v>0</v>
      </c>
      <c r="O5828">
        <f t="shared" si="545"/>
        <v>0</v>
      </c>
      <c r="P5828">
        <f t="shared" si="542"/>
        <v>5900</v>
      </c>
      <c r="Q5828">
        <f t="shared" si="546"/>
        <v>5900</v>
      </c>
      <c r="T5828" s="16">
        <f t="shared" si="547"/>
        <v>1.6870105427188375</v>
      </c>
    </row>
    <row r="5829" spans="7:20" ht="14.4" x14ac:dyDescent="0.25">
      <c r="G5829" s="10">
        <v>2382</v>
      </c>
      <c r="H5829" s="9">
        <v>17282</v>
      </c>
      <c r="I5829" s="14">
        <f>DATE(2012,12,31)-1139</f>
        <v>40135</v>
      </c>
      <c r="J5829" s="15" t="s">
        <v>25</v>
      </c>
      <c r="K5829" s="9">
        <v>37</v>
      </c>
      <c r="L5829" s="16" t="s">
        <v>26</v>
      </c>
      <c r="M5829" s="16">
        <f t="shared" si="543"/>
        <v>0.78923344666895934</v>
      </c>
      <c r="N5829">
        <f t="shared" si="544"/>
        <v>0</v>
      </c>
      <c r="O5829">
        <f t="shared" si="545"/>
        <v>0</v>
      </c>
      <c r="P5829">
        <f t="shared" si="542"/>
        <v>5250</v>
      </c>
      <c r="Q5829">
        <f t="shared" si="546"/>
        <v>5250</v>
      </c>
      <c r="T5829" s="16">
        <f t="shared" si="547"/>
        <v>0.789233446668959</v>
      </c>
    </row>
    <row r="5830" spans="7:20" ht="14.4" x14ac:dyDescent="0.25">
      <c r="G5830" s="10">
        <v>2398</v>
      </c>
      <c r="H5830" s="9">
        <v>17381</v>
      </c>
      <c r="I5830" s="14">
        <f>DATE(2012,12,31)-870</f>
        <v>40404</v>
      </c>
      <c r="J5830" s="15" t="s">
        <v>17</v>
      </c>
      <c r="K5830" s="9">
        <v>28</v>
      </c>
      <c r="L5830" s="16" t="s">
        <v>26</v>
      </c>
      <c r="M5830" s="16">
        <f t="shared" si="543"/>
        <v>0.16769545709596645</v>
      </c>
      <c r="N5830">
        <f t="shared" si="544"/>
        <v>0</v>
      </c>
      <c r="O5830">
        <f t="shared" si="545"/>
        <v>0</v>
      </c>
      <c r="P5830">
        <f t="shared" si="542"/>
        <v>4800</v>
      </c>
      <c r="Q5830">
        <f t="shared" si="546"/>
        <v>4800</v>
      </c>
      <c r="T5830" s="16">
        <f t="shared" si="547"/>
        <v>0.16769545709596606</v>
      </c>
    </row>
    <row r="5831" spans="7:20" ht="14.4" x14ac:dyDescent="0.25">
      <c r="G5831" s="10">
        <v>2460</v>
      </c>
      <c r="H5831" s="9">
        <v>17862</v>
      </c>
      <c r="I5831" s="14">
        <f>DATE(2012,12,31)-238</f>
        <v>41036</v>
      </c>
      <c r="J5831" s="15" t="s">
        <v>28</v>
      </c>
      <c r="K5831" s="9">
        <v>1</v>
      </c>
      <c r="L5831" s="16" t="s">
        <v>27</v>
      </c>
      <c r="M5831" s="16">
        <f t="shared" si="543"/>
        <v>-1.6969185116230123</v>
      </c>
      <c r="N5831">
        <f t="shared" si="544"/>
        <v>0</v>
      </c>
      <c r="O5831">
        <f t="shared" si="545"/>
        <v>0</v>
      </c>
      <c r="P5831">
        <f t="shared" si="542"/>
        <v>3450</v>
      </c>
      <c r="Q5831">
        <f t="shared" si="546"/>
        <v>3450</v>
      </c>
      <c r="T5831" s="16">
        <f t="shared" si="547"/>
        <v>-1.6969185116230128</v>
      </c>
    </row>
    <row r="5832" spans="7:20" ht="14.4" x14ac:dyDescent="0.25">
      <c r="G5832" s="10">
        <v>2461</v>
      </c>
      <c r="H5832" s="9">
        <v>17862</v>
      </c>
      <c r="I5832" s="14">
        <f>DATE(2012,12,31)-238</f>
        <v>41036</v>
      </c>
      <c r="J5832" s="15" t="s">
        <v>28</v>
      </c>
      <c r="K5832" s="9">
        <v>31</v>
      </c>
      <c r="L5832" s="16" t="s">
        <v>26</v>
      </c>
      <c r="M5832" s="16">
        <f t="shared" si="543"/>
        <v>0.37487478695363075</v>
      </c>
      <c r="N5832">
        <f t="shared" si="544"/>
        <v>0</v>
      </c>
      <c r="O5832">
        <f t="shared" si="545"/>
        <v>0</v>
      </c>
      <c r="P5832">
        <f t="shared" si="542"/>
        <v>4950</v>
      </c>
      <c r="Q5832">
        <f t="shared" si="546"/>
        <v>4950</v>
      </c>
      <c r="T5832" s="16">
        <f t="shared" si="547"/>
        <v>0.37487478695363036</v>
      </c>
    </row>
    <row r="5833" spans="7:20" ht="14.4" x14ac:dyDescent="0.25">
      <c r="G5833" s="10">
        <v>2464</v>
      </c>
      <c r="H5833" s="9">
        <v>17927</v>
      </c>
      <c r="I5833" s="14">
        <f>DATE(2012,12,31)-1240</f>
        <v>40034</v>
      </c>
      <c r="J5833" s="15" t="s">
        <v>16</v>
      </c>
      <c r="K5833" s="9">
        <v>42</v>
      </c>
      <c r="L5833" s="16" t="s">
        <v>27</v>
      </c>
      <c r="M5833" s="16">
        <f t="shared" si="543"/>
        <v>1.1345323297650665</v>
      </c>
      <c r="N5833">
        <f t="shared" si="544"/>
        <v>0</v>
      </c>
      <c r="O5833">
        <f t="shared" si="545"/>
        <v>0</v>
      </c>
      <c r="P5833">
        <f t="shared" si="542"/>
        <v>5500</v>
      </c>
      <c r="Q5833">
        <f t="shared" si="546"/>
        <v>5500</v>
      </c>
      <c r="T5833" s="16">
        <f t="shared" si="547"/>
        <v>1.1345323297650662</v>
      </c>
    </row>
    <row r="5834" spans="7:20" ht="14.4" x14ac:dyDescent="0.25">
      <c r="G5834" s="10">
        <v>2477</v>
      </c>
      <c r="H5834" s="9">
        <v>17988</v>
      </c>
      <c r="I5834" s="14">
        <f>DATE(2012,12,31)-831</f>
        <v>40443</v>
      </c>
      <c r="J5834" s="15" t="s">
        <v>25</v>
      </c>
      <c r="K5834" s="9">
        <v>46</v>
      </c>
      <c r="L5834" s="16" t="s">
        <v>27</v>
      </c>
      <c r="M5834" s="16">
        <f t="shared" si="543"/>
        <v>1.4107714362419523</v>
      </c>
      <c r="N5834">
        <f t="shared" si="544"/>
        <v>0</v>
      </c>
      <c r="O5834">
        <f t="shared" si="545"/>
        <v>0</v>
      </c>
      <c r="P5834">
        <f t="shared" si="542"/>
        <v>5700</v>
      </c>
      <c r="Q5834">
        <f t="shared" si="546"/>
        <v>5700</v>
      </c>
      <c r="T5834" s="16">
        <f t="shared" si="547"/>
        <v>1.4107714362419519</v>
      </c>
    </row>
    <row r="5835" spans="7:20" ht="14.4" x14ac:dyDescent="0.25">
      <c r="G5835" s="10">
        <v>2481</v>
      </c>
      <c r="H5835" s="9">
        <v>18049</v>
      </c>
      <c r="I5835" s="14">
        <f>DATE(2012,12,31)-1236</f>
        <v>40038</v>
      </c>
      <c r="J5835" s="15" t="s">
        <v>16</v>
      </c>
      <c r="K5835" s="9">
        <v>10</v>
      </c>
      <c r="L5835" s="16" t="s">
        <v>26</v>
      </c>
      <c r="M5835" s="16">
        <f t="shared" si="543"/>
        <v>-1.0753805220500194</v>
      </c>
      <c r="N5835">
        <f t="shared" si="544"/>
        <v>0</v>
      </c>
      <c r="O5835">
        <f t="shared" si="545"/>
        <v>0</v>
      </c>
      <c r="P5835">
        <f t="shared" si="542"/>
        <v>3900</v>
      </c>
      <c r="Q5835">
        <f t="shared" si="546"/>
        <v>3900</v>
      </c>
      <c r="T5835" s="16">
        <f t="shared" si="547"/>
        <v>-1.0753805220500199</v>
      </c>
    </row>
    <row r="5836" spans="7:20" ht="14.4" x14ac:dyDescent="0.25">
      <c r="G5836" s="10">
        <v>2518</v>
      </c>
      <c r="H5836" s="9">
        <v>18307</v>
      </c>
      <c r="I5836" s="14">
        <f>DATE(2012,12,31)-1063</f>
        <v>40211</v>
      </c>
      <c r="J5836" s="15" t="s">
        <v>25</v>
      </c>
      <c r="K5836" s="9">
        <v>23</v>
      </c>
      <c r="L5836" s="16" t="s">
        <v>26</v>
      </c>
      <c r="M5836" s="16">
        <f t="shared" si="543"/>
        <v>-0.17760342600014073</v>
      </c>
      <c r="N5836">
        <f t="shared" si="544"/>
        <v>0</v>
      </c>
      <c r="O5836">
        <f t="shared" si="545"/>
        <v>0</v>
      </c>
      <c r="P5836">
        <f t="shared" ref="P5836:P5899" si="548">50*K5836+$P$10</f>
        <v>4550</v>
      </c>
      <c r="Q5836">
        <f t="shared" si="546"/>
        <v>4550</v>
      </c>
      <c r="T5836" s="16">
        <f t="shared" si="547"/>
        <v>-0.17760342600014112</v>
      </c>
    </row>
    <row r="5837" spans="7:20" ht="14.4" x14ac:dyDescent="0.25">
      <c r="G5837" s="10">
        <v>2519</v>
      </c>
      <c r="H5837" s="9">
        <v>18307</v>
      </c>
      <c r="I5837" s="14">
        <f>DATE(2012,12,31)-1063</f>
        <v>40211</v>
      </c>
      <c r="J5837" s="15" t="s">
        <v>25</v>
      </c>
      <c r="K5837" s="9">
        <v>34</v>
      </c>
      <c r="L5837" s="16" t="s">
        <v>26</v>
      </c>
      <c r="M5837" s="16">
        <f t="shared" ref="M5837:M5900" si="549">(K5837-$K$4)/$K$7</f>
        <v>0.58205411681129504</v>
      </c>
      <c r="N5837">
        <f t="shared" ref="N5837:N5900" si="550">IF(MOD($B$20+G5837,1000)=0,1,0)</f>
        <v>0</v>
      </c>
      <c r="O5837">
        <f t="shared" ref="O5837:O5900" si="551">+ROUND(N5837*(IF(K5837&lt;$K$4,-4.5,10.5)*$P$5),-2)</f>
        <v>0</v>
      </c>
      <c r="P5837">
        <f t="shared" si="548"/>
        <v>5100</v>
      </c>
      <c r="Q5837">
        <f t="shared" ref="Q5837:Q5900" si="552">P5837+O5837</f>
        <v>5100</v>
      </c>
      <c r="T5837" s="16">
        <f t="shared" ref="T5837:T5900" si="553">(Q5837-$P$4)/$P$5</f>
        <v>0.58205411681129471</v>
      </c>
    </row>
    <row r="5838" spans="7:20" ht="14.4" x14ac:dyDescent="0.25">
      <c r="G5838" s="10">
        <v>2530</v>
      </c>
      <c r="H5838" s="9">
        <v>18370</v>
      </c>
      <c r="I5838" s="14">
        <f>DATE(2012,12,31)-718</f>
        <v>40556</v>
      </c>
      <c r="J5838" s="15" t="s">
        <v>25</v>
      </c>
      <c r="K5838" s="9">
        <v>41</v>
      </c>
      <c r="L5838" s="16" t="s">
        <v>27</v>
      </c>
      <c r="M5838" s="16">
        <f t="shared" si="549"/>
        <v>1.0654725531458451</v>
      </c>
      <c r="N5838">
        <f t="shared" si="550"/>
        <v>0</v>
      </c>
      <c r="O5838">
        <f t="shared" si="551"/>
        <v>0</v>
      </c>
      <c r="P5838">
        <f t="shared" si="548"/>
        <v>5450</v>
      </c>
      <c r="Q5838">
        <f t="shared" si="552"/>
        <v>5450</v>
      </c>
      <c r="T5838" s="16">
        <f t="shared" si="553"/>
        <v>1.0654725531458447</v>
      </c>
    </row>
    <row r="5839" spans="7:20" ht="14.4" x14ac:dyDescent="0.25">
      <c r="G5839" s="10">
        <v>2531</v>
      </c>
      <c r="H5839" s="9">
        <v>18371</v>
      </c>
      <c r="I5839" s="14">
        <f>DATE(2012,12,31)-1200</f>
        <v>40074</v>
      </c>
      <c r="J5839" s="15" t="s">
        <v>16</v>
      </c>
      <c r="K5839" s="9">
        <v>30</v>
      </c>
      <c r="L5839" s="16" t="s">
        <v>26</v>
      </c>
      <c r="M5839" s="16">
        <f t="shared" si="549"/>
        <v>0.30581501033440933</v>
      </c>
      <c r="N5839">
        <f t="shared" si="550"/>
        <v>0</v>
      </c>
      <c r="O5839">
        <f t="shared" si="551"/>
        <v>0</v>
      </c>
      <c r="P5839">
        <f t="shared" si="548"/>
        <v>4900</v>
      </c>
      <c r="Q5839">
        <f t="shared" si="552"/>
        <v>4900</v>
      </c>
      <c r="T5839" s="16">
        <f t="shared" si="553"/>
        <v>0.30581501033440894</v>
      </c>
    </row>
    <row r="5840" spans="7:20" ht="14.4" x14ac:dyDescent="0.25">
      <c r="G5840" s="10">
        <v>2720</v>
      </c>
      <c r="H5840" s="9">
        <v>19649</v>
      </c>
      <c r="I5840" s="14">
        <f>DATE(2012,12,31)-607</f>
        <v>40667</v>
      </c>
      <c r="J5840" s="15" t="s">
        <v>17</v>
      </c>
      <c r="K5840" s="9">
        <v>25</v>
      </c>
      <c r="L5840" s="16" t="s">
        <v>26</v>
      </c>
      <c r="M5840" s="16">
        <f t="shared" si="549"/>
        <v>-3.9483872761697868E-2</v>
      </c>
      <c r="N5840">
        <f t="shared" si="550"/>
        <v>0</v>
      </c>
      <c r="O5840">
        <f t="shared" si="551"/>
        <v>0</v>
      </c>
      <c r="P5840">
        <f t="shared" si="548"/>
        <v>4650</v>
      </c>
      <c r="Q5840">
        <f t="shared" si="552"/>
        <v>4650</v>
      </c>
      <c r="T5840" s="16">
        <f t="shared" si="553"/>
        <v>-3.9483872761698249E-2</v>
      </c>
    </row>
    <row r="5841" spans="7:20" ht="14.4" x14ac:dyDescent="0.25">
      <c r="G5841" s="10">
        <v>2721</v>
      </c>
      <c r="H5841" s="9">
        <v>19649</v>
      </c>
      <c r="I5841" s="14">
        <f>DATE(2012,12,31)-607</f>
        <v>40667</v>
      </c>
      <c r="J5841" s="15" t="s">
        <v>17</v>
      </c>
      <c r="K5841" s="9">
        <v>36</v>
      </c>
      <c r="L5841" s="16" t="s">
        <v>29</v>
      </c>
      <c r="M5841" s="16">
        <f t="shared" si="549"/>
        <v>0.72017367004973787</v>
      </c>
      <c r="N5841">
        <f t="shared" si="550"/>
        <v>0</v>
      </c>
      <c r="O5841">
        <f t="shared" si="551"/>
        <v>0</v>
      </c>
      <c r="P5841">
        <f t="shared" si="548"/>
        <v>5200</v>
      </c>
      <c r="Q5841">
        <f t="shared" si="552"/>
        <v>5200</v>
      </c>
      <c r="T5841" s="16">
        <f t="shared" si="553"/>
        <v>0.72017367004973754</v>
      </c>
    </row>
    <row r="5842" spans="7:20" ht="14.4" x14ac:dyDescent="0.25">
      <c r="G5842" s="10">
        <v>2738</v>
      </c>
      <c r="H5842" s="9">
        <v>19748</v>
      </c>
      <c r="I5842" s="14">
        <f>DATE(2012,12,31)-880</f>
        <v>40394</v>
      </c>
      <c r="J5842" s="15" t="s">
        <v>28</v>
      </c>
      <c r="K5842" s="9">
        <v>6</v>
      </c>
      <c r="L5842" s="16" t="s">
        <v>26</v>
      </c>
      <c r="M5842" s="16">
        <f t="shared" si="549"/>
        <v>-1.3516196285269051</v>
      </c>
      <c r="N5842">
        <f t="shared" si="550"/>
        <v>0</v>
      </c>
      <c r="O5842">
        <f t="shared" si="551"/>
        <v>0</v>
      </c>
      <c r="P5842">
        <f t="shared" si="548"/>
        <v>3700</v>
      </c>
      <c r="Q5842">
        <f t="shared" si="552"/>
        <v>3700</v>
      </c>
      <c r="T5842" s="16">
        <f t="shared" si="553"/>
        <v>-1.3516196285269055</v>
      </c>
    </row>
    <row r="5843" spans="7:20" ht="14.4" x14ac:dyDescent="0.25">
      <c r="G5843" s="10">
        <v>2762</v>
      </c>
      <c r="H5843" s="9">
        <v>19974</v>
      </c>
      <c r="I5843" s="14">
        <f>DATE(2012,12,31)-789</f>
        <v>40485</v>
      </c>
      <c r="J5843" s="15" t="s">
        <v>17</v>
      </c>
      <c r="K5843" s="9">
        <v>14</v>
      </c>
      <c r="L5843" s="16" t="s">
        <v>26</v>
      </c>
      <c r="M5843" s="16">
        <f t="shared" si="549"/>
        <v>-0.79914141557313367</v>
      </c>
      <c r="N5843">
        <f t="shared" si="550"/>
        <v>0</v>
      </c>
      <c r="O5843">
        <f t="shared" si="551"/>
        <v>0</v>
      </c>
      <c r="P5843">
        <f t="shared" si="548"/>
        <v>4100</v>
      </c>
      <c r="Q5843">
        <f t="shared" si="552"/>
        <v>4100</v>
      </c>
      <c r="T5843" s="16">
        <f t="shared" si="553"/>
        <v>-0.79914141557313401</v>
      </c>
    </row>
    <row r="5844" spans="7:20" ht="14.4" x14ac:dyDescent="0.25">
      <c r="G5844" s="10">
        <v>2763</v>
      </c>
      <c r="H5844" s="9">
        <v>19974</v>
      </c>
      <c r="I5844" s="14">
        <f>DATE(2012,12,31)-789</f>
        <v>40485</v>
      </c>
      <c r="J5844" s="15" t="s">
        <v>17</v>
      </c>
      <c r="K5844" s="9">
        <v>22</v>
      </c>
      <c r="L5844" s="16" t="s">
        <v>26</v>
      </c>
      <c r="M5844" s="16">
        <f t="shared" si="549"/>
        <v>-0.24666320261936217</v>
      </c>
      <c r="N5844">
        <f t="shared" si="550"/>
        <v>0</v>
      </c>
      <c r="O5844">
        <f t="shared" si="551"/>
        <v>0</v>
      </c>
      <c r="P5844">
        <f t="shared" si="548"/>
        <v>4500</v>
      </c>
      <c r="Q5844">
        <f t="shared" si="552"/>
        <v>4500</v>
      </c>
      <c r="T5844" s="16">
        <f t="shared" si="553"/>
        <v>-0.24666320261936256</v>
      </c>
    </row>
    <row r="5845" spans="7:20" ht="14.4" x14ac:dyDescent="0.25">
      <c r="G5845" s="10">
        <v>2769</v>
      </c>
      <c r="H5845" s="9">
        <v>20032</v>
      </c>
      <c r="I5845" s="14">
        <f>DATE(2012,12,31)-56</f>
        <v>41218</v>
      </c>
      <c r="J5845" s="15" t="s">
        <v>16</v>
      </c>
      <c r="K5845" s="9">
        <v>8</v>
      </c>
      <c r="L5845" s="16" t="s">
        <v>27</v>
      </c>
      <c r="M5845" s="16">
        <f t="shared" si="549"/>
        <v>-1.2135000752884624</v>
      </c>
      <c r="N5845">
        <f t="shared" si="550"/>
        <v>0</v>
      </c>
      <c r="O5845">
        <f t="shared" si="551"/>
        <v>0</v>
      </c>
      <c r="P5845">
        <f t="shared" si="548"/>
        <v>3800</v>
      </c>
      <c r="Q5845">
        <f t="shared" si="552"/>
        <v>3800</v>
      </c>
      <c r="T5845" s="16">
        <f t="shared" si="553"/>
        <v>-1.2135000752884626</v>
      </c>
    </row>
    <row r="5846" spans="7:20" ht="14.4" x14ac:dyDescent="0.25">
      <c r="G5846" s="10">
        <v>3164</v>
      </c>
      <c r="H5846" s="9">
        <v>22727</v>
      </c>
      <c r="I5846" s="14">
        <f>DATE(2012,12,31)-547</f>
        <v>40727</v>
      </c>
      <c r="J5846" s="15" t="s">
        <v>28</v>
      </c>
      <c r="K5846" s="9">
        <v>45</v>
      </c>
      <c r="L5846" s="16" t="s">
        <v>26</v>
      </c>
      <c r="M5846" s="16">
        <f t="shared" si="549"/>
        <v>1.3417116596227308</v>
      </c>
      <c r="N5846">
        <f t="shared" si="550"/>
        <v>0</v>
      </c>
      <c r="O5846">
        <f t="shared" si="551"/>
        <v>0</v>
      </c>
      <c r="P5846">
        <f t="shared" si="548"/>
        <v>5650</v>
      </c>
      <c r="Q5846">
        <f t="shared" si="552"/>
        <v>5650</v>
      </c>
      <c r="T5846" s="16">
        <f t="shared" si="553"/>
        <v>1.3417116596227305</v>
      </c>
    </row>
    <row r="5847" spans="7:20" ht="14.4" x14ac:dyDescent="0.25">
      <c r="G5847" s="10">
        <v>3203</v>
      </c>
      <c r="H5847" s="9">
        <v>22978</v>
      </c>
      <c r="I5847" s="14">
        <f>DATE(2012,12,31)-1369</f>
        <v>39905</v>
      </c>
      <c r="J5847" s="15" t="s">
        <v>16</v>
      </c>
      <c r="K5847" s="9">
        <v>28</v>
      </c>
      <c r="L5847" s="16" t="s">
        <v>29</v>
      </c>
      <c r="M5847" s="16">
        <f t="shared" si="549"/>
        <v>0.16769545709596645</v>
      </c>
      <c r="N5847">
        <f t="shared" si="550"/>
        <v>0</v>
      </c>
      <c r="O5847">
        <f t="shared" si="551"/>
        <v>0</v>
      </c>
      <c r="P5847">
        <f t="shared" si="548"/>
        <v>4800</v>
      </c>
      <c r="Q5847">
        <f t="shared" si="552"/>
        <v>4800</v>
      </c>
      <c r="T5847" s="16">
        <f t="shared" si="553"/>
        <v>0.16769545709596606</v>
      </c>
    </row>
    <row r="5848" spans="7:20" ht="14.4" x14ac:dyDescent="0.25">
      <c r="G5848" s="10">
        <v>3224</v>
      </c>
      <c r="H5848" s="9">
        <v>23140</v>
      </c>
      <c r="I5848" s="14">
        <f>DATE(2012,12,31)-327</f>
        <v>40947</v>
      </c>
      <c r="J5848" s="15" t="s">
        <v>17</v>
      </c>
      <c r="K5848" s="9">
        <v>18</v>
      </c>
      <c r="L5848" s="16" t="s">
        <v>29</v>
      </c>
      <c r="M5848" s="16">
        <f t="shared" si="549"/>
        <v>-0.52290230909624791</v>
      </c>
      <c r="N5848">
        <f t="shared" si="550"/>
        <v>0</v>
      </c>
      <c r="O5848">
        <f t="shared" si="551"/>
        <v>0</v>
      </c>
      <c r="P5848">
        <f t="shared" si="548"/>
        <v>4300</v>
      </c>
      <c r="Q5848">
        <f t="shared" si="552"/>
        <v>4300</v>
      </c>
      <c r="T5848" s="16">
        <f t="shared" si="553"/>
        <v>-0.52290230909624835</v>
      </c>
    </row>
    <row r="5849" spans="7:20" ht="14.4" x14ac:dyDescent="0.25">
      <c r="G5849" s="10">
        <v>3225</v>
      </c>
      <c r="H5849" s="9">
        <v>23140</v>
      </c>
      <c r="I5849" s="14">
        <f>DATE(2012,12,31)-327</f>
        <v>40947</v>
      </c>
      <c r="J5849" s="15" t="s">
        <v>17</v>
      </c>
      <c r="K5849" s="9">
        <v>16</v>
      </c>
      <c r="L5849" s="16" t="s">
        <v>26</v>
      </c>
      <c r="M5849" s="16">
        <f t="shared" si="549"/>
        <v>-0.66102186233469074</v>
      </c>
      <c r="N5849">
        <f t="shared" si="550"/>
        <v>0</v>
      </c>
      <c r="O5849">
        <f t="shared" si="551"/>
        <v>0</v>
      </c>
      <c r="P5849">
        <f t="shared" si="548"/>
        <v>4200</v>
      </c>
      <c r="Q5849">
        <f t="shared" si="552"/>
        <v>4200</v>
      </c>
      <c r="T5849" s="16">
        <f t="shared" si="553"/>
        <v>-0.66102186233469118</v>
      </c>
    </row>
    <row r="5850" spans="7:20" ht="14.4" x14ac:dyDescent="0.25">
      <c r="G5850" s="10">
        <v>3302</v>
      </c>
      <c r="H5850" s="9">
        <v>23586</v>
      </c>
      <c r="I5850" s="14">
        <f>DATE(2012,12,31)-1082</f>
        <v>40192</v>
      </c>
      <c r="J5850" s="15" t="s">
        <v>16</v>
      </c>
      <c r="K5850" s="9">
        <v>32</v>
      </c>
      <c r="L5850" s="16" t="s">
        <v>26</v>
      </c>
      <c r="M5850" s="16">
        <f t="shared" si="549"/>
        <v>0.44393456357285216</v>
      </c>
      <c r="N5850">
        <f t="shared" si="550"/>
        <v>0</v>
      </c>
      <c r="O5850">
        <f t="shared" si="551"/>
        <v>0</v>
      </c>
      <c r="P5850">
        <f t="shared" si="548"/>
        <v>5000</v>
      </c>
      <c r="Q5850">
        <f t="shared" si="552"/>
        <v>5000</v>
      </c>
      <c r="T5850" s="16">
        <f t="shared" si="553"/>
        <v>0.44393456357285183</v>
      </c>
    </row>
    <row r="5851" spans="7:20" ht="14.4" x14ac:dyDescent="0.25">
      <c r="G5851" s="10">
        <v>3309</v>
      </c>
      <c r="H5851" s="9">
        <v>23648</v>
      </c>
      <c r="I5851" s="14">
        <f>DATE(2012,12,31)-98</f>
        <v>41176</v>
      </c>
      <c r="J5851" s="15" t="s">
        <v>30</v>
      </c>
      <c r="K5851" s="9">
        <v>44</v>
      </c>
      <c r="L5851" s="16" t="s">
        <v>27</v>
      </c>
      <c r="M5851" s="16">
        <f t="shared" si="549"/>
        <v>1.2726518830035094</v>
      </c>
      <c r="N5851">
        <f t="shared" si="550"/>
        <v>0</v>
      </c>
      <c r="O5851">
        <f t="shared" si="551"/>
        <v>0</v>
      </c>
      <c r="P5851">
        <f t="shared" si="548"/>
        <v>5600</v>
      </c>
      <c r="Q5851">
        <f t="shared" si="552"/>
        <v>5600</v>
      </c>
      <c r="T5851" s="16">
        <f t="shared" si="553"/>
        <v>1.272651883003509</v>
      </c>
    </row>
    <row r="5852" spans="7:20" ht="14.4" x14ac:dyDescent="0.25">
      <c r="G5852" s="10">
        <v>3310</v>
      </c>
      <c r="H5852" s="9">
        <v>23648</v>
      </c>
      <c r="I5852" s="14">
        <f>DATE(2012,12,31)-98</f>
        <v>41176</v>
      </c>
      <c r="J5852" s="15" t="s">
        <v>30</v>
      </c>
      <c r="K5852" s="9">
        <v>4</v>
      </c>
      <c r="L5852" s="16" t="s">
        <v>26</v>
      </c>
      <c r="M5852" s="16">
        <f t="shared" si="549"/>
        <v>-1.489739181765348</v>
      </c>
      <c r="N5852">
        <f t="shared" si="550"/>
        <v>0</v>
      </c>
      <c r="O5852">
        <f t="shared" si="551"/>
        <v>0</v>
      </c>
      <c r="P5852">
        <f t="shared" si="548"/>
        <v>3600</v>
      </c>
      <c r="Q5852">
        <f t="shared" si="552"/>
        <v>3600</v>
      </c>
      <c r="T5852" s="16">
        <f t="shared" si="553"/>
        <v>-1.4897391817653485</v>
      </c>
    </row>
    <row r="5853" spans="7:20" ht="14.4" x14ac:dyDescent="0.25">
      <c r="G5853" s="10">
        <v>3497</v>
      </c>
      <c r="H5853" s="9">
        <v>24931</v>
      </c>
      <c r="I5853" s="14">
        <f>DATE(2012,12,31)-420</f>
        <v>40854</v>
      </c>
      <c r="J5853" s="15" t="s">
        <v>25</v>
      </c>
      <c r="K5853" s="9">
        <v>9</v>
      </c>
      <c r="L5853" s="16" t="s">
        <v>26</v>
      </c>
      <c r="M5853" s="16">
        <f t="shared" si="549"/>
        <v>-1.1444402986692408</v>
      </c>
      <c r="N5853">
        <f t="shared" si="550"/>
        <v>0</v>
      </c>
      <c r="O5853">
        <f t="shared" si="551"/>
        <v>0</v>
      </c>
      <c r="P5853">
        <f t="shared" si="548"/>
        <v>3850</v>
      </c>
      <c r="Q5853">
        <f t="shared" si="552"/>
        <v>3850</v>
      </c>
      <c r="T5853" s="16">
        <f t="shared" si="553"/>
        <v>-1.1444402986692412</v>
      </c>
    </row>
    <row r="5854" spans="7:20" ht="14.4" x14ac:dyDescent="0.25">
      <c r="G5854" s="10">
        <v>3566</v>
      </c>
      <c r="H5854" s="9">
        <v>25443</v>
      </c>
      <c r="I5854" s="14">
        <f>DATE(2012,12,31)-100</f>
        <v>41174</v>
      </c>
      <c r="J5854" s="15" t="s">
        <v>16</v>
      </c>
      <c r="K5854" s="9">
        <v>33</v>
      </c>
      <c r="L5854" s="16" t="s">
        <v>27</v>
      </c>
      <c r="M5854" s="16">
        <f t="shared" si="549"/>
        <v>0.51299434019207357</v>
      </c>
      <c r="N5854">
        <f t="shared" si="550"/>
        <v>0</v>
      </c>
      <c r="O5854">
        <f t="shared" si="551"/>
        <v>0</v>
      </c>
      <c r="P5854">
        <f t="shared" si="548"/>
        <v>5050</v>
      </c>
      <c r="Q5854">
        <f t="shared" si="552"/>
        <v>5050</v>
      </c>
      <c r="T5854" s="16">
        <f t="shared" si="553"/>
        <v>0.51299434019207324</v>
      </c>
    </row>
    <row r="5855" spans="7:20" ht="14.4" x14ac:dyDescent="0.25">
      <c r="G5855" s="10">
        <v>3632</v>
      </c>
      <c r="H5855" s="9">
        <v>25953</v>
      </c>
      <c r="I5855" s="14">
        <f>DATE(2012,12,31)-1191</f>
        <v>40083</v>
      </c>
      <c r="J5855" s="15" t="s">
        <v>30</v>
      </c>
      <c r="K5855" s="9">
        <v>27</v>
      </c>
      <c r="L5855" s="16" t="s">
        <v>26</v>
      </c>
      <c r="M5855" s="16">
        <f t="shared" si="549"/>
        <v>9.8635680476745008E-2</v>
      </c>
      <c r="N5855">
        <f t="shared" si="550"/>
        <v>0</v>
      </c>
      <c r="O5855">
        <f t="shared" si="551"/>
        <v>0</v>
      </c>
      <c r="P5855">
        <f t="shared" si="548"/>
        <v>4750</v>
      </c>
      <c r="Q5855">
        <f t="shared" si="552"/>
        <v>4750</v>
      </c>
      <c r="T5855" s="16">
        <f t="shared" si="553"/>
        <v>9.8635680476744619E-2</v>
      </c>
    </row>
    <row r="5856" spans="7:20" ht="14.4" x14ac:dyDescent="0.25">
      <c r="G5856" s="10">
        <v>3633</v>
      </c>
      <c r="H5856" s="9">
        <v>25953</v>
      </c>
      <c r="I5856" s="14">
        <f>DATE(2012,12,31)-1191</f>
        <v>40083</v>
      </c>
      <c r="J5856" s="15" t="s">
        <v>30</v>
      </c>
      <c r="K5856" s="9">
        <v>19</v>
      </c>
      <c r="L5856" s="16" t="s">
        <v>27</v>
      </c>
      <c r="M5856" s="16">
        <f t="shared" si="549"/>
        <v>-0.45384253247702649</v>
      </c>
      <c r="N5856">
        <f t="shared" si="550"/>
        <v>0</v>
      </c>
      <c r="O5856">
        <f t="shared" si="551"/>
        <v>0</v>
      </c>
      <c r="P5856">
        <f t="shared" si="548"/>
        <v>4350</v>
      </c>
      <c r="Q5856">
        <f t="shared" si="552"/>
        <v>4350</v>
      </c>
      <c r="T5856" s="16">
        <f t="shared" si="553"/>
        <v>-0.45384253247702688</v>
      </c>
    </row>
    <row r="5857" spans="7:20" ht="14.4" x14ac:dyDescent="0.25">
      <c r="G5857" s="10">
        <v>3650</v>
      </c>
      <c r="H5857" s="9">
        <v>26144</v>
      </c>
      <c r="I5857" s="14">
        <f>DATE(2012,12,31)-432</f>
        <v>40842</v>
      </c>
      <c r="J5857" s="15" t="s">
        <v>17</v>
      </c>
      <c r="K5857" s="9">
        <v>28</v>
      </c>
      <c r="L5857" s="16" t="s">
        <v>26</v>
      </c>
      <c r="M5857" s="16">
        <f t="shared" si="549"/>
        <v>0.16769545709596645</v>
      </c>
      <c r="N5857">
        <f t="shared" si="550"/>
        <v>0</v>
      </c>
      <c r="O5857">
        <f t="shared" si="551"/>
        <v>0</v>
      </c>
      <c r="P5857">
        <f t="shared" si="548"/>
        <v>4800</v>
      </c>
      <c r="Q5857">
        <f t="shared" si="552"/>
        <v>4800</v>
      </c>
      <c r="T5857" s="16">
        <f t="shared" si="553"/>
        <v>0.16769545709596606</v>
      </c>
    </row>
    <row r="5858" spans="7:20" ht="14.4" x14ac:dyDescent="0.25">
      <c r="G5858" s="10">
        <v>3702</v>
      </c>
      <c r="H5858" s="9">
        <v>26439</v>
      </c>
      <c r="I5858" s="14">
        <f>DATE(2012,12,31)-473</f>
        <v>40801</v>
      </c>
      <c r="J5858" s="15" t="s">
        <v>16</v>
      </c>
      <c r="K5858" s="9">
        <v>38</v>
      </c>
      <c r="L5858" s="16" t="s">
        <v>27</v>
      </c>
      <c r="M5858" s="16">
        <f t="shared" si="549"/>
        <v>0.85829322328818081</v>
      </c>
      <c r="N5858">
        <f t="shared" si="550"/>
        <v>0</v>
      </c>
      <c r="O5858">
        <f t="shared" si="551"/>
        <v>0</v>
      </c>
      <c r="P5858">
        <f t="shared" si="548"/>
        <v>5300</v>
      </c>
      <c r="Q5858">
        <f t="shared" si="552"/>
        <v>5300</v>
      </c>
      <c r="T5858" s="16">
        <f t="shared" si="553"/>
        <v>0.85829322328818036</v>
      </c>
    </row>
    <row r="5859" spans="7:20" ht="14.4" x14ac:dyDescent="0.25">
      <c r="G5859" s="10">
        <v>3703</v>
      </c>
      <c r="H5859" s="9">
        <v>26439</v>
      </c>
      <c r="I5859" s="14">
        <f>DATE(2012,12,31)-473</f>
        <v>40801</v>
      </c>
      <c r="J5859" s="15" t="s">
        <v>16</v>
      </c>
      <c r="K5859" s="9">
        <v>37</v>
      </c>
      <c r="L5859" s="16" t="s">
        <v>26</v>
      </c>
      <c r="M5859" s="16">
        <f t="shared" si="549"/>
        <v>0.78923344666895934</v>
      </c>
      <c r="N5859">
        <f t="shared" si="550"/>
        <v>0</v>
      </c>
      <c r="O5859">
        <f t="shared" si="551"/>
        <v>0</v>
      </c>
      <c r="P5859">
        <f t="shared" si="548"/>
        <v>5250</v>
      </c>
      <c r="Q5859">
        <f t="shared" si="552"/>
        <v>5250</v>
      </c>
      <c r="T5859" s="16">
        <f t="shared" si="553"/>
        <v>0.789233446668959</v>
      </c>
    </row>
    <row r="5860" spans="7:20" ht="14.4" x14ac:dyDescent="0.25">
      <c r="G5860" s="10">
        <v>3704</v>
      </c>
      <c r="H5860" s="9">
        <v>26439</v>
      </c>
      <c r="I5860" s="14">
        <f>DATE(2012,12,31)-473</f>
        <v>40801</v>
      </c>
      <c r="J5860" s="15" t="s">
        <v>16</v>
      </c>
      <c r="K5860" s="9">
        <v>23</v>
      </c>
      <c r="L5860" s="16" t="s">
        <v>27</v>
      </c>
      <c r="M5860" s="16">
        <f t="shared" si="549"/>
        <v>-0.17760342600014073</v>
      </c>
      <c r="N5860">
        <f t="shared" si="550"/>
        <v>0</v>
      </c>
      <c r="O5860">
        <f t="shared" si="551"/>
        <v>0</v>
      </c>
      <c r="P5860">
        <f t="shared" si="548"/>
        <v>4550</v>
      </c>
      <c r="Q5860">
        <f t="shared" si="552"/>
        <v>4550</v>
      </c>
      <c r="T5860" s="16">
        <f t="shared" si="553"/>
        <v>-0.17760342600014112</v>
      </c>
    </row>
    <row r="5861" spans="7:20" ht="14.4" x14ac:dyDescent="0.25">
      <c r="G5861" s="10">
        <v>3707</v>
      </c>
      <c r="H5861" s="9">
        <v>26466</v>
      </c>
      <c r="I5861" s="14">
        <f>DATE(2012,12,31)-1299</f>
        <v>39975</v>
      </c>
      <c r="J5861" s="15" t="s">
        <v>30</v>
      </c>
      <c r="K5861" s="9">
        <v>29</v>
      </c>
      <c r="L5861" s="16" t="s">
        <v>27</v>
      </c>
      <c r="M5861" s="16">
        <f t="shared" si="549"/>
        <v>0.23675523371518786</v>
      </c>
      <c r="N5861">
        <f t="shared" si="550"/>
        <v>0</v>
      </c>
      <c r="O5861">
        <f t="shared" si="551"/>
        <v>0</v>
      </c>
      <c r="P5861">
        <f t="shared" si="548"/>
        <v>4850</v>
      </c>
      <c r="Q5861">
        <f t="shared" si="552"/>
        <v>4850</v>
      </c>
      <c r="T5861" s="16">
        <f t="shared" si="553"/>
        <v>0.2367552337151875</v>
      </c>
    </row>
    <row r="5862" spans="7:20" ht="14.4" x14ac:dyDescent="0.25">
      <c r="G5862" s="10">
        <v>3937</v>
      </c>
      <c r="H5862" s="9">
        <v>28037</v>
      </c>
      <c r="I5862" s="14">
        <f>DATE(2012,12,31)-1115</f>
        <v>40159</v>
      </c>
      <c r="J5862" s="15" t="s">
        <v>17</v>
      </c>
      <c r="K5862" s="9">
        <v>31</v>
      </c>
      <c r="L5862" s="16" t="s">
        <v>26</v>
      </c>
      <c r="M5862" s="16">
        <f t="shared" si="549"/>
        <v>0.37487478695363075</v>
      </c>
      <c r="N5862">
        <f t="shared" si="550"/>
        <v>0</v>
      </c>
      <c r="O5862">
        <f t="shared" si="551"/>
        <v>0</v>
      </c>
      <c r="P5862">
        <f t="shared" si="548"/>
        <v>4950</v>
      </c>
      <c r="Q5862">
        <f t="shared" si="552"/>
        <v>4950</v>
      </c>
      <c r="T5862" s="16">
        <f t="shared" si="553"/>
        <v>0.37487478695363036</v>
      </c>
    </row>
    <row r="5863" spans="7:20" ht="14.4" x14ac:dyDescent="0.25">
      <c r="G5863" s="10">
        <v>3967</v>
      </c>
      <c r="H5863" s="9">
        <v>28294</v>
      </c>
      <c r="I5863" s="14">
        <f>DATE(2012,12,31)-223</f>
        <v>41051</v>
      </c>
      <c r="J5863" s="15" t="s">
        <v>17</v>
      </c>
      <c r="K5863" s="9">
        <v>47</v>
      </c>
      <c r="L5863" s="16" t="s">
        <v>26</v>
      </c>
      <c r="M5863" s="16">
        <f t="shared" si="549"/>
        <v>1.4798312128611737</v>
      </c>
      <c r="N5863">
        <f t="shared" si="550"/>
        <v>0</v>
      </c>
      <c r="O5863">
        <f t="shared" si="551"/>
        <v>0</v>
      </c>
      <c r="P5863">
        <f t="shared" si="548"/>
        <v>5750</v>
      </c>
      <c r="Q5863">
        <f t="shared" si="552"/>
        <v>5750</v>
      </c>
      <c r="T5863" s="16">
        <f t="shared" si="553"/>
        <v>1.4798312128611733</v>
      </c>
    </row>
    <row r="5864" spans="7:20" ht="14.4" x14ac:dyDescent="0.25">
      <c r="G5864" s="10">
        <v>3984</v>
      </c>
      <c r="H5864" s="9">
        <v>28453</v>
      </c>
      <c r="I5864" s="14">
        <f>DATE(2012,12,31)-3</f>
        <v>41271</v>
      </c>
      <c r="J5864" s="15" t="s">
        <v>30</v>
      </c>
      <c r="K5864" s="9">
        <v>26</v>
      </c>
      <c r="L5864" s="16" t="s">
        <v>26</v>
      </c>
      <c r="M5864" s="16">
        <f t="shared" si="549"/>
        <v>2.9575903857523567E-2</v>
      </c>
      <c r="N5864">
        <f t="shared" si="550"/>
        <v>0</v>
      </c>
      <c r="O5864">
        <f t="shared" si="551"/>
        <v>0</v>
      </c>
      <c r="P5864">
        <f t="shared" si="548"/>
        <v>4700</v>
      </c>
      <c r="Q5864">
        <f t="shared" si="552"/>
        <v>4700</v>
      </c>
      <c r="T5864" s="16">
        <f t="shared" si="553"/>
        <v>2.9575903857523185E-2</v>
      </c>
    </row>
    <row r="5865" spans="7:20" ht="14.4" x14ac:dyDescent="0.25">
      <c r="G5865" s="10">
        <v>3993</v>
      </c>
      <c r="H5865" s="9">
        <v>28512</v>
      </c>
      <c r="I5865" s="14">
        <f>DATE(2012,12,31)-979</f>
        <v>40295</v>
      </c>
      <c r="J5865" s="15" t="s">
        <v>16</v>
      </c>
      <c r="K5865" s="9">
        <v>11</v>
      </c>
      <c r="L5865" s="16" t="s">
        <v>27</v>
      </c>
      <c r="M5865" s="16">
        <f t="shared" si="549"/>
        <v>-1.0063207454307979</v>
      </c>
      <c r="N5865">
        <f t="shared" si="550"/>
        <v>0</v>
      </c>
      <c r="O5865">
        <f t="shared" si="551"/>
        <v>0</v>
      </c>
      <c r="P5865">
        <f t="shared" si="548"/>
        <v>3950</v>
      </c>
      <c r="Q5865">
        <f t="shared" si="552"/>
        <v>3950</v>
      </c>
      <c r="T5865" s="16">
        <f t="shared" si="553"/>
        <v>-1.0063207454307983</v>
      </c>
    </row>
    <row r="5866" spans="7:20" ht="14.4" x14ac:dyDescent="0.25">
      <c r="G5866" s="10">
        <v>3994</v>
      </c>
      <c r="H5866" s="9">
        <v>28512</v>
      </c>
      <c r="I5866" s="14">
        <f>DATE(2012,12,31)-979</f>
        <v>40295</v>
      </c>
      <c r="J5866" s="15" t="s">
        <v>16</v>
      </c>
      <c r="K5866" s="9">
        <v>10</v>
      </c>
      <c r="L5866" s="16" t="s">
        <v>26</v>
      </c>
      <c r="M5866" s="16">
        <f t="shared" si="549"/>
        <v>-1.0753805220500194</v>
      </c>
      <c r="N5866">
        <f t="shared" si="550"/>
        <v>0</v>
      </c>
      <c r="O5866">
        <f t="shared" si="551"/>
        <v>0</v>
      </c>
      <c r="P5866">
        <f t="shared" si="548"/>
        <v>3900</v>
      </c>
      <c r="Q5866">
        <f t="shared" si="552"/>
        <v>3900</v>
      </c>
      <c r="T5866" s="16">
        <f t="shared" si="553"/>
        <v>-1.0753805220500199</v>
      </c>
    </row>
    <row r="5867" spans="7:20" ht="14.4" x14ac:dyDescent="0.25">
      <c r="G5867" s="10">
        <v>3995</v>
      </c>
      <c r="H5867" s="9">
        <v>28512</v>
      </c>
      <c r="I5867" s="14">
        <f>DATE(2012,12,31)-979</f>
        <v>40295</v>
      </c>
      <c r="J5867" s="15" t="s">
        <v>16</v>
      </c>
      <c r="K5867" s="9">
        <v>18</v>
      </c>
      <c r="L5867" s="16" t="s">
        <v>26</v>
      </c>
      <c r="M5867" s="16">
        <f t="shared" si="549"/>
        <v>-0.52290230909624791</v>
      </c>
      <c r="N5867">
        <f t="shared" si="550"/>
        <v>0</v>
      </c>
      <c r="O5867">
        <f t="shared" si="551"/>
        <v>0</v>
      </c>
      <c r="P5867">
        <f t="shared" si="548"/>
        <v>4300</v>
      </c>
      <c r="Q5867">
        <f t="shared" si="552"/>
        <v>4300</v>
      </c>
      <c r="T5867" s="16">
        <f t="shared" si="553"/>
        <v>-0.52290230909624835</v>
      </c>
    </row>
    <row r="5868" spans="7:20" ht="14.4" x14ac:dyDescent="0.25">
      <c r="G5868" s="10">
        <v>4011</v>
      </c>
      <c r="H5868" s="9">
        <v>28641</v>
      </c>
      <c r="I5868" s="14">
        <f>DATE(2012,12,31)-446</f>
        <v>40828</v>
      </c>
      <c r="J5868" s="15" t="s">
        <v>28</v>
      </c>
      <c r="K5868" s="9">
        <v>33</v>
      </c>
      <c r="L5868" s="16" t="s">
        <v>27</v>
      </c>
      <c r="M5868" s="16">
        <f t="shared" si="549"/>
        <v>0.51299434019207357</v>
      </c>
      <c r="N5868">
        <f t="shared" si="550"/>
        <v>0</v>
      </c>
      <c r="O5868">
        <f t="shared" si="551"/>
        <v>0</v>
      </c>
      <c r="P5868">
        <f t="shared" si="548"/>
        <v>5050</v>
      </c>
      <c r="Q5868">
        <f t="shared" si="552"/>
        <v>5050</v>
      </c>
      <c r="T5868" s="16">
        <f t="shared" si="553"/>
        <v>0.51299434019207324</v>
      </c>
    </row>
    <row r="5869" spans="7:20" ht="14.4" x14ac:dyDescent="0.25">
      <c r="G5869" s="10">
        <v>4045</v>
      </c>
      <c r="H5869" s="9">
        <v>28867</v>
      </c>
      <c r="I5869" s="14">
        <f>DATE(2012,12,31)-528</f>
        <v>40746</v>
      </c>
      <c r="J5869" s="15" t="s">
        <v>16</v>
      </c>
      <c r="K5869" s="9">
        <v>43</v>
      </c>
      <c r="L5869" s="16" t="s">
        <v>27</v>
      </c>
      <c r="M5869" s="16">
        <f t="shared" si="549"/>
        <v>1.203592106384288</v>
      </c>
      <c r="N5869">
        <f t="shared" si="550"/>
        <v>0</v>
      </c>
      <c r="O5869">
        <f t="shared" si="551"/>
        <v>0</v>
      </c>
      <c r="P5869">
        <f t="shared" si="548"/>
        <v>5550</v>
      </c>
      <c r="Q5869">
        <f t="shared" si="552"/>
        <v>5550</v>
      </c>
      <c r="T5869" s="16">
        <f t="shared" si="553"/>
        <v>1.2035921063842876</v>
      </c>
    </row>
    <row r="5870" spans="7:20" ht="14.4" x14ac:dyDescent="0.25">
      <c r="G5870" s="10">
        <v>4046</v>
      </c>
      <c r="H5870" s="9">
        <v>28867</v>
      </c>
      <c r="I5870" s="14">
        <f>DATE(2012,12,31)-528</f>
        <v>40746</v>
      </c>
      <c r="J5870" s="15" t="s">
        <v>16</v>
      </c>
      <c r="K5870" s="9">
        <v>6</v>
      </c>
      <c r="L5870" s="16" t="s">
        <v>26</v>
      </c>
      <c r="M5870" s="16">
        <f t="shared" si="549"/>
        <v>-1.3516196285269051</v>
      </c>
      <c r="N5870">
        <f t="shared" si="550"/>
        <v>0</v>
      </c>
      <c r="O5870">
        <f t="shared" si="551"/>
        <v>0</v>
      </c>
      <c r="P5870">
        <f t="shared" si="548"/>
        <v>3700</v>
      </c>
      <c r="Q5870">
        <f t="shared" si="552"/>
        <v>3700</v>
      </c>
      <c r="T5870" s="16">
        <f t="shared" si="553"/>
        <v>-1.3516196285269055</v>
      </c>
    </row>
    <row r="5871" spans="7:20" ht="14.4" x14ac:dyDescent="0.25">
      <c r="G5871" s="10">
        <v>4047</v>
      </c>
      <c r="H5871" s="9">
        <v>28867</v>
      </c>
      <c r="I5871" s="14">
        <f>DATE(2012,12,31)-528</f>
        <v>40746</v>
      </c>
      <c r="J5871" s="15" t="s">
        <v>16</v>
      </c>
      <c r="K5871" s="9">
        <v>26</v>
      </c>
      <c r="L5871" s="16" t="s">
        <v>27</v>
      </c>
      <c r="M5871" s="16">
        <f t="shared" si="549"/>
        <v>2.9575903857523567E-2</v>
      </c>
      <c r="N5871">
        <f t="shared" si="550"/>
        <v>0</v>
      </c>
      <c r="O5871">
        <f t="shared" si="551"/>
        <v>0</v>
      </c>
      <c r="P5871">
        <f t="shared" si="548"/>
        <v>4700</v>
      </c>
      <c r="Q5871">
        <f t="shared" si="552"/>
        <v>4700</v>
      </c>
      <c r="T5871" s="16">
        <f t="shared" si="553"/>
        <v>2.9575903857523185E-2</v>
      </c>
    </row>
    <row r="5872" spans="7:20" ht="14.4" x14ac:dyDescent="0.25">
      <c r="G5872" s="10">
        <v>4055</v>
      </c>
      <c r="H5872" s="9">
        <v>28899</v>
      </c>
      <c r="I5872" s="14">
        <f>DATE(2012,12,31)-200</f>
        <v>41074</v>
      </c>
      <c r="J5872" s="15" t="s">
        <v>25</v>
      </c>
      <c r="K5872" s="9">
        <v>27</v>
      </c>
      <c r="L5872" s="16" t="s">
        <v>27</v>
      </c>
      <c r="M5872" s="16">
        <f t="shared" si="549"/>
        <v>9.8635680476745008E-2</v>
      </c>
      <c r="N5872">
        <f t="shared" si="550"/>
        <v>0</v>
      </c>
      <c r="O5872">
        <f t="shared" si="551"/>
        <v>0</v>
      </c>
      <c r="P5872">
        <f t="shared" si="548"/>
        <v>4750</v>
      </c>
      <c r="Q5872">
        <f t="shared" si="552"/>
        <v>4750</v>
      </c>
      <c r="T5872" s="16">
        <f t="shared" si="553"/>
        <v>9.8635680476744619E-2</v>
      </c>
    </row>
    <row r="5873" spans="7:20" ht="14.4" x14ac:dyDescent="0.25">
      <c r="G5873" s="10">
        <v>4264</v>
      </c>
      <c r="H5873" s="9">
        <v>30343</v>
      </c>
      <c r="I5873" s="14">
        <f>DATE(2012,12,31)-224</f>
        <v>41050</v>
      </c>
      <c r="J5873" s="15" t="s">
        <v>30</v>
      </c>
      <c r="K5873" s="9">
        <v>8</v>
      </c>
      <c r="L5873" s="16" t="s">
        <v>27</v>
      </c>
      <c r="M5873" s="16">
        <f t="shared" si="549"/>
        <v>-1.2135000752884624</v>
      </c>
      <c r="N5873">
        <f t="shared" si="550"/>
        <v>0</v>
      </c>
      <c r="O5873">
        <f t="shared" si="551"/>
        <v>0</v>
      </c>
      <c r="P5873">
        <f t="shared" si="548"/>
        <v>3800</v>
      </c>
      <c r="Q5873">
        <f t="shared" si="552"/>
        <v>3800</v>
      </c>
      <c r="T5873" s="16">
        <f t="shared" si="553"/>
        <v>-1.2135000752884626</v>
      </c>
    </row>
    <row r="5874" spans="7:20" ht="14.4" x14ac:dyDescent="0.25">
      <c r="G5874" s="10">
        <v>4303</v>
      </c>
      <c r="H5874" s="9">
        <v>30657</v>
      </c>
      <c r="I5874" s="14">
        <f>DATE(2012,12,31)-601</f>
        <v>40673</v>
      </c>
      <c r="J5874" s="15" t="s">
        <v>17</v>
      </c>
      <c r="K5874" s="9">
        <v>6</v>
      </c>
      <c r="L5874" s="16" t="s">
        <v>27</v>
      </c>
      <c r="M5874" s="16">
        <f t="shared" si="549"/>
        <v>-1.3516196285269051</v>
      </c>
      <c r="N5874">
        <f t="shared" si="550"/>
        <v>0</v>
      </c>
      <c r="O5874">
        <f t="shared" si="551"/>
        <v>0</v>
      </c>
      <c r="P5874">
        <f t="shared" si="548"/>
        <v>3700</v>
      </c>
      <c r="Q5874">
        <f t="shared" si="552"/>
        <v>3700</v>
      </c>
      <c r="T5874" s="16">
        <f t="shared" si="553"/>
        <v>-1.3516196285269055</v>
      </c>
    </row>
    <row r="5875" spans="7:20" ht="14.4" x14ac:dyDescent="0.25">
      <c r="G5875" s="10">
        <v>4304</v>
      </c>
      <c r="H5875" s="9">
        <v>30657</v>
      </c>
      <c r="I5875" s="14">
        <f>DATE(2012,12,31)-601</f>
        <v>40673</v>
      </c>
      <c r="J5875" s="15" t="s">
        <v>17</v>
      </c>
      <c r="K5875" s="9">
        <v>8</v>
      </c>
      <c r="L5875" s="16" t="s">
        <v>27</v>
      </c>
      <c r="M5875" s="16">
        <f t="shared" si="549"/>
        <v>-1.2135000752884624</v>
      </c>
      <c r="N5875">
        <f t="shared" si="550"/>
        <v>0</v>
      </c>
      <c r="O5875">
        <f t="shared" si="551"/>
        <v>0</v>
      </c>
      <c r="P5875">
        <f t="shared" si="548"/>
        <v>3800</v>
      </c>
      <c r="Q5875">
        <f t="shared" si="552"/>
        <v>3800</v>
      </c>
      <c r="T5875" s="16">
        <f t="shared" si="553"/>
        <v>-1.2135000752884626</v>
      </c>
    </row>
    <row r="5876" spans="7:20" ht="14.4" x14ac:dyDescent="0.25">
      <c r="G5876" s="10">
        <v>4399</v>
      </c>
      <c r="H5876" s="9">
        <v>31330</v>
      </c>
      <c r="I5876" s="14">
        <f>DATE(2012,12,31)-944</f>
        <v>40330</v>
      </c>
      <c r="J5876" s="15" t="s">
        <v>17</v>
      </c>
      <c r="K5876" s="9">
        <v>2</v>
      </c>
      <c r="L5876" s="16" t="s">
        <v>26</v>
      </c>
      <c r="M5876" s="16">
        <f t="shared" si="549"/>
        <v>-1.627858735003791</v>
      </c>
      <c r="N5876">
        <f t="shared" si="550"/>
        <v>0</v>
      </c>
      <c r="O5876">
        <f t="shared" si="551"/>
        <v>0</v>
      </c>
      <c r="P5876">
        <f t="shared" si="548"/>
        <v>3500</v>
      </c>
      <c r="Q5876">
        <f t="shared" si="552"/>
        <v>3500</v>
      </c>
      <c r="T5876" s="16">
        <f t="shared" si="553"/>
        <v>-1.6278587350037912</v>
      </c>
    </row>
    <row r="5877" spans="7:20" ht="14.4" x14ac:dyDescent="0.25">
      <c r="G5877" s="10">
        <v>4400</v>
      </c>
      <c r="H5877" s="9">
        <v>31330</v>
      </c>
      <c r="I5877" s="14">
        <f>DATE(2012,12,31)-944</f>
        <v>40330</v>
      </c>
      <c r="J5877" s="15" t="s">
        <v>17</v>
      </c>
      <c r="K5877" s="9">
        <v>38</v>
      </c>
      <c r="L5877" s="16" t="s">
        <v>26</v>
      </c>
      <c r="M5877" s="16">
        <f t="shared" si="549"/>
        <v>0.85829322328818081</v>
      </c>
      <c r="N5877">
        <f t="shared" si="550"/>
        <v>0</v>
      </c>
      <c r="O5877">
        <f t="shared" si="551"/>
        <v>0</v>
      </c>
      <c r="P5877">
        <f t="shared" si="548"/>
        <v>5300</v>
      </c>
      <c r="Q5877">
        <f t="shared" si="552"/>
        <v>5300</v>
      </c>
      <c r="T5877" s="16">
        <f t="shared" si="553"/>
        <v>0.85829322328818036</v>
      </c>
    </row>
    <row r="5878" spans="7:20" ht="14.4" x14ac:dyDescent="0.25">
      <c r="G5878" s="10">
        <v>4428</v>
      </c>
      <c r="H5878" s="9">
        <v>31556</v>
      </c>
      <c r="I5878" s="14">
        <f>DATE(2012,12,31)-523</f>
        <v>40751</v>
      </c>
      <c r="J5878" s="15" t="s">
        <v>30</v>
      </c>
      <c r="K5878" s="9">
        <v>35</v>
      </c>
      <c r="L5878" s="16" t="s">
        <v>29</v>
      </c>
      <c r="M5878" s="16">
        <f t="shared" si="549"/>
        <v>0.65111389343051651</v>
      </c>
      <c r="N5878">
        <f t="shared" si="550"/>
        <v>0</v>
      </c>
      <c r="O5878">
        <f t="shared" si="551"/>
        <v>0</v>
      </c>
      <c r="P5878">
        <f t="shared" si="548"/>
        <v>5150</v>
      </c>
      <c r="Q5878">
        <f t="shared" si="552"/>
        <v>5150</v>
      </c>
      <c r="T5878" s="16">
        <f t="shared" si="553"/>
        <v>0.65111389343051607</v>
      </c>
    </row>
    <row r="5879" spans="7:20" ht="14.4" x14ac:dyDescent="0.25">
      <c r="G5879" s="10">
        <v>4441</v>
      </c>
      <c r="H5879" s="9">
        <v>31648</v>
      </c>
      <c r="I5879" s="14">
        <f>DATE(2012,12,31)-499</f>
        <v>40775</v>
      </c>
      <c r="J5879" s="15" t="s">
        <v>17</v>
      </c>
      <c r="K5879" s="9">
        <v>8</v>
      </c>
      <c r="L5879" s="16" t="s">
        <v>27</v>
      </c>
      <c r="M5879" s="16">
        <f t="shared" si="549"/>
        <v>-1.2135000752884624</v>
      </c>
      <c r="N5879">
        <f t="shared" si="550"/>
        <v>0</v>
      </c>
      <c r="O5879">
        <f t="shared" si="551"/>
        <v>0</v>
      </c>
      <c r="P5879">
        <f t="shared" si="548"/>
        <v>3800</v>
      </c>
      <c r="Q5879">
        <f t="shared" si="552"/>
        <v>3800</v>
      </c>
      <c r="T5879" s="16">
        <f t="shared" si="553"/>
        <v>-1.2135000752884626</v>
      </c>
    </row>
    <row r="5880" spans="7:20" ht="14.4" x14ac:dyDescent="0.25">
      <c r="G5880" s="10">
        <v>4442</v>
      </c>
      <c r="H5880" s="9">
        <v>31648</v>
      </c>
      <c r="I5880" s="14">
        <f>DATE(2012,12,31)-499</f>
        <v>40775</v>
      </c>
      <c r="J5880" s="15" t="s">
        <v>17</v>
      </c>
      <c r="K5880" s="9">
        <v>10</v>
      </c>
      <c r="L5880" s="16" t="s">
        <v>26</v>
      </c>
      <c r="M5880" s="16">
        <f t="shared" si="549"/>
        <v>-1.0753805220500194</v>
      </c>
      <c r="N5880">
        <f t="shared" si="550"/>
        <v>0</v>
      </c>
      <c r="O5880">
        <f t="shared" si="551"/>
        <v>0</v>
      </c>
      <c r="P5880">
        <f t="shared" si="548"/>
        <v>3900</v>
      </c>
      <c r="Q5880">
        <f t="shared" si="552"/>
        <v>3900</v>
      </c>
      <c r="T5880" s="16">
        <f t="shared" si="553"/>
        <v>-1.0753805220500199</v>
      </c>
    </row>
    <row r="5881" spans="7:20" ht="14.4" x14ac:dyDescent="0.25">
      <c r="G5881" s="10">
        <v>4510</v>
      </c>
      <c r="H5881" s="9">
        <v>32100</v>
      </c>
      <c r="I5881" s="14">
        <f>DATE(2012,12,31)-222</f>
        <v>41052</v>
      </c>
      <c r="J5881" s="15" t="s">
        <v>16</v>
      </c>
      <c r="K5881" s="9">
        <v>29</v>
      </c>
      <c r="L5881" s="16" t="s">
        <v>27</v>
      </c>
      <c r="M5881" s="16">
        <f t="shared" si="549"/>
        <v>0.23675523371518786</v>
      </c>
      <c r="N5881">
        <f t="shared" si="550"/>
        <v>0</v>
      </c>
      <c r="O5881">
        <f t="shared" si="551"/>
        <v>0</v>
      </c>
      <c r="P5881">
        <f t="shared" si="548"/>
        <v>4850</v>
      </c>
      <c r="Q5881">
        <f t="shared" si="552"/>
        <v>4850</v>
      </c>
      <c r="T5881" s="16">
        <f t="shared" si="553"/>
        <v>0.2367552337151875</v>
      </c>
    </row>
    <row r="5882" spans="7:20" ht="14.4" x14ac:dyDescent="0.25">
      <c r="G5882" s="10">
        <v>4593</v>
      </c>
      <c r="H5882" s="9">
        <v>32675</v>
      </c>
      <c r="I5882" s="14">
        <f>DATE(2012,12,31)-1154</f>
        <v>40120</v>
      </c>
      <c r="J5882" s="15" t="s">
        <v>17</v>
      </c>
      <c r="K5882" s="9">
        <v>20</v>
      </c>
      <c r="L5882" s="16" t="s">
        <v>29</v>
      </c>
      <c r="M5882" s="16">
        <f t="shared" si="549"/>
        <v>-0.38478275585780503</v>
      </c>
      <c r="N5882">
        <f t="shared" si="550"/>
        <v>0</v>
      </c>
      <c r="O5882">
        <f t="shared" si="551"/>
        <v>0</v>
      </c>
      <c r="P5882">
        <f t="shared" si="548"/>
        <v>4400</v>
      </c>
      <c r="Q5882">
        <f t="shared" si="552"/>
        <v>4400</v>
      </c>
      <c r="T5882" s="16">
        <f t="shared" si="553"/>
        <v>-0.38478275585780541</v>
      </c>
    </row>
    <row r="5883" spans="7:20" ht="14.4" x14ac:dyDescent="0.25">
      <c r="G5883" s="10">
        <v>4605</v>
      </c>
      <c r="H5883" s="9">
        <v>32804</v>
      </c>
      <c r="I5883" s="14">
        <f>DATE(2012,12,31)-113</f>
        <v>41161</v>
      </c>
      <c r="J5883" s="15" t="s">
        <v>16</v>
      </c>
      <c r="K5883" s="9">
        <v>49</v>
      </c>
      <c r="L5883" s="16" t="s">
        <v>26</v>
      </c>
      <c r="M5883" s="16">
        <f t="shared" si="549"/>
        <v>1.6179507660996166</v>
      </c>
      <c r="N5883">
        <f t="shared" si="550"/>
        <v>0</v>
      </c>
      <c r="O5883">
        <f t="shared" si="551"/>
        <v>0</v>
      </c>
      <c r="P5883">
        <f t="shared" si="548"/>
        <v>5850</v>
      </c>
      <c r="Q5883">
        <f t="shared" si="552"/>
        <v>5850</v>
      </c>
      <c r="T5883" s="16">
        <f t="shared" si="553"/>
        <v>1.6179507660996162</v>
      </c>
    </row>
    <row r="5884" spans="7:20" ht="14.4" x14ac:dyDescent="0.25">
      <c r="G5884" s="10">
        <v>4606</v>
      </c>
      <c r="H5884" s="9">
        <v>32804</v>
      </c>
      <c r="I5884" s="14">
        <f>DATE(2012,12,31)-113</f>
        <v>41161</v>
      </c>
      <c r="J5884" s="15" t="s">
        <v>16</v>
      </c>
      <c r="K5884" s="9">
        <v>20</v>
      </c>
      <c r="L5884" s="16" t="s">
        <v>26</v>
      </c>
      <c r="M5884" s="16">
        <f t="shared" si="549"/>
        <v>-0.38478275585780503</v>
      </c>
      <c r="N5884">
        <f t="shared" si="550"/>
        <v>0</v>
      </c>
      <c r="O5884">
        <f t="shared" si="551"/>
        <v>0</v>
      </c>
      <c r="P5884">
        <f t="shared" si="548"/>
        <v>4400</v>
      </c>
      <c r="Q5884">
        <f t="shared" si="552"/>
        <v>4400</v>
      </c>
      <c r="T5884" s="16">
        <f t="shared" si="553"/>
        <v>-0.38478275585780541</v>
      </c>
    </row>
    <row r="5885" spans="7:20" ht="14.4" x14ac:dyDescent="0.25">
      <c r="G5885" s="10">
        <v>4608</v>
      </c>
      <c r="H5885" s="9">
        <v>32806</v>
      </c>
      <c r="I5885" s="14">
        <f>DATE(2012,12,31)-559</f>
        <v>40715</v>
      </c>
      <c r="J5885" s="15" t="s">
        <v>17</v>
      </c>
      <c r="K5885" s="9">
        <v>48</v>
      </c>
      <c r="L5885" s="16" t="s">
        <v>26</v>
      </c>
      <c r="M5885" s="16">
        <f t="shared" si="549"/>
        <v>1.5488909894803951</v>
      </c>
      <c r="N5885">
        <f t="shared" si="550"/>
        <v>0</v>
      </c>
      <c r="O5885">
        <f t="shared" si="551"/>
        <v>0</v>
      </c>
      <c r="P5885">
        <f t="shared" si="548"/>
        <v>5800</v>
      </c>
      <c r="Q5885">
        <f t="shared" si="552"/>
        <v>5800</v>
      </c>
      <c r="T5885" s="16">
        <f t="shared" si="553"/>
        <v>1.5488909894803948</v>
      </c>
    </row>
    <row r="5886" spans="7:20" ht="14.4" x14ac:dyDescent="0.25">
      <c r="G5886" s="10">
        <v>4609</v>
      </c>
      <c r="H5886" s="9">
        <v>32806</v>
      </c>
      <c r="I5886" s="14">
        <f>DATE(2012,12,31)-559</f>
        <v>40715</v>
      </c>
      <c r="J5886" s="15" t="s">
        <v>17</v>
      </c>
      <c r="K5886" s="9">
        <v>33</v>
      </c>
      <c r="L5886" s="16" t="s">
        <v>26</v>
      </c>
      <c r="M5886" s="16">
        <f t="shared" si="549"/>
        <v>0.51299434019207357</v>
      </c>
      <c r="N5886">
        <f t="shared" si="550"/>
        <v>0</v>
      </c>
      <c r="O5886">
        <f t="shared" si="551"/>
        <v>0</v>
      </c>
      <c r="P5886">
        <f t="shared" si="548"/>
        <v>5050</v>
      </c>
      <c r="Q5886">
        <f t="shared" si="552"/>
        <v>5050</v>
      </c>
      <c r="T5886" s="16">
        <f t="shared" si="553"/>
        <v>0.51299434019207324</v>
      </c>
    </row>
    <row r="5887" spans="7:20" ht="14.4" x14ac:dyDescent="0.25">
      <c r="G5887" s="10">
        <v>4635</v>
      </c>
      <c r="H5887" s="9">
        <v>32996</v>
      </c>
      <c r="I5887" s="14">
        <f>DATE(2012,12,31)-745</f>
        <v>40529</v>
      </c>
      <c r="J5887" s="15" t="s">
        <v>30</v>
      </c>
      <c r="K5887" s="9">
        <v>15</v>
      </c>
      <c r="L5887" s="16" t="s">
        <v>29</v>
      </c>
      <c r="M5887" s="16">
        <f t="shared" si="549"/>
        <v>-0.7300816389539122</v>
      </c>
      <c r="N5887">
        <f t="shared" si="550"/>
        <v>0</v>
      </c>
      <c r="O5887">
        <f t="shared" si="551"/>
        <v>0</v>
      </c>
      <c r="P5887">
        <f t="shared" si="548"/>
        <v>4150</v>
      </c>
      <c r="Q5887">
        <f t="shared" si="552"/>
        <v>4150</v>
      </c>
      <c r="T5887" s="16">
        <f t="shared" si="553"/>
        <v>-0.73008163895391265</v>
      </c>
    </row>
    <row r="5888" spans="7:20" ht="14.4" x14ac:dyDescent="0.25">
      <c r="G5888" s="10">
        <v>4636</v>
      </c>
      <c r="H5888" s="9">
        <v>32996</v>
      </c>
      <c r="I5888" s="14">
        <f>DATE(2012,12,31)-745</f>
        <v>40529</v>
      </c>
      <c r="J5888" s="15" t="s">
        <v>30</v>
      </c>
      <c r="K5888" s="9">
        <v>2</v>
      </c>
      <c r="L5888" s="16" t="s">
        <v>27</v>
      </c>
      <c r="M5888" s="16">
        <f t="shared" si="549"/>
        <v>-1.627858735003791</v>
      </c>
      <c r="N5888">
        <f t="shared" si="550"/>
        <v>0</v>
      </c>
      <c r="O5888">
        <f t="shared" si="551"/>
        <v>0</v>
      </c>
      <c r="P5888">
        <f t="shared" si="548"/>
        <v>3500</v>
      </c>
      <c r="Q5888">
        <f t="shared" si="552"/>
        <v>3500</v>
      </c>
      <c r="T5888" s="16">
        <f t="shared" si="553"/>
        <v>-1.6278587350037912</v>
      </c>
    </row>
    <row r="5889" spans="7:20" ht="14.4" x14ac:dyDescent="0.25">
      <c r="G5889" s="10">
        <v>4657</v>
      </c>
      <c r="H5889" s="9">
        <v>33184</v>
      </c>
      <c r="I5889" s="14">
        <f>DATE(2012,12,31)-322</f>
        <v>40952</v>
      </c>
      <c r="J5889" s="15" t="s">
        <v>28</v>
      </c>
      <c r="K5889" s="9">
        <v>32</v>
      </c>
      <c r="L5889" s="16" t="s">
        <v>26</v>
      </c>
      <c r="M5889" s="16">
        <f t="shared" si="549"/>
        <v>0.44393456357285216</v>
      </c>
      <c r="N5889">
        <f t="shared" si="550"/>
        <v>0</v>
      </c>
      <c r="O5889">
        <f t="shared" si="551"/>
        <v>0</v>
      </c>
      <c r="P5889">
        <f t="shared" si="548"/>
        <v>5000</v>
      </c>
      <c r="Q5889">
        <f t="shared" si="552"/>
        <v>5000</v>
      </c>
      <c r="T5889" s="16">
        <f t="shared" si="553"/>
        <v>0.44393456357285183</v>
      </c>
    </row>
    <row r="5890" spans="7:20" ht="14.4" x14ac:dyDescent="0.25">
      <c r="G5890" s="10">
        <v>4658</v>
      </c>
      <c r="H5890" s="9">
        <v>33184</v>
      </c>
      <c r="I5890" s="14">
        <f>DATE(2012,12,31)-322</f>
        <v>40952</v>
      </c>
      <c r="J5890" s="15" t="s">
        <v>28</v>
      </c>
      <c r="K5890" s="9">
        <v>1</v>
      </c>
      <c r="L5890" s="16" t="s">
        <v>26</v>
      </c>
      <c r="M5890" s="16">
        <f t="shared" si="549"/>
        <v>-1.6969185116230123</v>
      </c>
      <c r="N5890">
        <f t="shared" si="550"/>
        <v>0</v>
      </c>
      <c r="O5890">
        <f t="shared" si="551"/>
        <v>0</v>
      </c>
      <c r="P5890">
        <f t="shared" si="548"/>
        <v>3450</v>
      </c>
      <c r="Q5890">
        <f t="shared" si="552"/>
        <v>3450</v>
      </c>
      <c r="T5890" s="16">
        <f t="shared" si="553"/>
        <v>-1.6969185116230128</v>
      </c>
    </row>
    <row r="5891" spans="7:20" ht="14.4" x14ac:dyDescent="0.25">
      <c r="G5891" s="10">
        <v>4742</v>
      </c>
      <c r="H5891" s="9">
        <v>33731</v>
      </c>
      <c r="I5891" s="14">
        <f>DATE(2012,12,31)-84</f>
        <v>41190</v>
      </c>
      <c r="J5891" s="15" t="s">
        <v>17</v>
      </c>
      <c r="K5891" s="9">
        <v>27</v>
      </c>
      <c r="L5891" s="16" t="s">
        <v>29</v>
      </c>
      <c r="M5891" s="16">
        <f t="shared" si="549"/>
        <v>9.8635680476745008E-2</v>
      </c>
      <c r="N5891">
        <f t="shared" si="550"/>
        <v>0</v>
      </c>
      <c r="O5891">
        <f t="shared" si="551"/>
        <v>0</v>
      </c>
      <c r="P5891">
        <f t="shared" si="548"/>
        <v>4750</v>
      </c>
      <c r="Q5891">
        <f t="shared" si="552"/>
        <v>4750</v>
      </c>
      <c r="T5891" s="16">
        <f t="shared" si="553"/>
        <v>9.8635680476744619E-2</v>
      </c>
    </row>
    <row r="5892" spans="7:20" ht="14.4" x14ac:dyDescent="0.25">
      <c r="G5892" s="10">
        <v>4743</v>
      </c>
      <c r="H5892" s="9">
        <v>33731</v>
      </c>
      <c r="I5892" s="14">
        <f>DATE(2012,12,31)-84</f>
        <v>41190</v>
      </c>
      <c r="J5892" s="15" t="s">
        <v>17</v>
      </c>
      <c r="K5892" s="9">
        <v>32</v>
      </c>
      <c r="L5892" s="16" t="s">
        <v>26</v>
      </c>
      <c r="M5892" s="16">
        <f t="shared" si="549"/>
        <v>0.44393456357285216</v>
      </c>
      <c r="N5892">
        <f t="shared" si="550"/>
        <v>0</v>
      </c>
      <c r="O5892">
        <f t="shared" si="551"/>
        <v>0</v>
      </c>
      <c r="P5892">
        <f t="shared" si="548"/>
        <v>5000</v>
      </c>
      <c r="Q5892">
        <f t="shared" si="552"/>
        <v>5000</v>
      </c>
      <c r="T5892" s="16">
        <f t="shared" si="553"/>
        <v>0.44393456357285183</v>
      </c>
    </row>
    <row r="5893" spans="7:20" ht="14.4" x14ac:dyDescent="0.25">
      <c r="G5893" s="10">
        <v>4744</v>
      </c>
      <c r="H5893" s="9">
        <v>33731</v>
      </c>
      <c r="I5893" s="14">
        <f>DATE(2012,12,31)-84</f>
        <v>41190</v>
      </c>
      <c r="J5893" s="15" t="s">
        <v>17</v>
      </c>
      <c r="K5893" s="9">
        <v>12</v>
      </c>
      <c r="L5893" s="16" t="s">
        <v>26</v>
      </c>
      <c r="M5893" s="16">
        <f t="shared" si="549"/>
        <v>-0.9372609688115765</v>
      </c>
      <c r="N5893">
        <f t="shared" si="550"/>
        <v>0</v>
      </c>
      <c r="O5893">
        <f t="shared" si="551"/>
        <v>0</v>
      </c>
      <c r="P5893">
        <f t="shared" si="548"/>
        <v>4000</v>
      </c>
      <c r="Q5893">
        <f t="shared" si="552"/>
        <v>4000</v>
      </c>
      <c r="T5893" s="16">
        <f t="shared" si="553"/>
        <v>-0.93726096881157694</v>
      </c>
    </row>
    <row r="5894" spans="7:20" ht="14.4" x14ac:dyDescent="0.25">
      <c r="G5894" s="10">
        <v>4799</v>
      </c>
      <c r="H5894" s="9">
        <v>34112</v>
      </c>
      <c r="I5894" s="14">
        <f>DATE(2012,12,31)-487</f>
        <v>40787</v>
      </c>
      <c r="J5894" s="15" t="s">
        <v>30</v>
      </c>
      <c r="K5894" s="9">
        <v>13</v>
      </c>
      <c r="L5894" s="16" t="s">
        <v>27</v>
      </c>
      <c r="M5894" s="16">
        <f t="shared" si="549"/>
        <v>-0.86820119219235514</v>
      </c>
      <c r="N5894">
        <f t="shared" si="550"/>
        <v>0</v>
      </c>
      <c r="O5894">
        <f t="shared" si="551"/>
        <v>0</v>
      </c>
      <c r="P5894">
        <f t="shared" si="548"/>
        <v>4050</v>
      </c>
      <c r="Q5894">
        <f t="shared" si="552"/>
        <v>4050</v>
      </c>
      <c r="T5894" s="16">
        <f t="shared" si="553"/>
        <v>-0.86820119219235548</v>
      </c>
    </row>
    <row r="5895" spans="7:20" ht="14.4" x14ac:dyDescent="0.25">
      <c r="G5895" s="10">
        <v>4896</v>
      </c>
      <c r="H5895" s="9">
        <v>34849</v>
      </c>
      <c r="I5895" s="14">
        <f>DATE(2012,12,31)-811</f>
        <v>40463</v>
      </c>
      <c r="J5895" s="15" t="s">
        <v>30</v>
      </c>
      <c r="K5895" s="9">
        <v>3</v>
      </c>
      <c r="L5895" s="16" t="s">
        <v>26</v>
      </c>
      <c r="M5895" s="16">
        <f t="shared" si="549"/>
        <v>-1.5587989583845694</v>
      </c>
      <c r="N5895">
        <f t="shared" si="550"/>
        <v>0</v>
      </c>
      <c r="O5895">
        <f t="shared" si="551"/>
        <v>0</v>
      </c>
      <c r="P5895">
        <f t="shared" si="548"/>
        <v>3550</v>
      </c>
      <c r="Q5895">
        <f t="shared" si="552"/>
        <v>3550</v>
      </c>
      <c r="T5895" s="16">
        <f t="shared" si="553"/>
        <v>-1.5587989583845698</v>
      </c>
    </row>
    <row r="5896" spans="7:20" ht="14.4" x14ac:dyDescent="0.25">
      <c r="G5896" s="10">
        <v>4897</v>
      </c>
      <c r="H5896" s="9">
        <v>34849</v>
      </c>
      <c r="I5896" s="14">
        <f>DATE(2012,12,31)-811</f>
        <v>40463</v>
      </c>
      <c r="J5896" s="15" t="s">
        <v>30</v>
      </c>
      <c r="K5896" s="9">
        <v>22</v>
      </c>
      <c r="L5896" s="16" t="s">
        <v>26</v>
      </c>
      <c r="M5896" s="16">
        <f t="shared" si="549"/>
        <v>-0.24666320261936217</v>
      </c>
      <c r="N5896">
        <f t="shared" si="550"/>
        <v>0</v>
      </c>
      <c r="O5896">
        <f t="shared" si="551"/>
        <v>0</v>
      </c>
      <c r="P5896">
        <f t="shared" si="548"/>
        <v>4500</v>
      </c>
      <c r="Q5896">
        <f t="shared" si="552"/>
        <v>4500</v>
      </c>
      <c r="T5896" s="16">
        <f t="shared" si="553"/>
        <v>-0.24666320261936256</v>
      </c>
    </row>
    <row r="5897" spans="7:20" ht="14.4" x14ac:dyDescent="0.25">
      <c r="G5897" s="10">
        <v>4898</v>
      </c>
      <c r="H5897" s="9">
        <v>34849</v>
      </c>
      <c r="I5897" s="14">
        <f>DATE(2012,12,31)-811</f>
        <v>40463</v>
      </c>
      <c r="J5897" s="15" t="s">
        <v>30</v>
      </c>
      <c r="K5897" s="9">
        <v>3</v>
      </c>
      <c r="L5897" s="16" t="s">
        <v>26</v>
      </c>
      <c r="M5897" s="16">
        <f t="shared" si="549"/>
        <v>-1.5587989583845694</v>
      </c>
      <c r="N5897">
        <f t="shared" si="550"/>
        <v>0</v>
      </c>
      <c r="O5897">
        <f t="shared" si="551"/>
        <v>0</v>
      </c>
      <c r="P5897">
        <f t="shared" si="548"/>
        <v>3550</v>
      </c>
      <c r="Q5897">
        <f t="shared" si="552"/>
        <v>3550</v>
      </c>
      <c r="T5897" s="16">
        <f t="shared" si="553"/>
        <v>-1.5587989583845698</v>
      </c>
    </row>
    <row r="5898" spans="7:20" ht="14.4" x14ac:dyDescent="0.25">
      <c r="G5898" s="10">
        <v>5337</v>
      </c>
      <c r="H5898" s="9">
        <v>37923</v>
      </c>
      <c r="I5898" s="14">
        <f>DATE(2012,12,31)-1010</f>
        <v>40264</v>
      </c>
      <c r="J5898" s="15" t="s">
        <v>28</v>
      </c>
      <c r="K5898" s="9">
        <v>29</v>
      </c>
      <c r="L5898" s="16" t="s">
        <v>26</v>
      </c>
      <c r="M5898" s="16">
        <f t="shared" si="549"/>
        <v>0.23675523371518786</v>
      </c>
      <c r="N5898">
        <f t="shared" si="550"/>
        <v>0</v>
      </c>
      <c r="O5898">
        <f t="shared" si="551"/>
        <v>0</v>
      </c>
      <c r="P5898">
        <f t="shared" si="548"/>
        <v>4850</v>
      </c>
      <c r="Q5898">
        <f t="shared" si="552"/>
        <v>4850</v>
      </c>
      <c r="T5898" s="16">
        <f t="shared" si="553"/>
        <v>0.2367552337151875</v>
      </c>
    </row>
    <row r="5899" spans="7:20" ht="14.4" x14ac:dyDescent="0.25">
      <c r="G5899" s="10">
        <v>5376</v>
      </c>
      <c r="H5899" s="9">
        <v>38215</v>
      </c>
      <c r="I5899" s="14">
        <f>DATE(2012,12,31)-1094</f>
        <v>40180</v>
      </c>
      <c r="J5899" s="15" t="s">
        <v>30</v>
      </c>
      <c r="K5899" s="9">
        <v>42</v>
      </c>
      <c r="L5899" s="16" t="s">
        <v>27</v>
      </c>
      <c r="M5899" s="16">
        <f t="shared" si="549"/>
        <v>1.1345323297650665</v>
      </c>
      <c r="N5899">
        <f t="shared" si="550"/>
        <v>0</v>
      </c>
      <c r="O5899">
        <f t="shared" si="551"/>
        <v>0</v>
      </c>
      <c r="P5899">
        <f t="shared" si="548"/>
        <v>5500</v>
      </c>
      <c r="Q5899">
        <f t="shared" si="552"/>
        <v>5500</v>
      </c>
      <c r="T5899" s="16">
        <f t="shared" si="553"/>
        <v>1.1345323297650662</v>
      </c>
    </row>
    <row r="5900" spans="7:20" ht="14.4" x14ac:dyDescent="0.25">
      <c r="G5900" s="10">
        <v>5377</v>
      </c>
      <c r="H5900" s="9">
        <v>38215</v>
      </c>
      <c r="I5900" s="14">
        <f>DATE(2012,12,31)-1094</f>
        <v>40180</v>
      </c>
      <c r="J5900" s="15" t="s">
        <v>30</v>
      </c>
      <c r="K5900" s="9">
        <v>38</v>
      </c>
      <c r="L5900" s="16" t="s">
        <v>26</v>
      </c>
      <c r="M5900" s="16">
        <f t="shared" si="549"/>
        <v>0.85829322328818081</v>
      </c>
      <c r="N5900">
        <f t="shared" si="550"/>
        <v>0</v>
      </c>
      <c r="O5900">
        <f t="shared" si="551"/>
        <v>0</v>
      </c>
      <c r="P5900">
        <f t="shared" ref="P5900:P5963" si="554">50*K5900+$P$10</f>
        <v>5300</v>
      </c>
      <c r="Q5900">
        <f t="shared" si="552"/>
        <v>5300</v>
      </c>
      <c r="T5900" s="16">
        <f t="shared" si="553"/>
        <v>0.85829322328818036</v>
      </c>
    </row>
    <row r="5901" spans="7:20" ht="14.4" x14ac:dyDescent="0.25">
      <c r="G5901" s="10">
        <v>5445</v>
      </c>
      <c r="H5901" s="9">
        <v>38659</v>
      </c>
      <c r="I5901" s="14">
        <f>DATE(2012,12,31)-1007</f>
        <v>40267</v>
      </c>
      <c r="J5901" s="15" t="s">
        <v>25</v>
      </c>
      <c r="K5901" s="9">
        <v>48</v>
      </c>
      <c r="L5901" s="16" t="s">
        <v>27</v>
      </c>
      <c r="M5901" s="16">
        <f t="shared" ref="M5901:M5964" si="555">(K5901-$K$4)/$K$7</f>
        <v>1.5488909894803951</v>
      </c>
      <c r="N5901">
        <f t="shared" ref="N5901:N5964" si="556">IF(MOD($B$20+G5901,1000)=0,1,0)</f>
        <v>0</v>
      </c>
      <c r="O5901">
        <f t="shared" ref="O5901:O5964" si="557">+ROUND(N5901*(IF(K5901&lt;$K$4,-4.5,10.5)*$P$5),-2)</f>
        <v>0</v>
      </c>
      <c r="P5901">
        <f t="shared" si="554"/>
        <v>5800</v>
      </c>
      <c r="Q5901">
        <f t="shared" ref="Q5901:Q5964" si="558">P5901+O5901</f>
        <v>5800</v>
      </c>
      <c r="T5901" s="16">
        <f t="shared" ref="T5901:T5964" si="559">(Q5901-$P$4)/$P$5</f>
        <v>1.5488909894803948</v>
      </c>
    </row>
    <row r="5902" spans="7:20" ht="14.4" x14ac:dyDescent="0.25">
      <c r="G5902" s="10">
        <v>5446</v>
      </c>
      <c r="H5902" s="9">
        <v>38659</v>
      </c>
      <c r="I5902" s="14">
        <f>DATE(2012,12,31)-1007</f>
        <v>40267</v>
      </c>
      <c r="J5902" s="15" t="s">
        <v>25</v>
      </c>
      <c r="K5902" s="9">
        <v>32</v>
      </c>
      <c r="L5902" s="16" t="s">
        <v>29</v>
      </c>
      <c r="M5902" s="16">
        <f t="shared" si="555"/>
        <v>0.44393456357285216</v>
      </c>
      <c r="N5902">
        <f t="shared" si="556"/>
        <v>0</v>
      </c>
      <c r="O5902">
        <f t="shared" si="557"/>
        <v>0</v>
      </c>
      <c r="P5902">
        <f t="shared" si="554"/>
        <v>5000</v>
      </c>
      <c r="Q5902">
        <f t="shared" si="558"/>
        <v>5000</v>
      </c>
      <c r="T5902" s="16">
        <f t="shared" si="559"/>
        <v>0.44393456357285183</v>
      </c>
    </row>
    <row r="5903" spans="7:20" ht="14.4" x14ac:dyDescent="0.25">
      <c r="G5903" s="10">
        <v>5499</v>
      </c>
      <c r="H5903" s="9">
        <v>38982</v>
      </c>
      <c r="I5903" s="14">
        <f>DATE(2012,12,31)-1263</f>
        <v>40011</v>
      </c>
      <c r="J5903" s="15" t="s">
        <v>28</v>
      </c>
      <c r="K5903" s="9">
        <v>43</v>
      </c>
      <c r="L5903" s="16" t="s">
        <v>27</v>
      </c>
      <c r="M5903" s="16">
        <f t="shared" si="555"/>
        <v>1.203592106384288</v>
      </c>
      <c r="N5903">
        <f t="shared" si="556"/>
        <v>0</v>
      </c>
      <c r="O5903">
        <f t="shared" si="557"/>
        <v>0</v>
      </c>
      <c r="P5903">
        <f t="shared" si="554"/>
        <v>5550</v>
      </c>
      <c r="Q5903">
        <f t="shared" si="558"/>
        <v>5550</v>
      </c>
      <c r="T5903" s="16">
        <f t="shared" si="559"/>
        <v>1.2035921063842876</v>
      </c>
    </row>
    <row r="5904" spans="7:20" ht="14.4" x14ac:dyDescent="0.25">
      <c r="G5904" s="10">
        <v>5642</v>
      </c>
      <c r="H5904" s="9">
        <v>39908</v>
      </c>
      <c r="I5904" s="14">
        <f>DATE(2012,12,31)-1331</f>
        <v>39943</v>
      </c>
      <c r="J5904" s="15" t="s">
        <v>25</v>
      </c>
      <c r="K5904" s="9">
        <v>23</v>
      </c>
      <c r="L5904" s="16" t="s">
        <v>26</v>
      </c>
      <c r="M5904" s="16">
        <f t="shared" si="555"/>
        <v>-0.17760342600014073</v>
      </c>
      <c r="N5904">
        <f t="shared" si="556"/>
        <v>0</v>
      </c>
      <c r="O5904">
        <f t="shared" si="557"/>
        <v>0</v>
      </c>
      <c r="P5904">
        <f t="shared" si="554"/>
        <v>4550</v>
      </c>
      <c r="Q5904">
        <f t="shared" si="558"/>
        <v>4550</v>
      </c>
      <c r="T5904" s="16">
        <f t="shared" si="559"/>
        <v>-0.17760342600014112</v>
      </c>
    </row>
    <row r="5905" spans="7:20" ht="14.4" x14ac:dyDescent="0.25">
      <c r="G5905" s="10">
        <v>5690</v>
      </c>
      <c r="H5905" s="9">
        <v>40225</v>
      </c>
      <c r="I5905" s="14">
        <f>DATE(2012,12,31)-722</f>
        <v>40552</v>
      </c>
      <c r="J5905" s="15" t="s">
        <v>25</v>
      </c>
      <c r="K5905" s="9">
        <v>50</v>
      </c>
      <c r="L5905" s="16" t="s">
        <v>26</v>
      </c>
      <c r="M5905" s="16">
        <f t="shared" si="555"/>
        <v>1.687010542718838</v>
      </c>
      <c r="N5905">
        <f t="shared" si="556"/>
        <v>0</v>
      </c>
      <c r="O5905">
        <f t="shared" si="557"/>
        <v>0</v>
      </c>
      <c r="P5905">
        <f t="shared" si="554"/>
        <v>5900</v>
      </c>
      <c r="Q5905">
        <f t="shared" si="558"/>
        <v>5900</v>
      </c>
      <c r="T5905" s="16">
        <f t="shared" si="559"/>
        <v>1.6870105427188375</v>
      </c>
    </row>
    <row r="5906" spans="7:20" ht="14.4" x14ac:dyDescent="0.25">
      <c r="G5906" s="10">
        <v>5691</v>
      </c>
      <c r="H5906" s="9">
        <v>40225</v>
      </c>
      <c r="I5906" s="14">
        <f>DATE(2012,12,31)-722</f>
        <v>40552</v>
      </c>
      <c r="J5906" s="15" t="s">
        <v>25</v>
      </c>
      <c r="K5906" s="9">
        <v>45</v>
      </c>
      <c r="L5906" s="16" t="s">
        <v>29</v>
      </c>
      <c r="M5906" s="16">
        <f t="shared" si="555"/>
        <v>1.3417116596227308</v>
      </c>
      <c r="N5906">
        <f t="shared" si="556"/>
        <v>0</v>
      </c>
      <c r="O5906">
        <f t="shared" si="557"/>
        <v>0</v>
      </c>
      <c r="P5906">
        <f t="shared" si="554"/>
        <v>5650</v>
      </c>
      <c r="Q5906">
        <f t="shared" si="558"/>
        <v>5650</v>
      </c>
      <c r="T5906" s="16">
        <f t="shared" si="559"/>
        <v>1.3417116596227305</v>
      </c>
    </row>
    <row r="5907" spans="7:20" ht="14.4" x14ac:dyDescent="0.25">
      <c r="G5907" s="10">
        <v>5718</v>
      </c>
      <c r="H5907" s="9">
        <v>40512</v>
      </c>
      <c r="I5907" s="14">
        <f>DATE(2012,12,31)-836</f>
        <v>40438</v>
      </c>
      <c r="J5907" s="15" t="s">
        <v>16</v>
      </c>
      <c r="K5907" s="9">
        <v>41</v>
      </c>
      <c r="L5907" s="16" t="s">
        <v>26</v>
      </c>
      <c r="M5907" s="16">
        <f t="shared" si="555"/>
        <v>1.0654725531458451</v>
      </c>
      <c r="N5907">
        <f t="shared" si="556"/>
        <v>0</v>
      </c>
      <c r="O5907">
        <f t="shared" si="557"/>
        <v>0</v>
      </c>
      <c r="P5907">
        <f t="shared" si="554"/>
        <v>5450</v>
      </c>
      <c r="Q5907">
        <f t="shared" si="558"/>
        <v>5450</v>
      </c>
      <c r="T5907" s="16">
        <f t="shared" si="559"/>
        <v>1.0654725531458447</v>
      </c>
    </row>
    <row r="5908" spans="7:20" ht="14.4" x14ac:dyDescent="0.25">
      <c r="G5908" s="10">
        <v>5869</v>
      </c>
      <c r="H5908" s="9">
        <v>41636</v>
      </c>
      <c r="I5908" s="14">
        <f>DATE(2012,12,31)-1235</f>
        <v>40039</v>
      </c>
      <c r="J5908" s="15" t="s">
        <v>30</v>
      </c>
      <c r="K5908" s="9">
        <v>47</v>
      </c>
      <c r="L5908" s="16" t="s">
        <v>29</v>
      </c>
      <c r="M5908" s="16">
        <f t="shared" si="555"/>
        <v>1.4798312128611737</v>
      </c>
      <c r="N5908">
        <f t="shared" si="556"/>
        <v>0</v>
      </c>
      <c r="O5908">
        <f t="shared" si="557"/>
        <v>0</v>
      </c>
      <c r="P5908">
        <f t="shared" si="554"/>
        <v>5750</v>
      </c>
      <c r="Q5908">
        <f t="shared" si="558"/>
        <v>5750</v>
      </c>
      <c r="T5908" s="16">
        <f t="shared" si="559"/>
        <v>1.4798312128611733</v>
      </c>
    </row>
    <row r="5909" spans="7:20" ht="14.4" x14ac:dyDescent="0.25">
      <c r="G5909" s="10">
        <v>5870</v>
      </c>
      <c r="H5909" s="9">
        <v>41636</v>
      </c>
      <c r="I5909" s="14">
        <f>DATE(2012,12,31)-1235</f>
        <v>40039</v>
      </c>
      <c r="J5909" s="15" t="s">
        <v>30</v>
      </c>
      <c r="K5909" s="9">
        <v>25</v>
      </c>
      <c r="L5909" s="16" t="s">
        <v>26</v>
      </c>
      <c r="M5909" s="16">
        <f t="shared" si="555"/>
        <v>-3.9483872761697868E-2</v>
      </c>
      <c r="N5909">
        <f t="shared" si="556"/>
        <v>0</v>
      </c>
      <c r="O5909">
        <f t="shared" si="557"/>
        <v>0</v>
      </c>
      <c r="P5909">
        <f t="shared" si="554"/>
        <v>4650</v>
      </c>
      <c r="Q5909">
        <f t="shared" si="558"/>
        <v>4650</v>
      </c>
      <c r="T5909" s="16">
        <f t="shared" si="559"/>
        <v>-3.9483872761698249E-2</v>
      </c>
    </row>
    <row r="5910" spans="7:20" ht="14.4" x14ac:dyDescent="0.25">
      <c r="G5910" s="10">
        <v>5871</v>
      </c>
      <c r="H5910" s="9">
        <v>41636</v>
      </c>
      <c r="I5910" s="14">
        <f>DATE(2012,12,31)-1235</f>
        <v>40039</v>
      </c>
      <c r="J5910" s="15" t="s">
        <v>30</v>
      </c>
      <c r="K5910" s="9">
        <v>27</v>
      </c>
      <c r="L5910" s="16" t="s">
        <v>27</v>
      </c>
      <c r="M5910" s="16">
        <f t="shared" si="555"/>
        <v>9.8635680476745008E-2</v>
      </c>
      <c r="N5910">
        <f t="shared" si="556"/>
        <v>0</v>
      </c>
      <c r="O5910">
        <f t="shared" si="557"/>
        <v>0</v>
      </c>
      <c r="P5910">
        <f t="shared" si="554"/>
        <v>4750</v>
      </c>
      <c r="Q5910">
        <f t="shared" si="558"/>
        <v>4750</v>
      </c>
      <c r="T5910" s="16">
        <f t="shared" si="559"/>
        <v>9.8635680476744619E-2</v>
      </c>
    </row>
    <row r="5911" spans="7:20" ht="14.4" x14ac:dyDescent="0.25">
      <c r="G5911" s="10">
        <v>5894</v>
      </c>
      <c r="H5911" s="9">
        <v>41799</v>
      </c>
      <c r="I5911" s="14">
        <f>DATE(2012,12,31)-1287</f>
        <v>39987</v>
      </c>
      <c r="J5911" s="15" t="s">
        <v>17</v>
      </c>
      <c r="K5911" s="9">
        <v>21</v>
      </c>
      <c r="L5911" s="16" t="s">
        <v>27</v>
      </c>
      <c r="M5911" s="16">
        <f t="shared" si="555"/>
        <v>-0.31572297923858361</v>
      </c>
      <c r="N5911">
        <f t="shared" si="556"/>
        <v>0</v>
      </c>
      <c r="O5911">
        <f t="shared" si="557"/>
        <v>0</v>
      </c>
      <c r="P5911">
        <f t="shared" si="554"/>
        <v>4450</v>
      </c>
      <c r="Q5911">
        <f t="shared" si="558"/>
        <v>4450</v>
      </c>
      <c r="T5911" s="16">
        <f t="shared" si="559"/>
        <v>-0.315722979238584</v>
      </c>
    </row>
    <row r="5912" spans="7:20" ht="14.4" x14ac:dyDescent="0.25">
      <c r="G5912" s="10">
        <v>5904</v>
      </c>
      <c r="H5912" s="9">
        <v>41857</v>
      </c>
      <c r="I5912" s="14">
        <f>DATE(2012,12,31)-605</f>
        <v>40669</v>
      </c>
      <c r="J5912" s="15" t="s">
        <v>25</v>
      </c>
      <c r="K5912" s="9">
        <v>45</v>
      </c>
      <c r="L5912" s="16" t="s">
        <v>29</v>
      </c>
      <c r="M5912" s="16">
        <f t="shared" si="555"/>
        <v>1.3417116596227308</v>
      </c>
      <c r="N5912">
        <f t="shared" si="556"/>
        <v>0</v>
      </c>
      <c r="O5912">
        <f t="shared" si="557"/>
        <v>0</v>
      </c>
      <c r="P5912">
        <f t="shared" si="554"/>
        <v>5650</v>
      </c>
      <c r="Q5912">
        <f t="shared" si="558"/>
        <v>5650</v>
      </c>
      <c r="T5912" s="16">
        <f t="shared" si="559"/>
        <v>1.3417116596227305</v>
      </c>
    </row>
    <row r="5913" spans="7:20" ht="14.4" x14ac:dyDescent="0.25">
      <c r="G5913" s="10">
        <v>5970</v>
      </c>
      <c r="H5913" s="9">
        <v>42342</v>
      </c>
      <c r="I5913" s="14">
        <f>DATE(2012,12,31)-1214</f>
        <v>40060</v>
      </c>
      <c r="J5913" s="15" t="s">
        <v>28</v>
      </c>
      <c r="K5913" s="9">
        <v>43</v>
      </c>
      <c r="L5913" s="16" t="s">
        <v>29</v>
      </c>
      <c r="M5913" s="16">
        <f t="shared" si="555"/>
        <v>1.203592106384288</v>
      </c>
      <c r="N5913">
        <f t="shared" si="556"/>
        <v>0</v>
      </c>
      <c r="O5913">
        <f t="shared" si="557"/>
        <v>0</v>
      </c>
      <c r="P5913">
        <f t="shared" si="554"/>
        <v>5550</v>
      </c>
      <c r="Q5913">
        <f t="shared" si="558"/>
        <v>5550</v>
      </c>
      <c r="T5913" s="16">
        <f t="shared" si="559"/>
        <v>1.2035921063842876</v>
      </c>
    </row>
    <row r="5914" spans="7:20" ht="14.4" x14ac:dyDescent="0.25">
      <c r="G5914" s="10">
        <v>5977</v>
      </c>
      <c r="H5914" s="9">
        <v>42374</v>
      </c>
      <c r="I5914" s="14">
        <f>DATE(2012,12,31)-167</f>
        <v>41107</v>
      </c>
      <c r="J5914" s="15" t="s">
        <v>30</v>
      </c>
      <c r="K5914" s="9">
        <v>21</v>
      </c>
      <c r="L5914" s="16" t="s">
        <v>27</v>
      </c>
      <c r="M5914" s="16">
        <f t="shared" si="555"/>
        <v>-0.31572297923858361</v>
      </c>
      <c r="N5914">
        <f t="shared" si="556"/>
        <v>0</v>
      </c>
      <c r="O5914">
        <f t="shared" si="557"/>
        <v>0</v>
      </c>
      <c r="P5914">
        <f t="shared" si="554"/>
        <v>4450</v>
      </c>
      <c r="Q5914">
        <f t="shared" si="558"/>
        <v>4450</v>
      </c>
      <c r="T5914" s="16">
        <f t="shared" si="559"/>
        <v>-0.315722979238584</v>
      </c>
    </row>
    <row r="5915" spans="7:20" ht="14.4" x14ac:dyDescent="0.25">
      <c r="G5915" s="10">
        <v>5978</v>
      </c>
      <c r="H5915" s="9">
        <v>42374</v>
      </c>
      <c r="I5915" s="14">
        <f>DATE(2012,12,31)-167</f>
        <v>41107</v>
      </c>
      <c r="J5915" s="15" t="s">
        <v>30</v>
      </c>
      <c r="K5915" s="9">
        <v>47</v>
      </c>
      <c r="L5915" s="16" t="s">
        <v>26</v>
      </c>
      <c r="M5915" s="16">
        <f t="shared" si="555"/>
        <v>1.4798312128611737</v>
      </c>
      <c r="N5915">
        <f t="shared" si="556"/>
        <v>0</v>
      </c>
      <c r="O5915">
        <f t="shared" si="557"/>
        <v>0</v>
      </c>
      <c r="P5915">
        <f t="shared" si="554"/>
        <v>5750</v>
      </c>
      <c r="Q5915">
        <f t="shared" si="558"/>
        <v>5750</v>
      </c>
      <c r="T5915" s="16">
        <f t="shared" si="559"/>
        <v>1.4798312128611733</v>
      </c>
    </row>
    <row r="5916" spans="7:20" ht="14.4" x14ac:dyDescent="0.25">
      <c r="G5916" s="10">
        <v>5979</v>
      </c>
      <c r="H5916" s="9">
        <v>42374</v>
      </c>
      <c r="I5916" s="14">
        <f>DATE(2012,12,31)-167</f>
        <v>41107</v>
      </c>
      <c r="J5916" s="15" t="s">
        <v>30</v>
      </c>
      <c r="K5916" s="9">
        <v>11</v>
      </c>
      <c r="L5916" s="16" t="s">
        <v>26</v>
      </c>
      <c r="M5916" s="16">
        <f t="shared" si="555"/>
        <v>-1.0063207454307979</v>
      </c>
      <c r="N5916">
        <f t="shared" si="556"/>
        <v>0</v>
      </c>
      <c r="O5916">
        <f t="shared" si="557"/>
        <v>0</v>
      </c>
      <c r="P5916">
        <f t="shared" si="554"/>
        <v>3950</v>
      </c>
      <c r="Q5916">
        <f t="shared" si="558"/>
        <v>3950</v>
      </c>
      <c r="T5916" s="16">
        <f t="shared" si="559"/>
        <v>-1.0063207454307983</v>
      </c>
    </row>
    <row r="5917" spans="7:20" ht="14.4" x14ac:dyDescent="0.25">
      <c r="G5917" s="10">
        <v>6016</v>
      </c>
      <c r="H5917" s="9">
        <v>42631</v>
      </c>
      <c r="I5917" s="14">
        <f>DATE(2012,12,31)-1332</f>
        <v>39942</v>
      </c>
      <c r="J5917" s="15" t="s">
        <v>17</v>
      </c>
      <c r="K5917" s="9">
        <v>41</v>
      </c>
      <c r="L5917" s="16" t="s">
        <v>27</v>
      </c>
      <c r="M5917" s="16">
        <f t="shared" si="555"/>
        <v>1.0654725531458451</v>
      </c>
      <c r="N5917">
        <f t="shared" si="556"/>
        <v>0</v>
      </c>
      <c r="O5917">
        <f t="shared" si="557"/>
        <v>0</v>
      </c>
      <c r="P5917">
        <f t="shared" si="554"/>
        <v>5450</v>
      </c>
      <c r="Q5917">
        <f t="shared" si="558"/>
        <v>5450</v>
      </c>
      <c r="T5917" s="16">
        <f t="shared" si="559"/>
        <v>1.0654725531458447</v>
      </c>
    </row>
    <row r="5918" spans="7:20" ht="14.4" x14ac:dyDescent="0.25">
      <c r="G5918" s="10">
        <v>6017</v>
      </c>
      <c r="H5918" s="9">
        <v>42631</v>
      </c>
      <c r="I5918" s="14">
        <f>DATE(2012,12,31)-1332</f>
        <v>39942</v>
      </c>
      <c r="J5918" s="15" t="s">
        <v>17</v>
      </c>
      <c r="K5918" s="9">
        <v>18</v>
      </c>
      <c r="L5918" s="16" t="s">
        <v>26</v>
      </c>
      <c r="M5918" s="16">
        <f t="shared" si="555"/>
        <v>-0.52290230909624791</v>
      </c>
      <c r="N5918">
        <f t="shared" si="556"/>
        <v>0</v>
      </c>
      <c r="O5918">
        <f t="shared" si="557"/>
        <v>0</v>
      </c>
      <c r="P5918">
        <f t="shared" si="554"/>
        <v>4300</v>
      </c>
      <c r="Q5918">
        <f t="shared" si="558"/>
        <v>4300</v>
      </c>
      <c r="T5918" s="16">
        <f t="shared" si="559"/>
        <v>-0.52290230909624835</v>
      </c>
    </row>
    <row r="5919" spans="7:20" ht="14.4" x14ac:dyDescent="0.25">
      <c r="G5919" s="10">
        <v>6018</v>
      </c>
      <c r="H5919" s="9">
        <v>42631</v>
      </c>
      <c r="I5919" s="14">
        <f>DATE(2012,12,31)-1332</f>
        <v>39942</v>
      </c>
      <c r="J5919" s="15" t="s">
        <v>17</v>
      </c>
      <c r="K5919" s="9">
        <v>44</v>
      </c>
      <c r="L5919" s="16" t="s">
        <v>26</v>
      </c>
      <c r="M5919" s="16">
        <f t="shared" si="555"/>
        <v>1.2726518830035094</v>
      </c>
      <c r="N5919">
        <f t="shared" si="556"/>
        <v>0</v>
      </c>
      <c r="O5919">
        <f t="shared" si="557"/>
        <v>0</v>
      </c>
      <c r="P5919">
        <f t="shared" si="554"/>
        <v>5600</v>
      </c>
      <c r="Q5919">
        <f t="shared" si="558"/>
        <v>5600</v>
      </c>
      <c r="T5919" s="16">
        <f t="shared" si="559"/>
        <v>1.272651883003509</v>
      </c>
    </row>
    <row r="5920" spans="7:20" ht="14.4" x14ac:dyDescent="0.25">
      <c r="G5920" s="10">
        <v>6019</v>
      </c>
      <c r="H5920" s="9">
        <v>42631</v>
      </c>
      <c r="I5920" s="14">
        <f>DATE(2012,12,31)-1332</f>
        <v>39942</v>
      </c>
      <c r="J5920" s="15" t="s">
        <v>17</v>
      </c>
      <c r="K5920" s="9">
        <v>22</v>
      </c>
      <c r="L5920" s="16" t="s">
        <v>27</v>
      </c>
      <c r="M5920" s="16">
        <f t="shared" si="555"/>
        <v>-0.24666320261936217</v>
      </c>
      <c r="N5920">
        <f t="shared" si="556"/>
        <v>0</v>
      </c>
      <c r="O5920">
        <f t="shared" si="557"/>
        <v>0</v>
      </c>
      <c r="P5920">
        <f t="shared" si="554"/>
        <v>4500</v>
      </c>
      <c r="Q5920">
        <f t="shared" si="558"/>
        <v>4500</v>
      </c>
      <c r="T5920" s="16">
        <f t="shared" si="559"/>
        <v>-0.24666320261936256</v>
      </c>
    </row>
    <row r="5921" spans="7:20" ht="14.4" x14ac:dyDescent="0.25">
      <c r="G5921" s="10">
        <v>6066</v>
      </c>
      <c r="H5921" s="9">
        <v>42979</v>
      </c>
      <c r="I5921" s="14">
        <f>DATE(2012,12,31)-610</f>
        <v>40664</v>
      </c>
      <c r="J5921" s="15" t="s">
        <v>28</v>
      </c>
      <c r="K5921" s="9">
        <v>29</v>
      </c>
      <c r="L5921" s="16" t="s">
        <v>29</v>
      </c>
      <c r="M5921" s="16">
        <f t="shared" si="555"/>
        <v>0.23675523371518786</v>
      </c>
      <c r="N5921">
        <f t="shared" si="556"/>
        <v>0</v>
      </c>
      <c r="O5921">
        <f t="shared" si="557"/>
        <v>0</v>
      </c>
      <c r="P5921">
        <f t="shared" si="554"/>
        <v>4850</v>
      </c>
      <c r="Q5921">
        <f t="shared" si="558"/>
        <v>4850</v>
      </c>
      <c r="T5921" s="16">
        <f t="shared" si="559"/>
        <v>0.2367552337151875</v>
      </c>
    </row>
    <row r="5922" spans="7:20" ht="14.4" x14ac:dyDescent="0.25">
      <c r="G5922" s="10">
        <v>6077</v>
      </c>
      <c r="H5922" s="9">
        <v>43045</v>
      </c>
      <c r="I5922" s="14">
        <f>DATE(2012,12,31)-200</f>
        <v>41074</v>
      </c>
      <c r="J5922" s="15" t="s">
        <v>16</v>
      </c>
      <c r="K5922" s="9">
        <v>47</v>
      </c>
      <c r="L5922" s="16" t="s">
        <v>29</v>
      </c>
      <c r="M5922" s="16">
        <f t="shared" si="555"/>
        <v>1.4798312128611737</v>
      </c>
      <c r="N5922">
        <f t="shared" si="556"/>
        <v>0</v>
      </c>
      <c r="O5922">
        <f t="shared" si="557"/>
        <v>0</v>
      </c>
      <c r="P5922">
        <f t="shared" si="554"/>
        <v>5750</v>
      </c>
      <c r="Q5922">
        <f t="shared" si="558"/>
        <v>5750</v>
      </c>
      <c r="T5922" s="16">
        <f t="shared" si="559"/>
        <v>1.4798312128611733</v>
      </c>
    </row>
    <row r="5923" spans="7:20" ht="14.4" x14ac:dyDescent="0.25">
      <c r="G5923" s="10">
        <v>6078</v>
      </c>
      <c r="H5923" s="9">
        <v>43045</v>
      </c>
      <c r="I5923" s="14">
        <f>DATE(2012,12,31)-200</f>
        <v>41074</v>
      </c>
      <c r="J5923" s="15" t="s">
        <v>16</v>
      </c>
      <c r="K5923" s="9">
        <v>12</v>
      </c>
      <c r="L5923" s="16" t="s">
        <v>29</v>
      </c>
      <c r="M5923" s="16">
        <f t="shared" si="555"/>
        <v>-0.9372609688115765</v>
      </c>
      <c r="N5923">
        <f t="shared" si="556"/>
        <v>0</v>
      </c>
      <c r="O5923">
        <f t="shared" si="557"/>
        <v>0</v>
      </c>
      <c r="P5923">
        <f t="shared" si="554"/>
        <v>4000</v>
      </c>
      <c r="Q5923">
        <f t="shared" si="558"/>
        <v>4000</v>
      </c>
      <c r="T5923" s="16">
        <f t="shared" si="559"/>
        <v>-0.93726096881157694</v>
      </c>
    </row>
    <row r="5924" spans="7:20" ht="14.4" x14ac:dyDescent="0.25">
      <c r="G5924" s="10">
        <v>6085</v>
      </c>
      <c r="H5924" s="9">
        <v>43110</v>
      </c>
      <c r="I5924" s="14">
        <f>DATE(2012,12,31)-694</f>
        <v>40580</v>
      </c>
      <c r="J5924" s="15" t="s">
        <v>17</v>
      </c>
      <c r="K5924" s="9">
        <v>3</v>
      </c>
      <c r="L5924" s="16" t="s">
        <v>26</v>
      </c>
      <c r="M5924" s="16">
        <f t="shared" si="555"/>
        <v>-1.5587989583845694</v>
      </c>
      <c r="N5924">
        <f t="shared" si="556"/>
        <v>0</v>
      </c>
      <c r="O5924">
        <f t="shared" si="557"/>
        <v>0</v>
      </c>
      <c r="P5924">
        <f t="shared" si="554"/>
        <v>3550</v>
      </c>
      <c r="Q5924">
        <f t="shared" si="558"/>
        <v>3550</v>
      </c>
      <c r="T5924" s="16">
        <f t="shared" si="559"/>
        <v>-1.5587989583845698</v>
      </c>
    </row>
    <row r="5925" spans="7:20" ht="14.4" x14ac:dyDescent="0.25">
      <c r="G5925" s="10">
        <v>6086</v>
      </c>
      <c r="H5925" s="9">
        <v>43110</v>
      </c>
      <c r="I5925" s="14">
        <f>DATE(2012,12,31)-694</f>
        <v>40580</v>
      </c>
      <c r="J5925" s="15" t="s">
        <v>17</v>
      </c>
      <c r="K5925" s="9">
        <v>1</v>
      </c>
      <c r="L5925" s="16" t="s">
        <v>27</v>
      </c>
      <c r="M5925" s="16">
        <f t="shared" si="555"/>
        <v>-1.6969185116230123</v>
      </c>
      <c r="N5925">
        <f t="shared" si="556"/>
        <v>0</v>
      </c>
      <c r="O5925">
        <f t="shared" si="557"/>
        <v>0</v>
      </c>
      <c r="P5925">
        <f t="shared" si="554"/>
        <v>3450</v>
      </c>
      <c r="Q5925">
        <f t="shared" si="558"/>
        <v>3450</v>
      </c>
      <c r="T5925" s="16">
        <f t="shared" si="559"/>
        <v>-1.6969185116230128</v>
      </c>
    </row>
    <row r="5926" spans="7:20" ht="14.4" x14ac:dyDescent="0.25">
      <c r="G5926" s="10">
        <v>6104</v>
      </c>
      <c r="H5926" s="9">
        <v>43239</v>
      </c>
      <c r="I5926" s="14">
        <f>DATE(2012,12,31)-656</f>
        <v>40618</v>
      </c>
      <c r="J5926" s="15" t="s">
        <v>28</v>
      </c>
      <c r="K5926" s="9">
        <v>14</v>
      </c>
      <c r="L5926" s="16" t="s">
        <v>26</v>
      </c>
      <c r="M5926" s="16">
        <f t="shared" si="555"/>
        <v>-0.79914141557313367</v>
      </c>
      <c r="N5926">
        <f t="shared" si="556"/>
        <v>0</v>
      </c>
      <c r="O5926">
        <f t="shared" si="557"/>
        <v>0</v>
      </c>
      <c r="P5926">
        <f t="shared" si="554"/>
        <v>4100</v>
      </c>
      <c r="Q5926">
        <f t="shared" si="558"/>
        <v>4100</v>
      </c>
      <c r="T5926" s="16">
        <f t="shared" si="559"/>
        <v>-0.79914141557313401</v>
      </c>
    </row>
    <row r="5927" spans="7:20" ht="14.4" x14ac:dyDescent="0.25">
      <c r="G5927" s="10">
        <v>6313</v>
      </c>
      <c r="H5927" s="9">
        <v>44678</v>
      </c>
      <c r="I5927" s="14">
        <f>DATE(2012,12,31)-79</f>
        <v>41195</v>
      </c>
      <c r="J5927" s="15" t="s">
        <v>25</v>
      </c>
      <c r="K5927" s="9">
        <v>36</v>
      </c>
      <c r="L5927" s="16" t="s">
        <v>29</v>
      </c>
      <c r="M5927" s="16">
        <f t="shared" si="555"/>
        <v>0.72017367004973787</v>
      </c>
      <c r="N5927">
        <f t="shared" si="556"/>
        <v>0</v>
      </c>
      <c r="O5927">
        <f t="shared" si="557"/>
        <v>0</v>
      </c>
      <c r="P5927">
        <f t="shared" si="554"/>
        <v>5200</v>
      </c>
      <c r="Q5927">
        <f t="shared" si="558"/>
        <v>5200</v>
      </c>
      <c r="T5927" s="16">
        <f t="shared" si="559"/>
        <v>0.72017367004973754</v>
      </c>
    </row>
    <row r="5928" spans="7:20" ht="14.4" x14ac:dyDescent="0.25">
      <c r="G5928" s="10">
        <v>6314</v>
      </c>
      <c r="H5928" s="9">
        <v>44678</v>
      </c>
      <c r="I5928" s="14">
        <f>DATE(2012,12,31)-79</f>
        <v>41195</v>
      </c>
      <c r="J5928" s="15" t="s">
        <v>25</v>
      </c>
      <c r="K5928" s="9">
        <v>4</v>
      </c>
      <c r="L5928" s="16" t="s">
        <v>26</v>
      </c>
      <c r="M5928" s="16">
        <f t="shared" si="555"/>
        <v>-1.489739181765348</v>
      </c>
      <c r="N5928">
        <f t="shared" si="556"/>
        <v>0</v>
      </c>
      <c r="O5928">
        <f t="shared" si="557"/>
        <v>0</v>
      </c>
      <c r="P5928">
        <f t="shared" si="554"/>
        <v>3600</v>
      </c>
      <c r="Q5928">
        <f t="shared" si="558"/>
        <v>3600</v>
      </c>
      <c r="T5928" s="16">
        <f t="shared" si="559"/>
        <v>-1.4897391817653485</v>
      </c>
    </row>
    <row r="5929" spans="7:20" ht="14.4" x14ac:dyDescent="0.25">
      <c r="G5929" s="10">
        <v>6326</v>
      </c>
      <c r="H5929" s="9">
        <v>44805</v>
      </c>
      <c r="I5929" s="14">
        <f>DATE(2012,12,31)-108</f>
        <v>41166</v>
      </c>
      <c r="J5929" s="15" t="s">
        <v>17</v>
      </c>
      <c r="K5929" s="9">
        <v>40</v>
      </c>
      <c r="L5929" s="16" t="s">
        <v>26</v>
      </c>
      <c r="M5929" s="16">
        <f t="shared" si="555"/>
        <v>0.99641277652662363</v>
      </c>
      <c r="N5929">
        <f t="shared" si="556"/>
        <v>0</v>
      </c>
      <c r="O5929">
        <f t="shared" si="557"/>
        <v>0</v>
      </c>
      <c r="P5929">
        <f t="shared" si="554"/>
        <v>5400</v>
      </c>
      <c r="Q5929">
        <f t="shared" si="558"/>
        <v>5400</v>
      </c>
      <c r="T5929" s="16">
        <f t="shared" si="559"/>
        <v>0.9964127765266233</v>
      </c>
    </row>
    <row r="5930" spans="7:20" ht="14.4" x14ac:dyDescent="0.25">
      <c r="G5930" s="10">
        <v>6335</v>
      </c>
      <c r="H5930" s="9">
        <v>44897</v>
      </c>
      <c r="I5930" s="14">
        <f>DATE(2012,12,31)-1028</f>
        <v>40246</v>
      </c>
      <c r="J5930" s="15" t="s">
        <v>17</v>
      </c>
      <c r="K5930" s="9">
        <v>11</v>
      </c>
      <c r="L5930" s="16" t="s">
        <v>26</v>
      </c>
      <c r="M5930" s="16">
        <f t="shared" si="555"/>
        <v>-1.0063207454307979</v>
      </c>
      <c r="N5930">
        <f t="shared" si="556"/>
        <v>0</v>
      </c>
      <c r="O5930">
        <f t="shared" si="557"/>
        <v>0</v>
      </c>
      <c r="P5930">
        <f t="shared" si="554"/>
        <v>3950</v>
      </c>
      <c r="Q5930">
        <f t="shared" si="558"/>
        <v>3950</v>
      </c>
      <c r="T5930" s="16">
        <f t="shared" si="559"/>
        <v>-1.0063207454307983</v>
      </c>
    </row>
    <row r="5931" spans="7:20" ht="14.4" x14ac:dyDescent="0.25">
      <c r="G5931" s="10">
        <v>6610</v>
      </c>
      <c r="H5931" s="9">
        <v>47015</v>
      </c>
      <c r="I5931" s="14">
        <f>DATE(2012,12,31)-687</f>
        <v>40587</v>
      </c>
      <c r="J5931" s="15" t="s">
        <v>28</v>
      </c>
      <c r="K5931" s="9">
        <v>19</v>
      </c>
      <c r="L5931" s="16" t="s">
        <v>29</v>
      </c>
      <c r="M5931" s="16">
        <f t="shared" si="555"/>
        <v>-0.45384253247702649</v>
      </c>
      <c r="N5931">
        <f t="shared" si="556"/>
        <v>0</v>
      </c>
      <c r="O5931">
        <f t="shared" si="557"/>
        <v>0</v>
      </c>
      <c r="P5931">
        <f t="shared" si="554"/>
        <v>4350</v>
      </c>
      <c r="Q5931">
        <f t="shared" si="558"/>
        <v>4350</v>
      </c>
      <c r="T5931" s="16">
        <f t="shared" si="559"/>
        <v>-0.45384253247702688</v>
      </c>
    </row>
    <row r="5932" spans="7:20" ht="14.4" x14ac:dyDescent="0.25">
      <c r="G5932" s="10">
        <v>6636</v>
      </c>
      <c r="H5932" s="9">
        <v>47175</v>
      </c>
      <c r="I5932" s="14">
        <f>DATE(2012,12,31)-981</f>
        <v>40293</v>
      </c>
      <c r="J5932" s="15" t="s">
        <v>28</v>
      </c>
      <c r="K5932" s="9">
        <v>40</v>
      </c>
      <c r="L5932" s="16" t="s">
        <v>26</v>
      </c>
      <c r="M5932" s="16">
        <f t="shared" si="555"/>
        <v>0.99641277652662363</v>
      </c>
      <c r="N5932">
        <f t="shared" si="556"/>
        <v>0</v>
      </c>
      <c r="O5932">
        <f t="shared" si="557"/>
        <v>0</v>
      </c>
      <c r="P5932">
        <f t="shared" si="554"/>
        <v>5400</v>
      </c>
      <c r="Q5932">
        <f t="shared" si="558"/>
        <v>5400</v>
      </c>
      <c r="T5932" s="16">
        <f t="shared" si="559"/>
        <v>0.9964127765266233</v>
      </c>
    </row>
    <row r="5933" spans="7:20" ht="14.4" x14ac:dyDescent="0.25">
      <c r="G5933" s="10">
        <v>6638</v>
      </c>
      <c r="H5933" s="9">
        <v>47203</v>
      </c>
      <c r="I5933" s="14">
        <f>DATE(2012,12,31)-1109</f>
        <v>40165</v>
      </c>
      <c r="J5933" s="15" t="s">
        <v>30</v>
      </c>
      <c r="K5933" s="9">
        <v>8</v>
      </c>
      <c r="L5933" s="16" t="s">
        <v>27</v>
      </c>
      <c r="M5933" s="16">
        <f t="shared" si="555"/>
        <v>-1.2135000752884624</v>
      </c>
      <c r="N5933">
        <f t="shared" si="556"/>
        <v>0</v>
      </c>
      <c r="O5933">
        <f t="shared" si="557"/>
        <v>0</v>
      </c>
      <c r="P5933">
        <f t="shared" si="554"/>
        <v>3800</v>
      </c>
      <c r="Q5933">
        <f t="shared" si="558"/>
        <v>3800</v>
      </c>
      <c r="T5933" s="16">
        <f t="shared" si="559"/>
        <v>-1.2135000752884626</v>
      </c>
    </row>
    <row r="5934" spans="7:20" ht="14.4" x14ac:dyDescent="0.25">
      <c r="G5934" s="10">
        <v>6639</v>
      </c>
      <c r="H5934" s="9">
        <v>47203</v>
      </c>
      <c r="I5934" s="14">
        <f>DATE(2012,12,31)-1109</f>
        <v>40165</v>
      </c>
      <c r="J5934" s="15" t="s">
        <v>30</v>
      </c>
      <c r="K5934" s="9">
        <v>44</v>
      </c>
      <c r="L5934" s="16" t="s">
        <v>26</v>
      </c>
      <c r="M5934" s="16">
        <f t="shared" si="555"/>
        <v>1.2726518830035094</v>
      </c>
      <c r="N5934">
        <f t="shared" si="556"/>
        <v>0</v>
      </c>
      <c r="O5934">
        <f t="shared" si="557"/>
        <v>0</v>
      </c>
      <c r="P5934">
        <f t="shared" si="554"/>
        <v>5600</v>
      </c>
      <c r="Q5934">
        <f t="shared" si="558"/>
        <v>5600</v>
      </c>
      <c r="T5934" s="16">
        <f t="shared" si="559"/>
        <v>1.272651883003509</v>
      </c>
    </row>
    <row r="5935" spans="7:20" ht="14.4" x14ac:dyDescent="0.25">
      <c r="G5935" s="10">
        <v>6646</v>
      </c>
      <c r="H5935" s="9">
        <v>47270</v>
      </c>
      <c r="I5935" s="14">
        <f>DATE(2012,12,31)-882</f>
        <v>40392</v>
      </c>
      <c r="J5935" s="15" t="s">
        <v>30</v>
      </c>
      <c r="K5935" s="9">
        <v>40</v>
      </c>
      <c r="L5935" s="16" t="s">
        <v>26</v>
      </c>
      <c r="M5935" s="16">
        <f t="shared" si="555"/>
        <v>0.99641277652662363</v>
      </c>
      <c r="N5935">
        <f t="shared" si="556"/>
        <v>0</v>
      </c>
      <c r="O5935">
        <f t="shared" si="557"/>
        <v>0</v>
      </c>
      <c r="P5935">
        <f t="shared" si="554"/>
        <v>5400</v>
      </c>
      <c r="Q5935">
        <f t="shared" si="558"/>
        <v>5400</v>
      </c>
      <c r="T5935" s="16">
        <f t="shared" si="559"/>
        <v>0.9964127765266233</v>
      </c>
    </row>
    <row r="5936" spans="7:20" ht="14.4" x14ac:dyDescent="0.25">
      <c r="G5936" s="10">
        <v>6647</v>
      </c>
      <c r="H5936" s="9">
        <v>47270</v>
      </c>
      <c r="I5936" s="14">
        <f>DATE(2012,12,31)-882</f>
        <v>40392</v>
      </c>
      <c r="J5936" s="15" t="s">
        <v>30</v>
      </c>
      <c r="K5936" s="9">
        <v>9</v>
      </c>
      <c r="L5936" s="16" t="s">
        <v>26</v>
      </c>
      <c r="M5936" s="16">
        <f t="shared" si="555"/>
        <v>-1.1444402986692408</v>
      </c>
      <c r="N5936">
        <f t="shared" si="556"/>
        <v>0</v>
      </c>
      <c r="O5936">
        <f t="shared" si="557"/>
        <v>0</v>
      </c>
      <c r="P5936">
        <f t="shared" si="554"/>
        <v>3850</v>
      </c>
      <c r="Q5936">
        <f t="shared" si="558"/>
        <v>3850</v>
      </c>
      <c r="T5936" s="16">
        <f t="shared" si="559"/>
        <v>-1.1444402986692412</v>
      </c>
    </row>
    <row r="5937" spans="7:20" ht="14.4" x14ac:dyDescent="0.25">
      <c r="G5937" s="10">
        <v>6648</v>
      </c>
      <c r="H5937" s="9">
        <v>47270</v>
      </c>
      <c r="I5937" s="14">
        <f>DATE(2012,12,31)-882</f>
        <v>40392</v>
      </c>
      <c r="J5937" s="15" t="s">
        <v>30</v>
      </c>
      <c r="K5937" s="9">
        <v>19</v>
      </c>
      <c r="L5937" s="16" t="s">
        <v>27</v>
      </c>
      <c r="M5937" s="16">
        <f t="shared" si="555"/>
        <v>-0.45384253247702649</v>
      </c>
      <c r="N5937">
        <f t="shared" si="556"/>
        <v>0</v>
      </c>
      <c r="O5937">
        <f t="shared" si="557"/>
        <v>0</v>
      </c>
      <c r="P5937">
        <f t="shared" si="554"/>
        <v>4350</v>
      </c>
      <c r="Q5937">
        <f t="shared" si="558"/>
        <v>4350</v>
      </c>
      <c r="T5937" s="16">
        <f t="shared" si="559"/>
        <v>-0.45384253247702688</v>
      </c>
    </row>
    <row r="5938" spans="7:20" ht="14.4" x14ac:dyDescent="0.25">
      <c r="G5938" s="10">
        <v>6680</v>
      </c>
      <c r="H5938" s="9">
        <v>47524</v>
      </c>
      <c r="I5938" s="14">
        <f>DATE(2012,12,31)-991</f>
        <v>40283</v>
      </c>
      <c r="J5938" s="15" t="s">
        <v>16</v>
      </c>
      <c r="K5938" s="9">
        <v>40</v>
      </c>
      <c r="L5938" s="16" t="s">
        <v>26</v>
      </c>
      <c r="M5938" s="16">
        <f t="shared" si="555"/>
        <v>0.99641277652662363</v>
      </c>
      <c r="N5938">
        <f t="shared" si="556"/>
        <v>0</v>
      </c>
      <c r="O5938">
        <f t="shared" si="557"/>
        <v>0</v>
      </c>
      <c r="P5938">
        <f t="shared" si="554"/>
        <v>5400</v>
      </c>
      <c r="Q5938">
        <f t="shared" si="558"/>
        <v>5400</v>
      </c>
      <c r="T5938" s="16">
        <f t="shared" si="559"/>
        <v>0.9964127765266233</v>
      </c>
    </row>
    <row r="5939" spans="7:20" ht="14.4" x14ac:dyDescent="0.25">
      <c r="G5939" s="10">
        <v>6748</v>
      </c>
      <c r="H5939" s="9">
        <v>48035</v>
      </c>
      <c r="I5939" s="14">
        <f>DATE(2012,12,31)-1371</f>
        <v>39903</v>
      </c>
      <c r="J5939" s="15" t="s">
        <v>30</v>
      </c>
      <c r="K5939" s="9">
        <v>8</v>
      </c>
      <c r="L5939" s="16" t="s">
        <v>27</v>
      </c>
      <c r="M5939" s="16">
        <f t="shared" si="555"/>
        <v>-1.2135000752884624</v>
      </c>
      <c r="N5939">
        <f t="shared" si="556"/>
        <v>0</v>
      </c>
      <c r="O5939">
        <f t="shared" si="557"/>
        <v>0</v>
      </c>
      <c r="P5939">
        <f t="shared" si="554"/>
        <v>3800</v>
      </c>
      <c r="Q5939">
        <f t="shared" si="558"/>
        <v>3800</v>
      </c>
      <c r="T5939" s="16">
        <f t="shared" si="559"/>
        <v>-1.2135000752884626</v>
      </c>
    </row>
    <row r="5940" spans="7:20" ht="14.4" x14ac:dyDescent="0.25">
      <c r="G5940" s="10">
        <v>6752</v>
      </c>
      <c r="H5940" s="9">
        <v>48096</v>
      </c>
      <c r="I5940" s="14">
        <f>DATE(2012,12,31)-1298</f>
        <v>39976</v>
      </c>
      <c r="J5940" s="15" t="s">
        <v>17</v>
      </c>
      <c r="K5940" s="9">
        <v>3</v>
      </c>
      <c r="L5940" s="16" t="s">
        <v>26</v>
      </c>
      <c r="M5940" s="16">
        <f t="shared" si="555"/>
        <v>-1.5587989583845694</v>
      </c>
      <c r="N5940">
        <f t="shared" si="556"/>
        <v>0</v>
      </c>
      <c r="O5940">
        <f t="shared" si="557"/>
        <v>0</v>
      </c>
      <c r="P5940">
        <f t="shared" si="554"/>
        <v>3550</v>
      </c>
      <c r="Q5940">
        <f t="shared" si="558"/>
        <v>3550</v>
      </c>
      <c r="T5940" s="16">
        <f t="shared" si="559"/>
        <v>-1.5587989583845698</v>
      </c>
    </row>
    <row r="5941" spans="7:20" ht="14.4" x14ac:dyDescent="0.25">
      <c r="G5941" s="10">
        <v>6753</v>
      </c>
      <c r="H5941" s="9">
        <v>48096</v>
      </c>
      <c r="I5941" s="14">
        <f>DATE(2012,12,31)-1298</f>
        <v>39976</v>
      </c>
      <c r="J5941" s="15" t="s">
        <v>17</v>
      </c>
      <c r="K5941" s="9">
        <v>22</v>
      </c>
      <c r="L5941" s="16" t="s">
        <v>26</v>
      </c>
      <c r="M5941" s="16">
        <f t="shared" si="555"/>
        <v>-0.24666320261936217</v>
      </c>
      <c r="N5941">
        <f t="shared" si="556"/>
        <v>0</v>
      </c>
      <c r="O5941">
        <f t="shared" si="557"/>
        <v>0</v>
      </c>
      <c r="P5941">
        <f t="shared" si="554"/>
        <v>4500</v>
      </c>
      <c r="Q5941">
        <f t="shared" si="558"/>
        <v>4500</v>
      </c>
      <c r="T5941" s="16">
        <f t="shared" si="559"/>
        <v>-0.24666320261936256</v>
      </c>
    </row>
    <row r="5942" spans="7:20" ht="14.4" x14ac:dyDescent="0.25">
      <c r="G5942" s="10">
        <v>6859</v>
      </c>
      <c r="H5942" s="9">
        <v>48868</v>
      </c>
      <c r="I5942" s="14">
        <f>DATE(2012,12,31)-201</f>
        <v>41073</v>
      </c>
      <c r="J5942" s="15" t="s">
        <v>28</v>
      </c>
      <c r="K5942" s="9">
        <v>47</v>
      </c>
      <c r="L5942" s="16" t="s">
        <v>26</v>
      </c>
      <c r="M5942" s="16">
        <f t="shared" si="555"/>
        <v>1.4798312128611737</v>
      </c>
      <c r="N5942">
        <f t="shared" si="556"/>
        <v>0</v>
      </c>
      <c r="O5942">
        <f t="shared" si="557"/>
        <v>0</v>
      </c>
      <c r="P5942">
        <f t="shared" si="554"/>
        <v>5750</v>
      </c>
      <c r="Q5942">
        <f t="shared" si="558"/>
        <v>5750</v>
      </c>
      <c r="T5942" s="16">
        <f t="shared" si="559"/>
        <v>1.4798312128611733</v>
      </c>
    </row>
    <row r="5943" spans="7:20" ht="14.4" x14ac:dyDescent="0.25">
      <c r="G5943" s="10">
        <v>6860</v>
      </c>
      <c r="H5943" s="9">
        <v>48868</v>
      </c>
      <c r="I5943" s="14">
        <f>DATE(2012,12,31)-201</f>
        <v>41073</v>
      </c>
      <c r="J5943" s="15" t="s">
        <v>28</v>
      </c>
      <c r="K5943" s="9">
        <v>43</v>
      </c>
      <c r="L5943" s="16" t="s">
        <v>27</v>
      </c>
      <c r="M5943" s="16">
        <f t="shared" si="555"/>
        <v>1.203592106384288</v>
      </c>
      <c r="N5943">
        <f t="shared" si="556"/>
        <v>0</v>
      </c>
      <c r="O5943">
        <f t="shared" si="557"/>
        <v>0</v>
      </c>
      <c r="P5943">
        <f t="shared" si="554"/>
        <v>5550</v>
      </c>
      <c r="Q5943">
        <f t="shared" si="558"/>
        <v>5550</v>
      </c>
      <c r="T5943" s="16">
        <f t="shared" si="559"/>
        <v>1.2035921063842876</v>
      </c>
    </row>
    <row r="5944" spans="7:20" ht="14.4" x14ac:dyDescent="0.25">
      <c r="G5944" s="10">
        <v>6955</v>
      </c>
      <c r="H5944" s="9">
        <v>49760</v>
      </c>
      <c r="I5944" s="14">
        <f>DATE(2012,12,31)-457</f>
        <v>40817</v>
      </c>
      <c r="J5944" s="15" t="s">
        <v>16</v>
      </c>
      <c r="K5944" s="9">
        <v>3</v>
      </c>
      <c r="L5944" s="16" t="s">
        <v>29</v>
      </c>
      <c r="M5944" s="16">
        <f t="shared" si="555"/>
        <v>-1.5587989583845694</v>
      </c>
      <c r="N5944">
        <f t="shared" si="556"/>
        <v>0</v>
      </c>
      <c r="O5944">
        <f t="shared" si="557"/>
        <v>0</v>
      </c>
      <c r="P5944">
        <f t="shared" si="554"/>
        <v>3550</v>
      </c>
      <c r="Q5944">
        <f t="shared" si="558"/>
        <v>3550</v>
      </c>
      <c r="T5944" s="16">
        <f t="shared" si="559"/>
        <v>-1.5587989583845698</v>
      </c>
    </row>
    <row r="5945" spans="7:20" ht="14.4" x14ac:dyDescent="0.25">
      <c r="G5945" s="10">
        <v>6956</v>
      </c>
      <c r="H5945" s="9">
        <v>49760</v>
      </c>
      <c r="I5945" s="14">
        <f>DATE(2012,12,31)-457</f>
        <v>40817</v>
      </c>
      <c r="J5945" s="15" t="s">
        <v>16</v>
      </c>
      <c r="K5945" s="9">
        <v>13</v>
      </c>
      <c r="L5945" s="16" t="s">
        <v>27</v>
      </c>
      <c r="M5945" s="16">
        <f t="shared" si="555"/>
        <v>-0.86820119219235514</v>
      </c>
      <c r="N5945">
        <f t="shared" si="556"/>
        <v>0</v>
      </c>
      <c r="O5945">
        <f t="shared" si="557"/>
        <v>0</v>
      </c>
      <c r="P5945">
        <f t="shared" si="554"/>
        <v>4050</v>
      </c>
      <c r="Q5945">
        <f t="shared" si="558"/>
        <v>4050</v>
      </c>
      <c r="T5945" s="16">
        <f t="shared" si="559"/>
        <v>-0.86820119219235548</v>
      </c>
    </row>
    <row r="5946" spans="7:20" ht="14.4" x14ac:dyDescent="0.25">
      <c r="G5946" s="10">
        <v>6957</v>
      </c>
      <c r="H5946" s="9">
        <v>49760</v>
      </c>
      <c r="I5946" s="14">
        <f>DATE(2012,12,31)-457</f>
        <v>40817</v>
      </c>
      <c r="J5946" s="15" t="s">
        <v>16</v>
      </c>
      <c r="K5946" s="9">
        <v>38</v>
      </c>
      <c r="L5946" s="16" t="s">
        <v>26</v>
      </c>
      <c r="M5946" s="16">
        <f t="shared" si="555"/>
        <v>0.85829322328818081</v>
      </c>
      <c r="N5946">
        <f t="shared" si="556"/>
        <v>0</v>
      </c>
      <c r="O5946">
        <f t="shared" si="557"/>
        <v>0</v>
      </c>
      <c r="P5946">
        <f t="shared" si="554"/>
        <v>5300</v>
      </c>
      <c r="Q5946">
        <f t="shared" si="558"/>
        <v>5300</v>
      </c>
      <c r="T5946" s="16">
        <f t="shared" si="559"/>
        <v>0.85829322328818036</v>
      </c>
    </row>
    <row r="5947" spans="7:20" ht="14.4" x14ac:dyDescent="0.25">
      <c r="G5947" s="10">
        <v>6975</v>
      </c>
      <c r="H5947" s="9">
        <v>49830</v>
      </c>
      <c r="I5947" s="14">
        <f>DATE(2012,12,31)-1271</f>
        <v>40003</v>
      </c>
      <c r="J5947" s="15" t="s">
        <v>30</v>
      </c>
      <c r="K5947" s="9">
        <v>31</v>
      </c>
      <c r="L5947" s="16" t="s">
        <v>26</v>
      </c>
      <c r="M5947" s="16">
        <f t="shared" si="555"/>
        <v>0.37487478695363075</v>
      </c>
      <c r="N5947">
        <f t="shared" si="556"/>
        <v>0</v>
      </c>
      <c r="O5947">
        <f t="shared" si="557"/>
        <v>0</v>
      </c>
      <c r="P5947">
        <f t="shared" si="554"/>
        <v>4950</v>
      </c>
      <c r="Q5947">
        <f t="shared" si="558"/>
        <v>4950</v>
      </c>
      <c r="T5947" s="16">
        <f t="shared" si="559"/>
        <v>0.37487478695363036</v>
      </c>
    </row>
    <row r="5948" spans="7:20" ht="14.4" x14ac:dyDescent="0.25">
      <c r="G5948" s="10">
        <v>7027</v>
      </c>
      <c r="H5948" s="9">
        <v>50147</v>
      </c>
      <c r="I5948" s="14">
        <f>DATE(2012,12,31)-1180</f>
        <v>40094</v>
      </c>
      <c r="J5948" s="15" t="s">
        <v>16</v>
      </c>
      <c r="K5948" s="9">
        <v>42</v>
      </c>
      <c r="L5948" s="16" t="s">
        <v>26</v>
      </c>
      <c r="M5948" s="16">
        <f t="shared" si="555"/>
        <v>1.1345323297650665</v>
      </c>
      <c r="N5948">
        <f t="shared" si="556"/>
        <v>0</v>
      </c>
      <c r="O5948">
        <f t="shared" si="557"/>
        <v>0</v>
      </c>
      <c r="P5948">
        <f t="shared" si="554"/>
        <v>5500</v>
      </c>
      <c r="Q5948">
        <f t="shared" si="558"/>
        <v>5500</v>
      </c>
      <c r="T5948" s="16">
        <f t="shared" si="559"/>
        <v>1.1345323297650662</v>
      </c>
    </row>
    <row r="5949" spans="7:20" ht="14.4" x14ac:dyDescent="0.25">
      <c r="G5949" s="10">
        <v>7028</v>
      </c>
      <c r="H5949" s="9">
        <v>50147</v>
      </c>
      <c r="I5949" s="14">
        <f>DATE(2012,12,31)-1180</f>
        <v>40094</v>
      </c>
      <c r="J5949" s="15" t="s">
        <v>16</v>
      </c>
      <c r="K5949" s="9">
        <v>13</v>
      </c>
      <c r="L5949" s="16" t="s">
        <v>26</v>
      </c>
      <c r="M5949" s="16">
        <f t="shared" si="555"/>
        <v>-0.86820119219235514</v>
      </c>
      <c r="N5949">
        <f t="shared" si="556"/>
        <v>0</v>
      </c>
      <c r="O5949">
        <f t="shared" si="557"/>
        <v>0</v>
      </c>
      <c r="P5949">
        <f t="shared" si="554"/>
        <v>4050</v>
      </c>
      <c r="Q5949">
        <f t="shared" si="558"/>
        <v>4050</v>
      </c>
      <c r="T5949" s="16">
        <f t="shared" si="559"/>
        <v>-0.86820119219235548</v>
      </c>
    </row>
    <row r="5950" spans="7:20" ht="14.4" x14ac:dyDescent="0.25">
      <c r="G5950" s="10">
        <v>7044</v>
      </c>
      <c r="H5950" s="9">
        <v>50304</v>
      </c>
      <c r="I5950" s="14">
        <f>DATE(2012,12,31)-1065</f>
        <v>40209</v>
      </c>
      <c r="J5950" s="15" t="s">
        <v>30</v>
      </c>
      <c r="K5950" s="9">
        <v>22</v>
      </c>
      <c r="L5950" s="16" t="s">
        <v>26</v>
      </c>
      <c r="M5950" s="16">
        <f t="shared" si="555"/>
        <v>-0.24666320261936217</v>
      </c>
      <c r="N5950">
        <f t="shared" si="556"/>
        <v>0</v>
      </c>
      <c r="O5950">
        <f t="shared" si="557"/>
        <v>0</v>
      </c>
      <c r="P5950">
        <f t="shared" si="554"/>
        <v>4500</v>
      </c>
      <c r="Q5950">
        <f t="shared" si="558"/>
        <v>4500</v>
      </c>
      <c r="T5950" s="16">
        <f t="shared" si="559"/>
        <v>-0.24666320261936256</v>
      </c>
    </row>
    <row r="5951" spans="7:20" ht="14.4" x14ac:dyDescent="0.25">
      <c r="G5951" s="10">
        <v>7045</v>
      </c>
      <c r="H5951" s="9">
        <v>50304</v>
      </c>
      <c r="I5951" s="14">
        <f>DATE(2012,12,31)-1065</f>
        <v>40209</v>
      </c>
      <c r="J5951" s="15" t="s">
        <v>30</v>
      </c>
      <c r="K5951" s="9">
        <v>3</v>
      </c>
      <c r="L5951" s="16" t="s">
        <v>29</v>
      </c>
      <c r="M5951" s="16">
        <f t="shared" si="555"/>
        <v>-1.5587989583845694</v>
      </c>
      <c r="N5951">
        <f t="shared" si="556"/>
        <v>0</v>
      </c>
      <c r="O5951">
        <f t="shared" si="557"/>
        <v>0</v>
      </c>
      <c r="P5951">
        <f t="shared" si="554"/>
        <v>3550</v>
      </c>
      <c r="Q5951">
        <f t="shared" si="558"/>
        <v>3550</v>
      </c>
      <c r="T5951" s="16">
        <f t="shared" si="559"/>
        <v>-1.5587989583845698</v>
      </c>
    </row>
    <row r="5952" spans="7:20" ht="14.4" x14ac:dyDescent="0.25">
      <c r="G5952" s="10">
        <v>7112</v>
      </c>
      <c r="H5952" s="9">
        <v>50756</v>
      </c>
      <c r="I5952" s="14">
        <f>DATE(2012,12,31)-844</f>
        <v>40430</v>
      </c>
      <c r="J5952" s="15" t="s">
        <v>28</v>
      </c>
      <c r="K5952" s="9">
        <v>19</v>
      </c>
      <c r="L5952" s="16" t="s">
        <v>27</v>
      </c>
      <c r="M5952" s="16">
        <f t="shared" si="555"/>
        <v>-0.45384253247702649</v>
      </c>
      <c r="N5952">
        <f t="shared" si="556"/>
        <v>0</v>
      </c>
      <c r="O5952">
        <f t="shared" si="557"/>
        <v>0</v>
      </c>
      <c r="P5952">
        <f t="shared" si="554"/>
        <v>4350</v>
      </c>
      <c r="Q5952">
        <f t="shared" si="558"/>
        <v>4350</v>
      </c>
      <c r="T5952" s="16">
        <f t="shared" si="559"/>
        <v>-0.45384253247702688</v>
      </c>
    </row>
    <row r="5953" spans="7:20" ht="14.4" x14ac:dyDescent="0.25">
      <c r="G5953" s="10">
        <v>7113</v>
      </c>
      <c r="H5953" s="9">
        <v>50756</v>
      </c>
      <c r="I5953" s="14">
        <f>DATE(2012,12,31)-844</f>
        <v>40430</v>
      </c>
      <c r="J5953" s="15" t="s">
        <v>28</v>
      </c>
      <c r="K5953" s="9">
        <v>2</v>
      </c>
      <c r="L5953" s="16" t="s">
        <v>26</v>
      </c>
      <c r="M5953" s="16">
        <f t="shared" si="555"/>
        <v>-1.627858735003791</v>
      </c>
      <c r="N5953">
        <f t="shared" si="556"/>
        <v>0</v>
      </c>
      <c r="O5953">
        <f t="shared" si="557"/>
        <v>0</v>
      </c>
      <c r="P5953">
        <f t="shared" si="554"/>
        <v>3500</v>
      </c>
      <c r="Q5953">
        <f t="shared" si="558"/>
        <v>3500</v>
      </c>
      <c r="T5953" s="16">
        <f t="shared" si="559"/>
        <v>-1.6278587350037912</v>
      </c>
    </row>
    <row r="5954" spans="7:20" ht="14.4" x14ac:dyDescent="0.25">
      <c r="G5954" s="10">
        <v>7173</v>
      </c>
      <c r="H5954" s="9">
        <v>51201</v>
      </c>
      <c r="I5954" s="14">
        <f>DATE(2012,12,31)-381</f>
        <v>40893</v>
      </c>
      <c r="J5954" s="15" t="s">
        <v>17</v>
      </c>
      <c r="K5954" s="9">
        <v>42</v>
      </c>
      <c r="L5954" s="16" t="s">
        <v>26</v>
      </c>
      <c r="M5954" s="16">
        <f t="shared" si="555"/>
        <v>1.1345323297650665</v>
      </c>
      <c r="N5954">
        <f t="shared" si="556"/>
        <v>0</v>
      </c>
      <c r="O5954">
        <f t="shared" si="557"/>
        <v>0</v>
      </c>
      <c r="P5954">
        <f t="shared" si="554"/>
        <v>5500</v>
      </c>
      <c r="Q5954">
        <f t="shared" si="558"/>
        <v>5500</v>
      </c>
      <c r="T5954" s="16">
        <f t="shared" si="559"/>
        <v>1.1345323297650662</v>
      </c>
    </row>
    <row r="5955" spans="7:20" ht="14.4" x14ac:dyDescent="0.25">
      <c r="G5955" s="10">
        <v>7227</v>
      </c>
      <c r="H5955" s="9">
        <v>51554</v>
      </c>
      <c r="I5955" s="14">
        <f>DATE(2012,12,31)-1376</f>
        <v>39898</v>
      </c>
      <c r="J5955" s="15" t="s">
        <v>16</v>
      </c>
      <c r="K5955" s="9">
        <v>7</v>
      </c>
      <c r="L5955" s="16" t="s">
        <v>26</v>
      </c>
      <c r="M5955" s="16">
        <f t="shared" si="555"/>
        <v>-1.2825598519076837</v>
      </c>
      <c r="N5955">
        <f t="shared" si="556"/>
        <v>0</v>
      </c>
      <c r="O5955">
        <f t="shared" si="557"/>
        <v>0</v>
      </c>
      <c r="P5955">
        <f t="shared" si="554"/>
        <v>3750</v>
      </c>
      <c r="Q5955">
        <f t="shared" si="558"/>
        <v>3750</v>
      </c>
      <c r="T5955" s="16">
        <f t="shared" si="559"/>
        <v>-1.2825598519076842</v>
      </c>
    </row>
    <row r="5956" spans="7:20" ht="14.4" x14ac:dyDescent="0.25">
      <c r="G5956" s="10">
        <v>7228</v>
      </c>
      <c r="H5956" s="9">
        <v>51554</v>
      </c>
      <c r="I5956" s="14">
        <f>DATE(2012,12,31)-1376</f>
        <v>39898</v>
      </c>
      <c r="J5956" s="15" t="s">
        <v>16</v>
      </c>
      <c r="K5956" s="9">
        <v>29</v>
      </c>
      <c r="L5956" s="16" t="s">
        <v>26</v>
      </c>
      <c r="M5956" s="16">
        <f t="shared" si="555"/>
        <v>0.23675523371518786</v>
      </c>
      <c r="N5956">
        <f t="shared" si="556"/>
        <v>0</v>
      </c>
      <c r="O5956">
        <f t="shared" si="557"/>
        <v>0</v>
      </c>
      <c r="P5956">
        <f t="shared" si="554"/>
        <v>4850</v>
      </c>
      <c r="Q5956">
        <f t="shared" si="558"/>
        <v>4850</v>
      </c>
      <c r="T5956" s="16">
        <f t="shared" si="559"/>
        <v>0.2367552337151875</v>
      </c>
    </row>
    <row r="5957" spans="7:20" ht="14.4" x14ac:dyDescent="0.25">
      <c r="G5957" s="10">
        <v>7325</v>
      </c>
      <c r="H5957" s="9">
        <v>52197</v>
      </c>
      <c r="I5957" s="14">
        <f>DATE(2012,12,31)-149</f>
        <v>41125</v>
      </c>
      <c r="J5957" s="15" t="s">
        <v>30</v>
      </c>
      <c r="K5957" s="9">
        <v>23</v>
      </c>
      <c r="L5957" s="16" t="s">
        <v>26</v>
      </c>
      <c r="M5957" s="16">
        <f t="shared" si="555"/>
        <v>-0.17760342600014073</v>
      </c>
      <c r="N5957">
        <f t="shared" si="556"/>
        <v>0</v>
      </c>
      <c r="O5957">
        <f t="shared" si="557"/>
        <v>0</v>
      </c>
      <c r="P5957">
        <f t="shared" si="554"/>
        <v>4550</v>
      </c>
      <c r="Q5957">
        <f t="shared" si="558"/>
        <v>4550</v>
      </c>
      <c r="T5957" s="16">
        <f t="shared" si="559"/>
        <v>-0.17760342600014112</v>
      </c>
    </row>
    <row r="5958" spans="7:20" ht="14.4" x14ac:dyDescent="0.25">
      <c r="G5958" s="10">
        <v>7326</v>
      </c>
      <c r="H5958" s="9">
        <v>52197</v>
      </c>
      <c r="I5958" s="14">
        <f>DATE(2012,12,31)-149</f>
        <v>41125</v>
      </c>
      <c r="J5958" s="15" t="s">
        <v>30</v>
      </c>
      <c r="K5958" s="9">
        <v>6</v>
      </c>
      <c r="L5958" s="16" t="s">
        <v>26</v>
      </c>
      <c r="M5958" s="16">
        <f t="shared" si="555"/>
        <v>-1.3516196285269051</v>
      </c>
      <c r="N5958">
        <f t="shared" si="556"/>
        <v>0</v>
      </c>
      <c r="O5958">
        <f t="shared" si="557"/>
        <v>0</v>
      </c>
      <c r="P5958">
        <f t="shared" si="554"/>
        <v>3700</v>
      </c>
      <c r="Q5958">
        <f t="shared" si="558"/>
        <v>3700</v>
      </c>
      <c r="T5958" s="16">
        <f t="shared" si="559"/>
        <v>-1.3516196285269055</v>
      </c>
    </row>
    <row r="5959" spans="7:20" ht="14.4" x14ac:dyDescent="0.25">
      <c r="G5959" s="10">
        <v>7380</v>
      </c>
      <c r="H5959" s="9">
        <v>52615</v>
      </c>
      <c r="I5959" s="14">
        <f>DATE(2012,12,31)-1169</f>
        <v>40105</v>
      </c>
      <c r="J5959" s="15" t="s">
        <v>25</v>
      </c>
      <c r="K5959" s="9">
        <v>4</v>
      </c>
      <c r="L5959" s="16" t="s">
        <v>26</v>
      </c>
      <c r="M5959" s="16">
        <f t="shared" si="555"/>
        <v>-1.489739181765348</v>
      </c>
      <c r="N5959">
        <f t="shared" si="556"/>
        <v>0</v>
      </c>
      <c r="O5959">
        <f t="shared" si="557"/>
        <v>0</v>
      </c>
      <c r="P5959">
        <f t="shared" si="554"/>
        <v>3600</v>
      </c>
      <c r="Q5959">
        <f t="shared" si="558"/>
        <v>3600</v>
      </c>
      <c r="T5959" s="16">
        <f t="shared" si="559"/>
        <v>-1.4897391817653485</v>
      </c>
    </row>
    <row r="5960" spans="7:20" ht="14.4" x14ac:dyDescent="0.25">
      <c r="G5960" s="10">
        <v>7381</v>
      </c>
      <c r="H5960" s="9">
        <v>52615</v>
      </c>
      <c r="I5960" s="14">
        <f>DATE(2012,12,31)-1169</f>
        <v>40105</v>
      </c>
      <c r="J5960" s="15" t="s">
        <v>25</v>
      </c>
      <c r="K5960" s="9">
        <v>18</v>
      </c>
      <c r="L5960" s="16" t="s">
        <v>26</v>
      </c>
      <c r="M5960" s="16">
        <f t="shared" si="555"/>
        <v>-0.52290230909624791</v>
      </c>
      <c r="N5960">
        <f t="shared" si="556"/>
        <v>0</v>
      </c>
      <c r="O5960">
        <f t="shared" si="557"/>
        <v>0</v>
      </c>
      <c r="P5960">
        <f t="shared" si="554"/>
        <v>4300</v>
      </c>
      <c r="Q5960">
        <f t="shared" si="558"/>
        <v>4300</v>
      </c>
      <c r="T5960" s="16">
        <f t="shared" si="559"/>
        <v>-0.52290230909624835</v>
      </c>
    </row>
    <row r="5961" spans="7:20" ht="14.4" x14ac:dyDescent="0.25">
      <c r="G5961" s="10">
        <v>7395</v>
      </c>
      <c r="H5961" s="9">
        <v>52678</v>
      </c>
      <c r="I5961" s="14">
        <f>DATE(2012,12,31)-155</f>
        <v>41119</v>
      </c>
      <c r="J5961" s="15" t="s">
        <v>17</v>
      </c>
      <c r="K5961" s="9">
        <v>3</v>
      </c>
      <c r="L5961" s="16" t="s">
        <v>26</v>
      </c>
      <c r="M5961" s="16">
        <f t="shared" si="555"/>
        <v>-1.5587989583845694</v>
      </c>
      <c r="N5961">
        <f t="shared" si="556"/>
        <v>0</v>
      </c>
      <c r="O5961">
        <f t="shared" si="557"/>
        <v>0</v>
      </c>
      <c r="P5961">
        <f t="shared" si="554"/>
        <v>3550</v>
      </c>
      <c r="Q5961">
        <f t="shared" si="558"/>
        <v>3550</v>
      </c>
      <c r="T5961" s="16">
        <f t="shared" si="559"/>
        <v>-1.5587989583845698</v>
      </c>
    </row>
    <row r="5962" spans="7:20" ht="14.4" x14ac:dyDescent="0.25">
      <c r="G5962" s="10">
        <v>7770</v>
      </c>
      <c r="H5962" s="9">
        <v>55621</v>
      </c>
      <c r="I5962" s="14">
        <f>DATE(2012,12,31)-657</f>
        <v>40617</v>
      </c>
      <c r="J5962" s="15" t="s">
        <v>25</v>
      </c>
      <c r="K5962" s="9">
        <v>50</v>
      </c>
      <c r="L5962" s="16" t="s">
        <v>29</v>
      </c>
      <c r="M5962" s="16">
        <f t="shared" si="555"/>
        <v>1.687010542718838</v>
      </c>
      <c r="N5962">
        <f t="shared" si="556"/>
        <v>0</v>
      </c>
      <c r="O5962">
        <f t="shared" si="557"/>
        <v>0</v>
      </c>
      <c r="P5962">
        <f t="shared" si="554"/>
        <v>5900</v>
      </c>
      <c r="Q5962">
        <f t="shared" si="558"/>
        <v>5900</v>
      </c>
      <c r="T5962" s="16">
        <f t="shared" si="559"/>
        <v>1.6870105427188375</v>
      </c>
    </row>
    <row r="5963" spans="7:20" ht="14.4" x14ac:dyDescent="0.25">
      <c r="G5963" s="10">
        <v>7771</v>
      </c>
      <c r="H5963" s="9">
        <v>55621</v>
      </c>
      <c r="I5963" s="14">
        <f>DATE(2012,12,31)-657</f>
        <v>40617</v>
      </c>
      <c r="J5963" s="15" t="s">
        <v>25</v>
      </c>
      <c r="K5963" s="9">
        <v>47</v>
      </c>
      <c r="L5963" s="16" t="s">
        <v>26</v>
      </c>
      <c r="M5963" s="16">
        <f t="shared" si="555"/>
        <v>1.4798312128611737</v>
      </c>
      <c r="N5963">
        <f t="shared" si="556"/>
        <v>0</v>
      </c>
      <c r="O5963">
        <f t="shared" si="557"/>
        <v>0</v>
      </c>
      <c r="P5963">
        <f t="shared" si="554"/>
        <v>5750</v>
      </c>
      <c r="Q5963">
        <f t="shared" si="558"/>
        <v>5750</v>
      </c>
      <c r="T5963" s="16">
        <f t="shared" si="559"/>
        <v>1.4798312128611733</v>
      </c>
    </row>
    <row r="5964" spans="7:20" ht="14.4" x14ac:dyDescent="0.25">
      <c r="G5964" s="10">
        <v>7891</v>
      </c>
      <c r="H5964" s="9">
        <v>56423</v>
      </c>
      <c r="I5964" s="14">
        <f>DATE(2012,12,31)-372</f>
        <v>40902</v>
      </c>
      <c r="J5964" s="15" t="s">
        <v>28</v>
      </c>
      <c r="K5964" s="9">
        <v>41</v>
      </c>
      <c r="L5964" s="16" t="s">
        <v>26</v>
      </c>
      <c r="M5964" s="16">
        <f t="shared" si="555"/>
        <v>1.0654725531458451</v>
      </c>
      <c r="N5964">
        <f t="shared" si="556"/>
        <v>0</v>
      </c>
      <c r="O5964">
        <f t="shared" si="557"/>
        <v>0</v>
      </c>
      <c r="P5964">
        <f t="shared" ref="P5964:P6027" si="560">50*K5964+$P$10</f>
        <v>5450</v>
      </c>
      <c r="Q5964">
        <f t="shared" si="558"/>
        <v>5450</v>
      </c>
      <c r="T5964" s="16">
        <f t="shared" si="559"/>
        <v>1.0654725531458447</v>
      </c>
    </row>
    <row r="5965" spans="7:20" ht="14.4" x14ac:dyDescent="0.25">
      <c r="G5965" s="10">
        <v>7892</v>
      </c>
      <c r="H5965" s="9">
        <v>56423</v>
      </c>
      <c r="I5965" s="14">
        <f>DATE(2012,12,31)-372</f>
        <v>40902</v>
      </c>
      <c r="J5965" s="15" t="s">
        <v>28</v>
      </c>
      <c r="K5965" s="9">
        <v>4</v>
      </c>
      <c r="L5965" s="16" t="s">
        <v>26</v>
      </c>
      <c r="M5965" s="16">
        <f t="shared" ref="M5965:M6028" si="561">(K5965-$K$4)/$K$7</f>
        <v>-1.489739181765348</v>
      </c>
      <c r="N5965">
        <f t="shared" ref="N5965:N6028" si="562">IF(MOD($B$20+G5965,1000)=0,1,0)</f>
        <v>0</v>
      </c>
      <c r="O5965">
        <f t="shared" ref="O5965:O6028" si="563">+ROUND(N5965*(IF(K5965&lt;$K$4,-4.5,10.5)*$P$5),-2)</f>
        <v>0</v>
      </c>
      <c r="P5965">
        <f t="shared" si="560"/>
        <v>3600</v>
      </c>
      <c r="Q5965">
        <f t="shared" ref="Q5965:Q6028" si="564">P5965+O5965</f>
        <v>3600</v>
      </c>
      <c r="T5965" s="16">
        <f t="shared" ref="T5965:T6028" si="565">(Q5965-$P$4)/$P$5</f>
        <v>-1.4897391817653485</v>
      </c>
    </row>
    <row r="5966" spans="7:20" ht="14.4" x14ac:dyDescent="0.25">
      <c r="G5966" s="10">
        <v>7923</v>
      </c>
      <c r="H5966" s="9">
        <v>56644</v>
      </c>
      <c r="I5966" s="14">
        <f>DATE(2012,12,31)-33</f>
        <v>41241</v>
      </c>
      <c r="J5966" s="15" t="s">
        <v>28</v>
      </c>
      <c r="K5966" s="9">
        <v>36</v>
      </c>
      <c r="L5966" s="16" t="s">
        <v>26</v>
      </c>
      <c r="M5966" s="16">
        <f t="shared" si="561"/>
        <v>0.72017367004973787</v>
      </c>
      <c r="N5966">
        <f t="shared" si="562"/>
        <v>0</v>
      </c>
      <c r="O5966">
        <f t="shared" si="563"/>
        <v>0</v>
      </c>
      <c r="P5966">
        <f t="shared" si="560"/>
        <v>5200</v>
      </c>
      <c r="Q5966">
        <f t="shared" si="564"/>
        <v>5200</v>
      </c>
      <c r="T5966" s="16">
        <f t="shared" si="565"/>
        <v>0.72017367004973754</v>
      </c>
    </row>
    <row r="5967" spans="7:20" ht="14.4" x14ac:dyDescent="0.25">
      <c r="G5967" s="10">
        <v>8016</v>
      </c>
      <c r="H5967" s="9">
        <v>57280</v>
      </c>
      <c r="I5967" s="14">
        <f>DATE(2012,12,31)-335</f>
        <v>40939</v>
      </c>
      <c r="J5967" s="15" t="s">
        <v>16</v>
      </c>
      <c r="K5967" s="9">
        <v>44</v>
      </c>
      <c r="L5967" s="16" t="s">
        <v>26</v>
      </c>
      <c r="M5967" s="16">
        <f t="shared" si="561"/>
        <v>1.2726518830035094</v>
      </c>
      <c r="N5967">
        <f t="shared" si="562"/>
        <v>0</v>
      </c>
      <c r="O5967">
        <f t="shared" si="563"/>
        <v>0</v>
      </c>
      <c r="P5967">
        <f t="shared" si="560"/>
        <v>5600</v>
      </c>
      <c r="Q5967">
        <f t="shared" si="564"/>
        <v>5600</v>
      </c>
      <c r="T5967" s="16">
        <f t="shared" si="565"/>
        <v>1.272651883003509</v>
      </c>
    </row>
    <row r="5968" spans="7:20" ht="14.4" x14ac:dyDescent="0.25">
      <c r="G5968" s="10">
        <v>8052</v>
      </c>
      <c r="H5968" s="9">
        <v>57478</v>
      </c>
      <c r="I5968" s="14">
        <f>DATE(2012,12,31)-820</f>
        <v>40454</v>
      </c>
      <c r="J5968" s="15" t="s">
        <v>30</v>
      </c>
      <c r="K5968" s="9">
        <v>36</v>
      </c>
      <c r="L5968" s="16" t="s">
        <v>26</v>
      </c>
      <c r="M5968" s="16">
        <f t="shared" si="561"/>
        <v>0.72017367004973787</v>
      </c>
      <c r="N5968">
        <f t="shared" si="562"/>
        <v>0</v>
      </c>
      <c r="O5968">
        <f t="shared" si="563"/>
        <v>0</v>
      </c>
      <c r="P5968">
        <f t="shared" si="560"/>
        <v>5200</v>
      </c>
      <c r="Q5968">
        <f t="shared" si="564"/>
        <v>5200</v>
      </c>
      <c r="T5968" s="16">
        <f t="shared" si="565"/>
        <v>0.72017367004973754</v>
      </c>
    </row>
    <row r="5969" spans="7:20" ht="14.4" x14ac:dyDescent="0.25">
      <c r="G5969" s="10">
        <v>8059</v>
      </c>
      <c r="H5969" s="9">
        <v>57510</v>
      </c>
      <c r="I5969" s="14">
        <f>DATE(2012,12,31)-387</f>
        <v>40887</v>
      </c>
      <c r="J5969" s="15" t="s">
        <v>28</v>
      </c>
      <c r="K5969" s="9">
        <v>6</v>
      </c>
      <c r="L5969" s="16" t="s">
        <v>26</v>
      </c>
      <c r="M5969" s="16">
        <f t="shared" si="561"/>
        <v>-1.3516196285269051</v>
      </c>
      <c r="N5969">
        <f t="shared" si="562"/>
        <v>0</v>
      </c>
      <c r="O5969">
        <f t="shared" si="563"/>
        <v>0</v>
      </c>
      <c r="P5969">
        <f t="shared" si="560"/>
        <v>3700</v>
      </c>
      <c r="Q5969">
        <f t="shared" si="564"/>
        <v>3700</v>
      </c>
      <c r="T5969" s="16">
        <f t="shared" si="565"/>
        <v>-1.3516196285269055</v>
      </c>
    </row>
    <row r="5970" spans="7:20" ht="14.4" x14ac:dyDescent="0.25">
      <c r="G5970" s="10">
        <v>8098</v>
      </c>
      <c r="H5970" s="9">
        <v>57767</v>
      </c>
      <c r="I5970" s="14">
        <f>DATE(2012,12,31)-264</f>
        <v>41010</v>
      </c>
      <c r="J5970" s="15" t="s">
        <v>30</v>
      </c>
      <c r="K5970" s="9">
        <v>34</v>
      </c>
      <c r="L5970" s="16" t="s">
        <v>27</v>
      </c>
      <c r="M5970" s="16">
        <f t="shared" si="561"/>
        <v>0.58205411681129504</v>
      </c>
      <c r="N5970">
        <f t="shared" si="562"/>
        <v>0</v>
      </c>
      <c r="O5970">
        <f t="shared" si="563"/>
        <v>0</v>
      </c>
      <c r="P5970">
        <f t="shared" si="560"/>
        <v>5100</v>
      </c>
      <c r="Q5970">
        <f t="shared" si="564"/>
        <v>5100</v>
      </c>
      <c r="T5970" s="16">
        <f t="shared" si="565"/>
        <v>0.58205411681129471</v>
      </c>
    </row>
    <row r="5971" spans="7:20" ht="14.4" x14ac:dyDescent="0.25">
      <c r="G5971" s="10">
        <v>8101</v>
      </c>
      <c r="H5971" s="9">
        <v>57799</v>
      </c>
      <c r="I5971" s="14">
        <f>DATE(2012,12,31)-488</f>
        <v>40786</v>
      </c>
      <c r="J5971" s="15" t="s">
        <v>17</v>
      </c>
      <c r="K5971" s="9">
        <v>25</v>
      </c>
      <c r="L5971" s="16" t="s">
        <v>27</v>
      </c>
      <c r="M5971" s="16">
        <f t="shared" si="561"/>
        <v>-3.9483872761697868E-2</v>
      </c>
      <c r="N5971">
        <f t="shared" si="562"/>
        <v>0</v>
      </c>
      <c r="O5971">
        <f t="shared" si="563"/>
        <v>0</v>
      </c>
      <c r="P5971">
        <f t="shared" si="560"/>
        <v>4650</v>
      </c>
      <c r="Q5971">
        <f t="shared" si="564"/>
        <v>4650</v>
      </c>
      <c r="T5971" s="16">
        <f t="shared" si="565"/>
        <v>-3.9483872761698249E-2</v>
      </c>
    </row>
    <row r="5972" spans="7:20" ht="14.4" x14ac:dyDescent="0.25">
      <c r="G5972" s="10">
        <v>8192</v>
      </c>
      <c r="H5972" s="9">
        <v>58595</v>
      </c>
      <c r="I5972" s="14">
        <f>DATE(2012,12,31)-855</f>
        <v>40419</v>
      </c>
      <c r="J5972" s="15" t="s">
        <v>17</v>
      </c>
      <c r="K5972" s="9">
        <v>41</v>
      </c>
      <c r="L5972" s="16" t="s">
        <v>29</v>
      </c>
      <c r="M5972" s="16">
        <f t="shared" si="561"/>
        <v>1.0654725531458451</v>
      </c>
      <c r="N5972">
        <f t="shared" si="562"/>
        <v>0</v>
      </c>
      <c r="O5972">
        <f t="shared" si="563"/>
        <v>0</v>
      </c>
      <c r="P5972">
        <f t="shared" si="560"/>
        <v>5450</v>
      </c>
      <c r="Q5972">
        <f t="shared" si="564"/>
        <v>5450</v>
      </c>
      <c r="T5972" s="16">
        <f t="shared" si="565"/>
        <v>1.0654725531458447</v>
      </c>
    </row>
    <row r="5973" spans="7:20" ht="14.4" x14ac:dyDescent="0.25">
      <c r="G5973" s="10">
        <v>8217</v>
      </c>
      <c r="H5973" s="9">
        <v>58755</v>
      </c>
      <c r="I5973" s="14">
        <f>DATE(2012,12,31)-394</f>
        <v>40880</v>
      </c>
      <c r="J5973" s="15" t="s">
        <v>25</v>
      </c>
      <c r="K5973" s="9">
        <v>7</v>
      </c>
      <c r="L5973" s="16" t="s">
        <v>26</v>
      </c>
      <c r="M5973" s="16">
        <f t="shared" si="561"/>
        <v>-1.2825598519076837</v>
      </c>
      <c r="N5973">
        <f t="shared" si="562"/>
        <v>0</v>
      </c>
      <c r="O5973">
        <f t="shared" si="563"/>
        <v>0</v>
      </c>
      <c r="P5973">
        <f t="shared" si="560"/>
        <v>3750</v>
      </c>
      <c r="Q5973">
        <f t="shared" si="564"/>
        <v>3750</v>
      </c>
      <c r="T5973" s="16">
        <f t="shared" si="565"/>
        <v>-1.2825598519076842</v>
      </c>
    </row>
    <row r="5974" spans="7:20" ht="14.4" x14ac:dyDescent="0.25">
      <c r="G5974" s="10">
        <v>8218</v>
      </c>
      <c r="H5974" s="9">
        <v>58755</v>
      </c>
      <c r="I5974" s="14">
        <f>DATE(2012,12,31)-394</f>
        <v>40880</v>
      </c>
      <c r="J5974" s="15" t="s">
        <v>25</v>
      </c>
      <c r="K5974" s="9">
        <v>18</v>
      </c>
      <c r="L5974" s="16" t="s">
        <v>26</v>
      </c>
      <c r="M5974" s="16">
        <f t="shared" si="561"/>
        <v>-0.52290230909624791</v>
      </c>
      <c r="N5974">
        <f t="shared" si="562"/>
        <v>0</v>
      </c>
      <c r="O5974">
        <f t="shared" si="563"/>
        <v>0</v>
      </c>
      <c r="P5974">
        <f t="shared" si="560"/>
        <v>4300</v>
      </c>
      <c r="Q5974">
        <f t="shared" si="564"/>
        <v>4300</v>
      </c>
      <c r="T5974" s="16">
        <f t="shared" si="565"/>
        <v>-0.52290230909624835</v>
      </c>
    </row>
    <row r="5975" spans="7:20" ht="14.4" x14ac:dyDescent="0.25">
      <c r="G5975" s="10">
        <v>8250</v>
      </c>
      <c r="H5975" s="9">
        <v>59008</v>
      </c>
      <c r="I5975" s="14">
        <f>DATE(2012,12,31)-824</f>
        <v>40450</v>
      </c>
      <c r="J5975" s="15" t="s">
        <v>30</v>
      </c>
      <c r="K5975" s="9">
        <v>39</v>
      </c>
      <c r="L5975" s="16" t="s">
        <v>27</v>
      </c>
      <c r="M5975" s="16">
        <f t="shared" si="561"/>
        <v>0.92735299990740228</v>
      </c>
      <c r="N5975">
        <f t="shared" si="562"/>
        <v>0</v>
      </c>
      <c r="O5975">
        <f t="shared" si="563"/>
        <v>0</v>
      </c>
      <c r="P5975">
        <f t="shared" si="560"/>
        <v>5350</v>
      </c>
      <c r="Q5975">
        <f t="shared" si="564"/>
        <v>5350</v>
      </c>
      <c r="T5975" s="16">
        <f t="shared" si="565"/>
        <v>0.92735299990740183</v>
      </c>
    </row>
    <row r="5976" spans="7:20" ht="14.4" x14ac:dyDescent="0.25">
      <c r="G5976" s="10">
        <v>8287</v>
      </c>
      <c r="H5976" s="9">
        <v>59205</v>
      </c>
      <c r="I5976" s="14">
        <f>DATE(2012,12,31)-427</f>
        <v>40847</v>
      </c>
      <c r="J5976" s="15" t="s">
        <v>30</v>
      </c>
      <c r="K5976" s="9">
        <v>11</v>
      </c>
      <c r="L5976" s="16" t="s">
        <v>26</v>
      </c>
      <c r="M5976" s="16">
        <f t="shared" si="561"/>
        <v>-1.0063207454307979</v>
      </c>
      <c r="N5976">
        <f t="shared" si="562"/>
        <v>0</v>
      </c>
      <c r="O5976">
        <f t="shared" si="563"/>
        <v>0</v>
      </c>
      <c r="P5976">
        <f t="shared" si="560"/>
        <v>3950</v>
      </c>
      <c r="Q5976">
        <f t="shared" si="564"/>
        <v>3950</v>
      </c>
      <c r="T5976" s="16">
        <f t="shared" si="565"/>
        <v>-1.0063207454307983</v>
      </c>
    </row>
    <row r="5977" spans="7:20" ht="14.4" x14ac:dyDescent="0.25">
      <c r="G5977" s="10">
        <v>8288</v>
      </c>
      <c r="H5977" s="9">
        <v>59205</v>
      </c>
      <c r="I5977" s="14">
        <f>DATE(2012,12,31)-427</f>
        <v>40847</v>
      </c>
      <c r="J5977" s="15" t="s">
        <v>30</v>
      </c>
      <c r="K5977" s="9">
        <v>35</v>
      </c>
      <c r="L5977" s="16" t="s">
        <v>26</v>
      </c>
      <c r="M5977" s="16">
        <f t="shared" si="561"/>
        <v>0.65111389343051651</v>
      </c>
      <c r="N5977">
        <f t="shared" si="562"/>
        <v>0</v>
      </c>
      <c r="O5977">
        <f t="shared" si="563"/>
        <v>0</v>
      </c>
      <c r="P5977">
        <f t="shared" si="560"/>
        <v>5150</v>
      </c>
      <c r="Q5977">
        <f t="shared" si="564"/>
        <v>5150</v>
      </c>
      <c r="T5977" s="16">
        <f t="shared" si="565"/>
        <v>0.65111389343051607</v>
      </c>
    </row>
    <row r="5978" spans="7:20" ht="14.4" x14ac:dyDescent="0.25">
      <c r="G5978" s="10">
        <v>8322</v>
      </c>
      <c r="H5978" s="9">
        <v>59491</v>
      </c>
      <c r="I5978" s="14">
        <f>DATE(2012,12,31)-282</f>
        <v>40992</v>
      </c>
      <c r="J5978" s="15" t="s">
        <v>17</v>
      </c>
      <c r="K5978" s="9">
        <v>8</v>
      </c>
      <c r="L5978" s="16" t="s">
        <v>26</v>
      </c>
      <c r="M5978" s="16">
        <f t="shared" si="561"/>
        <v>-1.2135000752884624</v>
      </c>
      <c r="N5978">
        <f t="shared" si="562"/>
        <v>0</v>
      </c>
      <c r="O5978">
        <f t="shared" si="563"/>
        <v>0</v>
      </c>
      <c r="P5978">
        <f t="shared" si="560"/>
        <v>3800</v>
      </c>
      <c r="Q5978">
        <f t="shared" si="564"/>
        <v>3800</v>
      </c>
      <c r="T5978" s="16">
        <f t="shared" si="565"/>
        <v>-1.2135000752884626</v>
      </c>
    </row>
    <row r="5979" spans="7:20" ht="14.4" x14ac:dyDescent="0.25">
      <c r="G5979" s="10">
        <v>8323</v>
      </c>
      <c r="H5979" s="9">
        <v>59491</v>
      </c>
      <c r="I5979" s="14">
        <f>DATE(2012,12,31)-282</f>
        <v>40992</v>
      </c>
      <c r="J5979" s="15" t="s">
        <v>17</v>
      </c>
      <c r="K5979" s="9">
        <v>6</v>
      </c>
      <c r="L5979" s="16" t="s">
        <v>26</v>
      </c>
      <c r="M5979" s="16">
        <f t="shared" si="561"/>
        <v>-1.3516196285269051</v>
      </c>
      <c r="N5979">
        <f t="shared" si="562"/>
        <v>0</v>
      </c>
      <c r="O5979">
        <f t="shared" si="563"/>
        <v>0</v>
      </c>
      <c r="P5979">
        <f t="shared" si="560"/>
        <v>3700</v>
      </c>
      <c r="Q5979">
        <f t="shared" si="564"/>
        <v>3700</v>
      </c>
      <c r="T5979" s="16">
        <f t="shared" si="565"/>
        <v>-1.3516196285269055</v>
      </c>
    </row>
    <row r="5980" spans="7:20" ht="14.4" x14ac:dyDescent="0.25">
      <c r="G5980" s="10">
        <v>8324</v>
      </c>
      <c r="H5980" s="9">
        <v>59491</v>
      </c>
      <c r="I5980" s="14">
        <f>DATE(2012,12,31)-282</f>
        <v>40992</v>
      </c>
      <c r="J5980" s="15" t="s">
        <v>17</v>
      </c>
      <c r="K5980" s="9">
        <v>46</v>
      </c>
      <c r="L5980" s="16" t="s">
        <v>29</v>
      </c>
      <c r="M5980" s="16">
        <f t="shared" si="561"/>
        <v>1.4107714362419523</v>
      </c>
      <c r="N5980">
        <f t="shared" si="562"/>
        <v>0</v>
      </c>
      <c r="O5980">
        <f t="shared" si="563"/>
        <v>0</v>
      </c>
      <c r="P5980">
        <f t="shared" si="560"/>
        <v>5700</v>
      </c>
      <c r="Q5980">
        <f t="shared" si="564"/>
        <v>5700</v>
      </c>
      <c r="T5980" s="16">
        <f t="shared" si="565"/>
        <v>1.4107714362419519</v>
      </c>
    </row>
    <row r="5981" spans="7:20" ht="14.4" x14ac:dyDescent="0.25">
      <c r="G5981" s="10">
        <v>8361</v>
      </c>
      <c r="H5981" s="9">
        <v>59776</v>
      </c>
      <c r="I5981" s="14">
        <f>DATE(2012,12,31)-1393</f>
        <v>39881</v>
      </c>
      <c r="J5981" s="15" t="s">
        <v>25</v>
      </c>
      <c r="K5981" s="9">
        <v>35</v>
      </c>
      <c r="L5981" s="16" t="s">
        <v>26</v>
      </c>
      <c r="M5981" s="16">
        <f t="shared" si="561"/>
        <v>0.65111389343051651</v>
      </c>
      <c r="N5981">
        <f t="shared" si="562"/>
        <v>0</v>
      </c>
      <c r="O5981">
        <f t="shared" si="563"/>
        <v>0</v>
      </c>
      <c r="P5981">
        <f t="shared" si="560"/>
        <v>5150</v>
      </c>
      <c r="Q5981">
        <f t="shared" si="564"/>
        <v>5150</v>
      </c>
      <c r="T5981" s="16">
        <f t="shared" si="565"/>
        <v>0.65111389343051607</v>
      </c>
    </row>
    <row r="5982" spans="7:20" ht="14.4" x14ac:dyDescent="0.25">
      <c r="G5982" s="10">
        <v>8362</v>
      </c>
      <c r="H5982" s="9">
        <v>59776</v>
      </c>
      <c r="I5982" s="14">
        <f>DATE(2012,12,31)-1393</f>
        <v>39881</v>
      </c>
      <c r="J5982" s="15" t="s">
        <v>25</v>
      </c>
      <c r="K5982" s="9">
        <v>33</v>
      </c>
      <c r="L5982" s="16" t="s">
        <v>27</v>
      </c>
      <c r="M5982" s="16">
        <f t="shared" si="561"/>
        <v>0.51299434019207357</v>
      </c>
      <c r="N5982">
        <f t="shared" si="562"/>
        <v>0</v>
      </c>
      <c r="O5982">
        <f t="shared" si="563"/>
        <v>0</v>
      </c>
      <c r="P5982">
        <f t="shared" si="560"/>
        <v>5050</v>
      </c>
      <c r="Q5982">
        <f t="shared" si="564"/>
        <v>5050</v>
      </c>
      <c r="T5982" s="16">
        <f t="shared" si="565"/>
        <v>0.51299434019207324</v>
      </c>
    </row>
    <row r="5983" spans="7:20" ht="14.4" x14ac:dyDescent="0.25">
      <c r="G5983" s="10">
        <v>8372</v>
      </c>
      <c r="H5983" s="9">
        <v>59809</v>
      </c>
      <c r="I5983" s="14">
        <f>DATE(2012,12,31)-664</f>
        <v>40610</v>
      </c>
      <c r="J5983" s="15" t="s">
        <v>28</v>
      </c>
      <c r="K5983" s="9">
        <v>12</v>
      </c>
      <c r="L5983" s="16" t="s">
        <v>26</v>
      </c>
      <c r="M5983" s="16">
        <f t="shared" si="561"/>
        <v>-0.9372609688115765</v>
      </c>
      <c r="N5983">
        <f t="shared" si="562"/>
        <v>0</v>
      </c>
      <c r="O5983">
        <f t="shared" si="563"/>
        <v>0</v>
      </c>
      <c r="P5983">
        <f t="shared" si="560"/>
        <v>4000</v>
      </c>
      <c r="Q5983">
        <f t="shared" si="564"/>
        <v>4000</v>
      </c>
      <c r="T5983" s="16">
        <f t="shared" si="565"/>
        <v>-0.93726096881157694</v>
      </c>
    </row>
    <row r="5984" spans="7:20" ht="14.4" x14ac:dyDescent="0.25">
      <c r="G5984" s="10">
        <v>8373</v>
      </c>
      <c r="H5984" s="9">
        <v>59809</v>
      </c>
      <c r="I5984" s="14">
        <f>DATE(2012,12,31)-664</f>
        <v>40610</v>
      </c>
      <c r="J5984" s="15" t="s">
        <v>28</v>
      </c>
      <c r="K5984" s="9">
        <v>16</v>
      </c>
      <c r="L5984" s="16" t="s">
        <v>27</v>
      </c>
      <c r="M5984" s="16">
        <f t="shared" si="561"/>
        <v>-0.66102186233469074</v>
      </c>
      <c r="N5984">
        <f t="shared" si="562"/>
        <v>0</v>
      </c>
      <c r="O5984">
        <f t="shared" si="563"/>
        <v>0</v>
      </c>
      <c r="P5984">
        <f t="shared" si="560"/>
        <v>4200</v>
      </c>
      <c r="Q5984">
        <f t="shared" si="564"/>
        <v>4200</v>
      </c>
      <c r="T5984" s="16">
        <f t="shared" si="565"/>
        <v>-0.66102186233469118</v>
      </c>
    </row>
    <row r="5985" spans="7:20" ht="14.4" x14ac:dyDescent="0.25">
      <c r="G5985" s="10">
        <v>8392</v>
      </c>
      <c r="H5985" s="9">
        <v>59943</v>
      </c>
      <c r="I5985" s="14">
        <f>DATE(2012,12,31)-936</f>
        <v>40338</v>
      </c>
      <c r="J5985" s="15" t="s">
        <v>30</v>
      </c>
      <c r="K5985" s="9">
        <v>43</v>
      </c>
      <c r="L5985" s="16" t="s">
        <v>26</v>
      </c>
      <c r="M5985" s="16">
        <f t="shared" si="561"/>
        <v>1.203592106384288</v>
      </c>
      <c r="N5985">
        <f t="shared" si="562"/>
        <v>0</v>
      </c>
      <c r="O5985">
        <f t="shared" si="563"/>
        <v>0</v>
      </c>
      <c r="P5985">
        <f t="shared" si="560"/>
        <v>5550</v>
      </c>
      <c r="Q5985">
        <f t="shared" si="564"/>
        <v>5550</v>
      </c>
      <c r="T5985" s="16">
        <f t="shared" si="565"/>
        <v>1.2035921063842876</v>
      </c>
    </row>
    <row r="5986" spans="7:20" ht="14.4" x14ac:dyDescent="0.25">
      <c r="G5986" s="10">
        <v>48</v>
      </c>
      <c r="H5986" s="9">
        <v>292</v>
      </c>
      <c r="I5986" s="14">
        <f>DATE(2012,12,31)-354</f>
        <v>40920</v>
      </c>
      <c r="J5986" s="15" t="s">
        <v>17</v>
      </c>
      <c r="K5986" s="9">
        <v>43</v>
      </c>
      <c r="L5986" s="16" t="s">
        <v>26</v>
      </c>
      <c r="M5986" s="16">
        <f t="shared" si="561"/>
        <v>1.203592106384288</v>
      </c>
      <c r="N5986">
        <f t="shared" si="562"/>
        <v>0</v>
      </c>
      <c r="O5986">
        <f t="shared" si="563"/>
        <v>0</v>
      </c>
      <c r="P5986">
        <f t="shared" si="560"/>
        <v>5550</v>
      </c>
      <c r="Q5986">
        <f t="shared" si="564"/>
        <v>5550</v>
      </c>
      <c r="T5986" s="16">
        <f t="shared" si="565"/>
        <v>1.2035921063842876</v>
      </c>
    </row>
    <row r="5987" spans="7:20" ht="14.4" x14ac:dyDescent="0.25">
      <c r="G5987" s="10">
        <v>417</v>
      </c>
      <c r="H5987" s="9">
        <v>2817</v>
      </c>
      <c r="I5987" s="14">
        <f>DATE(2012,12,31)-1353</f>
        <v>39921</v>
      </c>
      <c r="J5987" s="15" t="s">
        <v>16</v>
      </c>
      <c r="K5987" s="9">
        <v>14</v>
      </c>
      <c r="L5987" s="16" t="s">
        <v>27</v>
      </c>
      <c r="M5987" s="16">
        <f t="shared" si="561"/>
        <v>-0.79914141557313367</v>
      </c>
      <c r="N5987">
        <f t="shared" si="562"/>
        <v>0</v>
      </c>
      <c r="O5987">
        <f t="shared" si="563"/>
        <v>0</v>
      </c>
      <c r="P5987">
        <f t="shared" si="560"/>
        <v>4100</v>
      </c>
      <c r="Q5987">
        <f t="shared" si="564"/>
        <v>4100</v>
      </c>
      <c r="T5987" s="16">
        <f t="shared" si="565"/>
        <v>-0.79914141557313401</v>
      </c>
    </row>
    <row r="5988" spans="7:20" ht="14.4" x14ac:dyDescent="0.25">
      <c r="G5988" s="10">
        <v>418</v>
      </c>
      <c r="H5988" s="9">
        <v>2817</v>
      </c>
      <c r="I5988" s="14">
        <f>DATE(2012,12,31)-1353</f>
        <v>39921</v>
      </c>
      <c r="J5988" s="15" t="s">
        <v>16</v>
      </c>
      <c r="K5988" s="9">
        <v>40</v>
      </c>
      <c r="L5988" s="16" t="s">
        <v>29</v>
      </c>
      <c r="M5988" s="16">
        <f t="shared" si="561"/>
        <v>0.99641277652662363</v>
      </c>
      <c r="N5988">
        <f t="shared" si="562"/>
        <v>0</v>
      </c>
      <c r="O5988">
        <f t="shared" si="563"/>
        <v>0</v>
      </c>
      <c r="P5988">
        <f t="shared" si="560"/>
        <v>5400</v>
      </c>
      <c r="Q5988">
        <f t="shared" si="564"/>
        <v>5400</v>
      </c>
      <c r="T5988" s="16">
        <f t="shared" si="565"/>
        <v>0.9964127765266233</v>
      </c>
    </row>
    <row r="5989" spans="7:20" ht="14.4" x14ac:dyDescent="0.25">
      <c r="G5989" s="10">
        <v>426</v>
      </c>
      <c r="H5989" s="9">
        <v>2852</v>
      </c>
      <c r="I5989" s="14">
        <f>DATE(2012,12,31)-1081</f>
        <v>40193</v>
      </c>
      <c r="J5989" s="15" t="s">
        <v>30</v>
      </c>
      <c r="K5989" s="9">
        <v>10</v>
      </c>
      <c r="L5989" s="16" t="s">
        <v>26</v>
      </c>
      <c r="M5989" s="16">
        <f t="shared" si="561"/>
        <v>-1.0753805220500194</v>
      </c>
      <c r="N5989">
        <f t="shared" si="562"/>
        <v>0</v>
      </c>
      <c r="O5989">
        <f t="shared" si="563"/>
        <v>0</v>
      </c>
      <c r="P5989">
        <f t="shared" si="560"/>
        <v>3900</v>
      </c>
      <c r="Q5989">
        <f t="shared" si="564"/>
        <v>3900</v>
      </c>
      <c r="T5989" s="16">
        <f t="shared" si="565"/>
        <v>-1.0753805220500199</v>
      </c>
    </row>
    <row r="5990" spans="7:20" ht="14.4" x14ac:dyDescent="0.25">
      <c r="G5990" s="10">
        <v>427</v>
      </c>
      <c r="H5990" s="9">
        <v>2852</v>
      </c>
      <c r="I5990" s="14">
        <f>DATE(2012,12,31)-1081</f>
        <v>40193</v>
      </c>
      <c r="J5990" s="15" t="s">
        <v>30</v>
      </c>
      <c r="K5990" s="9">
        <v>42</v>
      </c>
      <c r="L5990" s="16" t="s">
        <v>27</v>
      </c>
      <c r="M5990" s="16">
        <f t="shared" si="561"/>
        <v>1.1345323297650665</v>
      </c>
      <c r="N5990">
        <f t="shared" si="562"/>
        <v>0</v>
      </c>
      <c r="O5990">
        <f t="shared" si="563"/>
        <v>0</v>
      </c>
      <c r="P5990">
        <f t="shared" si="560"/>
        <v>5500</v>
      </c>
      <c r="Q5990">
        <f t="shared" si="564"/>
        <v>5500</v>
      </c>
      <c r="T5990" s="16">
        <f t="shared" si="565"/>
        <v>1.1345323297650662</v>
      </c>
    </row>
    <row r="5991" spans="7:20" ht="14.4" x14ac:dyDescent="0.25">
      <c r="G5991" s="10">
        <v>626</v>
      </c>
      <c r="H5991" s="9">
        <v>4359</v>
      </c>
      <c r="I5991" s="14">
        <f>DATE(2012,12,31)-1035</f>
        <v>40239</v>
      </c>
      <c r="J5991" s="15" t="s">
        <v>30</v>
      </c>
      <c r="K5991" s="9">
        <v>21</v>
      </c>
      <c r="L5991" s="16" t="s">
        <v>26</v>
      </c>
      <c r="M5991" s="16">
        <f t="shared" si="561"/>
        <v>-0.31572297923858361</v>
      </c>
      <c r="N5991">
        <f t="shared" si="562"/>
        <v>0</v>
      </c>
      <c r="O5991">
        <f t="shared" si="563"/>
        <v>0</v>
      </c>
      <c r="P5991">
        <f t="shared" si="560"/>
        <v>4450</v>
      </c>
      <c r="Q5991">
        <f t="shared" si="564"/>
        <v>4450</v>
      </c>
      <c r="T5991" s="16">
        <f t="shared" si="565"/>
        <v>-0.315722979238584</v>
      </c>
    </row>
    <row r="5992" spans="7:20" ht="14.4" x14ac:dyDescent="0.25">
      <c r="G5992" s="10">
        <v>1136</v>
      </c>
      <c r="H5992" s="9">
        <v>8293</v>
      </c>
      <c r="I5992" s="14">
        <f>DATE(2012,12,31)-143</f>
        <v>41131</v>
      </c>
      <c r="J5992" s="15" t="s">
        <v>25</v>
      </c>
      <c r="K5992" s="9">
        <v>22</v>
      </c>
      <c r="L5992" s="16" t="s">
        <v>26</v>
      </c>
      <c r="M5992" s="16">
        <f t="shared" si="561"/>
        <v>-0.24666320261936217</v>
      </c>
      <c r="N5992">
        <f t="shared" si="562"/>
        <v>0</v>
      </c>
      <c r="O5992">
        <f t="shared" si="563"/>
        <v>0</v>
      </c>
      <c r="P5992">
        <f t="shared" si="560"/>
        <v>4500</v>
      </c>
      <c r="Q5992">
        <f t="shared" si="564"/>
        <v>4500</v>
      </c>
      <c r="T5992" s="16">
        <f t="shared" si="565"/>
        <v>-0.24666320261936256</v>
      </c>
    </row>
    <row r="5993" spans="7:20" ht="14.4" x14ac:dyDescent="0.25">
      <c r="G5993" s="10">
        <v>1254</v>
      </c>
      <c r="H5993" s="9">
        <v>9095</v>
      </c>
      <c r="I5993" s="14">
        <f>DATE(2012,12,31)-570</f>
        <v>40704</v>
      </c>
      <c r="J5993" s="15" t="s">
        <v>17</v>
      </c>
      <c r="K5993" s="9">
        <v>23</v>
      </c>
      <c r="L5993" s="16" t="s">
        <v>26</v>
      </c>
      <c r="M5993" s="16">
        <f t="shared" si="561"/>
        <v>-0.17760342600014073</v>
      </c>
      <c r="N5993">
        <f t="shared" si="562"/>
        <v>0</v>
      </c>
      <c r="O5993">
        <f t="shared" si="563"/>
        <v>0</v>
      </c>
      <c r="P5993">
        <f t="shared" si="560"/>
        <v>4550</v>
      </c>
      <c r="Q5993">
        <f t="shared" si="564"/>
        <v>4550</v>
      </c>
      <c r="T5993" s="16">
        <f t="shared" si="565"/>
        <v>-0.17760342600014112</v>
      </c>
    </row>
    <row r="5994" spans="7:20" ht="14.4" x14ac:dyDescent="0.25">
      <c r="G5994" s="10">
        <v>1276</v>
      </c>
      <c r="H5994" s="9">
        <v>9254</v>
      </c>
      <c r="I5994" s="14">
        <f>DATE(2012,12,31)-962</f>
        <v>40312</v>
      </c>
      <c r="J5994" s="15" t="s">
        <v>16</v>
      </c>
      <c r="K5994" s="9">
        <v>24</v>
      </c>
      <c r="L5994" s="16" t="s">
        <v>26</v>
      </c>
      <c r="M5994" s="16">
        <f t="shared" si="561"/>
        <v>-0.1085436493809193</v>
      </c>
      <c r="N5994">
        <f t="shared" si="562"/>
        <v>0</v>
      </c>
      <c r="O5994">
        <f t="shared" si="563"/>
        <v>0</v>
      </c>
      <c r="P5994">
        <f t="shared" si="560"/>
        <v>4600</v>
      </c>
      <c r="Q5994">
        <f t="shared" si="564"/>
        <v>4600</v>
      </c>
      <c r="T5994" s="16">
        <f t="shared" si="565"/>
        <v>-0.10854364938091969</v>
      </c>
    </row>
    <row r="5995" spans="7:20" ht="14.4" x14ac:dyDescent="0.25">
      <c r="G5995" s="10">
        <v>1346</v>
      </c>
      <c r="H5995" s="9">
        <v>9829</v>
      </c>
      <c r="I5995" s="14">
        <f>DATE(2012,12,31)-389</f>
        <v>40885</v>
      </c>
      <c r="J5995" s="15" t="s">
        <v>30</v>
      </c>
      <c r="K5995" s="9">
        <v>23</v>
      </c>
      <c r="L5995" s="16" t="s">
        <v>26</v>
      </c>
      <c r="M5995" s="16">
        <f t="shared" si="561"/>
        <v>-0.17760342600014073</v>
      </c>
      <c r="N5995">
        <f t="shared" si="562"/>
        <v>0</v>
      </c>
      <c r="O5995">
        <f t="shared" si="563"/>
        <v>0</v>
      </c>
      <c r="P5995">
        <f t="shared" si="560"/>
        <v>4550</v>
      </c>
      <c r="Q5995">
        <f t="shared" si="564"/>
        <v>4550</v>
      </c>
      <c r="T5995" s="16">
        <f t="shared" si="565"/>
        <v>-0.17760342600014112</v>
      </c>
    </row>
    <row r="5996" spans="7:20" ht="14.4" x14ac:dyDescent="0.25">
      <c r="G5996" s="10">
        <v>1347</v>
      </c>
      <c r="H5996" s="9">
        <v>9829</v>
      </c>
      <c r="I5996" s="14">
        <f>DATE(2012,12,31)-389</f>
        <v>40885</v>
      </c>
      <c r="J5996" s="15" t="s">
        <v>30</v>
      </c>
      <c r="K5996" s="9">
        <v>4</v>
      </c>
      <c r="L5996" s="16" t="s">
        <v>26</v>
      </c>
      <c r="M5996" s="16">
        <f t="shared" si="561"/>
        <v>-1.489739181765348</v>
      </c>
      <c r="N5996">
        <f t="shared" si="562"/>
        <v>0</v>
      </c>
      <c r="O5996">
        <f t="shared" si="563"/>
        <v>0</v>
      </c>
      <c r="P5996">
        <f t="shared" si="560"/>
        <v>3600</v>
      </c>
      <c r="Q5996">
        <f t="shared" si="564"/>
        <v>3600</v>
      </c>
      <c r="T5996" s="16">
        <f t="shared" si="565"/>
        <v>-1.4897391817653485</v>
      </c>
    </row>
    <row r="5997" spans="7:20" ht="14.4" x14ac:dyDescent="0.25">
      <c r="G5997" s="10">
        <v>1460</v>
      </c>
      <c r="H5997" s="9">
        <v>10528</v>
      </c>
      <c r="I5997" s="14">
        <f>DATE(2012,12,31)-1205</f>
        <v>40069</v>
      </c>
      <c r="J5997" s="15" t="s">
        <v>16</v>
      </c>
      <c r="K5997" s="9">
        <v>47</v>
      </c>
      <c r="L5997" s="16" t="s">
        <v>26</v>
      </c>
      <c r="M5997" s="16">
        <f t="shared" si="561"/>
        <v>1.4798312128611737</v>
      </c>
      <c r="N5997">
        <f t="shared" si="562"/>
        <v>0</v>
      </c>
      <c r="O5997">
        <f t="shared" si="563"/>
        <v>0</v>
      </c>
      <c r="P5997">
        <f t="shared" si="560"/>
        <v>5750</v>
      </c>
      <c r="Q5997">
        <f t="shared" si="564"/>
        <v>5750</v>
      </c>
      <c r="T5997" s="16">
        <f t="shared" si="565"/>
        <v>1.4798312128611733</v>
      </c>
    </row>
    <row r="5998" spans="7:20" ht="14.4" x14ac:dyDescent="0.25">
      <c r="G5998" s="10">
        <v>1492</v>
      </c>
      <c r="H5998" s="9">
        <v>10754</v>
      </c>
      <c r="I5998" s="14">
        <f>DATE(2012,12,31)-1020</f>
        <v>40254</v>
      </c>
      <c r="J5998" s="15" t="s">
        <v>25</v>
      </c>
      <c r="K5998" s="9">
        <v>7</v>
      </c>
      <c r="L5998" s="16" t="s">
        <v>26</v>
      </c>
      <c r="M5998" s="16">
        <f t="shared" si="561"/>
        <v>-1.2825598519076837</v>
      </c>
      <c r="N5998">
        <f t="shared" si="562"/>
        <v>0</v>
      </c>
      <c r="O5998">
        <f t="shared" si="563"/>
        <v>0</v>
      </c>
      <c r="P5998">
        <f t="shared" si="560"/>
        <v>3750</v>
      </c>
      <c r="Q5998">
        <f t="shared" si="564"/>
        <v>3750</v>
      </c>
      <c r="T5998" s="16">
        <f t="shared" si="565"/>
        <v>-1.2825598519076842</v>
      </c>
    </row>
    <row r="5999" spans="7:20" ht="14.4" x14ac:dyDescent="0.25">
      <c r="G5999" s="10">
        <v>1541</v>
      </c>
      <c r="H5999" s="9">
        <v>11109</v>
      </c>
      <c r="I5999" s="14">
        <f>DATE(2012,12,31)-657</f>
        <v>40617</v>
      </c>
      <c r="J5999" s="15" t="s">
        <v>16</v>
      </c>
      <c r="K5999" s="9">
        <v>18</v>
      </c>
      <c r="L5999" s="16" t="s">
        <v>26</v>
      </c>
      <c r="M5999" s="16">
        <f t="shared" si="561"/>
        <v>-0.52290230909624791</v>
      </c>
      <c r="N5999">
        <f t="shared" si="562"/>
        <v>0</v>
      </c>
      <c r="O5999">
        <f t="shared" si="563"/>
        <v>0</v>
      </c>
      <c r="P5999">
        <f t="shared" si="560"/>
        <v>4300</v>
      </c>
      <c r="Q5999">
        <f t="shared" si="564"/>
        <v>4300</v>
      </c>
      <c r="T5999" s="16">
        <f t="shared" si="565"/>
        <v>-0.52290230909624835</v>
      </c>
    </row>
    <row r="6000" spans="7:20" ht="14.4" x14ac:dyDescent="0.25">
      <c r="G6000" s="10">
        <v>1581</v>
      </c>
      <c r="H6000" s="9">
        <v>11426</v>
      </c>
      <c r="I6000" s="14">
        <f>DATE(2012,12,31)-1334</f>
        <v>39940</v>
      </c>
      <c r="J6000" s="15" t="s">
        <v>16</v>
      </c>
      <c r="K6000" s="9">
        <v>19</v>
      </c>
      <c r="L6000" s="16" t="s">
        <v>27</v>
      </c>
      <c r="M6000" s="16">
        <f t="shared" si="561"/>
        <v>-0.45384253247702649</v>
      </c>
      <c r="N6000">
        <f t="shared" si="562"/>
        <v>0</v>
      </c>
      <c r="O6000">
        <f t="shared" si="563"/>
        <v>0</v>
      </c>
      <c r="P6000">
        <f t="shared" si="560"/>
        <v>4350</v>
      </c>
      <c r="Q6000">
        <f t="shared" si="564"/>
        <v>4350</v>
      </c>
      <c r="T6000" s="16">
        <f t="shared" si="565"/>
        <v>-0.45384253247702688</v>
      </c>
    </row>
    <row r="6001" spans="7:20" ht="14.4" x14ac:dyDescent="0.25">
      <c r="G6001" s="10">
        <v>1797</v>
      </c>
      <c r="H6001" s="9">
        <v>12869</v>
      </c>
      <c r="I6001" s="14">
        <f>DATE(2012,12,31)-1436</f>
        <v>39838</v>
      </c>
      <c r="J6001" s="15" t="s">
        <v>28</v>
      </c>
      <c r="K6001" s="9">
        <v>15</v>
      </c>
      <c r="L6001" s="16" t="s">
        <v>27</v>
      </c>
      <c r="M6001" s="16">
        <f t="shared" si="561"/>
        <v>-0.7300816389539122</v>
      </c>
      <c r="N6001">
        <f t="shared" si="562"/>
        <v>0</v>
      </c>
      <c r="O6001">
        <f t="shared" si="563"/>
        <v>0</v>
      </c>
      <c r="P6001">
        <f t="shared" si="560"/>
        <v>4150</v>
      </c>
      <c r="Q6001">
        <f t="shared" si="564"/>
        <v>4150</v>
      </c>
      <c r="T6001" s="16">
        <f t="shared" si="565"/>
        <v>-0.73008163895391265</v>
      </c>
    </row>
    <row r="6002" spans="7:20" ht="14.4" x14ac:dyDescent="0.25">
      <c r="G6002" s="10">
        <v>1825</v>
      </c>
      <c r="H6002" s="9">
        <v>13094</v>
      </c>
      <c r="I6002" s="14">
        <f>DATE(2012,12,31)-866</f>
        <v>40408</v>
      </c>
      <c r="J6002" s="15" t="s">
        <v>28</v>
      </c>
      <c r="K6002" s="9">
        <v>7</v>
      </c>
      <c r="L6002" s="16" t="s">
        <v>26</v>
      </c>
      <c r="M6002" s="16">
        <f t="shared" si="561"/>
        <v>-1.2825598519076837</v>
      </c>
      <c r="N6002">
        <f t="shared" si="562"/>
        <v>0</v>
      </c>
      <c r="O6002">
        <f t="shared" si="563"/>
        <v>0</v>
      </c>
      <c r="P6002">
        <f t="shared" si="560"/>
        <v>3750</v>
      </c>
      <c r="Q6002">
        <f t="shared" si="564"/>
        <v>3750</v>
      </c>
      <c r="T6002" s="16">
        <f t="shared" si="565"/>
        <v>-1.2825598519076842</v>
      </c>
    </row>
    <row r="6003" spans="7:20" ht="14.4" x14ac:dyDescent="0.25">
      <c r="G6003" s="10">
        <v>2001</v>
      </c>
      <c r="H6003" s="9">
        <v>14274</v>
      </c>
      <c r="I6003" s="14">
        <f>DATE(2012,12,31)-1455</f>
        <v>39819</v>
      </c>
      <c r="J6003" s="15" t="s">
        <v>28</v>
      </c>
      <c r="K6003" s="9">
        <v>23</v>
      </c>
      <c r="L6003" s="16" t="s">
        <v>29</v>
      </c>
      <c r="M6003" s="16">
        <f t="shared" si="561"/>
        <v>-0.17760342600014073</v>
      </c>
      <c r="N6003">
        <f t="shared" si="562"/>
        <v>0</v>
      </c>
      <c r="O6003">
        <f t="shared" si="563"/>
        <v>0</v>
      </c>
      <c r="P6003">
        <f t="shared" si="560"/>
        <v>4550</v>
      </c>
      <c r="Q6003">
        <f t="shared" si="564"/>
        <v>4550</v>
      </c>
      <c r="T6003" s="16">
        <f t="shared" si="565"/>
        <v>-0.17760342600014112</v>
      </c>
    </row>
    <row r="6004" spans="7:20" ht="14.4" x14ac:dyDescent="0.25">
      <c r="G6004" s="10">
        <v>2002</v>
      </c>
      <c r="H6004" s="9">
        <v>14274</v>
      </c>
      <c r="I6004" s="14">
        <f>DATE(2012,12,31)-1455</f>
        <v>39819</v>
      </c>
      <c r="J6004" s="15" t="s">
        <v>28</v>
      </c>
      <c r="K6004" s="9">
        <v>46</v>
      </c>
      <c r="L6004" s="16" t="s">
        <v>26</v>
      </c>
      <c r="M6004" s="16">
        <f t="shared" si="561"/>
        <v>1.4107714362419523</v>
      </c>
      <c r="N6004">
        <f t="shared" si="562"/>
        <v>0</v>
      </c>
      <c r="O6004">
        <f t="shared" si="563"/>
        <v>0</v>
      </c>
      <c r="P6004">
        <f t="shared" si="560"/>
        <v>5700</v>
      </c>
      <c r="Q6004">
        <f t="shared" si="564"/>
        <v>5700</v>
      </c>
      <c r="T6004" s="16">
        <f t="shared" si="565"/>
        <v>1.4107714362419519</v>
      </c>
    </row>
    <row r="6005" spans="7:20" ht="14.4" x14ac:dyDescent="0.25">
      <c r="G6005" s="10">
        <v>2003</v>
      </c>
      <c r="H6005" s="9">
        <v>14274</v>
      </c>
      <c r="I6005" s="14">
        <f>DATE(2012,12,31)-1455</f>
        <v>39819</v>
      </c>
      <c r="J6005" s="15" t="s">
        <v>28</v>
      </c>
      <c r="K6005" s="9">
        <v>2</v>
      </c>
      <c r="L6005" s="16" t="s">
        <v>27</v>
      </c>
      <c r="M6005" s="16">
        <f t="shared" si="561"/>
        <v>-1.627858735003791</v>
      </c>
      <c r="N6005">
        <f t="shared" si="562"/>
        <v>0</v>
      </c>
      <c r="O6005">
        <f t="shared" si="563"/>
        <v>0</v>
      </c>
      <c r="P6005">
        <f t="shared" si="560"/>
        <v>3500</v>
      </c>
      <c r="Q6005">
        <f t="shared" si="564"/>
        <v>3500</v>
      </c>
      <c r="T6005" s="16">
        <f t="shared" si="565"/>
        <v>-1.6278587350037912</v>
      </c>
    </row>
    <row r="6006" spans="7:20" ht="14.4" x14ac:dyDescent="0.25">
      <c r="G6006" s="10">
        <v>2039</v>
      </c>
      <c r="H6006" s="9">
        <v>14530</v>
      </c>
      <c r="I6006" s="14">
        <f>DATE(2012,12,31)-1365</f>
        <v>39909</v>
      </c>
      <c r="J6006" s="15" t="s">
        <v>17</v>
      </c>
      <c r="K6006" s="9">
        <v>17</v>
      </c>
      <c r="L6006" s="16" t="s">
        <v>26</v>
      </c>
      <c r="M6006" s="16">
        <f t="shared" si="561"/>
        <v>-0.59196208571546938</v>
      </c>
      <c r="N6006">
        <f t="shared" si="562"/>
        <v>0</v>
      </c>
      <c r="O6006">
        <f t="shared" si="563"/>
        <v>0</v>
      </c>
      <c r="P6006">
        <f t="shared" si="560"/>
        <v>4250</v>
      </c>
      <c r="Q6006">
        <f t="shared" si="564"/>
        <v>4250</v>
      </c>
      <c r="T6006" s="16">
        <f t="shared" si="565"/>
        <v>-0.59196208571546971</v>
      </c>
    </row>
    <row r="6007" spans="7:20" ht="14.4" x14ac:dyDescent="0.25">
      <c r="G6007" s="10">
        <v>2040</v>
      </c>
      <c r="H6007" s="9">
        <v>14530</v>
      </c>
      <c r="I6007" s="14">
        <f>DATE(2012,12,31)-1365</f>
        <v>39909</v>
      </c>
      <c r="J6007" s="15" t="s">
        <v>17</v>
      </c>
      <c r="K6007" s="9">
        <v>49</v>
      </c>
      <c r="L6007" s="16" t="s">
        <v>26</v>
      </c>
      <c r="M6007" s="16">
        <f t="shared" si="561"/>
        <v>1.6179507660996166</v>
      </c>
      <c r="N6007">
        <f t="shared" si="562"/>
        <v>0</v>
      </c>
      <c r="O6007">
        <f t="shared" si="563"/>
        <v>0</v>
      </c>
      <c r="P6007">
        <f t="shared" si="560"/>
        <v>5850</v>
      </c>
      <c r="Q6007">
        <f t="shared" si="564"/>
        <v>5850</v>
      </c>
      <c r="T6007" s="16">
        <f t="shared" si="565"/>
        <v>1.6179507660996162</v>
      </c>
    </row>
    <row r="6008" spans="7:20" ht="14.4" x14ac:dyDescent="0.25">
      <c r="G6008" s="10">
        <v>2041</v>
      </c>
      <c r="H6008" s="9">
        <v>14530</v>
      </c>
      <c r="I6008" s="14">
        <f>DATE(2012,12,31)-1365</f>
        <v>39909</v>
      </c>
      <c r="J6008" s="15" t="s">
        <v>17</v>
      </c>
      <c r="K6008" s="9">
        <v>44</v>
      </c>
      <c r="L6008" s="16" t="s">
        <v>27</v>
      </c>
      <c r="M6008" s="16">
        <f t="shared" si="561"/>
        <v>1.2726518830035094</v>
      </c>
      <c r="N6008">
        <f t="shared" si="562"/>
        <v>0</v>
      </c>
      <c r="O6008">
        <f t="shared" si="563"/>
        <v>0</v>
      </c>
      <c r="P6008">
        <f t="shared" si="560"/>
        <v>5600</v>
      </c>
      <c r="Q6008">
        <f t="shared" si="564"/>
        <v>5600</v>
      </c>
      <c r="T6008" s="16">
        <f t="shared" si="565"/>
        <v>1.272651883003509</v>
      </c>
    </row>
    <row r="6009" spans="7:20" ht="14.4" x14ac:dyDescent="0.25">
      <c r="G6009" s="10">
        <v>2157</v>
      </c>
      <c r="H6009" s="9">
        <v>15462</v>
      </c>
      <c r="I6009" s="14">
        <f>DATE(2012,12,31)-674</f>
        <v>40600</v>
      </c>
      <c r="J6009" s="15" t="s">
        <v>30</v>
      </c>
      <c r="K6009" s="9">
        <v>20</v>
      </c>
      <c r="L6009" s="16" t="s">
        <v>26</v>
      </c>
      <c r="M6009" s="16">
        <f t="shared" si="561"/>
        <v>-0.38478275585780503</v>
      </c>
      <c r="N6009">
        <f t="shared" si="562"/>
        <v>0</v>
      </c>
      <c r="O6009">
        <f t="shared" si="563"/>
        <v>0</v>
      </c>
      <c r="P6009">
        <f t="shared" si="560"/>
        <v>4400</v>
      </c>
      <c r="Q6009">
        <f t="shared" si="564"/>
        <v>4400</v>
      </c>
      <c r="T6009" s="16">
        <f t="shared" si="565"/>
        <v>-0.38478275585780541</v>
      </c>
    </row>
    <row r="6010" spans="7:20" ht="14.4" x14ac:dyDescent="0.25">
      <c r="G6010" s="10">
        <v>2181</v>
      </c>
      <c r="H6010" s="9">
        <v>15715</v>
      </c>
      <c r="I6010" s="14">
        <f>DATE(2012,12,31)-77</f>
        <v>41197</v>
      </c>
      <c r="J6010" s="15" t="s">
        <v>30</v>
      </c>
      <c r="K6010" s="9">
        <v>43</v>
      </c>
      <c r="L6010" s="16" t="s">
        <v>26</v>
      </c>
      <c r="M6010" s="16">
        <f t="shared" si="561"/>
        <v>1.203592106384288</v>
      </c>
      <c r="N6010">
        <f t="shared" si="562"/>
        <v>0</v>
      </c>
      <c r="O6010">
        <f t="shared" si="563"/>
        <v>0</v>
      </c>
      <c r="P6010">
        <f t="shared" si="560"/>
        <v>5550</v>
      </c>
      <c r="Q6010">
        <f t="shared" si="564"/>
        <v>5550</v>
      </c>
      <c r="T6010" s="16">
        <f t="shared" si="565"/>
        <v>1.2035921063842876</v>
      </c>
    </row>
    <row r="6011" spans="7:20" ht="14.4" x14ac:dyDescent="0.25">
      <c r="G6011" s="10">
        <v>2231</v>
      </c>
      <c r="H6011" s="9">
        <v>16128</v>
      </c>
      <c r="I6011" s="14">
        <f>DATE(2012,12,31)-603</f>
        <v>40671</v>
      </c>
      <c r="J6011" s="15" t="s">
        <v>17</v>
      </c>
      <c r="K6011" s="9">
        <v>46</v>
      </c>
      <c r="L6011" s="16" t="s">
        <v>29</v>
      </c>
      <c r="M6011" s="16">
        <f t="shared" si="561"/>
        <v>1.4107714362419523</v>
      </c>
      <c r="N6011">
        <f t="shared" si="562"/>
        <v>0</v>
      </c>
      <c r="O6011">
        <f t="shared" si="563"/>
        <v>0</v>
      </c>
      <c r="P6011">
        <f t="shared" si="560"/>
        <v>5700</v>
      </c>
      <c r="Q6011">
        <f t="shared" si="564"/>
        <v>5700</v>
      </c>
      <c r="T6011" s="16">
        <f t="shared" si="565"/>
        <v>1.4107714362419519</v>
      </c>
    </row>
    <row r="6012" spans="7:20" ht="14.4" x14ac:dyDescent="0.25">
      <c r="G6012" s="10">
        <v>2300</v>
      </c>
      <c r="H6012" s="9">
        <v>16579</v>
      </c>
      <c r="I6012" s="14">
        <f>DATE(2012,12,31)-750</f>
        <v>40524</v>
      </c>
      <c r="J6012" s="15" t="s">
        <v>28</v>
      </c>
      <c r="K6012" s="9">
        <v>33</v>
      </c>
      <c r="L6012" s="16" t="s">
        <v>26</v>
      </c>
      <c r="M6012" s="16">
        <f t="shared" si="561"/>
        <v>0.51299434019207357</v>
      </c>
      <c r="N6012">
        <f t="shared" si="562"/>
        <v>0</v>
      </c>
      <c r="O6012">
        <f t="shared" si="563"/>
        <v>0</v>
      </c>
      <c r="P6012">
        <f t="shared" si="560"/>
        <v>5050</v>
      </c>
      <c r="Q6012">
        <f t="shared" si="564"/>
        <v>5050</v>
      </c>
      <c r="T6012" s="16">
        <f t="shared" si="565"/>
        <v>0.51299434019207324</v>
      </c>
    </row>
    <row r="6013" spans="7:20" ht="14.4" x14ac:dyDescent="0.25">
      <c r="G6013" s="10">
        <v>2301</v>
      </c>
      <c r="H6013" s="9">
        <v>16579</v>
      </c>
      <c r="I6013" s="14">
        <f>DATE(2012,12,31)-750</f>
        <v>40524</v>
      </c>
      <c r="J6013" s="15" t="s">
        <v>28</v>
      </c>
      <c r="K6013" s="9">
        <v>23</v>
      </c>
      <c r="L6013" s="16" t="s">
        <v>26</v>
      </c>
      <c r="M6013" s="16">
        <f t="shared" si="561"/>
        <v>-0.17760342600014073</v>
      </c>
      <c r="N6013">
        <f t="shared" si="562"/>
        <v>0</v>
      </c>
      <c r="O6013">
        <f t="shared" si="563"/>
        <v>0</v>
      </c>
      <c r="P6013">
        <f t="shared" si="560"/>
        <v>4550</v>
      </c>
      <c r="Q6013">
        <f t="shared" si="564"/>
        <v>4550</v>
      </c>
      <c r="T6013" s="16">
        <f t="shared" si="565"/>
        <v>-0.17760342600014112</v>
      </c>
    </row>
    <row r="6014" spans="7:20" ht="14.4" x14ac:dyDescent="0.25">
      <c r="G6014" s="10">
        <v>2348</v>
      </c>
      <c r="H6014" s="9">
        <v>16935</v>
      </c>
      <c r="I6014" s="14">
        <f>DATE(2012,12,31)-16</f>
        <v>41258</v>
      </c>
      <c r="J6014" s="15" t="s">
        <v>28</v>
      </c>
      <c r="K6014" s="9">
        <v>3</v>
      </c>
      <c r="L6014" s="16" t="s">
        <v>26</v>
      </c>
      <c r="M6014" s="16">
        <f t="shared" si="561"/>
        <v>-1.5587989583845694</v>
      </c>
      <c r="N6014">
        <f t="shared" si="562"/>
        <v>0</v>
      </c>
      <c r="O6014">
        <f t="shared" si="563"/>
        <v>0</v>
      </c>
      <c r="P6014">
        <f t="shared" si="560"/>
        <v>3550</v>
      </c>
      <c r="Q6014">
        <f t="shared" si="564"/>
        <v>3550</v>
      </c>
      <c r="T6014" s="16">
        <f t="shared" si="565"/>
        <v>-1.5587989583845698</v>
      </c>
    </row>
    <row r="6015" spans="7:20" ht="14.4" x14ac:dyDescent="0.25">
      <c r="G6015" s="10">
        <v>2349</v>
      </c>
      <c r="H6015" s="9">
        <v>16935</v>
      </c>
      <c r="I6015" s="14">
        <f>DATE(2012,12,31)-16</f>
        <v>41258</v>
      </c>
      <c r="J6015" s="15" t="s">
        <v>28</v>
      </c>
      <c r="K6015" s="9">
        <v>43</v>
      </c>
      <c r="L6015" s="16" t="s">
        <v>26</v>
      </c>
      <c r="M6015" s="16">
        <f t="shared" si="561"/>
        <v>1.203592106384288</v>
      </c>
      <c r="N6015">
        <f t="shared" si="562"/>
        <v>0</v>
      </c>
      <c r="O6015">
        <f t="shared" si="563"/>
        <v>0</v>
      </c>
      <c r="P6015">
        <f t="shared" si="560"/>
        <v>5550</v>
      </c>
      <c r="Q6015">
        <f t="shared" si="564"/>
        <v>5550</v>
      </c>
      <c r="T6015" s="16">
        <f t="shared" si="565"/>
        <v>1.2035921063842876</v>
      </c>
    </row>
    <row r="6016" spans="7:20" ht="14.4" x14ac:dyDescent="0.25">
      <c r="G6016" s="10">
        <v>2620</v>
      </c>
      <c r="H6016" s="9">
        <v>18946</v>
      </c>
      <c r="I6016" s="14">
        <f>DATE(2012,12,31)-972</f>
        <v>40302</v>
      </c>
      <c r="J6016" s="15" t="s">
        <v>30</v>
      </c>
      <c r="K6016" s="9">
        <v>32</v>
      </c>
      <c r="L6016" s="16" t="s">
        <v>26</v>
      </c>
      <c r="M6016" s="16">
        <f t="shared" si="561"/>
        <v>0.44393456357285216</v>
      </c>
      <c r="N6016">
        <f t="shared" si="562"/>
        <v>0</v>
      </c>
      <c r="O6016">
        <f t="shared" si="563"/>
        <v>0</v>
      </c>
      <c r="P6016">
        <f t="shared" si="560"/>
        <v>5000</v>
      </c>
      <c r="Q6016">
        <f t="shared" si="564"/>
        <v>5000</v>
      </c>
      <c r="T6016" s="16">
        <f t="shared" si="565"/>
        <v>0.44393456357285183</v>
      </c>
    </row>
    <row r="6017" spans="7:20" ht="14.4" x14ac:dyDescent="0.25">
      <c r="G6017" s="10">
        <v>2675</v>
      </c>
      <c r="H6017" s="9">
        <v>19361</v>
      </c>
      <c r="I6017" s="14">
        <f>DATE(2012,12,31)-99</f>
        <v>41175</v>
      </c>
      <c r="J6017" s="15" t="s">
        <v>25</v>
      </c>
      <c r="K6017" s="9">
        <v>21</v>
      </c>
      <c r="L6017" s="16" t="s">
        <v>29</v>
      </c>
      <c r="M6017" s="16">
        <f t="shared" si="561"/>
        <v>-0.31572297923858361</v>
      </c>
      <c r="N6017">
        <f t="shared" si="562"/>
        <v>0</v>
      </c>
      <c r="O6017">
        <f t="shared" si="563"/>
        <v>0</v>
      </c>
      <c r="P6017">
        <f t="shared" si="560"/>
        <v>4450</v>
      </c>
      <c r="Q6017">
        <f t="shared" si="564"/>
        <v>4450</v>
      </c>
      <c r="T6017" s="16">
        <f t="shared" si="565"/>
        <v>-0.315722979238584</v>
      </c>
    </row>
    <row r="6018" spans="7:20" ht="14.4" x14ac:dyDescent="0.25">
      <c r="G6018" s="10">
        <v>2813</v>
      </c>
      <c r="H6018" s="9">
        <v>20292</v>
      </c>
      <c r="I6018" s="14">
        <f>DATE(2012,12,31)-53</f>
        <v>41221</v>
      </c>
      <c r="J6018" s="15" t="s">
        <v>16</v>
      </c>
      <c r="K6018" s="9">
        <v>26</v>
      </c>
      <c r="L6018" s="16" t="s">
        <v>26</v>
      </c>
      <c r="M6018" s="16">
        <f t="shared" si="561"/>
        <v>2.9575903857523567E-2</v>
      </c>
      <c r="N6018">
        <f t="shared" si="562"/>
        <v>0</v>
      </c>
      <c r="O6018">
        <f t="shared" si="563"/>
        <v>0</v>
      </c>
      <c r="P6018">
        <f t="shared" si="560"/>
        <v>4700</v>
      </c>
      <c r="Q6018">
        <f t="shared" si="564"/>
        <v>4700</v>
      </c>
      <c r="T6018" s="16">
        <f t="shared" si="565"/>
        <v>2.9575903857523185E-2</v>
      </c>
    </row>
    <row r="6019" spans="7:20" ht="14.4" x14ac:dyDescent="0.25">
      <c r="G6019" s="10">
        <v>2814</v>
      </c>
      <c r="H6019" s="9">
        <v>20292</v>
      </c>
      <c r="I6019" s="14">
        <f>DATE(2012,12,31)-53</f>
        <v>41221</v>
      </c>
      <c r="J6019" s="15" t="s">
        <v>16</v>
      </c>
      <c r="K6019" s="9">
        <v>5</v>
      </c>
      <c r="L6019" s="16" t="s">
        <v>27</v>
      </c>
      <c r="M6019" s="16">
        <f t="shared" si="561"/>
        <v>-1.4206794051461267</v>
      </c>
      <c r="N6019">
        <f t="shared" si="562"/>
        <v>0</v>
      </c>
      <c r="O6019">
        <f t="shared" si="563"/>
        <v>0</v>
      </c>
      <c r="P6019">
        <f t="shared" si="560"/>
        <v>3650</v>
      </c>
      <c r="Q6019">
        <f t="shared" si="564"/>
        <v>3650</v>
      </c>
      <c r="T6019" s="16">
        <f t="shared" si="565"/>
        <v>-1.4206794051461269</v>
      </c>
    </row>
    <row r="6020" spans="7:20" ht="14.4" x14ac:dyDescent="0.25">
      <c r="G6020" s="10">
        <v>3003</v>
      </c>
      <c r="H6020" s="9">
        <v>21635</v>
      </c>
      <c r="I6020" s="14">
        <f>DATE(2012,12,31)-1125</f>
        <v>40149</v>
      </c>
      <c r="J6020" s="15" t="s">
        <v>25</v>
      </c>
      <c r="K6020" s="9">
        <v>2</v>
      </c>
      <c r="L6020" s="16" t="s">
        <v>26</v>
      </c>
      <c r="M6020" s="16">
        <f t="shared" si="561"/>
        <v>-1.627858735003791</v>
      </c>
      <c r="N6020">
        <f t="shared" si="562"/>
        <v>0</v>
      </c>
      <c r="O6020">
        <f t="shared" si="563"/>
        <v>0</v>
      </c>
      <c r="P6020">
        <f t="shared" si="560"/>
        <v>3500</v>
      </c>
      <c r="Q6020">
        <f t="shared" si="564"/>
        <v>3500</v>
      </c>
      <c r="T6020" s="16">
        <f t="shared" si="565"/>
        <v>-1.6278587350037912</v>
      </c>
    </row>
    <row r="6021" spans="7:20" ht="14.4" x14ac:dyDescent="0.25">
      <c r="G6021" s="10">
        <v>3045</v>
      </c>
      <c r="H6021" s="9">
        <v>21860</v>
      </c>
      <c r="I6021" s="14">
        <f>DATE(2012,12,31)-247</f>
        <v>41027</v>
      </c>
      <c r="J6021" s="15" t="s">
        <v>30</v>
      </c>
      <c r="K6021" s="9">
        <v>9</v>
      </c>
      <c r="L6021" s="16" t="s">
        <v>29</v>
      </c>
      <c r="M6021" s="16">
        <f t="shared" si="561"/>
        <v>-1.1444402986692408</v>
      </c>
      <c r="N6021">
        <f t="shared" si="562"/>
        <v>0</v>
      </c>
      <c r="O6021">
        <f t="shared" si="563"/>
        <v>0</v>
      </c>
      <c r="P6021">
        <f t="shared" si="560"/>
        <v>3850</v>
      </c>
      <c r="Q6021">
        <f t="shared" si="564"/>
        <v>3850</v>
      </c>
      <c r="T6021" s="16">
        <f t="shared" si="565"/>
        <v>-1.1444402986692412</v>
      </c>
    </row>
    <row r="6022" spans="7:20" ht="14.4" x14ac:dyDescent="0.25">
      <c r="G6022" s="10">
        <v>3189</v>
      </c>
      <c r="H6022" s="9">
        <v>22882</v>
      </c>
      <c r="I6022" s="14">
        <f>DATE(2012,12,31)-840</f>
        <v>40434</v>
      </c>
      <c r="J6022" s="15" t="s">
        <v>30</v>
      </c>
      <c r="K6022" s="9">
        <v>10</v>
      </c>
      <c r="L6022" s="16" t="s">
        <v>26</v>
      </c>
      <c r="M6022" s="16">
        <f t="shared" si="561"/>
        <v>-1.0753805220500194</v>
      </c>
      <c r="N6022">
        <f t="shared" si="562"/>
        <v>0</v>
      </c>
      <c r="O6022">
        <f t="shared" si="563"/>
        <v>0</v>
      </c>
      <c r="P6022">
        <f t="shared" si="560"/>
        <v>3900</v>
      </c>
      <c r="Q6022">
        <f t="shared" si="564"/>
        <v>3900</v>
      </c>
      <c r="T6022" s="16">
        <f t="shared" si="565"/>
        <v>-1.0753805220500199</v>
      </c>
    </row>
    <row r="6023" spans="7:20" ht="14.4" x14ac:dyDescent="0.25">
      <c r="G6023" s="10">
        <v>3480</v>
      </c>
      <c r="H6023" s="9">
        <v>24775</v>
      </c>
      <c r="I6023" s="14">
        <f>DATE(2012,12,31)-318</f>
        <v>40956</v>
      </c>
      <c r="J6023" s="15" t="s">
        <v>30</v>
      </c>
      <c r="K6023" s="9">
        <v>15</v>
      </c>
      <c r="L6023" s="16" t="s">
        <v>29</v>
      </c>
      <c r="M6023" s="16">
        <f t="shared" si="561"/>
        <v>-0.7300816389539122</v>
      </c>
      <c r="N6023">
        <f t="shared" si="562"/>
        <v>0</v>
      </c>
      <c r="O6023">
        <f t="shared" si="563"/>
        <v>0</v>
      </c>
      <c r="P6023">
        <f t="shared" si="560"/>
        <v>4150</v>
      </c>
      <c r="Q6023">
        <f t="shared" si="564"/>
        <v>4150</v>
      </c>
      <c r="T6023" s="16">
        <f t="shared" si="565"/>
        <v>-0.73008163895391265</v>
      </c>
    </row>
    <row r="6024" spans="7:20" ht="14.4" x14ac:dyDescent="0.25">
      <c r="G6024" s="10">
        <v>3481</v>
      </c>
      <c r="H6024" s="9">
        <v>24775</v>
      </c>
      <c r="I6024" s="14">
        <f>DATE(2012,12,31)-318</f>
        <v>40956</v>
      </c>
      <c r="J6024" s="15" t="s">
        <v>30</v>
      </c>
      <c r="K6024" s="9">
        <v>6</v>
      </c>
      <c r="L6024" s="16" t="s">
        <v>29</v>
      </c>
      <c r="M6024" s="16">
        <f t="shared" si="561"/>
        <v>-1.3516196285269051</v>
      </c>
      <c r="N6024">
        <f t="shared" si="562"/>
        <v>0</v>
      </c>
      <c r="O6024">
        <f t="shared" si="563"/>
        <v>0</v>
      </c>
      <c r="P6024">
        <f t="shared" si="560"/>
        <v>3700</v>
      </c>
      <c r="Q6024">
        <f t="shared" si="564"/>
        <v>3700</v>
      </c>
      <c r="T6024" s="16">
        <f t="shared" si="565"/>
        <v>-1.3516196285269055</v>
      </c>
    </row>
    <row r="6025" spans="7:20" ht="14.4" x14ac:dyDescent="0.25">
      <c r="G6025" s="10">
        <v>3529</v>
      </c>
      <c r="H6025" s="9">
        <v>25120</v>
      </c>
      <c r="I6025" s="14">
        <f>DATE(2012,12,31)-1426</f>
        <v>39848</v>
      </c>
      <c r="J6025" s="15" t="s">
        <v>16</v>
      </c>
      <c r="K6025" s="9">
        <v>46</v>
      </c>
      <c r="L6025" s="16" t="s">
        <v>26</v>
      </c>
      <c r="M6025" s="16">
        <f t="shared" si="561"/>
        <v>1.4107714362419523</v>
      </c>
      <c r="N6025">
        <f t="shared" si="562"/>
        <v>0</v>
      </c>
      <c r="O6025">
        <f t="shared" si="563"/>
        <v>0</v>
      </c>
      <c r="P6025">
        <f t="shared" si="560"/>
        <v>5700</v>
      </c>
      <c r="Q6025">
        <f t="shared" si="564"/>
        <v>5700</v>
      </c>
      <c r="T6025" s="16">
        <f t="shared" si="565"/>
        <v>1.4107714362419519</v>
      </c>
    </row>
    <row r="6026" spans="7:20" ht="14.4" x14ac:dyDescent="0.25">
      <c r="G6026" s="10">
        <v>3530</v>
      </c>
      <c r="H6026" s="9">
        <v>25120</v>
      </c>
      <c r="I6026" s="14">
        <f>DATE(2012,12,31)-1426</f>
        <v>39848</v>
      </c>
      <c r="J6026" s="15" t="s">
        <v>16</v>
      </c>
      <c r="K6026" s="9">
        <v>22</v>
      </c>
      <c r="L6026" s="16" t="s">
        <v>26</v>
      </c>
      <c r="M6026" s="16">
        <f t="shared" si="561"/>
        <v>-0.24666320261936217</v>
      </c>
      <c r="N6026">
        <f t="shared" si="562"/>
        <v>0</v>
      </c>
      <c r="O6026">
        <f t="shared" si="563"/>
        <v>0</v>
      </c>
      <c r="P6026">
        <f t="shared" si="560"/>
        <v>4500</v>
      </c>
      <c r="Q6026">
        <f t="shared" si="564"/>
        <v>4500</v>
      </c>
      <c r="T6026" s="16">
        <f t="shared" si="565"/>
        <v>-0.24666320261936256</v>
      </c>
    </row>
    <row r="6027" spans="7:20" ht="14.4" x14ac:dyDescent="0.25">
      <c r="G6027" s="10">
        <v>3531</v>
      </c>
      <c r="H6027" s="9">
        <v>25120</v>
      </c>
      <c r="I6027" s="14">
        <f>DATE(2012,12,31)-1426</f>
        <v>39848</v>
      </c>
      <c r="J6027" s="15" t="s">
        <v>16</v>
      </c>
      <c r="K6027" s="9">
        <v>10</v>
      </c>
      <c r="L6027" s="16" t="s">
        <v>26</v>
      </c>
      <c r="M6027" s="16">
        <f t="shared" si="561"/>
        <v>-1.0753805220500194</v>
      </c>
      <c r="N6027">
        <f t="shared" si="562"/>
        <v>0</v>
      </c>
      <c r="O6027">
        <f t="shared" si="563"/>
        <v>0</v>
      </c>
      <c r="P6027">
        <f t="shared" si="560"/>
        <v>3900</v>
      </c>
      <c r="Q6027">
        <f t="shared" si="564"/>
        <v>3900</v>
      </c>
      <c r="T6027" s="16">
        <f t="shared" si="565"/>
        <v>-1.0753805220500199</v>
      </c>
    </row>
    <row r="6028" spans="7:20" ht="14.4" x14ac:dyDescent="0.25">
      <c r="G6028" s="10">
        <v>3563</v>
      </c>
      <c r="H6028" s="9">
        <v>25440</v>
      </c>
      <c r="I6028" s="14">
        <f>DATE(2012,12,31)-1424</f>
        <v>39850</v>
      </c>
      <c r="J6028" s="15" t="s">
        <v>17</v>
      </c>
      <c r="K6028" s="9">
        <v>30</v>
      </c>
      <c r="L6028" s="16" t="s">
        <v>29</v>
      </c>
      <c r="M6028" s="16">
        <f t="shared" si="561"/>
        <v>0.30581501033440933</v>
      </c>
      <c r="N6028">
        <f t="shared" si="562"/>
        <v>0</v>
      </c>
      <c r="O6028">
        <f t="shared" si="563"/>
        <v>0</v>
      </c>
      <c r="P6028">
        <f t="shared" ref="P6028:P6091" si="566">50*K6028+$P$10</f>
        <v>4900</v>
      </c>
      <c r="Q6028">
        <f t="shared" si="564"/>
        <v>4900</v>
      </c>
      <c r="T6028" s="16">
        <f t="shared" si="565"/>
        <v>0.30581501033440894</v>
      </c>
    </row>
    <row r="6029" spans="7:20" ht="14.4" x14ac:dyDescent="0.25">
      <c r="G6029" s="10">
        <v>3608</v>
      </c>
      <c r="H6029" s="9">
        <v>25799</v>
      </c>
      <c r="I6029" s="14">
        <f>DATE(2012,12,31)-676</f>
        <v>40598</v>
      </c>
      <c r="J6029" s="15" t="s">
        <v>25</v>
      </c>
      <c r="K6029" s="9">
        <v>38</v>
      </c>
      <c r="L6029" s="16" t="s">
        <v>26</v>
      </c>
      <c r="M6029" s="16">
        <f t="shared" ref="M6029:M6092" si="567">(K6029-$K$4)/$K$7</f>
        <v>0.85829322328818081</v>
      </c>
      <c r="N6029">
        <f t="shared" ref="N6029:N6092" si="568">IF(MOD($B$20+G6029,1000)=0,1,0)</f>
        <v>0</v>
      </c>
      <c r="O6029">
        <f t="shared" ref="O6029:O6092" si="569">+ROUND(N6029*(IF(K6029&lt;$K$4,-4.5,10.5)*$P$5),-2)</f>
        <v>0</v>
      </c>
      <c r="P6029">
        <f t="shared" si="566"/>
        <v>5300</v>
      </c>
      <c r="Q6029">
        <f t="shared" ref="Q6029:Q6092" si="570">P6029+O6029</f>
        <v>5300</v>
      </c>
      <c r="T6029" s="16">
        <f t="shared" ref="T6029:T6092" si="571">(Q6029-$P$4)/$P$5</f>
        <v>0.85829322328818036</v>
      </c>
    </row>
    <row r="6030" spans="7:20" ht="14.4" x14ac:dyDescent="0.25">
      <c r="G6030" s="10">
        <v>3620</v>
      </c>
      <c r="H6030" s="9">
        <v>25831</v>
      </c>
      <c r="I6030" s="14">
        <f>DATE(2012,12,31)-1204</f>
        <v>40070</v>
      </c>
      <c r="J6030" s="15" t="s">
        <v>16</v>
      </c>
      <c r="K6030" s="9">
        <v>6</v>
      </c>
      <c r="L6030" s="16" t="s">
        <v>27</v>
      </c>
      <c r="M6030" s="16">
        <f t="shared" si="567"/>
        <v>-1.3516196285269051</v>
      </c>
      <c r="N6030">
        <f t="shared" si="568"/>
        <v>0</v>
      </c>
      <c r="O6030">
        <f t="shared" si="569"/>
        <v>0</v>
      </c>
      <c r="P6030">
        <f t="shared" si="566"/>
        <v>3700</v>
      </c>
      <c r="Q6030">
        <f t="shared" si="570"/>
        <v>3700</v>
      </c>
      <c r="T6030" s="16">
        <f t="shared" si="571"/>
        <v>-1.3516196285269055</v>
      </c>
    </row>
    <row r="6031" spans="7:20" ht="14.4" x14ac:dyDescent="0.25">
      <c r="G6031" s="10">
        <v>4000</v>
      </c>
      <c r="H6031" s="9">
        <v>28545</v>
      </c>
      <c r="I6031" s="14">
        <f>DATE(2012,12,31)-496</f>
        <v>40778</v>
      </c>
      <c r="J6031" s="15" t="s">
        <v>17</v>
      </c>
      <c r="K6031" s="9">
        <v>15</v>
      </c>
      <c r="L6031" s="16" t="s">
        <v>26</v>
      </c>
      <c r="M6031" s="16">
        <f t="shared" si="567"/>
        <v>-0.7300816389539122</v>
      </c>
      <c r="N6031">
        <f t="shared" si="568"/>
        <v>0</v>
      </c>
      <c r="O6031">
        <f t="shared" si="569"/>
        <v>0</v>
      </c>
      <c r="P6031">
        <f t="shared" si="566"/>
        <v>4150</v>
      </c>
      <c r="Q6031">
        <f t="shared" si="570"/>
        <v>4150</v>
      </c>
      <c r="T6031" s="16">
        <f t="shared" si="571"/>
        <v>-0.73008163895391265</v>
      </c>
    </row>
    <row r="6032" spans="7:20" ht="14.4" x14ac:dyDescent="0.25">
      <c r="G6032" s="10">
        <v>4060</v>
      </c>
      <c r="H6032" s="9">
        <v>28929</v>
      </c>
      <c r="I6032" s="14">
        <f>DATE(2012,12,31)-83</f>
        <v>41191</v>
      </c>
      <c r="J6032" s="15" t="s">
        <v>16</v>
      </c>
      <c r="K6032" s="9">
        <v>37</v>
      </c>
      <c r="L6032" s="16" t="s">
        <v>26</v>
      </c>
      <c r="M6032" s="16">
        <f t="shared" si="567"/>
        <v>0.78923344666895934</v>
      </c>
      <c r="N6032">
        <f t="shared" si="568"/>
        <v>0</v>
      </c>
      <c r="O6032">
        <f t="shared" si="569"/>
        <v>0</v>
      </c>
      <c r="P6032">
        <f t="shared" si="566"/>
        <v>5250</v>
      </c>
      <c r="Q6032">
        <f t="shared" si="570"/>
        <v>5250</v>
      </c>
      <c r="T6032" s="16">
        <f t="shared" si="571"/>
        <v>0.789233446668959</v>
      </c>
    </row>
    <row r="6033" spans="7:20" ht="14.4" x14ac:dyDescent="0.25">
      <c r="G6033" s="10">
        <v>4061</v>
      </c>
      <c r="H6033" s="9">
        <v>28929</v>
      </c>
      <c r="I6033" s="14">
        <f>DATE(2012,12,31)-83</f>
        <v>41191</v>
      </c>
      <c r="J6033" s="15" t="s">
        <v>16</v>
      </c>
      <c r="K6033" s="9">
        <v>46</v>
      </c>
      <c r="L6033" s="16" t="s">
        <v>26</v>
      </c>
      <c r="M6033" s="16">
        <f t="shared" si="567"/>
        <v>1.4107714362419523</v>
      </c>
      <c r="N6033">
        <f t="shared" si="568"/>
        <v>0</v>
      </c>
      <c r="O6033">
        <f t="shared" si="569"/>
        <v>0</v>
      </c>
      <c r="P6033">
        <f t="shared" si="566"/>
        <v>5700</v>
      </c>
      <c r="Q6033">
        <f t="shared" si="570"/>
        <v>5700</v>
      </c>
      <c r="T6033" s="16">
        <f t="shared" si="571"/>
        <v>1.4107714362419519</v>
      </c>
    </row>
    <row r="6034" spans="7:20" ht="14.4" x14ac:dyDescent="0.25">
      <c r="G6034" s="10">
        <v>4234</v>
      </c>
      <c r="H6034" s="9">
        <v>30083</v>
      </c>
      <c r="I6034" s="14">
        <f>DATE(2012,12,31)-1453</f>
        <v>39821</v>
      </c>
      <c r="J6034" s="15" t="s">
        <v>28</v>
      </c>
      <c r="K6034" s="9">
        <v>23</v>
      </c>
      <c r="L6034" s="16" t="s">
        <v>26</v>
      </c>
      <c r="M6034" s="16">
        <f t="shared" si="567"/>
        <v>-0.17760342600014073</v>
      </c>
      <c r="N6034">
        <f t="shared" si="568"/>
        <v>0</v>
      </c>
      <c r="O6034">
        <f t="shared" si="569"/>
        <v>0</v>
      </c>
      <c r="P6034">
        <f t="shared" si="566"/>
        <v>4550</v>
      </c>
      <c r="Q6034">
        <f t="shared" si="570"/>
        <v>4550</v>
      </c>
      <c r="T6034" s="16">
        <f t="shared" si="571"/>
        <v>-0.17760342600014112</v>
      </c>
    </row>
    <row r="6035" spans="7:20" ht="14.4" x14ac:dyDescent="0.25">
      <c r="G6035" s="10">
        <v>4331</v>
      </c>
      <c r="H6035" s="9">
        <v>30853</v>
      </c>
      <c r="I6035" s="14">
        <f>DATE(2012,12,31)-523</f>
        <v>40751</v>
      </c>
      <c r="J6035" s="15" t="s">
        <v>16</v>
      </c>
      <c r="K6035" s="9">
        <v>40</v>
      </c>
      <c r="L6035" s="16" t="s">
        <v>26</v>
      </c>
      <c r="M6035" s="16">
        <f t="shared" si="567"/>
        <v>0.99641277652662363</v>
      </c>
      <c r="N6035">
        <f t="shared" si="568"/>
        <v>0</v>
      </c>
      <c r="O6035">
        <f t="shared" si="569"/>
        <v>0</v>
      </c>
      <c r="P6035">
        <f t="shared" si="566"/>
        <v>5400</v>
      </c>
      <c r="Q6035">
        <f t="shared" si="570"/>
        <v>5400</v>
      </c>
      <c r="T6035" s="16">
        <f t="shared" si="571"/>
        <v>0.9964127765266233</v>
      </c>
    </row>
    <row r="6036" spans="7:20" ht="14.4" x14ac:dyDescent="0.25">
      <c r="G6036" s="10">
        <v>4345</v>
      </c>
      <c r="H6036" s="9">
        <v>30944</v>
      </c>
      <c r="I6036" s="14">
        <f>DATE(2012,12,31)-558</f>
        <v>40716</v>
      </c>
      <c r="J6036" s="15" t="s">
        <v>30</v>
      </c>
      <c r="K6036" s="9">
        <v>32</v>
      </c>
      <c r="L6036" s="16" t="s">
        <v>26</v>
      </c>
      <c r="M6036" s="16">
        <f t="shared" si="567"/>
        <v>0.44393456357285216</v>
      </c>
      <c r="N6036">
        <f t="shared" si="568"/>
        <v>0</v>
      </c>
      <c r="O6036">
        <f t="shared" si="569"/>
        <v>0</v>
      </c>
      <c r="P6036">
        <f t="shared" si="566"/>
        <v>5000</v>
      </c>
      <c r="Q6036">
        <f t="shared" si="570"/>
        <v>5000</v>
      </c>
      <c r="T6036" s="16">
        <f t="shared" si="571"/>
        <v>0.44393456357285183</v>
      </c>
    </row>
    <row r="6037" spans="7:20" ht="14.4" x14ac:dyDescent="0.25">
      <c r="G6037" s="10">
        <v>4686</v>
      </c>
      <c r="H6037" s="9">
        <v>33350</v>
      </c>
      <c r="I6037" s="14">
        <f>DATE(2012,12,31)-1259</f>
        <v>40015</v>
      </c>
      <c r="J6037" s="15" t="s">
        <v>28</v>
      </c>
      <c r="K6037" s="9">
        <v>1</v>
      </c>
      <c r="L6037" s="16" t="s">
        <v>26</v>
      </c>
      <c r="M6037" s="16">
        <f t="shared" si="567"/>
        <v>-1.6969185116230123</v>
      </c>
      <c r="N6037">
        <f t="shared" si="568"/>
        <v>0</v>
      </c>
      <c r="O6037">
        <f t="shared" si="569"/>
        <v>0</v>
      </c>
      <c r="P6037">
        <f t="shared" si="566"/>
        <v>3450</v>
      </c>
      <c r="Q6037">
        <f t="shared" si="570"/>
        <v>3450</v>
      </c>
      <c r="T6037" s="16">
        <f t="shared" si="571"/>
        <v>-1.6969185116230128</v>
      </c>
    </row>
    <row r="6038" spans="7:20" ht="14.4" x14ac:dyDescent="0.25">
      <c r="G6038" s="10">
        <v>4869</v>
      </c>
      <c r="H6038" s="9">
        <v>34660</v>
      </c>
      <c r="I6038" s="14">
        <f>DATE(2012,12,31)-485</f>
        <v>40789</v>
      </c>
      <c r="J6038" s="15" t="s">
        <v>28</v>
      </c>
      <c r="K6038" s="9">
        <v>4</v>
      </c>
      <c r="L6038" s="16" t="s">
        <v>26</v>
      </c>
      <c r="M6038" s="16">
        <f t="shared" si="567"/>
        <v>-1.489739181765348</v>
      </c>
      <c r="N6038">
        <f t="shared" si="568"/>
        <v>0</v>
      </c>
      <c r="O6038">
        <f t="shared" si="569"/>
        <v>0</v>
      </c>
      <c r="P6038">
        <f t="shared" si="566"/>
        <v>3600</v>
      </c>
      <c r="Q6038">
        <f t="shared" si="570"/>
        <v>3600</v>
      </c>
      <c r="T6038" s="16">
        <f t="shared" si="571"/>
        <v>-1.4897391817653485</v>
      </c>
    </row>
    <row r="6039" spans="7:20" ht="14.4" x14ac:dyDescent="0.25">
      <c r="G6039" s="10">
        <v>4870</v>
      </c>
      <c r="H6039" s="9">
        <v>34660</v>
      </c>
      <c r="I6039" s="14">
        <f>DATE(2012,12,31)-485</f>
        <v>40789</v>
      </c>
      <c r="J6039" s="15" t="s">
        <v>28</v>
      </c>
      <c r="K6039" s="9">
        <v>36</v>
      </c>
      <c r="L6039" s="16" t="s">
        <v>29</v>
      </c>
      <c r="M6039" s="16">
        <f t="shared" si="567"/>
        <v>0.72017367004973787</v>
      </c>
      <c r="N6039">
        <f t="shared" si="568"/>
        <v>0</v>
      </c>
      <c r="O6039">
        <f t="shared" si="569"/>
        <v>0</v>
      </c>
      <c r="P6039">
        <f t="shared" si="566"/>
        <v>5200</v>
      </c>
      <c r="Q6039">
        <f t="shared" si="570"/>
        <v>5200</v>
      </c>
      <c r="T6039" s="16">
        <f t="shared" si="571"/>
        <v>0.72017367004973754</v>
      </c>
    </row>
    <row r="6040" spans="7:20" ht="14.4" x14ac:dyDescent="0.25">
      <c r="G6040" s="10">
        <v>4977</v>
      </c>
      <c r="H6040" s="9">
        <v>35425</v>
      </c>
      <c r="I6040" s="14">
        <f>DATE(2012,12,31)-1009</f>
        <v>40265</v>
      </c>
      <c r="J6040" s="15" t="s">
        <v>28</v>
      </c>
      <c r="K6040" s="9">
        <v>25</v>
      </c>
      <c r="L6040" s="16" t="s">
        <v>26</v>
      </c>
      <c r="M6040" s="16">
        <f t="shared" si="567"/>
        <v>-3.9483872761697868E-2</v>
      </c>
      <c r="N6040">
        <f t="shared" si="568"/>
        <v>0</v>
      </c>
      <c r="O6040">
        <f t="shared" si="569"/>
        <v>0</v>
      </c>
      <c r="P6040">
        <f t="shared" si="566"/>
        <v>4650</v>
      </c>
      <c r="Q6040">
        <f t="shared" si="570"/>
        <v>4650</v>
      </c>
      <c r="T6040" s="16">
        <f t="shared" si="571"/>
        <v>-3.9483872761698249E-2</v>
      </c>
    </row>
    <row r="6041" spans="7:20" ht="14.4" x14ac:dyDescent="0.25">
      <c r="G6041" s="10">
        <v>4978</v>
      </c>
      <c r="H6041" s="9">
        <v>35425</v>
      </c>
      <c r="I6041" s="14">
        <f>DATE(2012,12,31)-1009</f>
        <v>40265</v>
      </c>
      <c r="J6041" s="15" t="s">
        <v>28</v>
      </c>
      <c r="K6041" s="9">
        <v>45</v>
      </c>
      <c r="L6041" s="16" t="s">
        <v>26</v>
      </c>
      <c r="M6041" s="16">
        <f t="shared" si="567"/>
        <v>1.3417116596227308</v>
      </c>
      <c r="N6041">
        <f t="shared" si="568"/>
        <v>0</v>
      </c>
      <c r="O6041">
        <f t="shared" si="569"/>
        <v>0</v>
      </c>
      <c r="P6041">
        <f t="shared" si="566"/>
        <v>5650</v>
      </c>
      <c r="Q6041">
        <f t="shared" si="570"/>
        <v>5650</v>
      </c>
      <c r="T6041" s="16">
        <f t="shared" si="571"/>
        <v>1.3417116596227305</v>
      </c>
    </row>
    <row r="6042" spans="7:20" ht="14.4" x14ac:dyDescent="0.25">
      <c r="G6042" s="10">
        <v>5251</v>
      </c>
      <c r="H6042" s="9">
        <v>37350</v>
      </c>
      <c r="I6042" s="14">
        <f>DATE(2012,12,31)-225</f>
        <v>41049</v>
      </c>
      <c r="J6042" s="15" t="s">
        <v>30</v>
      </c>
      <c r="K6042" s="9">
        <v>7</v>
      </c>
      <c r="L6042" s="16" t="s">
        <v>26</v>
      </c>
      <c r="M6042" s="16">
        <f t="shared" si="567"/>
        <v>-1.2825598519076837</v>
      </c>
      <c r="N6042">
        <f t="shared" si="568"/>
        <v>0</v>
      </c>
      <c r="O6042">
        <f t="shared" si="569"/>
        <v>0</v>
      </c>
      <c r="P6042">
        <f t="shared" si="566"/>
        <v>3750</v>
      </c>
      <c r="Q6042">
        <f t="shared" si="570"/>
        <v>3750</v>
      </c>
      <c r="T6042" s="16">
        <f t="shared" si="571"/>
        <v>-1.2825598519076842</v>
      </c>
    </row>
    <row r="6043" spans="7:20" ht="14.4" x14ac:dyDescent="0.25">
      <c r="G6043" s="10">
        <v>5307</v>
      </c>
      <c r="H6043" s="9">
        <v>37765</v>
      </c>
      <c r="I6043" s="14">
        <f>DATE(2012,12,31)-37</f>
        <v>41237</v>
      </c>
      <c r="J6043" s="15" t="s">
        <v>25</v>
      </c>
      <c r="K6043" s="9">
        <v>7</v>
      </c>
      <c r="L6043" s="16" t="s">
        <v>26</v>
      </c>
      <c r="M6043" s="16">
        <f t="shared" si="567"/>
        <v>-1.2825598519076837</v>
      </c>
      <c r="N6043">
        <f t="shared" si="568"/>
        <v>0</v>
      </c>
      <c r="O6043">
        <f t="shared" si="569"/>
        <v>0</v>
      </c>
      <c r="P6043">
        <f t="shared" si="566"/>
        <v>3750</v>
      </c>
      <c r="Q6043">
        <f t="shared" si="570"/>
        <v>3750</v>
      </c>
      <c r="T6043" s="16">
        <f t="shared" si="571"/>
        <v>-1.2825598519076842</v>
      </c>
    </row>
    <row r="6044" spans="7:20" ht="14.4" x14ac:dyDescent="0.25">
      <c r="G6044" s="10">
        <v>5308</v>
      </c>
      <c r="H6044" s="9">
        <v>37765</v>
      </c>
      <c r="I6044" s="14">
        <f>DATE(2012,12,31)-37</f>
        <v>41237</v>
      </c>
      <c r="J6044" s="15" t="s">
        <v>25</v>
      </c>
      <c r="K6044" s="9">
        <v>18</v>
      </c>
      <c r="L6044" s="16" t="s">
        <v>26</v>
      </c>
      <c r="M6044" s="16">
        <f t="shared" si="567"/>
        <v>-0.52290230909624791</v>
      </c>
      <c r="N6044">
        <f t="shared" si="568"/>
        <v>0</v>
      </c>
      <c r="O6044">
        <f t="shared" si="569"/>
        <v>0</v>
      </c>
      <c r="P6044">
        <f t="shared" si="566"/>
        <v>4300</v>
      </c>
      <c r="Q6044">
        <f t="shared" si="570"/>
        <v>4300</v>
      </c>
      <c r="T6044" s="16">
        <f t="shared" si="571"/>
        <v>-0.52290230909624835</v>
      </c>
    </row>
    <row r="6045" spans="7:20" ht="14.4" x14ac:dyDescent="0.25">
      <c r="G6045" s="10">
        <v>5309</v>
      </c>
      <c r="H6045" s="9">
        <v>37765</v>
      </c>
      <c r="I6045" s="14">
        <f>DATE(2012,12,31)-37</f>
        <v>41237</v>
      </c>
      <c r="J6045" s="15" t="s">
        <v>25</v>
      </c>
      <c r="K6045" s="9">
        <v>12</v>
      </c>
      <c r="L6045" s="16" t="s">
        <v>29</v>
      </c>
      <c r="M6045" s="16">
        <f t="shared" si="567"/>
        <v>-0.9372609688115765</v>
      </c>
      <c r="N6045">
        <f t="shared" si="568"/>
        <v>0</v>
      </c>
      <c r="O6045">
        <f t="shared" si="569"/>
        <v>0</v>
      </c>
      <c r="P6045">
        <f t="shared" si="566"/>
        <v>4000</v>
      </c>
      <c r="Q6045">
        <f t="shared" si="570"/>
        <v>4000</v>
      </c>
      <c r="T6045" s="16">
        <f t="shared" si="571"/>
        <v>-0.93726096881157694</v>
      </c>
    </row>
    <row r="6046" spans="7:20" ht="14.4" x14ac:dyDescent="0.25">
      <c r="G6046" s="10">
        <v>5354</v>
      </c>
      <c r="H6046" s="9">
        <v>38050</v>
      </c>
      <c r="I6046" s="14">
        <f>DATE(2012,12,31)-797</f>
        <v>40477</v>
      </c>
      <c r="J6046" s="15" t="s">
        <v>28</v>
      </c>
      <c r="K6046" s="9">
        <v>31</v>
      </c>
      <c r="L6046" s="16" t="s">
        <v>26</v>
      </c>
      <c r="M6046" s="16">
        <f t="shared" si="567"/>
        <v>0.37487478695363075</v>
      </c>
      <c r="N6046">
        <f t="shared" si="568"/>
        <v>0</v>
      </c>
      <c r="O6046">
        <f t="shared" si="569"/>
        <v>0</v>
      </c>
      <c r="P6046">
        <f t="shared" si="566"/>
        <v>4950</v>
      </c>
      <c r="Q6046">
        <f t="shared" si="570"/>
        <v>4950</v>
      </c>
      <c r="T6046" s="16">
        <f t="shared" si="571"/>
        <v>0.37487478695363036</v>
      </c>
    </row>
    <row r="6047" spans="7:20" ht="14.4" x14ac:dyDescent="0.25">
      <c r="G6047" s="10">
        <v>5355</v>
      </c>
      <c r="H6047" s="9">
        <v>38050</v>
      </c>
      <c r="I6047" s="14">
        <f>DATE(2012,12,31)-797</f>
        <v>40477</v>
      </c>
      <c r="J6047" s="15" t="s">
        <v>28</v>
      </c>
      <c r="K6047" s="9">
        <v>36</v>
      </c>
      <c r="L6047" s="16" t="s">
        <v>26</v>
      </c>
      <c r="M6047" s="16">
        <f t="shared" si="567"/>
        <v>0.72017367004973787</v>
      </c>
      <c r="N6047">
        <f t="shared" si="568"/>
        <v>0</v>
      </c>
      <c r="O6047">
        <f t="shared" si="569"/>
        <v>0</v>
      </c>
      <c r="P6047">
        <f t="shared" si="566"/>
        <v>5200</v>
      </c>
      <c r="Q6047">
        <f t="shared" si="570"/>
        <v>5200</v>
      </c>
      <c r="T6047" s="16">
        <f t="shared" si="571"/>
        <v>0.72017367004973754</v>
      </c>
    </row>
    <row r="6048" spans="7:20" ht="14.4" x14ac:dyDescent="0.25">
      <c r="G6048" s="10">
        <v>5356</v>
      </c>
      <c r="H6048" s="9">
        <v>38050</v>
      </c>
      <c r="I6048" s="14">
        <f>DATE(2012,12,31)-797</f>
        <v>40477</v>
      </c>
      <c r="J6048" s="15" t="s">
        <v>28</v>
      </c>
      <c r="K6048" s="9">
        <v>14</v>
      </c>
      <c r="L6048" s="16" t="s">
        <v>29</v>
      </c>
      <c r="M6048" s="16">
        <f t="shared" si="567"/>
        <v>-0.79914141557313367</v>
      </c>
      <c r="N6048">
        <f t="shared" si="568"/>
        <v>0</v>
      </c>
      <c r="O6048">
        <f t="shared" si="569"/>
        <v>0</v>
      </c>
      <c r="P6048">
        <f t="shared" si="566"/>
        <v>4100</v>
      </c>
      <c r="Q6048">
        <f t="shared" si="570"/>
        <v>4100</v>
      </c>
      <c r="T6048" s="16">
        <f t="shared" si="571"/>
        <v>-0.79914141557313401</v>
      </c>
    </row>
    <row r="6049" spans="7:20" ht="14.4" x14ac:dyDescent="0.25">
      <c r="G6049" s="10">
        <v>5507</v>
      </c>
      <c r="H6049" s="9">
        <v>39043</v>
      </c>
      <c r="I6049" s="14">
        <f>DATE(2012,12,31)-740</f>
        <v>40534</v>
      </c>
      <c r="J6049" s="15" t="s">
        <v>28</v>
      </c>
      <c r="K6049" s="9">
        <v>14</v>
      </c>
      <c r="L6049" s="16" t="s">
        <v>26</v>
      </c>
      <c r="M6049" s="16">
        <f t="shared" si="567"/>
        <v>-0.79914141557313367</v>
      </c>
      <c r="N6049">
        <f t="shared" si="568"/>
        <v>0</v>
      </c>
      <c r="O6049">
        <f t="shared" si="569"/>
        <v>0</v>
      </c>
      <c r="P6049">
        <f t="shared" si="566"/>
        <v>4100</v>
      </c>
      <c r="Q6049">
        <f t="shared" si="570"/>
        <v>4100</v>
      </c>
      <c r="T6049" s="16">
        <f t="shared" si="571"/>
        <v>-0.79914141557313401</v>
      </c>
    </row>
    <row r="6050" spans="7:20" ht="14.4" x14ac:dyDescent="0.25">
      <c r="G6050" s="10">
        <v>5508</v>
      </c>
      <c r="H6050" s="9">
        <v>39043</v>
      </c>
      <c r="I6050" s="14">
        <f>DATE(2012,12,31)-740</f>
        <v>40534</v>
      </c>
      <c r="J6050" s="15" t="s">
        <v>28</v>
      </c>
      <c r="K6050" s="9">
        <v>37</v>
      </c>
      <c r="L6050" s="16" t="s">
        <v>26</v>
      </c>
      <c r="M6050" s="16">
        <f t="shared" si="567"/>
        <v>0.78923344666895934</v>
      </c>
      <c r="N6050">
        <f t="shared" si="568"/>
        <v>0</v>
      </c>
      <c r="O6050">
        <f t="shared" si="569"/>
        <v>0</v>
      </c>
      <c r="P6050">
        <f t="shared" si="566"/>
        <v>5250</v>
      </c>
      <c r="Q6050">
        <f t="shared" si="570"/>
        <v>5250</v>
      </c>
      <c r="T6050" s="16">
        <f t="shared" si="571"/>
        <v>0.789233446668959</v>
      </c>
    </row>
    <row r="6051" spans="7:20" ht="14.4" x14ac:dyDescent="0.25">
      <c r="G6051" s="10">
        <v>5709</v>
      </c>
      <c r="H6051" s="9">
        <v>40388</v>
      </c>
      <c r="I6051" s="14">
        <f>DATE(2012,12,31)-160</f>
        <v>41114</v>
      </c>
      <c r="J6051" s="15" t="s">
        <v>30</v>
      </c>
      <c r="K6051" s="9">
        <v>17</v>
      </c>
      <c r="L6051" s="16" t="s">
        <v>26</v>
      </c>
      <c r="M6051" s="16">
        <f t="shared" si="567"/>
        <v>-0.59196208571546938</v>
      </c>
      <c r="N6051">
        <f t="shared" si="568"/>
        <v>0</v>
      </c>
      <c r="O6051">
        <f t="shared" si="569"/>
        <v>0</v>
      </c>
      <c r="P6051">
        <f t="shared" si="566"/>
        <v>4250</v>
      </c>
      <c r="Q6051">
        <f t="shared" si="570"/>
        <v>4250</v>
      </c>
      <c r="T6051" s="16">
        <f t="shared" si="571"/>
        <v>-0.59196208571546971</v>
      </c>
    </row>
    <row r="6052" spans="7:20" ht="14.4" x14ac:dyDescent="0.25">
      <c r="G6052" s="10">
        <v>5963</v>
      </c>
      <c r="H6052" s="9">
        <v>42309</v>
      </c>
      <c r="I6052" s="14">
        <f>DATE(2012,12,31)-1243</f>
        <v>40031</v>
      </c>
      <c r="J6052" s="15" t="s">
        <v>25</v>
      </c>
      <c r="K6052" s="9">
        <v>41</v>
      </c>
      <c r="L6052" s="16" t="s">
        <v>26</v>
      </c>
      <c r="M6052" s="16">
        <f t="shared" si="567"/>
        <v>1.0654725531458451</v>
      </c>
      <c r="N6052">
        <f t="shared" si="568"/>
        <v>0</v>
      </c>
      <c r="O6052">
        <f t="shared" si="569"/>
        <v>0</v>
      </c>
      <c r="P6052">
        <f t="shared" si="566"/>
        <v>5450</v>
      </c>
      <c r="Q6052">
        <f t="shared" si="570"/>
        <v>5450</v>
      </c>
      <c r="T6052" s="16">
        <f t="shared" si="571"/>
        <v>1.0654725531458447</v>
      </c>
    </row>
    <row r="6053" spans="7:20" ht="14.4" x14ac:dyDescent="0.25">
      <c r="G6053" s="10">
        <v>5964</v>
      </c>
      <c r="H6053" s="9">
        <v>42309</v>
      </c>
      <c r="I6053" s="14">
        <f>DATE(2012,12,31)-1243</f>
        <v>40031</v>
      </c>
      <c r="J6053" s="15" t="s">
        <v>25</v>
      </c>
      <c r="K6053" s="9">
        <v>26</v>
      </c>
      <c r="L6053" s="16" t="s">
        <v>26</v>
      </c>
      <c r="M6053" s="16">
        <f t="shared" si="567"/>
        <v>2.9575903857523567E-2</v>
      </c>
      <c r="N6053">
        <f t="shared" si="568"/>
        <v>0</v>
      </c>
      <c r="O6053">
        <f t="shared" si="569"/>
        <v>0</v>
      </c>
      <c r="P6053">
        <f t="shared" si="566"/>
        <v>4700</v>
      </c>
      <c r="Q6053">
        <f t="shared" si="570"/>
        <v>4700</v>
      </c>
      <c r="T6053" s="16">
        <f t="shared" si="571"/>
        <v>2.9575903857523185E-2</v>
      </c>
    </row>
    <row r="6054" spans="7:20" ht="14.4" x14ac:dyDescent="0.25">
      <c r="G6054" s="10">
        <v>5965</v>
      </c>
      <c r="H6054" s="9">
        <v>42309</v>
      </c>
      <c r="I6054" s="14">
        <f>DATE(2012,12,31)-1243</f>
        <v>40031</v>
      </c>
      <c r="J6054" s="15" t="s">
        <v>25</v>
      </c>
      <c r="K6054" s="9">
        <v>38</v>
      </c>
      <c r="L6054" s="16" t="s">
        <v>27</v>
      </c>
      <c r="M6054" s="16">
        <f t="shared" si="567"/>
        <v>0.85829322328818081</v>
      </c>
      <c r="N6054">
        <f t="shared" si="568"/>
        <v>0</v>
      </c>
      <c r="O6054">
        <f t="shared" si="569"/>
        <v>0</v>
      </c>
      <c r="P6054">
        <f t="shared" si="566"/>
        <v>5300</v>
      </c>
      <c r="Q6054">
        <f t="shared" si="570"/>
        <v>5300</v>
      </c>
      <c r="T6054" s="16">
        <f t="shared" si="571"/>
        <v>0.85829322328818036</v>
      </c>
    </row>
    <row r="6055" spans="7:20" ht="14.4" x14ac:dyDescent="0.25">
      <c r="G6055" s="10">
        <v>6033</v>
      </c>
      <c r="H6055" s="9">
        <v>42727</v>
      </c>
      <c r="I6055" s="14">
        <f>DATE(2012,12,31)-612</f>
        <v>40662</v>
      </c>
      <c r="J6055" s="15" t="s">
        <v>28</v>
      </c>
      <c r="K6055" s="9">
        <v>11</v>
      </c>
      <c r="L6055" s="16" t="s">
        <v>29</v>
      </c>
      <c r="M6055" s="16">
        <f t="shared" si="567"/>
        <v>-1.0063207454307979</v>
      </c>
      <c r="N6055">
        <f t="shared" si="568"/>
        <v>0</v>
      </c>
      <c r="O6055">
        <f t="shared" si="569"/>
        <v>0</v>
      </c>
      <c r="P6055">
        <f t="shared" si="566"/>
        <v>3950</v>
      </c>
      <c r="Q6055">
        <f t="shared" si="570"/>
        <v>3950</v>
      </c>
      <c r="T6055" s="16">
        <f t="shared" si="571"/>
        <v>-1.0063207454307983</v>
      </c>
    </row>
    <row r="6056" spans="7:20" ht="14.4" x14ac:dyDescent="0.25">
      <c r="G6056" s="10">
        <v>6034</v>
      </c>
      <c r="H6056" s="9">
        <v>42727</v>
      </c>
      <c r="I6056" s="14">
        <f>DATE(2012,12,31)-612</f>
        <v>40662</v>
      </c>
      <c r="J6056" s="15" t="s">
        <v>28</v>
      </c>
      <c r="K6056" s="9">
        <v>21</v>
      </c>
      <c r="L6056" s="16" t="s">
        <v>26</v>
      </c>
      <c r="M6056" s="16">
        <f t="shared" si="567"/>
        <v>-0.31572297923858361</v>
      </c>
      <c r="N6056">
        <f t="shared" si="568"/>
        <v>0</v>
      </c>
      <c r="O6056">
        <f t="shared" si="569"/>
        <v>0</v>
      </c>
      <c r="P6056">
        <f t="shared" si="566"/>
        <v>4450</v>
      </c>
      <c r="Q6056">
        <f t="shared" si="570"/>
        <v>4450</v>
      </c>
      <c r="T6056" s="16">
        <f t="shared" si="571"/>
        <v>-0.315722979238584</v>
      </c>
    </row>
    <row r="6057" spans="7:20" ht="14.4" x14ac:dyDescent="0.25">
      <c r="G6057" s="10">
        <v>6124</v>
      </c>
      <c r="H6057" s="9">
        <v>43363</v>
      </c>
      <c r="I6057" s="14">
        <f>DATE(2012,12,31)-483</f>
        <v>40791</v>
      </c>
      <c r="J6057" s="15" t="s">
        <v>30</v>
      </c>
      <c r="K6057" s="9">
        <v>35</v>
      </c>
      <c r="L6057" s="16" t="s">
        <v>29</v>
      </c>
      <c r="M6057" s="16">
        <f t="shared" si="567"/>
        <v>0.65111389343051651</v>
      </c>
      <c r="N6057">
        <f t="shared" si="568"/>
        <v>0</v>
      </c>
      <c r="O6057">
        <f t="shared" si="569"/>
        <v>0</v>
      </c>
      <c r="P6057">
        <f t="shared" si="566"/>
        <v>5150</v>
      </c>
      <c r="Q6057">
        <f t="shared" si="570"/>
        <v>5150</v>
      </c>
      <c r="T6057" s="16">
        <f t="shared" si="571"/>
        <v>0.65111389343051607</v>
      </c>
    </row>
    <row r="6058" spans="7:20" ht="14.4" x14ac:dyDescent="0.25">
      <c r="G6058" s="10">
        <v>6153</v>
      </c>
      <c r="H6058" s="9">
        <v>43556</v>
      </c>
      <c r="I6058" s="14">
        <f>DATE(2012,12,31)-162</f>
        <v>41112</v>
      </c>
      <c r="J6058" s="15" t="s">
        <v>25</v>
      </c>
      <c r="K6058" s="9">
        <v>31</v>
      </c>
      <c r="L6058" s="16" t="s">
        <v>26</v>
      </c>
      <c r="M6058" s="16">
        <f t="shared" si="567"/>
        <v>0.37487478695363075</v>
      </c>
      <c r="N6058">
        <f t="shared" si="568"/>
        <v>0</v>
      </c>
      <c r="O6058">
        <f t="shared" si="569"/>
        <v>0</v>
      </c>
      <c r="P6058">
        <f t="shared" si="566"/>
        <v>4950</v>
      </c>
      <c r="Q6058">
        <f t="shared" si="570"/>
        <v>4950</v>
      </c>
      <c r="T6058" s="16">
        <f t="shared" si="571"/>
        <v>0.37487478695363036</v>
      </c>
    </row>
    <row r="6059" spans="7:20" ht="14.4" x14ac:dyDescent="0.25">
      <c r="G6059" s="10">
        <v>6364</v>
      </c>
      <c r="H6059" s="9">
        <v>45156</v>
      </c>
      <c r="I6059" s="14">
        <f>DATE(2012,12,31)-688</f>
        <v>40586</v>
      </c>
      <c r="J6059" s="15" t="s">
        <v>25</v>
      </c>
      <c r="K6059" s="9">
        <v>30</v>
      </c>
      <c r="L6059" s="16" t="s">
        <v>26</v>
      </c>
      <c r="M6059" s="16">
        <f t="shared" si="567"/>
        <v>0.30581501033440933</v>
      </c>
      <c r="N6059">
        <f t="shared" si="568"/>
        <v>0</v>
      </c>
      <c r="O6059">
        <f t="shared" si="569"/>
        <v>0</v>
      </c>
      <c r="P6059">
        <f t="shared" si="566"/>
        <v>4900</v>
      </c>
      <c r="Q6059">
        <f t="shared" si="570"/>
        <v>4900</v>
      </c>
      <c r="T6059" s="16">
        <f t="shared" si="571"/>
        <v>0.30581501033440894</v>
      </c>
    </row>
    <row r="6060" spans="7:20" ht="14.4" x14ac:dyDescent="0.25">
      <c r="G6060" s="10">
        <v>6365</v>
      </c>
      <c r="H6060" s="9">
        <v>45156</v>
      </c>
      <c r="I6060" s="14">
        <f>DATE(2012,12,31)-688</f>
        <v>40586</v>
      </c>
      <c r="J6060" s="15" t="s">
        <v>25</v>
      </c>
      <c r="K6060" s="9">
        <v>35</v>
      </c>
      <c r="L6060" s="16" t="s">
        <v>26</v>
      </c>
      <c r="M6060" s="16">
        <f t="shared" si="567"/>
        <v>0.65111389343051651</v>
      </c>
      <c r="N6060">
        <f t="shared" si="568"/>
        <v>0</v>
      </c>
      <c r="O6060">
        <f t="shared" si="569"/>
        <v>0</v>
      </c>
      <c r="P6060">
        <f t="shared" si="566"/>
        <v>5150</v>
      </c>
      <c r="Q6060">
        <f t="shared" si="570"/>
        <v>5150</v>
      </c>
      <c r="T6060" s="16">
        <f t="shared" si="571"/>
        <v>0.65111389343051607</v>
      </c>
    </row>
    <row r="6061" spans="7:20" ht="14.4" x14ac:dyDescent="0.25">
      <c r="G6061" s="10">
        <v>6366</v>
      </c>
      <c r="H6061" s="9">
        <v>45156</v>
      </c>
      <c r="I6061" s="14">
        <f>DATE(2012,12,31)-688</f>
        <v>40586</v>
      </c>
      <c r="J6061" s="15" t="s">
        <v>25</v>
      </c>
      <c r="K6061" s="9">
        <v>14</v>
      </c>
      <c r="L6061" s="16" t="s">
        <v>26</v>
      </c>
      <c r="M6061" s="16">
        <f t="shared" si="567"/>
        <v>-0.79914141557313367</v>
      </c>
      <c r="N6061">
        <f t="shared" si="568"/>
        <v>0</v>
      </c>
      <c r="O6061">
        <f t="shared" si="569"/>
        <v>0</v>
      </c>
      <c r="P6061">
        <f t="shared" si="566"/>
        <v>4100</v>
      </c>
      <c r="Q6061">
        <f t="shared" si="570"/>
        <v>4100</v>
      </c>
      <c r="T6061" s="16">
        <f t="shared" si="571"/>
        <v>-0.79914141557313401</v>
      </c>
    </row>
    <row r="6062" spans="7:20" ht="14.4" x14ac:dyDescent="0.25">
      <c r="G6062" s="10">
        <v>6396</v>
      </c>
      <c r="H6062" s="9">
        <v>45410</v>
      </c>
      <c r="I6062" s="14">
        <f>DATE(2012,12,31)-1230</f>
        <v>40044</v>
      </c>
      <c r="J6062" s="15" t="s">
        <v>25</v>
      </c>
      <c r="K6062" s="9">
        <v>19</v>
      </c>
      <c r="L6062" s="16" t="s">
        <v>26</v>
      </c>
      <c r="M6062" s="16">
        <f t="shared" si="567"/>
        <v>-0.45384253247702649</v>
      </c>
      <c r="N6062">
        <f t="shared" si="568"/>
        <v>0</v>
      </c>
      <c r="O6062">
        <f t="shared" si="569"/>
        <v>0</v>
      </c>
      <c r="P6062">
        <f t="shared" si="566"/>
        <v>4350</v>
      </c>
      <c r="Q6062">
        <f t="shared" si="570"/>
        <v>4350</v>
      </c>
      <c r="T6062" s="16">
        <f t="shared" si="571"/>
        <v>-0.45384253247702688</v>
      </c>
    </row>
    <row r="6063" spans="7:20" ht="14.4" x14ac:dyDescent="0.25">
      <c r="G6063" s="10">
        <v>6609</v>
      </c>
      <c r="H6063" s="9">
        <v>47014</v>
      </c>
      <c r="I6063" s="14">
        <f>DATE(2012,12,31)-232</f>
        <v>41042</v>
      </c>
      <c r="J6063" s="15" t="s">
        <v>30</v>
      </c>
      <c r="K6063" s="9">
        <v>33</v>
      </c>
      <c r="L6063" s="16" t="s">
        <v>29</v>
      </c>
      <c r="M6063" s="16">
        <f t="shared" si="567"/>
        <v>0.51299434019207357</v>
      </c>
      <c r="N6063">
        <f t="shared" si="568"/>
        <v>0</v>
      </c>
      <c r="O6063">
        <f t="shared" si="569"/>
        <v>0</v>
      </c>
      <c r="P6063">
        <f t="shared" si="566"/>
        <v>5050</v>
      </c>
      <c r="Q6063">
        <f t="shared" si="570"/>
        <v>5050</v>
      </c>
      <c r="T6063" s="16">
        <f t="shared" si="571"/>
        <v>0.51299434019207324</v>
      </c>
    </row>
    <row r="6064" spans="7:20" ht="14.4" x14ac:dyDescent="0.25">
      <c r="G6064" s="10">
        <v>6733</v>
      </c>
      <c r="H6064" s="9">
        <v>47942</v>
      </c>
      <c r="I6064" s="14">
        <f>DATE(2012,12,31)-1038</f>
        <v>40236</v>
      </c>
      <c r="J6064" s="15" t="s">
        <v>16</v>
      </c>
      <c r="K6064" s="9">
        <v>30</v>
      </c>
      <c r="L6064" s="16" t="s">
        <v>27</v>
      </c>
      <c r="M6064" s="16">
        <f t="shared" si="567"/>
        <v>0.30581501033440933</v>
      </c>
      <c r="N6064">
        <f t="shared" si="568"/>
        <v>0</v>
      </c>
      <c r="O6064">
        <f t="shared" si="569"/>
        <v>0</v>
      </c>
      <c r="P6064">
        <f t="shared" si="566"/>
        <v>4900</v>
      </c>
      <c r="Q6064">
        <f t="shared" si="570"/>
        <v>4900</v>
      </c>
      <c r="T6064" s="16">
        <f t="shared" si="571"/>
        <v>0.30581501033440894</v>
      </c>
    </row>
    <row r="6065" spans="7:20" ht="14.4" x14ac:dyDescent="0.25">
      <c r="G6065" s="10">
        <v>6734</v>
      </c>
      <c r="H6065" s="9">
        <v>47942</v>
      </c>
      <c r="I6065" s="14">
        <f>DATE(2012,12,31)-1038</f>
        <v>40236</v>
      </c>
      <c r="J6065" s="15" t="s">
        <v>16</v>
      </c>
      <c r="K6065" s="9">
        <v>3</v>
      </c>
      <c r="L6065" s="16" t="s">
        <v>26</v>
      </c>
      <c r="M6065" s="16">
        <f t="shared" si="567"/>
        <v>-1.5587989583845694</v>
      </c>
      <c r="N6065">
        <f t="shared" si="568"/>
        <v>0</v>
      </c>
      <c r="O6065">
        <f t="shared" si="569"/>
        <v>0</v>
      </c>
      <c r="P6065">
        <f t="shared" si="566"/>
        <v>3550</v>
      </c>
      <c r="Q6065">
        <f t="shared" si="570"/>
        <v>3550</v>
      </c>
      <c r="T6065" s="16">
        <f t="shared" si="571"/>
        <v>-1.5587989583845698</v>
      </c>
    </row>
    <row r="6066" spans="7:20" ht="14.4" x14ac:dyDescent="0.25">
      <c r="G6066" s="10">
        <v>6735</v>
      </c>
      <c r="H6066" s="9">
        <v>47942</v>
      </c>
      <c r="I6066" s="14">
        <f>DATE(2012,12,31)-1038</f>
        <v>40236</v>
      </c>
      <c r="J6066" s="15" t="s">
        <v>16</v>
      </c>
      <c r="K6066" s="9">
        <v>9</v>
      </c>
      <c r="L6066" s="16" t="s">
        <v>27</v>
      </c>
      <c r="M6066" s="16">
        <f t="shared" si="567"/>
        <v>-1.1444402986692408</v>
      </c>
      <c r="N6066">
        <f t="shared" si="568"/>
        <v>0</v>
      </c>
      <c r="O6066">
        <f t="shared" si="569"/>
        <v>0</v>
      </c>
      <c r="P6066">
        <f t="shared" si="566"/>
        <v>3850</v>
      </c>
      <c r="Q6066">
        <f t="shared" si="570"/>
        <v>3850</v>
      </c>
      <c r="T6066" s="16">
        <f t="shared" si="571"/>
        <v>-1.1444402986692412</v>
      </c>
    </row>
    <row r="6067" spans="7:20" ht="14.4" x14ac:dyDescent="0.25">
      <c r="G6067" s="10">
        <v>6755</v>
      </c>
      <c r="H6067" s="9">
        <v>48128</v>
      </c>
      <c r="I6067" s="14">
        <f>DATE(2012,12,31)-264</f>
        <v>41010</v>
      </c>
      <c r="J6067" s="15" t="s">
        <v>16</v>
      </c>
      <c r="K6067" s="9">
        <v>5</v>
      </c>
      <c r="L6067" s="16" t="s">
        <v>27</v>
      </c>
      <c r="M6067" s="16">
        <f t="shared" si="567"/>
        <v>-1.4206794051461267</v>
      </c>
      <c r="N6067">
        <f t="shared" si="568"/>
        <v>0</v>
      </c>
      <c r="O6067">
        <f t="shared" si="569"/>
        <v>0</v>
      </c>
      <c r="P6067">
        <f t="shared" si="566"/>
        <v>3650</v>
      </c>
      <c r="Q6067">
        <f t="shared" si="570"/>
        <v>3650</v>
      </c>
      <c r="T6067" s="16">
        <f t="shared" si="571"/>
        <v>-1.4206794051461269</v>
      </c>
    </row>
    <row r="6068" spans="7:20" ht="14.4" x14ac:dyDescent="0.25">
      <c r="G6068" s="10">
        <v>6838</v>
      </c>
      <c r="H6068" s="9">
        <v>48704</v>
      </c>
      <c r="I6068" s="14">
        <f>DATE(2012,12,31)-357</f>
        <v>40917</v>
      </c>
      <c r="J6068" s="15" t="s">
        <v>17</v>
      </c>
      <c r="K6068" s="9">
        <v>11</v>
      </c>
      <c r="L6068" s="16" t="s">
        <v>27</v>
      </c>
      <c r="M6068" s="16">
        <f t="shared" si="567"/>
        <v>-1.0063207454307979</v>
      </c>
      <c r="N6068">
        <f t="shared" si="568"/>
        <v>0</v>
      </c>
      <c r="O6068">
        <f t="shared" si="569"/>
        <v>0</v>
      </c>
      <c r="P6068">
        <f t="shared" si="566"/>
        <v>3950</v>
      </c>
      <c r="Q6068">
        <f t="shared" si="570"/>
        <v>3950</v>
      </c>
      <c r="T6068" s="16">
        <f t="shared" si="571"/>
        <v>-1.0063207454307983</v>
      </c>
    </row>
    <row r="6069" spans="7:20" ht="14.4" x14ac:dyDescent="0.25">
      <c r="G6069" s="10">
        <v>6895</v>
      </c>
      <c r="H6069" s="9">
        <v>49155</v>
      </c>
      <c r="I6069" s="14">
        <f>DATE(2012,12,31)-835</f>
        <v>40439</v>
      </c>
      <c r="J6069" s="15" t="s">
        <v>25</v>
      </c>
      <c r="K6069" s="9">
        <v>22</v>
      </c>
      <c r="L6069" s="16" t="s">
        <v>27</v>
      </c>
      <c r="M6069" s="16">
        <f t="shared" si="567"/>
        <v>-0.24666320261936217</v>
      </c>
      <c r="N6069">
        <f t="shared" si="568"/>
        <v>0</v>
      </c>
      <c r="O6069">
        <f t="shared" si="569"/>
        <v>0</v>
      </c>
      <c r="P6069">
        <f t="shared" si="566"/>
        <v>4500</v>
      </c>
      <c r="Q6069">
        <f t="shared" si="570"/>
        <v>4500</v>
      </c>
      <c r="T6069" s="16">
        <f t="shared" si="571"/>
        <v>-0.24666320261936256</v>
      </c>
    </row>
    <row r="6070" spans="7:20" ht="14.4" x14ac:dyDescent="0.25">
      <c r="G6070" s="10">
        <v>6935</v>
      </c>
      <c r="H6070" s="9">
        <v>49504</v>
      </c>
      <c r="I6070" s="14">
        <f>DATE(2012,12,31)-1141</f>
        <v>40133</v>
      </c>
      <c r="J6070" s="15" t="s">
        <v>28</v>
      </c>
      <c r="K6070" s="9">
        <v>45</v>
      </c>
      <c r="L6070" s="16" t="s">
        <v>27</v>
      </c>
      <c r="M6070" s="16">
        <f t="shared" si="567"/>
        <v>1.3417116596227308</v>
      </c>
      <c r="N6070">
        <f t="shared" si="568"/>
        <v>0</v>
      </c>
      <c r="O6070">
        <f t="shared" si="569"/>
        <v>0</v>
      </c>
      <c r="P6070">
        <f t="shared" si="566"/>
        <v>5650</v>
      </c>
      <c r="Q6070">
        <f t="shared" si="570"/>
        <v>5650</v>
      </c>
      <c r="T6070" s="16">
        <f t="shared" si="571"/>
        <v>1.3417116596227305</v>
      </c>
    </row>
    <row r="6071" spans="7:20" ht="14.4" x14ac:dyDescent="0.25">
      <c r="G6071" s="10">
        <v>7006</v>
      </c>
      <c r="H6071" s="9">
        <v>50016</v>
      </c>
      <c r="I6071" s="14">
        <f>DATE(2012,12,31)-1366</f>
        <v>39908</v>
      </c>
      <c r="J6071" s="15" t="s">
        <v>17</v>
      </c>
      <c r="K6071" s="9">
        <v>15</v>
      </c>
      <c r="L6071" s="16" t="s">
        <v>27</v>
      </c>
      <c r="M6071" s="16">
        <f t="shared" si="567"/>
        <v>-0.7300816389539122</v>
      </c>
      <c r="N6071">
        <f t="shared" si="568"/>
        <v>0</v>
      </c>
      <c r="O6071">
        <f t="shared" si="569"/>
        <v>0</v>
      </c>
      <c r="P6071">
        <f t="shared" si="566"/>
        <v>4150</v>
      </c>
      <c r="Q6071">
        <f t="shared" si="570"/>
        <v>4150</v>
      </c>
      <c r="T6071" s="16">
        <f t="shared" si="571"/>
        <v>-0.73008163895391265</v>
      </c>
    </row>
    <row r="6072" spans="7:20" ht="14.4" x14ac:dyDescent="0.25">
      <c r="G6072" s="10">
        <v>7024</v>
      </c>
      <c r="H6072" s="9">
        <v>50145</v>
      </c>
      <c r="I6072" s="14">
        <f>DATE(2012,12,31)-674</f>
        <v>40600</v>
      </c>
      <c r="J6072" s="15" t="s">
        <v>17</v>
      </c>
      <c r="K6072" s="9">
        <v>18</v>
      </c>
      <c r="L6072" s="16" t="s">
        <v>29</v>
      </c>
      <c r="M6072" s="16">
        <f t="shared" si="567"/>
        <v>-0.52290230909624791</v>
      </c>
      <c r="N6072">
        <f t="shared" si="568"/>
        <v>0</v>
      </c>
      <c r="O6072">
        <f t="shared" si="569"/>
        <v>0</v>
      </c>
      <c r="P6072">
        <f t="shared" si="566"/>
        <v>4300</v>
      </c>
      <c r="Q6072">
        <f t="shared" si="570"/>
        <v>4300</v>
      </c>
      <c r="T6072" s="16">
        <f t="shared" si="571"/>
        <v>-0.52290230909624835</v>
      </c>
    </row>
    <row r="6073" spans="7:20" ht="14.4" x14ac:dyDescent="0.25">
      <c r="G6073" s="10">
        <v>7025</v>
      </c>
      <c r="H6073" s="9">
        <v>50145</v>
      </c>
      <c r="I6073" s="14">
        <f>DATE(2012,12,31)-674</f>
        <v>40600</v>
      </c>
      <c r="J6073" s="15" t="s">
        <v>17</v>
      </c>
      <c r="K6073" s="9">
        <v>9</v>
      </c>
      <c r="L6073" s="16" t="s">
        <v>29</v>
      </c>
      <c r="M6073" s="16">
        <f t="shared" si="567"/>
        <v>-1.1444402986692408</v>
      </c>
      <c r="N6073">
        <f t="shared" si="568"/>
        <v>0</v>
      </c>
      <c r="O6073">
        <f t="shared" si="569"/>
        <v>0</v>
      </c>
      <c r="P6073">
        <f t="shared" si="566"/>
        <v>3850</v>
      </c>
      <c r="Q6073">
        <f t="shared" si="570"/>
        <v>3850</v>
      </c>
      <c r="T6073" s="16">
        <f t="shared" si="571"/>
        <v>-1.1444402986692412</v>
      </c>
    </row>
    <row r="6074" spans="7:20" ht="14.4" x14ac:dyDescent="0.25">
      <c r="G6074" s="10">
        <v>7080</v>
      </c>
      <c r="H6074" s="9">
        <v>50532</v>
      </c>
      <c r="I6074" s="14">
        <f>DATE(2012,12,31)-139</f>
        <v>41135</v>
      </c>
      <c r="J6074" s="15" t="s">
        <v>16</v>
      </c>
      <c r="K6074" s="9">
        <v>10</v>
      </c>
      <c r="L6074" s="16" t="s">
        <v>26</v>
      </c>
      <c r="M6074" s="16">
        <f t="shared" si="567"/>
        <v>-1.0753805220500194</v>
      </c>
      <c r="N6074">
        <f t="shared" si="568"/>
        <v>0</v>
      </c>
      <c r="O6074">
        <f t="shared" si="569"/>
        <v>0</v>
      </c>
      <c r="P6074">
        <f t="shared" si="566"/>
        <v>3900</v>
      </c>
      <c r="Q6074">
        <f t="shared" si="570"/>
        <v>3900</v>
      </c>
      <c r="T6074" s="16">
        <f t="shared" si="571"/>
        <v>-1.0753805220500199</v>
      </c>
    </row>
    <row r="6075" spans="7:20" ht="14.4" x14ac:dyDescent="0.25">
      <c r="G6075" s="10">
        <v>7081</v>
      </c>
      <c r="H6075" s="9">
        <v>50532</v>
      </c>
      <c r="I6075" s="14">
        <f>DATE(2012,12,31)-139</f>
        <v>41135</v>
      </c>
      <c r="J6075" s="15" t="s">
        <v>16</v>
      </c>
      <c r="K6075" s="9">
        <v>22</v>
      </c>
      <c r="L6075" s="16" t="s">
        <v>26</v>
      </c>
      <c r="M6075" s="16">
        <f t="shared" si="567"/>
        <v>-0.24666320261936217</v>
      </c>
      <c r="N6075">
        <f t="shared" si="568"/>
        <v>0</v>
      </c>
      <c r="O6075">
        <f t="shared" si="569"/>
        <v>0</v>
      </c>
      <c r="P6075">
        <f t="shared" si="566"/>
        <v>4500</v>
      </c>
      <c r="Q6075">
        <f t="shared" si="570"/>
        <v>4500</v>
      </c>
      <c r="T6075" s="16">
        <f t="shared" si="571"/>
        <v>-0.24666320261936256</v>
      </c>
    </row>
    <row r="6076" spans="7:20" ht="14.4" x14ac:dyDescent="0.25">
      <c r="G6076" s="10">
        <v>7182</v>
      </c>
      <c r="H6076" s="9">
        <v>51266</v>
      </c>
      <c r="I6076" s="14">
        <f>DATE(2012,12,31)-1377</f>
        <v>39897</v>
      </c>
      <c r="J6076" s="15" t="s">
        <v>28</v>
      </c>
      <c r="K6076" s="9">
        <v>11</v>
      </c>
      <c r="L6076" s="16" t="s">
        <v>27</v>
      </c>
      <c r="M6076" s="16">
        <f t="shared" si="567"/>
        <v>-1.0063207454307979</v>
      </c>
      <c r="N6076">
        <f t="shared" si="568"/>
        <v>0</v>
      </c>
      <c r="O6076">
        <f t="shared" si="569"/>
        <v>0</v>
      </c>
      <c r="P6076">
        <f t="shared" si="566"/>
        <v>3950</v>
      </c>
      <c r="Q6076">
        <f t="shared" si="570"/>
        <v>3950</v>
      </c>
      <c r="T6076" s="16">
        <f t="shared" si="571"/>
        <v>-1.0063207454307983</v>
      </c>
    </row>
    <row r="6077" spans="7:20" ht="14.4" x14ac:dyDescent="0.25">
      <c r="G6077" s="10">
        <v>7183</v>
      </c>
      <c r="H6077" s="9">
        <v>51266</v>
      </c>
      <c r="I6077" s="14">
        <f>DATE(2012,12,31)-1377</f>
        <v>39897</v>
      </c>
      <c r="J6077" s="15" t="s">
        <v>28</v>
      </c>
      <c r="K6077" s="9">
        <v>30</v>
      </c>
      <c r="L6077" s="16" t="s">
        <v>26</v>
      </c>
      <c r="M6077" s="16">
        <f t="shared" si="567"/>
        <v>0.30581501033440933</v>
      </c>
      <c r="N6077">
        <f t="shared" si="568"/>
        <v>0</v>
      </c>
      <c r="O6077">
        <f t="shared" si="569"/>
        <v>0</v>
      </c>
      <c r="P6077">
        <f t="shared" si="566"/>
        <v>4900</v>
      </c>
      <c r="Q6077">
        <f t="shared" si="570"/>
        <v>4900</v>
      </c>
      <c r="T6077" s="16">
        <f t="shared" si="571"/>
        <v>0.30581501033440894</v>
      </c>
    </row>
    <row r="6078" spans="7:20" ht="14.4" x14ac:dyDescent="0.25">
      <c r="G6078" s="10">
        <v>7184</v>
      </c>
      <c r="H6078" s="9">
        <v>51266</v>
      </c>
      <c r="I6078" s="14">
        <f>DATE(2012,12,31)-1377</f>
        <v>39897</v>
      </c>
      <c r="J6078" s="15" t="s">
        <v>28</v>
      </c>
      <c r="K6078" s="9">
        <v>23</v>
      </c>
      <c r="L6078" s="16" t="s">
        <v>26</v>
      </c>
      <c r="M6078" s="16">
        <f t="shared" si="567"/>
        <v>-0.17760342600014073</v>
      </c>
      <c r="N6078">
        <f t="shared" si="568"/>
        <v>0</v>
      </c>
      <c r="O6078">
        <f t="shared" si="569"/>
        <v>0</v>
      </c>
      <c r="P6078">
        <f t="shared" si="566"/>
        <v>4550</v>
      </c>
      <c r="Q6078">
        <f t="shared" si="570"/>
        <v>4550</v>
      </c>
      <c r="T6078" s="16">
        <f t="shared" si="571"/>
        <v>-0.17760342600014112</v>
      </c>
    </row>
    <row r="6079" spans="7:20" ht="14.4" x14ac:dyDescent="0.25">
      <c r="G6079" s="10">
        <v>7185</v>
      </c>
      <c r="H6079" s="9">
        <v>51266</v>
      </c>
      <c r="I6079" s="14">
        <f>DATE(2012,12,31)-1377</f>
        <v>39897</v>
      </c>
      <c r="J6079" s="15" t="s">
        <v>28</v>
      </c>
      <c r="K6079" s="9">
        <v>46</v>
      </c>
      <c r="L6079" s="16" t="s">
        <v>26</v>
      </c>
      <c r="M6079" s="16">
        <f t="shared" si="567"/>
        <v>1.4107714362419523</v>
      </c>
      <c r="N6079">
        <f t="shared" si="568"/>
        <v>0</v>
      </c>
      <c r="O6079">
        <f t="shared" si="569"/>
        <v>0</v>
      </c>
      <c r="P6079">
        <f t="shared" si="566"/>
        <v>5700</v>
      </c>
      <c r="Q6079">
        <f t="shared" si="570"/>
        <v>5700</v>
      </c>
      <c r="T6079" s="16">
        <f t="shared" si="571"/>
        <v>1.4107714362419519</v>
      </c>
    </row>
    <row r="6080" spans="7:20" ht="14.4" x14ac:dyDescent="0.25">
      <c r="G6080" s="10">
        <v>7208</v>
      </c>
      <c r="H6080" s="9">
        <v>51426</v>
      </c>
      <c r="I6080" s="14">
        <f>DATE(2012,12,31)-761</f>
        <v>40513</v>
      </c>
      <c r="J6080" s="15" t="s">
        <v>16</v>
      </c>
      <c r="K6080" s="9">
        <v>41</v>
      </c>
      <c r="L6080" s="16" t="s">
        <v>27</v>
      </c>
      <c r="M6080" s="16">
        <f t="shared" si="567"/>
        <v>1.0654725531458451</v>
      </c>
      <c r="N6080">
        <f t="shared" si="568"/>
        <v>0</v>
      </c>
      <c r="O6080">
        <f t="shared" si="569"/>
        <v>0</v>
      </c>
      <c r="P6080">
        <f t="shared" si="566"/>
        <v>5450</v>
      </c>
      <c r="Q6080">
        <f t="shared" si="570"/>
        <v>5450</v>
      </c>
      <c r="T6080" s="16">
        <f t="shared" si="571"/>
        <v>1.0654725531458447</v>
      </c>
    </row>
    <row r="6081" spans="7:20" ht="14.4" x14ac:dyDescent="0.25">
      <c r="G6081" s="10">
        <v>7682</v>
      </c>
      <c r="H6081" s="9">
        <v>55045</v>
      </c>
      <c r="I6081" s="14">
        <f>DATE(2012,12,31)-1135</f>
        <v>40139</v>
      </c>
      <c r="J6081" s="15" t="s">
        <v>17</v>
      </c>
      <c r="K6081" s="9">
        <v>20</v>
      </c>
      <c r="L6081" s="16" t="s">
        <v>26</v>
      </c>
      <c r="M6081" s="16">
        <f t="shared" si="567"/>
        <v>-0.38478275585780503</v>
      </c>
      <c r="N6081">
        <f t="shared" si="568"/>
        <v>0</v>
      </c>
      <c r="O6081">
        <f t="shared" si="569"/>
        <v>0</v>
      </c>
      <c r="P6081">
        <f t="shared" si="566"/>
        <v>4400</v>
      </c>
      <c r="Q6081">
        <f t="shared" si="570"/>
        <v>4400</v>
      </c>
      <c r="T6081" s="16">
        <f t="shared" si="571"/>
        <v>-0.38478275585780541</v>
      </c>
    </row>
    <row r="6082" spans="7:20" ht="14.4" x14ac:dyDescent="0.25">
      <c r="G6082" s="10">
        <v>7704</v>
      </c>
      <c r="H6082" s="9">
        <v>55234</v>
      </c>
      <c r="I6082" s="14">
        <f>DATE(2012,12,31)-887</f>
        <v>40387</v>
      </c>
      <c r="J6082" s="15" t="s">
        <v>25</v>
      </c>
      <c r="K6082" s="9">
        <v>12</v>
      </c>
      <c r="L6082" s="16" t="s">
        <v>27</v>
      </c>
      <c r="M6082" s="16">
        <f t="shared" si="567"/>
        <v>-0.9372609688115765</v>
      </c>
      <c r="N6082">
        <f t="shared" si="568"/>
        <v>0</v>
      </c>
      <c r="O6082">
        <f t="shared" si="569"/>
        <v>0</v>
      </c>
      <c r="P6082">
        <f t="shared" si="566"/>
        <v>4000</v>
      </c>
      <c r="Q6082">
        <f t="shared" si="570"/>
        <v>4000</v>
      </c>
      <c r="T6082" s="16">
        <f t="shared" si="571"/>
        <v>-0.93726096881157694</v>
      </c>
    </row>
    <row r="6083" spans="7:20" ht="14.4" x14ac:dyDescent="0.25">
      <c r="G6083" s="10">
        <v>7705</v>
      </c>
      <c r="H6083" s="9">
        <v>55234</v>
      </c>
      <c r="I6083" s="14">
        <f>DATE(2012,12,31)-887</f>
        <v>40387</v>
      </c>
      <c r="J6083" s="15" t="s">
        <v>25</v>
      </c>
      <c r="K6083" s="9">
        <v>5</v>
      </c>
      <c r="L6083" s="16" t="s">
        <v>26</v>
      </c>
      <c r="M6083" s="16">
        <f t="shared" si="567"/>
        <v>-1.4206794051461267</v>
      </c>
      <c r="N6083">
        <f t="shared" si="568"/>
        <v>0</v>
      </c>
      <c r="O6083">
        <f t="shared" si="569"/>
        <v>0</v>
      </c>
      <c r="P6083">
        <f t="shared" si="566"/>
        <v>3650</v>
      </c>
      <c r="Q6083">
        <f t="shared" si="570"/>
        <v>3650</v>
      </c>
      <c r="T6083" s="16">
        <f t="shared" si="571"/>
        <v>-1.4206794051461269</v>
      </c>
    </row>
    <row r="6084" spans="7:20" ht="14.4" x14ac:dyDescent="0.25">
      <c r="G6084" s="10">
        <v>7782</v>
      </c>
      <c r="H6084" s="9">
        <v>55683</v>
      </c>
      <c r="I6084" s="14">
        <f>DATE(2012,12,31)-169</f>
        <v>41105</v>
      </c>
      <c r="J6084" s="15" t="s">
        <v>17</v>
      </c>
      <c r="K6084" s="9">
        <v>23</v>
      </c>
      <c r="L6084" s="16" t="s">
        <v>29</v>
      </c>
      <c r="M6084" s="16">
        <f t="shared" si="567"/>
        <v>-0.17760342600014073</v>
      </c>
      <c r="N6084">
        <f t="shared" si="568"/>
        <v>0</v>
      </c>
      <c r="O6084">
        <f t="shared" si="569"/>
        <v>0</v>
      </c>
      <c r="P6084">
        <f t="shared" si="566"/>
        <v>4550</v>
      </c>
      <c r="Q6084">
        <f t="shared" si="570"/>
        <v>4550</v>
      </c>
      <c r="T6084" s="16">
        <f t="shared" si="571"/>
        <v>-0.17760342600014112</v>
      </c>
    </row>
    <row r="6085" spans="7:20" ht="14.4" x14ac:dyDescent="0.25">
      <c r="G6085" s="10">
        <v>7817</v>
      </c>
      <c r="H6085" s="9">
        <v>55906</v>
      </c>
      <c r="I6085" s="14">
        <f>DATE(2012,12,31)-1131</f>
        <v>40143</v>
      </c>
      <c r="J6085" s="15" t="s">
        <v>30</v>
      </c>
      <c r="K6085" s="9">
        <v>49</v>
      </c>
      <c r="L6085" s="16" t="s">
        <v>26</v>
      </c>
      <c r="M6085" s="16">
        <f t="shared" si="567"/>
        <v>1.6179507660996166</v>
      </c>
      <c r="N6085">
        <f t="shared" si="568"/>
        <v>0</v>
      </c>
      <c r="O6085">
        <f t="shared" si="569"/>
        <v>0</v>
      </c>
      <c r="P6085">
        <f t="shared" si="566"/>
        <v>5850</v>
      </c>
      <c r="Q6085">
        <f t="shared" si="570"/>
        <v>5850</v>
      </c>
      <c r="T6085" s="16">
        <f t="shared" si="571"/>
        <v>1.6179507660996162</v>
      </c>
    </row>
    <row r="6086" spans="7:20" ht="14.4" x14ac:dyDescent="0.25">
      <c r="G6086" s="10">
        <v>7818</v>
      </c>
      <c r="H6086" s="9">
        <v>55906</v>
      </c>
      <c r="I6086" s="14">
        <f>DATE(2012,12,31)-1131</f>
        <v>40143</v>
      </c>
      <c r="J6086" s="15" t="s">
        <v>30</v>
      </c>
      <c r="K6086" s="9">
        <v>15</v>
      </c>
      <c r="L6086" s="16" t="s">
        <v>26</v>
      </c>
      <c r="M6086" s="16">
        <f t="shared" si="567"/>
        <v>-0.7300816389539122</v>
      </c>
      <c r="N6086">
        <f t="shared" si="568"/>
        <v>0</v>
      </c>
      <c r="O6086">
        <f t="shared" si="569"/>
        <v>0</v>
      </c>
      <c r="P6086">
        <f t="shared" si="566"/>
        <v>4150</v>
      </c>
      <c r="Q6086">
        <f t="shared" si="570"/>
        <v>4150</v>
      </c>
      <c r="T6086" s="16">
        <f t="shared" si="571"/>
        <v>-0.73008163895391265</v>
      </c>
    </row>
    <row r="6087" spans="7:20" ht="14.4" x14ac:dyDescent="0.25">
      <c r="G6087" s="10">
        <v>7819</v>
      </c>
      <c r="H6087" s="9">
        <v>55906</v>
      </c>
      <c r="I6087" s="14">
        <f>DATE(2012,12,31)-1131</f>
        <v>40143</v>
      </c>
      <c r="J6087" s="15" t="s">
        <v>30</v>
      </c>
      <c r="K6087" s="9">
        <v>42</v>
      </c>
      <c r="L6087" s="16" t="s">
        <v>26</v>
      </c>
      <c r="M6087" s="16">
        <f t="shared" si="567"/>
        <v>1.1345323297650665</v>
      </c>
      <c r="N6087">
        <f t="shared" si="568"/>
        <v>0</v>
      </c>
      <c r="O6087">
        <f t="shared" si="569"/>
        <v>0</v>
      </c>
      <c r="P6087">
        <f t="shared" si="566"/>
        <v>5500</v>
      </c>
      <c r="Q6087">
        <f t="shared" si="570"/>
        <v>5500</v>
      </c>
      <c r="T6087" s="16">
        <f t="shared" si="571"/>
        <v>1.1345323297650662</v>
      </c>
    </row>
    <row r="6088" spans="7:20" ht="14.4" x14ac:dyDescent="0.25">
      <c r="G6088" s="10">
        <v>7838</v>
      </c>
      <c r="H6088" s="9">
        <v>56032</v>
      </c>
      <c r="I6088" s="14">
        <f>DATE(2012,12,31)-378</f>
        <v>40896</v>
      </c>
      <c r="J6088" s="15" t="s">
        <v>28</v>
      </c>
      <c r="K6088" s="9">
        <v>31</v>
      </c>
      <c r="L6088" s="16" t="s">
        <v>27</v>
      </c>
      <c r="M6088" s="16">
        <f t="shared" si="567"/>
        <v>0.37487478695363075</v>
      </c>
      <c r="N6088">
        <f t="shared" si="568"/>
        <v>0</v>
      </c>
      <c r="O6088">
        <f t="shared" si="569"/>
        <v>0</v>
      </c>
      <c r="P6088">
        <f t="shared" si="566"/>
        <v>4950</v>
      </c>
      <c r="Q6088">
        <f t="shared" si="570"/>
        <v>4950</v>
      </c>
      <c r="T6088" s="16">
        <f t="shared" si="571"/>
        <v>0.37487478695363036</v>
      </c>
    </row>
    <row r="6089" spans="7:20" ht="14.4" x14ac:dyDescent="0.25">
      <c r="G6089" s="10">
        <v>7839</v>
      </c>
      <c r="H6089" s="9">
        <v>56032</v>
      </c>
      <c r="I6089" s="14">
        <f>DATE(2012,12,31)-378</f>
        <v>40896</v>
      </c>
      <c r="J6089" s="15" t="s">
        <v>28</v>
      </c>
      <c r="K6089" s="9">
        <v>25</v>
      </c>
      <c r="L6089" s="16" t="s">
        <v>29</v>
      </c>
      <c r="M6089" s="16">
        <f t="shared" si="567"/>
        <v>-3.9483872761697868E-2</v>
      </c>
      <c r="N6089">
        <f t="shared" si="568"/>
        <v>0</v>
      </c>
      <c r="O6089">
        <f t="shared" si="569"/>
        <v>0</v>
      </c>
      <c r="P6089">
        <f t="shared" si="566"/>
        <v>4650</v>
      </c>
      <c r="Q6089">
        <f t="shared" si="570"/>
        <v>4650</v>
      </c>
      <c r="T6089" s="16">
        <f t="shared" si="571"/>
        <v>-3.9483872761698249E-2</v>
      </c>
    </row>
    <row r="6090" spans="7:20" ht="14.4" x14ac:dyDescent="0.25">
      <c r="G6090" s="10">
        <v>7847</v>
      </c>
      <c r="H6090" s="9">
        <v>56103</v>
      </c>
      <c r="I6090" s="14">
        <f>DATE(2012,12,31)-736</f>
        <v>40538</v>
      </c>
      <c r="J6090" s="15" t="s">
        <v>17</v>
      </c>
      <c r="K6090" s="9">
        <v>24</v>
      </c>
      <c r="L6090" s="16" t="s">
        <v>27</v>
      </c>
      <c r="M6090" s="16">
        <f t="shared" si="567"/>
        <v>-0.1085436493809193</v>
      </c>
      <c r="N6090">
        <f t="shared" si="568"/>
        <v>0</v>
      </c>
      <c r="O6090">
        <f t="shared" si="569"/>
        <v>0</v>
      </c>
      <c r="P6090">
        <f t="shared" si="566"/>
        <v>4600</v>
      </c>
      <c r="Q6090">
        <f t="shared" si="570"/>
        <v>4600</v>
      </c>
      <c r="T6090" s="16">
        <f t="shared" si="571"/>
        <v>-0.10854364938091969</v>
      </c>
    </row>
    <row r="6091" spans="7:20" ht="14.4" x14ac:dyDescent="0.25">
      <c r="G6091" s="10">
        <v>19</v>
      </c>
      <c r="H6091" s="9">
        <v>130</v>
      </c>
      <c r="I6091" s="14">
        <f>DATE(2012,12,31)-238</f>
        <v>41036</v>
      </c>
      <c r="J6091" s="15" t="s">
        <v>17</v>
      </c>
      <c r="K6091" s="9">
        <v>3</v>
      </c>
      <c r="L6091" s="16" t="s">
        <v>27</v>
      </c>
      <c r="M6091" s="16">
        <f t="shared" si="567"/>
        <v>-1.5587989583845694</v>
      </c>
      <c r="N6091">
        <f t="shared" si="568"/>
        <v>0</v>
      </c>
      <c r="O6091">
        <f t="shared" si="569"/>
        <v>0</v>
      </c>
      <c r="P6091">
        <f t="shared" si="566"/>
        <v>3550</v>
      </c>
      <c r="Q6091">
        <f t="shared" si="570"/>
        <v>3550</v>
      </c>
      <c r="T6091" s="16">
        <f t="shared" si="571"/>
        <v>-1.5587989583845698</v>
      </c>
    </row>
    <row r="6092" spans="7:20" ht="14.4" x14ac:dyDescent="0.25">
      <c r="G6092" s="10">
        <v>20</v>
      </c>
      <c r="H6092" s="9">
        <v>130</v>
      </c>
      <c r="I6092" s="14">
        <f>DATE(2012,12,31)-238</f>
        <v>41036</v>
      </c>
      <c r="J6092" s="15" t="s">
        <v>17</v>
      </c>
      <c r="K6092" s="9">
        <v>29</v>
      </c>
      <c r="L6092" s="16" t="s">
        <v>26</v>
      </c>
      <c r="M6092" s="16">
        <f t="shared" si="567"/>
        <v>0.23675523371518786</v>
      </c>
      <c r="N6092">
        <f t="shared" si="568"/>
        <v>0</v>
      </c>
      <c r="O6092">
        <f t="shared" si="569"/>
        <v>0</v>
      </c>
      <c r="P6092">
        <f t="shared" ref="P6092:P6155" si="572">50*K6092+$P$10</f>
        <v>4850</v>
      </c>
      <c r="Q6092">
        <f t="shared" si="570"/>
        <v>4850</v>
      </c>
      <c r="T6092" s="16">
        <f t="shared" si="571"/>
        <v>0.2367552337151875</v>
      </c>
    </row>
    <row r="6093" spans="7:20" ht="14.4" x14ac:dyDescent="0.25">
      <c r="G6093" s="10">
        <v>21</v>
      </c>
      <c r="H6093" s="9">
        <v>130</v>
      </c>
      <c r="I6093" s="14">
        <f>DATE(2012,12,31)-238</f>
        <v>41036</v>
      </c>
      <c r="J6093" s="15" t="s">
        <v>17</v>
      </c>
      <c r="K6093" s="9">
        <v>23</v>
      </c>
      <c r="L6093" s="16" t="s">
        <v>26</v>
      </c>
      <c r="M6093" s="16">
        <f t="shared" ref="M6093:M6156" si="573">(K6093-$K$4)/$K$7</f>
        <v>-0.17760342600014073</v>
      </c>
      <c r="N6093">
        <f t="shared" ref="N6093:N6156" si="574">IF(MOD($B$20+G6093,1000)=0,1,0)</f>
        <v>0</v>
      </c>
      <c r="O6093">
        <f t="shared" ref="O6093:O6156" si="575">+ROUND(N6093*(IF(K6093&lt;$K$4,-4.5,10.5)*$P$5),-2)</f>
        <v>0</v>
      </c>
      <c r="P6093">
        <f t="shared" si="572"/>
        <v>4550</v>
      </c>
      <c r="Q6093">
        <f t="shared" ref="Q6093:Q6156" si="576">P6093+O6093</f>
        <v>4550</v>
      </c>
      <c r="T6093" s="16">
        <f t="shared" ref="T6093:T6156" si="577">(Q6093-$P$4)/$P$5</f>
        <v>-0.17760342600014112</v>
      </c>
    </row>
    <row r="6094" spans="7:20" ht="14.4" x14ac:dyDescent="0.25">
      <c r="G6094" s="10">
        <v>126</v>
      </c>
      <c r="H6094" s="9">
        <v>805</v>
      </c>
      <c r="I6094" s="14">
        <f>DATE(2012,12,31)-546</f>
        <v>40728</v>
      </c>
      <c r="J6094" s="15" t="s">
        <v>28</v>
      </c>
      <c r="K6094" s="9">
        <v>39</v>
      </c>
      <c r="L6094" s="16" t="s">
        <v>29</v>
      </c>
      <c r="M6094" s="16">
        <f t="shared" si="573"/>
        <v>0.92735299990740228</v>
      </c>
      <c r="N6094">
        <f t="shared" si="574"/>
        <v>0</v>
      </c>
      <c r="O6094">
        <f t="shared" si="575"/>
        <v>0</v>
      </c>
      <c r="P6094">
        <f t="shared" si="572"/>
        <v>5350</v>
      </c>
      <c r="Q6094">
        <f t="shared" si="576"/>
        <v>5350</v>
      </c>
      <c r="T6094" s="16">
        <f t="shared" si="577"/>
        <v>0.92735299990740183</v>
      </c>
    </row>
    <row r="6095" spans="7:20" ht="14.4" x14ac:dyDescent="0.25">
      <c r="G6095" s="10">
        <v>324</v>
      </c>
      <c r="H6095" s="9">
        <v>2240</v>
      </c>
      <c r="I6095" s="14">
        <f>DATE(2012,12,31)-301</f>
        <v>40973</v>
      </c>
      <c r="J6095" s="15" t="s">
        <v>28</v>
      </c>
      <c r="K6095" s="9">
        <v>17</v>
      </c>
      <c r="L6095" s="16" t="s">
        <v>29</v>
      </c>
      <c r="M6095" s="16">
        <f t="shared" si="573"/>
        <v>-0.59196208571546938</v>
      </c>
      <c r="N6095">
        <f t="shared" si="574"/>
        <v>0</v>
      </c>
      <c r="O6095">
        <f t="shared" si="575"/>
        <v>0</v>
      </c>
      <c r="P6095">
        <f t="shared" si="572"/>
        <v>4250</v>
      </c>
      <c r="Q6095">
        <f t="shared" si="576"/>
        <v>4250</v>
      </c>
      <c r="T6095" s="16">
        <f t="shared" si="577"/>
        <v>-0.59196208571546971</v>
      </c>
    </row>
    <row r="6096" spans="7:20" ht="14.4" x14ac:dyDescent="0.25">
      <c r="G6096" s="10">
        <v>325</v>
      </c>
      <c r="H6096" s="9">
        <v>2240</v>
      </c>
      <c r="I6096" s="14">
        <f>DATE(2012,12,31)-301</f>
        <v>40973</v>
      </c>
      <c r="J6096" s="15" t="s">
        <v>28</v>
      </c>
      <c r="K6096" s="9">
        <v>5</v>
      </c>
      <c r="L6096" s="16" t="s">
        <v>26</v>
      </c>
      <c r="M6096" s="16">
        <f t="shared" si="573"/>
        <v>-1.4206794051461267</v>
      </c>
      <c r="N6096">
        <f t="shared" si="574"/>
        <v>0</v>
      </c>
      <c r="O6096">
        <f t="shared" si="575"/>
        <v>0</v>
      </c>
      <c r="P6096">
        <f t="shared" si="572"/>
        <v>3650</v>
      </c>
      <c r="Q6096">
        <f t="shared" si="576"/>
        <v>3650</v>
      </c>
      <c r="T6096" s="16">
        <f t="shared" si="577"/>
        <v>-1.4206794051461269</v>
      </c>
    </row>
    <row r="6097" spans="7:20" ht="14.4" x14ac:dyDescent="0.25">
      <c r="G6097" s="10">
        <v>326</v>
      </c>
      <c r="H6097" s="9">
        <v>2241</v>
      </c>
      <c r="I6097" s="14">
        <f>DATE(2012,12,31)-966</f>
        <v>40308</v>
      </c>
      <c r="J6097" s="15" t="s">
        <v>30</v>
      </c>
      <c r="K6097" s="9">
        <v>38</v>
      </c>
      <c r="L6097" s="16" t="s">
        <v>26</v>
      </c>
      <c r="M6097" s="16">
        <f t="shared" si="573"/>
        <v>0.85829322328818081</v>
      </c>
      <c r="N6097">
        <f t="shared" si="574"/>
        <v>0</v>
      </c>
      <c r="O6097">
        <f t="shared" si="575"/>
        <v>0</v>
      </c>
      <c r="P6097">
        <f t="shared" si="572"/>
        <v>5300</v>
      </c>
      <c r="Q6097">
        <f t="shared" si="576"/>
        <v>5300</v>
      </c>
      <c r="T6097" s="16">
        <f t="shared" si="577"/>
        <v>0.85829322328818036</v>
      </c>
    </row>
    <row r="6098" spans="7:20" ht="14.4" x14ac:dyDescent="0.25">
      <c r="G6098" s="10">
        <v>667</v>
      </c>
      <c r="H6098" s="9">
        <v>4674</v>
      </c>
      <c r="I6098" s="14">
        <f>DATE(2012,12,31)-1353</f>
        <v>39921</v>
      </c>
      <c r="J6098" s="15" t="s">
        <v>30</v>
      </c>
      <c r="K6098" s="9">
        <v>23</v>
      </c>
      <c r="L6098" s="16" t="s">
        <v>29</v>
      </c>
      <c r="M6098" s="16">
        <f t="shared" si="573"/>
        <v>-0.17760342600014073</v>
      </c>
      <c r="N6098">
        <f t="shared" si="574"/>
        <v>0</v>
      </c>
      <c r="O6098">
        <f t="shared" si="575"/>
        <v>0</v>
      </c>
      <c r="P6098">
        <f t="shared" si="572"/>
        <v>4550</v>
      </c>
      <c r="Q6098">
        <f t="shared" si="576"/>
        <v>4550</v>
      </c>
      <c r="T6098" s="16">
        <f t="shared" si="577"/>
        <v>-0.17760342600014112</v>
      </c>
    </row>
    <row r="6099" spans="7:20" ht="14.4" x14ac:dyDescent="0.25">
      <c r="G6099" s="10">
        <v>676</v>
      </c>
      <c r="H6099" s="9">
        <v>4737</v>
      </c>
      <c r="I6099" s="14">
        <f>DATE(2012,12,31)-1027</f>
        <v>40247</v>
      </c>
      <c r="J6099" s="15" t="s">
        <v>28</v>
      </c>
      <c r="K6099" s="9">
        <v>49</v>
      </c>
      <c r="L6099" s="16" t="s">
        <v>26</v>
      </c>
      <c r="M6099" s="16">
        <f t="shared" si="573"/>
        <v>1.6179507660996166</v>
      </c>
      <c r="N6099">
        <f t="shared" si="574"/>
        <v>0</v>
      </c>
      <c r="O6099">
        <f t="shared" si="575"/>
        <v>0</v>
      </c>
      <c r="P6099">
        <f t="shared" si="572"/>
        <v>5850</v>
      </c>
      <c r="Q6099">
        <f t="shared" si="576"/>
        <v>5850</v>
      </c>
      <c r="T6099" s="16">
        <f t="shared" si="577"/>
        <v>1.6179507660996162</v>
      </c>
    </row>
    <row r="6100" spans="7:20" ht="14.4" x14ac:dyDescent="0.25">
      <c r="G6100" s="10">
        <v>727</v>
      </c>
      <c r="H6100" s="9">
        <v>5221</v>
      </c>
      <c r="I6100" s="14">
        <f>DATE(2012,12,31)-572</f>
        <v>40702</v>
      </c>
      <c r="J6100" s="15" t="s">
        <v>28</v>
      </c>
      <c r="K6100" s="9">
        <v>48</v>
      </c>
      <c r="L6100" s="16" t="s">
        <v>27</v>
      </c>
      <c r="M6100" s="16">
        <f t="shared" si="573"/>
        <v>1.5488909894803951</v>
      </c>
      <c r="N6100">
        <f t="shared" si="574"/>
        <v>0</v>
      </c>
      <c r="O6100">
        <f t="shared" si="575"/>
        <v>0</v>
      </c>
      <c r="P6100">
        <f t="shared" si="572"/>
        <v>5800</v>
      </c>
      <c r="Q6100">
        <f t="shared" si="576"/>
        <v>5800</v>
      </c>
      <c r="T6100" s="16">
        <f t="shared" si="577"/>
        <v>1.5488909894803948</v>
      </c>
    </row>
    <row r="6101" spans="7:20" ht="14.4" x14ac:dyDescent="0.25">
      <c r="G6101" s="10">
        <v>781</v>
      </c>
      <c r="H6101" s="9">
        <v>5568</v>
      </c>
      <c r="I6101" s="14">
        <f>DATE(2012,12,31)-574</f>
        <v>40700</v>
      </c>
      <c r="J6101" s="15" t="s">
        <v>16</v>
      </c>
      <c r="K6101" s="9">
        <v>8</v>
      </c>
      <c r="L6101" s="16" t="s">
        <v>29</v>
      </c>
      <c r="M6101" s="16">
        <f t="shared" si="573"/>
        <v>-1.2135000752884624</v>
      </c>
      <c r="N6101">
        <f t="shared" si="574"/>
        <v>0</v>
      </c>
      <c r="O6101">
        <f t="shared" si="575"/>
        <v>0</v>
      </c>
      <c r="P6101">
        <f t="shared" si="572"/>
        <v>3800</v>
      </c>
      <c r="Q6101">
        <f t="shared" si="576"/>
        <v>3800</v>
      </c>
      <c r="T6101" s="16">
        <f t="shared" si="577"/>
        <v>-1.2135000752884626</v>
      </c>
    </row>
    <row r="6102" spans="7:20" ht="14.4" x14ac:dyDescent="0.25">
      <c r="G6102" s="10">
        <v>842</v>
      </c>
      <c r="H6102" s="9">
        <v>6020</v>
      </c>
      <c r="I6102" s="14">
        <f>DATE(2012,12,31)-1197</f>
        <v>40077</v>
      </c>
      <c r="J6102" s="15" t="s">
        <v>16</v>
      </c>
      <c r="K6102" s="9">
        <v>23</v>
      </c>
      <c r="L6102" s="16" t="s">
        <v>26</v>
      </c>
      <c r="M6102" s="16">
        <f t="shared" si="573"/>
        <v>-0.17760342600014073</v>
      </c>
      <c r="N6102">
        <f t="shared" si="574"/>
        <v>0</v>
      </c>
      <c r="O6102">
        <f t="shared" si="575"/>
        <v>0</v>
      </c>
      <c r="P6102">
        <f t="shared" si="572"/>
        <v>4550</v>
      </c>
      <c r="Q6102">
        <f t="shared" si="576"/>
        <v>4550</v>
      </c>
      <c r="T6102" s="16">
        <f t="shared" si="577"/>
        <v>-0.17760342600014112</v>
      </c>
    </row>
    <row r="6103" spans="7:20" ht="14.4" x14ac:dyDescent="0.25">
      <c r="G6103" s="10">
        <v>849</v>
      </c>
      <c r="H6103" s="9">
        <v>6112</v>
      </c>
      <c r="I6103" s="14">
        <f>DATE(2012,12,31)-1226</f>
        <v>40048</v>
      </c>
      <c r="J6103" s="15" t="s">
        <v>16</v>
      </c>
      <c r="K6103" s="9">
        <v>10</v>
      </c>
      <c r="L6103" s="16" t="s">
        <v>29</v>
      </c>
      <c r="M6103" s="16">
        <f t="shared" si="573"/>
        <v>-1.0753805220500194</v>
      </c>
      <c r="N6103">
        <f t="shared" si="574"/>
        <v>0</v>
      </c>
      <c r="O6103">
        <f t="shared" si="575"/>
        <v>0</v>
      </c>
      <c r="P6103">
        <f t="shared" si="572"/>
        <v>3900</v>
      </c>
      <c r="Q6103">
        <f t="shared" si="576"/>
        <v>3900</v>
      </c>
      <c r="T6103" s="16">
        <f t="shared" si="577"/>
        <v>-1.0753805220500199</v>
      </c>
    </row>
    <row r="6104" spans="7:20" ht="14.4" x14ac:dyDescent="0.25">
      <c r="G6104" s="10">
        <v>850</v>
      </c>
      <c r="H6104" s="9">
        <v>6112</v>
      </c>
      <c r="I6104" s="14">
        <f>DATE(2012,12,31)-1226</f>
        <v>40048</v>
      </c>
      <c r="J6104" s="15" t="s">
        <v>16</v>
      </c>
      <c r="K6104" s="9">
        <v>31</v>
      </c>
      <c r="L6104" s="16" t="s">
        <v>27</v>
      </c>
      <c r="M6104" s="16">
        <f t="shared" si="573"/>
        <v>0.37487478695363075</v>
      </c>
      <c r="N6104">
        <f t="shared" si="574"/>
        <v>0</v>
      </c>
      <c r="O6104">
        <f t="shared" si="575"/>
        <v>0</v>
      </c>
      <c r="P6104">
        <f t="shared" si="572"/>
        <v>4950</v>
      </c>
      <c r="Q6104">
        <f t="shared" si="576"/>
        <v>4950</v>
      </c>
      <c r="T6104" s="16">
        <f t="shared" si="577"/>
        <v>0.37487478695363036</v>
      </c>
    </row>
    <row r="6105" spans="7:20" ht="14.4" x14ac:dyDescent="0.25">
      <c r="G6105" s="10">
        <v>871</v>
      </c>
      <c r="H6105" s="9">
        <v>6272</v>
      </c>
      <c r="I6105" s="14">
        <f>DATE(2012,12,31)-1038</f>
        <v>40236</v>
      </c>
      <c r="J6105" s="15" t="s">
        <v>17</v>
      </c>
      <c r="K6105" s="9">
        <v>33</v>
      </c>
      <c r="L6105" s="16" t="s">
        <v>29</v>
      </c>
      <c r="M6105" s="16">
        <f t="shared" si="573"/>
        <v>0.51299434019207357</v>
      </c>
      <c r="N6105">
        <f t="shared" si="574"/>
        <v>0</v>
      </c>
      <c r="O6105">
        <f t="shared" si="575"/>
        <v>0</v>
      </c>
      <c r="P6105">
        <f t="shared" si="572"/>
        <v>5050</v>
      </c>
      <c r="Q6105">
        <f t="shared" si="576"/>
        <v>5050</v>
      </c>
      <c r="T6105" s="16">
        <f t="shared" si="577"/>
        <v>0.51299434019207324</v>
      </c>
    </row>
    <row r="6106" spans="7:20" ht="14.4" x14ac:dyDescent="0.25">
      <c r="G6106" s="10">
        <v>872</v>
      </c>
      <c r="H6106" s="9">
        <v>6272</v>
      </c>
      <c r="I6106" s="14">
        <f>DATE(2012,12,31)-1038</f>
        <v>40236</v>
      </c>
      <c r="J6106" s="15" t="s">
        <v>17</v>
      </c>
      <c r="K6106" s="9">
        <v>48</v>
      </c>
      <c r="L6106" s="16" t="s">
        <v>29</v>
      </c>
      <c r="M6106" s="16">
        <f t="shared" si="573"/>
        <v>1.5488909894803951</v>
      </c>
      <c r="N6106">
        <f t="shared" si="574"/>
        <v>0</v>
      </c>
      <c r="O6106">
        <f t="shared" si="575"/>
        <v>0</v>
      </c>
      <c r="P6106">
        <f t="shared" si="572"/>
        <v>5800</v>
      </c>
      <c r="Q6106">
        <f t="shared" si="576"/>
        <v>5800</v>
      </c>
      <c r="T6106" s="16">
        <f t="shared" si="577"/>
        <v>1.5488909894803948</v>
      </c>
    </row>
    <row r="6107" spans="7:20" ht="14.4" x14ac:dyDescent="0.25">
      <c r="G6107" s="10">
        <v>873</v>
      </c>
      <c r="H6107" s="9">
        <v>6272</v>
      </c>
      <c r="I6107" s="14">
        <f>DATE(2012,12,31)-1038</f>
        <v>40236</v>
      </c>
      <c r="J6107" s="15" t="s">
        <v>17</v>
      </c>
      <c r="K6107" s="9">
        <v>8</v>
      </c>
      <c r="L6107" s="16" t="s">
        <v>27</v>
      </c>
      <c r="M6107" s="16">
        <f t="shared" si="573"/>
        <v>-1.2135000752884624</v>
      </c>
      <c r="N6107">
        <f t="shared" si="574"/>
        <v>0</v>
      </c>
      <c r="O6107">
        <f t="shared" si="575"/>
        <v>0</v>
      </c>
      <c r="P6107">
        <f t="shared" si="572"/>
        <v>3800</v>
      </c>
      <c r="Q6107">
        <f t="shared" si="576"/>
        <v>3800</v>
      </c>
      <c r="T6107" s="16">
        <f t="shared" si="577"/>
        <v>-1.2135000752884626</v>
      </c>
    </row>
    <row r="6108" spans="7:20" ht="14.4" x14ac:dyDescent="0.25">
      <c r="G6108" s="10">
        <v>874</v>
      </c>
      <c r="H6108" s="9">
        <v>6272</v>
      </c>
      <c r="I6108" s="14">
        <f>DATE(2012,12,31)-1038</f>
        <v>40236</v>
      </c>
      <c r="J6108" s="15" t="s">
        <v>17</v>
      </c>
      <c r="K6108" s="9">
        <v>31</v>
      </c>
      <c r="L6108" s="16" t="s">
        <v>29</v>
      </c>
      <c r="M6108" s="16">
        <f t="shared" si="573"/>
        <v>0.37487478695363075</v>
      </c>
      <c r="N6108">
        <f t="shared" si="574"/>
        <v>0</v>
      </c>
      <c r="O6108">
        <f t="shared" si="575"/>
        <v>0</v>
      </c>
      <c r="P6108">
        <f t="shared" si="572"/>
        <v>4950</v>
      </c>
      <c r="Q6108">
        <f t="shared" si="576"/>
        <v>4950</v>
      </c>
      <c r="T6108" s="16">
        <f t="shared" si="577"/>
        <v>0.37487478695363036</v>
      </c>
    </row>
    <row r="6109" spans="7:20" ht="14.4" x14ac:dyDescent="0.25">
      <c r="G6109" s="10">
        <v>904</v>
      </c>
      <c r="H6109" s="9">
        <v>6501</v>
      </c>
      <c r="I6109" s="14">
        <f>DATE(2012,12,31)-353</f>
        <v>40921</v>
      </c>
      <c r="J6109" s="15" t="s">
        <v>17</v>
      </c>
      <c r="K6109" s="9">
        <v>35</v>
      </c>
      <c r="L6109" s="16" t="s">
        <v>26</v>
      </c>
      <c r="M6109" s="16">
        <f t="shared" si="573"/>
        <v>0.65111389343051651</v>
      </c>
      <c r="N6109">
        <f t="shared" si="574"/>
        <v>0</v>
      </c>
      <c r="O6109">
        <f t="shared" si="575"/>
        <v>0</v>
      </c>
      <c r="P6109">
        <f t="shared" si="572"/>
        <v>5150</v>
      </c>
      <c r="Q6109">
        <f t="shared" si="576"/>
        <v>5150</v>
      </c>
      <c r="T6109" s="16">
        <f t="shared" si="577"/>
        <v>0.65111389343051607</v>
      </c>
    </row>
    <row r="6110" spans="7:20" ht="14.4" x14ac:dyDescent="0.25">
      <c r="G6110" s="10">
        <v>905</v>
      </c>
      <c r="H6110" s="9">
        <v>6501</v>
      </c>
      <c r="I6110" s="14">
        <f>DATE(2012,12,31)-353</f>
        <v>40921</v>
      </c>
      <c r="J6110" s="15" t="s">
        <v>17</v>
      </c>
      <c r="K6110" s="9">
        <v>46</v>
      </c>
      <c r="L6110" s="16" t="s">
        <v>27</v>
      </c>
      <c r="M6110" s="16">
        <f t="shared" si="573"/>
        <v>1.4107714362419523</v>
      </c>
      <c r="N6110">
        <f t="shared" si="574"/>
        <v>0</v>
      </c>
      <c r="O6110">
        <f t="shared" si="575"/>
        <v>0</v>
      </c>
      <c r="P6110">
        <f t="shared" si="572"/>
        <v>5700</v>
      </c>
      <c r="Q6110">
        <f t="shared" si="576"/>
        <v>5700</v>
      </c>
      <c r="T6110" s="16">
        <f t="shared" si="577"/>
        <v>1.4107714362419519</v>
      </c>
    </row>
    <row r="6111" spans="7:20" ht="14.4" x14ac:dyDescent="0.25">
      <c r="G6111" s="10">
        <v>908</v>
      </c>
      <c r="H6111" s="9">
        <v>6529</v>
      </c>
      <c r="I6111" s="14">
        <f>DATE(2012,12,31)-35</f>
        <v>41239</v>
      </c>
      <c r="J6111" s="15" t="s">
        <v>16</v>
      </c>
      <c r="K6111" s="9">
        <v>35</v>
      </c>
      <c r="L6111" s="16" t="s">
        <v>26</v>
      </c>
      <c r="M6111" s="16">
        <f t="shared" si="573"/>
        <v>0.65111389343051651</v>
      </c>
      <c r="N6111">
        <f t="shared" si="574"/>
        <v>0</v>
      </c>
      <c r="O6111">
        <f t="shared" si="575"/>
        <v>0</v>
      </c>
      <c r="P6111">
        <f t="shared" si="572"/>
        <v>5150</v>
      </c>
      <c r="Q6111">
        <f t="shared" si="576"/>
        <v>5150</v>
      </c>
      <c r="T6111" s="16">
        <f t="shared" si="577"/>
        <v>0.65111389343051607</v>
      </c>
    </row>
    <row r="6112" spans="7:20" ht="14.4" x14ac:dyDescent="0.25">
      <c r="G6112" s="10">
        <v>994</v>
      </c>
      <c r="H6112" s="9">
        <v>7171</v>
      </c>
      <c r="I6112" s="14">
        <f>DATE(2012,12,31)-687</f>
        <v>40587</v>
      </c>
      <c r="J6112" s="15" t="s">
        <v>16</v>
      </c>
      <c r="K6112" s="9">
        <v>28</v>
      </c>
      <c r="L6112" s="16" t="s">
        <v>27</v>
      </c>
      <c r="M6112" s="16">
        <f t="shared" si="573"/>
        <v>0.16769545709596645</v>
      </c>
      <c r="N6112">
        <f t="shared" si="574"/>
        <v>0</v>
      </c>
      <c r="O6112">
        <f t="shared" si="575"/>
        <v>0</v>
      </c>
      <c r="P6112">
        <f t="shared" si="572"/>
        <v>4800</v>
      </c>
      <c r="Q6112">
        <f t="shared" si="576"/>
        <v>4800</v>
      </c>
      <c r="T6112" s="16">
        <f t="shared" si="577"/>
        <v>0.16769545709596606</v>
      </c>
    </row>
    <row r="6113" spans="7:20" ht="14.4" x14ac:dyDescent="0.25">
      <c r="G6113" s="10">
        <v>995</v>
      </c>
      <c r="H6113" s="9">
        <v>7171</v>
      </c>
      <c r="I6113" s="14">
        <f>DATE(2012,12,31)-687</f>
        <v>40587</v>
      </c>
      <c r="J6113" s="15" t="s">
        <v>16</v>
      </c>
      <c r="K6113" s="9">
        <v>17</v>
      </c>
      <c r="L6113" s="16" t="s">
        <v>27</v>
      </c>
      <c r="M6113" s="16">
        <f t="shared" si="573"/>
        <v>-0.59196208571546938</v>
      </c>
      <c r="N6113">
        <f t="shared" si="574"/>
        <v>0</v>
      </c>
      <c r="O6113">
        <f t="shared" si="575"/>
        <v>0</v>
      </c>
      <c r="P6113">
        <f t="shared" si="572"/>
        <v>4250</v>
      </c>
      <c r="Q6113">
        <f t="shared" si="576"/>
        <v>4250</v>
      </c>
      <c r="T6113" s="16">
        <f t="shared" si="577"/>
        <v>-0.59196208571546971</v>
      </c>
    </row>
    <row r="6114" spans="7:20" ht="14.4" x14ac:dyDescent="0.25">
      <c r="G6114" s="10">
        <v>1058</v>
      </c>
      <c r="H6114" s="9">
        <v>7815</v>
      </c>
      <c r="I6114" s="14">
        <f>DATE(2012,12,31)-1439</f>
        <v>39835</v>
      </c>
      <c r="J6114" s="15" t="s">
        <v>30</v>
      </c>
      <c r="K6114" s="9">
        <v>6</v>
      </c>
      <c r="L6114" s="16" t="s">
        <v>27</v>
      </c>
      <c r="M6114" s="16">
        <f t="shared" si="573"/>
        <v>-1.3516196285269051</v>
      </c>
      <c r="N6114">
        <f t="shared" si="574"/>
        <v>0</v>
      </c>
      <c r="O6114">
        <f t="shared" si="575"/>
        <v>0</v>
      </c>
      <c r="P6114">
        <f t="shared" si="572"/>
        <v>3700</v>
      </c>
      <c r="Q6114">
        <f t="shared" si="576"/>
        <v>3700</v>
      </c>
      <c r="T6114" s="16">
        <f t="shared" si="577"/>
        <v>-1.3516196285269055</v>
      </c>
    </row>
    <row r="6115" spans="7:20" ht="14.4" x14ac:dyDescent="0.25">
      <c r="G6115" s="10">
        <v>1360</v>
      </c>
      <c r="H6115" s="9">
        <v>9921</v>
      </c>
      <c r="I6115" s="14">
        <f>DATE(2012,12,31)-597</f>
        <v>40677</v>
      </c>
      <c r="J6115" s="15" t="s">
        <v>25</v>
      </c>
      <c r="K6115" s="9">
        <v>23</v>
      </c>
      <c r="L6115" s="16" t="s">
        <v>26</v>
      </c>
      <c r="M6115" s="16">
        <f t="shared" si="573"/>
        <v>-0.17760342600014073</v>
      </c>
      <c r="N6115">
        <f t="shared" si="574"/>
        <v>0</v>
      </c>
      <c r="O6115">
        <f t="shared" si="575"/>
        <v>0</v>
      </c>
      <c r="P6115">
        <f t="shared" si="572"/>
        <v>4550</v>
      </c>
      <c r="Q6115">
        <f t="shared" si="576"/>
        <v>4550</v>
      </c>
      <c r="T6115" s="16">
        <f t="shared" si="577"/>
        <v>-0.17760342600014112</v>
      </c>
    </row>
    <row r="6116" spans="7:20" ht="14.4" x14ac:dyDescent="0.25">
      <c r="G6116" s="10">
        <v>1386</v>
      </c>
      <c r="H6116" s="9">
        <v>10053</v>
      </c>
      <c r="I6116" s="14">
        <f>DATE(2012,12,31)-356</f>
        <v>40918</v>
      </c>
      <c r="J6116" s="15" t="s">
        <v>17</v>
      </c>
      <c r="K6116" s="9">
        <v>31</v>
      </c>
      <c r="L6116" s="16" t="s">
        <v>27</v>
      </c>
      <c r="M6116" s="16">
        <f t="shared" si="573"/>
        <v>0.37487478695363075</v>
      </c>
      <c r="N6116">
        <f t="shared" si="574"/>
        <v>0</v>
      </c>
      <c r="O6116">
        <f t="shared" si="575"/>
        <v>0</v>
      </c>
      <c r="P6116">
        <f t="shared" si="572"/>
        <v>4950</v>
      </c>
      <c r="Q6116">
        <f t="shared" si="576"/>
        <v>4950</v>
      </c>
      <c r="T6116" s="16">
        <f t="shared" si="577"/>
        <v>0.37487478695363036</v>
      </c>
    </row>
    <row r="6117" spans="7:20" ht="14.4" x14ac:dyDescent="0.25">
      <c r="G6117" s="10">
        <v>1387</v>
      </c>
      <c r="H6117" s="9">
        <v>10053</v>
      </c>
      <c r="I6117" s="14">
        <f>DATE(2012,12,31)-356</f>
        <v>40918</v>
      </c>
      <c r="J6117" s="15" t="s">
        <v>17</v>
      </c>
      <c r="K6117" s="9">
        <v>44</v>
      </c>
      <c r="L6117" s="16" t="s">
        <v>29</v>
      </c>
      <c r="M6117" s="16">
        <f t="shared" si="573"/>
        <v>1.2726518830035094</v>
      </c>
      <c r="N6117">
        <f t="shared" si="574"/>
        <v>0</v>
      </c>
      <c r="O6117">
        <f t="shared" si="575"/>
        <v>0</v>
      </c>
      <c r="P6117">
        <f t="shared" si="572"/>
        <v>5600</v>
      </c>
      <c r="Q6117">
        <f t="shared" si="576"/>
        <v>5600</v>
      </c>
      <c r="T6117" s="16">
        <f t="shared" si="577"/>
        <v>1.272651883003509</v>
      </c>
    </row>
    <row r="6118" spans="7:20" ht="14.4" x14ac:dyDescent="0.25">
      <c r="G6118" s="10">
        <v>1422</v>
      </c>
      <c r="H6118" s="9">
        <v>10309</v>
      </c>
      <c r="I6118" s="14">
        <f>DATE(2012,12,31)-1136</f>
        <v>40138</v>
      </c>
      <c r="J6118" s="15" t="s">
        <v>25</v>
      </c>
      <c r="K6118" s="9">
        <v>23</v>
      </c>
      <c r="L6118" s="16" t="s">
        <v>26</v>
      </c>
      <c r="M6118" s="16">
        <f t="shared" si="573"/>
        <v>-0.17760342600014073</v>
      </c>
      <c r="N6118">
        <f t="shared" si="574"/>
        <v>0</v>
      </c>
      <c r="O6118">
        <f t="shared" si="575"/>
        <v>0</v>
      </c>
      <c r="P6118">
        <f t="shared" si="572"/>
        <v>4550</v>
      </c>
      <c r="Q6118">
        <f t="shared" si="576"/>
        <v>4550</v>
      </c>
      <c r="T6118" s="16">
        <f t="shared" si="577"/>
        <v>-0.17760342600014112</v>
      </c>
    </row>
    <row r="6119" spans="7:20" ht="14.4" x14ac:dyDescent="0.25">
      <c r="G6119" s="10">
        <v>1517</v>
      </c>
      <c r="H6119" s="9">
        <v>10978</v>
      </c>
      <c r="I6119" s="14">
        <f>DATE(2012,12,31)-1370</f>
        <v>39904</v>
      </c>
      <c r="J6119" s="15" t="s">
        <v>30</v>
      </c>
      <c r="K6119" s="9">
        <v>9</v>
      </c>
      <c r="L6119" s="16" t="s">
        <v>29</v>
      </c>
      <c r="M6119" s="16">
        <f t="shared" si="573"/>
        <v>-1.1444402986692408</v>
      </c>
      <c r="N6119">
        <f t="shared" si="574"/>
        <v>0</v>
      </c>
      <c r="O6119">
        <f t="shared" si="575"/>
        <v>0</v>
      </c>
      <c r="P6119">
        <f t="shared" si="572"/>
        <v>3850</v>
      </c>
      <c r="Q6119">
        <f t="shared" si="576"/>
        <v>3850</v>
      </c>
      <c r="T6119" s="16">
        <f t="shared" si="577"/>
        <v>-1.1444402986692412</v>
      </c>
    </row>
    <row r="6120" spans="7:20" ht="14.4" x14ac:dyDescent="0.25">
      <c r="G6120" s="10">
        <v>1518</v>
      </c>
      <c r="H6120" s="9">
        <v>10979</v>
      </c>
      <c r="I6120" s="14">
        <f>DATE(2012,12,31)-454</f>
        <v>40820</v>
      </c>
      <c r="J6120" s="15" t="s">
        <v>16</v>
      </c>
      <c r="K6120" s="9">
        <v>15</v>
      </c>
      <c r="L6120" s="16" t="s">
        <v>29</v>
      </c>
      <c r="M6120" s="16">
        <f t="shared" si="573"/>
        <v>-0.7300816389539122</v>
      </c>
      <c r="N6120">
        <f t="shared" si="574"/>
        <v>0</v>
      </c>
      <c r="O6120">
        <f t="shared" si="575"/>
        <v>0</v>
      </c>
      <c r="P6120">
        <f t="shared" si="572"/>
        <v>4150</v>
      </c>
      <c r="Q6120">
        <f t="shared" si="576"/>
        <v>4150</v>
      </c>
      <c r="T6120" s="16">
        <f t="shared" si="577"/>
        <v>-0.73008163895391265</v>
      </c>
    </row>
    <row r="6121" spans="7:20" ht="14.4" x14ac:dyDescent="0.25">
      <c r="G6121" s="10">
        <v>1519</v>
      </c>
      <c r="H6121" s="9">
        <v>10979</v>
      </c>
      <c r="I6121" s="14">
        <f>DATE(2012,12,31)-454</f>
        <v>40820</v>
      </c>
      <c r="J6121" s="15" t="s">
        <v>16</v>
      </c>
      <c r="K6121" s="9">
        <v>7</v>
      </c>
      <c r="L6121" s="16" t="s">
        <v>26</v>
      </c>
      <c r="M6121" s="16">
        <f t="shared" si="573"/>
        <v>-1.2825598519076837</v>
      </c>
      <c r="N6121">
        <f t="shared" si="574"/>
        <v>0</v>
      </c>
      <c r="O6121">
        <f t="shared" si="575"/>
        <v>0</v>
      </c>
      <c r="P6121">
        <f t="shared" si="572"/>
        <v>3750</v>
      </c>
      <c r="Q6121">
        <f t="shared" si="576"/>
        <v>3750</v>
      </c>
      <c r="T6121" s="16">
        <f t="shared" si="577"/>
        <v>-1.2825598519076842</v>
      </c>
    </row>
    <row r="6122" spans="7:20" ht="14.4" x14ac:dyDescent="0.25">
      <c r="G6122" s="10">
        <v>1540</v>
      </c>
      <c r="H6122" s="9">
        <v>11108</v>
      </c>
      <c r="I6122" s="14">
        <f>DATE(2012,12,31)-137</f>
        <v>41137</v>
      </c>
      <c r="J6122" s="15" t="s">
        <v>28</v>
      </c>
      <c r="K6122" s="9">
        <v>20</v>
      </c>
      <c r="L6122" s="16" t="s">
        <v>26</v>
      </c>
      <c r="M6122" s="16">
        <f t="shared" si="573"/>
        <v>-0.38478275585780503</v>
      </c>
      <c r="N6122">
        <f t="shared" si="574"/>
        <v>0</v>
      </c>
      <c r="O6122">
        <f t="shared" si="575"/>
        <v>0</v>
      </c>
      <c r="P6122">
        <f t="shared" si="572"/>
        <v>4400</v>
      </c>
      <c r="Q6122">
        <f t="shared" si="576"/>
        <v>4400</v>
      </c>
      <c r="T6122" s="16">
        <f t="shared" si="577"/>
        <v>-0.38478275585780541</v>
      </c>
    </row>
    <row r="6123" spans="7:20" ht="14.4" x14ac:dyDescent="0.25">
      <c r="G6123" s="10">
        <v>1670</v>
      </c>
      <c r="H6123" s="9">
        <v>12067</v>
      </c>
      <c r="I6123" s="14">
        <f>DATE(2012,12,31)-1061</f>
        <v>40213</v>
      </c>
      <c r="J6123" s="15" t="s">
        <v>30</v>
      </c>
      <c r="K6123" s="9">
        <v>45</v>
      </c>
      <c r="L6123" s="16" t="s">
        <v>26</v>
      </c>
      <c r="M6123" s="16">
        <f t="shared" si="573"/>
        <v>1.3417116596227308</v>
      </c>
      <c r="N6123">
        <f t="shared" si="574"/>
        <v>0</v>
      </c>
      <c r="O6123">
        <f t="shared" si="575"/>
        <v>0</v>
      </c>
      <c r="P6123">
        <f t="shared" si="572"/>
        <v>5650</v>
      </c>
      <c r="Q6123">
        <f t="shared" si="576"/>
        <v>5650</v>
      </c>
      <c r="T6123" s="16">
        <f t="shared" si="577"/>
        <v>1.3417116596227305</v>
      </c>
    </row>
    <row r="6124" spans="7:20" ht="14.4" x14ac:dyDescent="0.25">
      <c r="G6124" s="10">
        <v>1671</v>
      </c>
      <c r="H6124" s="9">
        <v>12067</v>
      </c>
      <c r="I6124" s="14">
        <f>DATE(2012,12,31)-1061</f>
        <v>40213</v>
      </c>
      <c r="J6124" s="15" t="s">
        <v>30</v>
      </c>
      <c r="K6124" s="9">
        <v>6</v>
      </c>
      <c r="L6124" s="16" t="s">
        <v>29</v>
      </c>
      <c r="M6124" s="16">
        <f t="shared" si="573"/>
        <v>-1.3516196285269051</v>
      </c>
      <c r="N6124">
        <f t="shared" si="574"/>
        <v>0</v>
      </c>
      <c r="O6124">
        <f t="shared" si="575"/>
        <v>0</v>
      </c>
      <c r="P6124">
        <f t="shared" si="572"/>
        <v>3700</v>
      </c>
      <c r="Q6124">
        <f t="shared" si="576"/>
        <v>3700</v>
      </c>
      <c r="T6124" s="16">
        <f t="shared" si="577"/>
        <v>-1.3516196285269055</v>
      </c>
    </row>
    <row r="6125" spans="7:20" ht="14.4" x14ac:dyDescent="0.25">
      <c r="G6125" s="10">
        <v>1672</v>
      </c>
      <c r="H6125" s="9">
        <v>12067</v>
      </c>
      <c r="I6125" s="14">
        <f>DATE(2012,12,31)-1061</f>
        <v>40213</v>
      </c>
      <c r="J6125" s="15" t="s">
        <v>30</v>
      </c>
      <c r="K6125" s="9">
        <v>12</v>
      </c>
      <c r="L6125" s="16" t="s">
        <v>29</v>
      </c>
      <c r="M6125" s="16">
        <f t="shared" si="573"/>
        <v>-0.9372609688115765</v>
      </c>
      <c r="N6125">
        <f t="shared" si="574"/>
        <v>0</v>
      </c>
      <c r="O6125">
        <f t="shared" si="575"/>
        <v>0</v>
      </c>
      <c r="P6125">
        <f t="shared" si="572"/>
        <v>4000</v>
      </c>
      <c r="Q6125">
        <f t="shared" si="576"/>
        <v>4000</v>
      </c>
      <c r="T6125" s="16">
        <f t="shared" si="577"/>
        <v>-0.93726096881157694</v>
      </c>
    </row>
    <row r="6126" spans="7:20" ht="14.4" x14ac:dyDescent="0.25">
      <c r="G6126" s="10">
        <v>1673</v>
      </c>
      <c r="H6126" s="9">
        <v>12067</v>
      </c>
      <c r="I6126" s="14">
        <f>DATE(2012,12,31)-1061</f>
        <v>40213</v>
      </c>
      <c r="J6126" s="15" t="s">
        <v>30</v>
      </c>
      <c r="K6126" s="9">
        <v>9</v>
      </c>
      <c r="L6126" s="16" t="s">
        <v>26</v>
      </c>
      <c r="M6126" s="16">
        <f t="shared" si="573"/>
        <v>-1.1444402986692408</v>
      </c>
      <c r="N6126">
        <f t="shared" si="574"/>
        <v>0</v>
      </c>
      <c r="O6126">
        <f t="shared" si="575"/>
        <v>0</v>
      </c>
      <c r="P6126">
        <f t="shared" si="572"/>
        <v>3850</v>
      </c>
      <c r="Q6126">
        <f t="shared" si="576"/>
        <v>3850</v>
      </c>
      <c r="T6126" s="16">
        <f t="shared" si="577"/>
        <v>-1.1444402986692412</v>
      </c>
    </row>
    <row r="6127" spans="7:20" ht="14.4" x14ac:dyDescent="0.25">
      <c r="G6127" s="10">
        <v>1674</v>
      </c>
      <c r="H6127" s="9">
        <v>12067</v>
      </c>
      <c r="I6127" s="14">
        <f>DATE(2012,12,31)-1061</f>
        <v>40213</v>
      </c>
      <c r="J6127" s="15" t="s">
        <v>30</v>
      </c>
      <c r="K6127" s="9">
        <v>7</v>
      </c>
      <c r="L6127" s="16" t="s">
        <v>27</v>
      </c>
      <c r="M6127" s="16">
        <f t="shared" si="573"/>
        <v>-1.2825598519076837</v>
      </c>
      <c r="N6127">
        <f t="shared" si="574"/>
        <v>0</v>
      </c>
      <c r="O6127">
        <f t="shared" si="575"/>
        <v>0</v>
      </c>
      <c r="P6127">
        <f t="shared" si="572"/>
        <v>3750</v>
      </c>
      <c r="Q6127">
        <f t="shared" si="576"/>
        <v>3750</v>
      </c>
      <c r="T6127" s="16">
        <f t="shared" si="577"/>
        <v>-1.2825598519076842</v>
      </c>
    </row>
    <row r="6128" spans="7:20" ht="14.4" x14ac:dyDescent="0.25">
      <c r="G6128" s="10">
        <v>1788</v>
      </c>
      <c r="H6128" s="9">
        <v>12804</v>
      </c>
      <c r="I6128" s="14">
        <f>DATE(2012,12,31)-220</f>
        <v>41054</v>
      </c>
      <c r="J6128" s="15" t="s">
        <v>16</v>
      </c>
      <c r="K6128" s="9">
        <v>21</v>
      </c>
      <c r="L6128" s="16" t="s">
        <v>26</v>
      </c>
      <c r="M6128" s="16">
        <f t="shared" si="573"/>
        <v>-0.31572297923858361</v>
      </c>
      <c r="N6128">
        <f t="shared" si="574"/>
        <v>0</v>
      </c>
      <c r="O6128">
        <f t="shared" si="575"/>
        <v>0</v>
      </c>
      <c r="P6128">
        <f t="shared" si="572"/>
        <v>4450</v>
      </c>
      <c r="Q6128">
        <f t="shared" si="576"/>
        <v>4450</v>
      </c>
      <c r="T6128" s="16">
        <f t="shared" si="577"/>
        <v>-0.315722979238584</v>
      </c>
    </row>
    <row r="6129" spans="7:20" ht="14.4" x14ac:dyDescent="0.25">
      <c r="G6129" s="10">
        <v>1789</v>
      </c>
      <c r="H6129" s="9">
        <v>12804</v>
      </c>
      <c r="I6129" s="14">
        <f>DATE(2012,12,31)-220</f>
        <v>41054</v>
      </c>
      <c r="J6129" s="15" t="s">
        <v>16</v>
      </c>
      <c r="K6129" s="9">
        <v>50</v>
      </c>
      <c r="L6129" s="16" t="s">
        <v>26</v>
      </c>
      <c r="M6129" s="16">
        <f t="shared" si="573"/>
        <v>1.687010542718838</v>
      </c>
      <c r="N6129">
        <f t="shared" si="574"/>
        <v>0</v>
      </c>
      <c r="O6129">
        <f t="shared" si="575"/>
        <v>0</v>
      </c>
      <c r="P6129">
        <f t="shared" si="572"/>
        <v>5900</v>
      </c>
      <c r="Q6129">
        <f t="shared" si="576"/>
        <v>5900</v>
      </c>
      <c r="T6129" s="16">
        <f t="shared" si="577"/>
        <v>1.6870105427188375</v>
      </c>
    </row>
    <row r="6130" spans="7:20" ht="14.4" x14ac:dyDescent="0.25">
      <c r="G6130" s="10">
        <v>1790</v>
      </c>
      <c r="H6130" s="9">
        <v>12804</v>
      </c>
      <c r="I6130" s="14">
        <f>DATE(2012,12,31)-220</f>
        <v>41054</v>
      </c>
      <c r="J6130" s="15" t="s">
        <v>16</v>
      </c>
      <c r="K6130" s="9">
        <v>34</v>
      </c>
      <c r="L6130" s="16" t="s">
        <v>26</v>
      </c>
      <c r="M6130" s="16">
        <f t="shared" si="573"/>
        <v>0.58205411681129504</v>
      </c>
      <c r="N6130">
        <f t="shared" si="574"/>
        <v>0</v>
      </c>
      <c r="O6130">
        <f t="shared" si="575"/>
        <v>0</v>
      </c>
      <c r="P6130">
        <f t="shared" si="572"/>
        <v>5100</v>
      </c>
      <c r="Q6130">
        <f t="shared" si="576"/>
        <v>5100</v>
      </c>
      <c r="T6130" s="16">
        <f t="shared" si="577"/>
        <v>0.58205411681129471</v>
      </c>
    </row>
    <row r="6131" spans="7:20" ht="14.4" x14ac:dyDescent="0.25">
      <c r="G6131" s="10">
        <v>1892</v>
      </c>
      <c r="H6131" s="9">
        <v>13575</v>
      </c>
      <c r="I6131" s="14">
        <f>DATE(2012,12,31)-124</f>
        <v>41150</v>
      </c>
      <c r="J6131" s="15" t="s">
        <v>30</v>
      </c>
      <c r="K6131" s="9">
        <v>15</v>
      </c>
      <c r="L6131" s="16" t="s">
        <v>26</v>
      </c>
      <c r="M6131" s="16">
        <f t="shared" si="573"/>
        <v>-0.7300816389539122</v>
      </c>
      <c r="N6131">
        <f t="shared" si="574"/>
        <v>0</v>
      </c>
      <c r="O6131">
        <f t="shared" si="575"/>
        <v>0</v>
      </c>
      <c r="P6131">
        <f t="shared" si="572"/>
        <v>4150</v>
      </c>
      <c r="Q6131">
        <f t="shared" si="576"/>
        <v>4150</v>
      </c>
      <c r="T6131" s="16">
        <f t="shared" si="577"/>
        <v>-0.73008163895391265</v>
      </c>
    </row>
    <row r="6132" spans="7:20" ht="14.4" x14ac:dyDescent="0.25">
      <c r="G6132" s="10">
        <v>1907</v>
      </c>
      <c r="H6132" s="9">
        <v>13635</v>
      </c>
      <c r="I6132" s="14">
        <f>DATE(2012,12,31)-1340</f>
        <v>39934</v>
      </c>
      <c r="J6132" s="15" t="s">
        <v>30</v>
      </c>
      <c r="K6132" s="9">
        <v>28</v>
      </c>
      <c r="L6132" s="16" t="s">
        <v>26</v>
      </c>
      <c r="M6132" s="16">
        <f t="shared" si="573"/>
        <v>0.16769545709596645</v>
      </c>
      <c r="N6132">
        <f t="shared" si="574"/>
        <v>0</v>
      </c>
      <c r="O6132">
        <f t="shared" si="575"/>
        <v>0</v>
      </c>
      <c r="P6132">
        <f t="shared" si="572"/>
        <v>4800</v>
      </c>
      <c r="Q6132">
        <f t="shared" si="576"/>
        <v>4800</v>
      </c>
      <c r="T6132" s="16">
        <f t="shared" si="577"/>
        <v>0.16769545709596606</v>
      </c>
    </row>
    <row r="6133" spans="7:20" ht="14.4" x14ac:dyDescent="0.25">
      <c r="G6133" s="10">
        <v>1908</v>
      </c>
      <c r="H6133" s="9">
        <v>13635</v>
      </c>
      <c r="I6133" s="14">
        <f>DATE(2012,12,31)-1340</f>
        <v>39934</v>
      </c>
      <c r="J6133" s="15" t="s">
        <v>30</v>
      </c>
      <c r="K6133" s="9">
        <v>49</v>
      </c>
      <c r="L6133" s="16" t="s">
        <v>26</v>
      </c>
      <c r="M6133" s="16">
        <f t="shared" si="573"/>
        <v>1.6179507660996166</v>
      </c>
      <c r="N6133">
        <f t="shared" si="574"/>
        <v>0</v>
      </c>
      <c r="O6133">
        <f t="shared" si="575"/>
        <v>0</v>
      </c>
      <c r="P6133">
        <f t="shared" si="572"/>
        <v>5850</v>
      </c>
      <c r="Q6133">
        <f t="shared" si="576"/>
        <v>5850</v>
      </c>
      <c r="T6133" s="16">
        <f t="shared" si="577"/>
        <v>1.6179507660996162</v>
      </c>
    </row>
    <row r="6134" spans="7:20" ht="14.4" x14ac:dyDescent="0.25">
      <c r="G6134" s="10">
        <v>1998</v>
      </c>
      <c r="H6134" s="9">
        <v>14245</v>
      </c>
      <c r="I6134" s="14">
        <f>DATE(2012,12,31)-1054</f>
        <v>40220</v>
      </c>
      <c r="J6134" s="15" t="s">
        <v>30</v>
      </c>
      <c r="K6134" s="9">
        <v>17</v>
      </c>
      <c r="L6134" s="16" t="s">
        <v>26</v>
      </c>
      <c r="M6134" s="16">
        <f t="shared" si="573"/>
        <v>-0.59196208571546938</v>
      </c>
      <c r="N6134">
        <f t="shared" si="574"/>
        <v>0</v>
      </c>
      <c r="O6134">
        <f t="shared" si="575"/>
        <v>0</v>
      </c>
      <c r="P6134">
        <f t="shared" si="572"/>
        <v>4250</v>
      </c>
      <c r="Q6134">
        <f t="shared" si="576"/>
        <v>4250</v>
      </c>
      <c r="T6134" s="16">
        <f t="shared" si="577"/>
        <v>-0.59196208571546971</v>
      </c>
    </row>
    <row r="6135" spans="7:20" ht="14.4" x14ac:dyDescent="0.25">
      <c r="G6135" s="10">
        <v>2203</v>
      </c>
      <c r="H6135" s="9">
        <v>15904</v>
      </c>
      <c r="I6135" s="14">
        <f>DATE(2012,12,31)-1161</f>
        <v>40113</v>
      </c>
      <c r="J6135" s="15" t="s">
        <v>28</v>
      </c>
      <c r="K6135" s="9">
        <v>39</v>
      </c>
      <c r="L6135" s="16" t="s">
        <v>26</v>
      </c>
      <c r="M6135" s="16">
        <f t="shared" si="573"/>
        <v>0.92735299990740228</v>
      </c>
      <c r="N6135">
        <f t="shared" si="574"/>
        <v>0</v>
      </c>
      <c r="O6135">
        <f t="shared" si="575"/>
        <v>0</v>
      </c>
      <c r="P6135">
        <f t="shared" si="572"/>
        <v>5350</v>
      </c>
      <c r="Q6135">
        <f t="shared" si="576"/>
        <v>5350</v>
      </c>
      <c r="T6135" s="16">
        <f t="shared" si="577"/>
        <v>0.92735299990740183</v>
      </c>
    </row>
    <row r="6136" spans="7:20" ht="14.4" x14ac:dyDescent="0.25">
      <c r="G6136" s="10">
        <v>2204</v>
      </c>
      <c r="H6136" s="9">
        <v>15904</v>
      </c>
      <c r="I6136" s="14">
        <f>DATE(2012,12,31)-1161</f>
        <v>40113</v>
      </c>
      <c r="J6136" s="15" t="s">
        <v>28</v>
      </c>
      <c r="K6136" s="9">
        <v>49</v>
      </c>
      <c r="L6136" s="16" t="s">
        <v>26</v>
      </c>
      <c r="M6136" s="16">
        <f t="shared" si="573"/>
        <v>1.6179507660996166</v>
      </c>
      <c r="N6136">
        <f t="shared" si="574"/>
        <v>0</v>
      </c>
      <c r="O6136">
        <f t="shared" si="575"/>
        <v>0</v>
      </c>
      <c r="P6136">
        <f t="shared" si="572"/>
        <v>5850</v>
      </c>
      <c r="Q6136">
        <f t="shared" si="576"/>
        <v>5850</v>
      </c>
      <c r="T6136" s="16">
        <f t="shared" si="577"/>
        <v>1.6179507660996162</v>
      </c>
    </row>
    <row r="6137" spans="7:20" ht="14.4" x14ac:dyDescent="0.25">
      <c r="G6137" s="10">
        <v>2279</v>
      </c>
      <c r="H6137" s="9">
        <v>16422</v>
      </c>
      <c r="I6137" s="14">
        <f>DATE(2012,12,31)-449</f>
        <v>40825</v>
      </c>
      <c r="J6137" s="15" t="s">
        <v>30</v>
      </c>
      <c r="K6137" s="9">
        <v>40</v>
      </c>
      <c r="L6137" s="16" t="s">
        <v>26</v>
      </c>
      <c r="M6137" s="16">
        <f t="shared" si="573"/>
        <v>0.99641277652662363</v>
      </c>
      <c r="N6137">
        <f t="shared" si="574"/>
        <v>0</v>
      </c>
      <c r="O6137">
        <f t="shared" si="575"/>
        <v>0</v>
      </c>
      <c r="P6137">
        <f t="shared" si="572"/>
        <v>5400</v>
      </c>
      <c r="Q6137">
        <f t="shared" si="576"/>
        <v>5400</v>
      </c>
      <c r="T6137" s="16">
        <f t="shared" si="577"/>
        <v>0.9964127765266233</v>
      </c>
    </row>
    <row r="6138" spans="7:20" ht="14.4" x14ac:dyDescent="0.25">
      <c r="G6138" s="10">
        <v>2280</v>
      </c>
      <c r="H6138" s="9">
        <v>16422</v>
      </c>
      <c r="I6138" s="14">
        <f>DATE(2012,12,31)-449</f>
        <v>40825</v>
      </c>
      <c r="J6138" s="15" t="s">
        <v>30</v>
      </c>
      <c r="K6138" s="9">
        <v>16</v>
      </c>
      <c r="L6138" s="16" t="s">
        <v>26</v>
      </c>
      <c r="M6138" s="16">
        <f t="shared" si="573"/>
        <v>-0.66102186233469074</v>
      </c>
      <c r="N6138">
        <f t="shared" si="574"/>
        <v>0</v>
      </c>
      <c r="O6138">
        <f t="shared" si="575"/>
        <v>0</v>
      </c>
      <c r="P6138">
        <f t="shared" si="572"/>
        <v>4200</v>
      </c>
      <c r="Q6138">
        <f t="shared" si="576"/>
        <v>4200</v>
      </c>
      <c r="T6138" s="16">
        <f t="shared" si="577"/>
        <v>-0.66102186233469118</v>
      </c>
    </row>
    <row r="6139" spans="7:20" ht="14.4" x14ac:dyDescent="0.25">
      <c r="G6139" s="10">
        <v>2394</v>
      </c>
      <c r="H6139" s="9">
        <v>17345</v>
      </c>
      <c r="I6139" s="14">
        <f>DATE(2012,12,31)-517</f>
        <v>40757</v>
      </c>
      <c r="J6139" s="15" t="s">
        <v>30</v>
      </c>
      <c r="K6139" s="9">
        <v>23</v>
      </c>
      <c r="L6139" s="16" t="s">
        <v>26</v>
      </c>
      <c r="M6139" s="16">
        <f t="shared" si="573"/>
        <v>-0.17760342600014073</v>
      </c>
      <c r="N6139">
        <f t="shared" si="574"/>
        <v>0</v>
      </c>
      <c r="O6139">
        <f t="shared" si="575"/>
        <v>0</v>
      </c>
      <c r="P6139">
        <f t="shared" si="572"/>
        <v>4550</v>
      </c>
      <c r="Q6139">
        <f t="shared" si="576"/>
        <v>4550</v>
      </c>
      <c r="T6139" s="16">
        <f t="shared" si="577"/>
        <v>-0.17760342600014112</v>
      </c>
    </row>
    <row r="6140" spans="7:20" ht="14.4" x14ac:dyDescent="0.25">
      <c r="G6140" s="10">
        <v>2504</v>
      </c>
      <c r="H6140" s="9">
        <v>18208</v>
      </c>
      <c r="I6140" s="14">
        <f>DATE(2012,12,31)-274</f>
        <v>41000</v>
      </c>
      <c r="J6140" s="15" t="s">
        <v>28</v>
      </c>
      <c r="K6140" s="9">
        <v>34</v>
      </c>
      <c r="L6140" s="16" t="s">
        <v>26</v>
      </c>
      <c r="M6140" s="16">
        <f t="shared" si="573"/>
        <v>0.58205411681129504</v>
      </c>
      <c r="N6140">
        <f t="shared" si="574"/>
        <v>0</v>
      </c>
      <c r="O6140">
        <f t="shared" si="575"/>
        <v>0</v>
      </c>
      <c r="P6140">
        <f t="shared" si="572"/>
        <v>5100</v>
      </c>
      <c r="Q6140">
        <f t="shared" si="576"/>
        <v>5100</v>
      </c>
      <c r="T6140" s="16">
        <f t="shared" si="577"/>
        <v>0.58205411681129471</v>
      </c>
    </row>
    <row r="6141" spans="7:20" ht="14.4" x14ac:dyDescent="0.25">
      <c r="G6141" s="10">
        <v>2505</v>
      </c>
      <c r="H6141" s="9">
        <v>18208</v>
      </c>
      <c r="I6141" s="14">
        <f>DATE(2012,12,31)-274</f>
        <v>41000</v>
      </c>
      <c r="J6141" s="15" t="s">
        <v>28</v>
      </c>
      <c r="K6141" s="9">
        <v>36</v>
      </c>
      <c r="L6141" s="16" t="s">
        <v>26</v>
      </c>
      <c r="M6141" s="16">
        <f t="shared" si="573"/>
        <v>0.72017367004973787</v>
      </c>
      <c r="N6141">
        <f t="shared" si="574"/>
        <v>0</v>
      </c>
      <c r="O6141">
        <f t="shared" si="575"/>
        <v>0</v>
      </c>
      <c r="P6141">
        <f t="shared" si="572"/>
        <v>5200</v>
      </c>
      <c r="Q6141">
        <f t="shared" si="576"/>
        <v>5200</v>
      </c>
      <c r="T6141" s="16">
        <f t="shared" si="577"/>
        <v>0.72017367004973754</v>
      </c>
    </row>
    <row r="6142" spans="7:20" ht="14.4" x14ac:dyDescent="0.25">
      <c r="G6142" s="10">
        <v>2556</v>
      </c>
      <c r="H6142" s="9">
        <v>18500</v>
      </c>
      <c r="I6142" s="14">
        <f>DATE(2012,12,31)-324</f>
        <v>40950</v>
      </c>
      <c r="J6142" s="15" t="s">
        <v>16</v>
      </c>
      <c r="K6142" s="9">
        <v>44</v>
      </c>
      <c r="L6142" s="16" t="s">
        <v>29</v>
      </c>
      <c r="M6142" s="16">
        <f t="shared" si="573"/>
        <v>1.2726518830035094</v>
      </c>
      <c r="N6142">
        <f t="shared" si="574"/>
        <v>0</v>
      </c>
      <c r="O6142">
        <f t="shared" si="575"/>
        <v>0</v>
      </c>
      <c r="P6142">
        <f t="shared" si="572"/>
        <v>5600</v>
      </c>
      <c r="Q6142">
        <f t="shared" si="576"/>
        <v>5600</v>
      </c>
      <c r="T6142" s="16">
        <f t="shared" si="577"/>
        <v>1.272651883003509</v>
      </c>
    </row>
    <row r="6143" spans="7:20" ht="14.4" x14ac:dyDescent="0.25">
      <c r="G6143" s="10">
        <v>2557</v>
      </c>
      <c r="H6143" s="9">
        <v>18500</v>
      </c>
      <c r="I6143" s="14">
        <f>DATE(2012,12,31)-324</f>
        <v>40950</v>
      </c>
      <c r="J6143" s="15" t="s">
        <v>16</v>
      </c>
      <c r="K6143" s="9">
        <v>30</v>
      </c>
      <c r="L6143" s="16" t="s">
        <v>27</v>
      </c>
      <c r="M6143" s="16">
        <f t="shared" si="573"/>
        <v>0.30581501033440933</v>
      </c>
      <c r="N6143">
        <f t="shared" si="574"/>
        <v>0</v>
      </c>
      <c r="O6143">
        <f t="shared" si="575"/>
        <v>0</v>
      </c>
      <c r="P6143">
        <f t="shared" si="572"/>
        <v>4900</v>
      </c>
      <c r="Q6143">
        <f t="shared" si="576"/>
        <v>4900</v>
      </c>
      <c r="T6143" s="16">
        <f t="shared" si="577"/>
        <v>0.30581501033440894</v>
      </c>
    </row>
    <row r="6144" spans="7:20" ht="14.4" x14ac:dyDescent="0.25">
      <c r="G6144" s="10">
        <v>2558</v>
      </c>
      <c r="H6144" s="9">
        <v>18500</v>
      </c>
      <c r="I6144" s="14">
        <f>DATE(2012,12,31)-324</f>
        <v>40950</v>
      </c>
      <c r="J6144" s="15" t="s">
        <v>16</v>
      </c>
      <c r="K6144" s="9">
        <v>30</v>
      </c>
      <c r="L6144" s="16" t="s">
        <v>26</v>
      </c>
      <c r="M6144" s="16">
        <f t="shared" si="573"/>
        <v>0.30581501033440933</v>
      </c>
      <c r="N6144">
        <f t="shared" si="574"/>
        <v>0</v>
      </c>
      <c r="O6144">
        <f t="shared" si="575"/>
        <v>0</v>
      </c>
      <c r="P6144">
        <f t="shared" si="572"/>
        <v>4900</v>
      </c>
      <c r="Q6144">
        <f t="shared" si="576"/>
        <v>4900</v>
      </c>
      <c r="T6144" s="16">
        <f t="shared" si="577"/>
        <v>0.30581501033440894</v>
      </c>
    </row>
    <row r="6145" spans="7:20" ht="14.4" x14ac:dyDescent="0.25">
      <c r="G6145" s="10">
        <v>2580</v>
      </c>
      <c r="H6145" s="9">
        <v>18597</v>
      </c>
      <c r="I6145" s="14">
        <f>DATE(2012,12,31)-827</f>
        <v>40447</v>
      </c>
      <c r="J6145" s="15" t="s">
        <v>16</v>
      </c>
      <c r="K6145" s="9">
        <v>37</v>
      </c>
      <c r="L6145" s="16" t="s">
        <v>26</v>
      </c>
      <c r="M6145" s="16">
        <f t="shared" si="573"/>
        <v>0.78923344666895934</v>
      </c>
      <c r="N6145">
        <f t="shared" si="574"/>
        <v>0</v>
      </c>
      <c r="O6145">
        <f t="shared" si="575"/>
        <v>0</v>
      </c>
      <c r="P6145">
        <f t="shared" si="572"/>
        <v>5250</v>
      </c>
      <c r="Q6145">
        <f t="shared" si="576"/>
        <v>5250</v>
      </c>
      <c r="T6145" s="16">
        <f t="shared" si="577"/>
        <v>0.789233446668959</v>
      </c>
    </row>
    <row r="6146" spans="7:20" ht="14.4" x14ac:dyDescent="0.25">
      <c r="G6146" s="10">
        <v>2605</v>
      </c>
      <c r="H6146" s="9">
        <v>18822</v>
      </c>
      <c r="I6146" s="14">
        <f>DATE(2012,12,31)-741</f>
        <v>40533</v>
      </c>
      <c r="J6146" s="15" t="s">
        <v>25</v>
      </c>
      <c r="K6146" s="9">
        <v>34</v>
      </c>
      <c r="L6146" s="16" t="s">
        <v>27</v>
      </c>
      <c r="M6146" s="16">
        <f t="shared" si="573"/>
        <v>0.58205411681129504</v>
      </c>
      <c r="N6146">
        <f t="shared" si="574"/>
        <v>0</v>
      </c>
      <c r="O6146">
        <f t="shared" si="575"/>
        <v>0</v>
      </c>
      <c r="P6146">
        <f t="shared" si="572"/>
        <v>5100</v>
      </c>
      <c r="Q6146">
        <f t="shared" si="576"/>
        <v>5100</v>
      </c>
      <c r="T6146" s="16">
        <f t="shared" si="577"/>
        <v>0.58205411681129471</v>
      </c>
    </row>
    <row r="6147" spans="7:20" ht="14.4" x14ac:dyDescent="0.25">
      <c r="G6147" s="10">
        <v>2661</v>
      </c>
      <c r="H6147" s="9">
        <v>19232</v>
      </c>
      <c r="I6147" s="14">
        <f>DATE(2012,12,31)-1268</f>
        <v>40006</v>
      </c>
      <c r="J6147" s="15" t="s">
        <v>25</v>
      </c>
      <c r="K6147" s="9">
        <v>43</v>
      </c>
      <c r="L6147" s="16" t="s">
        <v>29</v>
      </c>
      <c r="M6147" s="16">
        <f t="shared" si="573"/>
        <v>1.203592106384288</v>
      </c>
      <c r="N6147">
        <f t="shared" si="574"/>
        <v>0</v>
      </c>
      <c r="O6147">
        <f t="shared" si="575"/>
        <v>0</v>
      </c>
      <c r="P6147">
        <f t="shared" si="572"/>
        <v>5550</v>
      </c>
      <c r="Q6147">
        <f t="shared" si="576"/>
        <v>5550</v>
      </c>
      <c r="T6147" s="16">
        <f t="shared" si="577"/>
        <v>1.2035921063842876</v>
      </c>
    </row>
    <row r="6148" spans="7:20" ht="14.4" x14ac:dyDescent="0.25">
      <c r="G6148" s="10">
        <v>2662</v>
      </c>
      <c r="H6148" s="9">
        <v>19232</v>
      </c>
      <c r="I6148" s="14">
        <f>DATE(2012,12,31)-1268</f>
        <v>40006</v>
      </c>
      <c r="J6148" s="15" t="s">
        <v>25</v>
      </c>
      <c r="K6148" s="9">
        <v>5</v>
      </c>
      <c r="L6148" s="16" t="s">
        <v>26</v>
      </c>
      <c r="M6148" s="16">
        <f t="shared" si="573"/>
        <v>-1.4206794051461267</v>
      </c>
      <c r="N6148">
        <f t="shared" si="574"/>
        <v>0</v>
      </c>
      <c r="O6148">
        <f t="shared" si="575"/>
        <v>0</v>
      </c>
      <c r="P6148">
        <f t="shared" si="572"/>
        <v>3650</v>
      </c>
      <c r="Q6148">
        <f t="shared" si="576"/>
        <v>3650</v>
      </c>
      <c r="T6148" s="16">
        <f t="shared" si="577"/>
        <v>-1.4206794051461269</v>
      </c>
    </row>
    <row r="6149" spans="7:20" ht="14.4" x14ac:dyDescent="0.25">
      <c r="G6149" s="10">
        <v>2663</v>
      </c>
      <c r="H6149" s="9">
        <v>19232</v>
      </c>
      <c r="I6149" s="14">
        <f>DATE(2012,12,31)-1268</f>
        <v>40006</v>
      </c>
      <c r="J6149" s="15" t="s">
        <v>25</v>
      </c>
      <c r="K6149" s="9">
        <v>28</v>
      </c>
      <c r="L6149" s="16" t="s">
        <v>29</v>
      </c>
      <c r="M6149" s="16">
        <f t="shared" si="573"/>
        <v>0.16769545709596645</v>
      </c>
      <c r="N6149">
        <f t="shared" si="574"/>
        <v>0</v>
      </c>
      <c r="O6149">
        <f t="shared" si="575"/>
        <v>0</v>
      </c>
      <c r="P6149">
        <f t="shared" si="572"/>
        <v>4800</v>
      </c>
      <c r="Q6149">
        <f t="shared" si="576"/>
        <v>4800</v>
      </c>
      <c r="T6149" s="16">
        <f t="shared" si="577"/>
        <v>0.16769545709596606</v>
      </c>
    </row>
    <row r="6150" spans="7:20" ht="14.4" x14ac:dyDescent="0.25">
      <c r="G6150" s="10">
        <v>2676</v>
      </c>
      <c r="H6150" s="9">
        <v>19363</v>
      </c>
      <c r="I6150" s="14">
        <f>DATE(2012,12,31)-545</f>
        <v>40729</v>
      </c>
      <c r="J6150" s="15" t="s">
        <v>17</v>
      </c>
      <c r="K6150" s="9">
        <v>44</v>
      </c>
      <c r="L6150" s="16" t="s">
        <v>26</v>
      </c>
      <c r="M6150" s="16">
        <f t="shared" si="573"/>
        <v>1.2726518830035094</v>
      </c>
      <c r="N6150">
        <f t="shared" si="574"/>
        <v>0</v>
      </c>
      <c r="O6150">
        <f t="shared" si="575"/>
        <v>0</v>
      </c>
      <c r="P6150">
        <f t="shared" si="572"/>
        <v>5600</v>
      </c>
      <c r="Q6150">
        <f t="shared" si="576"/>
        <v>5600</v>
      </c>
      <c r="T6150" s="16">
        <f t="shared" si="577"/>
        <v>1.272651883003509</v>
      </c>
    </row>
    <row r="6151" spans="7:20" ht="14.4" x14ac:dyDescent="0.25">
      <c r="G6151" s="10">
        <v>2677</v>
      </c>
      <c r="H6151" s="9">
        <v>19363</v>
      </c>
      <c r="I6151" s="14">
        <f>DATE(2012,12,31)-545</f>
        <v>40729</v>
      </c>
      <c r="J6151" s="15" t="s">
        <v>17</v>
      </c>
      <c r="K6151" s="9">
        <v>41</v>
      </c>
      <c r="L6151" s="16" t="s">
        <v>26</v>
      </c>
      <c r="M6151" s="16">
        <f t="shared" si="573"/>
        <v>1.0654725531458451</v>
      </c>
      <c r="N6151">
        <f t="shared" si="574"/>
        <v>0</v>
      </c>
      <c r="O6151">
        <f t="shared" si="575"/>
        <v>0</v>
      </c>
      <c r="P6151">
        <f t="shared" si="572"/>
        <v>5450</v>
      </c>
      <c r="Q6151">
        <f t="shared" si="576"/>
        <v>5450</v>
      </c>
      <c r="T6151" s="16">
        <f t="shared" si="577"/>
        <v>1.0654725531458447</v>
      </c>
    </row>
    <row r="6152" spans="7:20" ht="14.4" x14ac:dyDescent="0.25">
      <c r="G6152" s="10">
        <v>2679</v>
      </c>
      <c r="H6152" s="9">
        <v>19367</v>
      </c>
      <c r="I6152" s="14">
        <f>DATE(2012,12,31)-1351</f>
        <v>39923</v>
      </c>
      <c r="J6152" s="15" t="s">
        <v>17</v>
      </c>
      <c r="K6152" s="9">
        <v>20</v>
      </c>
      <c r="L6152" s="16" t="s">
        <v>26</v>
      </c>
      <c r="M6152" s="16">
        <f t="shared" si="573"/>
        <v>-0.38478275585780503</v>
      </c>
      <c r="N6152">
        <f t="shared" si="574"/>
        <v>0</v>
      </c>
      <c r="O6152">
        <f t="shared" si="575"/>
        <v>0</v>
      </c>
      <c r="P6152">
        <f t="shared" si="572"/>
        <v>4400</v>
      </c>
      <c r="Q6152">
        <f t="shared" si="576"/>
        <v>4400</v>
      </c>
      <c r="T6152" s="16">
        <f t="shared" si="577"/>
        <v>-0.38478275585780541</v>
      </c>
    </row>
    <row r="6153" spans="7:20" ht="14.4" x14ac:dyDescent="0.25">
      <c r="G6153" s="10">
        <v>2755</v>
      </c>
      <c r="H6153" s="9">
        <v>19911</v>
      </c>
      <c r="I6153" s="14">
        <f>DATE(2012,12,31)-452</f>
        <v>40822</v>
      </c>
      <c r="J6153" s="15" t="s">
        <v>17</v>
      </c>
      <c r="K6153" s="9">
        <v>43</v>
      </c>
      <c r="L6153" s="16" t="s">
        <v>26</v>
      </c>
      <c r="M6153" s="16">
        <f t="shared" si="573"/>
        <v>1.203592106384288</v>
      </c>
      <c r="N6153">
        <f t="shared" si="574"/>
        <v>0</v>
      </c>
      <c r="O6153">
        <f t="shared" si="575"/>
        <v>0</v>
      </c>
      <c r="P6153">
        <f t="shared" si="572"/>
        <v>5550</v>
      </c>
      <c r="Q6153">
        <f t="shared" si="576"/>
        <v>5550</v>
      </c>
      <c r="T6153" s="16">
        <f t="shared" si="577"/>
        <v>1.2035921063842876</v>
      </c>
    </row>
    <row r="6154" spans="7:20" ht="14.4" x14ac:dyDescent="0.25">
      <c r="G6154" s="10">
        <v>2756</v>
      </c>
      <c r="H6154" s="9">
        <v>19911</v>
      </c>
      <c r="I6154" s="14">
        <f>DATE(2012,12,31)-452</f>
        <v>40822</v>
      </c>
      <c r="J6154" s="15" t="s">
        <v>17</v>
      </c>
      <c r="K6154" s="9">
        <v>38</v>
      </c>
      <c r="L6154" s="16" t="s">
        <v>29</v>
      </c>
      <c r="M6154" s="16">
        <f t="shared" si="573"/>
        <v>0.85829322328818081</v>
      </c>
      <c r="N6154">
        <f t="shared" si="574"/>
        <v>0</v>
      </c>
      <c r="O6154">
        <f t="shared" si="575"/>
        <v>0</v>
      </c>
      <c r="P6154">
        <f t="shared" si="572"/>
        <v>5300</v>
      </c>
      <c r="Q6154">
        <f t="shared" si="576"/>
        <v>5300</v>
      </c>
      <c r="T6154" s="16">
        <f t="shared" si="577"/>
        <v>0.85829322328818036</v>
      </c>
    </row>
    <row r="6155" spans="7:20" ht="14.4" x14ac:dyDescent="0.25">
      <c r="G6155" s="10">
        <v>2757</v>
      </c>
      <c r="H6155" s="9">
        <v>19911</v>
      </c>
      <c r="I6155" s="14">
        <f>DATE(2012,12,31)-452</f>
        <v>40822</v>
      </c>
      <c r="J6155" s="15" t="s">
        <v>17</v>
      </c>
      <c r="K6155" s="9">
        <v>39</v>
      </c>
      <c r="L6155" s="16" t="s">
        <v>27</v>
      </c>
      <c r="M6155" s="16">
        <f t="shared" si="573"/>
        <v>0.92735299990740228</v>
      </c>
      <c r="N6155">
        <f t="shared" si="574"/>
        <v>0</v>
      </c>
      <c r="O6155">
        <f t="shared" si="575"/>
        <v>0</v>
      </c>
      <c r="P6155">
        <f t="shared" si="572"/>
        <v>5350</v>
      </c>
      <c r="Q6155">
        <f t="shared" si="576"/>
        <v>5350</v>
      </c>
      <c r="T6155" s="16">
        <f t="shared" si="577"/>
        <v>0.92735299990740183</v>
      </c>
    </row>
    <row r="6156" spans="7:20" ht="14.4" x14ac:dyDescent="0.25">
      <c r="G6156" s="10">
        <v>2848</v>
      </c>
      <c r="H6156" s="9">
        <v>20517</v>
      </c>
      <c r="I6156" s="14">
        <f>DATE(2012,12,31)-838</f>
        <v>40436</v>
      </c>
      <c r="J6156" s="15" t="s">
        <v>25</v>
      </c>
      <c r="K6156" s="9">
        <v>39</v>
      </c>
      <c r="L6156" s="16" t="s">
        <v>26</v>
      </c>
      <c r="M6156" s="16">
        <f t="shared" si="573"/>
        <v>0.92735299990740228</v>
      </c>
      <c r="N6156">
        <f t="shared" si="574"/>
        <v>0</v>
      </c>
      <c r="O6156">
        <f t="shared" si="575"/>
        <v>0</v>
      </c>
      <c r="P6156">
        <f t="shared" ref="P6156:P6219" si="578">50*K6156+$P$10</f>
        <v>5350</v>
      </c>
      <c r="Q6156">
        <f t="shared" si="576"/>
        <v>5350</v>
      </c>
      <c r="T6156" s="16">
        <f t="shared" si="577"/>
        <v>0.92735299990740183</v>
      </c>
    </row>
    <row r="6157" spans="7:20" ht="14.4" x14ac:dyDescent="0.25">
      <c r="G6157" s="10">
        <v>2995</v>
      </c>
      <c r="H6157" s="9">
        <v>21605</v>
      </c>
      <c r="I6157" s="14">
        <f>DATE(2012,12,31)-267</f>
        <v>41007</v>
      </c>
      <c r="J6157" s="15" t="s">
        <v>17</v>
      </c>
      <c r="K6157" s="9">
        <v>32</v>
      </c>
      <c r="L6157" s="16" t="s">
        <v>29</v>
      </c>
      <c r="M6157" s="16">
        <f t="shared" ref="M6157:M6220" si="579">(K6157-$K$4)/$K$7</f>
        <v>0.44393456357285216</v>
      </c>
      <c r="N6157">
        <f t="shared" ref="N6157:N6220" si="580">IF(MOD($B$20+G6157,1000)=0,1,0)</f>
        <v>0</v>
      </c>
      <c r="O6157">
        <f t="shared" ref="O6157:O6220" si="581">+ROUND(N6157*(IF(K6157&lt;$K$4,-4.5,10.5)*$P$5),-2)</f>
        <v>0</v>
      </c>
      <c r="P6157">
        <f t="shared" si="578"/>
        <v>5000</v>
      </c>
      <c r="Q6157">
        <f t="shared" ref="Q6157:Q6220" si="582">P6157+O6157</f>
        <v>5000</v>
      </c>
      <c r="T6157" s="16">
        <f t="shared" ref="T6157:T6220" si="583">(Q6157-$P$4)/$P$5</f>
        <v>0.44393456357285183</v>
      </c>
    </row>
    <row r="6158" spans="7:20" ht="14.4" x14ac:dyDescent="0.25">
      <c r="G6158" s="10">
        <v>2996</v>
      </c>
      <c r="H6158" s="9">
        <v>21605</v>
      </c>
      <c r="I6158" s="14">
        <f>DATE(2012,12,31)-267</f>
        <v>41007</v>
      </c>
      <c r="J6158" s="15" t="s">
        <v>17</v>
      </c>
      <c r="K6158" s="9">
        <v>46</v>
      </c>
      <c r="L6158" s="16" t="s">
        <v>29</v>
      </c>
      <c r="M6158" s="16">
        <f t="shared" si="579"/>
        <v>1.4107714362419523</v>
      </c>
      <c r="N6158">
        <f t="shared" si="580"/>
        <v>0</v>
      </c>
      <c r="O6158">
        <f t="shared" si="581"/>
        <v>0</v>
      </c>
      <c r="P6158">
        <f t="shared" si="578"/>
        <v>5700</v>
      </c>
      <c r="Q6158">
        <f t="shared" si="582"/>
        <v>5700</v>
      </c>
      <c r="T6158" s="16">
        <f t="shared" si="583"/>
        <v>1.4107714362419519</v>
      </c>
    </row>
    <row r="6159" spans="7:20" ht="14.4" x14ac:dyDescent="0.25">
      <c r="G6159" s="10">
        <v>3040</v>
      </c>
      <c r="H6159" s="9">
        <v>21830</v>
      </c>
      <c r="I6159" s="14">
        <f>DATE(2012,12,31)-1450</f>
        <v>39824</v>
      </c>
      <c r="J6159" s="15" t="s">
        <v>25</v>
      </c>
      <c r="K6159" s="9">
        <v>19</v>
      </c>
      <c r="L6159" s="16" t="s">
        <v>27</v>
      </c>
      <c r="M6159" s="16">
        <f t="shared" si="579"/>
        <v>-0.45384253247702649</v>
      </c>
      <c r="N6159">
        <f t="shared" si="580"/>
        <v>0</v>
      </c>
      <c r="O6159">
        <f t="shared" si="581"/>
        <v>0</v>
      </c>
      <c r="P6159">
        <f t="shared" si="578"/>
        <v>4350</v>
      </c>
      <c r="Q6159">
        <f t="shared" si="582"/>
        <v>4350</v>
      </c>
      <c r="T6159" s="16">
        <f t="shared" si="583"/>
        <v>-0.45384253247702688</v>
      </c>
    </row>
    <row r="6160" spans="7:20" ht="14.4" x14ac:dyDescent="0.25">
      <c r="G6160" s="10">
        <v>3086</v>
      </c>
      <c r="H6160" s="9">
        <v>22147</v>
      </c>
      <c r="I6160" s="14">
        <f>DATE(2012,12,31)-1445</f>
        <v>39829</v>
      </c>
      <c r="J6160" s="15" t="s">
        <v>25</v>
      </c>
      <c r="K6160" s="9">
        <v>37</v>
      </c>
      <c r="L6160" s="16" t="s">
        <v>29</v>
      </c>
      <c r="M6160" s="16">
        <f t="shared" si="579"/>
        <v>0.78923344666895934</v>
      </c>
      <c r="N6160">
        <f t="shared" si="580"/>
        <v>0</v>
      </c>
      <c r="O6160">
        <f t="shared" si="581"/>
        <v>0</v>
      </c>
      <c r="P6160">
        <f t="shared" si="578"/>
        <v>5250</v>
      </c>
      <c r="Q6160">
        <f t="shared" si="582"/>
        <v>5250</v>
      </c>
      <c r="T6160" s="16">
        <f t="shared" si="583"/>
        <v>0.789233446668959</v>
      </c>
    </row>
    <row r="6161" spans="7:20" ht="14.4" x14ac:dyDescent="0.25">
      <c r="G6161" s="10">
        <v>3092</v>
      </c>
      <c r="H6161" s="9">
        <v>22182</v>
      </c>
      <c r="I6161" s="14">
        <f>DATE(2012,12,31)-117</f>
        <v>41157</v>
      </c>
      <c r="J6161" s="15" t="s">
        <v>16</v>
      </c>
      <c r="K6161" s="9">
        <v>4</v>
      </c>
      <c r="L6161" s="16" t="s">
        <v>26</v>
      </c>
      <c r="M6161" s="16">
        <f t="shared" si="579"/>
        <v>-1.489739181765348</v>
      </c>
      <c r="N6161">
        <f t="shared" si="580"/>
        <v>0</v>
      </c>
      <c r="O6161">
        <f t="shared" si="581"/>
        <v>0</v>
      </c>
      <c r="P6161">
        <f t="shared" si="578"/>
        <v>3600</v>
      </c>
      <c r="Q6161">
        <f t="shared" si="582"/>
        <v>3600</v>
      </c>
      <c r="T6161" s="16">
        <f t="shared" si="583"/>
        <v>-1.4897391817653485</v>
      </c>
    </row>
    <row r="6162" spans="7:20" ht="14.4" x14ac:dyDescent="0.25">
      <c r="G6162" s="10">
        <v>3093</v>
      </c>
      <c r="H6162" s="9">
        <v>22182</v>
      </c>
      <c r="I6162" s="14">
        <f>DATE(2012,12,31)-117</f>
        <v>41157</v>
      </c>
      <c r="J6162" s="15" t="s">
        <v>16</v>
      </c>
      <c r="K6162" s="9">
        <v>9</v>
      </c>
      <c r="L6162" s="16" t="s">
        <v>27</v>
      </c>
      <c r="M6162" s="16">
        <f t="shared" si="579"/>
        <v>-1.1444402986692408</v>
      </c>
      <c r="N6162">
        <f t="shared" si="580"/>
        <v>0</v>
      </c>
      <c r="O6162">
        <f t="shared" si="581"/>
        <v>0</v>
      </c>
      <c r="P6162">
        <f t="shared" si="578"/>
        <v>3850</v>
      </c>
      <c r="Q6162">
        <f t="shared" si="582"/>
        <v>3850</v>
      </c>
      <c r="T6162" s="16">
        <f t="shared" si="583"/>
        <v>-1.1444402986692412</v>
      </c>
    </row>
    <row r="6163" spans="7:20" ht="14.4" x14ac:dyDescent="0.25">
      <c r="G6163" s="10">
        <v>3094</v>
      </c>
      <c r="H6163" s="9">
        <v>22182</v>
      </c>
      <c r="I6163" s="14">
        <f>DATE(2012,12,31)-117</f>
        <v>41157</v>
      </c>
      <c r="J6163" s="15" t="s">
        <v>16</v>
      </c>
      <c r="K6163" s="9">
        <v>48</v>
      </c>
      <c r="L6163" s="16" t="s">
        <v>29</v>
      </c>
      <c r="M6163" s="16">
        <f t="shared" si="579"/>
        <v>1.5488909894803951</v>
      </c>
      <c r="N6163">
        <f t="shared" si="580"/>
        <v>0</v>
      </c>
      <c r="O6163">
        <f t="shared" si="581"/>
        <v>0</v>
      </c>
      <c r="P6163">
        <f t="shared" si="578"/>
        <v>5800</v>
      </c>
      <c r="Q6163">
        <f t="shared" si="582"/>
        <v>5800</v>
      </c>
      <c r="T6163" s="16">
        <f t="shared" si="583"/>
        <v>1.5488909894803948</v>
      </c>
    </row>
    <row r="6164" spans="7:20" ht="14.4" x14ac:dyDescent="0.25">
      <c r="G6164" s="10">
        <v>3103</v>
      </c>
      <c r="H6164" s="9">
        <v>22243</v>
      </c>
      <c r="I6164" s="14">
        <f>DATE(2012,12,31)-1446</f>
        <v>39828</v>
      </c>
      <c r="J6164" s="15" t="s">
        <v>30</v>
      </c>
      <c r="K6164" s="9">
        <v>9</v>
      </c>
      <c r="L6164" s="16" t="s">
        <v>26</v>
      </c>
      <c r="M6164" s="16">
        <f t="shared" si="579"/>
        <v>-1.1444402986692408</v>
      </c>
      <c r="N6164">
        <f t="shared" si="580"/>
        <v>0</v>
      </c>
      <c r="O6164">
        <f t="shared" si="581"/>
        <v>0</v>
      </c>
      <c r="P6164">
        <f t="shared" si="578"/>
        <v>3850</v>
      </c>
      <c r="Q6164">
        <f t="shared" si="582"/>
        <v>3850</v>
      </c>
      <c r="T6164" s="16">
        <f t="shared" si="583"/>
        <v>-1.1444402986692412</v>
      </c>
    </row>
    <row r="6165" spans="7:20" ht="14.4" x14ac:dyDescent="0.25">
      <c r="G6165" s="10">
        <v>3218</v>
      </c>
      <c r="H6165" s="9">
        <v>23104</v>
      </c>
      <c r="I6165" s="14">
        <f>DATE(2012,12,31)-632</f>
        <v>40642</v>
      </c>
      <c r="J6165" s="15" t="s">
        <v>16</v>
      </c>
      <c r="K6165" s="9">
        <v>3</v>
      </c>
      <c r="L6165" s="16" t="s">
        <v>29</v>
      </c>
      <c r="M6165" s="16">
        <f t="shared" si="579"/>
        <v>-1.5587989583845694</v>
      </c>
      <c r="N6165">
        <f t="shared" si="580"/>
        <v>0</v>
      </c>
      <c r="O6165">
        <f t="shared" si="581"/>
        <v>0</v>
      </c>
      <c r="P6165">
        <f t="shared" si="578"/>
        <v>3550</v>
      </c>
      <c r="Q6165">
        <f t="shared" si="582"/>
        <v>3550</v>
      </c>
      <c r="T6165" s="16">
        <f t="shared" si="583"/>
        <v>-1.5587989583845698</v>
      </c>
    </row>
    <row r="6166" spans="7:20" ht="14.4" x14ac:dyDescent="0.25">
      <c r="G6166" s="10">
        <v>3219</v>
      </c>
      <c r="H6166" s="9">
        <v>23104</v>
      </c>
      <c r="I6166" s="14">
        <f>DATE(2012,12,31)-632</f>
        <v>40642</v>
      </c>
      <c r="J6166" s="15" t="s">
        <v>16</v>
      </c>
      <c r="K6166" s="9">
        <v>24</v>
      </c>
      <c r="L6166" s="16" t="s">
        <v>26</v>
      </c>
      <c r="M6166" s="16">
        <f t="shared" si="579"/>
        <v>-0.1085436493809193</v>
      </c>
      <c r="N6166">
        <f t="shared" si="580"/>
        <v>0</v>
      </c>
      <c r="O6166">
        <f t="shared" si="581"/>
        <v>0</v>
      </c>
      <c r="P6166">
        <f t="shared" si="578"/>
        <v>4600</v>
      </c>
      <c r="Q6166">
        <f t="shared" si="582"/>
        <v>4600</v>
      </c>
      <c r="T6166" s="16">
        <f t="shared" si="583"/>
        <v>-0.10854364938091969</v>
      </c>
    </row>
    <row r="6167" spans="7:20" ht="14.4" x14ac:dyDescent="0.25">
      <c r="G6167" s="10">
        <v>3267</v>
      </c>
      <c r="H6167" s="9">
        <v>23363</v>
      </c>
      <c r="I6167" s="14">
        <f>DATE(2012,12,31)-216</f>
        <v>41058</v>
      </c>
      <c r="J6167" s="15" t="s">
        <v>25</v>
      </c>
      <c r="K6167" s="9">
        <v>46</v>
      </c>
      <c r="L6167" s="16" t="s">
        <v>26</v>
      </c>
      <c r="M6167" s="16">
        <f t="shared" si="579"/>
        <v>1.4107714362419523</v>
      </c>
      <c r="N6167">
        <f t="shared" si="580"/>
        <v>0</v>
      </c>
      <c r="O6167">
        <f t="shared" si="581"/>
        <v>0</v>
      </c>
      <c r="P6167">
        <f t="shared" si="578"/>
        <v>5700</v>
      </c>
      <c r="Q6167">
        <f t="shared" si="582"/>
        <v>5700</v>
      </c>
      <c r="T6167" s="16">
        <f t="shared" si="583"/>
        <v>1.4107714362419519</v>
      </c>
    </row>
    <row r="6168" spans="7:20" ht="14.4" x14ac:dyDescent="0.25">
      <c r="G6168" s="10">
        <v>3298</v>
      </c>
      <c r="H6168" s="9">
        <v>23559</v>
      </c>
      <c r="I6168" s="14">
        <f>DATE(2012,12,31)-897</f>
        <v>40377</v>
      </c>
      <c r="J6168" s="15" t="s">
        <v>25</v>
      </c>
      <c r="K6168" s="9">
        <v>14</v>
      </c>
      <c r="L6168" s="16" t="s">
        <v>26</v>
      </c>
      <c r="M6168" s="16">
        <f t="shared" si="579"/>
        <v>-0.79914141557313367</v>
      </c>
      <c r="N6168">
        <f t="shared" si="580"/>
        <v>0</v>
      </c>
      <c r="O6168">
        <f t="shared" si="581"/>
        <v>0</v>
      </c>
      <c r="P6168">
        <f t="shared" si="578"/>
        <v>4100</v>
      </c>
      <c r="Q6168">
        <f t="shared" si="582"/>
        <v>4100</v>
      </c>
      <c r="T6168" s="16">
        <f t="shared" si="583"/>
        <v>-0.79914141557313401</v>
      </c>
    </row>
    <row r="6169" spans="7:20" ht="14.4" x14ac:dyDescent="0.25">
      <c r="G6169" s="10">
        <v>3299</v>
      </c>
      <c r="H6169" s="9">
        <v>23559</v>
      </c>
      <c r="I6169" s="14">
        <f>DATE(2012,12,31)-897</f>
        <v>40377</v>
      </c>
      <c r="J6169" s="15" t="s">
        <v>25</v>
      </c>
      <c r="K6169" s="9">
        <v>9</v>
      </c>
      <c r="L6169" s="16" t="s">
        <v>27</v>
      </c>
      <c r="M6169" s="16">
        <f t="shared" si="579"/>
        <v>-1.1444402986692408</v>
      </c>
      <c r="N6169">
        <f t="shared" si="580"/>
        <v>0</v>
      </c>
      <c r="O6169">
        <f t="shared" si="581"/>
        <v>0</v>
      </c>
      <c r="P6169">
        <f t="shared" si="578"/>
        <v>3850</v>
      </c>
      <c r="Q6169">
        <f t="shared" si="582"/>
        <v>3850</v>
      </c>
      <c r="T6169" s="16">
        <f t="shared" si="583"/>
        <v>-1.1444402986692412</v>
      </c>
    </row>
    <row r="6170" spans="7:20" ht="14.4" x14ac:dyDescent="0.25">
      <c r="G6170" s="10">
        <v>3389</v>
      </c>
      <c r="H6170" s="9">
        <v>24160</v>
      </c>
      <c r="I6170" s="14">
        <f>DATE(2012,12,31)-699</f>
        <v>40575</v>
      </c>
      <c r="J6170" s="15" t="s">
        <v>16</v>
      </c>
      <c r="K6170" s="9">
        <v>44</v>
      </c>
      <c r="L6170" s="16" t="s">
        <v>27</v>
      </c>
      <c r="M6170" s="16">
        <f t="shared" si="579"/>
        <v>1.2726518830035094</v>
      </c>
      <c r="N6170">
        <f t="shared" si="580"/>
        <v>0</v>
      </c>
      <c r="O6170">
        <f t="shared" si="581"/>
        <v>0</v>
      </c>
      <c r="P6170">
        <f t="shared" si="578"/>
        <v>5600</v>
      </c>
      <c r="Q6170">
        <f t="shared" si="582"/>
        <v>5600</v>
      </c>
      <c r="T6170" s="16">
        <f t="shared" si="583"/>
        <v>1.272651883003509</v>
      </c>
    </row>
    <row r="6171" spans="7:20" ht="14.4" x14ac:dyDescent="0.25">
      <c r="G6171" s="10">
        <v>3392</v>
      </c>
      <c r="H6171" s="9">
        <v>24193</v>
      </c>
      <c r="I6171" s="14">
        <f>DATE(2012,12,31)-1388</f>
        <v>39886</v>
      </c>
      <c r="J6171" s="15" t="s">
        <v>28</v>
      </c>
      <c r="K6171" s="9">
        <v>45</v>
      </c>
      <c r="L6171" s="16" t="s">
        <v>29</v>
      </c>
      <c r="M6171" s="16">
        <f t="shared" si="579"/>
        <v>1.3417116596227308</v>
      </c>
      <c r="N6171">
        <f t="shared" si="580"/>
        <v>0</v>
      </c>
      <c r="O6171">
        <f t="shared" si="581"/>
        <v>0</v>
      </c>
      <c r="P6171">
        <f t="shared" si="578"/>
        <v>5650</v>
      </c>
      <c r="Q6171">
        <f t="shared" si="582"/>
        <v>5650</v>
      </c>
      <c r="T6171" s="16">
        <f t="shared" si="583"/>
        <v>1.3417116596227305</v>
      </c>
    </row>
    <row r="6172" spans="7:20" ht="14.4" x14ac:dyDescent="0.25">
      <c r="G6172" s="10">
        <v>3393</v>
      </c>
      <c r="H6172" s="9">
        <v>24193</v>
      </c>
      <c r="I6172" s="14">
        <f>DATE(2012,12,31)-1388</f>
        <v>39886</v>
      </c>
      <c r="J6172" s="15" t="s">
        <v>28</v>
      </c>
      <c r="K6172" s="9">
        <v>24</v>
      </c>
      <c r="L6172" s="16" t="s">
        <v>26</v>
      </c>
      <c r="M6172" s="16">
        <f t="shared" si="579"/>
        <v>-0.1085436493809193</v>
      </c>
      <c r="N6172">
        <f t="shared" si="580"/>
        <v>0</v>
      </c>
      <c r="O6172">
        <f t="shared" si="581"/>
        <v>0</v>
      </c>
      <c r="P6172">
        <f t="shared" si="578"/>
        <v>4600</v>
      </c>
      <c r="Q6172">
        <f t="shared" si="582"/>
        <v>4600</v>
      </c>
      <c r="T6172" s="16">
        <f t="shared" si="583"/>
        <v>-0.10854364938091969</v>
      </c>
    </row>
    <row r="6173" spans="7:20" ht="14.4" x14ac:dyDescent="0.25">
      <c r="G6173" s="10">
        <v>3394</v>
      </c>
      <c r="H6173" s="9">
        <v>24193</v>
      </c>
      <c r="I6173" s="14">
        <f>DATE(2012,12,31)-1388</f>
        <v>39886</v>
      </c>
      <c r="J6173" s="15" t="s">
        <v>28</v>
      </c>
      <c r="K6173" s="9">
        <v>19</v>
      </c>
      <c r="L6173" s="16" t="s">
        <v>27</v>
      </c>
      <c r="M6173" s="16">
        <f t="shared" si="579"/>
        <v>-0.45384253247702649</v>
      </c>
      <c r="N6173">
        <f t="shared" si="580"/>
        <v>0</v>
      </c>
      <c r="O6173">
        <f t="shared" si="581"/>
        <v>0</v>
      </c>
      <c r="P6173">
        <f t="shared" si="578"/>
        <v>4350</v>
      </c>
      <c r="Q6173">
        <f t="shared" si="582"/>
        <v>4350</v>
      </c>
      <c r="T6173" s="16">
        <f t="shared" si="583"/>
        <v>-0.45384253247702688</v>
      </c>
    </row>
    <row r="6174" spans="7:20" ht="14.4" x14ac:dyDescent="0.25">
      <c r="G6174" s="10">
        <v>3409</v>
      </c>
      <c r="H6174" s="9">
        <v>24352</v>
      </c>
      <c r="I6174" s="14">
        <f>DATE(2012,12,31)-966</f>
        <v>40308</v>
      </c>
      <c r="J6174" s="15" t="s">
        <v>30</v>
      </c>
      <c r="K6174" s="9">
        <v>32</v>
      </c>
      <c r="L6174" s="16" t="s">
        <v>26</v>
      </c>
      <c r="M6174" s="16">
        <f t="shared" si="579"/>
        <v>0.44393456357285216</v>
      </c>
      <c r="N6174">
        <f t="shared" si="580"/>
        <v>0</v>
      </c>
      <c r="O6174">
        <f t="shared" si="581"/>
        <v>0</v>
      </c>
      <c r="P6174">
        <f t="shared" si="578"/>
        <v>5000</v>
      </c>
      <c r="Q6174">
        <f t="shared" si="582"/>
        <v>5000</v>
      </c>
      <c r="T6174" s="16">
        <f t="shared" si="583"/>
        <v>0.44393456357285183</v>
      </c>
    </row>
    <row r="6175" spans="7:20" ht="14.4" x14ac:dyDescent="0.25">
      <c r="G6175" s="10">
        <v>3460</v>
      </c>
      <c r="H6175" s="9">
        <v>24646</v>
      </c>
      <c r="I6175" s="14">
        <f>DATE(2012,12,31)-626</f>
        <v>40648</v>
      </c>
      <c r="J6175" s="15" t="s">
        <v>28</v>
      </c>
      <c r="K6175" s="9">
        <v>46</v>
      </c>
      <c r="L6175" s="16" t="s">
        <v>26</v>
      </c>
      <c r="M6175" s="16">
        <f t="shared" si="579"/>
        <v>1.4107714362419523</v>
      </c>
      <c r="N6175">
        <f t="shared" si="580"/>
        <v>0</v>
      </c>
      <c r="O6175">
        <f t="shared" si="581"/>
        <v>0</v>
      </c>
      <c r="P6175">
        <f t="shared" si="578"/>
        <v>5700</v>
      </c>
      <c r="Q6175">
        <f t="shared" si="582"/>
        <v>5700</v>
      </c>
      <c r="T6175" s="16">
        <f t="shared" si="583"/>
        <v>1.4107714362419519</v>
      </c>
    </row>
    <row r="6176" spans="7:20" ht="14.4" x14ac:dyDescent="0.25">
      <c r="G6176" s="10">
        <v>3461</v>
      </c>
      <c r="H6176" s="9">
        <v>24646</v>
      </c>
      <c r="I6176" s="14">
        <f>DATE(2012,12,31)-626</f>
        <v>40648</v>
      </c>
      <c r="J6176" s="15" t="s">
        <v>28</v>
      </c>
      <c r="K6176" s="9">
        <v>21</v>
      </c>
      <c r="L6176" s="16" t="s">
        <v>26</v>
      </c>
      <c r="M6176" s="16">
        <f t="shared" si="579"/>
        <v>-0.31572297923858361</v>
      </c>
      <c r="N6176">
        <f t="shared" si="580"/>
        <v>0</v>
      </c>
      <c r="O6176">
        <f t="shared" si="581"/>
        <v>0</v>
      </c>
      <c r="P6176">
        <f t="shared" si="578"/>
        <v>4450</v>
      </c>
      <c r="Q6176">
        <f t="shared" si="582"/>
        <v>4450</v>
      </c>
      <c r="T6176" s="16">
        <f t="shared" si="583"/>
        <v>-0.315722979238584</v>
      </c>
    </row>
    <row r="6177" spans="7:20" ht="14.4" x14ac:dyDescent="0.25">
      <c r="G6177" s="10">
        <v>3508</v>
      </c>
      <c r="H6177" s="9">
        <v>24993</v>
      </c>
      <c r="I6177" s="14">
        <f>DATE(2012,12,31)-1026</f>
        <v>40248</v>
      </c>
      <c r="J6177" s="15" t="s">
        <v>17</v>
      </c>
      <c r="K6177" s="9">
        <v>36</v>
      </c>
      <c r="L6177" s="16" t="s">
        <v>27</v>
      </c>
      <c r="M6177" s="16">
        <f t="shared" si="579"/>
        <v>0.72017367004973787</v>
      </c>
      <c r="N6177">
        <f t="shared" si="580"/>
        <v>0</v>
      </c>
      <c r="O6177">
        <f t="shared" si="581"/>
        <v>0</v>
      </c>
      <c r="P6177">
        <f t="shared" si="578"/>
        <v>5200</v>
      </c>
      <c r="Q6177">
        <f t="shared" si="582"/>
        <v>5200</v>
      </c>
      <c r="T6177" s="16">
        <f t="shared" si="583"/>
        <v>0.72017367004973754</v>
      </c>
    </row>
    <row r="6178" spans="7:20" ht="14.4" x14ac:dyDescent="0.25">
      <c r="G6178" s="10">
        <v>3517</v>
      </c>
      <c r="H6178" s="9">
        <v>25060</v>
      </c>
      <c r="I6178" s="14">
        <f>DATE(2012,12,31)-1260</f>
        <v>40014</v>
      </c>
      <c r="J6178" s="15" t="s">
        <v>28</v>
      </c>
      <c r="K6178" s="9">
        <v>6</v>
      </c>
      <c r="L6178" s="16" t="s">
        <v>26</v>
      </c>
      <c r="M6178" s="16">
        <f t="shared" si="579"/>
        <v>-1.3516196285269051</v>
      </c>
      <c r="N6178">
        <f t="shared" si="580"/>
        <v>0</v>
      </c>
      <c r="O6178">
        <f t="shared" si="581"/>
        <v>0</v>
      </c>
      <c r="P6178">
        <f t="shared" si="578"/>
        <v>3700</v>
      </c>
      <c r="Q6178">
        <f t="shared" si="582"/>
        <v>3700</v>
      </c>
      <c r="T6178" s="16">
        <f t="shared" si="583"/>
        <v>-1.3516196285269055</v>
      </c>
    </row>
    <row r="6179" spans="7:20" ht="14.4" x14ac:dyDescent="0.25">
      <c r="G6179" s="10">
        <v>3518</v>
      </c>
      <c r="H6179" s="9">
        <v>25060</v>
      </c>
      <c r="I6179" s="14">
        <f>DATE(2012,12,31)-1260</f>
        <v>40014</v>
      </c>
      <c r="J6179" s="15" t="s">
        <v>28</v>
      </c>
      <c r="K6179" s="9">
        <v>1</v>
      </c>
      <c r="L6179" s="16" t="s">
        <v>27</v>
      </c>
      <c r="M6179" s="16">
        <f t="shared" si="579"/>
        <v>-1.6969185116230123</v>
      </c>
      <c r="N6179">
        <f t="shared" si="580"/>
        <v>0</v>
      </c>
      <c r="O6179">
        <f t="shared" si="581"/>
        <v>0</v>
      </c>
      <c r="P6179">
        <f t="shared" si="578"/>
        <v>3450</v>
      </c>
      <c r="Q6179">
        <f t="shared" si="582"/>
        <v>3450</v>
      </c>
      <c r="T6179" s="16">
        <f t="shared" si="583"/>
        <v>-1.6969185116230128</v>
      </c>
    </row>
    <row r="6180" spans="7:20" ht="14.4" x14ac:dyDescent="0.25">
      <c r="G6180" s="10">
        <v>3568</v>
      </c>
      <c r="H6180" s="9">
        <v>25447</v>
      </c>
      <c r="I6180" s="14">
        <f>DATE(2012,12,31)-222</f>
        <v>41052</v>
      </c>
      <c r="J6180" s="15" t="s">
        <v>28</v>
      </c>
      <c r="K6180" s="9">
        <v>25</v>
      </c>
      <c r="L6180" s="16" t="s">
        <v>29</v>
      </c>
      <c r="M6180" s="16">
        <f t="shared" si="579"/>
        <v>-3.9483872761697868E-2</v>
      </c>
      <c r="N6180">
        <f t="shared" si="580"/>
        <v>0</v>
      </c>
      <c r="O6180">
        <f t="shared" si="581"/>
        <v>0</v>
      </c>
      <c r="P6180">
        <f t="shared" si="578"/>
        <v>4650</v>
      </c>
      <c r="Q6180">
        <f t="shared" si="582"/>
        <v>4650</v>
      </c>
      <c r="T6180" s="16">
        <f t="shared" si="583"/>
        <v>-3.9483872761698249E-2</v>
      </c>
    </row>
    <row r="6181" spans="7:20" ht="14.4" x14ac:dyDescent="0.25">
      <c r="G6181" s="10">
        <v>3569</v>
      </c>
      <c r="H6181" s="9">
        <v>25447</v>
      </c>
      <c r="I6181" s="14">
        <f>DATE(2012,12,31)-222</f>
        <v>41052</v>
      </c>
      <c r="J6181" s="15" t="s">
        <v>28</v>
      </c>
      <c r="K6181" s="9">
        <v>18</v>
      </c>
      <c r="L6181" s="16" t="s">
        <v>29</v>
      </c>
      <c r="M6181" s="16">
        <f t="shared" si="579"/>
        <v>-0.52290230909624791</v>
      </c>
      <c r="N6181">
        <f t="shared" si="580"/>
        <v>0</v>
      </c>
      <c r="O6181">
        <f t="shared" si="581"/>
        <v>0</v>
      </c>
      <c r="P6181">
        <f t="shared" si="578"/>
        <v>4300</v>
      </c>
      <c r="Q6181">
        <f t="shared" si="582"/>
        <v>4300</v>
      </c>
      <c r="T6181" s="16">
        <f t="shared" si="583"/>
        <v>-0.52290230909624835</v>
      </c>
    </row>
    <row r="6182" spans="7:20" ht="14.4" x14ac:dyDescent="0.25">
      <c r="G6182" s="10">
        <v>3660</v>
      </c>
      <c r="H6182" s="9">
        <v>26214</v>
      </c>
      <c r="I6182" s="14">
        <f>DATE(2012,12,31)-407</f>
        <v>40867</v>
      </c>
      <c r="J6182" s="15" t="s">
        <v>16</v>
      </c>
      <c r="K6182" s="9">
        <v>19</v>
      </c>
      <c r="L6182" s="16" t="s">
        <v>26</v>
      </c>
      <c r="M6182" s="16">
        <f t="shared" si="579"/>
        <v>-0.45384253247702649</v>
      </c>
      <c r="N6182">
        <f t="shared" si="580"/>
        <v>0</v>
      </c>
      <c r="O6182">
        <f t="shared" si="581"/>
        <v>0</v>
      </c>
      <c r="P6182">
        <f t="shared" si="578"/>
        <v>4350</v>
      </c>
      <c r="Q6182">
        <f t="shared" si="582"/>
        <v>4350</v>
      </c>
      <c r="T6182" s="16">
        <f t="shared" si="583"/>
        <v>-0.45384253247702688</v>
      </c>
    </row>
    <row r="6183" spans="7:20" ht="14.4" x14ac:dyDescent="0.25">
      <c r="G6183" s="10">
        <v>3661</v>
      </c>
      <c r="H6183" s="9">
        <v>26214</v>
      </c>
      <c r="I6183" s="14">
        <f>DATE(2012,12,31)-407</f>
        <v>40867</v>
      </c>
      <c r="J6183" s="15" t="s">
        <v>16</v>
      </c>
      <c r="K6183" s="9">
        <v>41</v>
      </c>
      <c r="L6183" s="16" t="s">
        <v>29</v>
      </c>
      <c r="M6183" s="16">
        <f t="shared" si="579"/>
        <v>1.0654725531458451</v>
      </c>
      <c r="N6183">
        <f t="shared" si="580"/>
        <v>0</v>
      </c>
      <c r="O6183">
        <f t="shared" si="581"/>
        <v>0</v>
      </c>
      <c r="P6183">
        <f t="shared" si="578"/>
        <v>5450</v>
      </c>
      <c r="Q6183">
        <f t="shared" si="582"/>
        <v>5450</v>
      </c>
      <c r="T6183" s="16">
        <f t="shared" si="583"/>
        <v>1.0654725531458447</v>
      </c>
    </row>
    <row r="6184" spans="7:20" ht="14.4" x14ac:dyDescent="0.25">
      <c r="G6184" s="10">
        <v>3767</v>
      </c>
      <c r="H6184" s="9">
        <v>26913</v>
      </c>
      <c r="I6184" s="14">
        <f>DATE(2012,12,31)-1189</f>
        <v>40085</v>
      </c>
      <c r="J6184" s="15" t="s">
        <v>17</v>
      </c>
      <c r="K6184" s="9">
        <v>11</v>
      </c>
      <c r="L6184" s="16" t="s">
        <v>27</v>
      </c>
      <c r="M6184" s="16">
        <f t="shared" si="579"/>
        <v>-1.0063207454307979</v>
      </c>
      <c r="N6184">
        <f t="shared" si="580"/>
        <v>0</v>
      </c>
      <c r="O6184">
        <f t="shared" si="581"/>
        <v>0</v>
      </c>
      <c r="P6184">
        <f t="shared" si="578"/>
        <v>3950</v>
      </c>
      <c r="Q6184">
        <f t="shared" si="582"/>
        <v>3950</v>
      </c>
      <c r="T6184" s="16">
        <f t="shared" si="583"/>
        <v>-1.0063207454307983</v>
      </c>
    </row>
    <row r="6185" spans="7:20" ht="14.4" x14ac:dyDescent="0.25">
      <c r="G6185" s="10">
        <v>3822</v>
      </c>
      <c r="H6185" s="9">
        <v>27265</v>
      </c>
      <c r="I6185" s="14">
        <f>DATE(2012,12,31)-239</f>
        <v>41035</v>
      </c>
      <c r="J6185" s="15" t="s">
        <v>30</v>
      </c>
      <c r="K6185" s="9">
        <v>49</v>
      </c>
      <c r="L6185" s="16" t="s">
        <v>27</v>
      </c>
      <c r="M6185" s="16">
        <f t="shared" si="579"/>
        <v>1.6179507660996166</v>
      </c>
      <c r="N6185">
        <f t="shared" si="580"/>
        <v>0</v>
      </c>
      <c r="O6185">
        <f t="shared" si="581"/>
        <v>0</v>
      </c>
      <c r="P6185">
        <f t="shared" si="578"/>
        <v>5850</v>
      </c>
      <c r="Q6185">
        <f t="shared" si="582"/>
        <v>5850</v>
      </c>
      <c r="T6185" s="16">
        <f t="shared" si="583"/>
        <v>1.6179507660996162</v>
      </c>
    </row>
    <row r="6186" spans="7:20" ht="14.4" x14ac:dyDescent="0.25">
      <c r="G6186" s="10">
        <v>3823</v>
      </c>
      <c r="H6186" s="9">
        <v>27265</v>
      </c>
      <c r="I6186" s="14">
        <f>DATE(2012,12,31)-239</f>
        <v>41035</v>
      </c>
      <c r="J6186" s="15" t="s">
        <v>30</v>
      </c>
      <c r="K6186" s="9">
        <v>36</v>
      </c>
      <c r="L6186" s="16" t="s">
        <v>26</v>
      </c>
      <c r="M6186" s="16">
        <f t="shared" si="579"/>
        <v>0.72017367004973787</v>
      </c>
      <c r="N6186">
        <f t="shared" si="580"/>
        <v>0</v>
      </c>
      <c r="O6186">
        <f t="shared" si="581"/>
        <v>0</v>
      </c>
      <c r="P6186">
        <f t="shared" si="578"/>
        <v>5200</v>
      </c>
      <c r="Q6186">
        <f t="shared" si="582"/>
        <v>5200</v>
      </c>
      <c r="T6186" s="16">
        <f t="shared" si="583"/>
        <v>0.72017367004973754</v>
      </c>
    </row>
    <row r="6187" spans="7:20" ht="14.4" x14ac:dyDescent="0.25">
      <c r="G6187" s="10">
        <v>3824</v>
      </c>
      <c r="H6187" s="9">
        <v>27265</v>
      </c>
      <c r="I6187" s="14">
        <f>DATE(2012,12,31)-239</f>
        <v>41035</v>
      </c>
      <c r="J6187" s="15" t="s">
        <v>30</v>
      </c>
      <c r="K6187" s="9">
        <v>49</v>
      </c>
      <c r="L6187" s="16" t="s">
        <v>29</v>
      </c>
      <c r="M6187" s="16">
        <f t="shared" si="579"/>
        <v>1.6179507660996166</v>
      </c>
      <c r="N6187">
        <f t="shared" si="580"/>
        <v>0</v>
      </c>
      <c r="O6187">
        <f t="shared" si="581"/>
        <v>0</v>
      </c>
      <c r="P6187">
        <f t="shared" si="578"/>
        <v>5850</v>
      </c>
      <c r="Q6187">
        <f t="shared" si="582"/>
        <v>5850</v>
      </c>
      <c r="T6187" s="16">
        <f t="shared" si="583"/>
        <v>1.6179507660996162</v>
      </c>
    </row>
    <row r="6188" spans="7:20" ht="14.4" x14ac:dyDescent="0.25">
      <c r="G6188" s="10">
        <v>3855</v>
      </c>
      <c r="H6188" s="9">
        <v>27491</v>
      </c>
      <c r="I6188" s="14">
        <f>DATE(2012,12,31)-1362</f>
        <v>39912</v>
      </c>
      <c r="J6188" s="15" t="s">
        <v>28</v>
      </c>
      <c r="K6188" s="9">
        <v>11</v>
      </c>
      <c r="L6188" s="16" t="s">
        <v>26</v>
      </c>
      <c r="M6188" s="16">
        <f t="shared" si="579"/>
        <v>-1.0063207454307979</v>
      </c>
      <c r="N6188">
        <f t="shared" si="580"/>
        <v>0</v>
      </c>
      <c r="O6188">
        <f t="shared" si="581"/>
        <v>0</v>
      </c>
      <c r="P6188">
        <f t="shared" si="578"/>
        <v>3950</v>
      </c>
      <c r="Q6188">
        <f t="shared" si="582"/>
        <v>3950</v>
      </c>
      <c r="T6188" s="16">
        <f t="shared" si="583"/>
        <v>-1.0063207454307983</v>
      </c>
    </row>
    <row r="6189" spans="7:20" ht="14.4" x14ac:dyDescent="0.25">
      <c r="G6189" s="10">
        <v>3856</v>
      </c>
      <c r="H6189" s="9">
        <v>27491</v>
      </c>
      <c r="I6189" s="14">
        <f>DATE(2012,12,31)-1362</f>
        <v>39912</v>
      </c>
      <c r="J6189" s="15" t="s">
        <v>28</v>
      </c>
      <c r="K6189" s="9">
        <v>36</v>
      </c>
      <c r="L6189" s="16" t="s">
        <v>29</v>
      </c>
      <c r="M6189" s="16">
        <f t="shared" si="579"/>
        <v>0.72017367004973787</v>
      </c>
      <c r="N6189">
        <f t="shared" si="580"/>
        <v>0</v>
      </c>
      <c r="O6189">
        <f t="shared" si="581"/>
        <v>0</v>
      </c>
      <c r="P6189">
        <f t="shared" si="578"/>
        <v>5200</v>
      </c>
      <c r="Q6189">
        <f t="shared" si="582"/>
        <v>5200</v>
      </c>
      <c r="T6189" s="16">
        <f t="shared" si="583"/>
        <v>0.72017367004973754</v>
      </c>
    </row>
    <row r="6190" spans="7:20" ht="14.4" x14ac:dyDescent="0.25">
      <c r="G6190" s="10">
        <v>3857</v>
      </c>
      <c r="H6190" s="9">
        <v>27491</v>
      </c>
      <c r="I6190" s="14">
        <f>DATE(2012,12,31)-1362</f>
        <v>39912</v>
      </c>
      <c r="J6190" s="15" t="s">
        <v>28</v>
      </c>
      <c r="K6190" s="9">
        <v>2</v>
      </c>
      <c r="L6190" s="16" t="s">
        <v>26</v>
      </c>
      <c r="M6190" s="16">
        <f t="shared" si="579"/>
        <v>-1.627858735003791</v>
      </c>
      <c r="N6190">
        <f t="shared" si="580"/>
        <v>0</v>
      </c>
      <c r="O6190">
        <f t="shared" si="581"/>
        <v>0</v>
      </c>
      <c r="P6190">
        <f t="shared" si="578"/>
        <v>3500</v>
      </c>
      <c r="Q6190">
        <f t="shared" si="582"/>
        <v>3500</v>
      </c>
      <c r="T6190" s="16">
        <f t="shared" si="583"/>
        <v>-1.6278587350037912</v>
      </c>
    </row>
    <row r="6191" spans="7:20" ht="14.4" x14ac:dyDescent="0.25">
      <c r="G6191" s="10">
        <v>3907</v>
      </c>
      <c r="H6191" s="9">
        <v>27845</v>
      </c>
      <c r="I6191" s="14">
        <f>DATE(2012,12,31)-537</f>
        <v>40737</v>
      </c>
      <c r="J6191" s="15" t="s">
        <v>28</v>
      </c>
      <c r="K6191" s="9">
        <v>36</v>
      </c>
      <c r="L6191" s="16" t="s">
        <v>26</v>
      </c>
      <c r="M6191" s="16">
        <f t="shared" si="579"/>
        <v>0.72017367004973787</v>
      </c>
      <c r="N6191">
        <f t="shared" si="580"/>
        <v>0</v>
      </c>
      <c r="O6191">
        <f t="shared" si="581"/>
        <v>0</v>
      </c>
      <c r="P6191">
        <f t="shared" si="578"/>
        <v>5200</v>
      </c>
      <c r="Q6191">
        <f t="shared" si="582"/>
        <v>5200</v>
      </c>
      <c r="T6191" s="16">
        <f t="shared" si="583"/>
        <v>0.72017367004973754</v>
      </c>
    </row>
    <row r="6192" spans="7:20" ht="14.4" x14ac:dyDescent="0.25">
      <c r="G6192" s="10">
        <v>4243</v>
      </c>
      <c r="H6192" s="9">
        <v>30176</v>
      </c>
      <c r="I6192" s="14">
        <f>DATE(2012,12,31)-1352</f>
        <v>39922</v>
      </c>
      <c r="J6192" s="15" t="s">
        <v>25</v>
      </c>
      <c r="K6192" s="9">
        <v>30</v>
      </c>
      <c r="L6192" s="16" t="s">
        <v>29</v>
      </c>
      <c r="M6192" s="16">
        <f t="shared" si="579"/>
        <v>0.30581501033440933</v>
      </c>
      <c r="N6192">
        <f t="shared" si="580"/>
        <v>0</v>
      </c>
      <c r="O6192">
        <f t="shared" si="581"/>
        <v>0</v>
      </c>
      <c r="P6192">
        <f t="shared" si="578"/>
        <v>4900</v>
      </c>
      <c r="Q6192">
        <f t="shared" si="582"/>
        <v>4900</v>
      </c>
      <c r="T6192" s="16">
        <f t="shared" si="583"/>
        <v>0.30581501033440894</v>
      </c>
    </row>
    <row r="6193" spans="7:20" ht="14.4" x14ac:dyDescent="0.25">
      <c r="G6193" s="10">
        <v>4270</v>
      </c>
      <c r="H6193" s="9">
        <v>30375</v>
      </c>
      <c r="I6193" s="14">
        <f>DATE(2012,12,31)-242</f>
        <v>41032</v>
      </c>
      <c r="J6193" s="15" t="s">
        <v>25</v>
      </c>
      <c r="K6193" s="9">
        <v>20</v>
      </c>
      <c r="L6193" s="16" t="s">
        <v>26</v>
      </c>
      <c r="M6193" s="16">
        <f t="shared" si="579"/>
        <v>-0.38478275585780503</v>
      </c>
      <c r="N6193">
        <f t="shared" si="580"/>
        <v>0</v>
      </c>
      <c r="O6193">
        <f t="shared" si="581"/>
        <v>0</v>
      </c>
      <c r="P6193">
        <f t="shared" si="578"/>
        <v>4400</v>
      </c>
      <c r="Q6193">
        <f t="shared" si="582"/>
        <v>4400</v>
      </c>
      <c r="T6193" s="16">
        <f t="shared" si="583"/>
        <v>-0.38478275585780541</v>
      </c>
    </row>
    <row r="6194" spans="7:20" ht="14.4" x14ac:dyDescent="0.25">
      <c r="G6194" s="10">
        <v>4289</v>
      </c>
      <c r="H6194" s="9">
        <v>30565</v>
      </c>
      <c r="I6194" s="14">
        <f>DATE(2012,12,31)-524</f>
        <v>40750</v>
      </c>
      <c r="J6194" s="15" t="s">
        <v>16</v>
      </c>
      <c r="K6194" s="9">
        <v>32</v>
      </c>
      <c r="L6194" s="16" t="s">
        <v>27</v>
      </c>
      <c r="M6194" s="16">
        <f t="shared" si="579"/>
        <v>0.44393456357285216</v>
      </c>
      <c r="N6194">
        <f t="shared" si="580"/>
        <v>0</v>
      </c>
      <c r="O6194">
        <f t="shared" si="581"/>
        <v>0</v>
      </c>
      <c r="P6194">
        <f t="shared" si="578"/>
        <v>5000</v>
      </c>
      <c r="Q6194">
        <f t="shared" si="582"/>
        <v>5000</v>
      </c>
      <c r="T6194" s="16">
        <f t="shared" si="583"/>
        <v>0.44393456357285183</v>
      </c>
    </row>
    <row r="6195" spans="7:20" ht="14.4" x14ac:dyDescent="0.25">
      <c r="G6195" s="10">
        <v>4291</v>
      </c>
      <c r="H6195" s="9">
        <v>30567</v>
      </c>
      <c r="I6195" s="14">
        <f>DATE(2012,12,31)-1447</f>
        <v>39827</v>
      </c>
      <c r="J6195" s="15" t="s">
        <v>28</v>
      </c>
      <c r="K6195" s="9">
        <v>14</v>
      </c>
      <c r="L6195" s="16" t="s">
        <v>26</v>
      </c>
      <c r="M6195" s="16">
        <f t="shared" si="579"/>
        <v>-0.79914141557313367</v>
      </c>
      <c r="N6195">
        <f t="shared" si="580"/>
        <v>0</v>
      </c>
      <c r="O6195">
        <f t="shared" si="581"/>
        <v>0</v>
      </c>
      <c r="P6195">
        <f t="shared" si="578"/>
        <v>4100</v>
      </c>
      <c r="Q6195">
        <f t="shared" si="582"/>
        <v>4100</v>
      </c>
      <c r="T6195" s="16">
        <f t="shared" si="583"/>
        <v>-0.79914141557313401</v>
      </c>
    </row>
    <row r="6196" spans="7:20" ht="14.4" x14ac:dyDescent="0.25">
      <c r="G6196" s="10">
        <v>4292</v>
      </c>
      <c r="H6196" s="9">
        <v>30567</v>
      </c>
      <c r="I6196" s="14">
        <f>DATE(2012,12,31)-1447</f>
        <v>39827</v>
      </c>
      <c r="J6196" s="15" t="s">
        <v>28</v>
      </c>
      <c r="K6196" s="9">
        <v>8</v>
      </c>
      <c r="L6196" s="16" t="s">
        <v>26</v>
      </c>
      <c r="M6196" s="16">
        <f t="shared" si="579"/>
        <v>-1.2135000752884624</v>
      </c>
      <c r="N6196">
        <f t="shared" si="580"/>
        <v>0</v>
      </c>
      <c r="O6196">
        <f t="shared" si="581"/>
        <v>0</v>
      </c>
      <c r="P6196">
        <f t="shared" si="578"/>
        <v>3800</v>
      </c>
      <c r="Q6196">
        <f t="shared" si="582"/>
        <v>3800</v>
      </c>
      <c r="T6196" s="16">
        <f t="shared" si="583"/>
        <v>-1.2135000752884626</v>
      </c>
    </row>
    <row r="6197" spans="7:20" ht="14.4" x14ac:dyDescent="0.25">
      <c r="G6197" s="10">
        <v>4293</v>
      </c>
      <c r="H6197" s="9">
        <v>30567</v>
      </c>
      <c r="I6197" s="14">
        <f>DATE(2012,12,31)-1447</f>
        <v>39827</v>
      </c>
      <c r="J6197" s="15" t="s">
        <v>28</v>
      </c>
      <c r="K6197" s="9">
        <v>3</v>
      </c>
      <c r="L6197" s="16" t="s">
        <v>29</v>
      </c>
      <c r="M6197" s="16">
        <f t="shared" si="579"/>
        <v>-1.5587989583845694</v>
      </c>
      <c r="N6197">
        <f t="shared" si="580"/>
        <v>0</v>
      </c>
      <c r="O6197">
        <f t="shared" si="581"/>
        <v>0</v>
      </c>
      <c r="P6197">
        <f t="shared" si="578"/>
        <v>3550</v>
      </c>
      <c r="Q6197">
        <f t="shared" si="582"/>
        <v>3550</v>
      </c>
      <c r="T6197" s="16">
        <f t="shared" si="583"/>
        <v>-1.5587989583845698</v>
      </c>
    </row>
    <row r="6198" spans="7:20" ht="14.4" x14ac:dyDescent="0.25">
      <c r="G6198" s="10">
        <v>4294</v>
      </c>
      <c r="H6198" s="9">
        <v>30567</v>
      </c>
      <c r="I6198" s="14">
        <f>DATE(2012,12,31)-1447</f>
        <v>39827</v>
      </c>
      <c r="J6198" s="15" t="s">
        <v>28</v>
      </c>
      <c r="K6198" s="9">
        <v>14</v>
      </c>
      <c r="L6198" s="16" t="s">
        <v>26</v>
      </c>
      <c r="M6198" s="16">
        <f t="shared" si="579"/>
        <v>-0.79914141557313367</v>
      </c>
      <c r="N6198">
        <f t="shared" si="580"/>
        <v>0</v>
      </c>
      <c r="O6198">
        <f t="shared" si="581"/>
        <v>0</v>
      </c>
      <c r="P6198">
        <f t="shared" si="578"/>
        <v>4100</v>
      </c>
      <c r="Q6198">
        <f t="shared" si="582"/>
        <v>4100</v>
      </c>
      <c r="T6198" s="16">
        <f t="shared" si="583"/>
        <v>-0.79914141557313401</v>
      </c>
    </row>
    <row r="6199" spans="7:20" ht="14.4" x14ac:dyDescent="0.25">
      <c r="G6199" s="10">
        <v>4431</v>
      </c>
      <c r="H6199" s="9">
        <v>31586</v>
      </c>
      <c r="I6199" s="14">
        <f>DATE(2012,12,31)-285</f>
        <v>40989</v>
      </c>
      <c r="J6199" s="15" t="s">
        <v>25</v>
      </c>
      <c r="K6199" s="9">
        <v>22</v>
      </c>
      <c r="L6199" s="16" t="s">
        <v>27</v>
      </c>
      <c r="M6199" s="16">
        <f t="shared" si="579"/>
        <v>-0.24666320261936217</v>
      </c>
      <c r="N6199">
        <f t="shared" si="580"/>
        <v>0</v>
      </c>
      <c r="O6199">
        <f t="shared" si="581"/>
        <v>0</v>
      </c>
      <c r="P6199">
        <f t="shared" si="578"/>
        <v>4500</v>
      </c>
      <c r="Q6199">
        <f t="shared" si="582"/>
        <v>4500</v>
      </c>
      <c r="T6199" s="16">
        <f t="shared" si="583"/>
        <v>-0.24666320261936256</v>
      </c>
    </row>
    <row r="6200" spans="7:20" ht="14.4" x14ac:dyDescent="0.25">
      <c r="G6200" s="10">
        <v>4432</v>
      </c>
      <c r="H6200" s="9">
        <v>31586</v>
      </c>
      <c r="I6200" s="14">
        <f>DATE(2012,12,31)-285</f>
        <v>40989</v>
      </c>
      <c r="J6200" s="15" t="s">
        <v>25</v>
      </c>
      <c r="K6200" s="9">
        <v>25</v>
      </c>
      <c r="L6200" s="16" t="s">
        <v>27</v>
      </c>
      <c r="M6200" s="16">
        <f t="shared" si="579"/>
        <v>-3.9483872761697868E-2</v>
      </c>
      <c r="N6200">
        <f t="shared" si="580"/>
        <v>0</v>
      </c>
      <c r="O6200">
        <f t="shared" si="581"/>
        <v>0</v>
      </c>
      <c r="P6200">
        <f t="shared" si="578"/>
        <v>4650</v>
      </c>
      <c r="Q6200">
        <f t="shared" si="582"/>
        <v>4650</v>
      </c>
      <c r="T6200" s="16">
        <f t="shared" si="583"/>
        <v>-3.9483872761698249E-2</v>
      </c>
    </row>
    <row r="6201" spans="7:20" ht="14.4" x14ac:dyDescent="0.25">
      <c r="G6201" s="10">
        <v>4448</v>
      </c>
      <c r="H6201" s="9">
        <v>31687</v>
      </c>
      <c r="I6201" s="14">
        <f>DATE(2012,12,31)-592</f>
        <v>40682</v>
      </c>
      <c r="J6201" s="15" t="s">
        <v>17</v>
      </c>
      <c r="K6201" s="9">
        <v>44</v>
      </c>
      <c r="L6201" s="16" t="s">
        <v>26</v>
      </c>
      <c r="M6201" s="16">
        <f t="shared" si="579"/>
        <v>1.2726518830035094</v>
      </c>
      <c r="N6201">
        <f t="shared" si="580"/>
        <v>0</v>
      </c>
      <c r="O6201">
        <f t="shared" si="581"/>
        <v>0</v>
      </c>
      <c r="P6201">
        <f t="shared" si="578"/>
        <v>5600</v>
      </c>
      <c r="Q6201">
        <f t="shared" si="582"/>
        <v>5600</v>
      </c>
      <c r="T6201" s="16">
        <f t="shared" si="583"/>
        <v>1.272651883003509</v>
      </c>
    </row>
    <row r="6202" spans="7:20" ht="14.4" x14ac:dyDescent="0.25">
      <c r="G6202" s="10">
        <v>4470</v>
      </c>
      <c r="H6202" s="9">
        <v>31847</v>
      </c>
      <c r="I6202" s="14">
        <f>DATE(2012,12,31)-1109</f>
        <v>40165</v>
      </c>
      <c r="J6202" s="15" t="s">
        <v>25</v>
      </c>
      <c r="K6202" s="9">
        <v>46</v>
      </c>
      <c r="L6202" s="16" t="s">
        <v>27</v>
      </c>
      <c r="M6202" s="16">
        <f t="shared" si="579"/>
        <v>1.4107714362419523</v>
      </c>
      <c r="N6202">
        <f t="shared" si="580"/>
        <v>0</v>
      </c>
      <c r="O6202">
        <f t="shared" si="581"/>
        <v>0</v>
      </c>
      <c r="P6202">
        <f t="shared" si="578"/>
        <v>5700</v>
      </c>
      <c r="Q6202">
        <f t="shared" si="582"/>
        <v>5700</v>
      </c>
      <c r="T6202" s="16">
        <f t="shared" si="583"/>
        <v>1.4107714362419519</v>
      </c>
    </row>
    <row r="6203" spans="7:20" ht="14.4" x14ac:dyDescent="0.25">
      <c r="G6203" s="10">
        <v>4612</v>
      </c>
      <c r="H6203" s="9">
        <v>32868</v>
      </c>
      <c r="I6203" s="14">
        <f>DATE(2012,12,31)-1444</f>
        <v>39830</v>
      </c>
      <c r="J6203" s="15" t="s">
        <v>28</v>
      </c>
      <c r="K6203" s="9">
        <v>39</v>
      </c>
      <c r="L6203" s="16" t="s">
        <v>26</v>
      </c>
      <c r="M6203" s="16">
        <f t="shared" si="579"/>
        <v>0.92735299990740228</v>
      </c>
      <c r="N6203">
        <f t="shared" si="580"/>
        <v>0</v>
      </c>
      <c r="O6203">
        <f t="shared" si="581"/>
        <v>0</v>
      </c>
      <c r="P6203">
        <f t="shared" si="578"/>
        <v>5350</v>
      </c>
      <c r="Q6203">
        <f t="shared" si="582"/>
        <v>5350</v>
      </c>
      <c r="T6203" s="16">
        <f t="shared" si="583"/>
        <v>0.92735299990740183</v>
      </c>
    </row>
    <row r="6204" spans="7:20" ht="14.4" x14ac:dyDescent="0.25">
      <c r="G6204" s="10">
        <v>5081</v>
      </c>
      <c r="H6204" s="9">
        <v>36224</v>
      </c>
      <c r="I6204" s="14">
        <f>DATE(2012,12,31)-1338</f>
        <v>39936</v>
      </c>
      <c r="J6204" s="15" t="s">
        <v>16</v>
      </c>
      <c r="K6204" s="9">
        <v>15</v>
      </c>
      <c r="L6204" s="16" t="s">
        <v>26</v>
      </c>
      <c r="M6204" s="16">
        <f t="shared" si="579"/>
        <v>-0.7300816389539122</v>
      </c>
      <c r="N6204">
        <f t="shared" si="580"/>
        <v>0</v>
      </c>
      <c r="O6204">
        <f t="shared" si="581"/>
        <v>0</v>
      </c>
      <c r="P6204">
        <f t="shared" si="578"/>
        <v>4150</v>
      </c>
      <c r="Q6204">
        <f t="shared" si="582"/>
        <v>4150</v>
      </c>
      <c r="T6204" s="16">
        <f t="shared" si="583"/>
        <v>-0.73008163895391265</v>
      </c>
    </row>
    <row r="6205" spans="7:20" ht="14.4" x14ac:dyDescent="0.25">
      <c r="G6205" s="10">
        <v>5157</v>
      </c>
      <c r="H6205" s="9">
        <v>36709</v>
      </c>
      <c r="I6205" s="14">
        <f>DATE(2012,12,31)-130</f>
        <v>41144</v>
      </c>
      <c r="J6205" s="15" t="s">
        <v>30</v>
      </c>
      <c r="K6205" s="9">
        <v>42</v>
      </c>
      <c r="L6205" s="16" t="s">
        <v>27</v>
      </c>
      <c r="M6205" s="16">
        <f t="shared" si="579"/>
        <v>1.1345323297650665</v>
      </c>
      <c r="N6205">
        <f t="shared" si="580"/>
        <v>0</v>
      </c>
      <c r="O6205">
        <f t="shared" si="581"/>
        <v>0</v>
      </c>
      <c r="P6205">
        <f t="shared" si="578"/>
        <v>5500</v>
      </c>
      <c r="Q6205">
        <f t="shared" si="582"/>
        <v>5500</v>
      </c>
      <c r="T6205" s="16">
        <f t="shared" si="583"/>
        <v>1.1345323297650662</v>
      </c>
    </row>
    <row r="6206" spans="7:20" ht="14.4" x14ac:dyDescent="0.25">
      <c r="G6206" s="10">
        <v>5318</v>
      </c>
      <c r="H6206" s="9">
        <v>37826</v>
      </c>
      <c r="I6206" s="14">
        <f>DATE(2012,12,31)-618</f>
        <v>40656</v>
      </c>
      <c r="J6206" s="15" t="s">
        <v>16</v>
      </c>
      <c r="K6206" s="9">
        <v>45</v>
      </c>
      <c r="L6206" s="16" t="s">
        <v>26</v>
      </c>
      <c r="M6206" s="16">
        <f t="shared" si="579"/>
        <v>1.3417116596227308</v>
      </c>
      <c r="N6206">
        <f t="shared" si="580"/>
        <v>0</v>
      </c>
      <c r="O6206">
        <f t="shared" si="581"/>
        <v>0</v>
      </c>
      <c r="P6206">
        <f t="shared" si="578"/>
        <v>5650</v>
      </c>
      <c r="Q6206">
        <f t="shared" si="582"/>
        <v>5650</v>
      </c>
      <c r="T6206" s="16">
        <f t="shared" si="583"/>
        <v>1.3417116596227305</v>
      </c>
    </row>
    <row r="6207" spans="7:20" ht="14.4" x14ac:dyDescent="0.25">
      <c r="G6207" s="10">
        <v>5338</v>
      </c>
      <c r="H6207" s="9">
        <v>37924</v>
      </c>
      <c r="I6207" s="14">
        <f>DATE(2012,12,31)-1128</f>
        <v>40146</v>
      </c>
      <c r="J6207" s="15" t="s">
        <v>17</v>
      </c>
      <c r="K6207" s="9">
        <v>49</v>
      </c>
      <c r="L6207" s="16" t="s">
        <v>26</v>
      </c>
      <c r="M6207" s="16">
        <f t="shared" si="579"/>
        <v>1.6179507660996166</v>
      </c>
      <c r="N6207">
        <f t="shared" si="580"/>
        <v>0</v>
      </c>
      <c r="O6207">
        <f t="shared" si="581"/>
        <v>0</v>
      </c>
      <c r="P6207">
        <f t="shared" si="578"/>
        <v>5850</v>
      </c>
      <c r="Q6207">
        <f t="shared" si="582"/>
        <v>5850</v>
      </c>
      <c r="T6207" s="16">
        <f t="shared" si="583"/>
        <v>1.6179507660996162</v>
      </c>
    </row>
    <row r="6208" spans="7:20" ht="14.4" x14ac:dyDescent="0.25">
      <c r="G6208" s="10">
        <v>5371</v>
      </c>
      <c r="H6208" s="9">
        <v>38182</v>
      </c>
      <c r="I6208" s="14">
        <f>DATE(2012,12,31)-223</f>
        <v>41051</v>
      </c>
      <c r="J6208" s="15" t="s">
        <v>17</v>
      </c>
      <c r="K6208" s="9">
        <v>45</v>
      </c>
      <c r="L6208" s="16" t="s">
        <v>26</v>
      </c>
      <c r="M6208" s="16">
        <f t="shared" si="579"/>
        <v>1.3417116596227308</v>
      </c>
      <c r="N6208">
        <f t="shared" si="580"/>
        <v>0</v>
      </c>
      <c r="O6208">
        <f t="shared" si="581"/>
        <v>0</v>
      </c>
      <c r="P6208">
        <f t="shared" si="578"/>
        <v>5650</v>
      </c>
      <c r="Q6208">
        <f t="shared" si="582"/>
        <v>5650</v>
      </c>
      <c r="T6208" s="16">
        <f t="shared" si="583"/>
        <v>1.3417116596227305</v>
      </c>
    </row>
    <row r="6209" spans="7:20" ht="14.4" x14ac:dyDescent="0.25">
      <c r="G6209" s="10">
        <v>5604</v>
      </c>
      <c r="H6209" s="9">
        <v>39717</v>
      </c>
      <c r="I6209" s="14">
        <f>DATE(2012,12,31)-1129</f>
        <v>40145</v>
      </c>
      <c r="J6209" s="15" t="s">
        <v>17</v>
      </c>
      <c r="K6209" s="9">
        <v>20</v>
      </c>
      <c r="L6209" s="16" t="s">
        <v>26</v>
      </c>
      <c r="M6209" s="16">
        <f t="shared" si="579"/>
        <v>-0.38478275585780503</v>
      </c>
      <c r="N6209">
        <f t="shared" si="580"/>
        <v>0</v>
      </c>
      <c r="O6209">
        <f t="shared" si="581"/>
        <v>0</v>
      </c>
      <c r="P6209">
        <f t="shared" si="578"/>
        <v>4400</v>
      </c>
      <c r="Q6209">
        <f t="shared" si="582"/>
        <v>4400</v>
      </c>
      <c r="T6209" s="16">
        <f t="shared" si="583"/>
        <v>-0.38478275585780541</v>
      </c>
    </row>
    <row r="6210" spans="7:20" ht="14.4" x14ac:dyDescent="0.25">
      <c r="G6210" s="10">
        <v>5692</v>
      </c>
      <c r="H6210" s="9">
        <v>40257</v>
      </c>
      <c r="I6210" s="14">
        <f>DATE(2012,12,31)-863</f>
        <v>40411</v>
      </c>
      <c r="J6210" s="15" t="s">
        <v>28</v>
      </c>
      <c r="K6210" s="9">
        <v>24</v>
      </c>
      <c r="L6210" s="16" t="s">
        <v>29</v>
      </c>
      <c r="M6210" s="16">
        <f t="shared" si="579"/>
        <v>-0.1085436493809193</v>
      </c>
      <c r="N6210">
        <f t="shared" si="580"/>
        <v>0</v>
      </c>
      <c r="O6210">
        <f t="shared" si="581"/>
        <v>0</v>
      </c>
      <c r="P6210">
        <f t="shared" si="578"/>
        <v>4600</v>
      </c>
      <c r="Q6210">
        <f t="shared" si="582"/>
        <v>4600</v>
      </c>
      <c r="T6210" s="16">
        <f t="shared" si="583"/>
        <v>-0.10854364938091969</v>
      </c>
    </row>
    <row r="6211" spans="7:20" ht="14.4" x14ac:dyDescent="0.25">
      <c r="G6211" s="10">
        <v>5700</v>
      </c>
      <c r="H6211" s="9">
        <v>40321</v>
      </c>
      <c r="I6211" s="14">
        <f>DATE(2012,12,31)-922</f>
        <v>40352</v>
      </c>
      <c r="J6211" s="15" t="s">
        <v>17</v>
      </c>
      <c r="K6211" s="9">
        <v>23</v>
      </c>
      <c r="L6211" s="16" t="s">
        <v>26</v>
      </c>
      <c r="M6211" s="16">
        <f t="shared" si="579"/>
        <v>-0.17760342600014073</v>
      </c>
      <c r="N6211">
        <f t="shared" si="580"/>
        <v>0</v>
      </c>
      <c r="O6211">
        <f t="shared" si="581"/>
        <v>0</v>
      </c>
      <c r="P6211">
        <f t="shared" si="578"/>
        <v>4550</v>
      </c>
      <c r="Q6211">
        <f t="shared" si="582"/>
        <v>4550</v>
      </c>
      <c r="T6211" s="16">
        <f t="shared" si="583"/>
        <v>-0.17760342600014112</v>
      </c>
    </row>
    <row r="6212" spans="7:20" ht="14.4" x14ac:dyDescent="0.25">
      <c r="G6212" s="10">
        <v>5701</v>
      </c>
      <c r="H6212" s="9">
        <v>40321</v>
      </c>
      <c r="I6212" s="14">
        <f>DATE(2012,12,31)-922</f>
        <v>40352</v>
      </c>
      <c r="J6212" s="15" t="s">
        <v>17</v>
      </c>
      <c r="K6212" s="9">
        <v>18</v>
      </c>
      <c r="L6212" s="16" t="s">
        <v>26</v>
      </c>
      <c r="M6212" s="16">
        <f t="shared" si="579"/>
        <v>-0.52290230909624791</v>
      </c>
      <c r="N6212">
        <f t="shared" si="580"/>
        <v>0</v>
      </c>
      <c r="O6212">
        <f t="shared" si="581"/>
        <v>0</v>
      </c>
      <c r="P6212">
        <f t="shared" si="578"/>
        <v>4300</v>
      </c>
      <c r="Q6212">
        <f t="shared" si="582"/>
        <v>4300</v>
      </c>
      <c r="T6212" s="16">
        <f t="shared" si="583"/>
        <v>-0.52290230909624835</v>
      </c>
    </row>
    <row r="6213" spans="7:20" ht="14.4" x14ac:dyDescent="0.25">
      <c r="G6213" s="10">
        <v>5947</v>
      </c>
      <c r="H6213" s="9">
        <v>42214</v>
      </c>
      <c r="I6213" s="14">
        <f>DATE(2012,12,31)-587</f>
        <v>40687</v>
      </c>
      <c r="J6213" s="15" t="s">
        <v>25</v>
      </c>
      <c r="K6213" s="9">
        <v>46</v>
      </c>
      <c r="L6213" s="16" t="s">
        <v>29</v>
      </c>
      <c r="M6213" s="16">
        <f t="shared" si="579"/>
        <v>1.4107714362419523</v>
      </c>
      <c r="N6213">
        <f t="shared" si="580"/>
        <v>0</v>
      </c>
      <c r="O6213">
        <f t="shared" si="581"/>
        <v>0</v>
      </c>
      <c r="P6213">
        <f t="shared" si="578"/>
        <v>5700</v>
      </c>
      <c r="Q6213">
        <f t="shared" si="582"/>
        <v>5700</v>
      </c>
      <c r="T6213" s="16">
        <f t="shared" si="583"/>
        <v>1.4107714362419519</v>
      </c>
    </row>
    <row r="6214" spans="7:20" ht="14.4" x14ac:dyDescent="0.25">
      <c r="G6214" s="10">
        <v>5948</v>
      </c>
      <c r="H6214" s="9">
        <v>42214</v>
      </c>
      <c r="I6214" s="14">
        <f>DATE(2012,12,31)-587</f>
        <v>40687</v>
      </c>
      <c r="J6214" s="15" t="s">
        <v>25</v>
      </c>
      <c r="K6214" s="9">
        <v>28</v>
      </c>
      <c r="L6214" s="16" t="s">
        <v>26</v>
      </c>
      <c r="M6214" s="16">
        <f t="shared" si="579"/>
        <v>0.16769545709596645</v>
      </c>
      <c r="N6214">
        <f t="shared" si="580"/>
        <v>0</v>
      </c>
      <c r="O6214">
        <f t="shared" si="581"/>
        <v>0</v>
      </c>
      <c r="P6214">
        <f t="shared" si="578"/>
        <v>4800</v>
      </c>
      <c r="Q6214">
        <f t="shared" si="582"/>
        <v>4800</v>
      </c>
      <c r="T6214" s="16">
        <f t="shared" si="583"/>
        <v>0.16769545709596606</v>
      </c>
    </row>
    <row r="6215" spans="7:20" ht="14.4" x14ac:dyDescent="0.25">
      <c r="G6215" s="10">
        <v>6039</v>
      </c>
      <c r="H6215" s="9">
        <v>42788</v>
      </c>
      <c r="I6215" s="14">
        <f>DATE(2012,12,31)-445</f>
        <v>40829</v>
      </c>
      <c r="J6215" s="15" t="s">
        <v>30</v>
      </c>
      <c r="K6215" s="9">
        <v>26</v>
      </c>
      <c r="L6215" s="16" t="s">
        <v>26</v>
      </c>
      <c r="M6215" s="16">
        <f t="shared" si="579"/>
        <v>2.9575903857523567E-2</v>
      </c>
      <c r="N6215">
        <f t="shared" si="580"/>
        <v>0</v>
      </c>
      <c r="O6215">
        <f t="shared" si="581"/>
        <v>0</v>
      </c>
      <c r="P6215">
        <f t="shared" si="578"/>
        <v>4700</v>
      </c>
      <c r="Q6215">
        <f t="shared" si="582"/>
        <v>4700</v>
      </c>
      <c r="T6215" s="16">
        <f t="shared" si="583"/>
        <v>2.9575903857523185E-2</v>
      </c>
    </row>
    <row r="6216" spans="7:20" ht="14.4" x14ac:dyDescent="0.25">
      <c r="G6216" s="10">
        <v>6054</v>
      </c>
      <c r="H6216" s="9">
        <v>42912</v>
      </c>
      <c r="I6216" s="14">
        <f>DATE(2012,12,31)-972</f>
        <v>40302</v>
      </c>
      <c r="J6216" s="15" t="s">
        <v>28</v>
      </c>
      <c r="K6216" s="9">
        <v>4</v>
      </c>
      <c r="L6216" s="16" t="s">
        <v>26</v>
      </c>
      <c r="M6216" s="16">
        <f t="shared" si="579"/>
        <v>-1.489739181765348</v>
      </c>
      <c r="N6216">
        <f t="shared" si="580"/>
        <v>0</v>
      </c>
      <c r="O6216">
        <f t="shared" si="581"/>
        <v>0</v>
      </c>
      <c r="P6216">
        <f t="shared" si="578"/>
        <v>3600</v>
      </c>
      <c r="Q6216">
        <f t="shared" si="582"/>
        <v>3600</v>
      </c>
      <c r="T6216" s="16">
        <f t="shared" si="583"/>
        <v>-1.4897391817653485</v>
      </c>
    </row>
    <row r="6217" spans="7:20" ht="14.4" x14ac:dyDescent="0.25">
      <c r="G6217" s="10">
        <v>6162</v>
      </c>
      <c r="H6217" s="9">
        <v>43653</v>
      </c>
      <c r="I6217" s="14">
        <f>DATE(2012,12,31)-62</f>
        <v>41212</v>
      </c>
      <c r="J6217" s="15" t="s">
        <v>17</v>
      </c>
      <c r="K6217" s="9">
        <v>3</v>
      </c>
      <c r="L6217" s="16" t="s">
        <v>26</v>
      </c>
      <c r="M6217" s="16">
        <f t="shared" si="579"/>
        <v>-1.5587989583845694</v>
      </c>
      <c r="N6217">
        <f t="shared" si="580"/>
        <v>0</v>
      </c>
      <c r="O6217">
        <f t="shared" si="581"/>
        <v>0</v>
      </c>
      <c r="P6217">
        <f t="shared" si="578"/>
        <v>3550</v>
      </c>
      <c r="Q6217">
        <f t="shared" si="582"/>
        <v>3550</v>
      </c>
      <c r="T6217" s="16">
        <f t="shared" si="583"/>
        <v>-1.5587989583845698</v>
      </c>
    </row>
    <row r="6218" spans="7:20" ht="14.4" x14ac:dyDescent="0.25">
      <c r="G6218" s="10">
        <v>6163</v>
      </c>
      <c r="H6218" s="9">
        <v>43653</v>
      </c>
      <c r="I6218" s="14">
        <f>DATE(2012,12,31)-62</f>
        <v>41212</v>
      </c>
      <c r="J6218" s="15" t="s">
        <v>17</v>
      </c>
      <c r="K6218" s="9">
        <v>39</v>
      </c>
      <c r="L6218" s="16" t="s">
        <v>26</v>
      </c>
      <c r="M6218" s="16">
        <f t="shared" si="579"/>
        <v>0.92735299990740228</v>
      </c>
      <c r="N6218">
        <f t="shared" si="580"/>
        <v>0</v>
      </c>
      <c r="O6218">
        <f t="shared" si="581"/>
        <v>0</v>
      </c>
      <c r="P6218">
        <f t="shared" si="578"/>
        <v>5350</v>
      </c>
      <c r="Q6218">
        <f t="shared" si="582"/>
        <v>5350</v>
      </c>
      <c r="T6218" s="16">
        <f t="shared" si="583"/>
        <v>0.92735299990740183</v>
      </c>
    </row>
    <row r="6219" spans="7:20" ht="14.4" x14ac:dyDescent="0.25">
      <c r="G6219" s="10">
        <v>6164</v>
      </c>
      <c r="H6219" s="9">
        <v>43653</v>
      </c>
      <c r="I6219" s="14">
        <f>DATE(2012,12,31)-62</f>
        <v>41212</v>
      </c>
      <c r="J6219" s="15" t="s">
        <v>17</v>
      </c>
      <c r="K6219" s="9">
        <v>10</v>
      </c>
      <c r="L6219" s="16" t="s">
        <v>26</v>
      </c>
      <c r="M6219" s="16">
        <f t="shared" si="579"/>
        <v>-1.0753805220500194</v>
      </c>
      <c r="N6219">
        <f t="shared" si="580"/>
        <v>0</v>
      </c>
      <c r="O6219">
        <f t="shared" si="581"/>
        <v>0</v>
      </c>
      <c r="P6219">
        <f t="shared" si="578"/>
        <v>3900</v>
      </c>
      <c r="Q6219">
        <f t="shared" si="582"/>
        <v>3900</v>
      </c>
      <c r="T6219" s="16">
        <f t="shared" si="583"/>
        <v>-1.0753805220500199</v>
      </c>
    </row>
    <row r="6220" spans="7:20" ht="14.4" x14ac:dyDescent="0.25">
      <c r="G6220" s="10">
        <v>6343</v>
      </c>
      <c r="H6220" s="9">
        <v>44962</v>
      </c>
      <c r="I6220" s="14">
        <f>DATE(2012,12,31)-1099</f>
        <v>40175</v>
      </c>
      <c r="J6220" s="15" t="s">
        <v>16</v>
      </c>
      <c r="K6220" s="9">
        <v>27</v>
      </c>
      <c r="L6220" s="16" t="s">
        <v>27</v>
      </c>
      <c r="M6220" s="16">
        <f t="shared" si="579"/>
        <v>9.8635680476745008E-2</v>
      </c>
      <c r="N6220">
        <f t="shared" si="580"/>
        <v>0</v>
      </c>
      <c r="O6220">
        <f t="shared" si="581"/>
        <v>0</v>
      </c>
      <c r="P6220">
        <f t="shared" ref="P6220:P6283" si="584">50*K6220+$P$10</f>
        <v>4750</v>
      </c>
      <c r="Q6220">
        <f t="shared" si="582"/>
        <v>4750</v>
      </c>
      <c r="T6220" s="16">
        <f t="shared" si="583"/>
        <v>9.8635680476744619E-2</v>
      </c>
    </row>
    <row r="6221" spans="7:20" ht="14.4" x14ac:dyDescent="0.25">
      <c r="G6221" s="10">
        <v>6397</v>
      </c>
      <c r="H6221" s="9">
        <v>45412</v>
      </c>
      <c r="I6221" s="14">
        <f>DATE(2012,12,31)-984</f>
        <v>40290</v>
      </c>
      <c r="J6221" s="15" t="s">
        <v>16</v>
      </c>
      <c r="K6221" s="9">
        <v>20</v>
      </c>
      <c r="L6221" s="16" t="s">
        <v>27</v>
      </c>
      <c r="M6221" s="16">
        <f t="shared" ref="M6221:M6284" si="585">(K6221-$K$4)/$K$7</f>
        <v>-0.38478275585780503</v>
      </c>
      <c r="N6221">
        <f t="shared" ref="N6221:N6284" si="586">IF(MOD($B$20+G6221,1000)=0,1,0)</f>
        <v>0</v>
      </c>
      <c r="O6221">
        <f t="shared" ref="O6221:O6284" si="587">+ROUND(N6221*(IF(K6221&lt;$K$4,-4.5,10.5)*$P$5),-2)</f>
        <v>0</v>
      </c>
      <c r="P6221">
        <f t="shared" si="584"/>
        <v>4400</v>
      </c>
      <c r="Q6221">
        <f t="shared" ref="Q6221:Q6284" si="588">P6221+O6221</f>
        <v>4400</v>
      </c>
      <c r="T6221" s="16">
        <f t="shared" ref="T6221:T6284" si="589">(Q6221-$P$4)/$P$5</f>
        <v>-0.38478275585780541</v>
      </c>
    </row>
    <row r="6222" spans="7:20" ht="14.4" x14ac:dyDescent="0.25">
      <c r="G6222" s="10">
        <v>6436</v>
      </c>
      <c r="H6222" s="9">
        <v>45734</v>
      </c>
      <c r="I6222" s="14">
        <f>DATE(2012,12,31)-167</f>
        <v>41107</v>
      </c>
      <c r="J6222" s="15" t="s">
        <v>30</v>
      </c>
      <c r="K6222" s="9">
        <v>47</v>
      </c>
      <c r="L6222" s="16" t="s">
        <v>26</v>
      </c>
      <c r="M6222" s="16">
        <f t="shared" si="585"/>
        <v>1.4798312128611737</v>
      </c>
      <c r="N6222">
        <f t="shared" si="586"/>
        <v>0</v>
      </c>
      <c r="O6222">
        <f t="shared" si="587"/>
        <v>0</v>
      </c>
      <c r="P6222">
        <f t="shared" si="584"/>
        <v>5750</v>
      </c>
      <c r="Q6222">
        <f t="shared" si="588"/>
        <v>5750</v>
      </c>
      <c r="T6222" s="16">
        <f t="shared" si="589"/>
        <v>1.4798312128611733</v>
      </c>
    </row>
    <row r="6223" spans="7:20" ht="14.4" x14ac:dyDescent="0.25">
      <c r="G6223" s="10">
        <v>6454</v>
      </c>
      <c r="H6223" s="9">
        <v>45959</v>
      </c>
      <c r="I6223" s="14">
        <f>DATE(2012,12,31)-1121</f>
        <v>40153</v>
      </c>
      <c r="J6223" s="15" t="s">
        <v>16</v>
      </c>
      <c r="K6223" s="9">
        <v>15</v>
      </c>
      <c r="L6223" s="16" t="s">
        <v>26</v>
      </c>
      <c r="M6223" s="16">
        <f t="shared" si="585"/>
        <v>-0.7300816389539122</v>
      </c>
      <c r="N6223">
        <f t="shared" si="586"/>
        <v>0</v>
      </c>
      <c r="O6223">
        <f t="shared" si="587"/>
        <v>0</v>
      </c>
      <c r="P6223">
        <f t="shared" si="584"/>
        <v>4150</v>
      </c>
      <c r="Q6223">
        <f t="shared" si="588"/>
        <v>4150</v>
      </c>
      <c r="T6223" s="16">
        <f t="shared" si="589"/>
        <v>-0.73008163895391265</v>
      </c>
    </row>
    <row r="6224" spans="7:20" ht="14.4" x14ac:dyDescent="0.25">
      <c r="G6224" s="10">
        <v>6455</v>
      </c>
      <c r="H6224" s="9">
        <v>45959</v>
      </c>
      <c r="I6224" s="14">
        <f>DATE(2012,12,31)-1121</f>
        <v>40153</v>
      </c>
      <c r="J6224" s="15" t="s">
        <v>16</v>
      </c>
      <c r="K6224" s="9">
        <v>35</v>
      </c>
      <c r="L6224" s="16" t="s">
        <v>27</v>
      </c>
      <c r="M6224" s="16">
        <f t="shared" si="585"/>
        <v>0.65111389343051651</v>
      </c>
      <c r="N6224">
        <f t="shared" si="586"/>
        <v>0</v>
      </c>
      <c r="O6224">
        <f t="shared" si="587"/>
        <v>0</v>
      </c>
      <c r="P6224">
        <f t="shared" si="584"/>
        <v>5150</v>
      </c>
      <c r="Q6224">
        <f t="shared" si="588"/>
        <v>5150</v>
      </c>
      <c r="T6224" s="16">
        <f t="shared" si="589"/>
        <v>0.65111389343051607</v>
      </c>
    </row>
    <row r="6225" spans="7:20" ht="14.4" x14ac:dyDescent="0.25">
      <c r="G6225" s="10">
        <v>6585</v>
      </c>
      <c r="H6225" s="9">
        <v>46884</v>
      </c>
      <c r="I6225" s="14">
        <f>DATE(2012,12,31)-1444</f>
        <v>39830</v>
      </c>
      <c r="J6225" s="15" t="s">
        <v>16</v>
      </c>
      <c r="K6225" s="9">
        <v>18</v>
      </c>
      <c r="L6225" s="16" t="s">
        <v>26</v>
      </c>
      <c r="M6225" s="16">
        <f t="shared" si="585"/>
        <v>-0.52290230909624791</v>
      </c>
      <c r="N6225">
        <f t="shared" si="586"/>
        <v>0</v>
      </c>
      <c r="O6225">
        <f t="shared" si="587"/>
        <v>0</v>
      </c>
      <c r="P6225">
        <f t="shared" si="584"/>
        <v>4300</v>
      </c>
      <c r="Q6225">
        <f t="shared" si="588"/>
        <v>4300</v>
      </c>
      <c r="T6225" s="16">
        <f t="shared" si="589"/>
        <v>-0.52290230909624835</v>
      </c>
    </row>
    <row r="6226" spans="7:20" ht="14.4" x14ac:dyDescent="0.25">
      <c r="G6226" s="10">
        <v>6586</v>
      </c>
      <c r="H6226" s="9">
        <v>46884</v>
      </c>
      <c r="I6226" s="14">
        <f>DATE(2012,12,31)-1444</f>
        <v>39830</v>
      </c>
      <c r="J6226" s="15" t="s">
        <v>16</v>
      </c>
      <c r="K6226" s="9">
        <v>3</v>
      </c>
      <c r="L6226" s="16" t="s">
        <v>27</v>
      </c>
      <c r="M6226" s="16">
        <f t="shared" si="585"/>
        <v>-1.5587989583845694</v>
      </c>
      <c r="N6226">
        <f t="shared" si="586"/>
        <v>0</v>
      </c>
      <c r="O6226">
        <f t="shared" si="587"/>
        <v>0</v>
      </c>
      <c r="P6226">
        <f t="shared" si="584"/>
        <v>3550</v>
      </c>
      <c r="Q6226">
        <f t="shared" si="588"/>
        <v>3550</v>
      </c>
      <c r="T6226" s="16">
        <f t="shared" si="589"/>
        <v>-1.5587989583845698</v>
      </c>
    </row>
    <row r="6227" spans="7:20" ht="14.4" x14ac:dyDescent="0.25">
      <c r="G6227" s="10">
        <v>6604</v>
      </c>
      <c r="H6227" s="9">
        <v>46981</v>
      </c>
      <c r="I6227" s="14">
        <f>DATE(2012,12,31)-1423</f>
        <v>39851</v>
      </c>
      <c r="J6227" s="15" t="s">
        <v>16</v>
      </c>
      <c r="K6227" s="9">
        <v>46</v>
      </c>
      <c r="L6227" s="16" t="s">
        <v>26</v>
      </c>
      <c r="M6227" s="16">
        <f t="shared" si="585"/>
        <v>1.4107714362419523</v>
      </c>
      <c r="N6227">
        <f t="shared" si="586"/>
        <v>0</v>
      </c>
      <c r="O6227">
        <f t="shared" si="587"/>
        <v>0</v>
      </c>
      <c r="P6227">
        <f t="shared" si="584"/>
        <v>5700</v>
      </c>
      <c r="Q6227">
        <f t="shared" si="588"/>
        <v>5700</v>
      </c>
      <c r="T6227" s="16">
        <f t="shared" si="589"/>
        <v>1.4107714362419519</v>
      </c>
    </row>
    <row r="6228" spans="7:20" ht="14.4" x14ac:dyDescent="0.25">
      <c r="G6228" s="10">
        <v>6606</v>
      </c>
      <c r="H6228" s="9">
        <v>47010</v>
      </c>
      <c r="I6228" s="14">
        <f>DATE(2012,12,31)-455</f>
        <v>40819</v>
      </c>
      <c r="J6228" s="15" t="s">
        <v>30</v>
      </c>
      <c r="K6228" s="9">
        <v>11</v>
      </c>
      <c r="L6228" s="16" t="s">
        <v>29</v>
      </c>
      <c r="M6228" s="16">
        <f t="shared" si="585"/>
        <v>-1.0063207454307979</v>
      </c>
      <c r="N6228">
        <f t="shared" si="586"/>
        <v>0</v>
      </c>
      <c r="O6228">
        <f t="shared" si="587"/>
        <v>0</v>
      </c>
      <c r="P6228">
        <f t="shared" si="584"/>
        <v>3950</v>
      </c>
      <c r="Q6228">
        <f t="shared" si="588"/>
        <v>3950</v>
      </c>
      <c r="T6228" s="16">
        <f t="shared" si="589"/>
        <v>-1.0063207454307983</v>
      </c>
    </row>
    <row r="6229" spans="7:20" ht="14.4" x14ac:dyDescent="0.25">
      <c r="G6229" s="10">
        <v>6702</v>
      </c>
      <c r="H6229" s="9">
        <v>47717</v>
      </c>
      <c r="I6229" s="14">
        <f>DATE(2012,12,31)-380</f>
        <v>40894</v>
      </c>
      <c r="J6229" s="15" t="s">
        <v>28</v>
      </c>
      <c r="K6229" s="9">
        <v>35</v>
      </c>
      <c r="L6229" s="16" t="s">
        <v>26</v>
      </c>
      <c r="M6229" s="16">
        <f t="shared" si="585"/>
        <v>0.65111389343051651</v>
      </c>
      <c r="N6229">
        <f t="shared" si="586"/>
        <v>0</v>
      </c>
      <c r="O6229">
        <f t="shared" si="587"/>
        <v>0</v>
      </c>
      <c r="P6229">
        <f t="shared" si="584"/>
        <v>5150</v>
      </c>
      <c r="Q6229">
        <f t="shared" si="588"/>
        <v>5150</v>
      </c>
      <c r="T6229" s="16">
        <f t="shared" si="589"/>
        <v>0.65111389343051607</v>
      </c>
    </row>
    <row r="6230" spans="7:20" ht="14.4" x14ac:dyDescent="0.25">
      <c r="G6230" s="10">
        <v>6776</v>
      </c>
      <c r="H6230" s="9">
        <v>48257</v>
      </c>
      <c r="I6230" s="14">
        <f>DATE(2012,12,31)-1349</f>
        <v>39925</v>
      </c>
      <c r="J6230" s="15" t="s">
        <v>25</v>
      </c>
      <c r="K6230" s="9">
        <v>45</v>
      </c>
      <c r="L6230" s="16" t="s">
        <v>26</v>
      </c>
      <c r="M6230" s="16">
        <f t="shared" si="585"/>
        <v>1.3417116596227308</v>
      </c>
      <c r="N6230">
        <f t="shared" si="586"/>
        <v>0</v>
      </c>
      <c r="O6230">
        <f t="shared" si="587"/>
        <v>0</v>
      </c>
      <c r="P6230">
        <f t="shared" si="584"/>
        <v>5650</v>
      </c>
      <c r="Q6230">
        <f t="shared" si="588"/>
        <v>5650</v>
      </c>
      <c r="T6230" s="16">
        <f t="shared" si="589"/>
        <v>1.3417116596227305</v>
      </c>
    </row>
    <row r="6231" spans="7:20" ht="14.4" x14ac:dyDescent="0.25">
      <c r="G6231" s="10">
        <v>6822</v>
      </c>
      <c r="H6231" s="9">
        <v>48577</v>
      </c>
      <c r="I6231" s="14">
        <f>DATE(2012,12,31)-176</f>
        <v>41098</v>
      </c>
      <c r="J6231" s="15" t="s">
        <v>16</v>
      </c>
      <c r="K6231" s="9">
        <v>6</v>
      </c>
      <c r="L6231" s="16" t="s">
        <v>26</v>
      </c>
      <c r="M6231" s="16">
        <f t="shared" si="585"/>
        <v>-1.3516196285269051</v>
      </c>
      <c r="N6231">
        <f t="shared" si="586"/>
        <v>0</v>
      </c>
      <c r="O6231">
        <f t="shared" si="587"/>
        <v>0</v>
      </c>
      <c r="P6231">
        <f t="shared" si="584"/>
        <v>3700</v>
      </c>
      <c r="Q6231">
        <f t="shared" si="588"/>
        <v>3700</v>
      </c>
      <c r="T6231" s="16">
        <f t="shared" si="589"/>
        <v>-1.3516196285269055</v>
      </c>
    </row>
    <row r="6232" spans="7:20" ht="14.4" x14ac:dyDescent="0.25">
      <c r="G6232" s="10">
        <v>6992</v>
      </c>
      <c r="H6232" s="9">
        <v>49953</v>
      </c>
      <c r="I6232" s="14">
        <f>DATE(2012,12,31)-289</f>
        <v>40985</v>
      </c>
      <c r="J6232" s="15" t="s">
        <v>28</v>
      </c>
      <c r="K6232" s="9">
        <v>18</v>
      </c>
      <c r="L6232" s="16" t="s">
        <v>27</v>
      </c>
      <c r="M6232" s="16">
        <f t="shared" si="585"/>
        <v>-0.52290230909624791</v>
      </c>
      <c r="N6232">
        <f t="shared" si="586"/>
        <v>0</v>
      </c>
      <c r="O6232">
        <f t="shared" si="587"/>
        <v>0</v>
      </c>
      <c r="P6232">
        <f t="shared" si="584"/>
        <v>4300</v>
      </c>
      <c r="Q6232">
        <f t="shared" si="588"/>
        <v>4300</v>
      </c>
      <c r="T6232" s="16">
        <f t="shared" si="589"/>
        <v>-0.52290230909624835</v>
      </c>
    </row>
    <row r="6233" spans="7:20" ht="14.4" x14ac:dyDescent="0.25">
      <c r="G6233" s="10">
        <v>6993</v>
      </c>
      <c r="H6233" s="9">
        <v>49953</v>
      </c>
      <c r="I6233" s="14">
        <f>DATE(2012,12,31)-289</f>
        <v>40985</v>
      </c>
      <c r="J6233" s="15" t="s">
        <v>28</v>
      </c>
      <c r="K6233" s="9">
        <v>36</v>
      </c>
      <c r="L6233" s="16" t="s">
        <v>26</v>
      </c>
      <c r="M6233" s="16">
        <f t="shared" si="585"/>
        <v>0.72017367004973787</v>
      </c>
      <c r="N6233">
        <f t="shared" si="586"/>
        <v>0</v>
      </c>
      <c r="O6233">
        <f t="shared" si="587"/>
        <v>0</v>
      </c>
      <c r="P6233">
        <f t="shared" si="584"/>
        <v>5200</v>
      </c>
      <c r="Q6233">
        <f t="shared" si="588"/>
        <v>5200</v>
      </c>
      <c r="T6233" s="16">
        <f t="shared" si="589"/>
        <v>0.72017367004973754</v>
      </c>
    </row>
    <row r="6234" spans="7:20" ht="14.4" x14ac:dyDescent="0.25">
      <c r="G6234" s="10">
        <v>7192</v>
      </c>
      <c r="H6234" s="9">
        <v>51300</v>
      </c>
      <c r="I6234" s="14">
        <f>DATE(2012,12,31)-443</f>
        <v>40831</v>
      </c>
      <c r="J6234" s="15" t="s">
        <v>16</v>
      </c>
      <c r="K6234" s="9">
        <v>43</v>
      </c>
      <c r="L6234" s="16" t="s">
        <v>27</v>
      </c>
      <c r="M6234" s="16">
        <f t="shared" si="585"/>
        <v>1.203592106384288</v>
      </c>
      <c r="N6234">
        <f t="shared" si="586"/>
        <v>0</v>
      </c>
      <c r="O6234">
        <f t="shared" si="587"/>
        <v>0</v>
      </c>
      <c r="P6234">
        <f t="shared" si="584"/>
        <v>5550</v>
      </c>
      <c r="Q6234">
        <f t="shared" si="588"/>
        <v>5550</v>
      </c>
      <c r="T6234" s="16">
        <f t="shared" si="589"/>
        <v>1.2035921063842876</v>
      </c>
    </row>
    <row r="6235" spans="7:20" ht="14.4" x14ac:dyDescent="0.25">
      <c r="G6235" s="10">
        <v>7249</v>
      </c>
      <c r="H6235" s="9">
        <v>51687</v>
      </c>
      <c r="I6235" s="14">
        <f>DATE(2012,12,31)-477</f>
        <v>40797</v>
      </c>
      <c r="J6235" s="15" t="s">
        <v>25</v>
      </c>
      <c r="K6235" s="9">
        <v>42</v>
      </c>
      <c r="L6235" s="16" t="s">
        <v>26</v>
      </c>
      <c r="M6235" s="16">
        <f t="shared" si="585"/>
        <v>1.1345323297650665</v>
      </c>
      <c r="N6235">
        <f t="shared" si="586"/>
        <v>0</v>
      </c>
      <c r="O6235">
        <f t="shared" si="587"/>
        <v>0</v>
      </c>
      <c r="P6235">
        <f t="shared" si="584"/>
        <v>5500</v>
      </c>
      <c r="Q6235">
        <f t="shared" si="588"/>
        <v>5500</v>
      </c>
      <c r="T6235" s="16">
        <f t="shared" si="589"/>
        <v>1.1345323297650662</v>
      </c>
    </row>
    <row r="6236" spans="7:20" ht="14.4" x14ac:dyDescent="0.25">
      <c r="G6236" s="10">
        <v>7288</v>
      </c>
      <c r="H6236" s="9">
        <v>51974</v>
      </c>
      <c r="I6236" s="14">
        <f>DATE(2012,12,31)-705</f>
        <v>40569</v>
      </c>
      <c r="J6236" s="15" t="s">
        <v>17</v>
      </c>
      <c r="K6236" s="9">
        <v>10</v>
      </c>
      <c r="L6236" s="16" t="s">
        <v>26</v>
      </c>
      <c r="M6236" s="16">
        <f t="shared" si="585"/>
        <v>-1.0753805220500194</v>
      </c>
      <c r="N6236">
        <f t="shared" si="586"/>
        <v>0</v>
      </c>
      <c r="O6236">
        <f t="shared" si="587"/>
        <v>0</v>
      </c>
      <c r="P6236">
        <f t="shared" si="584"/>
        <v>3900</v>
      </c>
      <c r="Q6236">
        <f t="shared" si="588"/>
        <v>3900</v>
      </c>
      <c r="T6236" s="16">
        <f t="shared" si="589"/>
        <v>-1.0753805220500199</v>
      </c>
    </row>
    <row r="6237" spans="7:20" ht="14.4" x14ac:dyDescent="0.25">
      <c r="G6237" s="10">
        <v>7289</v>
      </c>
      <c r="H6237" s="9">
        <v>51974</v>
      </c>
      <c r="I6237" s="14">
        <f>DATE(2012,12,31)-705</f>
        <v>40569</v>
      </c>
      <c r="J6237" s="15" t="s">
        <v>17</v>
      </c>
      <c r="K6237" s="9">
        <v>2</v>
      </c>
      <c r="L6237" s="16" t="s">
        <v>26</v>
      </c>
      <c r="M6237" s="16">
        <f t="shared" si="585"/>
        <v>-1.627858735003791</v>
      </c>
      <c r="N6237">
        <f t="shared" si="586"/>
        <v>0</v>
      </c>
      <c r="O6237">
        <f t="shared" si="587"/>
        <v>0</v>
      </c>
      <c r="P6237">
        <f t="shared" si="584"/>
        <v>3500</v>
      </c>
      <c r="Q6237">
        <f t="shared" si="588"/>
        <v>3500</v>
      </c>
      <c r="T6237" s="16">
        <f t="shared" si="589"/>
        <v>-1.6278587350037912</v>
      </c>
    </row>
    <row r="6238" spans="7:20" ht="14.4" x14ac:dyDescent="0.25">
      <c r="G6238" s="10">
        <v>7394</v>
      </c>
      <c r="H6238" s="9">
        <v>52676</v>
      </c>
      <c r="I6238" s="14">
        <f>DATE(2012,12,31)-125</f>
        <v>41149</v>
      </c>
      <c r="J6238" s="15" t="s">
        <v>17</v>
      </c>
      <c r="K6238" s="9">
        <v>46</v>
      </c>
      <c r="L6238" s="16" t="s">
        <v>26</v>
      </c>
      <c r="M6238" s="16">
        <f t="shared" si="585"/>
        <v>1.4107714362419523</v>
      </c>
      <c r="N6238">
        <f t="shared" si="586"/>
        <v>0</v>
      </c>
      <c r="O6238">
        <f t="shared" si="587"/>
        <v>0</v>
      </c>
      <c r="P6238">
        <f t="shared" si="584"/>
        <v>5700</v>
      </c>
      <c r="Q6238">
        <f t="shared" si="588"/>
        <v>5700</v>
      </c>
      <c r="T6238" s="16">
        <f t="shared" si="589"/>
        <v>1.4107714362419519</v>
      </c>
    </row>
    <row r="6239" spans="7:20" ht="14.4" x14ac:dyDescent="0.25">
      <c r="G6239" s="10">
        <v>7452</v>
      </c>
      <c r="H6239" s="9">
        <v>53153</v>
      </c>
      <c r="I6239" s="14">
        <f>DATE(2012,12,31)-1195</f>
        <v>40079</v>
      </c>
      <c r="J6239" s="15" t="s">
        <v>30</v>
      </c>
      <c r="K6239" s="9">
        <v>29</v>
      </c>
      <c r="L6239" s="16" t="s">
        <v>26</v>
      </c>
      <c r="M6239" s="16">
        <f t="shared" si="585"/>
        <v>0.23675523371518786</v>
      </c>
      <c r="N6239">
        <f t="shared" si="586"/>
        <v>0</v>
      </c>
      <c r="O6239">
        <f t="shared" si="587"/>
        <v>0</v>
      </c>
      <c r="P6239">
        <f t="shared" si="584"/>
        <v>4850</v>
      </c>
      <c r="Q6239">
        <f t="shared" si="588"/>
        <v>4850</v>
      </c>
      <c r="T6239" s="16">
        <f t="shared" si="589"/>
        <v>0.2367552337151875</v>
      </c>
    </row>
    <row r="6240" spans="7:20" ht="14.4" x14ac:dyDescent="0.25">
      <c r="G6240" s="10">
        <v>7542</v>
      </c>
      <c r="H6240" s="9">
        <v>53895</v>
      </c>
      <c r="I6240" s="14">
        <f>DATE(2012,12,31)-484</f>
        <v>40790</v>
      </c>
      <c r="J6240" s="15" t="s">
        <v>28</v>
      </c>
      <c r="K6240" s="9">
        <v>21</v>
      </c>
      <c r="L6240" s="16" t="s">
        <v>26</v>
      </c>
      <c r="M6240" s="16">
        <f t="shared" si="585"/>
        <v>-0.31572297923858361</v>
      </c>
      <c r="N6240">
        <f t="shared" si="586"/>
        <v>0</v>
      </c>
      <c r="O6240">
        <f t="shared" si="587"/>
        <v>0</v>
      </c>
      <c r="P6240">
        <f t="shared" si="584"/>
        <v>4450</v>
      </c>
      <c r="Q6240">
        <f t="shared" si="588"/>
        <v>4450</v>
      </c>
      <c r="T6240" s="16">
        <f t="shared" si="589"/>
        <v>-0.315722979238584</v>
      </c>
    </row>
    <row r="6241" spans="7:20" ht="14.4" x14ac:dyDescent="0.25">
      <c r="G6241" s="10">
        <v>7615</v>
      </c>
      <c r="H6241" s="9">
        <v>54497</v>
      </c>
      <c r="I6241" s="14">
        <f>DATE(2012,12,31)-1077</f>
        <v>40197</v>
      </c>
      <c r="J6241" s="15" t="s">
        <v>28</v>
      </c>
      <c r="K6241" s="9">
        <v>1</v>
      </c>
      <c r="L6241" s="16" t="s">
        <v>26</v>
      </c>
      <c r="M6241" s="16">
        <f t="shared" si="585"/>
        <v>-1.6969185116230123</v>
      </c>
      <c r="N6241">
        <f t="shared" si="586"/>
        <v>0</v>
      </c>
      <c r="O6241">
        <f t="shared" si="587"/>
        <v>0</v>
      </c>
      <c r="P6241">
        <f t="shared" si="584"/>
        <v>3450</v>
      </c>
      <c r="Q6241">
        <f t="shared" si="588"/>
        <v>3450</v>
      </c>
      <c r="T6241" s="16">
        <f t="shared" si="589"/>
        <v>-1.6969185116230128</v>
      </c>
    </row>
    <row r="6242" spans="7:20" ht="14.4" x14ac:dyDescent="0.25">
      <c r="G6242" s="10">
        <v>7714</v>
      </c>
      <c r="H6242" s="9">
        <v>55296</v>
      </c>
      <c r="I6242" s="14">
        <f>DATE(2012,12,31)-74</f>
        <v>41200</v>
      </c>
      <c r="J6242" s="15" t="s">
        <v>25</v>
      </c>
      <c r="K6242" s="9">
        <v>32</v>
      </c>
      <c r="L6242" s="16" t="s">
        <v>26</v>
      </c>
      <c r="M6242" s="16">
        <f t="shared" si="585"/>
        <v>0.44393456357285216</v>
      </c>
      <c r="N6242">
        <f t="shared" si="586"/>
        <v>0</v>
      </c>
      <c r="O6242">
        <f t="shared" si="587"/>
        <v>0</v>
      </c>
      <c r="P6242">
        <f t="shared" si="584"/>
        <v>5000</v>
      </c>
      <c r="Q6242">
        <f t="shared" si="588"/>
        <v>5000</v>
      </c>
      <c r="T6242" s="16">
        <f t="shared" si="589"/>
        <v>0.44393456357285183</v>
      </c>
    </row>
    <row r="6243" spans="7:20" ht="14.4" x14ac:dyDescent="0.25">
      <c r="G6243" s="10">
        <v>7779</v>
      </c>
      <c r="H6243" s="9">
        <v>55654</v>
      </c>
      <c r="I6243" s="14">
        <f>DATE(2012,12,31)-834</f>
        <v>40440</v>
      </c>
      <c r="J6243" s="15" t="s">
        <v>17</v>
      </c>
      <c r="K6243" s="9">
        <v>2</v>
      </c>
      <c r="L6243" s="16" t="s">
        <v>29</v>
      </c>
      <c r="M6243" s="16">
        <f t="shared" si="585"/>
        <v>-1.627858735003791</v>
      </c>
      <c r="N6243">
        <f t="shared" si="586"/>
        <v>0</v>
      </c>
      <c r="O6243">
        <f t="shared" si="587"/>
        <v>0</v>
      </c>
      <c r="P6243">
        <f t="shared" si="584"/>
        <v>3500</v>
      </c>
      <c r="Q6243">
        <f t="shared" si="588"/>
        <v>3500</v>
      </c>
      <c r="T6243" s="16">
        <f t="shared" si="589"/>
        <v>-1.6278587350037912</v>
      </c>
    </row>
    <row r="6244" spans="7:20" ht="14.4" x14ac:dyDescent="0.25">
      <c r="G6244" s="10">
        <v>7884</v>
      </c>
      <c r="H6244" s="9">
        <v>56387</v>
      </c>
      <c r="I6244" s="14">
        <f>DATE(2012,12,31)-591</f>
        <v>40683</v>
      </c>
      <c r="J6244" s="15" t="s">
        <v>16</v>
      </c>
      <c r="K6244" s="9">
        <v>32</v>
      </c>
      <c r="L6244" s="16" t="s">
        <v>26</v>
      </c>
      <c r="M6244" s="16">
        <f t="shared" si="585"/>
        <v>0.44393456357285216</v>
      </c>
      <c r="N6244">
        <f t="shared" si="586"/>
        <v>0</v>
      </c>
      <c r="O6244">
        <f t="shared" si="587"/>
        <v>0</v>
      </c>
      <c r="P6244">
        <f t="shared" si="584"/>
        <v>5000</v>
      </c>
      <c r="Q6244">
        <f t="shared" si="588"/>
        <v>5000</v>
      </c>
      <c r="T6244" s="16">
        <f t="shared" si="589"/>
        <v>0.44393456357285183</v>
      </c>
    </row>
    <row r="6245" spans="7:20" ht="14.4" x14ac:dyDescent="0.25">
      <c r="G6245" s="10">
        <v>7885</v>
      </c>
      <c r="H6245" s="9">
        <v>56387</v>
      </c>
      <c r="I6245" s="14">
        <f>DATE(2012,12,31)-591</f>
        <v>40683</v>
      </c>
      <c r="J6245" s="15" t="s">
        <v>16</v>
      </c>
      <c r="K6245" s="9">
        <v>9</v>
      </c>
      <c r="L6245" s="16" t="s">
        <v>26</v>
      </c>
      <c r="M6245" s="16">
        <f t="shared" si="585"/>
        <v>-1.1444402986692408</v>
      </c>
      <c r="N6245">
        <f t="shared" si="586"/>
        <v>0</v>
      </c>
      <c r="O6245">
        <f t="shared" si="587"/>
        <v>0</v>
      </c>
      <c r="P6245">
        <f t="shared" si="584"/>
        <v>3850</v>
      </c>
      <c r="Q6245">
        <f t="shared" si="588"/>
        <v>3850</v>
      </c>
      <c r="T6245" s="16">
        <f t="shared" si="589"/>
        <v>-1.1444402986692412</v>
      </c>
    </row>
    <row r="6246" spans="7:20" ht="14.4" x14ac:dyDescent="0.25">
      <c r="G6246" s="10">
        <v>7944</v>
      </c>
      <c r="H6246" s="9">
        <v>56743</v>
      </c>
      <c r="I6246" s="14">
        <f>DATE(2012,12,31)-558</f>
        <v>40716</v>
      </c>
      <c r="J6246" s="15" t="s">
        <v>16</v>
      </c>
      <c r="K6246" s="9">
        <v>23</v>
      </c>
      <c r="L6246" s="16" t="s">
        <v>29</v>
      </c>
      <c r="M6246" s="16">
        <f t="shared" si="585"/>
        <v>-0.17760342600014073</v>
      </c>
      <c r="N6246">
        <f t="shared" si="586"/>
        <v>0</v>
      </c>
      <c r="O6246">
        <f t="shared" si="587"/>
        <v>0</v>
      </c>
      <c r="P6246">
        <f t="shared" si="584"/>
        <v>4550</v>
      </c>
      <c r="Q6246">
        <f t="shared" si="588"/>
        <v>4550</v>
      </c>
      <c r="T6246" s="16">
        <f t="shared" si="589"/>
        <v>-0.17760342600014112</v>
      </c>
    </row>
    <row r="6247" spans="7:20" ht="14.4" x14ac:dyDescent="0.25">
      <c r="G6247" s="10">
        <v>7952</v>
      </c>
      <c r="H6247" s="9">
        <v>56805</v>
      </c>
      <c r="I6247" s="14">
        <f>DATE(2012,12,31)-209</f>
        <v>41065</v>
      </c>
      <c r="J6247" s="15" t="s">
        <v>17</v>
      </c>
      <c r="K6247" s="9">
        <v>38</v>
      </c>
      <c r="L6247" s="16" t="s">
        <v>26</v>
      </c>
      <c r="M6247" s="16">
        <f t="shared" si="585"/>
        <v>0.85829322328818081</v>
      </c>
      <c r="N6247">
        <f t="shared" si="586"/>
        <v>0</v>
      </c>
      <c r="O6247">
        <f t="shared" si="587"/>
        <v>0</v>
      </c>
      <c r="P6247">
        <f t="shared" si="584"/>
        <v>5300</v>
      </c>
      <c r="Q6247">
        <f t="shared" si="588"/>
        <v>5300</v>
      </c>
      <c r="T6247" s="16">
        <f t="shared" si="589"/>
        <v>0.85829322328818036</v>
      </c>
    </row>
    <row r="6248" spans="7:20" ht="14.4" x14ac:dyDescent="0.25">
      <c r="G6248" s="10">
        <v>7958</v>
      </c>
      <c r="H6248" s="9">
        <v>56838</v>
      </c>
      <c r="I6248" s="14">
        <f>DATE(2012,12,31)-521</f>
        <v>40753</v>
      </c>
      <c r="J6248" s="15" t="s">
        <v>30</v>
      </c>
      <c r="K6248" s="9">
        <v>44</v>
      </c>
      <c r="L6248" s="16" t="s">
        <v>27</v>
      </c>
      <c r="M6248" s="16">
        <f t="shared" si="585"/>
        <v>1.2726518830035094</v>
      </c>
      <c r="N6248">
        <f t="shared" si="586"/>
        <v>0</v>
      </c>
      <c r="O6248">
        <f t="shared" si="587"/>
        <v>0</v>
      </c>
      <c r="P6248">
        <f t="shared" si="584"/>
        <v>5600</v>
      </c>
      <c r="Q6248">
        <f t="shared" si="588"/>
        <v>5600</v>
      </c>
      <c r="T6248" s="16">
        <f t="shared" si="589"/>
        <v>1.272651883003509</v>
      </c>
    </row>
    <row r="6249" spans="7:20" ht="14.4" x14ac:dyDescent="0.25">
      <c r="G6249" s="10">
        <v>7988</v>
      </c>
      <c r="H6249" s="9">
        <v>57095</v>
      </c>
      <c r="I6249" s="14">
        <f>DATE(2012,12,31)-649</f>
        <v>40625</v>
      </c>
      <c r="J6249" s="15" t="s">
        <v>16</v>
      </c>
      <c r="K6249" s="9">
        <v>37</v>
      </c>
      <c r="L6249" s="16" t="s">
        <v>26</v>
      </c>
      <c r="M6249" s="16">
        <f t="shared" si="585"/>
        <v>0.78923344666895934</v>
      </c>
      <c r="N6249">
        <f t="shared" si="586"/>
        <v>0</v>
      </c>
      <c r="O6249">
        <f t="shared" si="587"/>
        <v>0</v>
      </c>
      <c r="P6249">
        <f t="shared" si="584"/>
        <v>5250</v>
      </c>
      <c r="Q6249">
        <f t="shared" si="588"/>
        <v>5250</v>
      </c>
      <c r="T6249" s="16">
        <f t="shared" si="589"/>
        <v>0.789233446668959</v>
      </c>
    </row>
    <row r="6250" spans="7:20" ht="14.4" x14ac:dyDescent="0.25">
      <c r="G6250" s="10">
        <v>8019</v>
      </c>
      <c r="H6250" s="9">
        <v>57287</v>
      </c>
      <c r="I6250" s="14">
        <f>DATE(2012,12,31)-430</f>
        <v>40844</v>
      </c>
      <c r="J6250" s="15" t="s">
        <v>28</v>
      </c>
      <c r="K6250" s="9">
        <v>11</v>
      </c>
      <c r="L6250" s="16" t="s">
        <v>27</v>
      </c>
      <c r="M6250" s="16">
        <f t="shared" si="585"/>
        <v>-1.0063207454307979</v>
      </c>
      <c r="N6250">
        <f t="shared" si="586"/>
        <v>0</v>
      </c>
      <c r="O6250">
        <f t="shared" si="587"/>
        <v>0</v>
      </c>
      <c r="P6250">
        <f t="shared" si="584"/>
        <v>3950</v>
      </c>
      <c r="Q6250">
        <f t="shared" si="588"/>
        <v>3950</v>
      </c>
      <c r="T6250" s="16">
        <f t="shared" si="589"/>
        <v>-1.0063207454307983</v>
      </c>
    </row>
    <row r="6251" spans="7:20" ht="14.4" x14ac:dyDescent="0.25">
      <c r="G6251" s="10">
        <v>8118</v>
      </c>
      <c r="H6251" s="9">
        <v>57984</v>
      </c>
      <c r="I6251" s="14">
        <f>DATE(2012,12,31)-821</f>
        <v>40453</v>
      </c>
      <c r="J6251" s="15" t="s">
        <v>17</v>
      </c>
      <c r="K6251" s="9">
        <v>6</v>
      </c>
      <c r="L6251" s="16" t="s">
        <v>27</v>
      </c>
      <c r="M6251" s="16">
        <f t="shared" si="585"/>
        <v>-1.3516196285269051</v>
      </c>
      <c r="N6251">
        <f t="shared" si="586"/>
        <v>0</v>
      </c>
      <c r="O6251">
        <f t="shared" si="587"/>
        <v>0</v>
      </c>
      <c r="P6251">
        <f t="shared" si="584"/>
        <v>3700</v>
      </c>
      <c r="Q6251">
        <f t="shared" si="588"/>
        <v>3700</v>
      </c>
      <c r="T6251" s="16">
        <f t="shared" si="589"/>
        <v>-1.3516196285269055</v>
      </c>
    </row>
    <row r="6252" spans="7:20" ht="14.4" x14ac:dyDescent="0.25">
      <c r="G6252" s="10">
        <v>8119</v>
      </c>
      <c r="H6252" s="9">
        <v>57984</v>
      </c>
      <c r="I6252" s="14">
        <f>DATE(2012,12,31)-821</f>
        <v>40453</v>
      </c>
      <c r="J6252" s="15" t="s">
        <v>17</v>
      </c>
      <c r="K6252" s="9">
        <v>20</v>
      </c>
      <c r="L6252" s="16" t="s">
        <v>27</v>
      </c>
      <c r="M6252" s="16">
        <f t="shared" si="585"/>
        <v>-0.38478275585780503</v>
      </c>
      <c r="N6252">
        <f t="shared" si="586"/>
        <v>0</v>
      </c>
      <c r="O6252">
        <f t="shared" si="587"/>
        <v>0</v>
      </c>
      <c r="P6252">
        <f t="shared" si="584"/>
        <v>4400</v>
      </c>
      <c r="Q6252">
        <f t="shared" si="588"/>
        <v>4400</v>
      </c>
      <c r="T6252" s="16">
        <f t="shared" si="589"/>
        <v>-0.38478275585780541</v>
      </c>
    </row>
    <row r="6253" spans="7:20" ht="14.4" x14ac:dyDescent="0.25">
      <c r="G6253" s="10">
        <v>8289</v>
      </c>
      <c r="H6253" s="9">
        <v>59207</v>
      </c>
      <c r="I6253" s="14">
        <f>DATE(2012,12,31)-1323</f>
        <v>39951</v>
      </c>
      <c r="J6253" s="15" t="s">
        <v>30</v>
      </c>
      <c r="K6253" s="9">
        <v>3</v>
      </c>
      <c r="L6253" s="16" t="s">
        <v>26</v>
      </c>
      <c r="M6253" s="16">
        <f t="shared" si="585"/>
        <v>-1.5587989583845694</v>
      </c>
      <c r="N6253">
        <f t="shared" si="586"/>
        <v>0</v>
      </c>
      <c r="O6253">
        <f t="shared" si="587"/>
        <v>0</v>
      </c>
      <c r="P6253">
        <f t="shared" si="584"/>
        <v>3550</v>
      </c>
      <c r="Q6253">
        <f t="shared" si="588"/>
        <v>3550</v>
      </c>
      <c r="T6253" s="16">
        <f t="shared" si="589"/>
        <v>-1.5587989583845698</v>
      </c>
    </row>
    <row r="6254" spans="7:20" ht="14.4" x14ac:dyDescent="0.25">
      <c r="G6254" s="10">
        <v>8296</v>
      </c>
      <c r="H6254" s="9">
        <v>59238</v>
      </c>
      <c r="I6254" s="14">
        <f>DATE(2012,12,31)-1199</f>
        <v>40075</v>
      </c>
      <c r="J6254" s="15" t="s">
        <v>17</v>
      </c>
      <c r="K6254" s="9">
        <v>11</v>
      </c>
      <c r="L6254" s="16" t="s">
        <v>26</v>
      </c>
      <c r="M6254" s="16">
        <f t="shared" si="585"/>
        <v>-1.0063207454307979</v>
      </c>
      <c r="N6254">
        <f t="shared" si="586"/>
        <v>0</v>
      </c>
      <c r="O6254">
        <f t="shared" si="587"/>
        <v>0</v>
      </c>
      <c r="P6254">
        <f t="shared" si="584"/>
        <v>3950</v>
      </c>
      <c r="Q6254">
        <f t="shared" si="588"/>
        <v>3950</v>
      </c>
      <c r="T6254" s="16">
        <f t="shared" si="589"/>
        <v>-1.0063207454307983</v>
      </c>
    </row>
    <row r="6255" spans="7:20" ht="14.4" x14ac:dyDescent="0.25">
      <c r="G6255" s="10">
        <v>8315</v>
      </c>
      <c r="H6255" s="9">
        <v>59396</v>
      </c>
      <c r="I6255" s="14">
        <f>DATE(2012,12,31)-1143</f>
        <v>40131</v>
      </c>
      <c r="J6255" s="15" t="s">
        <v>30</v>
      </c>
      <c r="K6255" s="9">
        <v>41</v>
      </c>
      <c r="L6255" s="16" t="s">
        <v>27</v>
      </c>
      <c r="M6255" s="16">
        <f t="shared" si="585"/>
        <v>1.0654725531458451</v>
      </c>
      <c r="N6255">
        <f t="shared" si="586"/>
        <v>0</v>
      </c>
      <c r="O6255">
        <f t="shared" si="587"/>
        <v>0</v>
      </c>
      <c r="P6255">
        <f t="shared" si="584"/>
        <v>5450</v>
      </c>
      <c r="Q6255">
        <f t="shared" si="588"/>
        <v>5450</v>
      </c>
      <c r="T6255" s="16">
        <f t="shared" si="589"/>
        <v>1.0654725531458447</v>
      </c>
    </row>
    <row r="6256" spans="7:20" ht="14.4" x14ac:dyDescent="0.25">
      <c r="G6256" s="10">
        <v>8388</v>
      </c>
      <c r="H6256" s="9">
        <v>59911</v>
      </c>
      <c r="I6256" s="14">
        <f>DATE(2012,12,31)-379</f>
        <v>40895</v>
      </c>
      <c r="J6256" s="15" t="s">
        <v>28</v>
      </c>
      <c r="K6256" s="9">
        <v>1</v>
      </c>
      <c r="L6256" s="16" t="s">
        <v>26</v>
      </c>
      <c r="M6256" s="16">
        <f t="shared" si="585"/>
        <v>-1.6969185116230123</v>
      </c>
      <c r="N6256">
        <f t="shared" si="586"/>
        <v>0</v>
      </c>
      <c r="O6256">
        <f t="shared" si="587"/>
        <v>0</v>
      </c>
      <c r="P6256">
        <f t="shared" si="584"/>
        <v>3450</v>
      </c>
      <c r="Q6256">
        <f t="shared" si="588"/>
        <v>3450</v>
      </c>
      <c r="T6256" s="16">
        <f t="shared" si="589"/>
        <v>-1.6969185116230128</v>
      </c>
    </row>
    <row r="6257" spans="7:20" ht="14.4" x14ac:dyDescent="0.25">
      <c r="G6257" s="10">
        <v>147</v>
      </c>
      <c r="H6257" s="9">
        <v>930</v>
      </c>
      <c r="I6257" s="14">
        <f>DATE(2012,12,31)-1111</f>
        <v>40163</v>
      </c>
      <c r="J6257" s="15" t="s">
        <v>30</v>
      </c>
      <c r="K6257" s="9">
        <v>22</v>
      </c>
      <c r="L6257" s="16" t="s">
        <v>29</v>
      </c>
      <c r="M6257" s="16">
        <f t="shared" si="585"/>
        <v>-0.24666320261936217</v>
      </c>
      <c r="N6257">
        <f t="shared" si="586"/>
        <v>0</v>
      </c>
      <c r="O6257">
        <f t="shared" si="587"/>
        <v>0</v>
      </c>
      <c r="P6257">
        <f t="shared" si="584"/>
        <v>4500</v>
      </c>
      <c r="Q6257">
        <f t="shared" si="588"/>
        <v>4500</v>
      </c>
      <c r="T6257" s="16">
        <f t="shared" si="589"/>
        <v>-0.24666320261936256</v>
      </c>
    </row>
    <row r="6258" spans="7:20" ht="14.4" x14ac:dyDescent="0.25">
      <c r="G6258" s="10">
        <v>148</v>
      </c>
      <c r="H6258" s="9">
        <v>930</v>
      </c>
      <c r="I6258" s="14">
        <f>DATE(2012,12,31)-1111</f>
        <v>40163</v>
      </c>
      <c r="J6258" s="15" t="s">
        <v>30</v>
      </c>
      <c r="K6258" s="9">
        <v>11</v>
      </c>
      <c r="L6258" s="16" t="s">
        <v>26</v>
      </c>
      <c r="M6258" s="16">
        <f t="shared" si="585"/>
        <v>-1.0063207454307979</v>
      </c>
      <c r="N6258">
        <f t="shared" si="586"/>
        <v>0</v>
      </c>
      <c r="O6258">
        <f t="shared" si="587"/>
        <v>0</v>
      </c>
      <c r="P6258">
        <f t="shared" si="584"/>
        <v>3950</v>
      </c>
      <c r="Q6258">
        <f t="shared" si="588"/>
        <v>3950</v>
      </c>
      <c r="T6258" s="16">
        <f t="shared" si="589"/>
        <v>-1.0063207454307983</v>
      </c>
    </row>
    <row r="6259" spans="7:20" ht="14.4" x14ac:dyDescent="0.25">
      <c r="G6259" s="10">
        <v>168</v>
      </c>
      <c r="H6259" s="9">
        <v>1058</v>
      </c>
      <c r="I6259" s="14">
        <f>DATE(2012,12,31)-981</f>
        <v>40293</v>
      </c>
      <c r="J6259" s="15" t="s">
        <v>16</v>
      </c>
      <c r="K6259" s="9">
        <v>3</v>
      </c>
      <c r="L6259" s="16" t="s">
        <v>27</v>
      </c>
      <c r="M6259" s="16">
        <f t="shared" si="585"/>
        <v>-1.5587989583845694</v>
      </c>
      <c r="N6259">
        <f t="shared" si="586"/>
        <v>0</v>
      </c>
      <c r="O6259">
        <f t="shared" si="587"/>
        <v>0</v>
      </c>
      <c r="P6259">
        <f t="shared" si="584"/>
        <v>3550</v>
      </c>
      <c r="Q6259">
        <f t="shared" si="588"/>
        <v>3550</v>
      </c>
      <c r="T6259" s="16">
        <f t="shared" si="589"/>
        <v>-1.5587989583845698</v>
      </c>
    </row>
    <row r="6260" spans="7:20" ht="14.4" x14ac:dyDescent="0.25">
      <c r="G6260" s="10">
        <v>172</v>
      </c>
      <c r="H6260" s="9">
        <v>1088</v>
      </c>
      <c r="I6260" s="14">
        <f>DATE(2012,12,31)-225</f>
        <v>41049</v>
      </c>
      <c r="J6260" s="15" t="s">
        <v>25</v>
      </c>
      <c r="K6260" s="9">
        <v>13</v>
      </c>
      <c r="L6260" s="16" t="s">
        <v>27</v>
      </c>
      <c r="M6260" s="16">
        <f t="shared" si="585"/>
        <v>-0.86820119219235514</v>
      </c>
      <c r="N6260">
        <f t="shared" si="586"/>
        <v>0</v>
      </c>
      <c r="O6260">
        <f t="shared" si="587"/>
        <v>0</v>
      </c>
      <c r="P6260">
        <f t="shared" si="584"/>
        <v>4050</v>
      </c>
      <c r="Q6260">
        <f t="shared" si="588"/>
        <v>4050</v>
      </c>
      <c r="T6260" s="16">
        <f t="shared" si="589"/>
        <v>-0.86820119219235548</v>
      </c>
    </row>
    <row r="6261" spans="7:20" ht="14.4" x14ac:dyDescent="0.25">
      <c r="G6261" s="10">
        <v>225</v>
      </c>
      <c r="H6261" s="9">
        <v>1504</v>
      </c>
      <c r="I6261" s="14">
        <f>DATE(2012,12,31)-126</f>
        <v>41148</v>
      </c>
      <c r="J6261" s="15" t="s">
        <v>16</v>
      </c>
      <c r="K6261" s="9">
        <v>31</v>
      </c>
      <c r="L6261" s="16" t="s">
        <v>27</v>
      </c>
      <c r="M6261" s="16">
        <f t="shared" si="585"/>
        <v>0.37487478695363075</v>
      </c>
      <c r="N6261">
        <f t="shared" si="586"/>
        <v>0</v>
      </c>
      <c r="O6261">
        <f t="shared" si="587"/>
        <v>0</v>
      </c>
      <c r="P6261">
        <f t="shared" si="584"/>
        <v>4950</v>
      </c>
      <c r="Q6261">
        <f t="shared" si="588"/>
        <v>4950</v>
      </c>
      <c r="T6261" s="16">
        <f t="shared" si="589"/>
        <v>0.37487478695363036</v>
      </c>
    </row>
    <row r="6262" spans="7:20" ht="14.4" x14ac:dyDescent="0.25">
      <c r="G6262" s="10">
        <v>258</v>
      </c>
      <c r="H6262" s="9">
        <v>1796</v>
      </c>
      <c r="I6262" s="14">
        <f>DATE(2012,12,31)-41</f>
        <v>41233</v>
      </c>
      <c r="J6262" s="15" t="s">
        <v>17</v>
      </c>
      <c r="K6262" s="9">
        <v>43</v>
      </c>
      <c r="L6262" s="16" t="s">
        <v>26</v>
      </c>
      <c r="M6262" s="16">
        <f t="shared" si="585"/>
        <v>1.203592106384288</v>
      </c>
      <c r="N6262">
        <f t="shared" si="586"/>
        <v>0</v>
      </c>
      <c r="O6262">
        <f t="shared" si="587"/>
        <v>0</v>
      </c>
      <c r="P6262">
        <f t="shared" si="584"/>
        <v>5550</v>
      </c>
      <c r="Q6262">
        <f t="shared" si="588"/>
        <v>5550</v>
      </c>
      <c r="T6262" s="16">
        <f t="shared" si="589"/>
        <v>1.2035921063842876</v>
      </c>
    </row>
    <row r="6263" spans="7:20" ht="14.4" x14ac:dyDescent="0.25">
      <c r="G6263" s="10">
        <v>292</v>
      </c>
      <c r="H6263" s="9">
        <v>2048</v>
      </c>
      <c r="I6263" s="14">
        <f>DATE(2012,12,31)-778</f>
        <v>40496</v>
      </c>
      <c r="J6263" s="15" t="s">
        <v>30</v>
      </c>
      <c r="K6263" s="9">
        <v>12</v>
      </c>
      <c r="L6263" s="16" t="s">
        <v>26</v>
      </c>
      <c r="M6263" s="16">
        <f t="shared" si="585"/>
        <v>-0.9372609688115765</v>
      </c>
      <c r="N6263">
        <f t="shared" si="586"/>
        <v>0</v>
      </c>
      <c r="O6263">
        <f t="shared" si="587"/>
        <v>0</v>
      </c>
      <c r="P6263">
        <f t="shared" si="584"/>
        <v>4000</v>
      </c>
      <c r="Q6263">
        <f t="shared" si="588"/>
        <v>4000</v>
      </c>
      <c r="T6263" s="16">
        <f t="shared" si="589"/>
        <v>-0.93726096881157694</v>
      </c>
    </row>
    <row r="6264" spans="7:20" ht="14.4" x14ac:dyDescent="0.25">
      <c r="G6264" s="10">
        <v>293</v>
      </c>
      <c r="H6264" s="9">
        <v>2048</v>
      </c>
      <c r="I6264" s="14">
        <f>DATE(2012,12,31)-778</f>
        <v>40496</v>
      </c>
      <c r="J6264" s="15" t="s">
        <v>30</v>
      </c>
      <c r="K6264" s="9">
        <v>9</v>
      </c>
      <c r="L6264" s="16" t="s">
        <v>26</v>
      </c>
      <c r="M6264" s="16">
        <f t="shared" si="585"/>
        <v>-1.1444402986692408</v>
      </c>
      <c r="N6264">
        <f t="shared" si="586"/>
        <v>0</v>
      </c>
      <c r="O6264">
        <f t="shared" si="587"/>
        <v>0</v>
      </c>
      <c r="P6264">
        <f t="shared" si="584"/>
        <v>3850</v>
      </c>
      <c r="Q6264">
        <f t="shared" si="588"/>
        <v>3850</v>
      </c>
      <c r="T6264" s="16">
        <f t="shared" si="589"/>
        <v>-1.1444402986692412</v>
      </c>
    </row>
    <row r="6265" spans="7:20" ht="14.4" x14ac:dyDescent="0.25">
      <c r="G6265" s="10">
        <v>294</v>
      </c>
      <c r="H6265" s="9">
        <v>2050</v>
      </c>
      <c r="I6265" s="14">
        <f>DATE(2012,12,31)-1309</f>
        <v>39965</v>
      </c>
      <c r="J6265" s="15" t="s">
        <v>28</v>
      </c>
      <c r="K6265" s="9">
        <v>16</v>
      </c>
      <c r="L6265" s="16" t="s">
        <v>26</v>
      </c>
      <c r="M6265" s="16">
        <f t="shared" si="585"/>
        <v>-0.66102186233469074</v>
      </c>
      <c r="N6265">
        <f t="shared" si="586"/>
        <v>0</v>
      </c>
      <c r="O6265">
        <f t="shared" si="587"/>
        <v>0</v>
      </c>
      <c r="P6265">
        <f t="shared" si="584"/>
        <v>4200</v>
      </c>
      <c r="Q6265">
        <f t="shared" si="588"/>
        <v>4200</v>
      </c>
      <c r="T6265" s="16">
        <f t="shared" si="589"/>
        <v>-0.66102186233469118</v>
      </c>
    </row>
    <row r="6266" spans="7:20" ht="14.4" x14ac:dyDescent="0.25">
      <c r="G6266" s="10">
        <v>295</v>
      </c>
      <c r="H6266" s="9">
        <v>2050</v>
      </c>
      <c r="I6266" s="14">
        <f>DATE(2012,12,31)-1309</f>
        <v>39965</v>
      </c>
      <c r="J6266" s="15" t="s">
        <v>28</v>
      </c>
      <c r="K6266" s="9">
        <v>25</v>
      </c>
      <c r="L6266" s="16" t="s">
        <v>26</v>
      </c>
      <c r="M6266" s="16">
        <f t="shared" si="585"/>
        <v>-3.9483872761697868E-2</v>
      </c>
      <c r="N6266">
        <f t="shared" si="586"/>
        <v>0</v>
      </c>
      <c r="O6266">
        <f t="shared" si="587"/>
        <v>0</v>
      </c>
      <c r="P6266">
        <f t="shared" si="584"/>
        <v>4650</v>
      </c>
      <c r="Q6266">
        <f t="shared" si="588"/>
        <v>4650</v>
      </c>
      <c r="T6266" s="16">
        <f t="shared" si="589"/>
        <v>-3.9483872761698249E-2</v>
      </c>
    </row>
    <row r="6267" spans="7:20" ht="14.4" x14ac:dyDescent="0.25">
      <c r="G6267" s="10">
        <v>299</v>
      </c>
      <c r="H6267" s="9">
        <v>2054</v>
      </c>
      <c r="I6267" s="14">
        <f>DATE(2012,12,31)-207</f>
        <v>41067</v>
      </c>
      <c r="J6267" s="15" t="s">
        <v>28</v>
      </c>
      <c r="K6267" s="9">
        <v>1</v>
      </c>
      <c r="L6267" s="16" t="s">
        <v>26</v>
      </c>
      <c r="M6267" s="16">
        <f t="shared" si="585"/>
        <v>-1.6969185116230123</v>
      </c>
      <c r="N6267">
        <f t="shared" si="586"/>
        <v>0</v>
      </c>
      <c r="O6267">
        <f t="shared" si="587"/>
        <v>0</v>
      </c>
      <c r="P6267">
        <f t="shared" si="584"/>
        <v>3450</v>
      </c>
      <c r="Q6267">
        <f t="shared" si="588"/>
        <v>3450</v>
      </c>
      <c r="T6267" s="16">
        <f t="shared" si="589"/>
        <v>-1.6969185116230128</v>
      </c>
    </row>
    <row r="6268" spans="7:20" ht="14.4" x14ac:dyDescent="0.25">
      <c r="G6268" s="10">
        <v>300</v>
      </c>
      <c r="H6268" s="9">
        <v>2054</v>
      </c>
      <c r="I6268" s="14">
        <f>DATE(2012,12,31)-207</f>
        <v>41067</v>
      </c>
      <c r="J6268" s="15" t="s">
        <v>28</v>
      </c>
      <c r="K6268" s="9">
        <v>34</v>
      </c>
      <c r="L6268" s="16" t="s">
        <v>29</v>
      </c>
      <c r="M6268" s="16">
        <f t="shared" si="585"/>
        <v>0.58205411681129504</v>
      </c>
      <c r="N6268">
        <f t="shared" si="586"/>
        <v>0</v>
      </c>
      <c r="O6268">
        <f t="shared" si="587"/>
        <v>0</v>
      </c>
      <c r="P6268">
        <f t="shared" si="584"/>
        <v>5100</v>
      </c>
      <c r="Q6268">
        <f t="shared" si="588"/>
        <v>5100</v>
      </c>
      <c r="T6268" s="16">
        <f t="shared" si="589"/>
        <v>0.58205411681129471</v>
      </c>
    </row>
    <row r="6269" spans="7:20" ht="14.4" x14ac:dyDescent="0.25">
      <c r="G6269" s="10">
        <v>432</v>
      </c>
      <c r="H6269" s="9">
        <v>2885</v>
      </c>
      <c r="I6269" s="14">
        <f>DATE(2012,12,31)-104</f>
        <v>41170</v>
      </c>
      <c r="J6269" s="15" t="s">
        <v>28</v>
      </c>
      <c r="K6269" s="9">
        <v>29</v>
      </c>
      <c r="L6269" s="16" t="s">
        <v>26</v>
      </c>
      <c r="M6269" s="16">
        <f t="shared" si="585"/>
        <v>0.23675523371518786</v>
      </c>
      <c r="N6269">
        <f t="shared" si="586"/>
        <v>0</v>
      </c>
      <c r="O6269">
        <f t="shared" si="587"/>
        <v>0</v>
      </c>
      <c r="P6269">
        <f t="shared" si="584"/>
        <v>4850</v>
      </c>
      <c r="Q6269">
        <f t="shared" si="588"/>
        <v>4850</v>
      </c>
      <c r="T6269" s="16">
        <f t="shared" si="589"/>
        <v>0.2367552337151875</v>
      </c>
    </row>
    <row r="6270" spans="7:20" ht="14.4" x14ac:dyDescent="0.25">
      <c r="G6270" s="10">
        <v>433</v>
      </c>
      <c r="H6270" s="9">
        <v>2885</v>
      </c>
      <c r="I6270" s="14">
        <f>DATE(2012,12,31)-104</f>
        <v>41170</v>
      </c>
      <c r="J6270" s="15" t="s">
        <v>28</v>
      </c>
      <c r="K6270" s="9">
        <v>46</v>
      </c>
      <c r="L6270" s="16" t="s">
        <v>26</v>
      </c>
      <c r="M6270" s="16">
        <f t="shared" si="585"/>
        <v>1.4107714362419523</v>
      </c>
      <c r="N6270">
        <f t="shared" si="586"/>
        <v>0</v>
      </c>
      <c r="O6270">
        <f t="shared" si="587"/>
        <v>0</v>
      </c>
      <c r="P6270">
        <f t="shared" si="584"/>
        <v>5700</v>
      </c>
      <c r="Q6270">
        <f t="shared" si="588"/>
        <v>5700</v>
      </c>
      <c r="T6270" s="16">
        <f t="shared" si="589"/>
        <v>1.4107714362419519</v>
      </c>
    </row>
    <row r="6271" spans="7:20" ht="14.4" x14ac:dyDescent="0.25">
      <c r="G6271" s="10">
        <v>497</v>
      </c>
      <c r="H6271" s="9">
        <v>3458</v>
      </c>
      <c r="I6271" s="14">
        <f>DATE(2012,12,31)-1106</f>
        <v>40168</v>
      </c>
      <c r="J6271" s="15" t="s">
        <v>17</v>
      </c>
      <c r="K6271" s="9">
        <v>41</v>
      </c>
      <c r="L6271" s="16" t="s">
        <v>27</v>
      </c>
      <c r="M6271" s="16">
        <f t="shared" si="585"/>
        <v>1.0654725531458451</v>
      </c>
      <c r="N6271">
        <f t="shared" si="586"/>
        <v>0</v>
      </c>
      <c r="O6271">
        <f t="shared" si="587"/>
        <v>0</v>
      </c>
      <c r="P6271">
        <f t="shared" si="584"/>
        <v>5450</v>
      </c>
      <c r="Q6271">
        <f t="shared" si="588"/>
        <v>5450</v>
      </c>
      <c r="T6271" s="16">
        <f t="shared" si="589"/>
        <v>1.0654725531458447</v>
      </c>
    </row>
    <row r="6272" spans="7:20" ht="14.4" x14ac:dyDescent="0.25">
      <c r="G6272" s="10">
        <v>498</v>
      </c>
      <c r="H6272" s="9">
        <v>3458</v>
      </c>
      <c r="I6272" s="14">
        <f>DATE(2012,12,31)-1106</f>
        <v>40168</v>
      </c>
      <c r="J6272" s="15" t="s">
        <v>17</v>
      </c>
      <c r="K6272" s="9">
        <v>28</v>
      </c>
      <c r="L6272" s="16" t="s">
        <v>26</v>
      </c>
      <c r="M6272" s="16">
        <f t="shared" si="585"/>
        <v>0.16769545709596645</v>
      </c>
      <c r="N6272">
        <f t="shared" si="586"/>
        <v>0</v>
      </c>
      <c r="O6272">
        <f t="shared" si="587"/>
        <v>0</v>
      </c>
      <c r="P6272">
        <f t="shared" si="584"/>
        <v>4800</v>
      </c>
      <c r="Q6272">
        <f t="shared" si="588"/>
        <v>4800</v>
      </c>
      <c r="T6272" s="16">
        <f t="shared" si="589"/>
        <v>0.16769545709596606</v>
      </c>
    </row>
    <row r="6273" spans="7:20" ht="14.4" x14ac:dyDescent="0.25">
      <c r="G6273" s="10">
        <v>511</v>
      </c>
      <c r="H6273" s="9">
        <v>3522</v>
      </c>
      <c r="I6273" s="14">
        <f>DATE(2012,12,31)-1193</f>
        <v>40081</v>
      </c>
      <c r="J6273" s="15" t="s">
        <v>25</v>
      </c>
      <c r="K6273" s="9">
        <v>33</v>
      </c>
      <c r="L6273" s="16" t="s">
        <v>26</v>
      </c>
      <c r="M6273" s="16">
        <f t="shared" si="585"/>
        <v>0.51299434019207357</v>
      </c>
      <c r="N6273">
        <f t="shared" si="586"/>
        <v>0</v>
      </c>
      <c r="O6273">
        <f t="shared" si="587"/>
        <v>0</v>
      </c>
      <c r="P6273">
        <f t="shared" si="584"/>
        <v>5050</v>
      </c>
      <c r="Q6273">
        <f t="shared" si="588"/>
        <v>5050</v>
      </c>
      <c r="T6273" s="16">
        <f t="shared" si="589"/>
        <v>0.51299434019207324</v>
      </c>
    </row>
    <row r="6274" spans="7:20" ht="14.4" x14ac:dyDescent="0.25">
      <c r="G6274" s="10">
        <v>512</v>
      </c>
      <c r="H6274" s="9">
        <v>3522</v>
      </c>
      <c r="I6274" s="14">
        <f>DATE(2012,12,31)-1193</f>
        <v>40081</v>
      </c>
      <c r="J6274" s="15" t="s">
        <v>25</v>
      </c>
      <c r="K6274" s="9">
        <v>27</v>
      </c>
      <c r="L6274" s="16" t="s">
        <v>27</v>
      </c>
      <c r="M6274" s="16">
        <f t="shared" si="585"/>
        <v>9.8635680476745008E-2</v>
      </c>
      <c r="N6274">
        <f t="shared" si="586"/>
        <v>0</v>
      </c>
      <c r="O6274">
        <f t="shared" si="587"/>
        <v>0</v>
      </c>
      <c r="P6274">
        <f t="shared" si="584"/>
        <v>4750</v>
      </c>
      <c r="Q6274">
        <f t="shared" si="588"/>
        <v>4750</v>
      </c>
      <c r="T6274" s="16">
        <f t="shared" si="589"/>
        <v>9.8635680476744619E-2</v>
      </c>
    </row>
    <row r="6275" spans="7:20" ht="14.4" x14ac:dyDescent="0.25">
      <c r="G6275" s="10">
        <v>540</v>
      </c>
      <c r="H6275" s="9">
        <v>3653</v>
      </c>
      <c r="I6275" s="14">
        <f>DATE(2012,12,31)-1376</f>
        <v>39898</v>
      </c>
      <c r="J6275" s="15" t="s">
        <v>30</v>
      </c>
      <c r="K6275" s="9">
        <v>41</v>
      </c>
      <c r="L6275" s="16" t="s">
        <v>26</v>
      </c>
      <c r="M6275" s="16">
        <f t="shared" si="585"/>
        <v>1.0654725531458451</v>
      </c>
      <c r="N6275">
        <f t="shared" si="586"/>
        <v>0</v>
      </c>
      <c r="O6275">
        <f t="shared" si="587"/>
        <v>0</v>
      </c>
      <c r="P6275">
        <f t="shared" si="584"/>
        <v>5450</v>
      </c>
      <c r="Q6275">
        <f t="shared" si="588"/>
        <v>5450</v>
      </c>
      <c r="T6275" s="16">
        <f t="shared" si="589"/>
        <v>1.0654725531458447</v>
      </c>
    </row>
    <row r="6276" spans="7:20" ht="14.4" x14ac:dyDescent="0.25">
      <c r="G6276" s="10">
        <v>562</v>
      </c>
      <c r="H6276" s="9">
        <v>3808</v>
      </c>
      <c r="I6276" s="14">
        <f>DATE(2012,12,31)-1348</f>
        <v>39926</v>
      </c>
      <c r="J6276" s="15" t="s">
        <v>30</v>
      </c>
      <c r="K6276" s="9">
        <v>2</v>
      </c>
      <c r="L6276" s="16" t="s">
        <v>26</v>
      </c>
      <c r="M6276" s="16">
        <f t="shared" si="585"/>
        <v>-1.627858735003791</v>
      </c>
      <c r="N6276">
        <f t="shared" si="586"/>
        <v>0</v>
      </c>
      <c r="O6276">
        <f t="shared" si="587"/>
        <v>0</v>
      </c>
      <c r="P6276">
        <f t="shared" si="584"/>
        <v>3500</v>
      </c>
      <c r="Q6276">
        <f t="shared" si="588"/>
        <v>3500</v>
      </c>
      <c r="T6276" s="16">
        <f t="shared" si="589"/>
        <v>-1.6278587350037912</v>
      </c>
    </row>
    <row r="6277" spans="7:20" ht="14.4" x14ac:dyDescent="0.25">
      <c r="G6277" s="10">
        <v>581</v>
      </c>
      <c r="H6277" s="9">
        <v>3970</v>
      </c>
      <c r="I6277" s="14">
        <f>DATE(2012,12,31)-280</f>
        <v>40994</v>
      </c>
      <c r="J6277" s="15" t="s">
        <v>16</v>
      </c>
      <c r="K6277" s="9">
        <v>39</v>
      </c>
      <c r="L6277" s="16" t="s">
        <v>27</v>
      </c>
      <c r="M6277" s="16">
        <f t="shared" si="585"/>
        <v>0.92735299990740228</v>
      </c>
      <c r="N6277">
        <f t="shared" si="586"/>
        <v>0</v>
      </c>
      <c r="O6277">
        <f t="shared" si="587"/>
        <v>0</v>
      </c>
      <c r="P6277">
        <f t="shared" si="584"/>
        <v>5350</v>
      </c>
      <c r="Q6277">
        <f t="shared" si="588"/>
        <v>5350</v>
      </c>
      <c r="T6277" s="16">
        <f t="shared" si="589"/>
        <v>0.92735299990740183</v>
      </c>
    </row>
    <row r="6278" spans="7:20" ht="14.4" x14ac:dyDescent="0.25">
      <c r="G6278" s="10">
        <v>582</v>
      </c>
      <c r="H6278" s="9">
        <v>3970</v>
      </c>
      <c r="I6278" s="14">
        <f>DATE(2012,12,31)-280</f>
        <v>40994</v>
      </c>
      <c r="J6278" s="15" t="s">
        <v>16</v>
      </c>
      <c r="K6278" s="9">
        <v>13</v>
      </c>
      <c r="L6278" s="16" t="s">
        <v>26</v>
      </c>
      <c r="M6278" s="16">
        <f t="shared" si="585"/>
        <v>-0.86820119219235514</v>
      </c>
      <c r="N6278">
        <f t="shared" si="586"/>
        <v>0</v>
      </c>
      <c r="O6278">
        <f t="shared" si="587"/>
        <v>0</v>
      </c>
      <c r="P6278">
        <f t="shared" si="584"/>
        <v>4050</v>
      </c>
      <c r="Q6278">
        <f t="shared" si="588"/>
        <v>4050</v>
      </c>
      <c r="T6278" s="16">
        <f t="shared" si="589"/>
        <v>-0.86820119219235548</v>
      </c>
    </row>
    <row r="6279" spans="7:20" ht="14.4" x14ac:dyDescent="0.25">
      <c r="G6279" s="10">
        <v>678</v>
      </c>
      <c r="H6279" s="9">
        <v>4739</v>
      </c>
      <c r="I6279" s="14">
        <f>DATE(2012,12,31)-1045</f>
        <v>40229</v>
      </c>
      <c r="J6279" s="15" t="s">
        <v>25</v>
      </c>
      <c r="K6279" s="9">
        <v>16</v>
      </c>
      <c r="L6279" s="16" t="s">
        <v>26</v>
      </c>
      <c r="M6279" s="16">
        <f t="shared" si="585"/>
        <v>-0.66102186233469074</v>
      </c>
      <c r="N6279">
        <f t="shared" si="586"/>
        <v>0</v>
      </c>
      <c r="O6279">
        <f t="shared" si="587"/>
        <v>0</v>
      </c>
      <c r="P6279">
        <f t="shared" si="584"/>
        <v>4200</v>
      </c>
      <c r="Q6279">
        <f t="shared" si="588"/>
        <v>4200</v>
      </c>
      <c r="T6279" s="16">
        <f t="shared" si="589"/>
        <v>-0.66102186233469118</v>
      </c>
    </row>
    <row r="6280" spans="7:20" ht="14.4" x14ac:dyDescent="0.25">
      <c r="G6280" s="10">
        <v>749</v>
      </c>
      <c r="H6280" s="9">
        <v>5378</v>
      </c>
      <c r="I6280" s="14">
        <f>DATE(2012,12,31)-68</f>
        <v>41206</v>
      </c>
      <c r="J6280" s="15" t="s">
        <v>30</v>
      </c>
      <c r="K6280" s="9">
        <v>6</v>
      </c>
      <c r="L6280" s="16" t="s">
        <v>29</v>
      </c>
      <c r="M6280" s="16">
        <f t="shared" si="585"/>
        <v>-1.3516196285269051</v>
      </c>
      <c r="N6280">
        <f t="shared" si="586"/>
        <v>0</v>
      </c>
      <c r="O6280">
        <f t="shared" si="587"/>
        <v>0</v>
      </c>
      <c r="P6280">
        <f t="shared" si="584"/>
        <v>3700</v>
      </c>
      <c r="Q6280">
        <f t="shared" si="588"/>
        <v>3700</v>
      </c>
      <c r="T6280" s="16">
        <f t="shared" si="589"/>
        <v>-1.3516196285269055</v>
      </c>
    </row>
    <row r="6281" spans="7:20" ht="14.4" x14ac:dyDescent="0.25">
      <c r="G6281" s="10">
        <v>808</v>
      </c>
      <c r="H6281" s="9">
        <v>5828</v>
      </c>
      <c r="I6281" s="14">
        <f>DATE(2012,12,31)-1397</f>
        <v>39877</v>
      </c>
      <c r="J6281" s="15" t="s">
        <v>25</v>
      </c>
      <c r="K6281" s="9">
        <v>21</v>
      </c>
      <c r="L6281" s="16" t="s">
        <v>29</v>
      </c>
      <c r="M6281" s="16">
        <f t="shared" si="585"/>
        <v>-0.31572297923858361</v>
      </c>
      <c r="N6281">
        <f t="shared" si="586"/>
        <v>0</v>
      </c>
      <c r="O6281">
        <f t="shared" si="587"/>
        <v>0</v>
      </c>
      <c r="P6281">
        <f t="shared" si="584"/>
        <v>4450</v>
      </c>
      <c r="Q6281">
        <f t="shared" si="588"/>
        <v>4450</v>
      </c>
      <c r="T6281" s="16">
        <f t="shared" si="589"/>
        <v>-0.315722979238584</v>
      </c>
    </row>
    <row r="6282" spans="7:20" ht="14.4" x14ac:dyDescent="0.25">
      <c r="G6282" s="10">
        <v>876</v>
      </c>
      <c r="H6282" s="9">
        <v>6279</v>
      </c>
      <c r="I6282" s="14">
        <f>DATE(2012,12,31)-1067</f>
        <v>40207</v>
      </c>
      <c r="J6282" s="15" t="s">
        <v>30</v>
      </c>
      <c r="K6282" s="9">
        <v>49</v>
      </c>
      <c r="L6282" s="16" t="s">
        <v>26</v>
      </c>
      <c r="M6282" s="16">
        <f t="shared" si="585"/>
        <v>1.6179507660996166</v>
      </c>
      <c r="N6282">
        <f t="shared" si="586"/>
        <v>0</v>
      </c>
      <c r="O6282">
        <f t="shared" si="587"/>
        <v>0</v>
      </c>
      <c r="P6282">
        <f t="shared" si="584"/>
        <v>5850</v>
      </c>
      <c r="Q6282">
        <f t="shared" si="588"/>
        <v>5850</v>
      </c>
      <c r="T6282" s="16">
        <f t="shared" si="589"/>
        <v>1.6179507660996162</v>
      </c>
    </row>
    <row r="6283" spans="7:20" ht="14.4" x14ac:dyDescent="0.25">
      <c r="G6283" s="10">
        <v>1000</v>
      </c>
      <c r="H6283" s="9">
        <v>7267</v>
      </c>
      <c r="I6283" s="14">
        <f>DATE(2012,12,31)-125</f>
        <v>41149</v>
      </c>
      <c r="J6283" s="15" t="s">
        <v>17</v>
      </c>
      <c r="K6283" s="9">
        <v>19</v>
      </c>
      <c r="L6283" s="16" t="s">
        <v>26</v>
      </c>
      <c r="M6283" s="16">
        <f t="shared" si="585"/>
        <v>-0.45384253247702649</v>
      </c>
      <c r="N6283">
        <f t="shared" si="586"/>
        <v>0</v>
      </c>
      <c r="O6283">
        <f t="shared" si="587"/>
        <v>0</v>
      </c>
      <c r="P6283">
        <f t="shared" si="584"/>
        <v>4350</v>
      </c>
      <c r="Q6283">
        <f t="shared" si="588"/>
        <v>4350</v>
      </c>
      <c r="T6283" s="16">
        <f t="shared" si="589"/>
        <v>-0.45384253247702688</v>
      </c>
    </row>
    <row r="6284" spans="7:20" ht="14.4" x14ac:dyDescent="0.25">
      <c r="G6284" s="10">
        <v>1001</v>
      </c>
      <c r="H6284" s="9">
        <v>7269</v>
      </c>
      <c r="I6284" s="14">
        <f>DATE(2012,12,31)-1204</f>
        <v>40070</v>
      </c>
      <c r="J6284" s="15" t="s">
        <v>16</v>
      </c>
      <c r="K6284" s="9">
        <v>29</v>
      </c>
      <c r="L6284" s="16" t="s">
        <v>27</v>
      </c>
      <c r="M6284" s="16">
        <f t="shared" si="585"/>
        <v>0.23675523371518786</v>
      </c>
      <c r="N6284">
        <f t="shared" si="586"/>
        <v>0</v>
      </c>
      <c r="O6284">
        <f t="shared" si="587"/>
        <v>0</v>
      </c>
      <c r="P6284">
        <f t="shared" ref="P6284:P6347" si="590">50*K6284+$P$10</f>
        <v>4850</v>
      </c>
      <c r="Q6284">
        <f t="shared" si="588"/>
        <v>4850</v>
      </c>
      <c r="T6284" s="16">
        <f t="shared" si="589"/>
        <v>0.2367552337151875</v>
      </c>
    </row>
    <row r="6285" spans="7:20" ht="14.4" x14ac:dyDescent="0.25">
      <c r="G6285" s="10">
        <v>1031</v>
      </c>
      <c r="H6285" s="9">
        <v>7527</v>
      </c>
      <c r="I6285" s="14">
        <f>DATE(2012,12,31)-1116</f>
        <v>40158</v>
      </c>
      <c r="J6285" s="15" t="s">
        <v>16</v>
      </c>
      <c r="K6285" s="9">
        <v>37</v>
      </c>
      <c r="L6285" s="16" t="s">
        <v>29</v>
      </c>
      <c r="M6285" s="16">
        <f t="shared" ref="M6285:M6348" si="591">(K6285-$K$4)/$K$7</f>
        <v>0.78923344666895934</v>
      </c>
      <c r="N6285">
        <f t="shared" ref="N6285:N6348" si="592">IF(MOD($B$20+G6285,1000)=0,1,0)</f>
        <v>0</v>
      </c>
      <c r="O6285">
        <f t="shared" ref="O6285:O6348" si="593">+ROUND(N6285*(IF(K6285&lt;$K$4,-4.5,10.5)*$P$5),-2)</f>
        <v>0</v>
      </c>
      <c r="P6285">
        <f t="shared" si="590"/>
        <v>5250</v>
      </c>
      <c r="Q6285">
        <f t="shared" ref="Q6285:Q6348" si="594">P6285+O6285</f>
        <v>5250</v>
      </c>
      <c r="T6285" s="16">
        <f t="shared" ref="T6285:T6348" si="595">(Q6285-$P$4)/$P$5</f>
        <v>0.789233446668959</v>
      </c>
    </row>
    <row r="6286" spans="7:20" ht="14.4" x14ac:dyDescent="0.25">
      <c r="G6286" s="10">
        <v>1032</v>
      </c>
      <c r="H6286" s="9">
        <v>7527</v>
      </c>
      <c r="I6286" s="14">
        <f>DATE(2012,12,31)-1116</f>
        <v>40158</v>
      </c>
      <c r="J6286" s="15" t="s">
        <v>16</v>
      </c>
      <c r="K6286" s="9">
        <v>42</v>
      </c>
      <c r="L6286" s="16" t="s">
        <v>27</v>
      </c>
      <c r="M6286" s="16">
        <f t="shared" si="591"/>
        <v>1.1345323297650665</v>
      </c>
      <c r="N6286">
        <f t="shared" si="592"/>
        <v>0</v>
      </c>
      <c r="O6286">
        <f t="shared" si="593"/>
        <v>0</v>
      </c>
      <c r="P6286">
        <f t="shared" si="590"/>
        <v>5500</v>
      </c>
      <c r="Q6286">
        <f t="shared" si="594"/>
        <v>5500</v>
      </c>
      <c r="T6286" s="16">
        <f t="shared" si="595"/>
        <v>1.1345323297650662</v>
      </c>
    </row>
    <row r="6287" spans="7:20" ht="14.4" x14ac:dyDescent="0.25">
      <c r="G6287" s="10">
        <v>1170</v>
      </c>
      <c r="H6287" s="9">
        <v>8546</v>
      </c>
      <c r="I6287" s="14">
        <f>DATE(2012,12,31)-274</f>
        <v>41000</v>
      </c>
      <c r="J6287" s="15" t="s">
        <v>17</v>
      </c>
      <c r="K6287" s="9">
        <v>4</v>
      </c>
      <c r="L6287" s="16" t="s">
        <v>27</v>
      </c>
      <c r="M6287" s="16">
        <f t="shared" si="591"/>
        <v>-1.489739181765348</v>
      </c>
      <c r="N6287">
        <f t="shared" si="592"/>
        <v>0</v>
      </c>
      <c r="O6287">
        <f t="shared" si="593"/>
        <v>0</v>
      </c>
      <c r="P6287">
        <f t="shared" si="590"/>
        <v>3600</v>
      </c>
      <c r="Q6287">
        <f t="shared" si="594"/>
        <v>3600</v>
      </c>
      <c r="T6287" s="16">
        <f t="shared" si="595"/>
        <v>-1.4897391817653485</v>
      </c>
    </row>
    <row r="6288" spans="7:20" ht="14.4" x14ac:dyDescent="0.25">
      <c r="G6288" s="10">
        <v>1174</v>
      </c>
      <c r="H6288" s="9">
        <v>8578</v>
      </c>
      <c r="I6288" s="14">
        <f>DATE(2012,12,31)-486</f>
        <v>40788</v>
      </c>
      <c r="J6288" s="15" t="s">
        <v>17</v>
      </c>
      <c r="K6288" s="9">
        <v>40</v>
      </c>
      <c r="L6288" s="16" t="s">
        <v>29</v>
      </c>
      <c r="M6288" s="16">
        <f t="shared" si="591"/>
        <v>0.99641277652662363</v>
      </c>
      <c r="N6288">
        <f t="shared" si="592"/>
        <v>0</v>
      </c>
      <c r="O6288">
        <f t="shared" si="593"/>
        <v>0</v>
      </c>
      <c r="P6288">
        <f t="shared" si="590"/>
        <v>5400</v>
      </c>
      <c r="Q6288">
        <f t="shared" si="594"/>
        <v>5400</v>
      </c>
      <c r="T6288" s="16">
        <f t="shared" si="595"/>
        <v>0.9964127765266233</v>
      </c>
    </row>
    <row r="6289" spans="7:20" ht="14.4" x14ac:dyDescent="0.25">
      <c r="G6289" s="10">
        <v>1326</v>
      </c>
      <c r="H6289" s="9">
        <v>9669</v>
      </c>
      <c r="I6289" s="14">
        <f>DATE(2012,12,31)-1349</f>
        <v>39925</v>
      </c>
      <c r="J6289" s="15" t="s">
        <v>16</v>
      </c>
      <c r="K6289" s="9">
        <v>18</v>
      </c>
      <c r="L6289" s="16" t="s">
        <v>26</v>
      </c>
      <c r="M6289" s="16">
        <f t="shared" si="591"/>
        <v>-0.52290230909624791</v>
      </c>
      <c r="N6289">
        <f t="shared" si="592"/>
        <v>0</v>
      </c>
      <c r="O6289">
        <f t="shared" si="593"/>
        <v>0</v>
      </c>
      <c r="P6289">
        <f t="shared" si="590"/>
        <v>4300</v>
      </c>
      <c r="Q6289">
        <f t="shared" si="594"/>
        <v>4300</v>
      </c>
      <c r="T6289" s="16">
        <f t="shared" si="595"/>
        <v>-0.52290230909624835</v>
      </c>
    </row>
    <row r="6290" spans="7:20" ht="14.4" x14ac:dyDescent="0.25">
      <c r="G6290" s="10">
        <v>1373</v>
      </c>
      <c r="H6290" s="9">
        <v>9952</v>
      </c>
      <c r="I6290" s="14">
        <f>DATE(2012,12,31)-244</f>
        <v>41030</v>
      </c>
      <c r="J6290" s="15" t="s">
        <v>17</v>
      </c>
      <c r="K6290" s="9">
        <v>47</v>
      </c>
      <c r="L6290" s="16" t="s">
        <v>26</v>
      </c>
      <c r="M6290" s="16">
        <f t="shared" si="591"/>
        <v>1.4798312128611737</v>
      </c>
      <c r="N6290">
        <f t="shared" si="592"/>
        <v>0</v>
      </c>
      <c r="O6290">
        <f t="shared" si="593"/>
        <v>0</v>
      </c>
      <c r="P6290">
        <f t="shared" si="590"/>
        <v>5750</v>
      </c>
      <c r="Q6290">
        <f t="shared" si="594"/>
        <v>5750</v>
      </c>
      <c r="T6290" s="16">
        <f t="shared" si="595"/>
        <v>1.4798312128611733</v>
      </c>
    </row>
    <row r="6291" spans="7:20" ht="14.4" x14ac:dyDescent="0.25">
      <c r="G6291" s="10">
        <v>1474</v>
      </c>
      <c r="H6291" s="9">
        <v>10630</v>
      </c>
      <c r="I6291" s="14">
        <f>DATE(2012,12,31)-1061</f>
        <v>40213</v>
      </c>
      <c r="J6291" s="15" t="s">
        <v>16</v>
      </c>
      <c r="K6291" s="9">
        <v>44</v>
      </c>
      <c r="L6291" s="16" t="s">
        <v>29</v>
      </c>
      <c r="M6291" s="16">
        <f t="shared" si="591"/>
        <v>1.2726518830035094</v>
      </c>
      <c r="N6291">
        <f t="shared" si="592"/>
        <v>0</v>
      </c>
      <c r="O6291">
        <f t="shared" si="593"/>
        <v>0</v>
      </c>
      <c r="P6291">
        <f t="shared" si="590"/>
        <v>5600</v>
      </c>
      <c r="Q6291">
        <f t="shared" si="594"/>
        <v>5600</v>
      </c>
      <c r="T6291" s="16">
        <f t="shared" si="595"/>
        <v>1.272651883003509</v>
      </c>
    </row>
    <row r="6292" spans="7:20" ht="14.4" x14ac:dyDescent="0.25">
      <c r="G6292" s="10">
        <v>1475</v>
      </c>
      <c r="H6292" s="9">
        <v>10657</v>
      </c>
      <c r="I6292" s="14">
        <f>DATE(2012,12,31)-828</f>
        <v>40446</v>
      </c>
      <c r="J6292" s="15" t="s">
        <v>16</v>
      </c>
      <c r="K6292" s="9">
        <v>44</v>
      </c>
      <c r="L6292" s="16" t="s">
        <v>26</v>
      </c>
      <c r="M6292" s="16">
        <f t="shared" si="591"/>
        <v>1.2726518830035094</v>
      </c>
      <c r="N6292">
        <f t="shared" si="592"/>
        <v>0</v>
      </c>
      <c r="O6292">
        <f t="shared" si="593"/>
        <v>0</v>
      </c>
      <c r="P6292">
        <f t="shared" si="590"/>
        <v>5600</v>
      </c>
      <c r="Q6292">
        <f t="shared" si="594"/>
        <v>5600</v>
      </c>
      <c r="T6292" s="16">
        <f t="shared" si="595"/>
        <v>1.272651883003509</v>
      </c>
    </row>
    <row r="6293" spans="7:20" ht="14.4" x14ac:dyDescent="0.25">
      <c r="G6293" s="10">
        <v>1476</v>
      </c>
      <c r="H6293" s="9">
        <v>10657</v>
      </c>
      <c r="I6293" s="14">
        <f>DATE(2012,12,31)-828</f>
        <v>40446</v>
      </c>
      <c r="J6293" s="15" t="s">
        <v>16</v>
      </c>
      <c r="K6293" s="9">
        <v>8</v>
      </c>
      <c r="L6293" s="16" t="s">
        <v>29</v>
      </c>
      <c r="M6293" s="16">
        <f t="shared" si="591"/>
        <v>-1.2135000752884624</v>
      </c>
      <c r="N6293">
        <f t="shared" si="592"/>
        <v>0</v>
      </c>
      <c r="O6293">
        <f t="shared" si="593"/>
        <v>0</v>
      </c>
      <c r="P6293">
        <f t="shared" si="590"/>
        <v>3800</v>
      </c>
      <c r="Q6293">
        <f t="shared" si="594"/>
        <v>3800</v>
      </c>
      <c r="T6293" s="16">
        <f t="shared" si="595"/>
        <v>-1.2135000752884626</v>
      </c>
    </row>
    <row r="6294" spans="7:20" ht="14.4" x14ac:dyDescent="0.25">
      <c r="G6294" s="10">
        <v>1482</v>
      </c>
      <c r="H6294" s="9">
        <v>10661</v>
      </c>
      <c r="I6294" s="14">
        <f>DATE(2012,12,31)-1438</f>
        <v>39836</v>
      </c>
      <c r="J6294" s="15" t="s">
        <v>28</v>
      </c>
      <c r="K6294" s="9">
        <v>42</v>
      </c>
      <c r="L6294" s="16" t="s">
        <v>26</v>
      </c>
      <c r="M6294" s="16">
        <f t="shared" si="591"/>
        <v>1.1345323297650665</v>
      </c>
      <c r="N6294">
        <f t="shared" si="592"/>
        <v>0</v>
      </c>
      <c r="O6294">
        <f t="shared" si="593"/>
        <v>0</v>
      </c>
      <c r="P6294">
        <f t="shared" si="590"/>
        <v>5500</v>
      </c>
      <c r="Q6294">
        <f t="shared" si="594"/>
        <v>5500</v>
      </c>
      <c r="T6294" s="16">
        <f t="shared" si="595"/>
        <v>1.1345323297650662</v>
      </c>
    </row>
    <row r="6295" spans="7:20" ht="14.4" x14ac:dyDescent="0.25">
      <c r="G6295" s="10">
        <v>1582</v>
      </c>
      <c r="H6295" s="9">
        <v>11427</v>
      </c>
      <c r="I6295" s="14">
        <f>DATE(2012,12,31)-768</f>
        <v>40506</v>
      </c>
      <c r="J6295" s="15" t="s">
        <v>16</v>
      </c>
      <c r="K6295" s="9">
        <v>27</v>
      </c>
      <c r="L6295" s="16" t="s">
        <v>26</v>
      </c>
      <c r="M6295" s="16">
        <f t="shared" si="591"/>
        <v>9.8635680476745008E-2</v>
      </c>
      <c r="N6295">
        <f t="shared" si="592"/>
        <v>0</v>
      </c>
      <c r="O6295">
        <f t="shared" si="593"/>
        <v>0</v>
      </c>
      <c r="P6295">
        <f t="shared" si="590"/>
        <v>4750</v>
      </c>
      <c r="Q6295">
        <f t="shared" si="594"/>
        <v>4750</v>
      </c>
      <c r="T6295" s="16">
        <f t="shared" si="595"/>
        <v>9.8635680476744619E-2</v>
      </c>
    </row>
    <row r="6296" spans="7:20" ht="14.4" x14ac:dyDescent="0.25">
      <c r="G6296" s="10">
        <v>1583</v>
      </c>
      <c r="H6296" s="9">
        <v>11427</v>
      </c>
      <c r="I6296" s="14">
        <f>DATE(2012,12,31)-768</f>
        <v>40506</v>
      </c>
      <c r="J6296" s="15" t="s">
        <v>16</v>
      </c>
      <c r="K6296" s="9">
        <v>20</v>
      </c>
      <c r="L6296" s="16" t="s">
        <v>26</v>
      </c>
      <c r="M6296" s="16">
        <f t="shared" si="591"/>
        <v>-0.38478275585780503</v>
      </c>
      <c r="N6296">
        <f t="shared" si="592"/>
        <v>0</v>
      </c>
      <c r="O6296">
        <f t="shared" si="593"/>
        <v>0</v>
      </c>
      <c r="P6296">
        <f t="shared" si="590"/>
        <v>4400</v>
      </c>
      <c r="Q6296">
        <f t="shared" si="594"/>
        <v>4400</v>
      </c>
      <c r="T6296" s="16">
        <f t="shared" si="595"/>
        <v>-0.38478275585780541</v>
      </c>
    </row>
    <row r="6297" spans="7:20" ht="14.4" x14ac:dyDescent="0.25">
      <c r="G6297" s="10">
        <v>1667</v>
      </c>
      <c r="H6297" s="9">
        <v>12037</v>
      </c>
      <c r="I6297" s="14">
        <f>DATE(2012,12,31)-550</f>
        <v>40724</v>
      </c>
      <c r="J6297" s="15" t="s">
        <v>25</v>
      </c>
      <c r="K6297" s="9">
        <v>14</v>
      </c>
      <c r="L6297" s="16" t="s">
        <v>26</v>
      </c>
      <c r="M6297" s="16">
        <f t="shared" si="591"/>
        <v>-0.79914141557313367</v>
      </c>
      <c r="N6297">
        <f t="shared" si="592"/>
        <v>0</v>
      </c>
      <c r="O6297">
        <f t="shared" si="593"/>
        <v>0</v>
      </c>
      <c r="P6297">
        <f t="shared" si="590"/>
        <v>4100</v>
      </c>
      <c r="Q6297">
        <f t="shared" si="594"/>
        <v>4100</v>
      </c>
      <c r="T6297" s="16">
        <f t="shared" si="595"/>
        <v>-0.79914141557313401</v>
      </c>
    </row>
    <row r="6298" spans="7:20" ht="14.4" x14ac:dyDescent="0.25">
      <c r="G6298" s="10">
        <v>1701</v>
      </c>
      <c r="H6298" s="9">
        <v>12259</v>
      </c>
      <c r="I6298" s="14">
        <f>DATE(2012,12,31)-1051</f>
        <v>40223</v>
      </c>
      <c r="J6298" s="15" t="s">
        <v>17</v>
      </c>
      <c r="K6298" s="9">
        <v>45</v>
      </c>
      <c r="L6298" s="16" t="s">
        <v>29</v>
      </c>
      <c r="M6298" s="16">
        <f t="shared" si="591"/>
        <v>1.3417116596227308</v>
      </c>
      <c r="N6298">
        <f t="shared" si="592"/>
        <v>0</v>
      </c>
      <c r="O6298">
        <f t="shared" si="593"/>
        <v>0</v>
      </c>
      <c r="P6298">
        <f t="shared" si="590"/>
        <v>5650</v>
      </c>
      <c r="Q6298">
        <f t="shared" si="594"/>
        <v>5650</v>
      </c>
      <c r="T6298" s="16">
        <f t="shared" si="595"/>
        <v>1.3417116596227305</v>
      </c>
    </row>
    <row r="6299" spans="7:20" ht="14.4" x14ac:dyDescent="0.25">
      <c r="G6299" s="10">
        <v>1702</v>
      </c>
      <c r="H6299" s="9">
        <v>12259</v>
      </c>
      <c r="I6299" s="14">
        <f>DATE(2012,12,31)-1051</f>
        <v>40223</v>
      </c>
      <c r="J6299" s="15" t="s">
        <v>17</v>
      </c>
      <c r="K6299" s="9">
        <v>45</v>
      </c>
      <c r="L6299" s="16" t="s">
        <v>26</v>
      </c>
      <c r="M6299" s="16">
        <f t="shared" si="591"/>
        <v>1.3417116596227308</v>
      </c>
      <c r="N6299">
        <f t="shared" si="592"/>
        <v>0</v>
      </c>
      <c r="O6299">
        <f t="shared" si="593"/>
        <v>0</v>
      </c>
      <c r="P6299">
        <f t="shared" si="590"/>
        <v>5650</v>
      </c>
      <c r="Q6299">
        <f t="shared" si="594"/>
        <v>5650</v>
      </c>
      <c r="T6299" s="16">
        <f t="shared" si="595"/>
        <v>1.3417116596227305</v>
      </c>
    </row>
    <row r="6300" spans="7:20" ht="14.4" x14ac:dyDescent="0.25">
      <c r="G6300" s="10">
        <v>1801</v>
      </c>
      <c r="H6300" s="9">
        <v>12900</v>
      </c>
      <c r="I6300" s="14">
        <f>DATE(2012,12,31)-973</f>
        <v>40301</v>
      </c>
      <c r="J6300" s="15" t="s">
        <v>17</v>
      </c>
      <c r="K6300" s="9">
        <v>50</v>
      </c>
      <c r="L6300" s="16" t="s">
        <v>29</v>
      </c>
      <c r="M6300" s="16">
        <f t="shared" si="591"/>
        <v>1.687010542718838</v>
      </c>
      <c r="N6300">
        <f t="shared" si="592"/>
        <v>0</v>
      </c>
      <c r="O6300">
        <f t="shared" si="593"/>
        <v>0</v>
      </c>
      <c r="P6300">
        <f t="shared" si="590"/>
        <v>5900</v>
      </c>
      <c r="Q6300">
        <f t="shared" si="594"/>
        <v>5900</v>
      </c>
      <c r="T6300" s="16">
        <f t="shared" si="595"/>
        <v>1.6870105427188375</v>
      </c>
    </row>
    <row r="6301" spans="7:20" ht="14.4" x14ac:dyDescent="0.25">
      <c r="G6301" s="10">
        <v>1802</v>
      </c>
      <c r="H6301" s="9">
        <v>12900</v>
      </c>
      <c r="I6301" s="14">
        <f>DATE(2012,12,31)-973</f>
        <v>40301</v>
      </c>
      <c r="J6301" s="15" t="s">
        <v>17</v>
      </c>
      <c r="K6301" s="9">
        <v>18</v>
      </c>
      <c r="L6301" s="16" t="s">
        <v>27</v>
      </c>
      <c r="M6301" s="16">
        <f t="shared" si="591"/>
        <v>-0.52290230909624791</v>
      </c>
      <c r="N6301">
        <f t="shared" si="592"/>
        <v>0</v>
      </c>
      <c r="O6301">
        <f t="shared" si="593"/>
        <v>0</v>
      </c>
      <c r="P6301">
        <f t="shared" si="590"/>
        <v>4300</v>
      </c>
      <c r="Q6301">
        <f t="shared" si="594"/>
        <v>4300</v>
      </c>
      <c r="T6301" s="16">
        <f t="shared" si="595"/>
        <v>-0.52290230909624835</v>
      </c>
    </row>
    <row r="6302" spans="7:20" ht="14.4" x14ac:dyDescent="0.25">
      <c r="G6302" s="10">
        <v>1814</v>
      </c>
      <c r="H6302" s="9">
        <v>12999</v>
      </c>
      <c r="I6302" s="14">
        <f>DATE(2012,12,31)-1003</f>
        <v>40271</v>
      </c>
      <c r="J6302" s="15" t="s">
        <v>17</v>
      </c>
      <c r="K6302" s="9">
        <v>31</v>
      </c>
      <c r="L6302" s="16" t="s">
        <v>26</v>
      </c>
      <c r="M6302" s="16">
        <f t="shared" si="591"/>
        <v>0.37487478695363075</v>
      </c>
      <c r="N6302">
        <f t="shared" si="592"/>
        <v>0</v>
      </c>
      <c r="O6302">
        <f t="shared" si="593"/>
        <v>0</v>
      </c>
      <c r="P6302">
        <f t="shared" si="590"/>
        <v>4950</v>
      </c>
      <c r="Q6302">
        <f t="shared" si="594"/>
        <v>4950</v>
      </c>
      <c r="T6302" s="16">
        <f t="shared" si="595"/>
        <v>0.37487478695363036</v>
      </c>
    </row>
    <row r="6303" spans="7:20" ht="14.4" x14ac:dyDescent="0.25">
      <c r="G6303" s="10">
        <v>1902</v>
      </c>
      <c r="H6303" s="9">
        <v>13632</v>
      </c>
      <c r="I6303" s="14">
        <f>DATE(2012,12,31)-1392</f>
        <v>39882</v>
      </c>
      <c r="J6303" s="15" t="s">
        <v>16</v>
      </c>
      <c r="K6303" s="9">
        <v>6</v>
      </c>
      <c r="L6303" s="16" t="s">
        <v>27</v>
      </c>
      <c r="M6303" s="16">
        <f t="shared" si="591"/>
        <v>-1.3516196285269051</v>
      </c>
      <c r="N6303">
        <f t="shared" si="592"/>
        <v>0</v>
      </c>
      <c r="O6303">
        <f t="shared" si="593"/>
        <v>0</v>
      </c>
      <c r="P6303">
        <f t="shared" si="590"/>
        <v>3700</v>
      </c>
      <c r="Q6303">
        <f t="shared" si="594"/>
        <v>3700</v>
      </c>
      <c r="T6303" s="16">
        <f t="shared" si="595"/>
        <v>-1.3516196285269055</v>
      </c>
    </row>
    <row r="6304" spans="7:20" ht="14.4" x14ac:dyDescent="0.25">
      <c r="G6304" s="10">
        <v>1941</v>
      </c>
      <c r="H6304" s="9">
        <v>13920</v>
      </c>
      <c r="I6304" s="14">
        <f>DATE(2012,12,31)-1179</f>
        <v>40095</v>
      </c>
      <c r="J6304" s="15" t="s">
        <v>30</v>
      </c>
      <c r="K6304" s="9">
        <v>25</v>
      </c>
      <c r="L6304" s="16" t="s">
        <v>26</v>
      </c>
      <c r="M6304" s="16">
        <f t="shared" si="591"/>
        <v>-3.9483872761697868E-2</v>
      </c>
      <c r="N6304">
        <f t="shared" si="592"/>
        <v>0</v>
      </c>
      <c r="O6304">
        <f t="shared" si="593"/>
        <v>0</v>
      </c>
      <c r="P6304">
        <f t="shared" si="590"/>
        <v>4650</v>
      </c>
      <c r="Q6304">
        <f t="shared" si="594"/>
        <v>4650</v>
      </c>
      <c r="T6304" s="16">
        <f t="shared" si="595"/>
        <v>-3.9483872761698249E-2</v>
      </c>
    </row>
    <row r="6305" spans="7:20" ht="14.4" x14ac:dyDescent="0.25">
      <c r="G6305" s="10">
        <v>1942</v>
      </c>
      <c r="H6305" s="9">
        <v>13920</v>
      </c>
      <c r="I6305" s="14">
        <f>DATE(2012,12,31)-1179</f>
        <v>40095</v>
      </c>
      <c r="J6305" s="15" t="s">
        <v>30</v>
      </c>
      <c r="K6305" s="9">
        <v>24</v>
      </c>
      <c r="L6305" s="16" t="s">
        <v>26</v>
      </c>
      <c r="M6305" s="16">
        <f t="shared" si="591"/>
        <v>-0.1085436493809193</v>
      </c>
      <c r="N6305">
        <f t="shared" si="592"/>
        <v>0</v>
      </c>
      <c r="O6305">
        <f t="shared" si="593"/>
        <v>0</v>
      </c>
      <c r="P6305">
        <f t="shared" si="590"/>
        <v>4600</v>
      </c>
      <c r="Q6305">
        <f t="shared" si="594"/>
        <v>4600</v>
      </c>
      <c r="T6305" s="16">
        <f t="shared" si="595"/>
        <v>-0.10854364938091969</v>
      </c>
    </row>
    <row r="6306" spans="7:20" ht="14.4" x14ac:dyDescent="0.25">
      <c r="G6306" s="10">
        <v>2173</v>
      </c>
      <c r="H6306" s="9">
        <v>15651</v>
      </c>
      <c r="I6306" s="14">
        <f>DATE(2012,12,31)-88</f>
        <v>41186</v>
      </c>
      <c r="J6306" s="15" t="s">
        <v>30</v>
      </c>
      <c r="K6306" s="9">
        <v>40</v>
      </c>
      <c r="L6306" s="16" t="s">
        <v>26</v>
      </c>
      <c r="M6306" s="16">
        <f t="shared" si="591"/>
        <v>0.99641277652662363</v>
      </c>
      <c r="N6306">
        <f t="shared" si="592"/>
        <v>0</v>
      </c>
      <c r="O6306">
        <f t="shared" si="593"/>
        <v>0</v>
      </c>
      <c r="P6306">
        <f t="shared" si="590"/>
        <v>5400</v>
      </c>
      <c r="Q6306">
        <f t="shared" si="594"/>
        <v>5400</v>
      </c>
      <c r="T6306" s="16">
        <f t="shared" si="595"/>
        <v>0.9964127765266233</v>
      </c>
    </row>
    <row r="6307" spans="7:20" ht="14.4" x14ac:dyDescent="0.25">
      <c r="G6307" s="10">
        <v>2174</v>
      </c>
      <c r="H6307" s="9">
        <v>15651</v>
      </c>
      <c r="I6307" s="14">
        <f>DATE(2012,12,31)-88</f>
        <v>41186</v>
      </c>
      <c r="J6307" s="15" t="s">
        <v>30</v>
      </c>
      <c r="K6307" s="9">
        <v>14</v>
      </c>
      <c r="L6307" s="16" t="s">
        <v>26</v>
      </c>
      <c r="M6307" s="16">
        <f t="shared" si="591"/>
        <v>-0.79914141557313367</v>
      </c>
      <c r="N6307">
        <f t="shared" si="592"/>
        <v>0</v>
      </c>
      <c r="O6307">
        <f t="shared" si="593"/>
        <v>0</v>
      </c>
      <c r="P6307">
        <f t="shared" si="590"/>
        <v>4100</v>
      </c>
      <c r="Q6307">
        <f t="shared" si="594"/>
        <v>4100</v>
      </c>
      <c r="T6307" s="16">
        <f t="shared" si="595"/>
        <v>-0.79914141557313401</v>
      </c>
    </row>
    <row r="6308" spans="7:20" ht="14.4" x14ac:dyDescent="0.25">
      <c r="G6308" s="10">
        <v>2175</v>
      </c>
      <c r="H6308" s="9">
        <v>15651</v>
      </c>
      <c r="I6308" s="14">
        <f>DATE(2012,12,31)-88</f>
        <v>41186</v>
      </c>
      <c r="J6308" s="15" t="s">
        <v>30</v>
      </c>
      <c r="K6308" s="9">
        <v>8</v>
      </c>
      <c r="L6308" s="16" t="s">
        <v>29</v>
      </c>
      <c r="M6308" s="16">
        <f t="shared" si="591"/>
        <v>-1.2135000752884624</v>
      </c>
      <c r="N6308">
        <f t="shared" si="592"/>
        <v>0</v>
      </c>
      <c r="O6308">
        <f t="shared" si="593"/>
        <v>0</v>
      </c>
      <c r="P6308">
        <f t="shared" si="590"/>
        <v>3800</v>
      </c>
      <c r="Q6308">
        <f t="shared" si="594"/>
        <v>3800</v>
      </c>
      <c r="T6308" s="16">
        <f t="shared" si="595"/>
        <v>-1.2135000752884626</v>
      </c>
    </row>
    <row r="6309" spans="7:20" ht="14.4" x14ac:dyDescent="0.25">
      <c r="G6309" s="10">
        <v>2251</v>
      </c>
      <c r="H6309" s="9">
        <v>16197</v>
      </c>
      <c r="I6309" s="14">
        <f>DATE(2012,12,31)-66</f>
        <v>41208</v>
      </c>
      <c r="J6309" s="15" t="s">
        <v>30</v>
      </c>
      <c r="K6309" s="9">
        <v>23</v>
      </c>
      <c r="L6309" s="16" t="s">
        <v>26</v>
      </c>
      <c r="M6309" s="16">
        <f t="shared" si="591"/>
        <v>-0.17760342600014073</v>
      </c>
      <c r="N6309">
        <f t="shared" si="592"/>
        <v>0</v>
      </c>
      <c r="O6309">
        <f t="shared" si="593"/>
        <v>0</v>
      </c>
      <c r="P6309">
        <f t="shared" si="590"/>
        <v>4550</v>
      </c>
      <c r="Q6309">
        <f t="shared" si="594"/>
        <v>4550</v>
      </c>
      <c r="T6309" s="16">
        <f t="shared" si="595"/>
        <v>-0.17760342600014112</v>
      </c>
    </row>
    <row r="6310" spans="7:20" ht="14.4" x14ac:dyDescent="0.25">
      <c r="G6310" s="10">
        <v>2252</v>
      </c>
      <c r="H6310" s="9">
        <v>16197</v>
      </c>
      <c r="I6310" s="14">
        <f>DATE(2012,12,31)-66</f>
        <v>41208</v>
      </c>
      <c r="J6310" s="15" t="s">
        <v>30</v>
      </c>
      <c r="K6310" s="9">
        <v>19</v>
      </c>
      <c r="L6310" s="16" t="s">
        <v>26</v>
      </c>
      <c r="M6310" s="16">
        <f t="shared" si="591"/>
        <v>-0.45384253247702649</v>
      </c>
      <c r="N6310">
        <f t="shared" si="592"/>
        <v>0</v>
      </c>
      <c r="O6310">
        <f t="shared" si="593"/>
        <v>0</v>
      </c>
      <c r="P6310">
        <f t="shared" si="590"/>
        <v>4350</v>
      </c>
      <c r="Q6310">
        <f t="shared" si="594"/>
        <v>4350</v>
      </c>
      <c r="T6310" s="16">
        <f t="shared" si="595"/>
        <v>-0.45384253247702688</v>
      </c>
    </row>
    <row r="6311" spans="7:20" ht="14.4" x14ac:dyDescent="0.25">
      <c r="G6311" s="10">
        <v>2325</v>
      </c>
      <c r="H6311" s="9">
        <v>16770</v>
      </c>
      <c r="I6311" s="14">
        <f>DATE(2012,12,31)-1455</f>
        <v>39819</v>
      </c>
      <c r="J6311" s="15" t="s">
        <v>30</v>
      </c>
      <c r="K6311" s="9">
        <v>17</v>
      </c>
      <c r="L6311" s="16" t="s">
        <v>26</v>
      </c>
      <c r="M6311" s="16">
        <f t="shared" si="591"/>
        <v>-0.59196208571546938</v>
      </c>
      <c r="N6311">
        <f t="shared" si="592"/>
        <v>0</v>
      </c>
      <c r="O6311">
        <f t="shared" si="593"/>
        <v>0</v>
      </c>
      <c r="P6311">
        <f t="shared" si="590"/>
        <v>4250</v>
      </c>
      <c r="Q6311">
        <f t="shared" si="594"/>
        <v>4250</v>
      </c>
      <c r="T6311" s="16">
        <f t="shared" si="595"/>
        <v>-0.59196208571546971</v>
      </c>
    </row>
    <row r="6312" spans="7:20" ht="14.4" x14ac:dyDescent="0.25">
      <c r="G6312" s="10">
        <v>2329</v>
      </c>
      <c r="H6312" s="9">
        <v>16802</v>
      </c>
      <c r="I6312" s="14">
        <f>DATE(2012,12,31)-621</f>
        <v>40653</v>
      </c>
      <c r="J6312" s="15" t="s">
        <v>16</v>
      </c>
      <c r="K6312" s="9">
        <v>44</v>
      </c>
      <c r="L6312" s="16" t="s">
        <v>26</v>
      </c>
      <c r="M6312" s="16">
        <f t="shared" si="591"/>
        <v>1.2726518830035094</v>
      </c>
      <c r="N6312">
        <f t="shared" si="592"/>
        <v>0</v>
      </c>
      <c r="O6312">
        <f t="shared" si="593"/>
        <v>0</v>
      </c>
      <c r="P6312">
        <f t="shared" si="590"/>
        <v>5600</v>
      </c>
      <c r="Q6312">
        <f t="shared" si="594"/>
        <v>5600</v>
      </c>
      <c r="T6312" s="16">
        <f t="shared" si="595"/>
        <v>1.272651883003509</v>
      </c>
    </row>
    <row r="6313" spans="7:20" ht="14.4" x14ac:dyDescent="0.25">
      <c r="G6313" s="10">
        <v>2330</v>
      </c>
      <c r="H6313" s="9">
        <v>16802</v>
      </c>
      <c r="I6313" s="14">
        <f>DATE(2012,12,31)-621</f>
        <v>40653</v>
      </c>
      <c r="J6313" s="15" t="s">
        <v>16</v>
      </c>
      <c r="K6313" s="9">
        <v>26</v>
      </c>
      <c r="L6313" s="16" t="s">
        <v>26</v>
      </c>
      <c r="M6313" s="16">
        <f t="shared" si="591"/>
        <v>2.9575903857523567E-2</v>
      </c>
      <c r="N6313">
        <f t="shared" si="592"/>
        <v>0</v>
      </c>
      <c r="O6313">
        <f t="shared" si="593"/>
        <v>0</v>
      </c>
      <c r="P6313">
        <f t="shared" si="590"/>
        <v>4700</v>
      </c>
      <c r="Q6313">
        <f t="shared" si="594"/>
        <v>4700</v>
      </c>
      <c r="T6313" s="16">
        <f t="shared" si="595"/>
        <v>2.9575903857523185E-2</v>
      </c>
    </row>
    <row r="6314" spans="7:20" ht="14.4" x14ac:dyDescent="0.25">
      <c r="G6314" s="10">
        <v>2350</v>
      </c>
      <c r="H6314" s="9">
        <v>16961</v>
      </c>
      <c r="I6314" s="14">
        <f>DATE(2012,12,31)-1455</f>
        <v>39819</v>
      </c>
      <c r="J6314" s="15" t="s">
        <v>28</v>
      </c>
      <c r="K6314" s="9">
        <v>27</v>
      </c>
      <c r="L6314" s="16" t="s">
        <v>27</v>
      </c>
      <c r="M6314" s="16">
        <f t="shared" si="591"/>
        <v>9.8635680476745008E-2</v>
      </c>
      <c r="N6314">
        <f t="shared" si="592"/>
        <v>0</v>
      </c>
      <c r="O6314">
        <f t="shared" si="593"/>
        <v>0</v>
      </c>
      <c r="P6314">
        <f t="shared" si="590"/>
        <v>4750</v>
      </c>
      <c r="Q6314">
        <f t="shared" si="594"/>
        <v>4750</v>
      </c>
      <c r="T6314" s="16">
        <f t="shared" si="595"/>
        <v>9.8635680476744619E-2</v>
      </c>
    </row>
    <row r="6315" spans="7:20" ht="14.4" x14ac:dyDescent="0.25">
      <c r="G6315" s="10">
        <v>2351</v>
      </c>
      <c r="H6315" s="9">
        <v>16961</v>
      </c>
      <c r="I6315" s="14">
        <f>DATE(2012,12,31)-1455</f>
        <v>39819</v>
      </c>
      <c r="J6315" s="15" t="s">
        <v>28</v>
      </c>
      <c r="K6315" s="9">
        <v>34</v>
      </c>
      <c r="L6315" s="16" t="s">
        <v>26</v>
      </c>
      <c r="M6315" s="16">
        <f t="shared" si="591"/>
        <v>0.58205411681129504</v>
      </c>
      <c r="N6315">
        <f t="shared" si="592"/>
        <v>0</v>
      </c>
      <c r="O6315">
        <f t="shared" si="593"/>
        <v>0</v>
      </c>
      <c r="P6315">
        <f t="shared" si="590"/>
        <v>5100</v>
      </c>
      <c r="Q6315">
        <f t="shared" si="594"/>
        <v>5100</v>
      </c>
      <c r="T6315" s="16">
        <f t="shared" si="595"/>
        <v>0.58205411681129471</v>
      </c>
    </row>
    <row r="6316" spans="7:20" ht="14.4" x14ac:dyDescent="0.25">
      <c r="G6316" s="10">
        <v>2418</v>
      </c>
      <c r="H6316" s="9">
        <v>17543</v>
      </c>
      <c r="I6316" s="14">
        <f>DATE(2012,12,31)-220</f>
        <v>41054</v>
      </c>
      <c r="J6316" s="15" t="s">
        <v>30</v>
      </c>
      <c r="K6316" s="9">
        <v>1</v>
      </c>
      <c r="L6316" s="16" t="s">
        <v>26</v>
      </c>
      <c r="M6316" s="16">
        <f t="shared" si="591"/>
        <v>-1.6969185116230123</v>
      </c>
      <c r="N6316">
        <f t="shared" si="592"/>
        <v>0</v>
      </c>
      <c r="O6316">
        <f t="shared" si="593"/>
        <v>0</v>
      </c>
      <c r="P6316">
        <f t="shared" si="590"/>
        <v>3450</v>
      </c>
      <c r="Q6316">
        <f t="shared" si="594"/>
        <v>3450</v>
      </c>
      <c r="T6316" s="16">
        <f t="shared" si="595"/>
        <v>-1.6969185116230128</v>
      </c>
    </row>
    <row r="6317" spans="7:20" ht="14.4" x14ac:dyDescent="0.25">
      <c r="G6317" s="10">
        <v>2419</v>
      </c>
      <c r="H6317" s="9">
        <v>17543</v>
      </c>
      <c r="I6317" s="14">
        <f>DATE(2012,12,31)-220</f>
        <v>41054</v>
      </c>
      <c r="J6317" s="15" t="s">
        <v>30</v>
      </c>
      <c r="K6317" s="9">
        <v>35</v>
      </c>
      <c r="L6317" s="16" t="s">
        <v>26</v>
      </c>
      <c r="M6317" s="16">
        <f t="shared" si="591"/>
        <v>0.65111389343051651</v>
      </c>
      <c r="N6317">
        <f t="shared" si="592"/>
        <v>0</v>
      </c>
      <c r="O6317">
        <f t="shared" si="593"/>
        <v>0</v>
      </c>
      <c r="P6317">
        <f t="shared" si="590"/>
        <v>5150</v>
      </c>
      <c r="Q6317">
        <f t="shared" si="594"/>
        <v>5150</v>
      </c>
      <c r="T6317" s="16">
        <f t="shared" si="595"/>
        <v>0.65111389343051607</v>
      </c>
    </row>
    <row r="6318" spans="7:20" ht="14.4" x14ac:dyDescent="0.25">
      <c r="G6318" s="10">
        <v>2420</v>
      </c>
      <c r="H6318" s="9">
        <v>17543</v>
      </c>
      <c r="I6318" s="14">
        <f>DATE(2012,12,31)-220</f>
        <v>41054</v>
      </c>
      <c r="J6318" s="15" t="s">
        <v>30</v>
      </c>
      <c r="K6318" s="9">
        <v>26</v>
      </c>
      <c r="L6318" s="16" t="s">
        <v>27</v>
      </c>
      <c r="M6318" s="16">
        <f t="shared" si="591"/>
        <v>2.9575903857523567E-2</v>
      </c>
      <c r="N6318">
        <f t="shared" si="592"/>
        <v>0</v>
      </c>
      <c r="O6318">
        <f t="shared" si="593"/>
        <v>0</v>
      </c>
      <c r="P6318">
        <f t="shared" si="590"/>
        <v>4700</v>
      </c>
      <c r="Q6318">
        <f t="shared" si="594"/>
        <v>4700</v>
      </c>
      <c r="T6318" s="16">
        <f t="shared" si="595"/>
        <v>2.9575903857523185E-2</v>
      </c>
    </row>
    <row r="6319" spans="7:20" ht="14.4" x14ac:dyDescent="0.25">
      <c r="G6319" s="10">
        <v>2482</v>
      </c>
      <c r="H6319" s="9">
        <v>18055</v>
      </c>
      <c r="I6319" s="14">
        <f>DATE(2012,12,31)-1061</f>
        <v>40213</v>
      </c>
      <c r="J6319" s="15" t="s">
        <v>30</v>
      </c>
      <c r="K6319" s="9">
        <v>3</v>
      </c>
      <c r="L6319" s="16" t="s">
        <v>26</v>
      </c>
      <c r="M6319" s="16">
        <f t="shared" si="591"/>
        <v>-1.5587989583845694</v>
      </c>
      <c r="N6319">
        <f t="shared" si="592"/>
        <v>0</v>
      </c>
      <c r="O6319">
        <f t="shared" si="593"/>
        <v>0</v>
      </c>
      <c r="P6319">
        <f t="shared" si="590"/>
        <v>3550</v>
      </c>
      <c r="Q6319">
        <f t="shared" si="594"/>
        <v>3550</v>
      </c>
      <c r="T6319" s="16">
        <f t="shared" si="595"/>
        <v>-1.5587989583845698</v>
      </c>
    </row>
    <row r="6320" spans="7:20" ht="14.4" x14ac:dyDescent="0.25">
      <c r="G6320" s="10">
        <v>2840</v>
      </c>
      <c r="H6320" s="9">
        <v>20480</v>
      </c>
      <c r="I6320" s="14">
        <f>DATE(2012,12,31)-1432</f>
        <v>39842</v>
      </c>
      <c r="J6320" s="15" t="s">
        <v>16</v>
      </c>
      <c r="K6320" s="9">
        <v>38</v>
      </c>
      <c r="L6320" s="16" t="s">
        <v>26</v>
      </c>
      <c r="M6320" s="16">
        <f t="shared" si="591"/>
        <v>0.85829322328818081</v>
      </c>
      <c r="N6320">
        <f t="shared" si="592"/>
        <v>0</v>
      </c>
      <c r="O6320">
        <f t="shared" si="593"/>
        <v>0</v>
      </c>
      <c r="P6320">
        <f t="shared" si="590"/>
        <v>5300</v>
      </c>
      <c r="Q6320">
        <f t="shared" si="594"/>
        <v>5300</v>
      </c>
      <c r="T6320" s="16">
        <f t="shared" si="595"/>
        <v>0.85829322328818036</v>
      </c>
    </row>
    <row r="6321" spans="7:20" ht="14.4" x14ac:dyDescent="0.25">
      <c r="G6321" s="10">
        <v>2844</v>
      </c>
      <c r="H6321" s="9">
        <v>20484</v>
      </c>
      <c r="I6321" s="14">
        <f>DATE(2012,12,31)-1432</f>
        <v>39842</v>
      </c>
      <c r="J6321" s="15" t="s">
        <v>30</v>
      </c>
      <c r="K6321" s="9">
        <v>14</v>
      </c>
      <c r="L6321" s="16" t="s">
        <v>27</v>
      </c>
      <c r="M6321" s="16">
        <f t="shared" si="591"/>
        <v>-0.79914141557313367</v>
      </c>
      <c r="N6321">
        <f t="shared" si="592"/>
        <v>0</v>
      </c>
      <c r="O6321">
        <f t="shared" si="593"/>
        <v>0</v>
      </c>
      <c r="P6321">
        <f t="shared" si="590"/>
        <v>4100</v>
      </c>
      <c r="Q6321">
        <f t="shared" si="594"/>
        <v>4100</v>
      </c>
      <c r="T6321" s="16">
        <f t="shared" si="595"/>
        <v>-0.79914141557313401</v>
      </c>
    </row>
    <row r="6322" spans="7:20" ht="14.4" x14ac:dyDescent="0.25">
      <c r="G6322" s="10">
        <v>2857</v>
      </c>
      <c r="H6322" s="9">
        <v>20579</v>
      </c>
      <c r="I6322" s="14">
        <f>DATE(2012,12,31)-91</f>
        <v>41183</v>
      </c>
      <c r="J6322" s="15" t="s">
        <v>16</v>
      </c>
      <c r="K6322" s="9">
        <v>16</v>
      </c>
      <c r="L6322" s="16" t="s">
        <v>27</v>
      </c>
      <c r="M6322" s="16">
        <f t="shared" si="591"/>
        <v>-0.66102186233469074</v>
      </c>
      <c r="N6322">
        <f t="shared" si="592"/>
        <v>0</v>
      </c>
      <c r="O6322">
        <f t="shared" si="593"/>
        <v>0</v>
      </c>
      <c r="P6322">
        <f t="shared" si="590"/>
        <v>4200</v>
      </c>
      <c r="Q6322">
        <f t="shared" si="594"/>
        <v>4200</v>
      </c>
      <c r="T6322" s="16">
        <f t="shared" si="595"/>
        <v>-0.66102186233469118</v>
      </c>
    </row>
    <row r="6323" spans="7:20" ht="14.4" x14ac:dyDescent="0.25">
      <c r="G6323" s="10">
        <v>2899</v>
      </c>
      <c r="H6323" s="9">
        <v>20933</v>
      </c>
      <c r="I6323" s="14">
        <f>DATE(2012,12,31)-127</f>
        <v>41147</v>
      </c>
      <c r="J6323" s="15" t="s">
        <v>17</v>
      </c>
      <c r="K6323" s="9">
        <v>45</v>
      </c>
      <c r="L6323" s="16" t="s">
        <v>27</v>
      </c>
      <c r="M6323" s="16">
        <f t="shared" si="591"/>
        <v>1.3417116596227308</v>
      </c>
      <c r="N6323">
        <f t="shared" si="592"/>
        <v>0</v>
      </c>
      <c r="O6323">
        <f t="shared" si="593"/>
        <v>0</v>
      </c>
      <c r="P6323">
        <f t="shared" si="590"/>
        <v>5650</v>
      </c>
      <c r="Q6323">
        <f t="shared" si="594"/>
        <v>5650</v>
      </c>
      <c r="T6323" s="16">
        <f t="shared" si="595"/>
        <v>1.3417116596227305</v>
      </c>
    </row>
    <row r="6324" spans="7:20" ht="14.4" x14ac:dyDescent="0.25">
      <c r="G6324" s="10">
        <v>2922</v>
      </c>
      <c r="H6324" s="9">
        <v>21155</v>
      </c>
      <c r="I6324" s="14">
        <f>DATE(2012,12,31)-695</f>
        <v>40579</v>
      </c>
      <c r="J6324" s="15" t="s">
        <v>17</v>
      </c>
      <c r="K6324" s="9">
        <v>4</v>
      </c>
      <c r="L6324" s="16" t="s">
        <v>26</v>
      </c>
      <c r="M6324" s="16">
        <f t="shared" si="591"/>
        <v>-1.489739181765348</v>
      </c>
      <c r="N6324">
        <f t="shared" si="592"/>
        <v>0</v>
      </c>
      <c r="O6324">
        <f t="shared" si="593"/>
        <v>0</v>
      </c>
      <c r="P6324">
        <f t="shared" si="590"/>
        <v>3600</v>
      </c>
      <c r="Q6324">
        <f t="shared" si="594"/>
        <v>3600</v>
      </c>
      <c r="T6324" s="16">
        <f t="shared" si="595"/>
        <v>-1.4897391817653485</v>
      </c>
    </row>
    <row r="6325" spans="7:20" ht="14.4" x14ac:dyDescent="0.25">
      <c r="G6325" s="10">
        <v>3017</v>
      </c>
      <c r="H6325" s="9">
        <v>21703</v>
      </c>
      <c r="I6325" s="14">
        <f>DATE(2012,12,31)-1400</f>
        <v>39874</v>
      </c>
      <c r="J6325" s="15" t="s">
        <v>28</v>
      </c>
      <c r="K6325" s="9">
        <v>3</v>
      </c>
      <c r="L6325" s="16" t="s">
        <v>26</v>
      </c>
      <c r="M6325" s="16">
        <f t="shared" si="591"/>
        <v>-1.5587989583845694</v>
      </c>
      <c r="N6325">
        <f t="shared" si="592"/>
        <v>0</v>
      </c>
      <c r="O6325">
        <f t="shared" si="593"/>
        <v>0</v>
      </c>
      <c r="P6325">
        <f t="shared" si="590"/>
        <v>3550</v>
      </c>
      <c r="Q6325">
        <f t="shared" si="594"/>
        <v>3550</v>
      </c>
      <c r="T6325" s="16">
        <f t="shared" si="595"/>
        <v>-1.5587989583845698</v>
      </c>
    </row>
    <row r="6326" spans="7:20" ht="14.4" x14ac:dyDescent="0.25">
      <c r="G6326" s="10">
        <v>3018</v>
      </c>
      <c r="H6326" s="9">
        <v>21703</v>
      </c>
      <c r="I6326" s="14">
        <f>DATE(2012,12,31)-1400</f>
        <v>39874</v>
      </c>
      <c r="J6326" s="15" t="s">
        <v>28</v>
      </c>
      <c r="K6326" s="9">
        <v>20</v>
      </c>
      <c r="L6326" s="16" t="s">
        <v>29</v>
      </c>
      <c r="M6326" s="16">
        <f t="shared" si="591"/>
        <v>-0.38478275585780503</v>
      </c>
      <c r="N6326">
        <f t="shared" si="592"/>
        <v>0</v>
      </c>
      <c r="O6326">
        <f t="shared" si="593"/>
        <v>0</v>
      </c>
      <c r="P6326">
        <f t="shared" si="590"/>
        <v>4400</v>
      </c>
      <c r="Q6326">
        <f t="shared" si="594"/>
        <v>4400</v>
      </c>
      <c r="T6326" s="16">
        <f t="shared" si="595"/>
        <v>-0.38478275585780541</v>
      </c>
    </row>
    <row r="6327" spans="7:20" ht="14.4" x14ac:dyDescent="0.25">
      <c r="G6327" s="10">
        <v>3019</v>
      </c>
      <c r="H6327" s="9">
        <v>21703</v>
      </c>
      <c r="I6327" s="14">
        <f>DATE(2012,12,31)-1400</f>
        <v>39874</v>
      </c>
      <c r="J6327" s="15" t="s">
        <v>28</v>
      </c>
      <c r="K6327" s="9">
        <v>15</v>
      </c>
      <c r="L6327" s="16" t="s">
        <v>27</v>
      </c>
      <c r="M6327" s="16">
        <f t="shared" si="591"/>
        <v>-0.7300816389539122</v>
      </c>
      <c r="N6327">
        <f t="shared" si="592"/>
        <v>0</v>
      </c>
      <c r="O6327">
        <f t="shared" si="593"/>
        <v>0</v>
      </c>
      <c r="P6327">
        <f t="shared" si="590"/>
        <v>4150</v>
      </c>
      <c r="Q6327">
        <f t="shared" si="594"/>
        <v>4150</v>
      </c>
      <c r="T6327" s="16">
        <f t="shared" si="595"/>
        <v>-0.73008163895391265</v>
      </c>
    </row>
    <row r="6328" spans="7:20" ht="14.4" x14ac:dyDescent="0.25">
      <c r="G6328" s="10">
        <v>3022</v>
      </c>
      <c r="H6328" s="9">
        <v>21731</v>
      </c>
      <c r="I6328" s="14">
        <f>DATE(2012,12,31)-401</f>
        <v>40873</v>
      </c>
      <c r="J6328" s="15" t="s">
        <v>25</v>
      </c>
      <c r="K6328" s="9">
        <v>26</v>
      </c>
      <c r="L6328" s="16" t="s">
        <v>26</v>
      </c>
      <c r="M6328" s="16">
        <f t="shared" si="591"/>
        <v>2.9575903857523567E-2</v>
      </c>
      <c r="N6328">
        <f t="shared" si="592"/>
        <v>0</v>
      </c>
      <c r="O6328">
        <f t="shared" si="593"/>
        <v>0</v>
      </c>
      <c r="P6328">
        <f t="shared" si="590"/>
        <v>4700</v>
      </c>
      <c r="Q6328">
        <f t="shared" si="594"/>
        <v>4700</v>
      </c>
      <c r="T6328" s="16">
        <f t="shared" si="595"/>
        <v>2.9575903857523185E-2</v>
      </c>
    </row>
    <row r="6329" spans="7:20" ht="14.4" x14ac:dyDescent="0.25">
      <c r="G6329" s="10">
        <v>3036</v>
      </c>
      <c r="H6329" s="9">
        <v>21799</v>
      </c>
      <c r="I6329" s="14">
        <f>DATE(2012,12,31)-622</f>
        <v>40652</v>
      </c>
      <c r="J6329" s="15" t="s">
        <v>28</v>
      </c>
      <c r="K6329" s="9">
        <v>42</v>
      </c>
      <c r="L6329" s="16" t="s">
        <v>26</v>
      </c>
      <c r="M6329" s="16">
        <f t="shared" si="591"/>
        <v>1.1345323297650665</v>
      </c>
      <c r="N6329">
        <f t="shared" si="592"/>
        <v>0</v>
      </c>
      <c r="O6329">
        <f t="shared" si="593"/>
        <v>0</v>
      </c>
      <c r="P6329">
        <f t="shared" si="590"/>
        <v>5500</v>
      </c>
      <c r="Q6329">
        <f t="shared" si="594"/>
        <v>5500</v>
      </c>
      <c r="T6329" s="16">
        <f t="shared" si="595"/>
        <v>1.1345323297650662</v>
      </c>
    </row>
    <row r="6330" spans="7:20" ht="14.4" x14ac:dyDescent="0.25">
      <c r="G6330" s="10">
        <v>3066</v>
      </c>
      <c r="H6330" s="9">
        <v>21985</v>
      </c>
      <c r="I6330" s="14">
        <f>DATE(2012,12,31)-1223</f>
        <v>40051</v>
      </c>
      <c r="J6330" s="15" t="s">
        <v>30</v>
      </c>
      <c r="K6330" s="9">
        <v>1</v>
      </c>
      <c r="L6330" s="16" t="s">
        <v>29</v>
      </c>
      <c r="M6330" s="16">
        <f t="shared" si="591"/>
        <v>-1.6969185116230123</v>
      </c>
      <c r="N6330">
        <f t="shared" si="592"/>
        <v>0</v>
      </c>
      <c r="O6330">
        <f t="shared" si="593"/>
        <v>0</v>
      </c>
      <c r="P6330">
        <f t="shared" si="590"/>
        <v>3450</v>
      </c>
      <c r="Q6330">
        <f t="shared" si="594"/>
        <v>3450</v>
      </c>
      <c r="T6330" s="16">
        <f t="shared" si="595"/>
        <v>-1.6969185116230128</v>
      </c>
    </row>
    <row r="6331" spans="7:20" ht="14.4" x14ac:dyDescent="0.25">
      <c r="G6331" s="10">
        <v>3067</v>
      </c>
      <c r="H6331" s="9">
        <v>21985</v>
      </c>
      <c r="I6331" s="14">
        <f>DATE(2012,12,31)-1223</f>
        <v>40051</v>
      </c>
      <c r="J6331" s="15" t="s">
        <v>30</v>
      </c>
      <c r="K6331" s="9">
        <v>45</v>
      </c>
      <c r="L6331" s="16" t="s">
        <v>26</v>
      </c>
      <c r="M6331" s="16">
        <f t="shared" si="591"/>
        <v>1.3417116596227308</v>
      </c>
      <c r="N6331">
        <f t="shared" si="592"/>
        <v>0</v>
      </c>
      <c r="O6331">
        <f t="shared" si="593"/>
        <v>0</v>
      </c>
      <c r="P6331">
        <f t="shared" si="590"/>
        <v>5650</v>
      </c>
      <c r="Q6331">
        <f t="shared" si="594"/>
        <v>5650</v>
      </c>
      <c r="T6331" s="16">
        <f t="shared" si="595"/>
        <v>1.3417116596227305</v>
      </c>
    </row>
    <row r="6332" spans="7:20" ht="14.4" x14ac:dyDescent="0.25">
      <c r="G6332" s="10">
        <v>3098</v>
      </c>
      <c r="H6332" s="9">
        <v>22210</v>
      </c>
      <c r="I6332" s="14">
        <f>DATE(2012,12,31)-469</f>
        <v>40805</v>
      </c>
      <c r="J6332" s="15" t="s">
        <v>30</v>
      </c>
      <c r="K6332" s="9">
        <v>37</v>
      </c>
      <c r="L6332" s="16" t="s">
        <v>26</v>
      </c>
      <c r="M6332" s="16">
        <f t="shared" si="591"/>
        <v>0.78923344666895934</v>
      </c>
      <c r="N6332">
        <f t="shared" si="592"/>
        <v>0</v>
      </c>
      <c r="O6332">
        <f t="shared" si="593"/>
        <v>0</v>
      </c>
      <c r="P6332">
        <f t="shared" si="590"/>
        <v>5250</v>
      </c>
      <c r="Q6332">
        <f t="shared" si="594"/>
        <v>5250</v>
      </c>
      <c r="T6332" s="16">
        <f t="shared" si="595"/>
        <v>0.789233446668959</v>
      </c>
    </row>
    <row r="6333" spans="7:20" ht="14.4" x14ac:dyDescent="0.25">
      <c r="G6333" s="10">
        <v>3153</v>
      </c>
      <c r="H6333" s="9">
        <v>22628</v>
      </c>
      <c r="I6333" s="14">
        <f>DATE(2012,12,31)-1159</f>
        <v>40115</v>
      </c>
      <c r="J6333" s="15" t="s">
        <v>16</v>
      </c>
      <c r="K6333" s="9">
        <v>30</v>
      </c>
      <c r="L6333" s="16" t="s">
        <v>29</v>
      </c>
      <c r="M6333" s="16">
        <f t="shared" si="591"/>
        <v>0.30581501033440933</v>
      </c>
      <c r="N6333">
        <f t="shared" si="592"/>
        <v>0</v>
      </c>
      <c r="O6333">
        <f t="shared" si="593"/>
        <v>0</v>
      </c>
      <c r="P6333">
        <f t="shared" si="590"/>
        <v>4900</v>
      </c>
      <c r="Q6333">
        <f t="shared" si="594"/>
        <v>4900</v>
      </c>
      <c r="T6333" s="16">
        <f t="shared" si="595"/>
        <v>0.30581501033440894</v>
      </c>
    </row>
    <row r="6334" spans="7:20" ht="14.4" x14ac:dyDescent="0.25">
      <c r="G6334" s="10">
        <v>3220</v>
      </c>
      <c r="H6334" s="9">
        <v>23106</v>
      </c>
      <c r="I6334" s="14">
        <f>DATE(2012,12,31)-803</f>
        <v>40471</v>
      </c>
      <c r="J6334" s="15" t="s">
        <v>16</v>
      </c>
      <c r="K6334" s="9">
        <v>35</v>
      </c>
      <c r="L6334" s="16" t="s">
        <v>27</v>
      </c>
      <c r="M6334" s="16">
        <f t="shared" si="591"/>
        <v>0.65111389343051651</v>
      </c>
      <c r="N6334">
        <f t="shared" si="592"/>
        <v>0</v>
      </c>
      <c r="O6334">
        <f t="shared" si="593"/>
        <v>0</v>
      </c>
      <c r="P6334">
        <f t="shared" si="590"/>
        <v>5150</v>
      </c>
      <c r="Q6334">
        <f t="shared" si="594"/>
        <v>5150</v>
      </c>
      <c r="T6334" s="16">
        <f t="shared" si="595"/>
        <v>0.65111389343051607</v>
      </c>
    </row>
    <row r="6335" spans="7:20" ht="14.4" x14ac:dyDescent="0.25">
      <c r="G6335" s="10">
        <v>3262</v>
      </c>
      <c r="H6335" s="9">
        <v>23360</v>
      </c>
      <c r="I6335" s="14">
        <f>DATE(2012,12,31)-1330</f>
        <v>39944</v>
      </c>
      <c r="J6335" s="15" t="s">
        <v>25</v>
      </c>
      <c r="K6335" s="9">
        <v>30</v>
      </c>
      <c r="L6335" s="16" t="s">
        <v>26</v>
      </c>
      <c r="M6335" s="16">
        <f t="shared" si="591"/>
        <v>0.30581501033440933</v>
      </c>
      <c r="N6335">
        <f t="shared" si="592"/>
        <v>0</v>
      </c>
      <c r="O6335">
        <f t="shared" si="593"/>
        <v>0</v>
      </c>
      <c r="P6335">
        <f t="shared" si="590"/>
        <v>4900</v>
      </c>
      <c r="Q6335">
        <f t="shared" si="594"/>
        <v>4900</v>
      </c>
      <c r="T6335" s="16">
        <f t="shared" si="595"/>
        <v>0.30581501033440894</v>
      </c>
    </row>
    <row r="6336" spans="7:20" ht="14.4" x14ac:dyDescent="0.25">
      <c r="G6336" s="10">
        <v>3331</v>
      </c>
      <c r="H6336" s="9">
        <v>23809</v>
      </c>
      <c r="I6336" s="14">
        <f>DATE(2012,12,31)-210</f>
        <v>41064</v>
      </c>
      <c r="J6336" s="15" t="s">
        <v>28</v>
      </c>
      <c r="K6336" s="9">
        <v>7</v>
      </c>
      <c r="L6336" s="16" t="s">
        <v>26</v>
      </c>
      <c r="M6336" s="16">
        <f t="shared" si="591"/>
        <v>-1.2825598519076837</v>
      </c>
      <c r="N6336">
        <f t="shared" si="592"/>
        <v>0</v>
      </c>
      <c r="O6336">
        <f t="shared" si="593"/>
        <v>0</v>
      </c>
      <c r="P6336">
        <f t="shared" si="590"/>
        <v>3750</v>
      </c>
      <c r="Q6336">
        <f t="shared" si="594"/>
        <v>3750</v>
      </c>
      <c r="T6336" s="16">
        <f t="shared" si="595"/>
        <v>-1.2825598519076842</v>
      </c>
    </row>
    <row r="6337" spans="7:20" ht="14.4" x14ac:dyDescent="0.25">
      <c r="G6337" s="10">
        <v>3491</v>
      </c>
      <c r="H6337" s="9">
        <v>24870</v>
      </c>
      <c r="I6337" s="14">
        <f>DATE(2012,12,31)-1347</f>
        <v>39927</v>
      </c>
      <c r="J6337" s="15" t="s">
        <v>25</v>
      </c>
      <c r="K6337" s="9">
        <v>38</v>
      </c>
      <c r="L6337" s="16" t="s">
        <v>27</v>
      </c>
      <c r="M6337" s="16">
        <f t="shared" si="591"/>
        <v>0.85829322328818081</v>
      </c>
      <c r="N6337">
        <f t="shared" si="592"/>
        <v>0</v>
      </c>
      <c r="O6337">
        <f t="shared" si="593"/>
        <v>0</v>
      </c>
      <c r="P6337">
        <f t="shared" si="590"/>
        <v>5300</v>
      </c>
      <c r="Q6337">
        <f t="shared" si="594"/>
        <v>5300</v>
      </c>
      <c r="T6337" s="16">
        <f t="shared" si="595"/>
        <v>0.85829322328818036</v>
      </c>
    </row>
    <row r="6338" spans="7:20" ht="14.4" x14ac:dyDescent="0.25">
      <c r="G6338" s="10">
        <v>3492</v>
      </c>
      <c r="H6338" s="9">
        <v>24870</v>
      </c>
      <c r="I6338" s="14">
        <f>DATE(2012,12,31)-1347</f>
        <v>39927</v>
      </c>
      <c r="J6338" s="15" t="s">
        <v>25</v>
      </c>
      <c r="K6338" s="9">
        <v>45</v>
      </c>
      <c r="L6338" s="16" t="s">
        <v>26</v>
      </c>
      <c r="M6338" s="16">
        <f t="shared" si="591"/>
        <v>1.3417116596227308</v>
      </c>
      <c r="N6338">
        <f t="shared" si="592"/>
        <v>0</v>
      </c>
      <c r="O6338">
        <f t="shared" si="593"/>
        <v>0</v>
      </c>
      <c r="P6338">
        <f t="shared" si="590"/>
        <v>5650</v>
      </c>
      <c r="Q6338">
        <f t="shared" si="594"/>
        <v>5650</v>
      </c>
      <c r="T6338" s="16">
        <f t="shared" si="595"/>
        <v>1.3417116596227305</v>
      </c>
    </row>
    <row r="6339" spans="7:20" ht="14.4" x14ac:dyDescent="0.25">
      <c r="G6339" s="10">
        <v>3606</v>
      </c>
      <c r="H6339" s="9">
        <v>25793</v>
      </c>
      <c r="I6339" s="14">
        <f>DATE(2012,12,31)-268</f>
        <v>41006</v>
      </c>
      <c r="J6339" s="15" t="s">
        <v>25</v>
      </c>
      <c r="K6339" s="9">
        <v>27</v>
      </c>
      <c r="L6339" s="16" t="s">
        <v>27</v>
      </c>
      <c r="M6339" s="16">
        <f t="shared" si="591"/>
        <v>9.8635680476745008E-2</v>
      </c>
      <c r="N6339">
        <f t="shared" si="592"/>
        <v>0</v>
      </c>
      <c r="O6339">
        <f t="shared" si="593"/>
        <v>0</v>
      </c>
      <c r="P6339">
        <f t="shared" si="590"/>
        <v>4750</v>
      </c>
      <c r="Q6339">
        <f t="shared" si="594"/>
        <v>4750</v>
      </c>
      <c r="T6339" s="16">
        <f t="shared" si="595"/>
        <v>9.8635680476744619E-2</v>
      </c>
    </row>
    <row r="6340" spans="7:20" ht="14.4" x14ac:dyDescent="0.25">
      <c r="G6340" s="10">
        <v>3724</v>
      </c>
      <c r="H6340" s="9">
        <v>26629</v>
      </c>
      <c r="I6340" s="14">
        <f>DATE(2012,12,31)-1270</f>
        <v>40004</v>
      </c>
      <c r="J6340" s="15" t="s">
        <v>17</v>
      </c>
      <c r="K6340" s="9">
        <v>38</v>
      </c>
      <c r="L6340" s="16" t="s">
        <v>27</v>
      </c>
      <c r="M6340" s="16">
        <f t="shared" si="591"/>
        <v>0.85829322328818081</v>
      </c>
      <c r="N6340">
        <f t="shared" si="592"/>
        <v>0</v>
      </c>
      <c r="O6340">
        <f t="shared" si="593"/>
        <v>0</v>
      </c>
      <c r="P6340">
        <f t="shared" si="590"/>
        <v>5300</v>
      </c>
      <c r="Q6340">
        <f t="shared" si="594"/>
        <v>5300</v>
      </c>
      <c r="T6340" s="16">
        <f t="shared" si="595"/>
        <v>0.85829322328818036</v>
      </c>
    </row>
    <row r="6341" spans="7:20" ht="14.4" x14ac:dyDescent="0.25">
      <c r="G6341" s="10">
        <v>3725</v>
      </c>
      <c r="H6341" s="9">
        <v>26629</v>
      </c>
      <c r="I6341" s="14">
        <f>DATE(2012,12,31)-1270</f>
        <v>40004</v>
      </c>
      <c r="J6341" s="15" t="s">
        <v>17</v>
      </c>
      <c r="K6341" s="9">
        <v>32</v>
      </c>
      <c r="L6341" s="16" t="s">
        <v>26</v>
      </c>
      <c r="M6341" s="16">
        <f t="shared" si="591"/>
        <v>0.44393456357285216</v>
      </c>
      <c r="N6341">
        <f t="shared" si="592"/>
        <v>0</v>
      </c>
      <c r="O6341">
        <f t="shared" si="593"/>
        <v>0</v>
      </c>
      <c r="P6341">
        <f t="shared" si="590"/>
        <v>5000</v>
      </c>
      <c r="Q6341">
        <f t="shared" si="594"/>
        <v>5000</v>
      </c>
      <c r="T6341" s="16">
        <f t="shared" si="595"/>
        <v>0.44393456357285183</v>
      </c>
    </row>
    <row r="6342" spans="7:20" ht="14.4" x14ac:dyDescent="0.25">
      <c r="G6342" s="10">
        <v>3909</v>
      </c>
      <c r="H6342" s="9">
        <v>27875</v>
      </c>
      <c r="I6342" s="14">
        <f>DATE(2012,12,31)-1011</f>
        <v>40263</v>
      </c>
      <c r="J6342" s="15" t="s">
        <v>25</v>
      </c>
      <c r="K6342" s="9">
        <v>5</v>
      </c>
      <c r="L6342" s="16" t="s">
        <v>26</v>
      </c>
      <c r="M6342" s="16">
        <f t="shared" si="591"/>
        <v>-1.4206794051461267</v>
      </c>
      <c r="N6342">
        <f t="shared" si="592"/>
        <v>0</v>
      </c>
      <c r="O6342">
        <f t="shared" si="593"/>
        <v>0</v>
      </c>
      <c r="P6342">
        <f t="shared" si="590"/>
        <v>3650</v>
      </c>
      <c r="Q6342">
        <f t="shared" si="594"/>
        <v>3650</v>
      </c>
      <c r="T6342" s="16">
        <f t="shared" si="595"/>
        <v>-1.4206794051461269</v>
      </c>
    </row>
    <row r="6343" spans="7:20" ht="14.4" x14ac:dyDescent="0.25">
      <c r="G6343" s="10">
        <v>3911</v>
      </c>
      <c r="H6343" s="9">
        <v>27879</v>
      </c>
      <c r="I6343" s="14">
        <f>DATE(2012,12,31)-1039</f>
        <v>40235</v>
      </c>
      <c r="J6343" s="15" t="s">
        <v>16</v>
      </c>
      <c r="K6343" s="9">
        <v>44</v>
      </c>
      <c r="L6343" s="16" t="s">
        <v>26</v>
      </c>
      <c r="M6343" s="16">
        <f t="shared" si="591"/>
        <v>1.2726518830035094</v>
      </c>
      <c r="N6343">
        <f t="shared" si="592"/>
        <v>0</v>
      </c>
      <c r="O6343">
        <f t="shared" si="593"/>
        <v>0</v>
      </c>
      <c r="P6343">
        <f t="shared" si="590"/>
        <v>5600</v>
      </c>
      <c r="Q6343">
        <f t="shared" si="594"/>
        <v>5600</v>
      </c>
      <c r="T6343" s="16">
        <f t="shared" si="595"/>
        <v>1.272651883003509</v>
      </c>
    </row>
    <row r="6344" spans="7:20" ht="14.4" x14ac:dyDescent="0.25">
      <c r="G6344" s="10">
        <v>3912</v>
      </c>
      <c r="H6344" s="9">
        <v>27879</v>
      </c>
      <c r="I6344" s="14">
        <f>DATE(2012,12,31)-1039</f>
        <v>40235</v>
      </c>
      <c r="J6344" s="15" t="s">
        <v>16</v>
      </c>
      <c r="K6344" s="9">
        <v>30</v>
      </c>
      <c r="L6344" s="16" t="s">
        <v>29</v>
      </c>
      <c r="M6344" s="16">
        <f t="shared" si="591"/>
        <v>0.30581501033440933</v>
      </c>
      <c r="N6344">
        <f t="shared" si="592"/>
        <v>0</v>
      </c>
      <c r="O6344">
        <f t="shared" si="593"/>
        <v>0</v>
      </c>
      <c r="P6344">
        <f t="shared" si="590"/>
        <v>4900</v>
      </c>
      <c r="Q6344">
        <f t="shared" si="594"/>
        <v>4900</v>
      </c>
      <c r="T6344" s="16">
        <f t="shared" si="595"/>
        <v>0.30581501033440894</v>
      </c>
    </row>
    <row r="6345" spans="7:20" ht="14.4" x14ac:dyDescent="0.25">
      <c r="G6345" s="10">
        <v>3953</v>
      </c>
      <c r="H6345" s="9">
        <v>28198</v>
      </c>
      <c r="I6345" s="14">
        <f>DATE(2012,12,31)-327</f>
        <v>40947</v>
      </c>
      <c r="J6345" s="15" t="s">
        <v>16</v>
      </c>
      <c r="K6345" s="9">
        <v>50</v>
      </c>
      <c r="L6345" s="16" t="s">
        <v>27</v>
      </c>
      <c r="M6345" s="16">
        <f t="shared" si="591"/>
        <v>1.687010542718838</v>
      </c>
      <c r="N6345">
        <f t="shared" si="592"/>
        <v>0</v>
      </c>
      <c r="O6345">
        <f t="shared" si="593"/>
        <v>0</v>
      </c>
      <c r="P6345">
        <f t="shared" si="590"/>
        <v>5900</v>
      </c>
      <c r="Q6345">
        <f t="shared" si="594"/>
        <v>5900</v>
      </c>
      <c r="T6345" s="16">
        <f t="shared" si="595"/>
        <v>1.6870105427188375</v>
      </c>
    </row>
    <row r="6346" spans="7:20" ht="14.4" x14ac:dyDescent="0.25">
      <c r="G6346" s="10">
        <v>4007</v>
      </c>
      <c r="H6346" s="9">
        <v>28583</v>
      </c>
      <c r="I6346" s="14">
        <f>DATE(2012,12,31)-1145</f>
        <v>40129</v>
      </c>
      <c r="J6346" s="15" t="s">
        <v>30</v>
      </c>
      <c r="K6346" s="9">
        <v>25</v>
      </c>
      <c r="L6346" s="16" t="s">
        <v>26</v>
      </c>
      <c r="M6346" s="16">
        <f t="shared" si="591"/>
        <v>-3.9483872761697868E-2</v>
      </c>
      <c r="N6346">
        <f t="shared" si="592"/>
        <v>0</v>
      </c>
      <c r="O6346">
        <f t="shared" si="593"/>
        <v>0</v>
      </c>
      <c r="P6346">
        <f t="shared" si="590"/>
        <v>4650</v>
      </c>
      <c r="Q6346">
        <f t="shared" si="594"/>
        <v>4650</v>
      </c>
      <c r="T6346" s="16">
        <f t="shared" si="595"/>
        <v>-3.9483872761698249E-2</v>
      </c>
    </row>
    <row r="6347" spans="7:20" ht="14.4" x14ac:dyDescent="0.25">
      <c r="G6347" s="10">
        <v>4021</v>
      </c>
      <c r="H6347" s="9">
        <v>28738</v>
      </c>
      <c r="I6347" s="14">
        <f>DATE(2012,12,31)-143</f>
        <v>41131</v>
      </c>
      <c r="J6347" s="15" t="s">
        <v>16</v>
      </c>
      <c r="K6347" s="9">
        <v>2</v>
      </c>
      <c r="L6347" s="16" t="s">
        <v>26</v>
      </c>
      <c r="M6347" s="16">
        <f t="shared" si="591"/>
        <v>-1.627858735003791</v>
      </c>
      <c r="N6347">
        <f t="shared" si="592"/>
        <v>0</v>
      </c>
      <c r="O6347">
        <f t="shared" si="593"/>
        <v>0</v>
      </c>
      <c r="P6347">
        <f t="shared" si="590"/>
        <v>3500</v>
      </c>
      <c r="Q6347">
        <f t="shared" si="594"/>
        <v>3500</v>
      </c>
      <c r="T6347" s="16">
        <f t="shared" si="595"/>
        <v>-1.6278587350037912</v>
      </c>
    </row>
    <row r="6348" spans="7:20" ht="14.4" x14ac:dyDescent="0.25">
      <c r="G6348" s="10">
        <v>4022</v>
      </c>
      <c r="H6348" s="9">
        <v>28738</v>
      </c>
      <c r="I6348" s="14">
        <f>DATE(2012,12,31)-143</f>
        <v>41131</v>
      </c>
      <c r="J6348" s="15" t="s">
        <v>16</v>
      </c>
      <c r="K6348" s="9">
        <v>10</v>
      </c>
      <c r="L6348" s="16" t="s">
        <v>26</v>
      </c>
      <c r="M6348" s="16">
        <f t="shared" si="591"/>
        <v>-1.0753805220500194</v>
      </c>
      <c r="N6348">
        <f t="shared" si="592"/>
        <v>0</v>
      </c>
      <c r="O6348">
        <f t="shared" si="593"/>
        <v>0</v>
      </c>
      <c r="P6348">
        <f t="shared" ref="P6348:P6411" si="596">50*K6348+$P$10</f>
        <v>3900</v>
      </c>
      <c r="Q6348">
        <f t="shared" si="594"/>
        <v>3900</v>
      </c>
      <c r="T6348" s="16">
        <f t="shared" si="595"/>
        <v>-1.0753805220500199</v>
      </c>
    </row>
    <row r="6349" spans="7:20" ht="14.4" x14ac:dyDescent="0.25">
      <c r="G6349" s="10">
        <v>4083</v>
      </c>
      <c r="H6349" s="9">
        <v>29120</v>
      </c>
      <c r="I6349" s="14">
        <f>DATE(2012,12,31)-964</f>
        <v>40310</v>
      </c>
      <c r="J6349" s="15" t="s">
        <v>25</v>
      </c>
      <c r="K6349" s="9">
        <v>43</v>
      </c>
      <c r="L6349" s="16" t="s">
        <v>26</v>
      </c>
      <c r="M6349" s="16">
        <f t="shared" ref="M6349:M6412" si="597">(K6349-$K$4)/$K$7</f>
        <v>1.203592106384288</v>
      </c>
      <c r="N6349">
        <f t="shared" ref="N6349:N6412" si="598">IF(MOD($B$20+G6349,1000)=0,1,0)</f>
        <v>0</v>
      </c>
      <c r="O6349">
        <f t="shared" ref="O6349:O6412" si="599">+ROUND(N6349*(IF(K6349&lt;$K$4,-4.5,10.5)*$P$5),-2)</f>
        <v>0</v>
      </c>
      <c r="P6349">
        <f t="shared" si="596"/>
        <v>5550</v>
      </c>
      <c r="Q6349">
        <f t="shared" ref="Q6349:Q6412" si="600">P6349+O6349</f>
        <v>5550</v>
      </c>
      <c r="T6349" s="16">
        <f t="shared" ref="T6349:T6412" si="601">(Q6349-$P$4)/$P$5</f>
        <v>1.2035921063842876</v>
      </c>
    </row>
    <row r="6350" spans="7:20" ht="14.4" x14ac:dyDescent="0.25">
      <c r="G6350" s="10">
        <v>4084</v>
      </c>
      <c r="H6350" s="9">
        <v>29120</v>
      </c>
      <c r="I6350" s="14">
        <f>DATE(2012,12,31)-964</f>
        <v>40310</v>
      </c>
      <c r="J6350" s="15" t="s">
        <v>25</v>
      </c>
      <c r="K6350" s="9">
        <v>21</v>
      </c>
      <c r="L6350" s="16" t="s">
        <v>29</v>
      </c>
      <c r="M6350" s="16">
        <f t="shared" si="597"/>
        <v>-0.31572297923858361</v>
      </c>
      <c r="N6350">
        <f t="shared" si="598"/>
        <v>0</v>
      </c>
      <c r="O6350">
        <f t="shared" si="599"/>
        <v>0</v>
      </c>
      <c r="P6350">
        <f t="shared" si="596"/>
        <v>4450</v>
      </c>
      <c r="Q6350">
        <f t="shared" si="600"/>
        <v>4450</v>
      </c>
      <c r="T6350" s="16">
        <f t="shared" si="601"/>
        <v>-0.315722979238584</v>
      </c>
    </row>
    <row r="6351" spans="7:20" ht="14.4" x14ac:dyDescent="0.25">
      <c r="G6351" s="10">
        <v>4157</v>
      </c>
      <c r="H6351" s="9">
        <v>29504</v>
      </c>
      <c r="I6351" s="14">
        <f>DATE(2012,12,31)-830</f>
        <v>40444</v>
      </c>
      <c r="J6351" s="15" t="s">
        <v>28</v>
      </c>
      <c r="K6351" s="9">
        <v>20</v>
      </c>
      <c r="L6351" s="16" t="s">
        <v>29</v>
      </c>
      <c r="M6351" s="16">
        <f t="shared" si="597"/>
        <v>-0.38478275585780503</v>
      </c>
      <c r="N6351">
        <f t="shared" si="598"/>
        <v>0</v>
      </c>
      <c r="O6351">
        <f t="shared" si="599"/>
        <v>0</v>
      </c>
      <c r="P6351">
        <f t="shared" si="596"/>
        <v>4400</v>
      </c>
      <c r="Q6351">
        <f t="shared" si="600"/>
        <v>4400</v>
      </c>
      <c r="T6351" s="16">
        <f t="shared" si="601"/>
        <v>-0.38478275585780541</v>
      </c>
    </row>
    <row r="6352" spans="7:20" ht="14.4" x14ac:dyDescent="0.25">
      <c r="G6352" s="10">
        <v>4158</v>
      </c>
      <c r="H6352" s="9">
        <v>29504</v>
      </c>
      <c r="I6352" s="14">
        <f>DATE(2012,12,31)-830</f>
        <v>40444</v>
      </c>
      <c r="J6352" s="15" t="s">
        <v>28</v>
      </c>
      <c r="K6352" s="9">
        <v>34</v>
      </c>
      <c r="L6352" s="16" t="s">
        <v>26</v>
      </c>
      <c r="M6352" s="16">
        <f t="shared" si="597"/>
        <v>0.58205411681129504</v>
      </c>
      <c r="N6352">
        <f t="shared" si="598"/>
        <v>0</v>
      </c>
      <c r="O6352">
        <f t="shared" si="599"/>
        <v>0</v>
      </c>
      <c r="P6352">
        <f t="shared" si="596"/>
        <v>5100</v>
      </c>
      <c r="Q6352">
        <f t="shared" si="600"/>
        <v>5100</v>
      </c>
      <c r="T6352" s="16">
        <f t="shared" si="601"/>
        <v>0.58205411681129471</v>
      </c>
    </row>
    <row r="6353" spans="7:20" ht="14.4" x14ac:dyDescent="0.25">
      <c r="G6353" s="10">
        <v>4300</v>
      </c>
      <c r="H6353" s="9">
        <v>30625</v>
      </c>
      <c r="I6353" s="14">
        <f>DATE(2012,12,31)-1057</f>
        <v>40217</v>
      </c>
      <c r="J6353" s="15" t="s">
        <v>30</v>
      </c>
      <c r="K6353" s="9">
        <v>37</v>
      </c>
      <c r="L6353" s="16" t="s">
        <v>26</v>
      </c>
      <c r="M6353" s="16">
        <f t="shared" si="597"/>
        <v>0.78923344666895934</v>
      </c>
      <c r="N6353">
        <f t="shared" si="598"/>
        <v>0</v>
      </c>
      <c r="O6353">
        <f t="shared" si="599"/>
        <v>0</v>
      </c>
      <c r="P6353">
        <f t="shared" si="596"/>
        <v>5250</v>
      </c>
      <c r="Q6353">
        <f t="shared" si="600"/>
        <v>5250</v>
      </c>
      <c r="T6353" s="16">
        <f t="shared" si="601"/>
        <v>0.789233446668959</v>
      </c>
    </row>
    <row r="6354" spans="7:20" ht="14.4" x14ac:dyDescent="0.25">
      <c r="G6354" s="10">
        <v>4301</v>
      </c>
      <c r="H6354" s="9">
        <v>30625</v>
      </c>
      <c r="I6354" s="14">
        <f>DATE(2012,12,31)-1057</f>
        <v>40217</v>
      </c>
      <c r="J6354" s="15" t="s">
        <v>30</v>
      </c>
      <c r="K6354" s="9">
        <v>24</v>
      </c>
      <c r="L6354" s="16" t="s">
        <v>29</v>
      </c>
      <c r="M6354" s="16">
        <f t="shared" si="597"/>
        <v>-0.1085436493809193</v>
      </c>
      <c r="N6354">
        <f t="shared" si="598"/>
        <v>0</v>
      </c>
      <c r="O6354">
        <f t="shared" si="599"/>
        <v>0</v>
      </c>
      <c r="P6354">
        <f t="shared" si="596"/>
        <v>4600</v>
      </c>
      <c r="Q6354">
        <f t="shared" si="600"/>
        <v>4600</v>
      </c>
      <c r="T6354" s="16">
        <f t="shared" si="601"/>
        <v>-0.10854364938091969</v>
      </c>
    </row>
    <row r="6355" spans="7:20" ht="14.4" x14ac:dyDescent="0.25">
      <c r="G6355" s="10">
        <v>4376</v>
      </c>
      <c r="H6355" s="9">
        <v>31174</v>
      </c>
      <c r="I6355" s="14">
        <f>DATE(2012,12,31)-1376</f>
        <v>39898</v>
      </c>
      <c r="J6355" s="15" t="s">
        <v>28</v>
      </c>
      <c r="K6355" s="9">
        <v>20</v>
      </c>
      <c r="L6355" s="16" t="s">
        <v>26</v>
      </c>
      <c r="M6355" s="16">
        <f t="shared" si="597"/>
        <v>-0.38478275585780503</v>
      </c>
      <c r="N6355">
        <f t="shared" si="598"/>
        <v>0</v>
      </c>
      <c r="O6355">
        <f t="shared" si="599"/>
        <v>0</v>
      </c>
      <c r="P6355">
        <f t="shared" si="596"/>
        <v>4400</v>
      </c>
      <c r="Q6355">
        <f t="shared" si="600"/>
        <v>4400</v>
      </c>
      <c r="T6355" s="16">
        <f t="shared" si="601"/>
        <v>-0.38478275585780541</v>
      </c>
    </row>
    <row r="6356" spans="7:20" ht="14.4" x14ac:dyDescent="0.25">
      <c r="G6356" s="10">
        <v>4377</v>
      </c>
      <c r="H6356" s="9">
        <v>31174</v>
      </c>
      <c r="I6356" s="14">
        <f>DATE(2012,12,31)-1376</f>
        <v>39898</v>
      </c>
      <c r="J6356" s="15" t="s">
        <v>28</v>
      </c>
      <c r="K6356" s="9">
        <v>29</v>
      </c>
      <c r="L6356" s="16" t="s">
        <v>26</v>
      </c>
      <c r="M6356" s="16">
        <f t="shared" si="597"/>
        <v>0.23675523371518786</v>
      </c>
      <c r="N6356">
        <f t="shared" si="598"/>
        <v>0</v>
      </c>
      <c r="O6356">
        <f t="shared" si="599"/>
        <v>0</v>
      </c>
      <c r="P6356">
        <f t="shared" si="596"/>
        <v>4850</v>
      </c>
      <c r="Q6356">
        <f t="shared" si="600"/>
        <v>4850</v>
      </c>
      <c r="T6356" s="16">
        <f t="shared" si="601"/>
        <v>0.2367552337151875</v>
      </c>
    </row>
    <row r="6357" spans="7:20" ht="14.4" x14ac:dyDescent="0.25">
      <c r="G6357" s="10">
        <v>4397</v>
      </c>
      <c r="H6357" s="9">
        <v>31302</v>
      </c>
      <c r="I6357" s="14">
        <f>DATE(2012,12,31)-152</f>
        <v>41122</v>
      </c>
      <c r="J6357" s="15" t="s">
        <v>17</v>
      </c>
      <c r="K6357" s="9">
        <v>41</v>
      </c>
      <c r="L6357" s="16" t="s">
        <v>27</v>
      </c>
      <c r="M6357" s="16">
        <f t="shared" si="597"/>
        <v>1.0654725531458451</v>
      </c>
      <c r="N6357">
        <f t="shared" si="598"/>
        <v>0</v>
      </c>
      <c r="O6357">
        <f t="shared" si="599"/>
        <v>0</v>
      </c>
      <c r="P6357">
        <f t="shared" si="596"/>
        <v>5450</v>
      </c>
      <c r="Q6357">
        <f t="shared" si="600"/>
        <v>5450</v>
      </c>
      <c r="T6357" s="16">
        <f t="shared" si="601"/>
        <v>1.0654725531458447</v>
      </c>
    </row>
    <row r="6358" spans="7:20" ht="14.4" x14ac:dyDescent="0.25">
      <c r="G6358" s="10">
        <v>4490</v>
      </c>
      <c r="H6358" s="9">
        <v>31973</v>
      </c>
      <c r="I6358" s="14">
        <f>DATE(2012,12,31)-599</f>
        <v>40675</v>
      </c>
      <c r="J6358" s="15" t="s">
        <v>28</v>
      </c>
      <c r="K6358" s="9">
        <v>15</v>
      </c>
      <c r="L6358" s="16" t="s">
        <v>29</v>
      </c>
      <c r="M6358" s="16">
        <f t="shared" si="597"/>
        <v>-0.7300816389539122</v>
      </c>
      <c r="N6358">
        <f t="shared" si="598"/>
        <v>0</v>
      </c>
      <c r="O6358">
        <f t="shared" si="599"/>
        <v>0</v>
      </c>
      <c r="P6358">
        <f t="shared" si="596"/>
        <v>4150</v>
      </c>
      <c r="Q6358">
        <f t="shared" si="600"/>
        <v>4150</v>
      </c>
      <c r="T6358" s="16">
        <f t="shared" si="601"/>
        <v>-0.73008163895391265</v>
      </c>
    </row>
    <row r="6359" spans="7:20" ht="14.4" x14ac:dyDescent="0.25">
      <c r="G6359" s="10">
        <v>4491</v>
      </c>
      <c r="H6359" s="9">
        <v>31973</v>
      </c>
      <c r="I6359" s="14">
        <f>DATE(2012,12,31)-599</f>
        <v>40675</v>
      </c>
      <c r="J6359" s="15" t="s">
        <v>28</v>
      </c>
      <c r="K6359" s="9">
        <v>16</v>
      </c>
      <c r="L6359" s="16" t="s">
        <v>26</v>
      </c>
      <c r="M6359" s="16">
        <f t="shared" si="597"/>
        <v>-0.66102186233469074</v>
      </c>
      <c r="N6359">
        <f t="shared" si="598"/>
        <v>0</v>
      </c>
      <c r="O6359">
        <f t="shared" si="599"/>
        <v>0</v>
      </c>
      <c r="P6359">
        <f t="shared" si="596"/>
        <v>4200</v>
      </c>
      <c r="Q6359">
        <f t="shared" si="600"/>
        <v>4200</v>
      </c>
      <c r="T6359" s="16">
        <f t="shared" si="601"/>
        <v>-0.66102186233469118</v>
      </c>
    </row>
    <row r="6360" spans="7:20" ht="14.4" x14ac:dyDescent="0.25">
      <c r="G6360" s="10">
        <v>4511</v>
      </c>
      <c r="H6360" s="9">
        <v>32101</v>
      </c>
      <c r="I6360" s="14">
        <f>DATE(2012,12,31)-1101</f>
        <v>40173</v>
      </c>
      <c r="J6360" s="15" t="s">
        <v>25</v>
      </c>
      <c r="K6360" s="9">
        <v>48</v>
      </c>
      <c r="L6360" s="16" t="s">
        <v>29</v>
      </c>
      <c r="M6360" s="16">
        <f t="shared" si="597"/>
        <v>1.5488909894803951</v>
      </c>
      <c r="N6360">
        <f t="shared" si="598"/>
        <v>0</v>
      </c>
      <c r="O6360">
        <f t="shared" si="599"/>
        <v>0</v>
      </c>
      <c r="P6360">
        <f t="shared" si="596"/>
        <v>5800</v>
      </c>
      <c r="Q6360">
        <f t="shared" si="600"/>
        <v>5800</v>
      </c>
      <c r="T6360" s="16">
        <f t="shared" si="601"/>
        <v>1.5488909894803948</v>
      </c>
    </row>
    <row r="6361" spans="7:20" ht="14.4" x14ac:dyDescent="0.25">
      <c r="G6361" s="10">
        <v>4625</v>
      </c>
      <c r="H6361" s="9">
        <v>32929</v>
      </c>
      <c r="I6361" s="14">
        <f>DATE(2012,12,31)-609</f>
        <v>40665</v>
      </c>
      <c r="J6361" s="15" t="s">
        <v>25</v>
      </c>
      <c r="K6361" s="9">
        <v>8</v>
      </c>
      <c r="L6361" s="16" t="s">
        <v>26</v>
      </c>
      <c r="M6361" s="16">
        <f t="shared" si="597"/>
        <v>-1.2135000752884624</v>
      </c>
      <c r="N6361">
        <f t="shared" si="598"/>
        <v>0</v>
      </c>
      <c r="O6361">
        <f t="shared" si="599"/>
        <v>0</v>
      </c>
      <c r="P6361">
        <f t="shared" si="596"/>
        <v>3800</v>
      </c>
      <c r="Q6361">
        <f t="shared" si="600"/>
        <v>3800</v>
      </c>
      <c r="T6361" s="16">
        <f t="shared" si="601"/>
        <v>-1.2135000752884626</v>
      </c>
    </row>
    <row r="6362" spans="7:20" ht="14.4" x14ac:dyDescent="0.25">
      <c r="G6362" s="10">
        <v>4626</v>
      </c>
      <c r="H6362" s="9">
        <v>32929</v>
      </c>
      <c r="I6362" s="14">
        <f>DATE(2012,12,31)-609</f>
        <v>40665</v>
      </c>
      <c r="J6362" s="15" t="s">
        <v>25</v>
      </c>
      <c r="K6362" s="9">
        <v>13</v>
      </c>
      <c r="L6362" s="16" t="s">
        <v>26</v>
      </c>
      <c r="M6362" s="16">
        <f t="shared" si="597"/>
        <v>-0.86820119219235514</v>
      </c>
      <c r="N6362">
        <f t="shared" si="598"/>
        <v>0</v>
      </c>
      <c r="O6362">
        <f t="shared" si="599"/>
        <v>0</v>
      </c>
      <c r="P6362">
        <f t="shared" si="596"/>
        <v>4050</v>
      </c>
      <c r="Q6362">
        <f t="shared" si="600"/>
        <v>4050</v>
      </c>
      <c r="T6362" s="16">
        <f t="shared" si="601"/>
        <v>-0.86820119219235548</v>
      </c>
    </row>
    <row r="6363" spans="7:20" ht="14.4" x14ac:dyDescent="0.25">
      <c r="G6363" s="10">
        <v>4690</v>
      </c>
      <c r="H6363" s="9">
        <v>33414</v>
      </c>
      <c r="I6363" s="14">
        <f>DATE(2012,12,31)-325</f>
        <v>40949</v>
      </c>
      <c r="J6363" s="15" t="s">
        <v>28</v>
      </c>
      <c r="K6363" s="9">
        <v>9</v>
      </c>
      <c r="L6363" s="16" t="s">
        <v>26</v>
      </c>
      <c r="M6363" s="16">
        <f t="shared" si="597"/>
        <v>-1.1444402986692408</v>
      </c>
      <c r="N6363">
        <f t="shared" si="598"/>
        <v>0</v>
      </c>
      <c r="O6363">
        <f t="shared" si="599"/>
        <v>0</v>
      </c>
      <c r="P6363">
        <f t="shared" si="596"/>
        <v>3850</v>
      </c>
      <c r="Q6363">
        <f t="shared" si="600"/>
        <v>3850</v>
      </c>
      <c r="T6363" s="16">
        <f t="shared" si="601"/>
        <v>-1.1444402986692412</v>
      </c>
    </row>
    <row r="6364" spans="7:20" ht="14.4" x14ac:dyDescent="0.25">
      <c r="G6364" s="10">
        <v>4860</v>
      </c>
      <c r="H6364" s="9">
        <v>34596</v>
      </c>
      <c r="I6364" s="14">
        <f>DATE(2012,12,31)-488</f>
        <v>40786</v>
      </c>
      <c r="J6364" s="15" t="s">
        <v>30</v>
      </c>
      <c r="K6364" s="9">
        <v>39</v>
      </c>
      <c r="L6364" s="16" t="s">
        <v>26</v>
      </c>
      <c r="M6364" s="16">
        <f t="shared" si="597"/>
        <v>0.92735299990740228</v>
      </c>
      <c r="N6364">
        <f t="shared" si="598"/>
        <v>0</v>
      </c>
      <c r="O6364">
        <f t="shared" si="599"/>
        <v>0</v>
      </c>
      <c r="P6364">
        <f t="shared" si="596"/>
        <v>5350</v>
      </c>
      <c r="Q6364">
        <f t="shared" si="600"/>
        <v>5350</v>
      </c>
      <c r="T6364" s="16">
        <f t="shared" si="601"/>
        <v>0.92735299990740183</v>
      </c>
    </row>
    <row r="6365" spans="7:20" ht="14.4" x14ac:dyDescent="0.25">
      <c r="G6365" s="10">
        <v>4984</v>
      </c>
      <c r="H6365" s="9">
        <v>35457</v>
      </c>
      <c r="I6365" s="14">
        <f>DATE(2012,12,31)-1120</f>
        <v>40154</v>
      </c>
      <c r="J6365" s="15" t="s">
        <v>25</v>
      </c>
      <c r="K6365" s="9">
        <v>45</v>
      </c>
      <c r="L6365" s="16" t="s">
        <v>26</v>
      </c>
      <c r="M6365" s="16">
        <f t="shared" si="597"/>
        <v>1.3417116596227308</v>
      </c>
      <c r="N6365">
        <f t="shared" si="598"/>
        <v>0</v>
      </c>
      <c r="O6365">
        <f t="shared" si="599"/>
        <v>0</v>
      </c>
      <c r="P6365">
        <f t="shared" si="596"/>
        <v>5650</v>
      </c>
      <c r="Q6365">
        <f t="shared" si="600"/>
        <v>5650</v>
      </c>
      <c r="T6365" s="16">
        <f t="shared" si="601"/>
        <v>1.3417116596227305</v>
      </c>
    </row>
    <row r="6366" spans="7:20" ht="14.4" x14ac:dyDescent="0.25">
      <c r="G6366" s="10">
        <v>5046</v>
      </c>
      <c r="H6366" s="9">
        <v>35940</v>
      </c>
      <c r="I6366" s="14">
        <f>DATE(2012,12,31)-949</f>
        <v>40325</v>
      </c>
      <c r="J6366" s="15" t="s">
        <v>30</v>
      </c>
      <c r="K6366" s="9">
        <v>47</v>
      </c>
      <c r="L6366" s="16" t="s">
        <v>26</v>
      </c>
      <c r="M6366" s="16">
        <f t="shared" si="597"/>
        <v>1.4798312128611737</v>
      </c>
      <c r="N6366">
        <f t="shared" si="598"/>
        <v>0</v>
      </c>
      <c r="O6366">
        <f t="shared" si="599"/>
        <v>0</v>
      </c>
      <c r="P6366">
        <f t="shared" si="596"/>
        <v>5750</v>
      </c>
      <c r="Q6366">
        <f t="shared" si="600"/>
        <v>5750</v>
      </c>
      <c r="T6366" s="16">
        <f t="shared" si="601"/>
        <v>1.4798312128611733</v>
      </c>
    </row>
    <row r="6367" spans="7:20" ht="14.4" x14ac:dyDescent="0.25">
      <c r="G6367" s="10">
        <v>5115</v>
      </c>
      <c r="H6367" s="9">
        <v>36449</v>
      </c>
      <c r="I6367" s="14">
        <f>DATE(2012,12,31)-848</f>
        <v>40426</v>
      </c>
      <c r="J6367" s="15" t="s">
        <v>28</v>
      </c>
      <c r="K6367" s="9">
        <v>43</v>
      </c>
      <c r="L6367" s="16" t="s">
        <v>29</v>
      </c>
      <c r="M6367" s="16">
        <f t="shared" si="597"/>
        <v>1.203592106384288</v>
      </c>
      <c r="N6367">
        <f t="shared" si="598"/>
        <v>0</v>
      </c>
      <c r="O6367">
        <f t="shared" si="599"/>
        <v>0</v>
      </c>
      <c r="P6367">
        <f t="shared" si="596"/>
        <v>5550</v>
      </c>
      <c r="Q6367">
        <f t="shared" si="600"/>
        <v>5550</v>
      </c>
      <c r="T6367" s="16">
        <f t="shared" si="601"/>
        <v>1.2035921063842876</v>
      </c>
    </row>
    <row r="6368" spans="7:20" ht="14.4" x14ac:dyDescent="0.25">
      <c r="G6368" s="10">
        <v>5116</v>
      </c>
      <c r="H6368" s="9">
        <v>36449</v>
      </c>
      <c r="I6368" s="14">
        <f>DATE(2012,12,31)-848</f>
        <v>40426</v>
      </c>
      <c r="J6368" s="15" t="s">
        <v>28</v>
      </c>
      <c r="K6368" s="9">
        <v>27</v>
      </c>
      <c r="L6368" s="16" t="s">
        <v>26</v>
      </c>
      <c r="M6368" s="16">
        <f t="shared" si="597"/>
        <v>9.8635680476745008E-2</v>
      </c>
      <c r="N6368">
        <f t="shared" si="598"/>
        <v>0</v>
      </c>
      <c r="O6368">
        <f t="shared" si="599"/>
        <v>0</v>
      </c>
      <c r="P6368">
        <f t="shared" si="596"/>
        <v>4750</v>
      </c>
      <c r="Q6368">
        <f t="shared" si="600"/>
        <v>4750</v>
      </c>
      <c r="T6368" s="16">
        <f t="shared" si="601"/>
        <v>9.8635680476744619E-2</v>
      </c>
    </row>
    <row r="6369" spans="7:20" ht="14.4" x14ac:dyDescent="0.25">
      <c r="G6369" s="10">
        <v>5242</v>
      </c>
      <c r="H6369" s="9">
        <v>37313</v>
      </c>
      <c r="I6369" s="14">
        <f>DATE(2012,12,31)-182</f>
        <v>41092</v>
      </c>
      <c r="J6369" s="15" t="s">
        <v>28</v>
      </c>
      <c r="K6369" s="9">
        <v>44</v>
      </c>
      <c r="L6369" s="16" t="s">
        <v>29</v>
      </c>
      <c r="M6369" s="16">
        <f t="shared" si="597"/>
        <v>1.2726518830035094</v>
      </c>
      <c r="N6369">
        <f t="shared" si="598"/>
        <v>0</v>
      </c>
      <c r="O6369">
        <f t="shared" si="599"/>
        <v>0</v>
      </c>
      <c r="P6369">
        <f t="shared" si="596"/>
        <v>5600</v>
      </c>
      <c r="Q6369">
        <f t="shared" si="600"/>
        <v>5600</v>
      </c>
      <c r="T6369" s="16">
        <f t="shared" si="601"/>
        <v>1.272651883003509</v>
      </c>
    </row>
    <row r="6370" spans="7:20" ht="14.4" x14ac:dyDescent="0.25">
      <c r="G6370" s="10">
        <v>5243</v>
      </c>
      <c r="H6370" s="9">
        <v>37313</v>
      </c>
      <c r="I6370" s="14">
        <f>DATE(2012,12,31)-182</f>
        <v>41092</v>
      </c>
      <c r="J6370" s="15" t="s">
        <v>28</v>
      </c>
      <c r="K6370" s="9">
        <v>17</v>
      </c>
      <c r="L6370" s="16" t="s">
        <v>27</v>
      </c>
      <c r="M6370" s="16">
        <f t="shared" si="597"/>
        <v>-0.59196208571546938</v>
      </c>
      <c r="N6370">
        <f t="shared" si="598"/>
        <v>0</v>
      </c>
      <c r="O6370">
        <f t="shared" si="599"/>
        <v>0</v>
      </c>
      <c r="P6370">
        <f t="shared" si="596"/>
        <v>4250</v>
      </c>
      <c r="Q6370">
        <f t="shared" si="600"/>
        <v>4250</v>
      </c>
      <c r="T6370" s="16">
        <f t="shared" si="601"/>
        <v>-0.59196208571546971</v>
      </c>
    </row>
    <row r="6371" spans="7:20" ht="14.4" x14ac:dyDescent="0.25">
      <c r="G6371" s="10">
        <v>5249</v>
      </c>
      <c r="H6371" s="9">
        <v>37348</v>
      </c>
      <c r="I6371" s="14">
        <f>DATE(2012,12,31)-1297</f>
        <v>39977</v>
      </c>
      <c r="J6371" s="15" t="s">
        <v>17</v>
      </c>
      <c r="K6371" s="9">
        <v>33</v>
      </c>
      <c r="L6371" s="16" t="s">
        <v>26</v>
      </c>
      <c r="M6371" s="16">
        <f t="shared" si="597"/>
        <v>0.51299434019207357</v>
      </c>
      <c r="N6371">
        <f t="shared" si="598"/>
        <v>0</v>
      </c>
      <c r="O6371">
        <f t="shared" si="599"/>
        <v>0</v>
      </c>
      <c r="P6371">
        <f t="shared" si="596"/>
        <v>5050</v>
      </c>
      <c r="Q6371">
        <f t="shared" si="600"/>
        <v>5050</v>
      </c>
      <c r="T6371" s="16">
        <f t="shared" si="601"/>
        <v>0.51299434019207324</v>
      </c>
    </row>
    <row r="6372" spans="7:20" ht="14.4" x14ac:dyDescent="0.25">
      <c r="G6372" s="10">
        <v>5271</v>
      </c>
      <c r="H6372" s="9">
        <v>37510</v>
      </c>
      <c r="I6372" s="14">
        <f>DATE(2012,12,31)-1394</f>
        <v>39880</v>
      </c>
      <c r="J6372" s="15" t="s">
        <v>30</v>
      </c>
      <c r="K6372" s="9">
        <v>15</v>
      </c>
      <c r="L6372" s="16" t="s">
        <v>26</v>
      </c>
      <c r="M6372" s="16">
        <f t="shared" si="597"/>
        <v>-0.7300816389539122</v>
      </c>
      <c r="N6372">
        <f t="shared" si="598"/>
        <v>0</v>
      </c>
      <c r="O6372">
        <f t="shared" si="599"/>
        <v>0</v>
      </c>
      <c r="P6372">
        <f t="shared" si="596"/>
        <v>4150</v>
      </c>
      <c r="Q6372">
        <f t="shared" si="600"/>
        <v>4150</v>
      </c>
      <c r="T6372" s="16">
        <f t="shared" si="601"/>
        <v>-0.73008163895391265</v>
      </c>
    </row>
    <row r="6373" spans="7:20" ht="14.4" x14ac:dyDescent="0.25">
      <c r="G6373" s="10">
        <v>5304</v>
      </c>
      <c r="H6373" s="9">
        <v>37762</v>
      </c>
      <c r="I6373" s="14">
        <f>DATE(2012,12,31)-208</f>
        <v>41066</v>
      </c>
      <c r="J6373" s="15" t="s">
        <v>16</v>
      </c>
      <c r="K6373" s="9">
        <v>20</v>
      </c>
      <c r="L6373" s="16" t="s">
        <v>26</v>
      </c>
      <c r="M6373" s="16">
        <f t="shared" si="597"/>
        <v>-0.38478275585780503</v>
      </c>
      <c r="N6373">
        <f t="shared" si="598"/>
        <v>0</v>
      </c>
      <c r="O6373">
        <f t="shared" si="599"/>
        <v>0</v>
      </c>
      <c r="P6373">
        <f t="shared" si="596"/>
        <v>4400</v>
      </c>
      <c r="Q6373">
        <f t="shared" si="600"/>
        <v>4400</v>
      </c>
      <c r="T6373" s="16">
        <f t="shared" si="601"/>
        <v>-0.38478275585780541</v>
      </c>
    </row>
    <row r="6374" spans="7:20" ht="14.4" x14ac:dyDescent="0.25">
      <c r="G6374" s="10">
        <v>5439</v>
      </c>
      <c r="H6374" s="9">
        <v>38628</v>
      </c>
      <c r="I6374" s="14">
        <f>DATE(2012,12,31)-429</f>
        <v>40845</v>
      </c>
      <c r="J6374" s="15" t="s">
        <v>25</v>
      </c>
      <c r="K6374" s="9">
        <v>23</v>
      </c>
      <c r="L6374" s="16" t="s">
        <v>27</v>
      </c>
      <c r="M6374" s="16">
        <f t="shared" si="597"/>
        <v>-0.17760342600014073</v>
      </c>
      <c r="N6374">
        <f t="shared" si="598"/>
        <v>0</v>
      </c>
      <c r="O6374">
        <f t="shared" si="599"/>
        <v>0</v>
      </c>
      <c r="P6374">
        <f t="shared" si="596"/>
        <v>4550</v>
      </c>
      <c r="Q6374">
        <f t="shared" si="600"/>
        <v>4550</v>
      </c>
      <c r="T6374" s="16">
        <f t="shared" si="601"/>
        <v>-0.17760342600014112</v>
      </c>
    </row>
    <row r="6375" spans="7:20" ht="14.4" x14ac:dyDescent="0.25">
      <c r="G6375" s="10">
        <v>5465</v>
      </c>
      <c r="H6375" s="9">
        <v>38848</v>
      </c>
      <c r="I6375" s="14">
        <f>DATE(2012,12,31)-15</f>
        <v>41259</v>
      </c>
      <c r="J6375" s="15" t="s">
        <v>17</v>
      </c>
      <c r="K6375" s="9">
        <v>6</v>
      </c>
      <c r="L6375" s="16" t="s">
        <v>26</v>
      </c>
      <c r="M6375" s="16">
        <f t="shared" si="597"/>
        <v>-1.3516196285269051</v>
      </c>
      <c r="N6375">
        <f t="shared" si="598"/>
        <v>0</v>
      </c>
      <c r="O6375">
        <f t="shared" si="599"/>
        <v>0</v>
      </c>
      <c r="P6375">
        <f t="shared" si="596"/>
        <v>3700</v>
      </c>
      <c r="Q6375">
        <f t="shared" si="600"/>
        <v>3700</v>
      </c>
      <c r="T6375" s="16">
        <f t="shared" si="601"/>
        <v>-1.3516196285269055</v>
      </c>
    </row>
    <row r="6376" spans="7:20" ht="14.4" x14ac:dyDescent="0.25">
      <c r="G6376" s="10">
        <v>5490</v>
      </c>
      <c r="H6376" s="9">
        <v>38950</v>
      </c>
      <c r="I6376" s="14">
        <f>DATE(2012,12,31)-548</f>
        <v>40726</v>
      </c>
      <c r="J6376" s="15" t="s">
        <v>28</v>
      </c>
      <c r="K6376" s="9">
        <v>24</v>
      </c>
      <c r="L6376" s="16" t="s">
        <v>26</v>
      </c>
      <c r="M6376" s="16">
        <f t="shared" si="597"/>
        <v>-0.1085436493809193</v>
      </c>
      <c r="N6376">
        <f t="shared" si="598"/>
        <v>0</v>
      </c>
      <c r="O6376">
        <f t="shared" si="599"/>
        <v>0</v>
      </c>
      <c r="P6376">
        <f t="shared" si="596"/>
        <v>4600</v>
      </c>
      <c r="Q6376">
        <f t="shared" si="600"/>
        <v>4600</v>
      </c>
      <c r="T6376" s="16">
        <f t="shared" si="601"/>
        <v>-0.10854364938091969</v>
      </c>
    </row>
    <row r="6377" spans="7:20" ht="14.4" x14ac:dyDescent="0.25">
      <c r="G6377" s="10">
        <v>5491</v>
      </c>
      <c r="H6377" s="9">
        <v>38950</v>
      </c>
      <c r="I6377" s="14">
        <f>DATE(2012,12,31)-548</f>
        <v>40726</v>
      </c>
      <c r="J6377" s="15" t="s">
        <v>28</v>
      </c>
      <c r="K6377" s="9">
        <v>39</v>
      </c>
      <c r="L6377" s="16" t="s">
        <v>26</v>
      </c>
      <c r="M6377" s="16">
        <f t="shared" si="597"/>
        <v>0.92735299990740228</v>
      </c>
      <c r="N6377">
        <f t="shared" si="598"/>
        <v>0</v>
      </c>
      <c r="O6377">
        <f t="shared" si="599"/>
        <v>0</v>
      </c>
      <c r="P6377">
        <f t="shared" si="596"/>
        <v>5350</v>
      </c>
      <c r="Q6377">
        <f t="shared" si="600"/>
        <v>5350</v>
      </c>
      <c r="T6377" s="16">
        <f t="shared" si="601"/>
        <v>0.92735299990740183</v>
      </c>
    </row>
    <row r="6378" spans="7:20" ht="14.4" x14ac:dyDescent="0.25">
      <c r="G6378" s="10">
        <v>5492</v>
      </c>
      <c r="H6378" s="9">
        <v>38950</v>
      </c>
      <c r="I6378" s="14">
        <f>DATE(2012,12,31)-548</f>
        <v>40726</v>
      </c>
      <c r="J6378" s="15" t="s">
        <v>28</v>
      </c>
      <c r="K6378" s="9">
        <v>30</v>
      </c>
      <c r="L6378" s="16" t="s">
        <v>26</v>
      </c>
      <c r="M6378" s="16">
        <f t="shared" si="597"/>
        <v>0.30581501033440933</v>
      </c>
      <c r="N6378">
        <f t="shared" si="598"/>
        <v>0</v>
      </c>
      <c r="O6378">
        <f t="shared" si="599"/>
        <v>0</v>
      </c>
      <c r="P6378">
        <f t="shared" si="596"/>
        <v>4900</v>
      </c>
      <c r="Q6378">
        <f t="shared" si="600"/>
        <v>4900</v>
      </c>
      <c r="T6378" s="16">
        <f t="shared" si="601"/>
        <v>0.30581501033440894</v>
      </c>
    </row>
    <row r="6379" spans="7:20" ht="14.4" x14ac:dyDescent="0.25">
      <c r="G6379" s="10">
        <v>5578</v>
      </c>
      <c r="H6379" s="9">
        <v>39521</v>
      </c>
      <c r="I6379" s="14">
        <f>DATE(2012,12,31)-1240</f>
        <v>40034</v>
      </c>
      <c r="J6379" s="15" t="s">
        <v>25</v>
      </c>
      <c r="K6379" s="9">
        <v>28</v>
      </c>
      <c r="L6379" s="16" t="s">
        <v>26</v>
      </c>
      <c r="M6379" s="16">
        <f t="shared" si="597"/>
        <v>0.16769545709596645</v>
      </c>
      <c r="N6379">
        <f t="shared" si="598"/>
        <v>0</v>
      </c>
      <c r="O6379">
        <f t="shared" si="599"/>
        <v>0</v>
      </c>
      <c r="P6379">
        <f t="shared" si="596"/>
        <v>4800</v>
      </c>
      <c r="Q6379">
        <f t="shared" si="600"/>
        <v>4800</v>
      </c>
      <c r="T6379" s="16">
        <f t="shared" si="601"/>
        <v>0.16769545709596606</v>
      </c>
    </row>
    <row r="6380" spans="7:20" ht="14.4" x14ac:dyDescent="0.25">
      <c r="G6380" s="10">
        <v>5698</v>
      </c>
      <c r="H6380" s="9">
        <v>40289</v>
      </c>
      <c r="I6380" s="14">
        <f>DATE(2012,12,31)-35</f>
        <v>41239</v>
      </c>
      <c r="J6380" s="15" t="s">
        <v>28</v>
      </c>
      <c r="K6380" s="9">
        <v>26</v>
      </c>
      <c r="L6380" s="16" t="s">
        <v>26</v>
      </c>
      <c r="M6380" s="16">
        <f t="shared" si="597"/>
        <v>2.9575903857523567E-2</v>
      </c>
      <c r="N6380">
        <f t="shared" si="598"/>
        <v>0</v>
      </c>
      <c r="O6380">
        <f t="shared" si="599"/>
        <v>0</v>
      </c>
      <c r="P6380">
        <f t="shared" si="596"/>
        <v>4700</v>
      </c>
      <c r="Q6380">
        <f t="shared" si="600"/>
        <v>4700</v>
      </c>
      <c r="T6380" s="16">
        <f t="shared" si="601"/>
        <v>2.9575903857523185E-2</v>
      </c>
    </row>
    <row r="6381" spans="7:20" ht="14.4" x14ac:dyDescent="0.25">
      <c r="G6381" s="10">
        <v>5699</v>
      </c>
      <c r="H6381" s="9">
        <v>40289</v>
      </c>
      <c r="I6381" s="14">
        <f>DATE(2012,12,31)-35</f>
        <v>41239</v>
      </c>
      <c r="J6381" s="15" t="s">
        <v>28</v>
      </c>
      <c r="K6381" s="9">
        <v>4</v>
      </c>
      <c r="L6381" s="16" t="s">
        <v>26</v>
      </c>
      <c r="M6381" s="16">
        <f t="shared" si="597"/>
        <v>-1.489739181765348</v>
      </c>
      <c r="N6381">
        <f t="shared" si="598"/>
        <v>0</v>
      </c>
      <c r="O6381">
        <f t="shared" si="599"/>
        <v>0</v>
      </c>
      <c r="P6381">
        <f t="shared" si="596"/>
        <v>3600</v>
      </c>
      <c r="Q6381">
        <f t="shared" si="600"/>
        <v>3600</v>
      </c>
      <c r="T6381" s="16">
        <f t="shared" si="601"/>
        <v>-1.4897391817653485</v>
      </c>
    </row>
    <row r="6382" spans="7:20" ht="14.4" x14ac:dyDescent="0.25">
      <c r="G6382" s="10">
        <v>5739</v>
      </c>
      <c r="H6382" s="9">
        <v>40775</v>
      </c>
      <c r="I6382" s="14">
        <f>DATE(2012,12,31)-775</f>
        <v>40499</v>
      </c>
      <c r="J6382" s="15" t="s">
        <v>25</v>
      </c>
      <c r="K6382" s="9">
        <v>23</v>
      </c>
      <c r="L6382" s="16" t="s">
        <v>29</v>
      </c>
      <c r="M6382" s="16">
        <f t="shared" si="597"/>
        <v>-0.17760342600014073</v>
      </c>
      <c r="N6382">
        <f t="shared" si="598"/>
        <v>0</v>
      </c>
      <c r="O6382">
        <f t="shared" si="599"/>
        <v>0</v>
      </c>
      <c r="P6382">
        <f t="shared" si="596"/>
        <v>4550</v>
      </c>
      <c r="Q6382">
        <f t="shared" si="600"/>
        <v>4550</v>
      </c>
      <c r="T6382" s="16">
        <f t="shared" si="601"/>
        <v>-0.17760342600014112</v>
      </c>
    </row>
    <row r="6383" spans="7:20" ht="14.4" x14ac:dyDescent="0.25">
      <c r="G6383" s="10">
        <v>5794</v>
      </c>
      <c r="H6383" s="9">
        <v>41094</v>
      </c>
      <c r="I6383" s="14">
        <f>DATE(2012,12,31)-1455</f>
        <v>39819</v>
      </c>
      <c r="J6383" s="15" t="s">
        <v>25</v>
      </c>
      <c r="K6383" s="9">
        <v>46</v>
      </c>
      <c r="L6383" s="16" t="s">
        <v>26</v>
      </c>
      <c r="M6383" s="16">
        <f t="shared" si="597"/>
        <v>1.4107714362419523</v>
      </c>
      <c r="N6383">
        <f t="shared" si="598"/>
        <v>0</v>
      </c>
      <c r="O6383">
        <f t="shared" si="599"/>
        <v>0</v>
      </c>
      <c r="P6383">
        <f t="shared" si="596"/>
        <v>5700</v>
      </c>
      <c r="Q6383">
        <f t="shared" si="600"/>
        <v>5700</v>
      </c>
      <c r="T6383" s="16">
        <f t="shared" si="601"/>
        <v>1.4107714362419519</v>
      </c>
    </row>
    <row r="6384" spans="7:20" ht="14.4" x14ac:dyDescent="0.25">
      <c r="G6384" s="10">
        <v>5795</v>
      </c>
      <c r="H6384" s="9">
        <v>41094</v>
      </c>
      <c r="I6384" s="14">
        <f>DATE(2012,12,31)-1455</f>
        <v>39819</v>
      </c>
      <c r="J6384" s="15" t="s">
        <v>25</v>
      </c>
      <c r="K6384" s="9">
        <v>6</v>
      </c>
      <c r="L6384" s="16" t="s">
        <v>26</v>
      </c>
      <c r="M6384" s="16">
        <f t="shared" si="597"/>
        <v>-1.3516196285269051</v>
      </c>
      <c r="N6384">
        <f t="shared" si="598"/>
        <v>0</v>
      </c>
      <c r="O6384">
        <f t="shared" si="599"/>
        <v>0</v>
      </c>
      <c r="P6384">
        <f t="shared" si="596"/>
        <v>3700</v>
      </c>
      <c r="Q6384">
        <f t="shared" si="600"/>
        <v>3700</v>
      </c>
      <c r="T6384" s="16">
        <f t="shared" si="601"/>
        <v>-1.3516196285269055</v>
      </c>
    </row>
    <row r="6385" spans="7:20" ht="14.4" x14ac:dyDescent="0.25">
      <c r="G6385" s="10">
        <v>5808</v>
      </c>
      <c r="H6385" s="9">
        <v>41186</v>
      </c>
      <c r="I6385" s="14">
        <f>DATE(2012,12,31)-770</f>
        <v>40504</v>
      </c>
      <c r="J6385" s="15" t="s">
        <v>17</v>
      </c>
      <c r="K6385" s="9">
        <v>13</v>
      </c>
      <c r="L6385" s="16" t="s">
        <v>26</v>
      </c>
      <c r="M6385" s="16">
        <f t="shared" si="597"/>
        <v>-0.86820119219235514</v>
      </c>
      <c r="N6385">
        <f t="shared" si="598"/>
        <v>0</v>
      </c>
      <c r="O6385">
        <f t="shared" si="599"/>
        <v>0</v>
      </c>
      <c r="P6385">
        <f t="shared" si="596"/>
        <v>4050</v>
      </c>
      <c r="Q6385">
        <f t="shared" si="600"/>
        <v>4050</v>
      </c>
      <c r="T6385" s="16">
        <f t="shared" si="601"/>
        <v>-0.86820119219235548</v>
      </c>
    </row>
    <row r="6386" spans="7:20" ht="14.4" x14ac:dyDescent="0.25">
      <c r="G6386" s="10">
        <v>5830</v>
      </c>
      <c r="H6386" s="9">
        <v>41351</v>
      </c>
      <c r="I6386" s="14">
        <f>DATE(2012,12,31)-830</f>
        <v>40444</v>
      </c>
      <c r="J6386" s="15" t="s">
        <v>28</v>
      </c>
      <c r="K6386" s="9">
        <v>48</v>
      </c>
      <c r="L6386" s="16" t="s">
        <v>27</v>
      </c>
      <c r="M6386" s="16">
        <f t="shared" si="597"/>
        <v>1.5488909894803951</v>
      </c>
      <c r="N6386">
        <f t="shared" si="598"/>
        <v>0</v>
      </c>
      <c r="O6386">
        <f t="shared" si="599"/>
        <v>0</v>
      </c>
      <c r="P6386">
        <f t="shared" si="596"/>
        <v>5800</v>
      </c>
      <c r="Q6386">
        <f t="shared" si="600"/>
        <v>5800</v>
      </c>
      <c r="T6386" s="16">
        <f t="shared" si="601"/>
        <v>1.5488909894803948</v>
      </c>
    </row>
    <row r="6387" spans="7:20" ht="14.4" x14ac:dyDescent="0.25">
      <c r="G6387" s="10">
        <v>5861</v>
      </c>
      <c r="H6387" s="9">
        <v>41605</v>
      </c>
      <c r="I6387" s="14">
        <f>DATE(2012,12,31)-737</f>
        <v>40537</v>
      </c>
      <c r="J6387" s="15" t="s">
        <v>16</v>
      </c>
      <c r="K6387" s="9">
        <v>4</v>
      </c>
      <c r="L6387" s="16" t="s">
        <v>26</v>
      </c>
      <c r="M6387" s="16">
        <f t="shared" si="597"/>
        <v>-1.489739181765348</v>
      </c>
      <c r="N6387">
        <f t="shared" si="598"/>
        <v>0</v>
      </c>
      <c r="O6387">
        <f t="shared" si="599"/>
        <v>0</v>
      </c>
      <c r="P6387">
        <f t="shared" si="596"/>
        <v>3600</v>
      </c>
      <c r="Q6387">
        <f t="shared" si="600"/>
        <v>3600</v>
      </c>
      <c r="T6387" s="16">
        <f t="shared" si="601"/>
        <v>-1.4897391817653485</v>
      </c>
    </row>
    <row r="6388" spans="7:20" ht="14.4" x14ac:dyDescent="0.25">
      <c r="G6388" s="10">
        <v>5875</v>
      </c>
      <c r="H6388" s="9">
        <v>41667</v>
      </c>
      <c r="I6388" s="14">
        <f>DATE(2012,12,31)-194</f>
        <v>41080</v>
      </c>
      <c r="J6388" s="15" t="s">
        <v>17</v>
      </c>
      <c r="K6388" s="9">
        <v>18</v>
      </c>
      <c r="L6388" s="16" t="s">
        <v>27</v>
      </c>
      <c r="M6388" s="16">
        <f t="shared" si="597"/>
        <v>-0.52290230909624791</v>
      </c>
      <c r="N6388">
        <f t="shared" si="598"/>
        <v>0</v>
      </c>
      <c r="O6388">
        <f t="shared" si="599"/>
        <v>0</v>
      </c>
      <c r="P6388">
        <f t="shared" si="596"/>
        <v>4300</v>
      </c>
      <c r="Q6388">
        <f t="shared" si="600"/>
        <v>4300</v>
      </c>
      <c r="T6388" s="16">
        <f t="shared" si="601"/>
        <v>-0.52290230909624835</v>
      </c>
    </row>
    <row r="6389" spans="7:20" ht="14.4" x14ac:dyDescent="0.25">
      <c r="G6389" s="10">
        <v>6068</v>
      </c>
      <c r="H6389" s="9">
        <v>42982</v>
      </c>
      <c r="I6389" s="14">
        <f>DATE(2012,12,31)-157</f>
        <v>41117</v>
      </c>
      <c r="J6389" s="15" t="s">
        <v>25</v>
      </c>
      <c r="K6389" s="9">
        <v>12</v>
      </c>
      <c r="L6389" s="16" t="s">
        <v>29</v>
      </c>
      <c r="M6389" s="16">
        <f t="shared" si="597"/>
        <v>-0.9372609688115765</v>
      </c>
      <c r="N6389">
        <f t="shared" si="598"/>
        <v>0</v>
      </c>
      <c r="O6389">
        <f t="shared" si="599"/>
        <v>0</v>
      </c>
      <c r="P6389">
        <f t="shared" si="596"/>
        <v>4000</v>
      </c>
      <c r="Q6389">
        <f t="shared" si="600"/>
        <v>4000</v>
      </c>
      <c r="T6389" s="16">
        <f t="shared" si="601"/>
        <v>-0.93726096881157694</v>
      </c>
    </row>
    <row r="6390" spans="7:20" ht="14.4" x14ac:dyDescent="0.25">
      <c r="G6390" s="10">
        <v>6172</v>
      </c>
      <c r="H6390" s="9">
        <v>43745</v>
      </c>
      <c r="I6390" s="14">
        <f>DATE(2012,12,31)-791</f>
        <v>40483</v>
      </c>
      <c r="J6390" s="15" t="s">
        <v>25</v>
      </c>
      <c r="K6390" s="9">
        <v>5</v>
      </c>
      <c r="L6390" s="16" t="s">
        <v>26</v>
      </c>
      <c r="M6390" s="16">
        <f t="shared" si="597"/>
        <v>-1.4206794051461267</v>
      </c>
      <c r="N6390">
        <f t="shared" si="598"/>
        <v>0</v>
      </c>
      <c r="O6390">
        <f t="shared" si="599"/>
        <v>0</v>
      </c>
      <c r="P6390">
        <f t="shared" si="596"/>
        <v>3650</v>
      </c>
      <c r="Q6390">
        <f t="shared" si="600"/>
        <v>3650</v>
      </c>
      <c r="T6390" s="16">
        <f t="shared" si="601"/>
        <v>-1.4206794051461269</v>
      </c>
    </row>
    <row r="6391" spans="7:20" ht="14.4" x14ac:dyDescent="0.25">
      <c r="G6391" s="10">
        <v>6173</v>
      </c>
      <c r="H6391" s="9">
        <v>43745</v>
      </c>
      <c r="I6391" s="14">
        <f>DATE(2012,12,31)-791</f>
        <v>40483</v>
      </c>
      <c r="J6391" s="15" t="s">
        <v>25</v>
      </c>
      <c r="K6391" s="9">
        <v>1</v>
      </c>
      <c r="L6391" s="16" t="s">
        <v>26</v>
      </c>
      <c r="M6391" s="16">
        <f t="shared" si="597"/>
        <v>-1.6969185116230123</v>
      </c>
      <c r="N6391">
        <f t="shared" si="598"/>
        <v>0</v>
      </c>
      <c r="O6391">
        <f t="shared" si="599"/>
        <v>0</v>
      </c>
      <c r="P6391">
        <f t="shared" si="596"/>
        <v>3450</v>
      </c>
      <c r="Q6391">
        <f t="shared" si="600"/>
        <v>3450</v>
      </c>
      <c r="T6391" s="16">
        <f t="shared" si="601"/>
        <v>-1.6969185116230128</v>
      </c>
    </row>
    <row r="6392" spans="7:20" ht="14.4" x14ac:dyDescent="0.25">
      <c r="G6392" s="10">
        <v>6234</v>
      </c>
      <c r="H6392" s="9">
        <v>44167</v>
      </c>
      <c r="I6392" s="14">
        <f>DATE(2012,12,31)-336</f>
        <v>40938</v>
      </c>
      <c r="J6392" s="15" t="s">
        <v>30</v>
      </c>
      <c r="K6392" s="9">
        <v>23</v>
      </c>
      <c r="L6392" s="16" t="s">
        <v>26</v>
      </c>
      <c r="M6392" s="16">
        <f t="shared" si="597"/>
        <v>-0.17760342600014073</v>
      </c>
      <c r="N6392">
        <f t="shared" si="598"/>
        <v>0</v>
      </c>
      <c r="O6392">
        <f t="shared" si="599"/>
        <v>0</v>
      </c>
      <c r="P6392">
        <f t="shared" si="596"/>
        <v>4550</v>
      </c>
      <c r="Q6392">
        <f t="shared" si="600"/>
        <v>4550</v>
      </c>
      <c r="T6392" s="16">
        <f t="shared" si="601"/>
        <v>-0.17760342600014112</v>
      </c>
    </row>
    <row r="6393" spans="7:20" ht="14.4" x14ac:dyDescent="0.25">
      <c r="G6393" s="10">
        <v>6349</v>
      </c>
      <c r="H6393" s="9">
        <v>44997</v>
      </c>
      <c r="I6393" s="14">
        <f>DATE(2012,12,31)-460</f>
        <v>40814</v>
      </c>
      <c r="J6393" s="15" t="s">
        <v>25</v>
      </c>
      <c r="K6393" s="9">
        <v>46</v>
      </c>
      <c r="L6393" s="16" t="s">
        <v>29</v>
      </c>
      <c r="M6393" s="16">
        <f t="shared" si="597"/>
        <v>1.4107714362419523</v>
      </c>
      <c r="N6393">
        <f t="shared" si="598"/>
        <v>0</v>
      </c>
      <c r="O6393">
        <f t="shared" si="599"/>
        <v>0</v>
      </c>
      <c r="P6393">
        <f t="shared" si="596"/>
        <v>5700</v>
      </c>
      <c r="Q6393">
        <f t="shared" si="600"/>
        <v>5700</v>
      </c>
      <c r="T6393" s="16">
        <f t="shared" si="601"/>
        <v>1.4107714362419519</v>
      </c>
    </row>
    <row r="6394" spans="7:20" ht="14.4" x14ac:dyDescent="0.25">
      <c r="G6394" s="10">
        <v>6392</v>
      </c>
      <c r="H6394" s="9">
        <v>45408</v>
      </c>
      <c r="I6394" s="14">
        <f>DATE(2012,12,31)-736</f>
        <v>40538</v>
      </c>
      <c r="J6394" s="15" t="s">
        <v>25</v>
      </c>
      <c r="K6394" s="9">
        <v>25</v>
      </c>
      <c r="L6394" s="16" t="s">
        <v>27</v>
      </c>
      <c r="M6394" s="16">
        <f t="shared" si="597"/>
        <v>-3.9483872761697868E-2</v>
      </c>
      <c r="N6394">
        <f t="shared" si="598"/>
        <v>0</v>
      </c>
      <c r="O6394">
        <f t="shared" si="599"/>
        <v>0</v>
      </c>
      <c r="P6394">
        <f t="shared" si="596"/>
        <v>4650</v>
      </c>
      <c r="Q6394">
        <f t="shared" si="600"/>
        <v>4650</v>
      </c>
      <c r="T6394" s="16">
        <f t="shared" si="601"/>
        <v>-3.9483872761698249E-2</v>
      </c>
    </row>
    <row r="6395" spans="7:20" ht="14.4" x14ac:dyDescent="0.25">
      <c r="G6395" s="10">
        <v>6449</v>
      </c>
      <c r="H6395" s="9">
        <v>45924</v>
      </c>
      <c r="I6395" s="14">
        <f>DATE(2012,12,31)-741</f>
        <v>40533</v>
      </c>
      <c r="J6395" s="15" t="s">
        <v>25</v>
      </c>
      <c r="K6395" s="9">
        <v>1</v>
      </c>
      <c r="L6395" s="16" t="s">
        <v>26</v>
      </c>
      <c r="M6395" s="16">
        <f t="shared" si="597"/>
        <v>-1.6969185116230123</v>
      </c>
      <c r="N6395">
        <f t="shared" si="598"/>
        <v>0</v>
      </c>
      <c r="O6395">
        <f t="shared" si="599"/>
        <v>0</v>
      </c>
      <c r="P6395">
        <f t="shared" si="596"/>
        <v>3450</v>
      </c>
      <c r="Q6395">
        <f t="shared" si="600"/>
        <v>3450</v>
      </c>
      <c r="T6395" s="16">
        <f t="shared" si="601"/>
        <v>-1.6969185116230128</v>
      </c>
    </row>
    <row r="6396" spans="7:20" ht="14.4" x14ac:dyDescent="0.25">
      <c r="G6396" s="10">
        <v>6548</v>
      </c>
      <c r="H6396" s="9">
        <v>46565</v>
      </c>
      <c r="I6396" s="14">
        <f>DATE(2012,12,31)-558</f>
        <v>40716</v>
      </c>
      <c r="J6396" s="15" t="s">
        <v>28</v>
      </c>
      <c r="K6396" s="9">
        <v>16</v>
      </c>
      <c r="L6396" s="16" t="s">
        <v>26</v>
      </c>
      <c r="M6396" s="16">
        <f t="shared" si="597"/>
        <v>-0.66102186233469074</v>
      </c>
      <c r="N6396">
        <f t="shared" si="598"/>
        <v>0</v>
      </c>
      <c r="O6396">
        <f t="shared" si="599"/>
        <v>0</v>
      </c>
      <c r="P6396">
        <f t="shared" si="596"/>
        <v>4200</v>
      </c>
      <c r="Q6396">
        <f t="shared" si="600"/>
        <v>4200</v>
      </c>
      <c r="T6396" s="16">
        <f t="shared" si="601"/>
        <v>-0.66102186233469118</v>
      </c>
    </row>
    <row r="6397" spans="7:20" ht="14.4" x14ac:dyDescent="0.25">
      <c r="G6397" s="10">
        <v>6549</v>
      </c>
      <c r="H6397" s="9">
        <v>46565</v>
      </c>
      <c r="I6397" s="14">
        <f>DATE(2012,12,31)-558</f>
        <v>40716</v>
      </c>
      <c r="J6397" s="15" t="s">
        <v>28</v>
      </c>
      <c r="K6397" s="9">
        <v>50</v>
      </c>
      <c r="L6397" s="16" t="s">
        <v>29</v>
      </c>
      <c r="M6397" s="16">
        <f t="shared" si="597"/>
        <v>1.687010542718838</v>
      </c>
      <c r="N6397">
        <f t="shared" si="598"/>
        <v>0</v>
      </c>
      <c r="O6397">
        <f t="shared" si="599"/>
        <v>0</v>
      </c>
      <c r="P6397">
        <f t="shared" si="596"/>
        <v>5900</v>
      </c>
      <c r="Q6397">
        <f t="shared" si="600"/>
        <v>5900</v>
      </c>
      <c r="T6397" s="16">
        <f t="shared" si="601"/>
        <v>1.6870105427188375</v>
      </c>
    </row>
    <row r="6398" spans="7:20" ht="14.4" x14ac:dyDescent="0.25">
      <c r="G6398" s="10">
        <v>6550</v>
      </c>
      <c r="H6398" s="9">
        <v>46565</v>
      </c>
      <c r="I6398" s="14">
        <f>DATE(2012,12,31)-558</f>
        <v>40716</v>
      </c>
      <c r="J6398" s="15" t="s">
        <v>28</v>
      </c>
      <c r="K6398" s="9">
        <v>8</v>
      </c>
      <c r="L6398" s="16" t="s">
        <v>26</v>
      </c>
      <c r="M6398" s="16">
        <f t="shared" si="597"/>
        <v>-1.2135000752884624</v>
      </c>
      <c r="N6398">
        <f t="shared" si="598"/>
        <v>0</v>
      </c>
      <c r="O6398">
        <f t="shared" si="599"/>
        <v>0</v>
      </c>
      <c r="P6398">
        <f t="shared" si="596"/>
        <v>3800</v>
      </c>
      <c r="Q6398">
        <f t="shared" si="600"/>
        <v>3800</v>
      </c>
      <c r="T6398" s="16">
        <f t="shared" si="601"/>
        <v>-1.2135000752884626</v>
      </c>
    </row>
    <row r="6399" spans="7:20" ht="14.4" x14ac:dyDescent="0.25">
      <c r="G6399" s="10">
        <v>6593</v>
      </c>
      <c r="H6399" s="9">
        <v>46916</v>
      </c>
      <c r="I6399" s="14">
        <f>DATE(2012,12,31)-455</f>
        <v>40819</v>
      </c>
      <c r="J6399" s="15" t="s">
        <v>17</v>
      </c>
      <c r="K6399" s="9">
        <v>40</v>
      </c>
      <c r="L6399" s="16" t="s">
        <v>26</v>
      </c>
      <c r="M6399" s="16">
        <f t="shared" si="597"/>
        <v>0.99641277652662363</v>
      </c>
      <c r="N6399">
        <f t="shared" si="598"/>
        <v>0</v>
      </c>
      <c r="O6399">
        <f t="shared" si="599"/>
        <v>0</v>
      </c>
      <c r="P6399">
        <f t="shared" si="596"/>
        <v>5400</v>
      </c>
      <c r="Q6399">
        <f t="shared" si="600"/>
        <v>5400</v>
      </c>
      <c r="T6399" s="16">
        <f t="shared" si="601"/>
        <v>0.9964127765266233</v>
      </c>
    </row>
    <row r="6400" spans="7:20" ht="14.4" x14ac:dyDescent="0.25">
      <c r="G6400" s="10">
        <v>6594</v>
      </c>
      <c r="H6400" s="9">
        <v>46916</v>
      </c>
      <c r="I6400" s="14">
        <f>DATE(2012,12,31)-455</f>
        <v>40819</v>
      </c>
      <c r="J6400" s="15" t="s">
        <v>17</v>
      </c>
      <c r="K6400" s="9">
        <v>40</v>
      </c>
      <c r="L6400" s="16" t="s">
        <v>29</v>
      </c>
      <c r="M6400" s="16">
        <f t="shared" si="597"/>
        <v>0.99641277652662363</v>
      </c>
      <c r="N6400">
        <f t="shared" si="598"/>
        <v>0</v>
      </c>
      <c r="O6400">
        <f t="shared" si="599"/>
        <v>0</v>
      </c>
      <c r="P6400">
        <f t="shared" si="596"/>
        <v>5400</v>
      </c>
      <c r="Q6400">
        <f t="shared" si="600"/>
        <v>5400</v>
      </c>
      <c r="T6400" s="16">
        <f t="shared" si="601"/>
        <v>0.9964127765266233</v>
      </c>
    </row>
    <row r="6401" spans="7:20" ht="14.4" x14ac:dyDescent="0.25">
      <c r="G6401" s="10">
        <v>6634</v>
      </c>
      <c r="H6401" s="9">
        <v>47173</v>
      </c>
      <c r="I6401" s="14">
        <f>DATE(2012,12,31)-1217</f>
        <v>40057</v>
      </c>
      <c r="J6401" s="15" t="s">
        <v>28</v>
      </c>
      <c r="K6401" s="9">
        <v>41</v>
      </c>
      <c r="L6401" s="16" t="s">
        <v>27</v>
      </c>
      <c r="M6401" s="16">
        <f t="shared" si="597"/>
        <v>1.0654725531458451</v>
      </c>
      <c r="N6401">
        <f t="shared" si="598"/>
        <v>0</v>
      </c>
      <c r="O6401">
        <f t="shared" si="599"/>
        <v>0</v>
      </c>
      <c r="P6401">
        <f t="shared" si="596"/>
        <v>5450</v>
      </c>
      <c r="Q6401">
        <f t="shared" si="600"/>
        <v>5450</v>
      </c>
      <c r="T6401" s="16">
        <f t="shared" si="601"/>
        <v>1.0654725531458447</v>
      </c>
    </row>
    <row r="6402" spans="7:20" ht="14.4" x14ac:dyDescent="0.25">
      <c r="G6402" s="10">
        <v>6649</v>
      </c>
      <c r="H6402" s="9">
        <v>47271</v>
      </c>
      <c r="I6402" s="14">
        <f>DATE(2012,12,31)-522</f>
        <v>40752</v>
      </c>
      <c r="J6402" s="15" t="s">
        <v>16</v>
      </c>
      <c r="K6402" s="9">
        <v>44</v>
      </c>
      <c r="L6402" s="16" t="s">
        <v>27</v>
      </c>
      <c r="M6402" s="16">
        <f t="shared" si="597"/>
        <v>1.2726518830035094</v>
      </c>
      <c r="N6402">
        <f t="shared" si="598"/>
        <v>0</v>
      </c>
      <c r="O6402">
        <f t="shared" si="599"/>
        <v>0</v>
      </c>
      <c r="P6402">
        <f t="shared" si="596"/>
        <v>5600</v>
      </c>
      <c r="Q6402">
        <f t="shared" si="600"/>
        <v>5600</v>
      </c>
      <c r="T6402" s="16">
        <f t="shared" si="601"/>
        <v>1.272651883003509</v>
      </c>
    </row>
    <row r="6403" spans="7:20" ht="14.4" x14ac:dyDescent="0.25">
      <c r="G6403" s="10">
        <v>6712</v>
      </c>
      <c r="H6403" s="9">
        <v>47815</v>
      </c>
      <c r="I6403" s="14">
        <f>DATE(2012,12,31)-1</f>
        <v>41273</v>
      </c>
      <c r="J6403" s="15" t="s">
        <v>28</v>
      </c>
      <c r="K6403" s="9">
        <v>45</v>
      </c>
      <c r="L6403" s="16" t="s">
        <v>29</v>
      </c>
      <c r="M6403" s="16">
        <f t="shared" si="597"/>
        <v>1.3417116596227308</v>
      </c>
      <c r="N6403">
        <f t="shared" si="598"/>
        <v>0</v>
      </c>
      <c r="O6403">
        <f t="shared" si="599"/>
        <v>0</v>
      </c>
      <c r="P6403">
        <f t="shared" si="596"/>
        <v>5650</v>
      </c>
      <c r="Q6403">
        <f t="shared" si="600"/>
        <v>5650</v>
      </c>
      <c r="T6403" s="16">
        <f t="shared" si="601"/>
        <v>1.3417116596227305</v>
      </c>
    </row>
    <row r="6404" spans="7:20" ht="14.4" x14ac:dyDescent="0.25">
      <c r="G6404" s="10">
        <v>6727</v>
      </c>
      <c r="H6404" s="9">
        <v>47909</v>
      </c>
      <c r="I6404" s="14">
        <f>DATE(2012,12,31)-1028</f>
        <v>40246</v>
      </c>
      <c r="J6404" s="15" t="s">
        <v>16</v>
      </c>
      <c r="K6404" s="9">
        <v>38</v>
      </c>
      <c r="L6404" s="16" t="s">
        <v>26</v>
      </c>
      <c r="M6404" s="16">
        <f t="shared" si="597"/>
        <v>0.85829322328818081</v>
      </c>
      <c r="N6404">
        <f t="shared" si="598"/>
        <v>0</v>
      </c>
      <c r="O6404">
        <f t="shared" si="599"/>
        <v>0</v>
      </c>
      <c r="P6404">
        <f t="shared" si="596"/>
        <v>5300</v>
      </c>
      <c r="Q6404">
        <f t="shared" si="600"/>
        <v>5300</v>
      </c>
      <c r="T6404" s="16">
        <f t="shared" si="601"/>
        <v>0.85829322328818036</v>
      </c>
    </row>
    <row r="6405" spans="7:20" ht="14.4" x14ac:dyDescent="0.25">
      <c r="G6405" s="10">
        <v>6728</v>
      </c>
      <c r="H6405" s="9">
        <v>47909</v>
      </c>
      <c r="I6405" s="14">
        <f>DATE(2012,12,31)-1028</f>
        <v>40246</v>
      </c>
      <c r="J6405" s="15" t="s">
        <v>16</v>
      </c>
      <c r="K6405" s="9">
        <v>22</v>
      </c>
      <c r="L6405" s="16" t="s">
        <v>26</v>
      </c>
      <c r="M6405" s="16">
        <f t="shared" si="597"/>
        <v>-0.24666320261936217</v>
      </c>
      <c r="N6405">
        <f t="shared" si="598"/>
        <v>0</v>
      </c>
      <c r="O6405">
        <f t="shared" si="599"/>
        <v>0</v>
      </c>
      <c r="P6405">
        <f t="shared" si="596"/>
        <v>4500</v>
      </c>
      <c r="Q6405">
        <f t="shared" si="600"/>
        <v>4500</v>
      </c>
      <c r="T6405" s="16">
        <f t="shared" si="601"/>
        <v>-0.24666320261936256</v>
      </c>
    </row>
    <row r="6406" spans="7:20" ht="14.4" x14ac:dyDescent="0.25">
      <c r="G6406" s="10">
        <v>6729</v>
      </c>
      <c r="H6406" s="9">
        <v>47909</v>
      </c>
      <c r="I6406" s="14">
        <f>DATE(2012,12,31)-1028</f>
        <v>40246</v>
      </c>
      <c r="J6406" s="15" t="s">
        <v>16</v>
      </c>
      <c r="K6406" s="9">
        <v>48</v>
      </c>
      <c r="L6406" s="16" t="s">
        <v>27</v>
      </c>
      <c r="M6406" s="16">
        <f t="shared" si="597"/>
        <v>1.5488909894803951</v>
      </c>
      <c r="N6406">
        <f t="shared" si="598"/>
        <v>0</v>
      </c>
      <c r="O6406">
        <f t="shared" si="599"/>
        <v>0</v>
      </c>
      <c r="P6406">
        <f t="shared" si="596"/>
        <v>5800</v>
      </c>
      <c r="Q6406">
        <f t="shared" si="600"/>
        <v>5800</v>
      </c>
      <c r="T6406" s="16">
        <f t="shared" si="601"/>
        <v>1.5488909894803948</v>
      </c>
    </row>
    <row r="6407" spans="7:20" ht="14.4" x14ac:dyDescent="0.25">
      <c r="G6407" s="10">
        <v>6823</v>
      </c>
      <c r="H6407" s="9">
        <v>48609</v>
      </c>
      <c r="I6407" s="14">
        <f>DATE(2012,12,31)-1041</f>
        <v>40233</v>
      </c>
      <c r="J6407" s="15" t="s">
        <v>17</v>
      </c>
      <c r="K6407" s="9">
        <v>26</v>
      </c>
      <c r="L6407" s="16" t="s">
        <v>26</v>
      </c>
      <c r="M6407" s="16">
        <f t="shared" si="597"/>
        <v>2.9575903857523567E-2</v>
      </c>
      <c r="N6407">
        <f t="shared" si="598"/>
        <v>0</v>
      </c>
      <c r="O6407">
        <f t="shared" si="599"/>
        <v>0</v>
      </c>
      <c r="P6407">
        <f t="shared" si="596"/>
        <v>4700</v>
      </c>
      <c r="Q6407">
        <f t="shared" si="600"/>
        <v>4700</v>
      </c>
      <c r="T6407" s="16">
        <f t="shared" si="601"/>
        <v>2.9575903857523185E-2</v>
      </c>
    </row>
    <row r="6408" spans="7:20" ht="14.4" x14ac:dyDescent="0.25">
      <c r="G6408" s="10">
        <v>6824</v>
      </c>
      <c r="H6408" s="9">
        <v>48609</v>
      </c>
      <c r="I6408" s="14">
        <f>DATE(2012,12,31)-1041</f>
        <v>40233</v>
      </c>
      <c r="J6408" s="15" t="s">
        <v>17</v>
      </c>
      <c r="K6408" s="9">
        <v>5</v>
      </c>
      <c r="L6408" s="16" t="s">
        <v>26</v>
      </c>
      <c r="M6408" s="16">
        <f t="shared" si="597"/>
        <v>-1.4206794051461267</v>
      </c>
      <c r="N6408">
        <f t="shared" si="598"/>
        <v>0</v>
      </c>
      <c r="O6408">
        <f t="shared" si="599"/>
        <v>0</v>
      </c>
      <c r="P6408">
        <f t="shared" si="596"/>
        <v>3650</v>
      </c>
      <c r="Q6408">
        <f t="shared" si="600"/>
        <v>3650</v>
      </c>
      <c r="T6408" s="16">
        <f t="shared" si="601"/>
        <v>-1.4206794051461269</v>
      </c>
    </row>
    <row r="6409" spans="7:20" ht="14.4" x14ac:dyDescent="0.25">
      <c r="G6409" s="10">
        <v>6833</v>
      </c>
      <c r="H6409" s="9">
        <v>48643</v>
      </c>
      <c r="I6409" s="14">
        <f>DATE(2012,12,31)-74</f>
        <v>41200</v>
      </c>
      <c r="J6409" s="15" t="s">
        <v>16</v>
      </c>
      <c r="K6409" s="9">
        <v>14</v>
      </c>
      <c r="L6409" s="16" t="s">
        <v>27</v>
      </c>
      <c r="M6409" s="16">
        <f t="shared" si="597"/>
        <v>-0.79914141557313367</v>
      </c>
      <c r="N6409">
        <f t="shared" si="598"/>
        <v>0</v>
      </c>
      <c r="O6409">
        <f t="shared" si="599"/>
        <v>0</v>
      </c>
      <c r="P6409">
        <f t="shared" si="596"/>
        <v>4100</v>
      </c>
      <c r="Q6409">
        <f t="shared" si="600"/>
        <v>4100</v>
      </c>
      <c r="T6409" s="16">
        <f t="shared" si="601"/>
        <v>-0.79914141557313401</v>
      </c>
    </row>
    <row r="6410" spans="7:20" ht="14.4" x14ac:dyDescent="0.25">
      <c r="G6410" s="10">
        <v>6834</v>
      </c>
      <c r="H6410" s="9">
        <v>48643</v>
      </c>
      <c r="I6410" s="14">
        <f>DATE(2012,12,31)-74</f>
        <v>41200</v>
      </c>
      <c r="J6410" s="15" t="s">
        <v>16</v>
      </c>
      <c r="K6410" s="9">
        <v>6</v>
      </c>
      <c r="L6410" s="16" t="s">
        <v>26</v>
      </c>
      <c r="M6410" s="16">
        <f t="shared" si="597"/>
        <v>-1.3516196285269051</v>
      </c>
      <c r="N6410">
        <f t="shared" si="598"/>
        <v>0</v>
      </c>
      <c r="O6410">
        <f t="shared" si="599"/>
        <v>0</v>
      </c>
      <c r="P6410">
        <f t="shared" si="596"/>
        <v>3700</v>
      </c>
      <c r="Q6410">
        <f t="shared" si="600"/>
        <v>3700</v>
      </c>
      <c r="T6410" s="16">
        <f t="shared" si="601"/>
        <v>-1.3516196285269055</v>
      </c>
    </row>
    <row r="6411" spans="7:20" ht="14.4" x14ac:dyDescent="0.25">
      <c r="G6411" s="10">
        <v>6835</v>
      </c>
      <c r="H6411" s="9">
        <v>48643</v>
      </c>
      <c r="I6411" s="14">
        <f>DATE(2012,12,31)-74</f>
        <v>41200</v>
      </c>
      <c r="J6411" s="15" t="s">
        <v>16</v>
      </c>
      <c r="K6411" s="9">
        <v>50</v>
      </c>
      <c r="L6411" s="16" t="s">
        <v>27</v>
      </c>
      <c r="M6411" s="16">
        <f t="shared" si="597"/>
        <v>1.687010542718838</v>
      </c>
      <c r="N6411">
        <f t="shared" si="598"/>
        <v>0</v>
      </c>
      <c r="O6411">
        <f t="shared" si="599"/>
        <v>0</v>
      </c>
      <c r="P6411">
        <f t="shared" si="596"/>
        <v>5900</v>
      </c>
      <c r="Q6411">
        <f t="shared" si="600"/>
        <v>5900</v>
      </c>
      <c r="T6411" s="16">
        <f t="shared" si="601"/>
        <v>1.6870105427188375</v>
      </c>
    </row>
    <row r="6412" spans="7:20" ht="14.4" x14ac:dyDescent="0.25">
      <c r="G6412" s="10">
        <v>6923</v>
      </c>
      <c r="H6412" s="9">
        <v>49380</v>
      </c>
      <c r="I6412" s="14">
        <f>DATE(2012,12,31)-241</f>
        <v>41033</v>
      </c>
      <c r="J6412" s="15" t="s">
        <v>16</v>
      </c>
      <c r="K6412" s="9">
        <v>11</v>
      </c>
      <c r="L6412" s="16" t="s">
        <v>27</v>
      </c>
      <c r="M6412" s="16">
        <f t="shared" si="597"/>
        <v>-1.0063207454307979</v>
      </c>
      <c r="N6412">
        <f t="shared" si="598"/>
        <v>0</v>
      </c>
      <c r="O6412">
        <f t="shared" si="599"/>
        <v>0</v>
      </c>
      <c r="P6412">
        <f t="shared" ref="P6412:P6475" si="602">50*K6412+$P$10</f>
        <v>3950</v>
      </c>
      <c r="Q6412">
        <f t="shared" si="600"/>
        <v>3950</v>
      </c>
      <c r="T6412" s="16">
        <f t="shared" si="601"/>
        <v>-1.0063207454307983</v>
      </c>
    </row>
    <row r="6413" spans="7:20" ht="14.4" x14ac:dyDescent="0.25">
      <c r="G6413" s="10">
        <v>6946</v>
      </c>
      <c r="H6413" s="9">
        <v>49607</v>
      </c>
      <c r="I6413" s="14">
        <f>DATE(2012,12,31)-1337</f>
        <v>39937</v>
      </c>
      <c r="J6413" s="15" t="s">
        <v>16</v>
      </c>
      <c r="K6413" s="9">
        <v>6</v>
      </c>
      <c r="L6413" s="16" t="s">
        <v>27</v>
      </c>
      <c r="M6413" s="16">
        <f t="shared" ref="M6413:M6476" si="603">(K6413-$K$4)/$K$7</f>
        <v>-1.3516196285269051</v>
      </c>
      <c r="N6413">
        <f t="shared" ref="N6413:N6476" si="604">IF(MOD($B$20+G6413,1000)=0,1,0)</f>
        <v>0</v>
      </c>
      <c r="O6413">
        <f t="shared" ref="O6413:O6476" si="605">+ROUND(N6413*(IF(K6413&lt;$K$4,-4.5,10.5)*$P$5),-2)</f>
        <v>0</v>
      </c>
      <c r="P6413">
        <f t="shared" si="602"/>
        <v>3700</v>
      </c>
      <c r="Q6413">
        <f t="shared" ref="Q6413:Q6476" si="606">P6413+O6413</f>
        <v>3700</v>
      </c>
      <c r="T6413" s="16">
        <f t="shared" ref="T6413:T6476" si="607">(Q6413-$P$4)/$P$5</f>
        <v>-1.3516196285269055</v>
      </c>
    </row>
    <row r="6414" spans="7:20" ht="14.4" x14ac:dyDescent="0.25">
      <c r="G6414" s="10">
        <v>6977</v>
      </c>
      <c r="H6414" s="9">
        <v>49862</v>
      </c>
      <c r="I6414" s="14">
        <f>DATE(2012,12,31)-110</f>
        <v>41164</v>
      </c>
      <c r="J6414" s="15" t="s">
        <v>28</v>
      </c>
      <c r="K6414" s="9">
        <v>24</v>
      </c>
      <c r="L6414" s="16" t="s">
        <v>26</v>
      </c>
      <c r="M6414" s="16">
        <f t="shared" si="603"/>
        <v>-0.1085436493809193</v>
      </c>
      <c r="N6414">
        <f t="shared" si="604"/>
        <v>0</v>
      </c>
      <c r="O6414">
        <f t="shared" si="605"/>
        <v>0</v>
      </c>
      <c r="P6414">
        <f t="shared" si="602"/>
        <v>4600</v>
      </c>
      <c r="Q6414">
        <f t="shared" si="606"/>
        <v>4600</v>
      </c>
      <c r="T6414" s="16">
        <f t="shared" si="607"/>
        <v>-0.10854364938091969</v>
      </c>
    </row>
    <row r="6415" spans="7:20" ht="14.4" x14ac:dyDescent="0.25">
      <c r="G6415" s="10">
        <v>7033</v>
      </c>
      <c r="H6415" s="9">
        <v>50209</v>
      </c>
      <c r="I6415" s="14">
        <f>DATE(2012,12,31)-843</f>
        <v>40431</v>
      </c>
      <c r="J6415" s="15" t="s">
        <v>17</v>
      </c>
      <c r="K6415" s="9">
        <v>34</v>
      </c>
      <c r="L6415" s="16" t="s">
        <v>26</v>
      </c>
      <c r="M6415" s="16">
        <f t="shared" si="603"/>
        <v>0.58205411681129504</v>
      </c>
      <c r="N6415">
        <f t="shared" si="604"/>
        <v>0</v>
      </c>
      <c r="O6415">
        <f t="shared" si="605"/>
        <v>0</v>
      </c>
      <c r="P6415">
        <f t="shared" si="602"/>
        <v>5100</v>
      </c>
      <c r="Q6415">
        <f t="shared" si="606"/>
        <v>5100</v>
      </c>
      <c r="T6415" s="16">
        <f t="shared" si="607"/>
        <v>0.58205411681129471</v>
      </c>
    </row>
    <row r="6416" spans="7:20" ht="14.4" x14ac:dyDescent="0.25">
      <c r="G6416" s="10">
        <v>7034</v>
      </c>
      <c r="H6416" s="9">
        <v>50209</v>
      </c>
      <c r="I6416" s="14">
        <f>DATE(2012,12,31)-843</f>
        <v>40431</v>
      </c>
      <c r="J6416" s="15" t="s">
        <v>17</v>
      </c>
      <c r="K6416" s="9">
        <v>2</v>
      </c>
      <c r="L6416" s="16" t="s">
        <v>26</v>
      </c>
      <c r="M6416" s="16">
        <f t="shared" si="603"/>
        <v>-1.627858735003791</v>
      </c>
      <c r="N6416">
        <f t="shared" si="604"/>
        <v>0</v>
      </c>
      <c r="O6416">
        <f t="shared" si="605"/>
        <v>0</v>
      </c>
      <c r="P6416">
        <f t="shared" si="602"/>
        <v>3500</v>
      </c>
      <c r="Q6416">
        <f t="shared" si="606"/>
        <v>3500</v>
      </c>
      <c r="T6416" s="16">
        <f t="shared" si="607"/>
        <v>-1.6278587350037912</v>
      </c>
    </row>
    <row r="6417" spans="7:20" ht="14.4" x14ac:dyDescent="0.25">
      <c r="G6417" s="10">
        <v>7066</v>
      </c>
      <c r="H6417" s="9">
        <v>50432</v>
      </c>
      <c r="I6417" s="14">
        <f>DATE(2012,12,31)-1303</f>
        <v>39971</v>
      </c>
      <c r="J6417" s="15" t="s">
        <v>25</v>
      </c>
      <c r="K6417" s="9">
        <v>7</v>
      </c>
      <c r="L6417" s="16" t="s">
        <v>29</v>
      </c>
      <c r="M6417" s="16">
        <f t="shared" si="603"/>
        <v>-1.2825598519076837</v>
      </c>
      <c r="N6417">
        <f t="shared" si="604"/>
        <v>0</v>
      </c>
      <c r="O6417">
        <f t="shared" si="605"/>
        <v>0</v>
      </c>
      <c r="P6417">
        <f t="shared" si="602"/>
        <v>3750</v>
      </c>
      <c r="Q6417">
        <f t="shared" si="606"/>
        <v>3750</v>
      </c>
      <c r="T6417" s="16">
        <f t="shared" si="607"/>
        <v>-1.2825598519076842</v>
      </c>
    </row>
    <row r="6418" spans="7:20" ht="14.4" x14ac:dyDescent="0.25">
      <c r="G6418" s="10">
        <v>7067</v>
      </c>
      <c r="H6418" s="9">
        <v>50432</v>
      </c>
      <c r="I6418" s="14">
        <f>DATE(2012,12,31)-1303</f>
        <v>39971</v>
      </c>
      <c r="J6418" s="15" t="s">
        <v>25</v>
      </c>
      <c r="K6418" s="9">
        <v>45</v>
      </c>
      <c r="L6418" s="16" t="s">
        <v>26</v>
      </c>
      <c r="M6418" s="16">
        <f t="shared" si="603"/>
        <v>1.3417116596227308</v>
      </c>
      <c r="N6418">
        <f t="shared" si="604"/>
        <v>0</v>
      </c>
      <c r="O6418">
        <f t="shared" si="605"/>
        <v>0</v>
      </c>
      <c r="P6418">
        <f t="shared" si="602"/>
        <v>5650</v>
      </c>
      <c r="Q6418">
        <f t="shared" si="606"/>
        <v>5650</v>
      </c>
      <c r="T6418" s="16">
        <f t="shared" si="607"/>
        <v>1.3417116596227305</v>
      </c>
    </row>
    <row r="6419" spans="7:20" ht="14.4" x14ac:dyDescent="0.25">
      <c r="G6419" s="10">
        <v>7076</v>
      </c>
      <c r="H6419" s="9">
        <v>50500</v>
      </c>
      <c r="I6419" s="14">
        <f>DATE(2012,12,31)-482</f>
        <v>40792</v>
      </c>
      <c r="J6419" s="15" t="s">
        <v>25</v>
      </c>
      <c r="K6419" s="9">
        <v>11</v>
      </c>
      <c r="L6419" s="16" t="s">
        <v>26</v>
      </c>
      <c r="M6419" s="16">
        <f t="shared" si="603"/>
        <v>-1.0063207454307979</v>
      </c>
      <c r="N6419">
        <f t="shared" si="604"/>
        <v>0</v>
      </c>
      <c r="O6419">
        <f t="shared" si="605"/>
        <v>0</v>
      </c>
      <c r="P6419">
        <f t="shared" si="602"/>
        <v>3950</v>
      </c>
      <c r="Q6419">
        <f t="shared" si="606"/>
        <v>3950</v>
      </c>
      <c r="T6419" s="16">
        <f t="shared" si="607"/>
        <v>-1.0063207454307983</v>
      </c>
    </row>
    <row r="6420" spans="7:20" ht="14.4" x14ac:dyDescent="0.25">
      <c r="G6420" s="10">
        <v>7077</v>
      </c>
      <c r="H6420" s="9">
        <v>50500</v>
      </c>
      <c r="I6420" s="14">
        <f>DATE(2012,12,31)-482</f>
        <v>40792</v>
      </c>
      <c r="J6420" s="15" t="s">
        <v>25</v>
      </c>
      <c r="K6420" s="9">
        <v>45</v>
      </c>
      <c r="L6420" s="16" t="s">
        <v>26</v>
      </c>
      <c r="M6420" s="16">
        <f t="shared" si="603"/>
        <v>1.3417116596227308</v>
      </c>
      <c r="N6420">
        <f t="shared" si="604"/>
        <v>0</v>
      </c>
      <c r="O6420">
        <f t="shared" si="605"/>
        <v>0</v>
      </c>
      <c r="P6420">
        <f t="shared" si="602"/>
        <v>5650</v>
      </c>
      <c r="Q6420">
        <f t="shared" si="606"/>
        <v>5650</v>
      </c>
      <c r="T6420" s="16">
        <f t="shared" si="607"/>
        <v>1.3417116596227305</v>
      </c>
    </row>
    <row r="6421" spans="7:20" ht="14.4" x14ac:dyDescent="0.25">
      <c r="G6421" s="10">
        <v>7093</v>
      </c>
      <c r="H6421" s="9">
        <v>50626</v>
      </c>
      <c r="I6421" s="14">
        <f>DATE(2012,12,31)-1168</f>
        <v>40106</v>
      </c>
      <c r="J6421" s="15" t="s">
        <v>16</v>
      </c>
      <c r="K6421" s="9">
        <v>18</v>
      </c>
      <c r="L6421" s="16" t="s">
        <v>29</v>
      </c>
      <c r="M6421" s="16">
        <f t="shared" si="603"/>
        <v>-0.52290230909624791</v>
      </c>
      <c r="N6421">
        <f t="shared" si="604"/>
        <v>0</v>
      </c>
      <c r="O6421">
        <f t="shared" si="605"/>
        <v>0</v>
      </c>
      <c r="P6421">
        <f t="shared" si="602"/>
        <v>4300</v>
      </c>
      <c r="Q6421">
        <f t="shared" si="606"/>
        <v>4300</v>
      </c>
      <c r="T6421" s="16">
        <f t="shared" si="607"/>
        <v>-0.52290230909624835</v>
      </c>
    </row>
    <row r="6422" spans="7:20" ht="14.4" x14ac:dyDescent="0.25">
      <c r="G6422" s="10">
        <v>7094</v>
      </c>
      <c r="H6422" s="9">
        <v>50626</v>
      </c>
      <c r="I6422" s="14">
        <f>DATE(2012,12,31)-1168</f>
        <v>40106</v>
      </c>
      <c r="J6422" s="15" t="s">
        <v>16</v>
      </c>
      <c r="K6422" s="9">
        <v>42</v>
      </c>
      <c r="L6422" s="16" t="s">
        <v>27</v>
      </c>
      <c r="M6422" s="16">
        <f t="shared" si="603"/>
        <v>1.1345323297650665</v>
      </c>
      <c r="N6422">
        <f t="shared" si="604"/>
        <v>0</v>
      </c>
      <c r="O6422">
        <f t="shared" si="605"/>
        <v>0</v>
      </c>
      <c r="P6422">
        <f t="shared" si="602"/>
        <v>5500</v>
      </c>
      <c r="Q6422">
        <f t="shared" si="606"/>
        <v>5500</v>
      </c>
      <c r="T6422" s="16">
        <f t="shared" si="607"/>
        <v>1.1345323297650662</v>
      </c>
    </row>
    <row r="6423" spans="7:20" ht="14.4" x14ac:dyDescent="0.25">
      <c r="G6423" s="10">
        <v>7099</v>
      </c>
      <c r="H6423" s="9">
        <v>50657</v>
      </c>
      <c r="I6423" s="14">
        <f>DATE(2012,12,31)-379</f>
        <v>40895</v>
      </c>
      <c r="J6423" s="15" t="s">
        <v>17</v>
      </c>
      <c r="K6423" s="9">
        <v>40</v>
      </c>
      <c r="L6423" s="16" t="s">
        <v>26</v>
      </c>
      <c r="M6423" s="16">
        <f t="shared" si="603"/>
        <v>0.99641277652662363</v>
      </c>
      <c r="N6423">
        <f t="shared" si="604"/>
        <v>0</v>
      </c>
      <c r="O6423">
        <f t="shared" si="605"/>
        <v>0</v>
      </c>
      <c r="P6423">
        <f t="shared" si="602"/>
        <v>5400</v>
      </c>
      <c r="Q6423">
        <f t="shared" si="606"/>
        <v>5400</v>
      </c>
      <c r="T6423" s="16">
        <f t="shared" si="607"/>
        <v>0.9964127765266233</v>
      </c>
    </row>
    <row r="6424" spans="7:20" ht="14.4" x14ac:dyDescent="0.25">
      <c r="G6424" s="10">
        <v>7100</v>
      </c>
      <c r="H6424" s="9">
        <v>50657</v>
      </c>
      <c r="I6424" s="14">
        <f>DATE(2012,12,31)-379</f>
        <v>40895</v>
      </c>
      <c r="J6424" s="15" t="s">
        <v>17</v>
      </c>
      <c r="K6424" s="9">
        <v>16</v>
      </c>
      <c r="L6424" s="16" t="s">
        <v>26</v>
      </c>
      <c r="M6424" s="16">
        <f t="shared" si="603"/>
        <v>-0.66102186233469074</v>
      </c>
      <c r="N6424">
        <f t="shared" si="604"/>
        <v>0</v>
      </c>
      <c r="O6424">
        <f t="shared" si="605"/>
        <v>0</v>
      </c>
      <c r="P6424">
        <f t="shared" si="602"/>
        <v>4200</v>
      </c>
      <c r="Q6424">
        <f t="shared" si="606"/>
        <v>4200</v>
      </c>
      <c r="T6424" s="16">
        <f t="shared" si="607"/>
        <v>-0.66102186233469118</v>
      </c>
    </row>
    <row r="6425" spans="7:20" ht="14.4" x14ac:dyDescent="0.25">
      <c r="G6425" s="10">
        <v>7101</v>
      </c>
      <c r="H6425" s="9">
        <v>50657</v>
      </c>
      <c r="I6425" s="14">
        <f>DATE(2012,12,31)-379</f>
        <v>40895</v>
      </c>
      <c r="J6425" s="15" t="s">
        <v>17</v>
      </c>
      <c r="K6425" s="9">
        <v>49</v>
      </c>
      <c r="L6425" s="16" t="s">
        <v>29</v>
      </c>
      <c r="M6425" s="16">
        <f t="shared" si="603"/>
        <v>1.6179507660996166</v>
      </c>
      <c r="N6425">
        <f t="shared" si="604"/>
        <v>0</v>
      </c>
      <c r="O6425">
        <f t="shared" si="605"/>
        <v>0</v>
      </c>
      <c r="P6425">
        <f t="shared" si="602"/>
        <v>5850</v>
      </c>
      <c r="Q6425">
        <f t="shared" si="606"/>
        <v>5850</v>
      </c>
      <c r="T6425" s="16">
        <f t="shared" si="607"/>
        <v>1.6179507660996162</v>
      </c>
    </row>
    <row r="6426" spans="7:20" ht="14.4" x14ac:dyDescent="0.25">
      <c r="G6426" s="10">
        <v>7108</v>
      </c>
      <c r="H6426" s="9">
        <v>50725</v>
      </c>
      <c r="I6426" s="14">
        <f>DATE(2012,12,31)-769</f>
        <v>40505</v>
      </c>
      <c r="J6426" s="15" t="s">
        <v>16</v>
      </c>
      <c r="K6426" s="9">
        <v>19</v>
      </c>
      <c r="L6426" s="16" t="s">
        <v>27</v>
      </c>
      <c r="M6426" s="16">
        <f t="shared" si="603"/>
        <v>-0.45384253247702649</v>
      </c>
      <c r="N6426">
        <f t="shared" si="604"/>
        <v>0</v>
      </c>
      <c r="O6426">
        <f t="shared" si="605"/>
        <v>0</v>
      </c>
      <c r="P6426">
        <f t="shared" si="602"/>
        <v>4350</v>
      </c>
      <c r="Q6426">
        <f t="shared" si="606"/>
        <v>4350</v>
      </c>
      <c r="T6426" s="16">
        <f t="shared" si="607"/>
        <v>-0.45384253247702688</v>
      </c>
    </row>
    <row r="6427" spans="7:20" ht="14.4" x14ac:dyDescent="0.25">
      <c r="G6427" s="10">
        <v>7170</v>
      </c>
      <c r="H6427" s="9">
        <v>51175</v>
      </c>
      <c r="I6427" s="14">
        <f>DATE(2012,12,31)-139</f>
        <v>41135</v>
      </c>
      <c r="J6427" s="15" t="s">
        <v>17</v>
      </c>
      <c r="K6427" s="9">
        <v>28</v>
      </c>
      <c r="L6427" s="16" t="s">
        <v>26</v>
      </c>
      <c r="M6427" s="16">
        <f t="shared" si="603"/>
        <v>0.16769545709596645</v>
      </c>
      <c r="N6427">
        <f t="shared" si="604"/>
        <v>0</v>
      </c>
      <c r="O6427">
        <f t="shared" si="605"/>
        <v>0</v>
      </c>
      <c r="P6427">
        <f t="shared" si="602"/>
        <v>4800</v>
      </c>
      <c r="Q6427">
        <f t="shared" si="606"/>
        <v>4800</v>
      </c>
      <c r="T6427" s="16">
        <f t="shared" si="607"/>
        <v>0.16769545709596606</v>
      </c>
    </row>
    <row r="6428" spans="7:20" ht="14.4" x14ac:dyDescent="0.25">
      <c r="G6428" s="10">
        <v>7171</v>
      </c>
      <c r="H6428" s="9">
        <v>51175</v>
      </c>
      <c r="I6428" s="14">
        <f>DATE(2012,12,31)-139</f>
        <v>41135</v>
      </c>
      <c r="J6428" s="15" t="s">
        <v>17</v>
      </c>
      <c r="K6428" s="9">
        <v>3</v>
      </c>
      <c r="L6428" s="16" t="s">
        <v>27</v>
      </c>
      <c r="M6428" s="16">
        <f t="shared" si="603"/>
        <v>-1.5587989583845694</v>
      </c>
      <c r="N6428">
        <f t="shared" si="604"/>
        <v>0</v>
      </c>
      <c r="O6428">
        <f t="shared" si="605"/>
        <v>0</v>
      </c>
      <c r="P6428">
        <f t="shared" si="602"/>
        <v>3550</v>
      </c>
      <c r="Q6428">
        <f t="shared" si="606"/>
        <v>3550</v>
      </c>
      <c r="T6428" s="16">
        <f t="shared" si="607"/>
        <v>-1.5587989583845698</v>
      </c>
    </row>
    <row r="6429" spans="7:20" ht="14.4" x14ac:dyDescent="0.25">
      <c r="G6429" s="10">
        <v>7174</v>
      </c>
      <c r="H6429" s="9">
        <v>51202</v>
      </c>
      <c r="I6429" s="14">
        <f>DATE(2012,12,31)-262</f>
        <v>41012</v>
      </c>
      <c r="J6429" s="15" t="s">
        <v>17</v>
      </c>
      <c r="K6429" s="9">
        <v>4</v>
      </c>
      <c r="L6429" s="16" t="s">
        <v>26</v>
      </c>
      <c r="M6429" s="16">
        <f t="shared" si="603"/>
        <v>-1.489739181765348</v>
      </c>
      <c r="N6429">
        <f t="shared" si="604"/>
        <v>0</v>
      </c>
      <c r="O6429">
        <f t="shared" si="605"/>
        <v>0</v>
      </c>
      <c r="P6429">
        <f t="shared" si="602"/>
        <v>3600</v>
      </c>
      <c r="Q6429">
        <f t="shared" si="606"/>
        <v>3600</v>
      </c>
      <c r="T6429" s="16">
        <f t="shared" si="607"/>
        <v>-1.4897391817653485</v>
      </c>
    </row>
    <row r="6430" spans="7:20" ht="14.4" x14ac:dyDescent="0.25">
      <c r="G6430" s="10">
        <v>7175</v>
      </c>
      <c r="H6430" s="9">
        <v>51202</v>
      </c>
      <c r="I6430" s="14">
        <f>DATE(2012,12,31)-262</f>
        <v>41012</v>
      </c>
      <c r="J6430" s="15" t="s">
        <v>17</v>
      </c>
      <c r="K6430" s="9">
        <v>34</v>
      </c>
      <c r="L6430" s="16" t="s">
        <v>26</v>
      </c>
      <c r="M6430" s="16">
        <f t="shared" si="603"/>
        <v>0.58205411681129504</v>
      </c>
      <c r="N6430">
        <f t="shared" si="604"/>
        <v>0</v>
      </c>
      <c r="O6430">
        <f t="shared" si="605"/>
        <v>0</v>
      </c>
      <c r="P6430">
        <f t="shared" si="602"/>
        <v>5100</v>
      </c>
      <c r="Q6430">
        <f t="shared" si="606"/>
        <v>5100</v>
      </c>
      <c r="T6430" s="16">
        <f t="shared" si="607"/>
        <v>0.58205411681129471</v>
      </c>
    </row>
    <row r="6431" spans="7:20" ht="14.4" x14ac:dyDescent="0.25">
      <c r="G6431" s="10">
        <v>7213</v>
      </c>
      <c r="H6431" s="9">
        <v>51488</v>
      </c>
      <c r="I6431" s="14">
        <f>DATE(2012,12,31)-974</f>
        <v>40300</v>
      </c>
      <c r="J6431" s="15" t="s">
        <v>17</v>
      </c>
      <c r="K6431" s="9">
        <v>31</v>
      </c>
      <c r="L6431" s="16" t="s">
        <v>26</v>
      </c>
      <c r="M6431" s="16">
        <f t="shared" si="603"/>
        <v>0.37487478695363075</v>
      </c>
      <c r="N6431">
        <f t="shared" si="604"/>
        <v>0</v>
      </c>
      <c r="O6431">
        <f t="shared" si="605"/>
        <v>0</v>
      </c>
      <c r="P6431">
        <f t="shared" si="602"/>
        <v>4950</v>
      </c>
      <c r="Q6431">
        <f t="shared" si="606"/>
        <v>4950</v>
      </c>
      <c r="T6431" s="16">
        <f t="shared" si="607"/>
        <v>0.37487478695363036</v>
      </c>
    </row>
    <row r="6432" spans="7:20" ht="14.4" x14ac:dyDescent="0.25">
      <c r="G6432" s="10">
        <v>7271</v>
      </c>
      <c r="H6432" s="9">
        <v>51873</v>
      </c>
      <c r="I6432" s="14">
        <f>DATE(2012,12,31)-1335</f>
        <v>39939</v>
      </c>
      <c r="J6432" s="15" t="s">
        <v>17</v>
      </c>
      <c r="K6432" s="9">
        <v>29</v>
      </c>
      <c r="L6432" s="16" t="s">
        <v>26</v>
      </c>
      <c r="M6432" s="16">
        <f t="shared" si="603"/>
        <v>0.23675523371518786</v>
      </c>
      <c r="N6432">
        <f t="shared" si="604"/>
        <v>0</v>
      </c>
      <c r="O6432">
        <f t="shared" si="605"/>
        <v>0</v>
      </c>
      <c r="P6432">
        <f t="shared" si="602"/>
        <v>4850</v>
      </c>
      <c r="Q6432">
        <f t="shared" si="606"/>
        <v>4850</v>
      </c>
      <c r="T6432" s="16">
        <f t="shared" si="607"/>
        <v>0.2367552337151875</v>
      </c>
    </row>
    <row r="6433" spans="7:20" ht="14.4" x14ac:dyDescent="0.25">
      <c r="G6433" s="10">
        <v>7397</v>
      </c>
      <c r="H6433" s="9">
        <v>52711</v>
      </c>
      <c r="I6433" s="14">
        <f>DATE(2012,12,31)-465</f>
        <v>40809</v>
      </c>
      <c r="J6433" s="15" t="s">
        <v>28</v>
      </c>
      <c r="K6433" s="9">
        <v>7</v>
      </c>
      <c r="L6433" s="16" t="s">
        <v>27</v>
      </c>
      <c r="M6433" s="16">
        <f t="shared" si="603"/>
        <v>-1.2825598519076837</v>
      </c>
      <c r="N6433">
        <f t="shared" si="604"/>
        <v>0</v>
      </c>
      <c r="O6433">
        <f t="shared" si="605"/>
        <v>0</v>
      </c>
      <c r="P6433">
        <f t="shared" si="602"/>
        <v>3750</v>
      </c>
      <c r="Q6433">
        <f t="shared" si="606"/>
        <v>3750</v>
      </c>
      <c r="T6433" s="16">
        <f t="shared" si="607"/>
        <v>-1.2825598519076842</v>
      </c>
    </row>
    <row r="6434" spans="7:20" ht="14.4" x14ac:dyDescent="0.25">
      <c r="G6434" s="10">
        <v>7398</v>
      </c>
      <c r="H6434" s="9">
        <v>52711</v>
      </c>
      <c r="I6434" s="14">
        <f>DATE(2012,12,31)-465</f>
        <v>40809</v>
      </c>
      <c r="J6434" s="15" t="s">
        <v>28</v>
      </c>
      <c r="K6434" s="9">
        <v>41</v>
      </c>
      <c r="L6434" s="16" t="s">
        <v>29</v>
      </c>
      <c r="M6434" s="16">
        <f t="shared" si="603"/>
        <v>1.0654725531458451</v>
      </c>
      <c r="N6434">
        <f t="shared" si="604"/>
        <v>0</v>
      </c>
      <c r="O6434">
        <f t="shared" si="605"/>
        <v>0</v>
      </c>
      <c r="P6434">
        <f t="shared" si="602"/>
        <v>5450</v>
      </c>
      <c r="Q6434">
        <f t="shared" si="606"/>
        <v>5450</v>
      </c>
      <c r="T6434" s="16">
        <f t="shared" si="607"/>
        <v>1.0654725531458447</v>
      </c>
    </row>
    <row r="6435" spans="7:20" ht="14.4" x14ac:dyDescent="0.25">
      <c r="G6435" s="10">
        <v>7460</v>
      </c>
      <c r="H6435" s="9">
        <v>53222</v>
      </c>
      <c r="I6435" s="14">
        <f>DATE(2012,12,31)-1169</f>
        <v>40105</v>
      </c>
      <c r="J6435" s="15" t="s">
        <v>25</v>
      </c>
      <c r="K6435" s="9">
        <v>2</v>
      </c>
      <c r="L6435" s="16" t="s">
        <v>26</v>
      </c>
      <c r="M6435" s="16">
        <f t="shared" si="603"/>
        <v>-1.627858735003791</v>
      </c>
      <c r="N6435">
        <f t="shared" si="604"/>
        <v>0</v>
      </c>
      <c r="O6435">
        <f t="shared" si="605"/>
        <v>0</v>
      </c>
      <c r="P6435">
        <f t="shared" si="602"/>
        <v>3500</v>
      </c>
      <c r="Q6435">
        <f t="shared" si="606"/>
        <v>3500</v>
      </c>
      <c r="T6435" s="16">
        <f t="shared" si="607"/>
        <v>-1.6278587350037912</v>
      </c>
    </row>
    <row r="6436" spans="7:20" ht="14.4" x14ac:dyDescent="0.25">
      <c r="G6436" s="10">
        <v>7568</v>
      </c>
      <c r="H6436" s="9">
        <v>54146</v>
      </c>
      <c r="I6436" s="14">
        <f>DATE(2012,12,31)-805</f>
        <v>40469</v>
      </c>
      <c r="J6436" s="15" t="s">
        <v>25</v>
      </c>
      <c r="K6436" s="9">
        <v>3</v>
      </c>
      <c r="L6436" s="16" t="s">
        <v>27</v>
      </c>
      <c r="M6436" s="16">
        <f t="shared" si="603"/>
        <v>-1.5587989583845694</v>
      </c>
      <c r="N6436">
        <f t="shared" si="604"/>
        <v>0</v>
      </c>
      <c r="O6436">
        <f t="shared" si="605"/>
        <v>0</v>
      </c>
      <c r="P6436">
        <f t="shared" si="602"/>
        <v>3550</v>
      </c>
      <c r="Q6436">
        <f t="shared" si="606"/>
        <v>3550</v>
      </c>
      <c r="T6436" s="16">
        <f t="shared" si="607"/>
        <v>-1.5587989583845698</v>
      </c>
    </row>
    <row r="6437" spans="7:20" ht="14.4" x14ac:dyDescent="0.25">
      <c r="G6437" s="10">
        <v>7646</v>
      </c>
      <c r="H6437" s="9">
        <v>54791</v>
      </c>
      <c r="I6437" s="14">
        <f>DATE(2012,12,31)-11</f>
        <v>41263</v>
      </c>
      <c r="J6437" s="15" t="s">
        <v>17</v>
      </c>
      <c r="K6437" s="9">
        <v>27</v>
      </c>
      <c r="L6437" s="16" t="s">
        <v>29</v>
      </c>
      <c r="M6437" s="16">
        <f t="shared" si="603"/>
        <v>9.8635680476745008E-2</v>
      </c>
      <c r="N6437">
        <f t="shared" si="604"/>
        <v>0</v>
      </c>
      <c r="O6437">
        <f t="shared" si="605"/>
        <v>0</v>
      </c>
      <c r="P6437">
        <f t="shared" si="602"/>
        <v>4750</v>
      </c>
      <c r="Q6437">
        <f t="shared" si="606"/>
        <v>4750</v>
      </c>
      <c r="T6437" s="16">
        <f t="shared" si="607"/>
        <v>9.8635680476744619E-2</v>
      </c>
    </row>
    <row r="6438" spans="7:20" ht="14.4" x14ac:dyDescent="0.25">
      <c r="G6438" s="10">
        <v>7647</v>
      </c>
      <c r="H6438" s="9">
        <v>54791</v>
      </c>
      <c r="I6438" s="14">
        <f>DATE(2012,12,31)-11</f>
        <v>41263</v>
      </c>
      <c r="J6438" s="15" t="s">
        <v>17</v>
      </c>
      <c r="K6438" s="9">
        <v>42</v>
      </c>
      <c r="L6438" s="16" t="s">
        <v>26</v>
      </c>
      <c r="M6438" s="16">
        <f t="shared" si="603"/>
        <v>1.1345323297650665</v>
      </c>
      <c r="N6438">
        <f t="shared" si="604"/>
        <v>0</v>
      </c>
      <c r="O6438">
        <f t="shared" si="605"/>
        <v>0</v>
      </c>
      <c r="P6438">
        <f t="shared" si="602"/>
        <v>5500</v>
      </c>
      <c r="Q6438">
        <f t="shared" si="606"/>
        <v>5500</v>
      </c>
      <c r="T6438" s="16">
        <f t="shared" si="607"/>
        <v>1.1345323297650662</v>
      </c>
    </row>
    <row r="6439" spans="7:20" ht="14.4" x14ac:dyDescent="0.25">
      <c r="G6439" s="10">
        <v>7723</v>
      </c>
      <c r="H6439" s="9">
        <v>55335</v>
      </c>
      <c r="I6439" s="14">
        <f>DATE(2012,12,31)-107</f>
        <v>41167</v>
      </c>
      <c r="J6439" s="15" t="s">
        <v>28</v>
      </c>
      <c r="K6439" s="9">
        <v>30</v>
      </c>
      <c r="L6439" s="16" t="s">
        <v>29</v>
      </c>
      <c r="M6439" s="16">
        <f t="shared" si="603"/>
        <v>0.30581501033440933</v>
      </c>
      <c r="N6439">
        <f t="shared" si="604"/>
        <v>0</v>
      </c>
      <c r="O6439">
        <f t="shared" si="605"/>
        <v>0</v>
      </c>
      <c r="P6439">
        <f t="shared" si="602"/>
        <v>4900</v>
      </c>
      <c r="Q6439">
        <f t="shared" si="606"/>
        <v>4900</v>
      </c>
      <c r="T6439" s="16">
        <f t="shared" si="607"/>
        <v>0.30581501033440894</v>
      </c>
    </row>
    <row r="6440" spans="7:20" ht="14.4" x14ac:dyDescent="0.25">
      <c r="G6440" s="10">
        <v>7759</v>
      </c>
      <c r="H6440" s="9">
        <v>55525</v>
      </c>
      <c r="I6440" s="14">
        <f>DATE(2012,12,31)-1333</f>
        <v>39941</v>
      </c>
      <c r="J6440" s="15" t="s">
        <v>25</v>
      </c>
      <c r="K6440" s="9">
        <v>1</v>
      </c>
      <c r="L6440" s="16" t="s">
        <v>27</v>
      </c>
      <c r="M6440" s="16">
        <f t="shared" si="603"/>
        <v>-1.6969185116230123</v>
      </c>
      <c r="N6440">
        <f t="shared" si="604"/>
        <v>0</v>
      </c>
      <c r="O6440">
        <f t="shared" si="605"/>
        <v>0</v>
      </c>
      <c r="P6440">
        <f t="shared" si="602"/>
        <v>3450</v>
      </c>
      <c r="Q6440">
        <f t="shared" si="606"/>
        <v>3450</v>
      </c>
      <c r="T6440" s="16">
        <f t="shared" si="607"/>
        <v>-1.6969185116230128</v>
      </c>
    </row>
    <row r="6441" spans="7:20" ht="14.4" x14ac:dyDescent="0.25">
      <c r="G6441" s="10">
        <v>7790</v>
      </c>
      <c r="H6441" s="9">
        <v>55746</v>
      </c>
      <c r="I6441" s="14">
        <f>DATE(2012,12,31)-1280</f>
        <v>39994</v>
      </c>
      <c r="J6441" s="15" t="s">
        <v>28</v>
      </c>
      <c r="K6441" s="9">
        <v>29</v>
      </c>
      <c r="L6441" s="16" t="s">
        <v>26</v>
      </c>
      <c r="M6441" s="16">
        <f t="shared" si="603"/>
        <v>0.23675523371518786</v>
      </c>
      <c r="N6441">
        <f t="shared" si="604"/>
        <v>0</v>
      </c>
      <c r="O6441">
        <f t="shared" si="605"/>
        <v>0</v>
      </c>
      <c r="P6441">
        <f t="shared" si="602"/>
        <v>4850</v>
      </c>
      <c r="Q6441">
        <f t="shared" si="606"/>
        <v>4850</v>
      </c>
      <c r="T6441" s="16">
        <f t="shared" si="607"/>
        <v>0.2367552337151875</v>
      </c>
    </row>
    <row r="6442" spans="7:20" ht="14.4" x14ac:dyDescent="0.25">
      <c r="G6442" s="10">
        <v>7967</v>
      </c>
      <c r="H6442" s="9">
        <v>56960</v>
      </c>
      <c r="I6442" s="14">
        <f>DATE(2012,12,31)-1243</f>
        <v>40031</v>
      </c>
      <c r="J6442" s="15" t="s">
        <v>17</v>
      </c>
      <c r="K6442" s="9">
        <v>48</v>
      </c>
      <c r="L6442" s="16" t="s">
        <v>27</v>
      </c>
      <c r="M6442" s="16">
        <f t="shared" si="603"/>
        <v>1.5488909894803951</v>
      </c>
      <c r="N6442">
        <f t="shared" si="604"/>
        <v>0</v>
      </c>
      <c r="O6442">
        <f t="shared" si="605"/>
        <v>0</v>
      </c>
      <c r="P6442">
        <f t="shared" si="602"/>
        <v>5800</v>
      </c>
      <c r="Q6442">
        <f t="shared" si="606"/>
        <v>5800</v>
      </c>
      <c r="T6442" s="16">
        <f t="shared" si="607"/>
        <v>1.5488909894803948</v>
      </c>
    </row>
    <row r="6443" spans="7:20" ht="14.4" x14ac:dyDescent="0.25">
      <c r="G6443" s="10">
        <v>7977</v>
      </c>
      <c r="H6443" s="9">
        <v>57059</v>
      </c>
      <c r="I6443" s="14">
        <f>DATE(2012,12,31)-579</f>
        <v>40695</v>
      </c>
      <c r="J6443" s="15" t="s">
        <v>16</v>
      </c>
      <c r="K6443" s="9">
        <v>50</v>
      </c>
      <c r="L6443" s="16" t="s">
        <v>26</v>
      </c>
      <c r="M6443" s="16">
        <f t="shared" si="603"/>
        <v>1.687010542718838</v>
      </c>
      <c r="N6443">
        <f t="shared" si="604"/>
        <v>0</v>
      </c>
      <c r="O6443">
        <f t="shared" si="605"/>
        <v>0</v>
      </c>
      <c r="P6443">
        <f t="shared" si="602"/>
        <v>5900</v>
      </c>
      <c r="Q6443">
        <f t="shared" si="606"/>
        <v>5900</v>
      </c>
      <c r="T6443" s="16">
        <f t="shared" si="607"/>
        <v>1.6870105427188375</v>
      </c>
    </row>
    <row r="6444" spans="7:20" ht="14.4" x14ac:dyDescent="0.25">
      <c r="G6444" s="10">
        <v>7978</v>
      </c>
      <c r="H6444" s="9">
        <v>57059</v>
      </c>
      <c r="I6444" s="14">
        <f>DATE(2012,12,31)-579</f>
        <v>40695</v>
      </c>
      <c r="J6444" s="15" t="s">
        <v>16</v>
      </c>
      <c r="K6444" s="9">
        <v>25</v>
      </c>
      <c r="L6444" s="16" t="s">
        <v>26</v>
      </c>
      <c r="M6444" s="16">
        <f t="shared" si="603"/>
        <v>-3.9483872761697868E-2</v>
      </c>
      <c r="N6444">
        <f t="shared" si="604"/>
        <v>0</v>
      </c>
      <c r="O6444">
        <f t="shared" si="605"/>
        <v>0</v>
      </c>
      <c r="P6444">
        <f t="shared" si="602"/>
        <v>4650</v>
      </c>
      <c r="Q6444">
        <f t="shared" si="606"/>
        <v>4650</v>
      </c>
      <c r="T6444" s="16">
        <f t="shared" si="607"/>
        <v>-3.9483872761698249E-2</v>
      </c>
    </row>
    <row r="6445" spans="7:20" ht="14.4" x14ac:dyDescent="0.25">
      <c r="G6445" s="10">
        <v>8067</v>
      </c>
      <c r="H6445" s="9">
        <v>57568</v>
      </c>
      <c r="I6445" s="14">
        <f>DATE(2012,12,31)-928</f>
        <v>40346</v>
      </c>
      <c r="J6445" s="15" t="s">
        <v>28</v>
      </c>
      <c r="K6445" s="9">
        <v>38</v>
      </c>
      <c r="L6445" s="16" t="s">
        <v>26</v>
      </c>
      <c r="M6445" s="16">
        <f t="shared" si="603"/>
        <v>0.85829322328818081</v>
      </c>
      <c r="N6445">
        <f t="shared" si="604"/>
        <v>0</v>
      </c>
      <c r="O6445">
        <f t="shared" si="605"/>
        <v>0</v>
      </c>
      <c r="P6445">
        <f t="shared" si="602"/>
        <v>5300</v>
      </c>
      <c r="Q6445">
        <f t="shared" si="606"/>
        <v>5300</v>
      </c>
      <c r="T6445" s="16">
        <f t="shared" si="607"/>
        <v>0.85829322328818036</v>
      </c>
    </row>
    <row r="6446" spans="7:20" ht="14.4" x14ac:dyDescent="0.25">
      <c r="G6446" s="10">
        <v>8100</v>
      </c>
      <c r="H6446" s="9">
        <v>57798</v>
      </c>
      <c r="I6446" s="14">
        <f>DATE(2012,12,31)-107</f>
        <v>41167</v>
      </c>
      <c r="J6446" s="15" t="s">
        <v>17</v>
      </c>
      <c r="K6446" s="9">
        <v>20</v>
      </c>
      <c r="L6446" s="16" t="s">
        <v>29</v>
      </c>
      <c r="M6446" s="16">
        <f t="shared" si="603"/>
        <v>-0.38478275585780503</v>
      </c>
      <c r="N6446">
        <f t="shared" si="604"/>
        <v>0</v>
      </c>
      <c r="O6446">
        <f t="shared" si="605"/>
        <v>0</v>
      </c>
      <c r="P6446">
        <f t="shared" si="602"/>
        <v>4400</v>
      </c>
      <c r="Q6446">
        <f t="shared" si="606"/>
        <v>4400</v>
      </c>
      <c r="T6446" s="16">
        <f t="shared" si="607"/>
        <v>-0.38478275585780541</v>
      </c>
    </row>
    <row r="6447" spans="7:20" ht="14.4" x14ac:dyDescent="0.25">
      <c r="G6447" s="10">
        <v>8147</v>
      </c>
      <c r="H6447" s="9">
        <v>58273</v>
      </c>
      <c r="I6447" s="14">
        <f>DATE(2012,12,31)-925</f>
        <v>40349</v>
      </c>
      <c r="J6447" s="15" t="s">
        <v>17</v>
      </c>
      <c r="K6447" s="9">
        <v>31</v>
      </c>
      <c r="L6447" s="16" t="s">
        <v>27</v>
      </c>
      <c r="M6447" s="16">
        <f t="shared" si="603"/>
        <v>0.37487478695363075</v>
      </c>
      <c r="N6447">
        <f t="shared" si="604"/>
        <v>0</v>
      </c>
      <c r="O6447">
        <f t="shared" si="605"/>
        <v>0</v>
      </c>
      <c r="P6447">
        <f t="shared" si="602"/>
        <v>4950</v>
      </c>
      <c r="Q6447">
        <f t="shared" si="606"/>
        <v>4950</v>
      </c>
      <c r="T6447" s="16">
        <f t="shared" si="607"/>
        <v>0.37487478695363036</v>
      </c>
    </row>
    <row r="6448" spans="7:20" ht="14.4" x14ac:dyDescent="0.25">
      <c r="G6448" s="10">
        <v>8210</v>
      </c>
      <c r="H6448" s="9">
        <v>58693</v>
      </c>
      <c r="I6448" s="14">
        <f>DATE(2012,12,31)-1167</f>
        <v>40107</v>
      </c>
      <c r="J6448" s="15" t="s">
        <v>25</v>
      </c>
      <c r="K6448" s="9">
        <v>50</v>
      </c>
      <c r="L6448" s="16" t="s">
        <v>26</v>
      </c>
      <c r="M6448" s="16">
        <f t="shared" si="603"/>
        <v>1.687010542718838</v>
      </c>
      <c r="N6448">
        <f t="shared" si="604"/>
        <v>0</v>
      </c>
      <c r="O6448">
        <f t="shared" si="605"/>
        <v>0</v>
      </c>
      <c r="P6448">
        <f t="shared" si="602"/>
        <v>5900</v>
      </c>
      <c r="Q6448">
        <f t="shared" si="606"/>
        <v>5900</v>
      </c>
      <c r="T6448" s="16">
        <f t="shared" si="607"/>
        <v>1.6870105427188375</v>
      </c>
    </row>
    <row r="6449" spans="7:20" ht="14.4" x14ac:dyDescent="0.25">
      <c r="G6449" s="10">
        <v>8228</v>
      </c>
      <c r="H6449" s="9">
        <v>58818</v>
      </c>
      <c r="I6449" s="14">
        <f>DATE(2012,12,31)-1356</f>
        <v>39918</v>
      </c>
      <c r="J6449" s="15" t="s">
        <v>30</v>
      </c>
      <c r="K6449" s="9">
        <v>41</v>
      </c>
      <c r="L6449" s="16" t="s">
        <v>27</v>
      </c>
      <c r="M6449" s="16">
        <f t="shared" si="603"/>
        <v>1.0654725531458451</v>
      </c>
      <c r="N6449">
        <f t="shared" si="604"/>
        <v>0</v>
      </c>
      <c r="O6449">
        <f t="shared" si="605"/>
        <v>0</v>
      </c>
      <c r="P6449">
        <f t="shared" si="602"/>
        <v>5450</v>
      </c>
      <c r="Q6449">
        <f t="shared" si="606"/>
        <v>5450</v>
      </c>
      <c r="T6449" s="16">
        <f t="shared" si="607"/>
        <v>1.0654725531458447</v>
      </c>
    </row>
    <row r="6450" spans="7:20" ht="14.4" x14ac:dyDescent="0.25">
      <c r="G6450" s="10">
        <v>8229</v>
      </c>
      <c r="H6450" s="9">
        <v>58818</v>
      </c>
      <c r="I6450" s="14">
        <f>DATE(2012,12,31)-1356</f>
        <v>39918</v>
      </c>
      <c r="J6450" s="15" t="s">
        <v>30</v>
      </c>
      <c r="K6450" s="9">
        <v>20</v>
      </c>
      <c r="L6450" s="16" t="s">
        <v>29</v>
      </c>
      <c r="M6450" s="16">
        <f t="shared" si="603"/>
        <v>-0.38478275585780503</v>
      </c>
      <c r="N6450">
        <f t="shared" si="604"/>
        <v>0</v>
      </c>
      <c r="O6450">
        <f t="shared" si="605"/>
        <v>0</v>
      </c>
      <c r="P6450">
        <f t="shared" si="602"/>
        <v>4400</v>
      </c>
      <c r="Q6450">
        <f t="shared" si="606"/>
        <v>4400</v>
      </c>
      <c r="T6450" s="16">
        <f t="shared" si="607"/>
        <v>-0.38478275585780541</v>
      </c>
    </row>
    <row r="6451" spans="7:20" ht="14.4" x14ac:dyDescent="0.25">
      <c r="G6451" s="10">
        <v>8277</v>
      </c>
      <c r="H6451" s="9">
        <v>59171</v>
      </c>
      <c r="I6451" s="14">
        <f>DATE(2012,12,31)-476</f>
        <v>40798</v>
      </c>
      <c r="J6451" s="15" t="s">
        <v>16</v>
      </c>
      <c r="K6451" s="9">
        <v>39</v>
      </c>
      <c r="L6451" s="16" t="s">
        <v>26</v>
      </c>
      <c r="M6451" s="16">
        <f t="shared" si="603"/>
        <v>0.92735299990740228</v>
      </c>
      <c r="N6451">
        <f t="shared" si="604"/>
        <v>0</v>
      </c>
      <c r="O6451">
        <f t="shared" si="605"/>
        <v>0</v>
      </c>
      <c r="P6451">
        <f t="shared" si="602"/>
        <v>5350</v>
      </c>
      <c r="Q6451">
        <f t="shared" si="606"/>
        <v>5350</v>
      </c>
      <c r="T6451" s="16">
        <f t="shared" si="607"/>
        <v>0.92735299990740183</v>
      </c>
    </row>
    <row r="6452" spans="7:20" ht="14.4" x14ac:dyDescent="0.25">
      <c r="G6452" s="10">
        <v>8301</v>
      </c>
      <c r="H6452" s="9">
        <v>59271</v>
      </c>
      <c r="I6452" s="14">
        <f>DATE(2012,12,31)-616</f>
        <v>40658</v>
      </c>
      <c r="J6452" s="15" t="s">
        <v>28</v>
      </c>
      <c r="K6452" s="9">
        <v>40</v>
      </c>
      <c r="L6452" s="16" t="s">
        <v>26</v>
      </c>
      <c r="M6452" s="16">
        <f t="shared" si="603"/>
        <v>0.99641277652662363</v>
      </c>
      <c r="N6452">
        <f t="shared" si="604"/>
        <v>0</v>
      </c>
      <c r="O6452">
        <f t="shared" si="605"/>
        <v>0</v>
      </c>
      <c r="P6452">
        <f t="shared" si="602"/>
        <v>5400</v>
      </c>
      <c r="Q6452">
        <f t="shared" si="606"/>
        <v>5400</v>
      </c>
      <c r="T6452" s="16">
        <f t="shared" si="607"/>
        <v>0.9964127765266233</v>
      </c>
    </row>
    <row r="6453" spans="7:20" ht="14.4" x14ac:dyDescent="0.25">
      <c r="G6453" s="10">
        <v>8302</v>
      </c>
      <c r="H6453" s="9">
        <v>59271</v>
      </c>
      <c r="I6453" s="14">
        <f>DATE(2012,12,31)-616</f>
        <v>40658</v>
      </c>
      <c r="J6453" s="15" t="s">
        <v>28</v>
      </c>
      <c r="K6453" s="9">
        <v>23</v>
      </c>
      <c r="L6453" s="16" t="s">
        <v>26</v>
      </c>
      <c r="M6453" s="16">
        <f t="shared" si="603"/>
        <v>-0.17760342600014073</v>
      </c>
      <c r="N6453">
        <f t="shared" si="604"/>
        <v>0</v>
      </c>
      <c r="O6453">
        <f t="shared" si="605"/>
        <v>0</v>
      </c>
      <c r="P6453">
        <f t="shared" si="602"/>
        <v>4550</v>
      </c>
      <c r="Q6453">
        <f t="shared" si="606"/>
        <v>4550</v>
      </c>
      <c r="T6453" s="16">
        <f t="shared" si="607"/>
        <v>-0.17760342600014112</v>
      </c>
    </row>
    <row r="6454" spans="7:20" ht="14.4" x14ac:dyDescent="0.25">
      <c r="G6454" s="10">
        <v>8347</v>
      </c>
      <c r="H6454" s="9">
        <v>59680</v>
      </c>
      <c r="I6454" s="14">
        <f>DATE(2012,12,31)-196</f>
        <v>41078</v>
      </c>
      <c r="J6454" s="15" t="s">
        <v>30</v>
      </c>
      <c r="K6454" s="9">
        <v>15</v>
      </c>
      <c r="L6454" s="16" t="s">
        <v>27</v>
      </c>
      <c r="M6454" s="16">
        <f t="shared" si="603"/>
        <v>-0.7300816389539122</v>
      </c>
      <c r="N6454">
        <f t="shared" si="604"/>
        <v>0</v>
      </c>
      <c r="O6454">
        <f t="shared" si="605"/>
        <v>0</v>
      </c>
      <c r="P6454">
        <f t="shared" si="602"/>
        <v>4150</v>
      </c>
      <c r="Q6454">
        <f t="shared" si="606"/>
        <v>4150</v>
      </c>
      <c r="T6454" s="16">
        <f t="shared" si="607"/>
        <v>-0.73008163895391265</v>
      </c>
    </row>
    <row r="6455" spans="7:20" ht="14.4" x14ac:dyDescent="0.25">
      <c r="G6455" s="10">
        <v>17</v>
      </c>
      <c r="H6455" s="9">
        <v>97</v>
      </c>
      <c r="I6455" s="14">
        <f>DATE(2012,12,31)-1068</f>
        <v>40206</v>
      </c>
      <c r="J6455" s="15" t="s">
        <v>16</v>
      </c>
      <c r="K6455" s="9">
        <v>26</v>
      </c>
      <c r="L6455" s="16" t="s">
        <v>26</v>
      </c>
      <c r="M6455" s="16">
        <f t="shared" si="603"/>
        <v>2.9575903857523567E-2</v>
      </c>
      <c r="N6455">
        <f t="shared" si="604"/>
        <v>0</v>
      </c>
      <c r="O6455">
        <f t="shared" si="605"/>
        <v>0</v>
      </c>
      <c r="P6455">
        <f t="shared" si="602"/>
        <v>4700</v>
      </c>
      <c r="Q6455">
        <f t="shared" si="606"/>
        <v>4700</v>
      </c>
      <c r="T6455" s="16">
        <f t="shared" si="607"/>
        <v>2.9575903857523185E-2</v>
      </c>
    </row>
    <row r="6456" spans="7:20" ht="14.4" x14ac:dyDescent="0.25">
      <c r="G6456" s="10">
        <v>54</v>
      </c>
      <c r="H6456" s="9">
        <v>323</v>
      </c>
      <c r="I6456" s="14">
        <f>DATE(2012,12,31)-1377</f>
        <v>39897</v>
      </c>
      <c r="J6456" s="15" t="s">
        <v>30</v>
      </c>
      <c r="K6456" s="9">
        <v>20</v>
      </c>
      <c r="L6456" s="16" t="s">
        <v>26</v>
      </c>
      <c r="M6456" s="16">
        <f t="shared" si="603"/>
        <v>-0.38478275585780503</v>
      </c>
      <c r="N6456">
        <f t="shared" si="604"/>
        <v>0</v>
      </c>
      <c r="O6456">
        <f t="shared" si="605"/>
        <v>0</v>
      </c>
      <c r="P6456">
        <f t="shared" si="602"/>
        <v>4400</v>
      </c>
      <c r="Q6456">
        <f t="shared" si="606"/>
        <v>4400</v>
      </c>
      <c r="T6456" s="16">
        <f t="shared" si="607"/>
        <v>-0.38478275585780541</v>
      </c>
    </row>
    <row r="6457" spans="7:20" ht="14.4" x14ac:dyDescent="0.25">
      <c r="G6457" s="10">
        <v>55</v>
      </c>
      <c r="H6457" s="9">
        <v>323</v>
      </c>
      <c r="I6457" s="14">
        <f>DATE(2012,12,31)-1377</f>
        <v>39897</v>
      </c>
      <c r="J6457" s="15" t="s">
        <v>30</v>
      </c>
      <c r="K6457" s="9">
        <v>2</v>
      </c>
      <c r="L6457" s="16" t="s">
        <v>26</v>
      </c>
      <c r="M6457" s="16">
        <f t="shared" si="603"/>
        <v>-1.627858735003791</v>
      </c>
      <c r="N6457">
        <f t="shared" si="604"/>
        <v>0</v>
      </c>
      <c r="O6457">
        <f t="shared" si="605"/>
        <v>0</v>
      </c>
      <c r="P6457">
        <f t="shared" si="602"/>
        <v>3500</v>
      </c>
      <c r="Q6457">
        <f t="shared" si="606"/>
        <v>3500</v>
      </c>
      <c r="T6457" s="16">
        <f t="shared" si="607"/>
        <v>-1.6278587350037912</v>
      </c>
    </row>
    <row r="6458" spans="7:20" ht="14.4" x14ac:dyDescent="0.25">
      <c r="G6458" s="10">
        <v>173</v>
      </c>
      <c r="H6458" s="9">
        <v>1095</v>
      </c>
      <c r="I6458" s="14">
        <f>DATE(2012,12,31)-498</f>
        <v>40776</v>
      </c>
      <c r="J6458" s="15" t="s">
        <v>16</v>
      </c>
      <c r="K6458" s="9">
        <v>28</v>
      </c>
      <c r="L6458" s="16" t="s">
        <v>26</v>
      </c>
      <c r="M6458" s="16">
        <f t="shared" si="603"/>
        <v>0.16769545709596645</v>
      </c>
      <c r="N6458">
        <f t="shared" si="604"/>
        <v>0</v>
      </c>
      <c r="O6458">
        <f t="shared" si="605"/>
        <v>0</v>
      </c>
      <c r="P6458">
        <f t="shared" si="602"/>
        <v>4800</v>
      </c>
      <c r="Q6458">
        <f t="shared" si="606"/>
        <v>4800</v>
      </c>
      <c r="T6458" s="16">
        <f t="shared" si="607"/>
        <v>0.16769545709596606</v>
      </c>
    </row>
    <row r="6459" spans="7:20" ht="14.4" x14ac:dyDescent="0.25">
      <c r="G6459" s="10">
        <v>367</v>
      </c>
      <c r="H6459" s="9">
        <v>2562</v>
      </c>
      <c r="I6459" s="14">
        <f>DATE(2012,12,31)-153</f>
        <v>41121</v>
      </c>
      <c r="J6459" s="15" t="s">
        <v>30</v>
      </c>
      <c r="K6459" s="9">
        <v>28</v>
      </c>
      <c r="L6459" s="16" t="s">
        <v>27</v>
      </c>
      <c r="M6459" s="16">
        <f t="shared" si="603"/>
        <v>0.16769545709596645</v>
      </c>
      <c r="N6459">
        <f t="shared" si="604"/>
        <v>0</v>
      </c>
      <c r="O6459">
        <f t="shared" si="605"/>
        <v>0</v>
      </c>
      <c r="P6459">
        <f t="shared" si="602"/>
        <v>4800</v>
      </c>
      <c r="Q6459">
        <f t="shared" si="606"/>
        <v>4800</v>
      </c>
      <c r="T6459" s="16">
        <f t="shared" si="607"/>
        <v>0.16769545709596606</v>
      </c>
    </row>
    <row r="6460" spans="7:20" ht="14.4" x14ac:dyDescent="0.25">
      <c r="G6460" s="10">
        <v>368</v>
      </c>
      <c r="H6460" s="9">
        <v>2562</v>
      </c>
      <c r="I6460" s="14">
        <f>DATE(2012,12,31)-153</f>
        <v>41121</v>
      </c>
      <c r="J6460" s="15" t="s">
        <v>30</v>
      </c>
      <c r="K6460" s="9">
        <v>6</v>
      </c>
      <c r="L6460" s="16" t="s">
        <v>26</v>
      </c>
      <c r="M6460" s="16">
        <f t="shared" si="603"/>
        <v>-1.3516196285269051</v>
      </c>
      <c r="N6460">
        <f t="shared" si="604"/>
        <v>0</v>
      </c>
      <c r="O6460">
        <f t="shared" si="605"/>
        <v>0</v>
      </c>
      <c r="P6460">
        <f t="shared" si="602"/>
        <v>3700</v>
      </c>
      <c r="Q6460">
        <f t="shared" si="606"/>
        <v>3700</v>
      </c>
      <c r="T6460" s="16">
        <f t="shared" si="607"/>
        <v>-1.3516196285269055</v>
      </c>
    </row>
    <row r="6461" spans="7:20" ht="14.4" x14ac:dyDescent="0.25">
      <c r="G6461" s="10">
        <v>369</v>
      </c>
      <c r="H6461" s="9">
        <v>2562</v>
      </c>
      <c r="I6461" s="14">
        <f>DATE(2012,12,31)-153</f>
        <v>41121</v>
      </c>
      <c r="J6461" s="15" t="s">
        <v>30</v>
      </c>
      <c r="K6461" s="9">
        <v>17</v>
      </c>
      <c r="L6461" s="16" t="s">
        <v>26</v>
      </c>
      <c r="M6461" s="16">
        <f t="shared" si="603"/>
        <v>-0.59196208571546938</v>
      </c>
      <c r="N6461">
        <f t="shared" si="604"/>
        <v>0</v>
      </c>
      <c r="O6461">
        <f t="shared" si="605"/>
        <v>0</v>
      </c>
      <c r="P6461">
        <f t="shared" si="602"/>
        <v>4250</v>
      </c>
      <c r="Q6461">
        <f t="shared" si="606"/>
        <v>4250</v>
      </c>
      <c r="T6461" s="16">
        <f t="shared" si="607"/>
        <v>-0.59196208571546971</v>
      </c>
    </row>
    <row r="6462" spans="7:20" ht="14.4" x14ac:dyDescent="0.25">
      <c r="G6462" s="10">
        <v>600</v>
      </c>
      <c r="H6462" s="9">
        <v>4099</v>
      </c>
      <c r="I6462" s="14">
        <f>DATE(2012,12,31)-133</f>
        <v>41141</v>
      </c>
      <c r="J6462" s="15" t="s">
        <v>30</v>
      </c>
      <c r="K6462" s="9">
        <v>42</v>
      </c>
      <c r="L6462" s="16" t="s">
        <v>26</v>
      </c>
      <c r="M6462" s="16">
        <f t="shared" si="603"/>
        <v>1.1345323297650665</v>
      </c>
      <c r="N6462">
        <f t="shared" si="604"/>
        <v>0</v>
      </c>
      <c r="O6462">
        <f t="shared" si="605"/>
        <v>0</v>
      </c>
      <c r="P6462">
        <f t="shared" si="602"/>
        <v>5500</v>
      </c>
      <c r="Q6462">
        <f t="shared" si="606"/>
        <v>5500</v>
      </c>
      <c r="T6462" s="16">
        <f t="shared" si="607"/>
        <v>1.1345323297650662</v>
      </c>
    </row>
    <row r="6463" spans="7:20" ht="14.4" x14ac:dyDescent="0.25">
      <c r="G6463" s="10">
        <v>601</v>
      </c>
      <c r="H6463" s="9">
        <v>4099</v>
      </c>
      <c r="I6463" s="14">
        <f>DATE(2012,12,31)-133</f>
        <v>41141</v>
      </c>
      <c r="J6463" s="15" t="s">
        <v>30</v>
      </c>
      <c r="K6463" s="9">
        <v>12</v>
      </c>
      <c r="L6463" s="16" t="s">
        <v>26</v>
      </c>
      <c r="M6463" s="16">
        <f t="shared" si="603"/>
        <v>-0.9372609688115765</v>
      </c>
      <c r="N6463">
        <f t="shared" si="604"/>
        <v>0</v>
      </c>
      <c r="O6463">
        <f t="shared" si="605"/>
        <v>0</v>
      </c>
      <c r="P6463">
        <f t="shared" si="602"/>
        <v>4000</v>
      </c>
      <c r="Q6463">
        <f t="shared" si="606"/>
        <v>4000</v>
      </c>
      <c r="T6463" s="16">
        <f t="shared" si="607"/>
        <v>-0.93726096881157694</v>
      </c>
    </row>
    <row r="6464" spans="7:20" ht="14.4" x14ac:dyDescent="0.25">
      <c r="G6464" s="10">
        <v>602</v>
      </c>
      <c r="H6464" s="9">
        <v>4099</v>
      </c>
      <c r="I6464" s="14">
        <f>DATE(2012,12,31)-133</f>
        <v>41141</v>
      </c>
      <c r="J6464" s="15" t="s">
        <v>30</v>
      </c>
      <c r="K6464" s="9">
        <v>4</v>
      </c>
      <c r="L6464" s="16" t="s">
        <v>29</v>
      </c>
      <c r="M6464" s="16">
        <f t="shared" si="603"/>
        <v>-1.489739181765348</v>
      </c>
      <c r="N6464">
        <f t="shared" si="604"/>
        <v>0</v>
      </c>
      <c r="O6464">
        <f t="shared" si="605"/>
        <v>0</v>
      </c>
      <c r="P6464">
        <f t="shared" si="602"/>
        <v>3600</v>
      </c>
      <c r="Q6464">
        <f t="shared" si="606"/>
        <v>3600</v>
      </c>
      <c r="T6464" s="16">
        <f t="shared" si="607"/>
        <v>-1.4897391817653485</v>
      </c>
    </row>
    <row r="6465" spans="7:20" ht="14.4" x14ac:dyDescent="0.25">
      <c r="G6465" s="10">
        <v>603</v>
      </c>
      <c r="H6465" s="9">
        <v>4099</v>
      </c>
      <c r="I6465" s="14">
        <f>DATE(2012,12,31)-133</f>
        <v>41141</v>
      </c>
      <c r="J6465" s="15" t="s">
        <v>30</v>
      </c>
      <c r="K6465" s="9">
        <v>39</v>
      </c>
      <c r="L6465" s="16" t="s">
        <v>27</v>
      </c>
      <c r="M6465" s="16">
        <f t="shared" si="603"/>
        <v>0.92735299990740228</v>
      </c>
      <c r="N6465">
        <f t="shared" si="604"/>
        <v>0</v>
      </c>
      <c r="O6465">
        <f t="shared" si="605"/>
        <v>0</v>
      </c>
      <c r="P6465">
        <f t="shared" si="602"/>
        <v>5350</v>
      </c>
      <c r="Q6465">
        <f t="shared" si="606"/>
        <v>5350</v>
      </c>
      <c r="T6465" s="16">
        <f t="shared" si="607"/>
        <v>0.92735299990740183</v>
      </c>
    </row>
    <row r="6466" spans="7:20" ht="14.4" x14ac:dyDescent="0.25">
      <c r="G6466" s="10">
        <v>770</v>
      </c>
      <c r="H6466" s="9">
        <v>5509</v>
      </c>
      <c r="I6466" s="14">
        <f>DATE(2012,12,31)-1364</f>
        <v>39910</v>
      </c>
      <c r="J6466" s="15" t="s">
        <v>25</v>
      </c>
      <c r="K6466" s="9">
        <v>11</v>
      </c>
      <c r="L6466" s="16" t="s">
        <v>26</v>
      </c>
      <c r="M6466" s="16">
        <f t="shared" si="603"/>
        <v>-1.0063207454307979</v>
      </c>
      <c r="N6466">
        <f t="shared" si="604"/>
        <v>0</v>
      </c>
      <c r="O6466">
        <f t="shared" si="605"/>
        <v>0</v>
      </c>
      <c r="P6466">
        <f t="shared" si="602"/>
        <v>3950</v>
      </c>
      <c r="Q6466">
        <f t="shared" si="606"/>
        <v>3950</v>
      </c>
      <c r="T6466" s="16">
        <f t="shared" si="607"/>
        <v>-1.0063207454307983</v>
      </c>
    </row>
    <row r="6467" spans="7:20" ht="14.4" x14ac:dyDescent="0.25">
      <c r="G6467" s="10">
        <v>771</v>
      </c>
      <c r="H6467" s="9">
        <v>5509</v>
      </c>
      <c r="I6467" s="14">
        <f>DATE(2012,12,31)-1364</f>
        <v>39910</v>
      </c>
      <c r="J6467" s="15" t="s">
        <v>25</v>
      </c>
      <c r="K6467" s="9">
        <v>21</v>
      </c>
      <c r="L6467" s="16" t="s">
        <v>29</v>
      </c>
      <c r="M6467" s="16">
        <f t="shared" si="603"/>
        <v>-0.31572297923858361</v>
      </c>
      <c r="N6467">
        <f t="shared" si="604"/>
        <v>0</v>
      </c>
      <c r="O6467">
        <f t="shared" si="605"/>
        <v>0</v>
      </c>
      <c r="P6467">
        <f t="shared" si="602"/>
        <v>4450</v>
      </c>
      <c r="Q6467">
        <f t="shared" si="606"/>
        <v>4450</v>
      </c>
      <c r="T6467" s="16">
        <f t="shared" si="607"/>
        <v>-0.315722979238584</v>
      </c>
    </row>
    <row r="6468" spans="7:20" ht="14.4" x14ac:dyDescent="0.25">
      <c r="G6468" s="10">
        <v>1107</v>
      </c>
      <c r="H6468" s="9">
        <v>8132</v>
      </c>
      <c r="I6468" s="14">
        <f>DATE(2012,12,31)-1327</f>
        <v>39947</v>
      </c>
      <c r="J6468" s="15" t="s">
        <v>25</v>
      </c>
      <c r="K6468" s="9">
        <v>46</v>
      </c>
      <c r="L6468" s="16" t="s">
        <v>27</v>
      </c>
      <c r="M6468" s="16">
        <f t="shared" si="603"/>
        <v>1.4107714362419523</v>
      </c>
      <c r="N6468">
        <f t="shared" si="604"/>
        <v>0</v>
      </c>
      <c r="O6468">
        <f t="shared" si="605"/>
        <v>0</v>
      </c>
      <c r="P6468">
        <f t="shared" si="602"/>
        <v>5700</v>
      </c>
      <c r="Q6468">
        <f t="shared" si="606"/>
        <v>5700</v>
      </c>
      <c r="T6468" s="16">
        <f t="shared" si="607"/>
        <v>1.4107714362419519</v>
      </c>
    </row>
    <row r="6469" spans="7:20" ht="14.4" x14ac:dyDescent="0.25">
      <c r="G6469" s="10">
        <v>1108</v>
      </c>
      <c r="H6469" s="9">
        <v>8132</v>
      </c>
      <c r="I6469" s="14">
        <f>DATE(2012,12,31)-1327</f>
        <v>39947</v>
      </c>
      <c r="J6469" s="15" t="s">
        <v>25</v>
      </c>
      <c r="K6469" s="9">
        <v>45</v>
      </c>
      <c r="L6469" s="16" t="s">
        <v>26</v>
      </c>
      <c r="M6469" s="16">
        <f t="shared" si="603"/>
        <v>1.3417116596227308</v>
      </c>
      <c r="N6469">
        <f t="shared" si="604"/>
        <v>0</v>
      </c>
      <c r="O6469">
        <f t="shared" si="605"/>
        <v>0</v>
      </c>
      <c r="P6469">
        <f t="shared" si="602"/>
        <v>5650</v>
      </c>
      <c r="Q6469">
        <f t="shared" si="606"/>
        <v>5650</v>
      </c>
      <c r="T6469" s="16">
        <f t="shared" si="607"/>
        <v>1.3417116596227305</v>
      </c>
    </row>
    <row r="6470" spans="7:20" ht="14.4" x14ac:dyDescent="0.25">
      <c r="G6470" s="10">
        <v>1209</v>
      </c>
      <c r="H6470" s="9">
        <v>8868</v>
      </c>
      <c r="I6470" s="14">
        <f>DATE(2012,12,31)-1433</f>
        <v>39841</v>
      </c>
      <c r="J6470" s="15" t="s">
        <v>25</v>
      </c>
      <c r="K6470" s="9">
        <v>3</v>
      </c>
      <c r="L6470" s="16" t="s">
        <v>26</v>
      </c>
      <c r="M6470" s="16">
        <f t="shared" si="603"/>
        <v>-1.5587989583845694</v>
      </c>
      <c r="N6470">
        <f t="shared" si="604"/>
        <v>0</v>
      </c>
      <c r="O6470">
        <f t="shared" si="605"/>
        <v>0</v>
      </c>
      <c r="P6470">
        <f t="shared" si="602"/>
        <v>3550</v>
      </c>
      <c r="Q6470">
        <f t="shared" si="606"/>
        <v>3550</v>
      </c>
      <c r="T6470" s="16">
        <f t="shared" si="607"/>
        <v>-1.5587989583845698</v>
      </c>
    </row>
    <row r="6471" spans="7:20" ht="14.4" x14ac:dyDescent="0.25">
      <c r="G6471" s="10">
        <v>1210</v>
      </c>
      <c r="H6471" s="9">
        <v>8868</v>
      </c>
      <c r="I6471" s="14">
        <f>DATE(2012,12,31)-1433</f>
        <v>39841</v>
      </c>
      <c r="J6471" s="15" t="s">
        <v>25</v>
      </c>
      <c r="K6471" s="9">
        <v>34</v>
      </c>
      <c r="L6471" s="16" t="s">
        <v>26</v>
      </c>
      <c r="M6471" s="16">
        <f t="shared" si="603"/>
        <v>0.58205411681129504</v>
      </c>
      <c r="N6471">
        <f t="shared" si="604"/>
        <v>0</v>
      </c>
      <c r="O6471">
        <f t="shared" si="605"/>
        <v>0</v>
      </c>
      <c r="P6471">
        <f t="shared" si="602"/>
        <v>5100</v>
      </c>
      <c r="Q6471">
        <f t="shared" si="606"/>
        <v>5100</v>
      </c>
      <c r="T6471" s="16">
        <f t="shared" si="607"/>
        <v>0.58205411681129471</v>
      </c>
    </row>
    <row r="6472" spans="7:20" ht="14.4" x14ac:dyDescent="0.25">
      <c r="G6472" s="10">
        <v>1351</v>
      </c>
      <c r="H6472" s="9">
        <v>9857</v>
      </c>
      <c r="I6472" s="14">
        <f>DATE(2012,12,31)-965</f>
        <v>40309</v>
      </c>
      <c r="J6472" s="15" t="s">
        <v>17</v>
      </c>
      <c r="K6472" s="9">
        <v>50</v>
      </c>
      <c r="L6472" s="16" t="s">
        <v>27</v>
      </c>
      <c r="M6472" s="16">
        <f t="shared" si="603"/>
        <v>1.687010542718838</v>
      </c>
      <c r="N6472">
        <f t="shared" si="604"/>
        <v>0</v>
      </c>
      <c r="O6472">
        <f t="shared" si="605"/>
        <v>0</v>
      </c>
      <c r="P6472">
        <f t="shared" si="602"/>
        <v>5900</v>
      </c>
      <c r="Q6472">
        <f t="shared" si="606"/>
        <v>5900</v>
      </c>
      <c r="T6472" s="16">
        <f t="shared" si="607"/>
        <v>1.6870105427188375</v>
      </c>
    </row>
    <row r="6473" spans="7:20" ht="14.4" x14ac:dyDescent="0.25">
      <c r="G6473" s="10">
        <v>1407</v>
      </c>
      <c r="H6473" s="9">
        <v>10213</v>
      </c>
      <c r="I6473" s="14">
        <f>DATE(2012,12,31)-683</f>
        <v>40591</v>
      </c>
      <c r="J6473" s="15" t="s">
        <v>17</v>
      </c>
      <c r="K6473" s="9">
        <v>12</v>
      </c>
      <c r="L6473" s="16" t="s">
        <v>27</v>
      </c>
      <c r="M6473" s="16">
        <f t="shared" si="603"/>
        <v>-0.9372609688115765</v>
      </c>
      <c r="N6473">
        <f t="shared" si="604"/>
        <v>0</v>
      </c>
      <c r="O6473">
        <f t="shared" si="605"/>
        <v>0</v>
      </c>
      <c r="P6473">
        <f t="shared" si="602"/>
        <v>4000</v>
      </c>
      <c r="Q6473">
        <f t="shared" si="606"/>
        <v>4000</v>
      </c>
      <c r="T6473" s="16">
        <f t="shared" si="607"/>
        <v>-0.93726096881157694</v>
      </c>
    </row>
    <row r="6474" spans="7:20" ht="14.4" x14ac:dyDescent="0.25">
      <c r="G6474" s="10">
        <v>1505</v>
      </c>
      <c r="H6474" s="9">
        <v>10884</v>
      </c>
      <c r="I6474" s="14">
        <f>DATE(2012,12,31)-1132</f>
        <v>40142</v>
      </c>
      <c r="J6474" s="15" t="s">
        <v>25</v>
      </c>
      <c r="K6474" s="9">
        <v>24</v>
      </c>
      <c r="L6474" s="16" t="s">
        <v>27</v>
      </c>
      <c r="M6474" s="16">
        <f t="shared" si="603"/>
        <v>-0.1085436493809193</v>
      </c>
      <c r="N6474">
        <f t="shared" si="604"/>
        <v>0</v>
      </c>
      <c r="O6474">
        <f t="shared" si="605"/>
        <v>0</v>
      </c>
      <c r="P6474">
        <f t="shared" si="602"/>
        <v>4600</v>
      </c>
      <c r="Q6474">
        <f t="shared" si="606"/>
        <v>4600</v>
      </c>
      <c r="T6474" s="16">
        <f t="shared" si="607"/>
        <v>-0.10854364938091969</v>
      </c>
    </row>
    <row r="6475" spans="7:20" ht="14.4" x14ac:dyDescent="0.25">
      <c r="G6475" s="10">
        <v>1638</v>
      </c>
      <c r="H6475" s="9">
        <v>11843</v>
      </c>
      <c r="I6475" s="14">
        <f>DATE(2012,12,31)-1263</f>
        <v>40011</v>
      </c>
      <c r="J6475" s="15" t="s">
        <v>16</v>
      </c>
      <c r="K6475" s="9">
        <v>42</v>
      </c>
      <c r="L6475" s="16" t="s">
        <v>27</v>
      </c>
      <c r="M6475" s="16">
        <f t="shared" si="603"/>
        <v>1.1345323297650665</v>
      </c>
      <c r="N6475">
        <f t="shared" si="604"/>
        <v>0</v>
      </c>
      <c r="O6475">
        <f t="shared" si="605"/>
        <v>0</v>
      </c>
      <c r="P6475">
        <f t="shared" si="602"/>
        <v>5500</v>
      </c>
      <c r="Q6475">
        <f t="shared" si="606"/>
        <v>5500</v>
      </c>
      <c r="T6475" s="16">
        <f t="shared" si="607"/>
        <v>1.1345323297650662</v>
      </c>
    </row>
    <row r="6476" spans="7:20" ht="14.4" x14ac:dyDescent="0.25">
      <c r="G6476" s="10">
        <v>1639</v>
      </c>
      <c r="H6476" s="9">
        <v>11843</v>
      </c>
      <c r="I6476" s="14">
        <f>DATE(2012,12,31)-1263</f>
        <v>40011</v>
      </c>
      <c r="J6476" s="15" t="s">
        <v>16</v>
      </c>
      <c r="K6476" s="9">
        <v>9</v>
      </c>
      <c r="L6476" s="16" t="s">
        <v>27</v>
      </c>
      <c r="M6476" s="16">
        <f t="shared" si="603"/>
        <v>-1.1444402986692408</v>
      </c>
      <c r="N6476">
        <f t="shared" si="604"/>
        <v>0</v>
      </c>
      <c r="O6476">
        <f t="shared" si="605"/>
        <v>0</v>
      </c>
      <c r="P6476">
        <f t="shared" ref="P6476:P6539" si="608">50*K6476+$P$10</f>
        <v>3850</v>
      </c>
      <c r="Q6476">
        <f t="shared" si="606"/>
        <v>3850</v>
      </c>
      <c r="T6476" s="16">
        <f t="shared" si="607"/>
        <v>-1.1444402986692412</v>
      </c>
    </row>
    <row r="6477" spans="7:20" ht="14.4" x14ac:dyDescent="0.25">
      <c r="G6477" s="10">
        <v>1679</v>
      </c>
      <c r="H6477" s="9">
        <v>12099</v>
      </c>
      <c r="I6477" s="14">
        <f>DATE(2012,12,31)-1207</f>
        <v>40067</v>
      </c>
      <c r="J6477" s="15" t="s">
        <v>30</v>
      </c>
      <c r="K6477" s="9">
        <v>1</v>
      </c>
      <c r="L6477" s="16" t="s">
        <v>26</v>
      </c>
      <c r="M6477" s="16">
        <f t="shared" ref="M6477:M6540" si="609">(K6477-$K$4)/$K$7</f>
        <v>-1.6969185116230123</v>
      </c>
      <c r="N6477">
        <f t="shared" ref="N6477:N6540" si="610">IF(MOD($B$20+G6477,1000)=0,1,0)</f>
        <v>0</v>
      </c>
      <c r="O6477">
        <f t="shared" ref="O6477:O6540" si="611">+ROUND(N6477*(IF(K6477&lt;$K$4,-4.5,10.5)*$P$5),-2)</f>
        <v>0</v>
      </c>
      <c r="P6477">
        <f t="shared" si="608"/>
        <v>3450</v>
      </c>
      <c r="Q6477">
        <f t="shared" ref="Q6477:Q6540" si="612">P6477+O6477</f>
        <v>3450</v>
      </c>
      <c r="T6477" s="16">
        <f t="shared" ref="T6477:T6540" si="613">(Q6477-$P$4)/$P$5</f>
        <v>-1.6969185116230128</v>
      </c>
    </row>
    <row r="6478" spans="7:20" ht="14.4" x14ac:dyDescent="0.25">
      <c r="G6478" s="10">
        <v>1680</v>
      </c>
      <c r="H6478" s="9">
        <v>12099</v>
      </c>
      <c r="I6478" s="14">
        <f>DATE(2012,12,31)-1207</f>
        <v>40067</v>
      </c>
      <c r="J6478" s="15" t="s">
        <v>30</v>
      </c>
      <c r="K6478" s="9">
        <v>48</v>
      </c>
      <c r="L6478" s="16" t="s">
        <v>26</v>
      </c>
      <c r="M6478" s="16">
        <f t="shared" si="609"/>
        <v>1.5488909894803951</v>
      </c>
      <c r="N6478">
        <f t="shared" si="610"/>
        <v>0</v>
      </c>
      <c r="O6478">
        <f t="shared" si="611"/>
        <v>0</v>
      </c>
      <c r="P6478">
        <f t="shared" si="608"/>
        <v>5800</v>
      </c>
      <c r="Q6478">
        <f t="shared" si="612"/>
        <v>5800</v>
      </c>
      <c r="T6478" s="16">
        <f t="shared" si="613"/>
        <v>1.5488909894803948</v>
      </c>
    </row>
    <row r="6479" spans="7:20" ht="14.4" x14ac:dyDescent="0.25">
      <c r="G6479" s="10">
        <v>1726</v>
      </c>
      <c r="H6479" s="9">
        <v>12418</v>
      </c>
      <c r="I6479" s="14">
        <f>DATE(2012,12,31)-317</f>
        <v>40957</v>
      </c>
      <c r="J6479" s="15" t="s">
        <v>28</v>
      </c>
      <c r="K6479" s="9">
        <v>38</v>
      </c>
      <c r="L6479" s="16" t="s">
        <v>26</v>
      </c>
      <c r="M6479" s="16">
        <f t="shared" si="609"/>
        <v>0.85829322328818081</v>
      </c>
      <c r="N6479">
        <f t="shared" si="610"/>
        <v>0</v>
      </c>
      <c r="O6479">
        <f t="shared" si="611"/>
        <v>0</v>
      </c>
      <c r="P6479">
        <f t="shared" si="608"/>
        <v>5300</v>
      </c>
      <c r="Q6479">
        <f t="shared" si="612"/>
        <v>5300</v>
      </c>
      <c r="T6479" s="16">
        <f t="shared" si="613"/>
        <v>0.85829322328818036</v>
      </c>
    </row>
    <row r="6480" spans="7:20" ht="14.4" x14ac:dyDescent="0.25">
      <c r="G6480" s="10">
        <v>1944</v>
      </c>
      <c r="H6480" s="9">
        <v>13923</v>
      </c>
      <c r="I6480" s="14">
        <f>DATE(2012,12,31)-176</f>
        <v>41098</v>
      </c>
      <c r="J6480" s="15" t="s">
        <v>17</v>
      </c>
      <c r="K6480" s="9">
        <v>39</v>
      </c>
      <c r="L6480" s="16" t="s">
        <v>26</v>
      </c>
      <c r="M6480" s="16">
        <f t="shared" si="609"/>
        <v>0.92735299990740228</v>
      </c>
      <c r="N6480">
        <f t="shared" si="610"/>
        <v>0</v>
      </c>
      <c r="O6480">
        <f t="shared" si="611"/>
        <v>0</v>
      </c>
      <c r="P6480">
        <f t="shared" si="608"/>
        <v>5350</v>
      </c>
      <c r="Q6480">
        <f t="shared" si="612"/>
        <v>5350</v>
      </c>
      <c r="T6480" s="16">
        <f t="shared" si="613"/>
        <v>0.92735299990740183</v>
      </c>
    </row>
    <row r="6481" spans="7:20" ht="14.4" x14ac:dyDescent="0.25">
      <c r="G6481" s="10">
        <v>1945</v>
      </c>
      <c r="H6481" s="9">
        <v>13923</v>
      </c>
      <c r="I6481" s="14">
        <f>DATE(2012,12,31)-176</f>
        <v>41098</v>
      </c>
      <c r="J6481" s="15" t="s">
        <v>17</v>
      </c>
      <c r="K6481" s="9">
        <v>49</v>
      </c>
      <c r="L6481" s="16" t="s">
        <v>26</v>
      </c>
      <c r="M6481" s="16">
        <f t="shared" si="609"/>
        <v>1.6179507660996166</v>
      </c>
      <c r="N6481">
        <f t="shared" si="610"/>
        <v>0</v>
      </c>
      <c r="O6481">
        <f t="shared" si="611"/>
        <v>0</v>
      </c>
      <c r="P6481">
        <f t="shared" si="608"/>
        <v>5850</v>
      </c>
      <c r="Q6481">
        <f t="shared" si="612"/>
        <v>5850</v>
      </c>
      <c r="T6481" s="16">
        <f t="shared" si="613"/>
        <v>1.6179507660996162</v>
      </c>
    </row>
    <row r="6482" spans="7:20" ht="14.4" x14ac:dyDescent="0.25">
      <c r="G6482" s="10">
        <v>1946</v>
      </c>
      <c r="H6482" s="9">
        <v>13923</v>
      </c>
      <c r="I6482" s="14">
        <f>DATE(2012,12,31)-176</f>
        <v>41098</v>
      </c>
      <c r="J6482" s="15" t="s">
        <v>17</v>
      </c>
      <c r="K6482" s="9">
        <v>27</v>
      </c>
      <c r="L6482" s="16" t="s">
        <v>26</v>
      </c>
      <c r="M6482" s="16">
        <f t="shared" si="609"/>
        <v>9.8635680476745008E-2</v>
      </c>
      <c r="N6482">
        <f t="shared" si="610"/>
        <v>0</v>
      </c>
      <c r="O6482">
        <f t="shared" si="611"/>
        <v>0</v>
      </c>
      <c r="P6482">
        <f t="shared" si="608"/>
        <v>4750</v>
      </c>
      <c r="Q6482">
        <f t="shared" si="612"/>
        <v>4750</v>
      </c>
      <c r="T6482" s="16">
        <f t="shared" si="613"/>
        <v>9.8635680476744619E-2</v>
      </c>
    </row>
    <row r="6483" spans="7:20" ht="14.4" x14ac:dyDescent="0.25">
      <c r="G6483" s="10">
        <v>2028</v>
      </c>
      <c r="H6483" s="9">
        <v>14439</v>
      </c>
      <c r="I6483" s="14">
        <f>DATE(2012,12,31)-123</f>
        <v>41151</v>
      </c>
      <c r="J6483" s="15" t="s">
        <v>17</v>
      </c>
      <c r="K6483" s="9">
        <v>27</v>
      </c>
      <c r="L6483" s="16" t="s">
        <v>26</v>
      </c>
      <c r="M6483" s="16">
        <f t="shared" si="609"/>
        <v>9.8635680476745008E-2</v>
      </c>
      <c r="N6483">
        <f t="shared" si="610"/>
        <v>0</v>
      </c>
      <c r="O6483">
        <f t="shared" si="611"/>
        <v>0</v>
      </c>
      <c r="P6483">
        <f t="shared" si="608"/>
        <v>4750</v>
      </c>
      <c r="Q6483">
        <f t="shared" si="612"/>
        <v>4750</v>
      </c>
      <c r="T6483" s="16">
        <f t="shared" si="613"/>
        <v>9.8635680476744619E-2</v>
      </c>
    </row>
    <row r="6484" spans="7:20" ht="14.4" x14ac:dyDescent="0.25">
      <c r="G6484" s="10">
        <v>2310</v>
      </c>
      <c r="H6484" s="9">
        <v>16643</v>
      </c>
      <c r="I6484" s="14">
        <f>DATE(2012,12,31)-995</f>
        <v>40279</v>
      </c>
      <c r="J6484" s="15" t="s">
        <v>25</v>
      </c>
      <c r="K6484" s="9">
        <v>40</v>
      </c>
      <c r="L6484" s="16" t="s">
        <v>26</v>
      </c>
      <c r="M6484" s="16">
        <f t="shared" si="609"/>
        <v>0.99641277652662363</v>
      </c>
      <c r="N6484">
        <f t="shared" si="610"/>
        <v>0</v>
      </c>
      <c r="O6484">
        <f t="shared" si="611"/>
        <v>0</v>
      </c>
      <c r="P6484">
        <f t="shared" si="608"/>
        <v>5400</v>
      </c>
      <c r="Q6484">
        <f t="shared" si="612"/>
        <v>5400</v>
      </c>
      <c r="T6484" s="16">
        <f t="shared" si="613"/>
        <v>0.9964127765266233</v>
      </c>
    </row>
    <row r="6485" spans="7:20" ht="14.4" x14ac:dyDescent="0.25">
      <c r="G6485" s="10">
        <v>2311</v>
      </c>
      <c r="H6485" s="9">
        <v>16643</v>
      </c>
      <c r="I6485" s="14">
        <f>DATE(2012,12,31)-995</f>
        <v>40279</v>
      </c>
      <c r="J6485" s="15" t="s">
        <v>25</v>
      </c>
      <c r="K6485" s="9">
        <v>46</v>
      </c>
      <c r="L6485" s="16" t="s">
        <v>26</v>
      </c>
      <c r="M6485" s="16">
        <f t="shared" si="609"/>
        <v>1.4107714362419523</v>
      </c>
      <c r="N6485">
        <f t="shared" si="610"/>
        <v>0</v>
      </c>
      <c r="O6485">
        <f t="shared" si="611"/>
        <v>0</v>
      </c>
      <c r="P6485">
        <f t="shared" si="608"/>
        <v>5700</v>
      </c>
      <c r="Q6485">
        <f t="shared" si="612"/>
        <v>5700</v>
      </c>
      <c r="T6485" s="16">
        <f t="shared" si="613"/>
        <v>1.4107714362419519</v>
      </c>
    </row>
    <row r="6486" spans="7:20" ht="14.4" x14ac:dyDescent="0.25">
      <c r="G6486" s="10">
        <v>2337</v>
      </c>
      <c r="H6486" s="9">
        <v>16807</v>
      </c>
      <c r="I6486" s="14">
        <f>DATE(2012,12,31)-351</f>
        <v>40923</v>
      </c>
      <c r="J6486" s="15" t="s">
        <v>16</v>
      </c>
      <c r="K6486" s="9">
        <v>48</v>
      </c>
      <c r="L6486" s="16" t="s">
        <v>26</v>
      </c>
      <c r="M6486" s="16">
        <f t="shared" si="609"/>
        <v>1.5488909894803951</v>
      </c>
      <c r="N6486">
        <f t="shared" si="610"/>
        <v>0</v>
      </c>
      <c r="O6486">
        <f t="shared" si="611"/>
        <v>0</v>
      </c>
      <c r="P6486">
        <f t="shared" si="608"/>
        <v>5800</v>
      </c>
      <c r="Q6486">
        <f t="shared" si="612"/>
        <v>5800</v>
      </c>
      <c r="T6486" s="16">
        <f t="shared" si="613"/>
        <v>1.5488909894803948</v>
      </c>
    </row>
    <row r="6487" spans="7:20" ht="14.4" x14ac:dyDescent="0.25">
      <c r="G6487" s="10">
        <v>2338</v>
      </c>
      <c r="H6487" s="9">
        <v>16807</v>
      </c>
      <c r="I6487" s="14">
        <f>DATE(2012,12,31)-351</f>
        <v>40923</v>
      </c>
      <c r="J6487" s="15" t="s">
        <v>16</v>
      </c>
      <c r="K6487" s="9">
        <v>30</v>
      </c>
      <c r="L6487" s="16" t="s">
        <v>26</v>
      </c>
      <c r="M6487" s="16">
        <f t="shared" si="609"/>
        <v>0.30581501033440933</v>
      </c>
      <c r="N6487">
        <f t="shared" si="610"/>
        <v>0</v>
      </c>
      <c r="O6487">
        <f t="shared" si="611"/>
        <v>0</v>
      </c>
      <c r="P6487">
        <f t="shared" si="608"/>
        <v>4900</v>
      </c>
      <c r="Q6487">
        <f t="shared" si="612"/>
        <v>4900</v>
      </c>
      <c r="T6487" s="16">
        <f t="shared" si="613"/>
        <v>0.30581501033440894</v>
      </c>
    </row>
    <row r="6488" spans="7:20" ht="14.4" x14ac:dyDescent="0.25">
      <c r="G6488" s="10">
        <v>2342</v>
      </c>
      <c r="H6488" s="9">
        <v>16864</v>
      </c>
      <c r="I6488" s="14">
        <f>DATE(2012,12,31)-63</f>
        <v>41211</v>
      </c>
      <c r="J6488" s="15" t="s">
        <v>28</v>
      </c>
      <c r="K6488" s="9">
        <v>42</v>
      </c>
      <c r="L6488" s="16" t="s">
        <v>29</v>
      </c>
      <c r="M6488" s="16">
        <f t="shared" si="609"/>
        <v>1.1345323297650665</v>
      </c>
      <c r="N6488">
        <f t="shared" si="610"/>
        <v>0</v>
      </c>
      <c r="O6488">
        <f t="shared" si="611"/>
        <v>0</v>
      </c>
      <c r="P6488">
        <f t="shared" si="608"/>
        <v>5500</v>
      </c>
      <c r="Q6488">
        <f t="shared" si="612"/>
        <v>5500</v>
      </c>
      <c r="T6488" s="16">
        <f t="shared" si="613"/>
        <v>1.1345323297650662</v>
      </c>
    </row>
    <row r="6489" spans="7:20" ht="14.4" x14ac:dyDescent="0.25">
      <c r="G6489" s="10">
        <v>2494</v>
      </c>
      <c r="H6489" s="9">
        <v>18147</v>
      </c>
      <c r="I6489" s="14">
        <f>DATE(2012,12,31)-1263</f>
        <v>40011</v>
      </c>
      <c r="J6489" s="15" t="s">
        <v>28</v>
      </c>
      <c r="K6489" s="9">
        <v>42</v>
      </c>
      <c r="L6489" s="16" t="s">
        <v>26</v>
      </c>
      <c r="M6489" s="16">
        <f t="shared" si="609"/>
        <v>1.1345323297650665</v>
      </c>
      <c r="N6489">
        <f t="shared" si="610"/>
        <v>0</v>
      </c>
      <c r="O6489">
        <f t="shared" si="611"/>
        <v>0</v>
      </c>
      <c r="P6489">
        <f t="shared" si="608"/>
        <v>5500</v>
      </c>
      <c r="Q6489">
        <f t="shared" si="612"/>
        <v>5500</v>
      </c>
      <c r="T6489" s="16">
        <f t="shared" si="613"/>
        <v>1.1345323297650662</v>
      </c>
    </row>
    <row r="6490" spans="7:20" ht="14.4" x14ac:dyDescent="0.25">
      <c r="G6490" s="10">
        <v>2495</v>
      </c>
      <c r="H6490" s="9">
        <v>18147</v>
      </c>
      <c r="I6490" s="14">
        <f>DATE(2012,12,31)-1263</f>
        <v>40011</v>
      </c>
      <c r="J6490" s="15" t="s">
        <v>28</v>
      </c>
      <c r="K6490" s="9">
        <v>50</v>
      </c>
      <c r="L6490" s="16" t="s">
        <v>26</v>
      </c>
      <c r="M6490" s="16">
        <f t="shared" si="609"/>
        <v>1.687010542718838</v>
      </c>
      <c r="N6490">
        <f t="shared" si="610"/>
        <v>0</v>
      </c>
      <c r="O6490">
        <f t="shared" si="611"/>
        <v>0</v>
      </c>
      <c r="P6490">
        <f t="shared" si="608"/>
        <v>5900</v>
      </c>
      <c r="Q6490">
        <f t="shared" si="612"/>
        <v>5900</v>
      </c>
      <c r="T6490" s="16">
        <f t="shared" si="613"/>
        <v>1.6870105427188375</v>
      </c>
    </row>
    <row r="6491" spans="7:20" ht="14.4" x14ac:dyDescent="0.25">
      <c r="G6491" s="10">
        <v>2617</v>
      </c>
      <c r="H6491" s="9">
        <v>18918</v>
      </c>
      <c r="I6491" s="14">
        <f>DATE(2012,12,31)-65</f>
        <v>41209</v>
      </c>
      <c r="J6491" s="15" t="s">
        <v>28</v>
      </c>
      <c r="K6491" s="9">
        <v>7</v>
      </c>
      <c r="L6491" s="16" t="s">
        <v>27</v>
      </c>
      <c r="M6491" s="16">
        <f t="shared" si="609"/>
        <v>-1.2825598519076837</v>
      </c>
      <c r="N6491">
        <f t="shared" si="610"/>
        <v>0</v>
      </c>
      <c r="O6491">
        <f t="shared" si="611"/>
        <v>0</v>
      </c>
      <c r="P6491">
        <f t="shared" si="608"/>
        <v>3750</v>
      </c>
      <c r="Q6491">
        <f t="shared" si="612"/>
        <v>3750</v>
      </c>
      <c r="T6491" s="16">
        <f t="shared" si="613"/>
        <v>-1.2825598519076842</v>
      </c>
    </row>
    <row r="6492" spans="7:20" ht="14.4" x14ac:dyDescent="0.25">
      <c r="G6492" s="10">
        <v>2618</v>
      </c>
      <c r="H6492" s="9">
        <v>18919</v>
      </c>
      <c r="I6492" s="14">
        <f>DATE(2012,12,31)-1282</f>
        <v>39992</v>
      </c>
      <c r="J6492" s="15" t="s">
        <v>25</v>
      </c>
      <c r="K6492" s="9">
        <v>39</v>
      </c>
      <c r="L6492" s="16" t="s">
        <v>26</v>
      </c>
      <c r="M6492" s="16">
        <f t="shared" si="609"/>
        <v>0.92735299990740228</v>
      </c>
      <c r="N6492">
        <f t="shared" si="610"/>
        <v>0</v>
      </c>
      <c r="O6492">
        <f t="shared" si="611"/>
        <v>0</v>
      </c>
      <c r="P6492">
        <f t="shared" si="608"/>
        <v>5350</v>
      </c>
      <c r="Q6492">
        <f t="shared" si="612"/>
        <v>5350</v>
      </c>
      <c r="T6492" s="16">
        <f t="shared" si="613"/>
        <v>0.92735299990740183</v>
      </c>
    </row>
    <row r="6493" spans="7:20" ht="14.4" x14ac:dyDescent="0.25">
      <c r="G6493" s="10">
        <v>2638</v>
      </c>
      <c r="H6493" s="9">
        <v>19104</v>
      </c>
      <c r="I6493" s="14">
        <f>DATE(2012,12,31)-874</f>
        <v>40400</v>
      </c>
      <c r="J6493" s="15" t="s">
        <v>17</v>
      </c>
      <c r="K6493" s="9">
        <v>48</v>
      </c>
      <c r="L6493" s="16" t="s">
        <v>27</v>
      </c>
      <c r="M6493" s="16">
        <f t="shared" si="609"/>
        <v>1.5488909894803951</v>
      </c>
      <c r="N6493">
        <f t="shared" si="610"/>
        <v>0</v>
      </c>
      <c r="O6493">
        <f t="shared" si="611"/>
        <v>0</v>
      </c>
      <c r="P6493">
        <f t="shared" si="608"/>
        <v>5800</v>
      </c>
      <c r="Q6493">
        <f t="shared" si="612"/>
        <v>5800</v>
      </c>
      <c r="T6493" s="16">
        <f t="shared" si="613"/>
        <v>1.5488909894803948</v>
      </c>
    </row>
    <row r="6494" spans="7:20" ht="14.4" x14ac:dyDescent="0.25">
      <c r="G6494" s="10">
        <v>2659</v>
      </c>
      <c r="H6494" s="9">
        <v>19207</v>
      </c>
      <c r="I6494" s="14">
        <f>DATE(2012,12,31)-291</f>
        <v>40983</v>
      </c>
      <c r="J6494" s="15" t="s">
        <v>28</v>
      </c>
      <c r="K6494" s="9">
        <v>23</v>
      </c>
      <c r="L6494" s="16" t="s">
        <v>26</v>
      </c>
      <c r="M6494" s="16">
        <f t="shared" si="609"/>
        <v>-0.17760342600014073</v>
      </c>
      <c r="N6494">
        <f t="shared" si="610"/>
        <v>0</v>
      </c>
      <c r="O6494">
        <f t="shared" si="611"/>
        <v>0</v>
      </c>
      <c r="P6494">
        <f t="shared" si="608"/>
        <v>4550</v>
      </c>
      <c r="Q6494">
        <f t="shared" si="612"/>
        <v>4550</v>
      </c>
      <c r="T6494" s="16">
        <f t="shared" si="613"/>
        <v>-0.17760342600014112</v>
      </c>
    </row>
    <row r="6495" spans="7:20" ht="14.4" x14ac:dyDescent="0.25">
      <c r="G6495" s="10">
        <v>2660</v>
      </c>
      <c r="H6495" s="9">
        <v>19207</v>
      </c>
      <c r="I6495" s="14">
        <f>DATE(2012,12,31)-291</f>
        <v>40983</v>
      </c>
      <c r="J6495" s="15" t="s">
        <v>28</v>
      </c>
      <c r="K6495" s="9">
        <v>11</v>
      </c>
      <c r="L6495" s="16" t="s">
        <v>26</v>
      </c>
      <c r="M6495" s="16">
        <f t="shared" si="609"/>
        <v>-1.0063207454307979</v>
      </c>
      <c r="N6495">
        <f t="shared" si="610"/>
        <v>0</v>
      </c>
      <c r="O6495">
        <f t="shared" si="611"/>
        <v>0</v>
      </c>
      <c r="P6495">
        <f t="shared" si="608"/>
        <v>3950</v>
      </c>
      <c r="Q6495">
        <f t="shared" si="612"/>
        <v>3950</v>
      </c>
      <c r="T6495" s="16">
        <f t="shared" si="613"/>
        <v>-1.0063207454307983</v>
      </c>
    </row>
    <row r="6496" spans="7:20" ht="14.4" x14ac:dyDescent="0.25">
      <c r="G6496" s="10">
        <v>2747</v>
      </c>
      <c r="H6496" s="9">
        <v>19840</v>
      </c>
      <c r="I6496" s="14">
        <f>DATE(2012,12,31)-952</f>
        <v>40322</v>
      </c>
      <c r="J6496" s="15" t="s">
        <v>30</v>
      </c>
      <c r="K6496" s="9">
        <v>25</v>
      </c>
      <c r="L6496" s="16" t="s">
        <v>27</v>
      </c>
      <c r="M6496" s="16">
        <f t="shared" si="609"/>
        <v>-3.9483872761697868E-2</v>
      </c>
      <c r="N6496">
        <f t="shared" si="610"/>
        <v>0</v>
      </c>
      <c r="O6496">
        <f t="shared" si="611"/>
        <v>0</v>
      </c>
      <c r="P6496">
        <f t="shared" si="608"/>
        <v>4650</v>
      </c>
      <c r="Q6496">
        <f t="shared" si="612"/>
        <v>4650</v>
      </c>
      <c r="T6496" s="16">
        <f t="shared" si="613"/>
        <v>-3.9483872761698249E-2</v>
      </c>
    </row>
    <row r="6497" spans="7:20" ht="14.4" x14ac:dyDescent="0.25">
      <c r="G6497" s="10">
        <v>2760</v>
      </c>
      <c r="H6497" s="9">
        <v>19943</v>
      </c>
      <c r="I6497" s="14">
        <f>DATE(2012,12,31)-1133</f>
        <v>40141</v>
      </c>
      <c r="J6497" s="15" t="s">
        <v>30</v>
      </c>
      <c r="K6497" s="9">
        <v>16</v>
      </c>
      <c r="L6497" s="16" t="s">
        <v>29</v>
      </c>
      <c r="M6497" s="16">
        <f t="shared" si="609"/>
        <v>-0.66102186233469074</v>
      </c>
      <c r="N6497">
        <f t="shared" si="610"/>
        <v>0</v>
      </c>
      <c r="O6497">
        <f t="shared" si="611"/>
        <v>0</v>
      </c>
      <c r="P6497">
        <f t="shared" si="608"/>
        <v>4200</v>
      </c>
      <c r="Q6497">
        <f t="shared" si="612"/>
        <v>4200</v>
      </c>
      <c r="T6497" s="16">
        <f t="shared" si="613"/>
        <v>-0.66102186233469118</v>
      </c>
    </row>
    <row r="6498" spans="7:20" ht="14.4" x14ac:dyDescent="0.25">
      <c r="G6498" s="10">
        <v>2765</v>
      </c>
      <c r="H6498" s="9">
        <v>20002</v>
      </c>
      <c r="I6498" s="14">
        <f>DATE(2012,12,31)-141</f>
        <v>41133</v>
      </c>
      <c r="J6498" s="15" t="s">
        <v>16</v>
      </c>
      <c r="K6498" s="9">
        <v>9</v>
      </c>
      <c r="L6498" s="16" t="s">
        <v>27</v>
      </c>
      <c r="M6498" s="16">
        <f t="shared" si="609"/>
        <v>-1.1444402986692408</v>
      </c>
      <c r="N6498">
        <f t="shared" si="610"/>
        <v>0</v>
      </c>
      <c r="O6498">
        <f t="shared" si="611"/>
        <v>0</v>
      </c>
      <c r="P6498">
        <f t="shared" si="608"/>
        <v>3850</v>
      </c>
      <c r="Q6498">
        <f t="shared" si="612"/>
        <v>3850</v>
      </c>
      <c r="T6498" s="16">
        <f t="shared" si="613"/>
        <v>-1.1444402986692412</v>
      </c>
    </row>
    <row r="6499" spans="7:20" ht="14.4" x14ac:dyDescent="0.25">
      <c r="G6499" s="10">
        <v>2778</v>
      </c>
      <c r="H6499" s="9">
        <v>20066</v>
      </c>
      <c r="I6499" s="14">
        <f>DATE(2012,12,31)-120</f>
        <v>41154</v>
      </c>
      <c r="J6499" s="15" t="s">
        <v>30</v>
      </c>
      <c r="K6499" s="9">
        <v>3</v>
      </c>
      <c r="L6499" s="16" t="s">
        <v>26</v>
      </c>
      <c r="M6499" s="16">
        <f t="shared" si="609"/>
        <v>-1.5587989583845694</v>
      </c>
      <c r="N6499">
        <f t="shared" si="610"/>
        <v>0</v>
      </c>
      <c r="O6499">
        <f t="shared" si="611"/>
        <v>0</v>
      </c>
      <c r="P6499">
        <f t="shared" si="608"/>
        <v>3550</v>
      </c>
      <c r="Q6499">
        <f t="shared" si="612"/>
        <v>3550</v>
      </c>
      <c r="T6499" s="16">
        <f t="shared" si="613"/>
        <v>-1.5587989583845698</v>
      </c>
    </row>
    <row r="6500" spans="7:20" ht="14.4" x14ac:dyDescent="0.25">
      <c r="G6500" s="10">
        <v>2779</v>
      </c>
      <c r="H6500" s="9">
        <v>20066</v>
      </c>
      <c r="I6500" s="14">
        <f>DATE(2012,12,31)-120</f>
        <v>41154</v>
      </c>
      <c r="J6500" s="15" t="s">
        <v>30</v>
      </c>
      <c r="K6500" s="9">
        <v>16</v>
      </c>
      <c r="L6500" s="16" t="s">
        <v>26</v>
      </c>
      <c r="M6500" s="16">
        <f t="shared" si="609"/>
        <v>-0.66102186233469074</v>
      </c>
      <c r="N6500">
        <f t="shared" si="610"/>
        <v>0</v>
      </c>
      <c r="O6500">
        <f t="shared" si="611"/>
        <v>0</v>
      </c>
      <c r="P6500">
        <f t="shared" si="608"/>
        <v>4200</v>
      </c>
      <c r="Q6500">
        <f t="shared" si="612"/>
        <v>4200</v>
      </c>
      <c r="T6500" s="16">
        <f t="shared" si="613"/>
        <v>-0.66102186233469118</v>
      </c>
    </row>
    <row r="6501" spans="7:20" ht="14.4" x14ac:dyDescent="0.25">
      <c r="G6501" s="10">
        <v>2859</v>
      </c>
      <c r="H6501" s="9">
        <v>20615</v>
      </c>
      <c r="I6501" s="14">
        <f>DATE(2012,12,31)-260</f>
        <v>41014</v>
      </c>
      <c r="J6501" s="15" t="s">
        <v>16</v>
      </c>
      <c r="K6501" s="9">
        <v>29</v>
      </c>
      <c r="L6501" s="16" t="s">
        <v>26</v>
      </c>
      <c r="M6501" s="16">
        <f t="shared" si="609"/>
        <v>0.23675523371518786</v>
      </c>
      <c r="N6501">
        <f t="shared" si="610"/>
        <v>0</v>
      </c>
      <c r="O6501">
        <f t="shared" si="611"/>
        <v>0</v>
      </c>
      <c r="P6501">
        <f t="shared" si="608"/>
        <v>4850</v>
      </c>
      <c r="Q6501">
        <f t="shared" si="612"/>
        <v>4850</v>
      </c>
      <c r="T6501" s="16">
        <f t="shared" si="613"/>
        <v>0.2367552337151875</v>
      </c>
    </row>
    <row r="6502" spans="7:20" ht="14.4" x14ac:dyDescent="0.25">
      <c r="G6502" s="10">
        <v>2892</v>
      </c>
      <c r="H6502" s="9">
        <v>20864</v>
      </c>
      <c r="I6502" s="14">
        <f>DATE(2012,12,31)-391</f>
        <v>40883</v>
      </c>
      <c r="J6502" s="15" t="s">
        <v>17</v>
      </c>
      <c r="K6502" s="9">
        <v>19</v>
      </c>
      <c r="L6502" s="16" t="s">
        <v>29</v>
      </c>
      <c r="M6502" s="16">
        <f t="shared" si="609"/>
        <v>-0.45384253247702649</v>
      </c>
      <c r="N6502">
        <f t="shared" si="610"/>
        <v>0</v>
      </c>
      <c r="O6502">
        <f t="shared" si="611"/>
        <v>0</v>
      </c>
      <c r="P6502">
        <f t="shared" si="608"/>
        <v>4350</v>
      </c>
      <c r="Q6502">
        <f t="shared" si="612"/>
        <v>4350</v>
      </c>
      <c r="T6502" s="16">
        <f t="shared" si="613"/>
        <v>-0.45384253247702688</v>
      </c>
    </row>
    <row r="6503" spans="7:20" ht="14.4" x14ac:dyDescent="0.25">
      <c r="G6503" s="10">
        <v>2893</v>
      </c>
      <c r="H6503" s="9">
        <v>20868</v>
      </c>
      <c r="I6503" s="14">
        <f>DATE(2012,12,31)-814</f>
        <v>40460</v>
      </c>
      <c r="J6503" s="15" t="s">
        <v>25</v>
      </c>
      <c r="K6503" s="9">
        <v>9</v>
      </c>
      <c r="L6503" s="16" t="s">
        <v>26</v>
      </c>
      <c r="M6503" s="16">
        <f t="shared" si="609"/>
        <v>-1.1444402986692408</v>
      </c>
      <c r="N6503">
        <f t="shared" si="610"/>
        <v>0</v>
      </c>
      <c r="O6503">
        <f t="shared" si="611"/>
        <v>0</v>
      </c>
      <c r="P6503">
        <f t="shared" si="608"/>
        <v>3850</v>
      </c>
      <c r="Q6503">
        <f t="shared" si="612"/>
        <v>3850</v>
      </c>
      <c r="T6503" s="16">
        <f t="shared" si="613"/>
        <v>-1.1444402986692412</v>
      </c>
    </row>
    <row r="6504" spans="7:20" ht="14.4" x14ac:dyDescent="0.25">
      <c r="G6504" s="10">
        <v>2983</v>
      </c>
      <c r="H6504" s="9">
        <v>21541</v>
      </c>
      <c r="I6504" s="14">
        <f>DATE(2012,12,31)-1180</f>
        <v>40094</v>
      </c>
      <c r="J6504" s="15" t="s">
        <v>28</v>
      </c>
      <c r="K6504" s="9">
        <v>43</v>
      </c>
      <c r="L6504" s="16" t="s">
        <v>29</v>
      </c>
      <c r="M6504" s="16">
        <f t="shared" si="609"/>
        <v>1.203592106384288</v>
      </c>
      <c r="N6504">
        <f t="shared" si="610"/>
        <v>0</v>
      </c>
      <c r="O6504">
        <f t="shared" si="611"/>
        <v>0</v>
      </c>
      <c r="P6504">
        <f t="shared" si="608"/>
        <v>5550</v>
      </c>
      <c r="Q6504">
        <f t="shared" si="612"/>
        <v>5550</v>
      </c>
      <c r="T6504" s="16">
        <f t="shared" si="613"/>
        <v>1.2035921063842876</v>
      </c>
    </row>
    <row r="6505" spans="7:20" ht="14.4" x14ac:dyDescent="0.25">
      <c r="G6505" s="10">
        <v>3158</v>
      </c>
      <c r="H6505" s="9">
        <v>22661</v>
      </c>
      <c r="I6505" s="14">
        <f>DATE(2012,12,31)-827</f>
        <v>40447</v>
      </c>
      <c r="J6505" s="15" t="s">
        <v>28</v>
      </c>
      <c r="K6505" s="9">
        <v>11</v>
      </c>
      <c r="L6505" s="16" t="s">
        <v>26</v>
      </c>
      <c r="M6505" s="16">
        <f t="shared" si="609"/>
        <v>-1.0063207454307979</v>
      </c>
      <c r="N6505">
        <f t="shared" si="610"/>
        <v>0</v>
      </c>
      <c r="O6505">
        <f t="shared" si="611"/>
        <v>0</v>
      </c>
      <c r="P6505">
        <f t="shared" si="608"/>
        <v>3950</v>
      </c>
      <c r="Q6505">
        <f t="shared" si="612"/>
        <v>3950</v>
      </c>
      <c r="T6505" s="16">
        <f t="shared" si="613"/>
        <v>-1.0063207454307983</v>
      </c>
    </row>
    <row r="6506" spans="7:20" ht="14.4" x14ac:dyDescent="0.25">
      <c r="G6506" s="10">
        <v>3162</v>
      </c>
      <c r="H6506" s="9">
        <v>22689</v>
      </c>
      <c r="I6506" s="14">
        <f>DATE(2012,12,31)-449</f>
        <v>40825</v>
      </c>
      <c r="J6506" s="15" t="s">
        <v>25</v>
      </c>
      <c r="K6506" s="9">
        <v>39</v>
      </c>
      <c r="L6506" s="16" t="s">
        <v>26</v>
      </c>
      <c r="M6506" s="16">
        <f t="shared" si="609"/>
        <v>0.92735299990740228</v>
      </c>
      <c r="N6506">
        <f t="shared" si="610"/>
        <v>0</v>
      </c>
      <c r="O6506">
        <f t="shared" si="611"/>
        <v>0</v>
      </c>
      <c r="P6506">
        <f t="shared" si="608"/>
        <v>5350</v>
      </c>
      <c r="Q6506">
        <f t="shared" si="612"/>
        <v>5350</v>
      </c>
      <c r="T6506" s="16">
        <f t="shared" si="613"/>
        <v>0.92735299990740183</v>
      </c>
    </row>
    <row r="6507" spans="7:20" ht="14.4" x14ac:dyDescent="0.25">
      <c r="G6507" s="10">
        <v>3263</v>
      </c>
      <c r="H6507" s="9">
        <v>23361</v>
      </c>
      <c r="I6507" s="14">
        <f>DATE(2012,12,31)-912</f>
        <v>40362</v>
      </c>
      <c r="J6507" s="15" t="s">
        <v>30</v>
      </c>
      <c r="K6507" s="9">
        <v>2</v>
      </c>
      <c r="L6507" s="16" t="s">
        <v>26</v>
      </c>
      <c r="M6507" s="16">
        <f t="shared" si="609"/>
        <v>-1.627858735003791</v>
      </c>
      <c r="N6507">
        <f t="shared" si="610"/>
        <v>0</v>
      </c>
      <c r="O6507">
        <f t="shared" si="611"/>
        <v>0</v>
      </c>
      <c r="P6507">
        <f t="shared" si="608"/>
        <v>3500</v>
      </c>
      <c r="Q6507">
        <f t="shared" si="612"/>
        <v>3500</v>
      </c>
      <c r="T6507" s="16">
        <f t="shared" si="613"/>
        <v>-1.6278587350037912</v>
      </c>
    </row>
    <row r="6508" spans="7:20" ht="14.4" x14ac:dyDescent="0.25">
      <c r="G6508" s="10">
        <v>3264</v>
      </c>
      <c r="H6508" s="9">
        <v>23361</v>
      </c>
      <c r="I6508" s="14">
        <f>DATE(2012,12,31)-912</f>
        <v>40362</v>
      </c>
      <c r="J6508" s="15" t="s">
        <v>30</v>
      </c>
      <c r="K6508" s="9">
        <v>36</v>
      </c>
      <c r="L6508" s="16" t="s">
        <v>26</v>
      </c>
      <c r="M6508" s="16">
        <f t="shared" si="609"/>
        <v>0.72017367004973787</v>
      </c>
      <c r="N6508">
        <f t="shared" si="610"/>
        <v>0</v>
      </c>
      <c r="O6508">
        <f t="shared" si="611"/>
        <v>0</v>
      </c>
      <c r="P6508">
        <f t="shared" si="608"/>
        <v>5200</v>
      </c>
      <c r="Q6508">
        <f t="shared" si="612"/>
        <v>5200</v>
      </c>
      <c r="T6508" s="16">
        <f t="shared" si="613"/>
        <v>0.72017367004973754</v>
      </c>
    </row>
    <row r="6509" spans="7:20" ht="14.4" x14ac:dyDescent="0.25">
      <c r="G6509" s="10">
        <v>3265</v>
      </c>
      <c r="H6509" s="9">
        <v>23361</v>
      </c>
      <c r="I6509" s="14">
        <f>DATE(2012,12,31)-912</f>
        <v>40362</v>
      </c>
      <c r="J6509" s="15" t="s">
        <v>30</v>
      </c>
      <c r="K6509" s="9">
        <v>7</v>
      </c>
      <c r="L6509" s="16" t="s">
        <v>27</v>
      </c>
      <c r="M6509" s="16">
        <f t="shared" si="609"/>
        <v>-1.2825598519076837</v>
      </c>
      <c r="N6509">
        <f t="shared" si="610"/>
        <v>0</v>
      </c>
      <c r="O6509">
        <f t="shared" si="611"/>
        <v>0</v>
      </c>
      <c r="P6509">
        <f t="shared" si="608"/>
        <v>3750</v>
      </c>
      <c r="Q6509">
        <f t="shared" si="612"/>
        <v>3750</v>
      </c>
      <c r="T6509" s="16">
        <f t="shared" si="613"/>
        <v>-1.2825598519076842</v>
      </c>
    </row>
    <row r="6510" spans="7:20" ht="14.4" x14ac:dyDescent="0.25">
      <c r="G6510" s="10">
        <v>3273</v>
      </c>
      <c r="H6510" s="9">
        <v>23396</v>
      </c>
      <c r="I6510" s="14">
        <f>DATE(2012,12,31)-927</f>
        <v>40347</v>
      </c>
      <c r="J6510" s="15" t="s">
        <v>25</v>
      </c>
      <c r="K6510" s="9">
        <v>30</v>
      </c>
      <c r="L6510" s="16" t="s">
        <v>27</v>
      </c>
      <c r="M6510" s="16">
        <f t="shared" si="609"/>
        <v>0.30581501033440933</v>
      </c>
      <c r="N6510">
        <f t="shared" si="610"/>
        <v>0</v>
      </c>
      <c r="O6510">
        <f t="shared" si="611"/>
        <v>0</v>
      </c>
      <c r="P6510">
        <f t="shared" si="608"/>
        <v>4900</v>
      </c>
      <c r="Q6510">
        <f t="shared" si="612"/>
        <v>4900</v>
      </c>
      <c r="T6510" s="16">
        <f t="shared" si="613"/>
        <v>0.30581501033440894</v>
      </c>
    </row>
    <row r="6511" spans="7:20" ht="14.4" x14ac:dyDescent="0.25">
      <c r="G6511" s="10">
        <v>3278</v>
      </c>
      <c r="H6511" s="9">
        <v>23427</v>
      </c>
      <c r="I6511" s="14">
        <f>DATE(2012,12,31)-511</f>
        <v>40763</v>
      </c>
      <c r="J6511" s="15" t="s">
        <v>25</v>
      </c>
      <c r="K6511" s="9">
        <v>30</v>
      </c>
      <c r="L6511" s="16" t="s">
        <v>26</v>
      </c>
      <c r="M6511" s="16">
        <f t="shared" si="609"/>
        <v>0.30581501033440933</v>
      </c>
      <c r="N6511">
        <f t="shared" si="610"/>
        <v>0</v>
      </c>
      <c r="O6511">
        <f t="shared" si="611"/>
        <v>0</v>
      </c>
      <c r="P6511">
        <f t="shared" si="608"/>
        <v>4900</v>
      </c>
      <c r="Q6511">
        <f t="shared" si="612"/>
        <v>4900</v>
      </c>
      <c r="T6511" s="16">
        <f t="shared" si="613"/>
        <v>0.30581501033440894</v>
      </c>
    </row>
    <row r="6512" spans="7:20" ht="14.4" x14ac:dyDescent="0.25">
      <c r="G6512" s="10">
        <v>3279</v>
      </c>
      <c r="H6512" s="9">
        <v>23427</v>
      </c>
      <c r="I6512" s="14">
        <f>DATE(2012,12,31)-511</f>
        <v>40763</v>
      </c>
      <c r="J6512" s="15" t="s">
        <v>25</v>
      </c>
      <c r="K6512" s="9">
        <v>22</v>
      </c>
      <c r="L6512" s="16" t="s">
        <v>26</v>
      </c>
      <c r="M6512" s="16">
        <f t="shared" si="609"/>
        <v>-0.24666320261936217</v>
      </c>
      <c r="N6512">
        <f t="shared" si="610"/>
        <v>0</v>
      </c>
      <c r="O6512">
        <f t="shared" si="611"/>
        <v>0</v>
      </c>
      <c r="P6512">
        <f t="shared" si="608"/>
        <v>4500</v>
      </c>
      <c r="Q6512">
        <f t="shared" si="612"/>
        <v>4500</v>
      </c>
      <c r="T6512" s="16">
        <f t="shared" si="613"/>
        <v>-0.24666320261936256</v>
      </c>
    </row>
    <row r="6513" spans="7:20" ht="14.4" x14ac:dyDescent="0.25">
      <c r="G6513" s="10">
        <v>3323</v>
      </c>
      <c r="H6513" s="9">
        <v>23751</v>
      </c>
      <c r="I6513" s="14">
        <f>DATE(2012,12,31)-1384</f>
        <v>39890</v>
      </c>
      <c r="J6513" s="15" t="s">
        <v>16</v>
      </c>
      <c r="K6513" s="9">
        <v>44</v>
      </c>
      <c r="L6513" s="16" t="s">
        <v>29</v>
      </c>
      <c r="M6513" s="16">
        <f t="shared" si="609"/>
        <v>1.2726518830035094</v>
      </c>
      <c r="N6513">
        <f t="shared" si="610"/>
        <v>0</v>
      </c>
      <c r="O6513">
        <f t="shared" si="611"/>
        <v>0</v>
      </c>
      <c r="P6513">
        <f t="shared" si="608"/>
        <v>5600</v>
      </c>
      <c r="Q6513">
        <f t="shared" si="612"/>
        <v>5600</v>
      </c>
      <c r="T6513" s="16">
        <f t="shared" si="613"/>
        <v>1.272651883003509</v>
      </c>
    </row>
    <row r="6514" spans="7:20" ht="14.4" x14ac:dyDescent="0.25">
      <c r="G6514" s="10">
        <v>3348</v>
      </c>
      <c r="H6514" s="9">
        <v>23943</v>
      </c>
      <c r="I6514" s="14">
        <f>DATE(2012,12,31)-557</f>
        <v>40717</v>
      </c>
      <c r="J6514" s="15" t="s">
        <v>30</v>
      </c>
      <c r="K6514" s="9">
        <v>24</v>
      </c>
      <c r="L6514" s="16" t="s">
        <v>26</v>
      </c>
      <c r="M6514" s="16">
        <f t="shared" si="609"/>
        <v>-0.1085436493809193</v>
      </c>
      <c r="N6514">
        <f t="shared" si="610"/>
        <v>0</v>
      </c>
      <c r="O6514">
        <f t="shared" si="611"/>
        <v>0</v>
      </c>
      <c r="P6514">
        <f t="shared" si="608"/>
        <v>4600</v>
      </c>
      <c r="Q6514">
        <f t="shared" si="612"/>
        <v>4600</v>
      </c>
      <c r="T6514" s="16">
        <f t="shared" si="613"/>
        <v>-0.10854364938091969</v>
      </c>
    </row>
    <row r="6515" spans="7:20" ht="14.4" x14ac:dyDescent="0.25">
      <c r="G6515" s="10">
        <v>3450</v>
      </c>
      <c r="H6515" s="9">
        <v>24608</v>
      </c>
      <c r="I6515" s="14">
        <f>DATE(2012,12,31)-139</f>
        <v>41135</v>
      </c>
      <c r="J6515" s="15" t="s">
        <v>16</v>
      </c>
      <c r="K6515" s="9">
        <v>50</v>
      </c>
      <c r="L6515" s="16" t="s">
        <v>26</v>
      </c>
      <c r="M6515" s="16">
        <f t="shared" si="609"/>
        <v>1.687010542718838</v>
      </c>
      <c r="N6515">
        <f t="shared" si="610"/>
        <v>0</v>
      </c>
      <c r="O6515">
        <f t="shared" si="611"/>
        <v>0</v>
      </c>
      <c r="P6515">
        <f t="shared" si="608"/>
        <v>5900</v>
      </c>
      <c r="Q6515">
        <f t="shared" si="612"/>
        <v>5900</v>
      </c>
      <c r="T6515" s="16">
        <f t="shared" si="613"/>
        <v>1.6870105427188375</v>
      </c>
    </row>
    <row r="6516" spans="7:20" ht="14.4" x14ac:dyDescent="0.25">
      <c r="G6516" s="10">
        <v>3579</v>
      </c>
      <c r="H6516" s="9">
        <v>25507</v>
      </c>
      <c r="I6516" s="14">
        <f>DATE(2012,12,31)-1244</f>
        <v>40030</v>
      </c>
      <c r="J6516" s="15" t="s">
        <v>28</v>
      </c>
      <c r="K6516" s="9">
        <v>8</v>
      </c>
      <c r="L6516" s="16" t="s">
        <v>26</v>
      </c>
      <c r="M6516" s="16">
        <f t="shared" si="609"/>
        <v>-1.2135000752884624</v>
      </c>
      <c r="N6516">
        <f t="shared" si="610"/>
        <v>0</v>
      </c>
      <c r="O6516">
        <f t="shared" si="611"/>
        <v>0</v>
      </c>
      <c r="P6516">
        <f t="shared" si="608"/>
        <v>3800</v>
      </c>
      <c r="Q6516">
        <f t="shared" si="612"/>
        <v>3800</v>
      </c>
      <c r="T6516" s="16">
        <f t="shared" si="613"/>
        <v>-1.2135000752884626</v>
      </c>
    </row>
    <row r="6517" spans="7:20" ht="14.4" x14ac:dyDescent="0.25">
      <c r="G6517" s="10">
        <v>3580</v>
      </c>
      <c r="H6517" s="9">
        <v>25509</v>
      </c>
      <c r="I6517" s="14">
        <f>DATE(2012,12,31)-1319</f>
        <v>39955</v>
      </c>
      <c r="J6517" s="15" t="s">
        <v>30</v>
      </c>
      <c r="K6517" s="9">
        <v>43</v>
      </c>
      <c r="L6517" s="16" t="s">
        <v>26</v>
      </c>
      <c r="M6517" s="16">
        <f t="shared" si="609"/>
        <v>1.203592106384288</v>
      </c>
      <c r="N6517">
        <f t="shared" si="610"/>
        <v>0</v>
      </c>
      <c r="O6517">
        <f t="shared" si="611"/>
        <v>0</v>
      </c>
      <c r="P6517">
        <f t="shared" si="608"/>
        <v>5550</v>
      </c>
      <c r="Q6517">
        <f t="shared" si="612"/>
        <v>5550</v>
      </c>
      <c r="T6517" s="16">
        <f t="shared" si="613"/>
        <v>1.2035921063842876</v>
      </c>
    </row>
    <row r="6518" spans="7:20" ht="14.4" x14ac:dyDescent="0.25">
      <c r="G6518" s="10">
        <v>3631</v>
      </c>
      <c r="H6518" s="9">
        <v>25952</v>
      </c>
      <c r="I6518" s="14">
        <f>DATE(2012,12,31)-849</f>
        <v>40425</v>
      </c>
      <c r="J6518" s="15" t="s">
        <v>17</v>
      </c>
      <c r="K6518" s="9">
        <v>50</v>
      </c>
      <c r="L6518" s="16" t="s">
        <v>27</v>
      </c>
      <c r="M6518" s="16">
        <f t="shared" si="609"/>
        <v>1.687010542718838</v>
      </c>
      <c r="N6518">
        <f t="shared" si="610"/>
        <v>0</v>
      </c>
      <c r="O6518">
        <f t="shared" si="611"/>
        <v>0</v>
      </c>
      <c r="P6518">
        <f t="shared" si="608"/>
        <v>5900</v>
      </c>
      <c r="Q6518">
        <f t="shared" si="612"/>
        <v>5900</v>
      </c>
      <c r="T6518" s="16">
        <f t="shared" si="613"/>
        <v>1.6870105427188375</v>
      </c>
    </row>
    <row r="6519" spans="7:20" ht="14.4" x14ac:dyDescent="0.25">
      <c r="G6519" s="10">
        <v>3680</v>
      </c>
      <c r="H6519" s="9">
        <v>26336</v>
      </c>
      <c r="I6519" s="14">
        <f>DATE(2012,12,31)-219</f>
        <v>41055</v>
      </c>
      <c r="J6519" s="15" t="s">
        <v>17</v>
      </c>
      <c r="K6519" s="9">
        <v>39</v>
      </c>
      <c r="L6519" s="16" t="s">
        <v>27</v>
      </c>
      <c r="M6519" s="16">
        <f t="shared" si="609"/>
        <v>0.92735299990740228</v>
      </c>
      <c r="N6519">
        <f t="shared" si="610"/>
        <v>0</v>
      </c>
      <c r="O6519">
        <f t="shared" si="611"/>
        <v>0</v>
      </c>
      <c r="P6519">
        <f t="shared" si="608"/>
        <v>5350</v>
      </c>
      <c r="Q6519">
        <f t="shared" si="612"/>
        <v>5350</v>
      </c>
      <c r="T6519" s="16">
        <f t="shared" si="613"/>
        <v>0.92735299990740183</v>
      </c>
    </row>
    <row r="6520" spans="7:20" ht="14.4" x14ac:dyDescent="0.25">
      <c r="G6520" s="10">
        <v>3681</v>
      </c>
      <c r="H6520" s="9">
        <v>26336</v>
      </c>
      <c r="I6520" s="14">
        <f>DATE(2012,12,31)-219</f>
        <v>41055</v>
      </c>
      <c r="J6520" s="15" t="s">
        <v>17</v>
      </c>
      <c r="K6520" s="9">
        <v>45</v>
      </c>
      <c r="L6520" s="16" t="s">
        <v>26</v>
      </c>
      <c r="M6520" s="16">
        <f t="shared" si="609"/>
        <v>1.3417116596227308</v>
      </c>
      <c r="N6520">
        <f t="shared" si="610"/>
        <v>0</v>
      </c>
      <c r="O6520">
        <f t="shared" si="611"/>
        <v>0</v>
      </c>
      <c r="P6520">
        <f t="shared" si="608"/>
        <v>5650</v>
      </c>
      <c r="Q6520">
        <f t="shared" si="612"/>
        <v>5650</v>
      </c>
      <c r="T6520" s="16">
        <f t="shared" si="613"/>
        <v>1.3417116596227305</v>
      </c>
    </row>
    <row r="6521" spans="7:20" ht="14.4" x14ac:dyDescent="0.25">
      <c r="G6521" s="10">
        <v>3865</v>
      </c>
      <c r="H6521" s="9">
        <v>27558</v>
      </c>
      <c r="I6521" s="14">
        <f>DATE(2012,12,31)-543</f>
        <v>40731</v>
      </c>
      <c r="J6521" s="15" t="s">
        <v>28</v>
      </c>
      <c r="K6521" s="9">
        <v>21</v>
      </c>
      <c r="L6521" s="16" t="s">
        <v>26</v>
      </c>
      <c r="M6521" s="16">
        <f t="shared" si="609"/>
        <v>-0.31572297923858361</v>
      </c>
      <c r="N6521">
        <f t="shared" si="610"/>
        <v>0</v>
      </c>
      <c r="O6521">
        <f t="shared" si="611"/>
        <v>0</v>
      </c>
      <c r="P6521">
        <f t="shared" si="608"/>
        <v>4450</v>
      </c>
      <c r="Q6521">
        <f t="shared" si="612"/>
        <v>4450</v>
      </c>
      <c r="T6521" s="16">
        <f t="shared" si="613"/>
        <v>-0.315722979238584</v>
      </c>
    </row>
    <row r="6522" spans="7:20" ht="14.4" x14ac:dyDescent="0.25">
      <c r="G6522" s="10">
        <v>3920</v>
      </c>
      <c r="H6522" s="9">
        <v>27969</v>
      </c>
      <c r="I6522" s="14">
        <f>DATE(2012,12,31)-937</f>
        <v>40337</v>
      </c>
      <c r="J6522" s="15" t="s">
        <v>25</v>
      </c>
      <c r="K6522" s="9">
        <v>43</v>
      </c>
      <c r="L6522" s="16" t="s">
        <v>29</v>
      </c>
      <c r="M6522" s="16">
        <f t="shared" si="609"/>
        <v>1.203592106384288</v>
      </c>
      <c r="N6522">
        <f t="shared" si="610"/>
        <v>0</v>
      </c>
      <c r="O6522">
        <f t="shared" si="611"/>
        <v>0</v>
      </c>
      <c r="P6522">
        <f t="shared" si="608"/>
        <v>5550</v>
      </c>
      <c r="Q6522">
        <f t="shared" si="612"/>
        <v>5550</v>
      </c>
      <c r="T6522" s="16">
        <f t="shared" si="613"/>
        <v>1.2035921063842876</v>
      </c>
    </row>
    <row r="6523" spans="7:20" ht="14.4" x14ac:dyDescent="0.25">
      <c r="G6523" s="10">
        <v>3921</v>
      </c>
      <c r="H6523" s="9">
        <v>27969</v>
      </c>
      <c r="I6523" s="14">
        <f>DATE(2012,12,31)-937</f>
        <v>40337</v>
      </c>
      <c r="J6523" s="15" t="s">
        <v>25</v>
      </c>
      <c r="K6523" s="9">
        <v>9</v>
      </c>
      <c r="L6523" s="16" t="s">
        <v>27</v>
      </c>
      <c r="M6523" s="16">
        <f t="shared" si="609"/>
        <v>-1.1444402986692408</v>
      </c>
      <c r="N6523">
        <f t="shared" si="610"/>
        <v>0</v>
      </c>
      <c r="O6523">
        <f t="shared" si="611"/>
        <v>0</v>
      </c>
      <c r="P6523">
        <f t="shared" si="608"/>
        <v>3850</v>
      </c>
      <c r="Q6523">
        <f t="shared" si="612"/>
        <v>3850</v>
      </c>
      <c r="T6523" s="16">
        <f t="shared" si="613"/>
        <v>-1.1444402986692412</v>
      </c>
    </row>
    <row r="6524" spans="7:20" ht="14.4" x14ac:dyDescent="0.25">
      <c r="G6524" s="10">
        <v>3922</v>
      </c>
      <c r="H6524" s="9">
        <v>27969</v>
      </c>
      <c r="I6524" s="14">
        <f>DATE(2012,12,31)-937</f>
        <v>40337</v>
      </c>
      <c r="J6524" s="15" t="s">
        <v>25</v>
      </c>
      <c r="K6524" s="9">
        <v>32</v>
      </c>
      <c r="L6524" s="16" t="s">
        <v>26</v>
      </c>
      <c r="M6524" s="16">
        <f t="shared" si="609"/>
        <v>0.44393456357285216</v>
      </c>
      <c r="N6524">
        <f t="shared" si="610"/>
        <v>0</v>
      </c>
      <c r="O6524">
        <f t="shared" si="611"/>
        <v>0</v>
      </c>
      <c r="P6524">
        <f t="shared" si="608"/>
        <v>5000</v>
      </c>
      <c r="Q6524">
        <f t="shared" si="612"/>
        <v>5000</v>
      </c>
      <c r="T6524" s="16">
        <f t="shared" si="613"/>
        <v>0.44393456357285183</v>
      </c>
    </row>
    <row r="6525" spans="7:20" ht="14.4" x14ac:dyDescent="0.25">
      <c r="G6525" s="10">
        <v>4176</v>
      </c>
      <c r="H6525" s="9">
        <v>29637</v>
      </c>
      <c r="I6525" s="14">
        <f>DATE(2012,12,31)-1316</f>
        <v>39958</v>
      </c>
      <c r="J6525" s="15" t="s">
        <v>17</v>
      </c>
      <c r="K6525" s="9">
        <v>34</v>
      </c>
      <c r="L6525" s="16" t="s">
        <v>27</v>
      </c>
      <c r="M6525" s="16">
        <f t="shared" si="609"/>
        <v>0.58205411681129504</v>
      </c>
      <c r="N6525">
        <f t="shared" si="610"/>
        <v>0</v>
      </c>
      <c r="O6525">
        <f t="shared" si="611"/>
        <v>0</v>
      </c>
      <c r="P6525">
        <f t="shared" si="608"/>
        <v>5100</v>
      </c>
      <c r="Q6525">
        <f t="shared" si="612"/>
        <v>5100</v>
      </c>
      <c r="T6525" s="16">
        <f t="shared" si="613"/>
        <v>0.58205411681129471</v>
      </c>
    </row>
    <row r="6526" spans="7:20" ht="14.4" x14ac:dyDescent="0.25">
      <c r="G6526" s="10">
        <v>4279</v>
      </c>
      <c r="H6526" s="9">
        <v>30469</v>
      </c>
      <c r="I6526" s="14">
        <f>DATE(2012,12,31)-6</f>
        <v>41268</v>
      </c>
      <c r="J6526" s="15" t="s">
        <v>28</v>
      </c>
      <c r="K6526" s="9">
        <v>46</v>
      </c>
      <c r="L6526" s="16" t="s">
        <v>26</v>
      </c>
      <c r="M6526" s="16">
        <f t="shared" si="609"/>
        <v>1.4107714362419523</v>
      </c>
      <c r="N6526">
        <f t="shared" si="610"/>
        <v>0</v>
      </c>
      <c r="O6526">
        <f t="shared" si="611"/>
        <v>0</v>
      </c>
      <c r="P6526">
        <f t="shared" si="608"/>
        <v>5700</v>
      </c>
      <c r="Q6526">
        <f t="shared" si="612"/>
        <v>5700</v>
      </c>
      <c r="T6526" s="16">
        <f t="shared" si="613"/>
        <v>1.4107714362419519</v>
      </c>
    </row>
    <row r="6527" spans="7:20" ht="14.4" x14ac:dyDescent="0.25">
      <c r="G6527" s="10">
        <v>4409</v>
      </c>
      <c r="H6527" s="9">
        <v>31460</v>
      </c>
      <c r="I6527" s="14">
        <f>DATE(2012,12,31)-127</f>
        <v>41147</v>
      </c>
      <c r="J6527" s="15" t="s">
        <v>17</v>
      </c>
      <c r="K6527" s="9">
        <v>9</v>
      </c>
      <c r="L6527" s="16" t="s">
        <v>26</v>
      </c>
      <c r="M6527" s="16">
        <f t="shared" si="609"/>
        <v>-1.1444402986692408</v>
      </c>
      <c r="N6527">
        <f t="shared" si="610"/>
        <v>0</v>
      </c>
      <c r="O6527">
        <f t="shared" si="611"/>
        <v>0</v>
      </c>
      <c r="P6527">
        <f t="shared" si="608"/>
        <v>3850</v>
      </c>
      <c r="Q6527">
        <f t="shared" si="612"/>
        <v>3850</v>
      </c>
      <c r="T6527" s="16">
        <f t="shared" si="613"/>
        <v>-1.1444402986692412</v>
      </c>
    </row>
    <row r="6528" spans="7:20" ht="14.4" x14ac:dyDescent="0.25">
      <c r="G6528" s="10">
        <v>4487</v>
      </c>
      <c r="H6528" s="9">
        <v>31939</v>
      </c>
      <c r="I6528" s="14">
        <f>DATE(2012,12,31)-555</f>
        <v>40719</v>
      </c>
      <c r="J6528" s="15" t="s">
        <v>17</v>
      </c>
      <c r="K6528" s="9">
        <v>13</v>
      </c>
      <c r="L6528" s="16" t="s">
        <v>27</v>
      </c>
      <c r="M6528" s="16">
        <f t="shared" si="609"/>
        <v>-0.86820119219235514</v>
      </c>
      <c r="N6528">
        <f t="shared" si="610"/>
        <v>0</v>
      </c>
      <c r="O6528">
        <f t="shared" si="611"/>
        <v>0</v>
      </c>
      <c r="P6528">
        <f t="shared" si="608"/>
        <v>4050</v>
      </c>
      <c r="Q6528">
        <f t="shared" si="612"/>
        <v>4050</v>
      </c>
      <c r="T6528" s="16">
        <f t="shared" si="613"/>
        <v>-0.86820119219235548</v>
      </c>
    </row>
    <row r="6529" spans="7:20" ht="14.4" x14ac:dyDescent="0.25">
      <c r="G6529" s="10">
        <v>4760</v>
      </c>
      <c r="H6529" s="9">
        <v>33826</v>
      </c>
      <c r="I6529" s="14">
        <f>DATE(2012,12,31)-743</f>
        <v>40531</v>
      </c>
      <c r="J6529" s="15" t="s">
        <v>25</v>
      </c>
      <c r="K6529" s="9">
        <v>13</v>
      </c>
      <c r="L6529" s="16" t="s">
        <v>29</v>
      </c>
      <c r="M6529" s="16">
        <f t="shared" si="609"/>
        <v>-0.86820119219235514</v>
      </c>
      <c r="N6529">
        <f t="shared" si="610"/>
        <v>0</v>
      </c>
      <c r="O6529">
        <f t="shared" si="611"/>
        <v>0</v>
      </c>
      <c r="P6529">
        <f t="shared" si="608"/>
        <v>4050</v>
      </c>
      <c r="Q6529">
        <f t="shared" si="612"/>
        <v>4050</v>
      </c>
      <c r="T6529" s="16">
        <f t="shared" si="613"/>
        <v>-0.86820119219235548</v>
      </c>
    </row>
    <row r="6530" spans="7:20" ht="14.4" x14ac:dyDescent="0.25">
      <c r="G6530" s="10">
        <v>4802</v>
      </c>
      <c r="H6530" s="9">
        <v>34151</v>
      </c>
      <c r="I6530" s="14">
        <f>DATE(2012,12,31)-479</f>
        <v>40795</v>
      </c>
      <c r="J6530" s="15" t="s">
        <v>28</v>
      </c>
      <c r="K6530" s="9">
        <v>26</v>
      </c>
      <c r="L6530" s="16" t="s">
        <v>27</v>
      </c>
      <c r="M6530" s="16">
        <f t="shared" si="609"/>
        <v>2.9575903857523567E-2</v>
      </c>
      <c r="N6530">
        <f t="shared" si="610"/>
        <v>0</v>
      </c>
      <c r="O6530">
        <f t="shared" si="611"/>
        <v>0</v>
      </c>
      <c r="P6530">
        <f t="shared" si="608"/>
        <v>4700</v>
      </c>
      <c r="Q6530">
        <f t="shared" si="612"/>
        <v>4700</v>
      </c>
      <c r="T6530" s="16">
        <f t="shared" si="613"/>
        <v>2.9575903857523185E-2</v>
      </c>
    </row>
    <row r="6531" spans="7:20" ht="14.4" x14ac:dyDescent="0.25">
      <c r="G6531" s="10">
        <v>4868</v>
      </c>
      <c r="H6531" s="9">
        <v>34659</v>
      </c>
      <c r="I6531" s="14">
        <f>DATE(2012,12,31)-42</f>
        <v>41232</v>
      </c>
      <c r="J6531" s="15" t="s">
        <v>17</v>
      </c>
      <c r="K6531" s="9">
        <v>42</v>
      </c>
      <c r="L6531" s="16" t="s">
        <v>26</v>
      </c>
      <c r="M6531" s="16">
        <f t="shared" si="609"/>
        <v>1.1345323297650665</v>
      </c>
      <c r="N6531">
        <f t="shared" si="610"/>
        <v>0</v>
      </c>
      <c r="O6531">
        <f t="shared" si="611"/>
        <v>0</v>
      </c>
      <c r="P6531">
        <f t="shared" si="608"/>
        <v>5500</v>
      </c>
      <c r="Q6531">
        <f t="shared" si="612"/>
        <v>5500</v>
      </c>
      <c r="T6531" s="16">
        <f t="shared" si="613"/>
        <v>1.1345323297650662</v>
      </c>
    </row>
    <row r="6532" spans="7:20" ht="14.4" x14ac:dyDescent="0.25">
      <c r="G6532" s="10">
        <v>4949</v>
      </c>
      <c r="H6532" s="9">
        <v>35200</v>
      </c>
      <c r="I6532" s="14">
        <f>DATE(2012,12,31)-1425</f>
        <v>39849</v>
      </c>
      <c r="J6532" s="15" t="s">
        <v>16</v>
      </c>
      <c r="K6532" s="9">
        <v>15</v>
      </c>
      <c r="L6532" s="16" t="s">
        <v>29</v>
      </c>
      <c r="M6532" s="16">
        <f t="shared" si="609"/>
        <v>-0.7300816389539122</v>
      </c>
      <c r="N6532">
        <f t="shared" si="610"/>
        <v>0</v>
      </c>
      <c r="O6532">
        <f t="shared" si="611"/>
        <v>0</v>
      </c>
      <c r="P6532">
        <f t="shared" si="608"/>
        <v>4150</v>
      </c>
      <c r="Q6532">
        <f t="shared" si="612"/>
        <v>4150</v>
      </c>
      <c r="T6532" s="16">
        <f t="shared" si="613"/>
        <v>-0.73008163895391265</v>
      </c>
    </row>
    <row r="6533" spans="7:20" ht="14.4" x14ac:dyDescent="0.25">
      <c r="G6533" s="10">
        <v>4983</v>
      </c>
      <c r="H6533" s="9">
        <v>35456</v>
      </c>
      <c r="I6533" s="14">
        <f>DATE(2012,12,31)-60</f>
        <v>41214</v>
      </c>
      <c r="J6533" s="15" t="s">
        <v>30</v>
      </c>
      <c r="K6533" s="9">
        <v>37</v>
      </c>
      <c r="L6533" s="16" t="s">
        <v>26</v>
      </c>
      <c r="M6533" s="16">
        <f t="shared" si="609"/>
        <v>0.78923344666895934</v>
      </c>
      <c r="N6533">
        <f t="shared" si="610"/>
        <v>0</v>
      </c>
      <c r="O6533">
        <f t="shared" si="611"/>
        <v>0</v>
      </c>
      <c r="P6533">
        <f t="shared" si="608"/>
        <v>5250</v>
      </c>
      <c r="Q6533">
        <f t="shared" si="612"/>
        <v>5250</v>
      </c>
      <c r="T6533" s="16">
        <f t="shared" si="613"/>
        <v>0.789233446668959</v>
      </c>
    </row>
    <row r="6534" spans="7:20" ht="14.4" x14ac:dyDescent="0.25">
      <c r="G6534" s="10">
        <v>5025</v>
      </c>
      <c r="H6534" s="9">
        <v>35840</v>
      </c>
      <c r="I6534" s="14">
        <f>DATE(2012,12,31)-947</f>
        <v>40327</v>
      </c>
      <c r="J6534" s="15" t="s">
        <v>17</v>
      </c>
      <c r="K6534" s="9">
        <v>36</v>
      </c>
      <c r="L6534" s="16" t="s">
        <v>26</v>
      </c>
      <c r="M6534" s="16">
        <f t="shared" si="609"/>
        <v>0.72017367004973787</v>
      </c>
      <c r="N6534">
        <f t="shared" si="610"/>
        <v>0</v>
      </c>
      <c r="O6534">
        <f t="shared" si="611"/>
        <v>0</v>
      </c>
      <c r="P6534">
        <f t="shared" si="608"/>
        <v>5200</v>
      </c>
      <c r="Q6534">
        <f t="shared" si="612"/>
        <v>5200</v>
      </c>
      <c r="T6534" s="16">
        <f t="shared" si="613"/>
        <v>0.72017367004973754</v>
      </c>
    </row>
    <row r="6535" spans="7:20" ht="14.4" x14ac:dyDescent="0.25">
      <c r="G6535" s="10">
        <v>5026</v>
      </c>
      <c r="H6535" s="9">
        <v>35840</v>
      </c>
      <c r="I6535" s="14">
        <f>DATE(2012,12,31)-947</f>
        <v>40327</v>
      </c>
      <c r="J6535" s="15" t="s">
        <v>17</v>
      </c>
      <c r="K6535" s="9">
        <v>49</v>
      </c>
      <c r="L6535" s="16" t="s">
        <v>27</v>
      </c>
      <c r="M6535" s="16">
        <f t="shared" si="609"/>
        <v>1.6179507660996166</v>
      </c>
      <c r="N6535">
        <f t="shared" si="610"/>
        <v>0</v>
      </c>
      <c r="O6535">
        <f t="shared" si="611"/>
        <v>0</v>
      </c>
      <c r="P6535">
        <f t="shared" si="608"/>
        <v>5850</v>
      </c>
      <c r="Q6535">
        <f t="shared" si="612"/>
        <v>5850</v>
      </c>
      <c r="T6535" s="16">
        <f t="shared" si="613"/>
        <v>1.6179507660996162</v>
      </c>
    </row>
    <row r="6536" spans="7:20" ht="14.4" x14ac:dyDescent="0.25">
      <c r="G6536" s="10">
        <v>5059</v>
      </c>
      <c r="H6536" s="9">
        <v>36069</v>
      </c>
      <c r="I6536" s="14">
        <f>DATE(2012,12,31)-1122</f>
        <v>40152</v>
      </c>
      <c r="J6536" s="15" t="s">
        <v>25</v>
      </c>
      <c r="K6536" s="9">
        <v>13</v>
      </c>
      <c r="L6536" s="16" t="s">
        <v>26</v>
      </c>
      <c r="M6536" s="16">
        <f t="shared" si="609"/>
        <v>-0.86820119219235514</v>
      </c>
      <c r="N6536">
        <f t="shared" si="610"/>
        <v>0</v>
      </c>
      <c r="O6536">
        <f t="shared" si="611"/>
        <v>0</v>
      </c>
      <c r="P6536">
        <f t="shared" si="608"/>
        <v>4050</v>
      </c>
      <c r="Q6536">
        <f t="shared" si="612"/>
        <v>4050</v>
      </c>
      <c r="T6536" s="16">
        <f t="shared" si="613"/>
        <v>-0.86820119219235548</v>
      </c>
    </row>
    <row r="6537" spans="7:20" ht="14.4" x14ac:dyDescent="0.25">
      <c r="G6537" s="10">
        <v>5060</v>
      </c>
      <c r="H6537" s="9">
        <v>36069</v>
      </c>
      <c r="I6537" s="14">
        <f>DATE(2012,12,31)-1122</f>
        <v>40152</v>
      </c>
      <c r="J6537" s="15" t="s">
        <v>25</v>
      </c>
      <c r="K6537" s="9">
        <v>15</v>
      </c>
      <c r="L6537" s="16" t="s">
        <v>29</v>
      </c>
      <c r="M6537" s="16">
        <f t="shared" si="609"/>
        <v>-0.7300816389539122</v>
      </c>
      <c r="N6537">
        <f t="shared" si="610"/>
        <v>0</v>
      </c>
      <c r="O6537">
        <f t="shared" si="611"/>
        <v>0</v>
      </c>
      <c r="P6537">
        <f t="shared" si="608"/>
        <v>4150</v>
      </c>
      <c r="Q6537">
        <f t="shared" si="612"/>
        <v>4150</v>
      </c>
      <c r="T6537" s="16">
        <f t="shared" si="613"/>
        <v>-0.73008163895391265</v>
      </c>
    </row>
    <row r="6538" spans="7:20" ht="14.4" x14ac:dyDescent="0.25">
      <c r="G6538" s="10">
        <v>5061</v>
      </c>
      <c r="H6538" s="9">
        <v>36069</v>
      </c>
      <c r="I6538" s="14">
        <f>DATE(2012,12,31)-1122</f>
        <v>40152</v>
      </c>
      <c r="J6538" s="15" t="s">
        <v>25</v>
      </c>
      <c r="K6538" s="9">
        <v>20</v>
      </c>
      <c r="L6538" s="16" t="s">
        <v>26</v>
      </c>
      <c r="M6538" s="16">
        <f t="shared" si="609"/>
        <v>-0.38478275585780503</v>
      </c>
      <c r="N6538">
        <f t="shared" si="610"/>
        <v>0</v>
      </c>
      <c r="O6538">
        <f t="shared" si="611"/>
        <v>0</v>
      </c>
      <c r="P6538">
        <f t="shared" si="608"/>
        <v>4400</v>
      </c>
      <c r="Q6538">
        <f t="shared" si="612"/>
        <v>4400</v>
      </c>
      <c r="T6538" s="16">
        <f t="shared" si="613"/>
        <v>-0.38478275585780541</v>
      </c>
    </row>
    <row r="6539" spans="7:20" ht="14.4" x14ac:dyDescent="0.25">
      <c r="G6539" s="10">
        <v>5135</v>
      </c>
      <c r="H6539" s="9">
        <v>36640</v>
      </c>
      <c r="I6539" s="14">
        <f>DATE(2012,12,31)-409</f>
        <v>40865</v>
      </c>
      <c r="J6539" s="15" t="s">
        <v>28</v>
      </c>
      <c r="K6539" s="9">
        <v>18</v>
      </c>
      <c r="L6539" s="16" t="s">
        <v>27</v>
      </c>
      <c r="M6539" s="16">
        <f t="shared" si="609"/>
        <v>-0.52290230909624791</v>
      </c>
      <c r="N6539">
        <f t="shared" si="610"/>
        <v>0</v>
      </c>
      <c r="O6539">
        <f t="shared" si="611"/>
        <v>0</v>
      </c>
      <c r="P6539">
        <f t="shared" si="608"/>
        <v>4300</v>
      </c>
      <c r="Q6539">
        <f t="shared" si="612"/>
        <v>4300</v>
      </c>
      <c r="T6539" s="16">
        <f t="shared" si="613"/>
        <v>-0.52290230909624835</v>
      </c>
    </row>
    <row r="6540" spans="7:20" ht="14.4" x14ac:dyDescent="0.25">
      <c r="G6540" s="10">
        <v>5197</v>
      </c>
      <c r="H6540" s="9">
        <v>36931</v>
      </c>
      <c r="I6540" s="14">
        <f>DATE(2012,12,31)-712</f>
        <v>40562</v>
      </c>
      <c r="J6540" s="15" t="s">
        <v>28</v>
      </c>
      <c r="K6540" s="9">
        <v>46</v>
      </c>
      <c r="L6540" s="16" t="s">
        <v>26</v>
      </c>
      <c r="M6540" s="16">
        <f t="shared" si="609"/>
        <v>1.4107714362419523</v>
      </c>
      <c r="N6540">
        <f t="shared" si="610"/>
        <v>0</v>
      </c>
      <c r="O6540">
        <f t="shared" si="611"/>
        <v>0</v>
      </c>
      <c r="P6540">
        <f t="shared" ref="P6540:P6603" si="614">50*K6540+$P$10</f>
        <v>5700</v>
      </c>
      <c r="Q6540">
        <f t="shared" si="612"/>
        <v>5700</v>
      </c>
      <c r="T6540" s="16">
        <f t="shared" si="613"/>
        <v>1.4107714362419519</v>
      </c>
    </row>
    <row r="6541" spans="7:20" ht="14.4" x14ac:dyDescent="0.25">
      <c r="G6541" s="10">
        <v>5279</v>
      </c>
      <c r="H6541" s="9">
        <v>37543</v>
      </c>
      <c r="I6541" s="14">
        <f>DATE(2012,12,31)-366</f>
        <v>40908</v>
      </c>
      <c r="J6541" s="15" t="s">
        <v>16</v>
      </c>
      <c r="K6541" s="9">
        <v>6</v>
      </c>
      <c r="L6541" s="16" t="s">
        <v>26</v>
      </c>
      <c r="M6541" s="16">
        <f t="shared" ref="M6541:M6604" si="615">(K6541-$K$4)/$K$7</f>
        <v>-1.3516196285269051</v>
      </c>
      <c r="N6541">
        <f t="shared" ref="N6541:N6604" si="616">IF(MOD($B$20+G6541,1000)=0,1,0)</f>
        <v>0</v>
      </c>
      <c r="O6541">
        <f t="shared" ref="O6541:O6604" si="617">+ROUND(N6541*(IF(K6541&lt;$K$4,-4.5,10.5)*$P$5),-2)</f>
        <v>0</v>
      </c>
      <c r="P6541">
        <f t="shared" si="614"/>
        <v>3700</v>
      </c>
      <c r="Q6541">
        <f t="shared" ref="Q6541:Q6604" si="618">P6541+O6541</f>
        <v>3700</v>
      </c>
      <c r="T6541" s="16">
        <f t="shared" ref="T6541:T6604" si="619">(Q6541-$P$4)/$P$5</f>
        <v>-1.3516196285269055</v>
      </c>
    </row>
    <row r="6542" spans="7:20" ht="14.4" x14ac:dyDescent="0.25">
      <c r="G6542" s="10">
        <v>5517</v>
      </c>
      <c r="H6542" s="9">
        <v>39111</v>
      </c>
      <c r="I6542" s="14">
        <f>DATE(2012,12,31)-525</f>
        <v>40749</v>
      </c>
      <c r="J6542" s="15" t="s">
        <v>16</v>
      </c>
      <c r="K6542" s="9">
        <v>1</v>
      </c>
      <c r="L6542" s="16" t="s">
        <v>26</v>
      </c>
      <c r="M6542" s="16">
        <f t="shared" si="615"/>
        <v>-1.6969185116230123</v>
      </c>
      <c r="N6542">
        <f t="shared" si="616"/>
        <v>0</v>
      </c>
      <c r="O6542">
        <f t="shared" si="617"/>
        <v>0</v>
      </c>
      <c r="P6542">
        <f t="shared" si="614"/>
        <v>3450</v>
      </c>
      <c r="Q6542">
        <f t="shared" si="618"/>
        <v>3450</v>
      </c>
      <c r="T6542" s="16">
        <f t="shared" si="619"/>
        <v>-1.6969185116230128</v>
      </c>
    </row>
    <row r="6543" spans="7:20" ht="14.4" x14ac:dyDescent="0.25">
      <c r="G6543" s="10">
        <v>5518</v>
      </c>
      <c r="H6543" s="9">
        <v>39111</v>
      </c>
      <c r="I6543" s="14">
        <f>DATE(2012,12,31)-525</f>
        <v>40749</v>
      </c>
      <c r="J6543" s="15" t="s">
        <v>16</v>
      </c>
      <c r="K6543" s="9">
        <v>20</v>
      </c>
      <c r="L6543" s="16" t="s">
        <v>27</v>
      </c>
      <c r="M6543" s="16">
        <f t="shared" si="615"/>
        <v>-0.38478275585780503</v>
      </c>
      <c r="N6543">
        <f t="shared" si="616"/>
        <v>0</v>
      </c>
      <c r="O6543">
        <f t="shared" si="617"/>
        <v>0</v>
      </c>
      <c r="P6543">
        <f t="shared" si="614"/>
        <v>4400</v>
      </c>
      <c r="Q6543">
        <f t="shared" si="618"/>
        <v>4400</v>
      </c>
      <c r="T6543" s="16">
        <f t="shared" si="619"/>
        <v>-0.38478275585780541</v>
      </c>
    </row>
    <row r="6544" spans="7:20" ht="14.4" x14ac:dyDescent="0.25">
      <c r="G6544" s="10">
        <v>5520</v>
      </c>
      <c r="H6544" s="9">
        <v>39139</v>
      </c>
      <c r="I6544" s="14">
        <f>DATE(2012,12,31)-779</f>
        <v>40495</v>
      </c>
      <c r="J6544" s="15" t="s">
        <v>28</v>
      </c>
      <c r="K6544" s="9">
        <v>6</v>
      </c>
      <c r="L6544" s="16" t="s">
        <v>27</v>
      </c>
      <c r="M6544" s="16">
        <f t="shared" si="615"/>
        <v>-1.3516196285269051</v>
      </c>
      <c r="N6544">
        <f t="shared" si="616"/>
        <v>0</v>
      </c>
      <c r="O6544">
        <f t="shared" si="617"/>
        <v>0</v>
      </c>
      <c r="P6544">
        <f t="shared" si="614"/>
        <v>3700</v>
      </c>
      <c r="Q6544">
        <f t="shared" si="618"/>
        <v>3700</v>
      </c>
      <c r="T6544" s="16">
        <f t="shared" si="619"/>
        <v>-1.3516196285269055</v>
      </c>
    </row>
    <row r="6545" spans="7:20" ht="14.4" x14ac:dyDescent="0.25">
      <c r="G6545" s="10">
        <v>5521</v>
      </c>
      <c r="H6545" s="9">
        <v>39139</v>
      </c>
      <c r="I6545" s="14">
        <f>DATE(2012,12,31)-779</f>
        <v>40495</v>
      </c>
      <c r="J6545" s="15" t="s">
        <v>28</v>
      </c>
      <c r="K6545" s="9">
        <v>50</v>
      </c>
      <c r="L6545" s="16" t="s">
        <v>29</v>
      </c>
      <c r="M6545" s="16">
        <f t="shared" si="615"/>
        <v>1.687010542718838</v>
      </c>
      <c r="N6545">
        <f t="shared" si="616"/>
        <v>0</v>
      </c>
      <c r="O6545">
        <f t="shared" si="617"/>
        <v>0</v>
      </c>
      <c r="P6545">
        <f t="shared" si="614"/>
        <v>5900</v>
      </c>
      <c r="Q6545">
        <f t="shared" si="618"/>
        <v>5900</v>
      </c>
      <c r="T6545" s="16">
        <f t="shared" si="619"/>
        <v>1.6870105427188375</v>
      </c>
    </row>
    <row r="6546" spans="7:20" ht="14.4" x14ac:dyDescent="0.25">
      <c r="G6546" s="10">
        <v>5522</v>
      </c>
      <c r="H6546" s="9">
        <v>39139</v>
      </c>
      <c r="I6546" s="14">
        <f>DATE(2012,12,31)-779</f>
        <v>40495</v>
      </c>
      <c r="J6546" s="15" t="s">
        <v>28</v>
      </c>
      <c r="K6546" s="9">
        <v>31</v>
      </c>
      <c r="L6546" s="16" t="s">
        <v>29</v>
      </c>
      <c r="M6546" s="16">
        <f t="shared" si="615"/>
        <v>0.37487478695363075</v>
      </c>
      <c r="N6546">
        <f t="shared" si="616"/>
        <v>0</v>
      </c>
      <c r="O6546">
        <f t="shared" si="617"/>
        <v>0</v>
      </c>
      <c r="P6546">
        <f t="shared" si="614"/>
        <v>4950</v>
      </c>
      <c r="Q6546">
        <f t="shared" si="618"/>
        <v>4950</v>
      </c>
      <c r="T6546" s="16">
        <f t="shared" si="619"/>
        <v>0.37487478695363036</v>
      </c>
    </row>
    <row r="6547" spans="7:20" ht="14.4" x14ac:dyDescent="0.25">
      <c r="G6547" s="10">
        <v>5573</v>
      </c>
      <c r="H6547" s="9">
        <v>39490</v>
      </c>
      <c r="I6547" s="14">
        <f>DATE(2012,12,31)-141</f>
        <v>41133</v>
      </c>
      <c r="J6547" s="15" t="s">
        <v>25</v>
      </c>
      <c r="K6547" s="9">
        <v>38</v>
      </c>
      <c r="L6547" s="16" t="s">
        <v>26</v>
      </c>
      <c r="M6547" s="16">
        <f t="shared" si="615"/>
        <v>0.85829322328818081</v>
      </c>
      <c r="N6547">
        <f t="shared" si="616"/>
        <v>0</v>
      </c>
      <c r="O6547">
        <f t="shared" si="617"/>
        <v>0</v>
      </c>
      <c r="P6547">
        <f t="shared" si="614"/>
        <v>5300</v>
      </c>
      <c r="Q6547">
        <f t="shared" si="618"/>
        <v>5300</v>
      </c>
      <c r="T6547" s="16">
        <f t="shared" si="619"/>
        <v>0.85829322328818036</v>
      </c>
    </row>
    <row r="6548" spans="7:20" ht="14.4" x14ac:dyDescent="0.25">
      <c r="G6548" s="10">
        <v>5574</v>
      </c>
      <c r="H6548" s="9">
        <v>39490</v>
      </c>
      <c r="I6548" s="14">
        <f>DATE(2012,12,31)-141</f>
        <v>41133</v>
      </c>
      <c r="J6548" s="15" t="s">
        <v>25</v>
      </c>
      <c r="K6548" s="9">
        <v>17</v>
      </c>
      <c r="L6548" s="16" t="s">
        <v>29</v>
      </c>
      <c r="M6548" s="16">
        <f t="shared" si="615"/>
        <v>-0.59196208571546938</v>
      </c>
      <c r="N6548">
        <f t="shared" si="616"/>
        <v>0</v>
      </c>
      <c r="O6548">
        <f t="shared" si="617"/>
        <v>0</v>
      </c>
      <c r="P6548">
        <f t="shared" si="614"/>
        <v>4250</v>
      </c>
      <c r="Q6548">
        <f t="shared" si="618"/>
        <v>4250</v>
      </c>
      <c r="T6548" s="16">
        <f t="shared" si="619"/>
        <v>-0.59196208571546971</v>
      </c>
    </row>
    <row r="6549" spans="7:20" ht="14.4" x14ac:dyDescent="0.25">
      <c r="G6549" s="10">
        <v>5645</v>
      </c>
      <c r="H6549" s="9">
        <v>39938</v>
      </c>
      <c r="I6549" s="14">
        <f>DATE(2012,12,31)-204</f>
        <v>41070</v>
      </c>
      <c r="J6549" s="15" t="s">
        <v>17</v>
      </c>
      <c r="K6549" s="9">
        <v>5</v>
      </c>
      <c r="L6549" s="16" t="s">
        <v>26</v>
      </c>
      <c r="M6549" s="16">
        <f t="shared" si="615"/>
        <v>-1.4206794051461267</v>
      </c>
      <c r="N6549">
        <f t="shared" si="616"/>
        <v>0</v>
      </c>
      <c r="O6549">
        <f t="shared" si="617"/>
        <v>0</v>
      </c>
      <c r="P6549">
        <f t="shared" si="614"/>
        <v>3650</v>
      </c>
      <c r="Q6549">
        <f t="shared" si="618"/>
        <v>3650</v>
      </c>
      <c r="T6549" s="16">
        <f t="shared" si="619"/>
        <v>-1.4206794051461269</v>
      </c>
    </row>
    <row r="6550" spans="7:20" ht="14.4" x14ac:dyDescent="0.25">
      <c r="G6550" s="10">
        <v>5667</v>
      </c>
      <c r="H6550" s="9">
        <v>40098</v>
      </c>
      <c r="I6550" s="14">
        <f>DATE(2012,12,31)-330</f>
        <v>40944</v>
      </c>
      <c r="J6550" s="15" t="s">
        <v>25</v>
      </c>
      <c r="K6550" s="9">
        <v>46</v>
      </c>
      <c r="L6550" s="16" t="s">
        <v>26</v>
      </c>
      <c r="M6550" s="16">
        <f t="shared" si="615"/>
        <v>1.4107714362419523</v>
      </c>
      <c r="N6550">
        <f t="shared" si="616"/>
        <v>0</v>
      </c>
      <c r="O6550">
        <f t="shared" si="617"/>
        <v>0</v>
      </c>
      <c r="P6550">
        <f t="shared" si="614"/>
        <v>5700</v>
      </c>
      <c r="Q6550">
        <f t="shared" si="618"/>
        <v>5700</v>
      </c>
      <c r="T6550" s="16">
        <f t="shared" si="619"/>
        <v>1.4107714362419519</v>
      </c>
    </row>
    <row r="6551" spans="7:20" ht="14.4" x14ac:dyDescent="0.25">
      <c r="G6551" s="10">
        <v>5668</v>
      </c>
      <c r="H6551" s="9">
        <v>40098</v>
      </c>
      <c r="I6551" s="14">
        <f>DATE(2012,12,31)-330</f>
        <v>40944</v>
      </c>
      <c r="J6551" s="15" t="s">
        <v>25</v>
      </c>
      <c r="K6551" s="9">
        <v>50</v>
      </c>
      <c r="L6551" s="16" t="s">
        <v>26</v>
      </c>
      <c r="M6551" s="16">
        <f t="shared" si="615"/>
        <v>1.687010542718838</v>
      </c>
      <c r="N6551">
        <f t="shared" si="616"/>
        <v>0</v>
      </c>
      <c r="O6551">
        <f t="shared" si="617"/>
        <v>0</v>
      </c>
      <c r="P6551">
        <f t="shared" si="614"/>
        <v>5900</v>
      </c>
      <c r="Q6551">
        <f t="shared" si="618"/>
        <v>5900</v>
      </c>
      <c r="T6551" s="16">
        <f t="shared" si="619"/>
        <v>1.6870105427188375</v>
      </c>
    </row>
    <row r="6552" spans="7:20" ht="14.4" x14ac:dyDescent="0.25">
      <c r="G6552" s="10">
        <v>5785</v>
      </c>
      <c r="H6552" s="9">
        <v>41056</v>
      </c>
      <c r="I6552" s="14">
        <f>DATE(2012,12,31)-280</f>
        <v>40994</v>
      </c>
      <c r="J6552" s="15" t="s">
        <v>30</v>
      </c>
      <c r="K6552" s="9">
        <v>4</v>
      </c>
      <c r="L6552" s="16" t="s">
        <v>27</v>
      </c>
      <c r="M6552" s="16">
        <f t="shared" si="615"/>
        <v>-1.489739181765348</v>
      </c>
      <c r="N6552">
        <f t="shared" si="616"/>
        <v>0</v>
      </c>
      <c r="O6552">
        <f t="shared" si="617"/>
        <v>0</v>
      </c>
      <c r="P6552">
        <f t="shared" si="614"/>
        <v>3600</v>
      </c>
      <c r="Q6552">
        <f t="shared" si="618"/>
        <v>3600</v>
      </c>
      <c r="T6552" s="16">
        <f t="shared" si="619"/>
        <v>-1.4897391817653485</v>
      </c>
    </row>
    <row r="6553" spans="7:20" ht="14.4" x14ac:dyDescent="0.25">
      <c r="G6553" s="10">
        <v>5937</v>
      </c>
      <c r="H6553" s="9">
        <v>42115</v>
      </c>
      <c r="I6553" s="14">
        <f>DATE(2012,12,31)-317</f>
        <v>40957</v>
      </c>
      <c r="J6553" s="15" t="s">
        <v>30</v>
      </c>
      <c r="K6553" s="9">
        <v>21</v>
      </c>
      <c r="L6553" s="16" t="s">
        <v>27</v>
      </c>
      <c r="M6553" s="16">
        <f t="shared" si="615"/>
        <v>-0.31572297923858361</v>
      </c>
      <c r="N6553">
        <f t="shared" si="616"/>
        <v>0</v>
      </c>
      <c r="O6553">
        <f t="shared" si="617"/>
        <v>0</v>
      </c>
      <c r="P6553">
        <f t="shared" si="614"/>
        <v>4450</v>
      </c>
      <c r="Q6553">
        <f t="shared" si="618"/>
        <v>4450</v>
      </c>
      <c r="T6553" s="16">
        <f t="shared" si="619"/>
        <v>-0.315722979238584</v>
      </c>
    </row>
    <row r="6554" spans="7:20" ht="14.4" x14ac:dyDescent="0.25">
      <c r="G6554" s="10">
        <v>5938</v>
      </c>
      <c r="H6554" s="9">
        <v>42115</v>
      </c>
      <c r="I6554" s="14">
        <f>DATE(2012,12,31)-317</f>
        <v>40957</v>
      </c>
      <c r="J6554" s="15" t="s">
        <v>30</v>
      </c>
      <c r="K6554" s="9">
        <v>19</v>
      </c>
      <c r="L6554" s="16" t="s">
        <v>26</v>
      </c>
      <c r="M6554" s="16">
        <f t="shared" si="615"/>
        <v>-0.45384253247702649</v>
      </c>
      <c r="N6554">
        <f t="shared" si="616"/>
        <v>0</v>
      </c>
      <c r="O6554">
        <f t="shared" si="617"/>
        <v>0</v>
      </c>
      <c r="P6554">
        <f t="shared" si="614"/>
        <v>4350</v>
      </c>
      <c r="Q6554">
        <f t="shared" si="618"/>
        <v>4350</v>
      </c>
      <c r="T6554" s="16">
        <f t="shared" si="619"/>
        <v>-0.45384253247702688</v>
      </c>
    </row>
    <row r="6555" spans="7:20" ht="14.4" x14ac:dyDescent="0.25">
      <c r="G6555" s="10">
        <v>6136</v>
      </c>
      <c r="H6555" s="9">
        <v>43459</v>
      </c>
      <c r="I6555" s="14">
        <f>DATE(2012,12,31)-420</f>
        <v>40854</v>
      </c>
      <c r="J6555" s="15" t="s">
        <v>30</v>
      </c>
      <c r="K6555" s="9">
        <v>26</v>
      </c>
      <c r="L6555" s="16" t="s">
        <v>27</v>
      </c>
      <c r="M6555" s="16">
        <f t="shared" si="615"/>
        <v>2.9575903857523567E-2</v>
      </c>
      <c r="N6555">
        <f t="shared" si="616"/>
        <v>0</v>
      </c>
      <c r="O6555">
        <f t="shared" si="617"/>
        <v>0</v>
      </c>
      <c r="P6555">
        <f t="shared" si="614"/>
        <v>4700</v>
      </c>
      <c r="Q6555">
        <f t="shared" si="618"/>
        <v>4700</v>
      </c>
      <c r="T6555" s="16">
        <f t="shared" si="619"/>
        <v>2.9575903857523185E-2</v>
      </c>
    </row>
    <row r="6556" spans="7:20" ht="14.4" x14ac:dyDescent="0.25">
      <c r="G6556" s="10">
        <v>6403</v>
      </c>
      <c r="H6556" s="9">
        <v>45476</v>
      </c>
      <c r="I6556" s="14">
        <f>DATE(2012,12,31)-257</f>
        <v>41017</v>
      </c>
      <c r="J6556" s="15" t="s">
        <v>30</v>
      </c>
      <c r="K6556" s="9">
        <v>48</v>
      </c>
      <c r="L6556" s="16" t="s">
        <v>26</v>
      </c>
      <c r="M6556" s="16">
        <f t="shared" si="615"/>
        <v>1.5488909894803951</v>
      </c>
      <c r="N6556">
        <f t="shared" si="616"/>
        <v>0</v>
      </c>
      <c r="O6556">
        <f t="shared" si="617"/>
        <v>0</v>
      </c>
      <c r="P6556">
        <f t="shared" si="614"/>
        <v>5800</v>
      </c>
      <c r="Q6556">
        <f t="shared" si="618"/>
        <v>5800</v>
      </c>
      <c r="T6556" s="16">
        <f t="shared" si="619"/>
        <v>1.5488909894803948</v>
      </c>
    </row>
    <row r="6557" spans="7:20" ht="14.4" x14ac:dyDescent="0.25">
      <c r="G6557" s="10">
        <v>6452</v>
      </c>
      <c r="H6557" s="9">
        <v>45958</v>
      </c>
      <c r="I6557" s="14">
        <f>DATE(2012,12,31)-586</f>
        <v>40688</v>
      </c>
      <c r="J6557" s="15" t="s">
        <v>16</v>
      </c>
      <c r="K6557" s="9">
        <v>28</v>
      </c>
      <c r="L6557" s="16" t="s">
        <v>27</v>
      </c>
      <c r="M6557" s="16">
        <f t="shared" si="615"/>
        <v>0.16769545709596645</v>
      </c>
      <c r="N6557">
        <f t="shared" si="616"/>
        <v>0</v>
      </c>
      <c r="O6557">
        <f t="shared" si="617"/>
        <v>0</v>
      </c>
      <c r="P6557">
        <f t="shared" si="614"/>
        <v>4800</v>
      </c>
      <c r="Q6557">
        <f t="shared" si="618"/>
        <v>4800</v>
      </c>
      <c r="T6557" s="16">
        <f t="shared" si="619"/>
        <v>0.16769545709596606</v>
      </c>
    </row>
    <row r="6558" spans="7:20" ht="14.4" x14ac:dyDescent="0.25">
      <c r="G6558" s="10">
        <v>6453</v>
      </c>
      <c r="H6558" s="9">
        <v>45958</v>
      </c>
      <c r="I6558" s="14">
        <f>DATE(2012,12,31)-586</f>
        <v>40688</v>
      </c>
      <c r="J6558" s="15" t="s">
        <v>16</v>
      </c>
      <c r="K6558" s="9">
        <v>16</v>
      </c>
      <c r="L6558" s="16" t="s">
        <v>26</v>
      </c>
      <c r="M6558" s="16">
        <f t="shared" si="615"/>
        <v>-0.66102186233469074</v>
      </c>
      <c r="N6558">
        <f t="shared" si="616"/>
        <v>0</v>
      </c>
      <c r="O6558">
        <f t="shared" si="617"/>
        <v>0</v>
      </c>
      <c r="P6558">
        <f t="shared" si="614"/>
        <v>4200</v>
      </c>
      <c r="Q6558">
        <f t="shared" si="618"/>
        <v>4200</v>
      </c>
      <c r="T6558" s="16">
        <f t="shared" si="619"/>
        <v>-0.66102186233469118</v>
      </c>
    </row>
    <row r="6559" spans="7:20" ht="14.4" x14ac:dyDescent="0.25">
      <c r="G6559" s="10">
        <v>6690</v>
      </c>
      <c r="H6559" s="9">
        <v>47591</v>
      </c>
      <c r="I6559" s="14">
        <f>DATE(2012,12,31)-364</f>
        <v>40910</v>
      </c>
      <c r="J6559" s="15" t="s">
        <v>30</v>
      </c>
      <c r="K6559" s="9">
        <v>27</v>
      </c>
      <c r="L6559" s="16" t="s">
        <v>26</v>
      </c>
      <c r="M6559" s="16">
        <f t="shared" si="615"/>
        <v>9.8635680476745008E-2</v>
      </c>
      <c r="N6559">
        <f t="shared" si="616"/>
        <v>0</v>
      </c>
      <c r="O6559">
        <f t="shared" si="617"/>
        <v>0</v>
      </c>
      <c r="P6559">
        <f t="shared" si="614"/>
        <v>4750</v>
      </c>
      <c r="Q6559">
        <f t="shared" si="618"/>
        <v>4750</v>
      </c>
      <c r="T6559" s="16">
        <f t="shared" si="619"/>
        <v>9.8635680476744619E-2</v>
      </c>
    </row>
    <row r="6560" spans="7:20" ht="14.4" x14ac:dyDescent="0.25">
      <c r="G6560" s="10">
        <v>6962</v>
      </c>
      <c r="H6560" s="9">
        <v>49764</v>
      </c>
      <c r="I6560" s="14">
        <f>DATE(2012,12,31)-820</f>
        <v>40454</v>
      </c>
      <c r="J6560" s="15" t="s">
        <v>25</v>
      </c>
      <c r="K6560" s="9">
        <v>37</v>
      </c>
      <c r="L6560" s="16" t="s">
        <v>26</v>
      </c>
      <c r="M6560" s="16">
        <f t="shared" si="615"/>
        <v>0.78923344666895934</v>
      </c>
      <c r="N6560">
        <f t="shared" si="616"/>
        <v>0</v>
      </c>
      <c r="O6560">
        <f t="shared" si="617"/>
        <v>0</v>
      </c>
      <c r="P6560">
        <f t="shared" si="614"/>
        <v>5250</v>
      </c>
      <c r="Q6560">
        <f t="shared" si="618"/>
        <v>5250</v>
      </c>
      <c r="T6560" s="16">
        <f t="shared" si="619"/>
        <v>0.789233446668959</v>
      </c>
    </row>
    <row r="6561" spans="7:20" ht="14.4" x14ac:dyDescent="0.25">
      <c r="G6561" s="10">
        <v>7022</v>
      </c>
      <c r="H6561" s="9">
        <v>50118</v>
      </c>
      <c r="I6561" s="14">
        <f>DATE(2012,12,31)-1019</f>
        <v>40255</v>
      </c>
      <c r="J6561" s="15" t="s">
        <v>28</v>
      </c>
      <c r="K6561" s="9">
        <v>19</v>
      </c>
      <c r="L6561" s="16" t="s">
        <v>29</v>
      </c>
      <c r="M6561" s="16">
        <f t="shared" si="615"/>
        <v>-0.45384253247702649</v>
      </c>
      <c r="N6561">
        <f t="shared" si="616"/>
        <v>0</v>
      </c>
      <c r="O6561">
        <f t="shared" si="617"/>
        <v>0</v>
      </c>
      <c r="P6561">
        <f t="shared" si="614"/>
        <v>4350</v>
      </c>
      <c r="Q6561">
        <f t="shared" si="618"/>
        <v>4350</v>
      </c>
      <c r="T6561" s="16">
        <f t="shared" si="619"/>
        <v>-0.45384253247702688</v>
      </c>
    </row>
    <row r="6562" spans="7:20" ht="14.4" x14ac:dyDescent="0.25">
      <c r="G6562" s="10">
        <v>7031</v>
      </c>
      <c r="H6562" s="9">
        <v>50183</v>
      </c>
      <c r="I6562" s="14">
        <f>DATE(2012,12,31)-952</f>
        <v>40322</v>
      </c>
      <c r="J6562" s="15" t="s">
        <v>17</v>
      </c>
      <c r="K6562" s="9">
        <v>20</v>
      </c>
      <c r="L6562" s="16" t="s">
        <v>26</v>
      </c>
      <c r="M6562" s="16">
        <f t="shared" si="615"/>
        <v>-0.38478275585780503</v>
      </c>
      <c r="N6562">
        <f t="shared" si="616"/>
        <v>0</v>
      </c>
      <c r="O6562">
        <f t="shared" si="617"/>
        <v>0</v>
      </c>
      <c r="P6562">
        <f t="shared" si="614"/>
        <v>4400</v>
      </c>
      <c r="Q6562">
        <f t="shared" si="618"/>
        <v>4400</v>
      </c>
      <c r="T6562" s="16">
        <f t="shared" si="619"/>
        <v>-0.38478275585780541</v>
      </c>
    </row>
    <row r="6563" spans="7:20" ht="14.4" x14ac:dyDescent="0.25">
      <c r="G6563" s="10">
        <v>7117</v>
      </c>
      <c r="H6563" s="9">
        <v>50786</v>
      </c>
      <c r="I6563" s="14">
        <f>DATE(2012,12,31)-1176</f>
        <v>40098</v>
      </c>
      <c r="J6563" s="15" t="s">
        <v>25</v>
      </c>
      <c r="K6563" s="9">
        <v>4</v>
      </c>
      <c r="L6563" s="16" t="s">
        <v>27</v>
      </c>
      <c r="M6563" s="16">
        <f t="shared" si="615"/>
        <v>-1.489739181765348</v>
      </c>
      <c r="N6563">
        <f t="shared" si="616"/>
        <v>0</v>
      </c>
      <c r="O6563">
        <f t="shared" si="617"/>
        <v>0</v>
      </c>
      <c r="P6563">
        <f t="shared" si="614"/>
        <v>3600</v>
      </c>
      <c r="Q6563">
        <f t="shared" si="618"/>
        <v>3600</v>
      </c>
      <c r="T6563" s="16">
        <f t="shared" si="619"/>
        <v>-1.4897391817653485</v>
      </c>
    </row>
    <row r="6564" spans="7:20" ht="14.4" x14ac:dyDescent="0.25">
      <c r="G6564" s="10">
        <v>7144</v>
      </c>
      <c r="H6564" s="9">
        <v>50978</v>
      </c>
      <c r="I6564" s="14">
        <f>DATE(2012,12,31)-275</f>
        <v>40999</v>
      </c>
      <c r="J6564" s="15" t="s">
        <v>17</v>
      </c>
      <c r="K6564" s="9">
        <v>4</v>
      </c>
      <c r="L6564" s="16" t="s">
        <v>26</v>
      </c>
      <c r="M6564" s="16">
        <f t="shared" si="615"/>
        <v>-1.489739181765348</v>
      </c>
      <c r="N6564">
        <f t="shared" si="616"/>
        <v>0</v>
      </c>
      <c r="O6564">
        <f t="shared" si="617"/>
        <v>0</v>
      </c>
      <c r="P6564">
        <f t="shared" si="614"/>
        <v>3600</v>
      </c>
      <c r="Q6564">
        <f t="shared" si="618"/>
        <v>3600</v>
      </c>
      <c r="T6564" s="16">
        <f t="shared" si="619"/>
        <v>-1.4897391817653485</v>
      </c>
    </row>
    <row r="6565" spans="7:20" ht="14.4" x14ac:dyDescent="0.25">
      <c r="G6565" s="10">
        <v>7147</v>
      </c>
      <c r="H6565" s="9">
        <v>50983</v>
      </c>
      <c r="I6565" s="14">
        <f>DATE(2012,12,31)-552</f>
        <v>40722</v>
      </c>
      <c r="J6565" s="15" t="s">
        <v>30</v>
      </c>
      <c r="K6565" s="9">
        <v>39</v>
      </c>
      <c r="L6565" s="16" t="s">
        <v>26</v>
      </c>
      <c r="M6565" s="16">
        <f t="shared" si="615"/>
        <v>0.92735299990740228</v>
      </c>
      <c r="N6565">
        <f t="shared" si="616"/>
        <v>0</v>
      </c>
      <c r="O6565">
        <f t="shared" si="617"/>
        <v>0</v>
      </c>
      <c r="P6565">
        <f t="shared" si="614"/>
        <v>5350</v>
      </c>
      <c r="Q6565">
        <f t="shared" si="618"/>
        <v>5350</v>
      </c>
      <c r="T6565" s="16">
        <f t="shared" si="619"/>
        <v>0.92735299990740183</v>
      </c>
    </row>
    <row r="6566" spans="7:20" ht="14.4" x14ac:dyDescent="0.25">
      <c r="G6566" s="10">
        <v>7148</v>
      </c>
      <c r="H6566" s="9">
        <v>50983</v>
      </c>
      <c r="I6566" s="14">
        <f>DATE(2012,12,31)-552</f>
        <v>40722</v>
      </c>
      <c r="J6566" s="15" t="s">
        <v>30</v>
      </c>
      <c r="K6566" s="9">
        <v>15</v>
      </c>
      <c r="L6566" s="16" t="s">
        <v>26</v>
      </c>
      <c r="M6566" s="16">
        <f t="shared" si="615"/>
        <v>-0.7300816389539122</v>
      </c>
      <c r="N6566">
        <f t="shared" si="616"/>
        <v>0</v>
      </c>
      <c r="O6566">
        <f t="shared" si="617"/>
        <v>0</v>
      </c>
      <c r="P6566">
        <f t="shared" si="614"/>
        <v>4150</v>
      </c>
      <c r="Q6566">
        <f t="shared" si="618"/>
        <v>4150</v>
      </c>
      <c r="T6566" s="16">
        <f t="shared" si="619"/>
        <v>-0.73008163895391265</v>
      </c>
    </row>
    <row r="6567" spans="7:20" ht="14.4" x14ac:dyDescent="0.25">
      <c r="G6567" s="10">
        <v>7291</v>
      </c>
      <c r="H6567" s="9">
        <v>52002</v>
      </c>
      <c r="I6567" s="14">
        <f>DATE(2012,12,31)-1306</f>
        <v>39968</v>
      </c>
      <c r="J6567" s="15" t="s">
        <v>17</v>
      </c>
      <c r="K6567" s="9">
        <v>11</v>
      </c>
      <c r="L6567" s="16" t="s">
        <v>29</v>
      </c>
      <c r="M6567" s="16">
        <f t="shared" si="615"/>
        <v>-1.0063207454307979</v>
      </c>
      <c r="N6567">
        <f t="shared" si="616"/>
        <v>0</v>
      </c>
      <c r="O6567">
        <f t="shared" si="617"/>
        <v>0</v>
      </c>
      <c r="P6567">
        <f t="shared" si="614"/>
        <v>3950</v>
      </c>
      <c r="Q6567">
        <f t="shared" si="618"/>
        <v>3950</v>
      </c>
      <c r="T6567" s="16">
        <f t="shared" si="619"/>
        <v>-1.0063207454307983</v>
      </c>
    </row>
    <row r="6568" spans="7:20" ht="14.4" x14ac:dyDescent="0.25">
      <c r="G6568" s="10">
        <v>7330</v>
      </c>
      <c r="H6568" s="9">
        <v>52227</v>
      </c>
      <c r="I6568" s="14">
        <f>DATE(2012,12,31)-1418</f>
        <v>39856</v>
      </c>
      <c r="J6568" s="15" t="s">
        <v>16</v>
      </c>
      <c r="K6568" s="9">
        <v>37</v>
      </c>
      <c r="L6568" s="16" t="s">
        <v>26</v>
      </c>
      <c r="M6568" s="16">
        <f t="shared" si="615"/>
        <v>0.78923344666895934</v>
      </c>
      <c r="N6568">
        <f t="shared" si="616"/>
        <v>0</v>
      </c>
      <c r="O6568">
        <f t="shared" si="617"/>
        <v>0</v>
      </c>
      <c r="P6568">
        <f t="shared" si="614"/>
        <v>5250</v>
      </c>
      <c r="Q6568">
        <f t="shared" si="618"/>
        <v>5250</v>
      </c>
      <c r="T6568" s="16">
        <f t="shared" si="619"/>
        <v>0.789233446668959</v>
      </c>
    </row>
    <row r="6569" spans="7:20" ht="14.4" x14ac:dyDescent="0.25">
      <c r="G6569" s="10">
        <v>7334</v>
      </c>
      <c r="H6569" s="9">
        <v>52261</v>
      </c>
      <c r="I6569" s="14">
        <f>DATE(2012,12,31)-620</f>
        <v>40654</v>
      </c>
      <c r="J6569" s="15" t="s">
        <v>28</v>
      </c>
      <c r="K6569" s="9">
        <v>49</v>
      </c>
      <c r="L6569" s="16" t="s">
        <v>29</v>
      </c>
      <c r="M6569" s="16">
        <f t="shared" si="615"/>
        <v>1.6179507660996166</v>
      </c>
      <c r="N6569">
        <f t="shared" si="616"/>
        <v>0</v>
      </c>
      <c r="O6569">
        <f t="shared" si="617"/>
        <v>0</v>
      </c>
      <c r="P6569">
        <f t="shared" si="614"/>
        <v>5850</v>
      </c>
      <c r="Q6569">
        <f t="shared" si="618"/>
        <v>5850</v>
      </c>
      <c r="T6569" s="16">
        <f t="shared" si="619"/>
        <v>1.6179507660996162</v>
      </c>
    </row>
    <row r="6570" spans="7:20" ht="14.4" x14ac:dyDescent="0.25">
      <c r="G6570" s="10">
        <v>7401</v>
      </c>
      <c r="H6570" s="9">
        <v>52743</v>
      </c>
      <c r="I6570" s="14">
        <f>DATE(2012,12,31)-911</f>
        <v>40363</v>
      </c>
      <c r="J6570" s="15" t="s">
        <v>17</v>
      </c>
      <c r="K6570" s="9">
        <v>46</v>
      </c>
      <c r="L6570" s="16" t="s">
        <v>27</v>
      </c>
      <c r="M6570" s="16">
        <f t="shared" si="615"/>
        <v>1.4107714362419523</v>
      </c>
      <c r="N6570">
        <f t="shared" si="616"/>
        <v>0</v>
      </c>
      <c r="O6570">
        <f t="shared" si="617"/>
        <v>0</v>
      </c>
      <c r="P6570">
        <f t="shared" si="614"/>
        <v>5700</v>
      </c>
      <c r="Q6570">
        <f t="shared" si="618"/>
        <v>5700</v>
      </c>
      <c r="T6570" s="16">
        <f t="shared" si="619"/>
        <v>1.4107714362419519</v>
      </c>
    </row>
    <row r="6571" spans="7:20" ht="14.4" x14ac:dyDescent="0.25">
      <c r="G6571" s="10">
        <v>7444</v>
      </c>
      <c r="H6571" s="9">
        <v>53120</v>
      </c>
      <c r="I6571" s="14">
        <f>DATE(2012,12,31)-228</f>
        <v>41046</v>
      </c>
      <c r="J6571" s="15" t="s">
        <v>28</v>
      </c>
      <c r="K6571" s="9">
        <v>5</v>
      </c>
      <c r="L6571" s="16" t="s">
        <v>26</v>
      </c>
      <c r="M6571" s="16">
        <f t="shared" si="615"/>
        <v>-1.4206794051461267</v>
      </c>
      <c r="N6571">
        <f t="shared" si="616"/>
        <v>0</v>
      </c>
      <c r="O6571">
        <f t="shared" si="617"/>
        <v>0</v>
      </c>
      <c r="P6571">
        <f t="shared" si="614"/>
        <v>3650</v>
      </c>
      <c r="Q6571">
        <f t="shared" si="618"/>
        <v>3650</v>
      </c>
      <c r="T6571" s="16">
        <f t="shared" si="619"/>
        <v>-1.4206794051461269</v>
      </c>
    </row>
    <row r="6572" spans="7:20" ht="14.4" x14ac:dyDescent="0.25">
      <c r="G6572" s="10">
        <v>7543</v>
      </c>
      <c r="H6572" s="9">
        <v>53920</v>
      </c>
      <c r="I6572" s="14">
        <f>DATE(2012,12,31)-1384</f>
        <v>39890</v>
      </c>
      <c r="J6572" s="15" t="s">
        <v>30</v>
      </c>
      <c r="K6572" s="9">
        <v>18</v>
      </c>
      <c r="L6572" s="16" t="s">
        <v>26</v>
      </c>
      <c r="M6572" s="16">
        <f t="shared" si="615"/>
        <v>-0.52290230909624791</v>
      </c>
      <c r="N6572">
        <f t="shared" si="616"/>
        <v>0</v>
      </c>
      <c r="O6572">
        <f t="shared" si="617"/>
        <v>0</v>
      </c>
      <c r="P6572">
        <f t="shared" si="614"/>
        <v>4300</v>
      </c>
      <c r="Q6572">
        <f t="shared" si="618"/>
        <v>4300</v>
      </c>
      <c r="T6572" s="16">
        <f t="shared" si="619"/>
        <v>-0.52290230909624835</v>
      </c>
    </row>
    <row r="6573" spans="7:20" ht="14.4" x14ac:dyDescent="0.25">
      <c r="G6573" s="10">
        <v>7634</v>
      </c>
      <c r="H6573" s="9">
        <v>54630</v>
      </c>
      <c r="I6573" s="14">
        <f>DATE(2012,12,31)-143</f>
        <v>41131</v>
      </c>
      <c r="J6573" s="15" t="s">
        <v>25</v>
      </c>
      <c r="K6573" s="9">
        <v>11</v>
      </c>
      <c r="L6573" s="16" t="s">
        <v>26</v>
      </c>
      <c r="M6573" s="16">
        <f t="shared" si="615"/>
        <v>-1.0063207454307979</v>
      </c>
      <c r="N6573">
        <f t="shared" si="616"/>
        <v>0</v>
      </c>
      <c r="O6573">
        <f t="shared" si="617"/>
        <v>0</v>
      </c>
      <c r="P6573">
        <f t="shared" si="614"/>
        <v>3950</v>
      </c>
      <c r="Q6573">
        <f t="shared" si="618"/>
        <v>3950</v>
      </c>
      <c r="T6573" s="16">
        <f t="shared" si="619"/>
        <v>-1.0063207454307983</v>
      </c>
    </row>
    <row r="6574" spans="7:20" ht="14.4" x14ac:dyDescent="0.25">
      <c r="G6574" s="10">
        <v>7717</v>
      </c>
      <c r="H6574" s="9">
        <v>55299</v>
      </c>
      <c r="I6574" s="14">
        <f>DATE(2012,12,31)-276</f>
        <v>40998</v>
      </c>
      <c r="J6574" s="15" t="s">
        <v>25</v>
      </c>
      <c r="K6574" s="9">
        <v>20</v>
      </c>
      <c r="L6574" s="16" t="s">
        <v>26</v>
      </c>
      <c r="M6574" s="16">
        <f t="shared" si="615"/>
        <v>-0.38478275585780503</v>
      </c>
      <c r="N6574">
        <f t="shared" si="616"/>
        <v>0</v>
      </c>
      <c r="O6574">
        <f t="shared" si="617"/>
        <v>0</v>
      </c>
      <c r="P6574">
        <f t="shared" si="614"/>
        <v>4400</v>
      </c>
      <c r="Q6574">
        <f t="shared" si="618"/>
        <v>4400</v>
      </c>
      <c r="T6574" s="16">
        <f t="shared" si="619"/>
        <v>-0.38478275585780541</v>
      </c>
    </row>
    <row r="6575" spans="7:20" ht="14.4" x14ac:dyDescent="0.25">
      <c r="G6575" s="10">
        <v>7758</v>
      </c>
      <c r="H6575" s="9">
        <v>55520</v>
      </c>
      <c r="I6575" s="14">
        <f>DATE(2012,12,31)-604</f>
        <v>40670</v>
      </c>
      <c r="J6575" s="15" t="s">
        <v>30</v>
      </c>
      <c r="K6575" s="9">
        <v>43</v>
      </c>
      <c r="L6575" s="16" t="s">
        <v>27</v>
      </c>
      <c r="M6575" s="16">
        <f t="shared" si="615"/>
        <v>1.203592106384288</v>
      </c>
      <c r="N6575">
        <f t="shared" si="616"/>
        <v>0</v>
      </c>
      <c r="O6575">
        <f t="shared" si="617"/>
        <v>0</v>
      </c>
      <c r="P6575">
        <f t="shared" si="614"/>
        <v>5550</v>
      </c>
      <c r="Q6575">
        <f t="shared" si="618"/>
        <v>5550</v>
      </c>
      <c r="T6575" s="16">
        <f t="shared" si="619"/>
        <v>1.2035921063842876</v>
      </c>
    </row>
    <row r="6576" spans="7:20" ht="14.4" x14ac:dyDescent="0.25">
      <c r="G6576" s="10">
        <v>7778</v>
      </c>
      <c r="H6576" s="9">
        <v>55653</v>
      </c>
      <c r="I6576" s="14">
        <f>DATE(2012,12,31)-766</f>
        <v>40508</v>
      </c>
      <c r="J6576" s="15" t="s">
        <v>16</v>
      </c>
      <c r="K6576" s="9">
        <v>34</v>
      </c>
      <c r="L6576" s="16" t="s">
        <v>27</v>
      </c>
      <c r="M6576" s="16">
        <f t="shared" si="615"/>
        <v>0.58205411681129504</v>
      </c>
      <c r="N6576">
        <f t="shared" si="616"/>
        <v>0</v>
      </c>
      <c r="O6576">
        <f t="shared" si="617"/>
        <v>0</v>
      </c>
      <c r="P6576">
        <f t="shared" si="614"/>
        <v>5100</v>
      </c>
      <c r="Q6576">
        <f t="shared" si="618"/>
        <v>5100</v>
      </c>
      <c r="T6576" s="16">
        <f t="shared" si="619"/>
        <v>0.58205411681129471</v>
      </c>
    </row>
    <row r="6577" spans="7:20" ht="14.4" x14ac:dyDescent="0.25">
      <c r="G6577" s="10">
        <v>7909</v>
      </c>
      <c r="H6577" s="9">
        <v>56577</v>
      </c>
      <c r="I6577" s="14">
        <f>DATE(2012,12,31)-425</f>
        <v>40849</v>
      </c>
      <c r="J6577" s="15" t="s">
        <v>30</v>
      </c>
      <c r="K6577" s="9">
        <v>30</v>
      </c>
      <c r="L6577" s="16" t="s">
        <v>29</v>
      </c>
      <c r="M6577" s="16">
        <f t="shared" si="615"/>
        <v>0.30581501033440933</v>
      </c>
      <c r="N6577">
        <f t="shared" si="616"/>
        <v>0</v>
      </c>
      <c r="O6577">
        <f t="shared" si="617"/>
        <v>0</v>
      </c>
      <c r="P6577">
        <f t="shared" si="614"/>
        <v>4900</v>
      </c>
      <c r="Q6577">
        <f t="shared" si="618"/>
        <v>4900</v>
      </c>
      <c r="T6577" s="16">
        <f t="shared" si="619"/>
        <v>0.30581501033440894</v>
      </c>
    </row>
    <row r="6578" spans="7:20" ht="14.4" x14ac:dyDescent="0.25">
      <c r="G6578" s="10">
        <v>7940</v>
      </c>
      <c r="H6578" s="9">
        <v>56711</v>
      </c>
      <c r="I6578" s="14">
        <f>DATE(2012,12,31)-694</f>
        <v>40580</v>
      </c>
      <c r="J6578" s="15" t="s">
        <v>25</v>
      </c>
      <c r="K6578" s="9">
        <v>25</v>
      </c>
      <c r="L6578" s="16" t="s">
        <v>26</v>
      </c>
      <c r="M6578" s="16">
        <f t="shared" si="615"/>
        <v>-3.9483872761697868E-2</v>
      </c>
      <c r="N6578">
        <f t="shared" si="616"/>
        <v>0</v>
      </c>
      <c r="O6578">
        <f t="shared" si="617"/>
        <v>0</v>
      </c>
      <c r="P6578">
        <f t="shared" si="614"/>
        <v>4650</v>
      </c>
      <c r="Q6578">
        <f t="shared" si="618"/>
        <v>4650</v>
      </c>
      <c r="T6578" s="16">
        <f t="shared" si="619"/>
        <v>-3.9483872761698249E-2</v>
      </c>
    </row>
    <row r="6579" spans="7:20" ht="14.4" x14ac:dyDescent="0.25">
      <c r="G6579" s="10">
        <v>7947</v>
      </c>
      <c r="H6579" s="9">
        <v>56769</v>
      </c>
      <c r="I6579" s="14">
        <f>DATE(2012,12,31)-763</f>
        <v>40511</v>
      </c>
      <c r="J6579" s="15" t="s">
        <v>16</v>
      </c>
      <c r="K6579" s="9">
        <v>11</v>
      </c>
      <c r="L6579" s="16" t="s">
        <v>29</v>
      </c>
      <c r="M6579" s="16">
        <f t="shared" si="615"/>
        <v>-1.0063207454307979</v>
      </c>
      <c r="N6579">
        <f t="shared" si="616"/>
        <v>0</v>
      </c>
      <c r="O6579">
        <f t="shared" si="617"/>
        <v>0</v>
      </c>
      <c r="P6579">
        <f t="shared" si="614"/>
        <v>3950</v>
      </c>
      <c r="Q6579">
        <f t="shared" si="618"/>
        <v>3950</v>
      </c>
      <c r="T6579" s="16">
        <f t="shared" si="619"/>
        <v>-1.0063207454307983</v>
      </c>
    </row>
    <row r="6580" spans="7:20" ht="14.4" x14ac:dyDescent="0.25">
      <c r="G6580" s="10">
        <v>8040</v>
      </c>
      <c r="H6580" s="9">
        <v>57440</v>
      </c>
      <c r="I6580" s="14">
        <f>DATE(2012,12,31)-892</f>
        <v>40382</v>
      </c>
      <c r="J6580" s="15" t="s">
        <v>25</v>
      </c>
      <c r="K6580" s="9">
        <v>12</v>
      </c>
      <c r="L6580" s="16" t="s">
        <v>27</v>
      </c>
      <c r="M6580" s="16">
        <f t="shared" si="615"/>
        <v>-0.9372609688115765</v>
      </c>
      <c r="N6580">
        <f t="shared" si="616"/>
        <v>0</v>
      </c>
      <c r="O6580">
        <f t="shared" si="617"/>
        <v>0</v>
      </c>
      <c r="P6580">
        <f t="shared" si="614"/>
        <v>4000</v>
      </c>
      <c r="Q6580">
        <f t="shared" si="618"/>
        <v>4000</v>
      </c>
      <c r="T6580" s="16">
        <f t="shared" si="619"/>
        <v>-0.93726096881157694</v>
      </c>
    </row>
    <row r="6581" spans="7:20" ht="14.4" x14ac:dyDescent="0.25">
      <c r="G6581" s="10">
        <v>8108</v>
      </c>
      <c r="H6581" s="9">
        <v>57889</v>
      </c>
      <c r="I6581" s="14">
        <f>DATE(2012,12,31)-999</f>
        <v>40275</v>
      </c>
      <c r="J6581" s="15" t="s">
        <v>25</v>
      </c>
      <c r="K6581" s="9">
        <v>39</v>
      </c>
      <c r="L6581" s="16" t="s">
        <v>27</v>
      </c>
      <c r="M6581" s="16">
        <f t="shared" si="615"/>
        <v>0.92735299990740228</v>
      </c>
      <c r="N6581">
        <f t="shared" si="616"/>
        <v>0</v>
      </c>
      <c r="O6581">
        <f t="shared" si="617"/>
        <v>0</v>
      </c>
      <c r="P6581">
        <f t="shared" si="614"/>
        <v>5350</v>
      </c>
      <c r="Q6581">
        <f t="shared" si="618"/>
        <v>5350</v>
      </c>
      <c r="T6581" s="16">
        <f t="shared" si="619"/>
        <v>0.92735299990740183</v>
      </c>
    </row>
    <row r="6582" spans="7:20" ht="14.4" x14ac:dyDescent="0.25">
      <c r="G6582" s="10">
        <v>8188</v>
      </c>
      <c r="H6582" s="9">
        <v>58564</v>
      </c>
      <c r="I6582" s="14">
        <f>DATE(2012,12,31)-49</f>
        <v>41225</v>
      </c>
      <c r="J6582" s="15" t="s">
        <v>30</v>
      </c>
      <c r="K6582" s="9">
        <v>49</v>
      </c>
      <c r="L6582" s="16" t="s">
        <v>26</v>
      </c>
      <c r="M6582" s="16">
        <f t="shared" si="615"/>
        <v>1.6179507660996166</v>
      </c>
      <c r="N6582">
        <f t="shared" si="616"/>
        <v>0</v>
      </c>
      <c r="O6582">
        <f t="shared" si="617"/>
        <v>0</v>
      </c>
      <c r="P6582">
        <f t="shared" si="614"/>
        <v>5850</v>
      </c>
      <c r="Q6582">
        <f t="shared" si="618"/>
        <v>5850</v>
      </c>
      <c r="T6582" s="16">
        <f t="shared" si="619"/>
        <v>1.6179507660996162</v>
      </c>
    </row>
    <row r="6583" spans="7:20" ht="14.4" x14ac:dyDescent="0.25">
      <c r="G6583" s="10">
        <v>8259</v>
      </c>
      <c r="H6583" s="9">
        <v>59072</v>
      </c>
      <c r="I6583" s="14">
        <f>DATE(2012,12,31)-1316</f>
        <v>39958</v>
      </c>
      <c r="J6583" s="15" t="s">
        <v>28</v>
      </c>
      <c r="K6583" s="9">
        <v>12</v>
      </c>
      <c r="L6583" s="16" t="s">
        <v>26</v>
      </c>
      <c r="M6583" s="16">
        <f t="shared" si="615"/>
        <v>-0.9372609688115765</v>
      </c>
      <c r="N6583">
        <f t="shared" si="616"/>
        <v>0</v>
      </c>
      <c r="O6583">
        <f t="shared" si="617"/>
        <v>0</v>
      </c>
      <c r="P6583">
        <f t="shared" si="614"/>
        <v>4000</v>
      </c>
      <c r="Q6583">
        <f t="shared" si="618"/>
        <v>4000</v>
      </c>
      <c r="T6583" s="16">
        <f t="shared" si="619"/>
        <v>-0.93726096881157694</v>
      </c>
    </row>
    <row r="6584" spans="7:20" ht="14.4" x14ac:dyDescent="0.25">
      <c r="G6584" s="10">
        <v>8260</v>
      </c>
      <c r="H6584" s="9">
        <v>59072</v>
      </c>
      <c r="I6584" s="14">
        <f>DATE(2012,12,31)-1316</f>
        <v>39958</v>
      </c>
      <c r="J6584" s="15" t="s">
        <v>28</v>
      </c>
      <c r="K6584" s="9">
        <v>22</v>
      </c>
      <c r="L6584" s="16" t="s">
        <v>26</v>
      </c>
      <c r="M6584" s="16">
        <f t="shared" si="615"/>
        <v>-0.24666320261936217</v>
      </c>
      <c r="N6584">
        <f t="shared" si="616"/>
        <v>0</v>
      </c>
      <c r="O6584">
        <f t="shared" si="617"/>
        <v>0</v>
      </c>
      <c r="P6584">
        <f t="shared" si="614"/>
        <v>4500</v>
      </c>
      <c r="Q6584">
        <f t="shared" si="618"/>
        <v>4500</v>
      </c>
      <c r="T6584" s="16">
        <f t="shared" si="619"/>
        <v>-0.24666320261936256</v>
      </c>
    </row>
    <row r="6585" spans="7:20" ht="14.4" x14ac:dyDescent="0.25">
      <c r="G6585" s="10">
        <v>8261</v>
      </c>
      <c r="H6585" s="9">
        <v>59072</v>
      </c>
      <c r="I6585" s="14">
        <f>DATE(2012,12,31)-1316</f>
        <v>39958</v>
      </c>
      <c r="J6585" s="15" t="s">
        <v>28</v>
      </c>
      <c r="K6585" s="9">
        <v>2</v>
      </c>
      <c r="L6585" s="16" t="s">
        <v>27</v>
      </c>
      <c r="M6585" s="16">
        <f t="shared" si="615"/>
        <v>-1.627858735003791</v>
      </c>
      <c r="N6585">
        <f t="shared" si="616"/>
        <v>0</v>
      </c>
      <c r="O6585">
        <f t="shared" si="617"/>
        <v>0</v>
      </c>
      <c r="P6585">
        <f t="shared" si="614"/>
        <v>3500</v>
      </c>
      <c r="Q6585">
        <f t="shared" si="618"/>
        <v>3500</v>
      </c>
      <c r="T6585" s="16">
        <f t="shared" si="619"/>
        <v>-1.6278587350037912</v>
      </c>
    </row>
    <row r="6586" spans="7:20" ht="14.4" x14ac:dyDescent="0.25">
      <c r="G6586" s="10">
        <v>8262</v>
      </c>
      <c r="H6586" s="9">
        <v>59072</v>
      </c>
      <c r="I6586" s="14">
        <f>DATE(2012,12,31)-1316</f>
        <v>39958</v>
      </c>
      <c r="J6586" s="15" t="s">
        <v>28</v>
      </c>
      <c r="K6586" s="9">
        <v>38</v>
      </c>
      <c r="L6586" s="16" t="s">
        <v>27</v>
      </c>
      <c r="M6586" s="16">
        <f t="shared" si="615"/>
        <v>0.85829322328818081</v>
      </c>
      <c r="N6586">
        <f t="shared" si="616"/>
        <v>0</v>
      </c>
      <c r="O6586">
        <f t="shared" si="617"/>
        <v>0</v>
      </c>
      <c r="P6586">
        <f t="shared" si="614"/>
        <v>5300</v>
      </c>
      <c r="Q6586">
        <f t="shared" si="618"/>
        <v>5300</v>
      </c>
      <c r="T6586" s="16">
        <f t="shared" si="619"/>
        <v>0.85829322328818036</v>
      </c>
    </row>
    <row r="6587" spans="7:20" ht="14.4" x14ac:dyDescent="0.25">
      <c r="G6587" s="10">
        <v>8346</v>
      </c>
      <c r="H6587" s="9">
        <v>59652</v>
      </c>
      <c r="I6587" s="14">
        <f>DATE(2012,12,31)-704</f>
        <v>40570</v>
      </c>
      <c r="J6587" s="15" t="s">
        <v>16</v>
      </c>
      <c r="K6587" s="9">
        <v>17</v>
      </c>
      <c r="L6587" s="16" t="s">
        <v>27</v>
      </c>
      <c r="M6587" s="16">
        <f t="shared" si="615"/>
        <v>-0.59196208571546938</v>
      </c>
      <c r="N6587">
        <f t="shared" si="616"/>
        <v>0</v>
      </c>
      <c r="O6587">
        <f t="shared" si="617"/>
        <v>0</v>
      </c>
      <c r="P6587">
        <f t="shared" si="614"/>
        <v>4250</v>
      </c>
      <c r="Q6587">
        <f t="shared" si="618"/>
        <v>4250</v>
      </c>
      <c r="T6587" s="16">
        <f t="shared" si="619"/>
        <v>-0.59196208571546971</v>
      </c>
    </row>
    <row r="6588" spans="7:20" ht="14.4" x14ac:dyDescent="0.25">
      <c r="G6588" s="10">
        <v>8371</v>
      </c>
      <c r="H6588" s="9">
        <v>59783</v>
      </c>
      <c r="I6588" s="14">
        <f>DATE(2012,12,31)-865</f>
        <v>40409</v>
      </c>
      <c r="J6588" s="15" t="s">
        <v>25</v>
      </c>
      <c r="K6588" s="9">
        <v>36</v>
      </c>
      <c r="L6588" s="16" t="s">
        <v>26</v>
      </c>
      <c r="M6588" s="16">
        <f t="shared" si="615"/>
        <v>0.72017367004973787</v>
      </c>
      <c r="N6588">
        <f t="shared" si="616"/>
        <v>0</v>
      </c>
      <c r="O6588">
        <f t="shared" si="617"/>
        <v>0</v>
      </c>
      <c r="P6588">
        <f t="shared" si="614"/>
        <v>5200</v>
      </c>
      <c r="Q6588">
        <f t="shared" si="618"/>
        <v>5200</v>
      </c>
      <c r="T6588" s="16">
        <f t="shared" si="619"/>
        <v>0.72017367004973754</v>
      </c>
    </row>
    <row r="6589" spans="7:20" ht="14.4" x14ac:dyDescent="0.25">
      <c r="G6589" s="10">
        <v>30</v>
      </c>
      <c r="H6589" s="9">
        <v>195</v>
      </c>
      <c r="I6589" s="14">
        <f>DATE(2012,12,31)-735</f>
        <v>40539</v>
      </c>
      <c r="J6589" s="15" t="s">
        <v>16</v>
      </c>
      <c r="K6589" s="9">
        <v>34</v>
      </c>
      <c r="L6589" s="16" t="s">
        <v>26</v>
      </c>
      <c r="M6589" s="16">
        <f t="shared" si="615"/>
        <v>0.58205411681129504</v>
      </c>
      <c r="N6589">
        <f t="shared" si="616"/>
        <v>0</v>
      </c>
      <c r="O6589">
        <f t="shared" si="617"/>
        <v>0</v>
      </c>
      <c r="P6589">
        <f t="shared" si="614"/>
        <v>5100</v>
      </c>
      <c r="Q6589">
        <f t="shared" si="618"/>
        <v>5100</v>
      </c>
      <c r="T6589" s="16">
        <f t="shared" si="619"/>
        <v>0.58205411681129471</v>
      </c>
    </row>
    <row r="6590" spans="7:20" ht="14.4" x14ac:dyDescent="0.25">
      <c r="G6590" s="10">
        <v>32</v>
      </c>
      <c r="H6590" s="9">
        <v>224</v>
      </c>
      <c r="I6590" s="14">
        <f>DATE(2012,12,31)-1293</f>
        <v>39981</v>
      </c>
      <c r="J6590" s="15" t="s">
        <v>28</v>
      </c>
      <c r="K6590" s="9">
        <v>25</v>
      </c>
      <c r="L6590" s="16" t="s">
        <v>29</v>
      </c>
      <c r="M6590" s="16">
        <f t="shared" si="615"/>
        <v>-3.9483872761697868E-2</v>
      </c>
      <c r="N6590">
        <f t="shared" si="616"/>
        <v>0</v>
      </c>
      <c r="O6590">
        <f t="shared" si="617"/>
        <v>0</v>
      </c>
      <c r="P6590">
        <f t="shared" si="614"/>
        <v>4650</v>
      </c>
      <c r="Q6590">
        <f t="shared" si="618"/>
        <v>4650</v>
      </c>
      <c r="T6590" s="16">
        <f t="shared" si="619"/>
        <v>-3.9483872761698249E-2</v>
      </c>
    </row>
    <row r="6591" spans="7:20" ht="14.4" x14ac:dyDescent="0.25">
      <c r="G6591" s="10">
        <v>33</v>
      </c>
      <c r="H6591" s="9">
        <v>224</v>
      </c>
      <c r="I6591" s="14">
        <f>DATE(2012,12,31)-1293</f>
        <v>39981</v>
      </c>
      <c r="J6591" s="15" t="s">
        <v>28</v>
      </c>
      <c r="K6591" s="9">
        <v>44</v>
      </c>
      <c r="L6591" s="16" t="s">
        <v>26</v>
      </c>
      <c r="M6591" s="16">
        <f t="shared" si="615"/>
        <v>1.2726518830035094</v>
      </c>
      <c r="N6591">
        <f t="shared" si="616"/>
        <v>0</v>
      </c>
      <c r="O6591">
        <f t="shared" si="617"/>
        <v>0</v>
      </c>
      <c r="P6591">
        <f t="shared" si="614"/>
        <v>5600</v>
      </c>
      <c r="Q6591">
        <f t="shared" si="618"/>
        <v>5600</v>
      </c>
      <c r="T6591" s="16">
        <f t="shared" si="619"/>
        <v>1.272651883003509</v>
      </c>
    </row>
    <row r="6592" spans="7:20" ht="14.4" x14ac:dyDescent="0.25">
      <c r="G6592" s="10">
        <v>34</v>
      </c>
      <c r="H6592" s="9">
        <v>224</v>
      </c>
      <c r="I6592" s="14">
        <f>DATE(2012,12,31)-1293</f>
        <v>39981</v>
      </c>
      <c r="J6592" s="15" t="s">
        <v>28</v>
      </c>
      <c r="K6592" s="9">
        <v>33</v>
      </c>
      <c r="L6592" s="16" t="s">
        <v>26</v>
      </c>
      <c r="M6592" s="16">
        <f t="shared" si="615"/>
        <v>0.51299434019207357</v>
      </c>
      <c r="N6592">
        <f t="shared" si="616"/>
        <v>0</v>
      </c>
      <c r="O6592">
        <f t="shared" si="617"/>
        <v>0</v>
      </c>
      <c r="P6592">
        <f t="shared" si="614"/>
        <v>5050</v>
      </c>
      <c r="Q6592">
        <f t="shared" si="618"/>
        <v>5050</v>
      </c>
      <c r="T6592" s="16">
        <f t="shared" si="619"/>
        <v>0.51299434019207324</v>
      </c>
    </row>
    <row r="6593" spans="7:20" ht="14.4" x14ac:dyDescent="0.25">
      <c r="G6593" s="10">
        <v>46</v>
      </c>
      <c r="H6593" s="9">
        <v>263</v>
      </c>
      <c r="I6593" s="14">
        <f>DATE(2012,12,31)-1325</f>
        <v>39949</v>
      </c>
      <c r="J6593" s="15" t="s">
        <v>17</v>
      </c>
      <c r="K6593" s="9">
        <v>25</v>
      </c>
      <c r="L6593" s="16" t="s">
        <v>26</v>
      </c>
      <c r="M6593" s="16">
        <f t="shared" si="615"/>
        <v>-3.9483872761697868E-2</v>
      </c>
      <c r="N6593">
        <f t="shared" si="616"/>
        <v>0</v>
      </c>
      <c r="O6593">
        <f t="shared" si="617"/>
        <v>0</v>
      </c>
      <c r="P6593">
        <f t="shared" si="614"/>
        <v>4650</v>
      </c>
      <c r="Q6593">
        <f t="shared" si="618"/>
        <v>4650</v>
      </c>
      <c r="T6593" s="16">
        <f t="shared" si="619"/>
        <v>-3.9483872761698249E-2</v>
      </c>
    </row>
    <row r="6594" spans="7:20" ht="14.4" x14ac:dyDescent="0.25">
      <c r="G6594" s="10">
        <v>60</v>
      </c>
      <c r="H6594" s="9">
        <v>353</v>
      </c>
      <c r="I6594" s="14">
        <f>DATE(2012,12,31)-732</f>
        <v>40542</v>
      </c>
      <c r="J6594" s="15" t="s">
        <v>25</v>
      </c>
      <c r="K6594" s="9">
        <v>21</v>
      </c>
      <c r="L6594" s="16" t="s">
        <v>26</v>
      </c>
      <c r="M6594" s="16">
        <f t="shared" si="615"/>
        <v>-0.31572297923858361</v>
      </c>
      <c r="N6594">
        <f t="shared" si="616"/>
        <v>0</v>
      </c>
      <c r="O6594">
        <f t="shared" si="617"/>
        <v>0</v>
      </c>
      <c r="P6594">
        <f t="shared" si="614"/>
        <v>4450</v>
      </c>
      <c r="Q6594">
        <f t="shared" si="618"/>
        <v>4450</v>
      </c>
      <c r="T6594" s="16">
        <f t="shared" si="619"/>
        <v>-0.315722979238584</v>
      </c>
    </row>
    <row r="6595" spans="7:20" ht="14.4" x14ac:dyDescent="0.25">
      <c r="G6595" s="10">
        <v>70</v>
      </c>
      <c r="H6595" s="9">
        <v>417</v>
      </c>
      <c r="I6595" s="14">
        <f>DATE(2012,12,31)-1425</f>
        <v>39849</v>
      </c>
      <c r="J6595" s="15" t="s">
        <v>16</v>
      </c>
      <c r="K6595" s="9">
        <v>39</v>
      </c>
      <c r="L6595" s="16" t="s">
        <v>27</v>
      </c>
      <c r="M6595" s="16">
        <f t="shared" si="615"/>
        <v>0.92735299990740228</v>
      </c>
      <c r="N6595">
        <f t="shared" si="616"/>
        <v>0</v>
      </c>
      <c r="O6595">
        <f t="shared" si="617"/>
        <v>0</v>
      </c>
      <c r="P6595">
        <f t="shared" si="614"/>
        <v>5350</v>
      </c>
      <c r="Q6595">
        <f t="shared" si="618"/>
        <v>5350</v>
      </c>
      <c r="T6595" s="16">
        <f t="shared" si="619"/>
        <v>0.92735299990740183</v>
      </c>
    </row>
    <row r="6596" spans="7:20" ht="14.4" x14ac:dyDescent="0.25">
      <c r="G6596" s="10">
        <v>71</v>
      </c>
      <c r="H6596" s="9">
        <v>417</v>
      </c>
      <c r="I6596" s="14">
        <f>DATE(2012,12,31)-1425</f>
        <v>39849</v>
      </c>
      <c r="J6596" s="15" t="s">
        <v>16</v>
      </c>
      <c r="K6596" s="9">
        <v>3</v>
      </c>
      <c r="L6596" s="16" t="s">
        <v>26</v>
      </c>
      <c r="M6596" s="16">
        <f t="shared" si="615"/>
        <v>-1.5587989583845694</v>
      </c>
      <c r="N6596">
        <f t="shared" si="616"/>
        <v>0</v>
      </c>
      <c r="O6596">
        <f t="shared" si="617"/>
        <v>0</v>
      </c>
      <c r="P6596">
        <f t="shared" si="614"/>
        <v>3550</v>
      </c>
      <c r="Q6596">
        <f t="shared" si="618"/>
        <v>3550</v>
      </c>
      <c r="T6596" s="16">
        <f t="shared" si="619"/>
        <v>-1.5587989583845698</v>
      </c>
    </row>
    <row r="6597" spans="7:20" ht="14.4" x14ac:dyDescent="0.25">
      <c r="G6597" s="10">
        <v>74</v>
      </c>
      <c r="H6597" s="9">
        <v>448</v>
      </c>
      <c r="I6597" s="14">
        <f>DATE(2012,12,31)-499</f>
        <v>40775</v>
      </c>
      <c r="J6597" s="15" t="s">
        <v>16</v>
      </c>
      <c r="K6597" s="9">
        <v>22</v>
      </c>
      <c r="L6597" s="16" t="s">
        <v>27</v>
      </c>
      <c r="M6597" s="16">
        <f t="shared" si="615"/>
        <v>-0.24666320261936217</v>
      </c>
      <c r="N6597">
        <f t="shared" si="616"/>
        <v>0</v>
      </c>
      <c r="O6597">
        <f t="shared" si="617"/>
        <v>0</v>
      </c>
      <c r="P6597">
        <f t="shared" si="614"/>
        <v>4500</v>
      </c>
      <c r="Q6597">
        <f t="shared" si="618"/>
        <v>4500</v>
      </c>
      <c r="T6597" s="16">
        <f t="shared" si="619"/>
        <v>-0.24666320261936256</v>
      </c>
    </row>
    <row r="6598" spans="7:20" ht="14.4" x14ac:dyDescent="0.25">
      <c r="G6598" s="10">
        <v>137</v>
      </c>
      <c r="H6598" s="9">
        <v>871</v>
      </c>
      <c r="I6598" s="14">
        <f>DATE(2012,12,31)-413</f>
        <v>40861</v>
      </c>
      <c r="J6598" s="15" t="s">
        <v>25</v>
      </c>
      <c r="K6598" s="9">
        <v>17</v>
      </c>
      <c r="L6598" s="16" t="s">
        <v>29</v>
      </c>
      <c r="M6598" s="16">
        <f t="shared" si="615"/>
        <v>-0.59196208571546938</v>
      </c>
      <c r="N6598">
        <f t="shared" si="616"/>
        <v>0</v>
      </c>
      <c r="O6598">
        <f t="shared" si="617"/>
        <v>0</v>
      </c>
      <c r="P6598">
        <f t="shared" si="614"/>
        <v>4250</v>
      </c>
      <c r="Q6598">
        <f t="shared" si="618"/>
        <v>4250</v>
      </c>
      <c r="T6598" s="16">
        <f t="shared" si="619"/>
        <v>-0.59196208571546971</v>
      </c>
    </row>
    <row r="6599" spans="7:20" ht="14.4" x14ac:dyDescent="0.25">
      <c r="G6599" s="10">
        <v>145</v>
      </c>
      <c r="H6599" s="9">
        <v>929</v>
      </c>
      <c r="I6599" s="14">
        <f>DATE(2012,12,31)-91</f>
        <v>41183</v>
      </c>
      <c r="J6599" s="15" t="s">
        <v>17</v>
      </c>
      <c r="K6599" s="9">
        <v>21</v>
      </c>
      <c r="L6599" s="16" t="s">
        <v>27</v>
      </c>
      <c r="M6599" s="16">
        <f t="shared" si="615"/>
        <v>-0.31572297923858361</v>
      </c>
      <c r="N6599">
        <f t="shared" si="616"/>
        <v>0</v>
      </c>
      <c r="O6599">
        <f t="shared" si="617"/>
        <v>0</v>
      </c>
      <c r="P6599">
        <f t="shared" si="614"/>
        <v>4450</v>
      </c>
      <c r="Q6599">
        <f t="shared" si="618"/>
        <v>4450</v>
      </c>
      <c r="T6599" s="16">
        <f t="shared" si="619"/>
        <v>-0.315722979238584</v>
      </c>
    </row>
    <row r="6600" spans="7:20" ht="14.4" x14ac:dyDescent="0.25">
      <c r="G6600" s="10">
        <v>146</v>
      </c>
      <c r="H6600" s="9">
        <v>929</v>
      </c>
      <c r="I6600" s="14">
        <f>DATE(2012,12,31)-91</f>
        <v>41183</v>
      </c>
      <c r="J6600" s="15" t="s">
        <v>17</v>
      </c>
      <c r="K6600" s="9">
        <v>39</v>
      </c>
      <c r="L6600" s="16" t="s">
        <v>26</v>
      </c>
      <c r="M6600" s="16">
        <f t="shared" si="615"/>
        <v>0.92735299990740228</v>
      </c>
      <c r="N6600">
        <f t="shared" si="616"/>
        <v>0</v>
      </c>
      <c r="O6600">
        <f t="shared" si="617"/>
        <v>0</v>
      </c>
      <c r="P6600">
        <f t="shared" si="614"/>
        <v>5350</v>
      </c>
      <c r="Q6600">
        <f t="shared" si="618"/>
        <v>5350</v>
      </c>
      <c r="T6600" s="16">
        <f t="shared" si="619"/>
        <v>0.92735299990740183</v>
      </c>
    </row>
    <row r="6601" spans="7:20" ht="14.4" x14ac:dyDescent="0.25">
      <c r="G6601" s="10">
        <v>156</v>
      </c>
      <c r="H6601" s="9">
        <v>967</v>
      </c>
      <c r="I6601" s="14">
        <f>DATE(2012,12,31)-194</f>
        <v>41080</v>
      </c>
      <c r="J6601" s="15" t="s">
        <v>16</v>
      </c>
      <c r="K6601" s="9">
        <v>6</v>
      </c>
      <c r="L6601" s="16" t="s">
        <v>27</v>
      </c>
      <c r="M6601" s="16">
        <f t="shared" si="615"/>
        <v>-1.3516196285269051</v>
      </c>
      <c r="N6601">
        <f t="shared" si="616"/>
        <v>0</v>
      </c>
      <c r="O6601">
        <f t="shared" si="617"/>
        <v>0</v>
      </c>
      <c r="P6601">
        <f t="shared" si="614"/>
        <v>3700</v>
      </c>
      <c r="Q6601">
        <f t="shared" si="618"/>
        <v>3700</v>
      </c>
      <c r="T6601" s="16">
        <f t="shared" si="619"/>
        <v>-1.3516196285269055</v>
      </c>
    </row>
    <row r="6602" spans="7:20" ht="14.4" x14ac:dyDescent="0.25">
      <c r="G6602" s="10">
        <v>157</v>
      </c>
      <c r="H6602" s="9">
        <v>967</v>
      </c>
      <c r="I6602" s="14">
        <f>DATE(2012,12,31)-194</f>
        <v>41080</v>
      </c>
      <c r="J6602" s="15" t="s">
        <v>16</v>
      </c>
      <c r="K6602" s="9">
        <v>42</v>
      </c>
      <c r="L6602" s="16" t="s">
        <v>26</v>
      </c>
      <c r="M6602" s="16">
        <f t="shared" si="615"/>
        <v>1.1345323297650665</v>
      </c>
      <c r="N6602">
        <f t="shared" si="616"/>
        <v>0</v>
      </c>
      <c r="O6602">
        <f t="shared" si="617"/>
        <v>0</v>
      </c>
      <c r="P6602">
        <f t="shared" si="614"/>
        <v>5500</v>
      </c>
      <c r="Q6602">
        <f t="shared" si="618"/>
        <v>5500</v>
      </c>
      <c r="T6602" s="16">
        <f t="shared" si="619"/>
        <v>1.1345323297650662</v>
      </c>
    </row>
    <row r="6603" spans="7:20" ht="14.4" x14ac:dyDescent="0.25">
      <c r="G6603" s="10">
        <v>158</v>
      </c>
      <c r="H6603" s="9">
        <v>967</v>
      </c>
      <c r="I6603" s="14">
        <f>DATE(2012,12,31)-194</f>
        <v>41080</v>
      </c>
      <c r="J6603" s="15" t="s">
        <v>16</v>
      </c>
      <c r="K6603" s="9">
        <v>48</v>
      </c>
      <c r="L6603" s="16" t="s">
        <v>29</v>
      </c>
      <c r="M6603" s="16">
        <f t="shared" si="615"/>
        <v>1.5488909894803951</v>
      </c>
      <c r="N6603">
        <f t="shared" si="616"/>
        <v>0</v>
      </c>
      <c r="O6603">
        <f t="shared" si="617"/>
        <v>0</v>
      </c>
      <c r="P6603">
        <f t="shared" si="614"/>
        <v>5800</v>
      </c>
      <c r="Q6603">
        <f t="shared" si="618"/>
        <v>5800</v>
      </c>
      <c r="T6603" s="16">
        <f t="shared" si="619"/>
        <v>1.5488909894803948</v>
      </c>
    </row>
    <row r="6604" spans="7:20" ht="14.4" x14ac:dyDescent="0.25">
      <c r="G6604" s="10">
        <v>212</v>
      </c>
      <c r="H6604" s="9">
        <v>1411</v>
      </c>
      <c r="I6604" s="14">
        <f>DATE(2012,12,31)-1107</f>
        <v>40167</v>
      </c>
      <c r="J6604" s="15" t="s">
        <v>17</v>
      </c>
      <c r="K6604" s="9">
        <v>47</v>
      </c>
      <c r="L6604" s="16" t="s">
        <v>27</v>
      </c>
      <c r="M6604" s="16">
        <f t="shared" si="615"/>
        <v>1.4798312128611737</v>
      </c>
      <c r="N6604">
        <f t="shared" si="616"/>
        <v>0</v>
      </c>
      <c r="O6604">
        <f t="shared" si="617"/>
        <v>0</v>
      </c>
      <c r="P6604">
        <f t="shared" ref="P6604:P6667" si="620">50*K6604+$P$10</f>
        <v>5750</v>
      </c>
      <c r="Q6604">
        <f t="shared" si="618"/>
        <v>5750</v>
      </c>
      <c r="T6604" s="16">
        <f t="shared" si="619"/>
        <v>1.4798312128611733</v>
      </c>
    </row>
    <row r="6605" spans="7:20" ht="14.4" x14ac:dyDescent="0.25">
      <c r="G6605" s="10">
        <v>235</v>
      </c>
      <c r="H6605" s="9">
        <v>1575</v>
      </c>
      <c r="I6605" s="14">
        <f>DATE(2012,12,31)-476</f>
        <v>40798</v>
      </c>
      <c r="J6605" s="15" t="s">
        <v>16</v>
      </c>
      <c r="K6605" s="9">
        <v>26</v>
      </c>
      <c r="L6605" s="16" t="s">
        <v>26</v>
      </c>
      <c r="M6605" s="16">
        <f t="shared" ref="M6605:M6668" si="621">(K6605-$K$4)/$K$7</f>
        <v>2.9575903857523567E-2</v>
      </c>
      <c r="N6605">
        <f t="shared" ref="N6605:N6668" si="622">IF(MOD($B$20+G6605,1000)=0,1,0)</f>
        <v>0</v>
      </c>
      <c r="O6605">
        <f t="shared" ref="O6605:O6668" si="623">+ROUND(N6605*(IF(K6605&lt;$K$4,-4.5,10.5)*$P$5),-2)</f>
        <v>0</v>
      </c>
      <c r="P6605">
        <f t="shared" si="620"/>
        <v>4700</v>
      </c>
      <c r="Q6605">
        <f t="shared" ref="Q6605:Q6668" si="624">P6605+O6605</f>
        <v>4700</v>
      </c>
      <c r="T6605" s="16">
        <f t="shared" ref="T6605:T6668" si="625">(Q6605-$P$4)/$P$5</f>
        <v>2.9575903857523185E-2</v>
      </c>
    </row>
    <row r="6606" spans="7:20" ht="14.4" x14ac:dyDescent="0.25">
      <c r="G6606" s="10">
        <v>236</v>
      </c>
      <c r="H6606" s="9">
        <v>1575</v>
      </c>
      <c r="I6606" s="14">
        <f>DATE(2012,12,31)-476</f>
        <v>40798</v>
      </c>
      <c r="J6606" s="15" t="s">
        <v>16</v>
      </c>
      <c r="K6606" s="9">
        <v>10</v>
      </c>
      <c r="L6606" s="16" t="s">
        <v>27</v>
      </c>
      <c r="M6606" s="16">
        <f t="shared" si="621"/>
        <v>-1.0753805220500194</v>
      </c>
      <c r="N6606">
        <f t="shared" si="622"/>
        <v>0</v>
      </c>
      <c r="O6606">
        <f t="shared" si="623"/>
        <v>0</v>
      </c>
      <c r="P6606">
        <f t="shared" si="620"/>
        <v>3900</v>
      </c>
      <c r="Q6606">
        <f t="shared" si="624"/>
        <v>3900</v>
      </c>
      <c r="T6606" s="16">
        <f t="shared" si="625"/>
        <v>-1.0753805220500199</v>
      </c>
    </row>
    <row r="6607" spans="7:20" ht="14.4" x14ac:dyDescent="0.25">
      <c r="G6607" s="10">
        <v>240</v>
      </c>
      <c r="H6607" s="9">
        <v>1637</v>
      </c>
      <c r="I6607" s="14">
        <f>DATE(2012,12,31)-693</f>
        <v>40581</v>
      </c>
      <c r="J6607" s="15" t="s">
        <v>28</v>
      </c>
      <c r="K6607" s="9">
        <v>36</v>
      </c>
      <c r="L6607" s="16" t="s">
        <v>26</v>
      </c>
      <c r="M6607" s="16">
        <f t="shared" si="621"/>
        <v>0.72017367004973787</v>
      </c>
      <c r="N6607">
        <f t="shared" si="622"/>
        <v>0</v>
      </c>
      <c r="O6607">
        <f t="shared" si="623"/>
        <v>0</v>
      </c>
      <c r="P6607">
        <f t="shared" si="620"/>
        <v>5200</v>
      </c>
      <c r="Q6607">
        <f t="shared" si="624"/>
        <v>5200</v>
      </c>
      <c r="T6607" s="16">
        <f t="shared" si="625"/>
        <v>0.72017367004973754</v>
      </c>
    </row>
    <row r="6608" spans="7:20" ht="14.4" x14ac:dyDescent="0.25">
      <c r="G6608" s="10">
        <v>241</v>
      </c>
      <c r="H6608" s="9">
        <v>1637</v>
      </c>
      <c r="I6608" s="14">
        <f>DATE(2012,12,31)-693</f>
        <v>40581</v>
      </c>
      <c r="J6608" s="15" t="s">
        <v>28</v>
      </c>
      <c r="K6608" s="9">
        <v>10</v>
      </c>
      <c r="L6608" s="16" t="s">
        <v>27</v>
      </c>
      <c r="M6608" s="16">
        <f t="shared" si="621"/>
        <v>-1.0753805220500194</v>
      </c>
      <c r="N6608">
        <f t="shared" si="622"/>
        <v>0</v>
      </c>
      <c r="O6608">
        <f t="shared" si="623"/>
        <v>0</v>
      </c>
      <c r="P6608">
        <f t="shared" si="620"/>
        <v>3900</v>
      </c>
      <c r="Q6608">
        <f t="shared" si="624"/>
        <v>3900</v>
      </c>
      <c r="T6608" s="16">
        <f t="shared" si="625"/>
        <v>-1.0753805220500199</v>
      </c>
    </row>
    <row r="6609" spans="7:20" ht="14.4" x14ac:dyDescent="0.25">
      <c r="G6609" s="10">
        <v>242</v>
      </c>
      <c r="H6609" s="9">
        <v>1637</v>
      </c>
      <c r="I6609" s="14">
        <f>DATE(2012,12,31)-693</f>
        <v>40581</v>
      </c>
      <c r="J6609" s="15" t="s">
        <v>28</v>
      </c>
      <c r="K6609" s="9">
        <v>47</v>
      </c>
      <c r="L6609" s="16" t="s">
        <v>26</v>
      </c>
      <c r="M6609" s="16">
        <f t="shared" si="621"/>
        <v>1.4798312128611737</v>
      </c>
      <c r="N6609">
        <f t="shared" si="622"/>
        <v>0</v>
      </c>
      <c r="O6609">
        <f t="shared" si="623"/>
        <v>0</v>
      </c>
      <c r="P6609">
        <f t="shared" si="620"/>
        <v>5750</v>
      </c>
      <c r="Q6609">
        <f t="shared" si="624"/>
        <v>5750</v>
      </c>
      <c r="T6609" s="16">
        <f t="shared" si="625"/>
        <v>1.4798312128611733</v>
      </c>
    </row>
    <row r="6610" spans="7:20" ht="14.4" x14ac:dyDescent="0.25">
      <c r="G6610" s="10">
        <v>272</v>
      </c>
      <c r="H6610" s="9">
        <v>1888</v>
      </c>
      <c r="I6610" s="14">
        <f>DATE(2012,12,31)-793</f>
        <v>40481</v>
      </c>
      <c r="J6610" s="15" t="s">
        <v>28</v>
      </c>
      <c r="K6610" s="9">
        <v>38</v>
      </c>
      <c r="L6610" s="16" t="s">
        <v>29</v>
      </c>
      <c r="M6610" s="16">
        <f t="shared" si="621"/>
        <v>0.85829322328818081</v>
      </c>
      <c r="N6610">
        <f t="shared" si="622"/>
        <v>0</v>
      </c>
      <c r="O6610">
        <f t="shared" si="623"/>
        <v>0</v>
      </c>
      <c r="P6610">
        <f t="shared" si="620"/>
        <v>5300</v>
      </c>
      <c r="Q6610">
        <f t="shared" si="624"/>
        <v>5300</v>
      </c>
      <c r="T6610" s="16">
        <f t="shared" si="625"/>
        <v>0.85829322328818036</v>
      </c>
    </row>
    <row r="6611" spans="7:20" ht="14.4" x14ac:dyDescent="0.25">
      <c r="G6611" s="10">
        <v>273</v>
      </c>
      <c r="H6611" s="9">
        <v>1888</v>
      </c>
      <c r="I6611" s="14">
        <f>DATE(2012,12,31)-793</f>
        <v>40481</v>
      </c>
      <c r="J6611" s="15" t="s">
        <v>28</v>
      </c>
      <c r="K6611" s="9">
        <v>35</v>
      </c>
      <c r="L6611" s="16" t="s">
        <v>26</v>
      </c>
      <c r="M6611" s="16">
        <f t="shared" si="621"/>
        <v>0.65111389343051651</v>
      </c>
      <c r="N6611">
        <f t="shared" si="622"/>
        <v>0</v>
      </c>
      <c r="O6611">
        <f t="shared" si="623"/>
        <v>0</v>
      </c>
      <c r="P6611">
        <f t="shared" si="620"/>
        <v>5150</v>
      </c>
      <c r="Q6611">
        <f t="shared" si="624"/>
        <v>5150</v>
      </c>
      <c r="T6611" s="16">
        <f t="shared" si="625"/>
        <v>0.65111389343051607</v>
      </c>
    </row>
    <row r="6612" spans="7:20" ht="14.4" x14ac:dyDescent="0.25">
      <c r="G6612" s="10">
        <v>296</v>
      </c>
      <c r="H6612" s="9">
        <v>2052</v>
      </c>
      <c r="I6612" s="14">
        <f>DATE(2012,12,31)-263</f>
        <v>41011</v>
      </c>
      <c r="J6612" s="15" t="s">
        <v>17</v>
      </c>
      <c r="K6612" s="9">
        <v>23</v>
      </c>
      <c r="L6612" s="16" t="s">
        <v>26</v>
      </c>
      <c r="M6612" s="16">
        <f t="shared" si="621"/>
        <v>-0.17760342600014073</v>
      </c>
      <c r="N6612">
        <f t="shared" si="622"/>
        <v>0</v>
      </c>
      <c r="O6612">
        <f t="shared" si="623"/>
        <v>0</v>
      </c>
      <c r="P6612">
        <f t="shared" si="620"/>
        <v>4550</v>
      </c>
      <c r="Q6612">
        <f t="shared" si="624"/>
        <v>4550</v>
      </c>
      <c r="T6612" s="16">
        <f t="shared" si="625"/>
        <v>-0.17760342600014112</v>
      </c>
    </row>
    <row r="6613" spans="7:20" ht="14.4" x14ac:dyDescent="0.25">
      <c r="G6613" s="10">
        <v>301</v>
      </c>
      <c r="H6613" s="9">
        <v>2055</v>
      </c>
      <c r="I6613" s="14">
        <f>DATE(2012,12,31)-850</f>
        <v>40424</v>
      </c>
      <c r="J6613" s="15" t="s">
        <v>30</v>
      </c>
      <c r="K6613" s="9">
        <v>7</v>
      </c>
      <c r="L6613" s="16" t="s">
        <v>26</v>
      </c>
      <c r="M6613" s="16">
        <f t="shared" si="621"/>
        <v>-1.2825598519076837</v>
      </c>
      <c r="N6613">
        <f t="shared" si="622"/>
        <v>0</v>
      </c>
      <c r="O6613">
        <f t="shared" si="623"/>
        <v>0</v>
      </c>
      <c r="P6613">
        <f t="shared" si="620"/>
        <v>3750</v>
      </c>
      <c r="Q6613">
        <f t="shared" si="624"/>
        <v>3750</v>
      </c>
      <c r="T6613" s="16">
        <f t="shared" si="625"/>
        <v>-1.2825598519076842</v>
      </c>
    </row>
    <row r="6614" spans="7:20" ht="14.4" x14ac:dyDescent="0.25">
      <c r="G6614" s="10">
        <v>340</v>
      </c>
      <c r="H6614" s="9">
        <v>2309</v>
      </c>
      <c r="I6614" s="14">
        <f>DATE(2012,12,31)-485</f>
        <v>40789</v>
      </c>
      <c r="J6614" s="15" t="s">
        <v>25</v>
      </c>
      <c r="K6614" s="9">
        <v>7</v>
      </c>
      <c r="L6614" s="16" t="s">
        <v>26</v>
      </c>
      <c r="M6614" s="16">
        <f t="shared" si="621"/>
        <v>-1.2825598519076837</v>
      </c>
      <c r="N6614">
        <f t="shared" si="622"/>
        <v>0</v>
      </c>
      <c r="O6614">
        <f t="shared" si="623"/>
        <v>0</v>
      </c>
      <c r="P6614">
        <f t="shared" si="620"/>
        <v>3750</v>
      </c>
      <c r="Q6614">
        <f t="shared" si="624"/>
        <v>3750</v>
      </c>
      <c r="T6614" s="16">
        <f t="shared" si="625"/>
        <v>-1.2825598519076842</v>
      </c>
    </row>
    <row r="6615" spans="7:20" ht="14.4" x14ac:dyDescent="0.25">
      <c r="G6615" s="10">
        <v>343</v>
      </c>
      <c r="H6615" s="9">
        <v>2341</v>
      </c>
      <c r="I6615" s="14">
        <f>DATE(2012,12,31)-947</f>
        <v>40327</v>
      </c>
      <c r="J6615" s="15" t="s">
        <v>25</v>
      </c>
      <c r="K6615" s="9">
        <v>29</v>
      </c>
      <c r="L6615" s="16" t="s">
        <v>26</v>
      </c>
      <c r="M6615" s="16">
        <f t="shared" si="621"/>
        <v>0.23675523371518786</v>
      </c>
      <c r="N6615">
        <f t="shared" si="622"/>
        <v>0</v>
      </c>
      <c r="O6615">
        <f t="shared" si="623"/>
        <v>0</v>
      </c>
      <c r="P6615">
        <f t="shared" si="620"/>
        <v>4850</v>
      </c>
      <c r="Q6615">
        <f t="shared" si="624"/>
        <v>4850</v>
      </c>
      <c r="T6615" s="16">
        <f t="shared" si="625"/>
        <v>0.2367552337151875</v>
      </c>
    </row>
    <row r="6616" spans="7:20" ht="14.4" x14ac:dyDescent="0.25">
      <c r="G6616" s="10">
        <v>350</v>
      </c>
      <c r="H6616" s="9">
        <v>2436</v>
      </c>
      <c r="I6616" s="14">
        <f>DATE(2012,12,31)-478</f>
        <v>40796</v>
      </c>
      <c r="J6616" s="15" t="s">
        <v>28</v>
      </c>
      <c r="K6616" s="9">
        <v>14</v>
      </c>
      <c r="L6616" s="16" t="s">
        <v>26</v>
      </c>
      <c r="M6616" s="16">
        <f t="shared" si="621"/>
        <v>-0.79914141557313367</v>
      </c>
      <c r="N6616">
        <f t="shared" si="622"/>
        <v>0</v>
      </c>
      <c r="O6616">
        <f t="shared" si="623"/>
        <v>0</v>
      </c>
      <c r="P6616">
        <f t="shared" si="620"/>
        <v>4100</v>
      </c>
      <c r="Q6616">
        <f t="shared" si="624"/>
        <v>4100</v>
      </c>
      <c r="T6616" s="16">
        <f t="shared" si="625"/>
        <v>-0.79914141557313401</v>
      </c>
    </row>
    <row r="6617" spans="7:20" ht="14.4" x14ac:dyDescent="0.25">
      <c r="G6617" s="10">
        <v>357</v>
      </c>
      <c r="H6617" s="9">
        <v>2500</v>
      </c>
      <c r="I6617" s="14">
        <f>DATE(2012,12,31)-139</f>
        <v>41135</v>
      </c>
      <c r="J6617" s="15" t="s">
        <v>17</v>
      </c>
      <c r="K6617" s="9">
        <v>5</v>
      </c>
      <c r="L6617" s="16" t="s">
        <v>26</v>
      </c>
      <c r="M6617" s="16">
        <f t="shared" si="621"/>
        <v>-1.4206794051461267</v>
      </c>
      <c r="N6617">
        <f t="shared" si="622"/>
        <v>0</v>
      </c>
      <c r="O6617">
        <f t="shared" si="623"/>
        <v>0</v>
      </c>
      <c r="P6617">
        <f t="shared" si="620"/>
        <v>3650</v>
      </c>
      <c r="Q6617">
        <f t="shared" si="624"/>
        <v>3650</v>
      </c>
      <c r="T6617" s="16">
        <f t="shared" si="625"/>
        <v>-1.4206794051461269</v>
      </c>
    </row>
    <row r="6618" spans="7:20" ht="14.4" x14ac:dyDescent="0.25">
      <c r="G6618" s="10">
        <v>364</v>
      </c>
      <c r="H6618" s="9">
        <v>2535</v>
      </c>
      <c r="I6618" s="14">
        <f>DATE(2012,12,31)-952</f>
        <v>40322</v>
      </c>
      <c r="J6618" s="15" t="s">
        <v>25</v>
      </c>
      <c r="K6618" s="9">
        <v>6</v>
      </c>
      <c r="L6618" s="16" t="s">
        <v>27</v>
      </c>
      <c r="M6618" s="16">
        <f t="shared" si="621"/>
        <v>-1.3516196285269051</v>
      </c>
      <c r="N6618">
        <f t="shared" si="622"/>
        <v>0</v>
      </c>
      <c r="O6618">
        <f t="shared" si="623"/>
        <v>0</v>
      </c>
      <c r="P6618">
        <f t="shared" si="620"/>
        <v>3700</v>
      </c>
      <c r="Q6618">
        <f t="shared" si="624"/>
        <v>3700</v>
      </c>
      <c r="T6618" s="16">
        <f t="shared" si="625"/>
        <v>-1.3516196285269055</v>
      </c>
    </row>
    <row r="6619" spans="7:20" ht="14.4" x14ac:dyDescent="0.25">
      <c r="G6619" s="10">
        <v>386</v>
      </c>
      <c r="H6619" s="9">
        <v>2658</v>
      </c>
      <c r="I6619" s="14">
        <f>DATE(2012,12,31)-466</f>
        <v>40808</v>
      </c>
      <c r="J6619" s="15" t="s">
        <v>16</v>
      </c>
      <c r="K6619" s="9">
        <v>34</v>
      </c>
      <c r="L6619" s="16" t="s">
        <v>26</v>
      </c>
      <c r="M6619" s="16">
        <f t="shared" si="621"/>
        <v>0.58205411681129504</v>
      </c>
      <c r="N6619">
        <f t="shared" si="622"/>
        <v>0</v>
      </c>
      <c r="O6619">
        <f t="shared" si="623"/>
        <v>0</v>
      </c>
      <c r="P6619">
        <f t="shared" si="620"/>
        <v>5100</v>
      </c>
      <c r="Q6619">
        <f t="shared" si="624"/>
        <v>5100</v>
      </c>
      <c r="T6619" s="16">
        <f t="shared" si="625"/>
        <v>0.58205411681129471</v>
      </c>
    </row>
    <row r="6620" spans="7:20" ht="14.4" x14ac:dyDescent="0.25">
      <c r="G6620" s="10">
        <v>387</v>
      </c>
      <c r="H6620" s="9">
        <v>2658</v>
      </c>
      <c r="I6620" s="14">
        <f>DATE(2012,12,31)-466</f>
        <v>40808</v>
      </c>
      <c r="J6620" s="15" t="s">
        <v>16</v>
      </c>
      <c r="K6620" s="9">
        <v>32</v>
      </c>
      <c r="L6620" s="16" t="s">
        <v>26</v>
      </c>
      <c r="M6620" s="16">
        <f t="shared" si="621"/>
        <v>0.44393456357285216</v>
      </c>
      <c r="N6620">
        <f t="shared" si="622"/>
        <v>0</v>
      </c>
      <c r="O6620">
        <f t="shared" si="623"/>
        <v>0</v>
      </c>
      <c r="P6620">
        <f t="shared" si="620"/>
        <v>5000</v>
      </c>
      <c r="Q6620">
        <f t="shared" si="624"/>
        <v>5000</v>
      </c>
      <c r="T6620" s="16">
        <f t="shared" si="625"/>
        <v>0.44393456357285183</v>
      </c>
    </row>
    <row r="6621" spans="7:20" ht="14.4" x14ac:dyDescent="0.25">
      <c r="G6621" s="10">
        <v>395</v>
      </c>
      <c r="H6621" s="9">
        <v>2725</v>
      </c>
      <c r="I6621" s="14">
        <f>DATE(2012,12,31)-1321</f>
        <v>39953</v>
      </c>
      <c r="J6621" s="15" t="s">
        <v>28</v>
      </c>
      <c r="K6621" s="9">
        <v>39</v>
      </c>
      <c r="L6621" s="16" t="s">
        <v>27</v>
      </c>
      <c r="M6621" s="16">
        <f t="shared" si="621"/>
        <v>0.92735299990740228</v>
      </c>
      <c r="N6621">
        <f t="shared" si="622"/>
        <v>0</v>
      </c>
      <c r="O6621">
        <f t="shared" si="623"/>
        <v>0</v>
      </c>
      <c r="P6621">
        <f t="shared" si="620"/>
        <v>5350</v>
      </c>
      <c r="Q6621">
        <f t="shared" si="624"/>
        <v>5350</v>
      </c>
      <c r="T6621" s="16">
        <f t="shared" si="625"/>
        <v>0.92735299990740183</v>
      </c>
    </row>
    <row r="6622" spans="7:20" ht="14.4" x14ac:dyDescent="0.25">
      <c r="G6622" s="10">
        <v>404</v>
      </c>
      <c r="H6622" s="9">
        <v>2756</v>
      </c>
      <c r="I6622" s="14">
        <f>DATE(2012,12,31)-1354</f>
        <v>39920</v>
      </c>
      <c r="J6622" s="15" t="s">
        <v>30</v>
      </c>
      <c r="K6622" s="9">
        <v>25</v>
      </c>
      <c r="L6622" s="16" t="s">
        <v>27</v>
      </c>
      <c r="M6622" s="16">
        <f t="shared" si="621"/>
        <v>-3.9483872761697868E-2</v>
      </c>
      <c r="N6622">
        <f t="shared" si="622"/>
        <v>0</v>
      </c>
      <c r="O6622">
        <f t="shared" si="623"/>
        <v>0</v>
      </c>
      <c r="P6622">
        <f t="shared" si="620"/>
        <v>4650</v>
      </c>
      <c r="Q6622">
        <f t="shared" si="624"/>
        <v>4650</v>
      </c>
      <c r="T6622" s="16">
        <f t="shared" si="625"/>
        <v>-3.9483872761698249E-2</v>
      </c>
    </row>
    <row r="6623" spans="7:20" ht="14.4" x14ac:dyDescent="0.25">
      <c r="G6623" s="10">
        <v>405</v>
      </c>
      <c r="H6623" s="9">
        <v>2756</v>
      </c>
      <c r="I6623" s="14">
        <f>DATE(2012,12,31)-1354</f>
        <v>39920</v>
      </c>
      <c r="J6623" s="15" t="s">
        <v>30</v>
      </c>
      <c r="K6623" s="9">
        <v>42</v>
      </c>
      <c r="L6623" s="16" t="s">
        <v>26</v>
      </c>
      <c r="M6623" s="16">
        <f t="shared" si="621"/>
        <v>1.1345323297650665</v>
      </c>
      <c r="N6623">
        <f t="shared" si="622"/>
        <v>0</v>
      </c>
      <c r="O6623">
        <f t="shared" si="623"/>
        <v>0</v>
      </c>
      <c r="P6623">
        <f t="shared" si="620"/>
        <v>5500</v>
      </c>
      <c r="Q6623">
        <f t="shared" si="624"/>
        <v>5500</v>
      </c>
      <c r="T6623" s="16">
        <f t="shared" si="625"/>
        <v>1.1345323297650662</v>
      </c>
    </row>
    <row r="6624" spans="7:20" ht="14.4" x14ac:dyDescent="0.25">
      <c r="G6624" s="10">
        <v>428</v>
      </c>
      <c r="H6624" s="9">
        <v>2853</v>
      </c>
      <c r="I6624" s="14">
        <f>DATE(2012,12,31)-1337</f>
        <v>39937</v>
      </c>
      <c r="J6624" s="15" t="s">
        <v>17</v>
      </c>
      <c r="K6624" s="9">
        <v>25</v>
      </c>
      <c r="L6624" s="16" t="s">
        <v>26</v>
      </c>
      <c r="M6624" s="16">
        <f t="shared" si="621"/>
        <v>-3.9483872761697868E-2</v>
      </c>
      <c r="N6624">
        <f t="shared" si="622"/>
        <v>0</v>
      </c>
      <c r="O6624">
        <f t="shared" si="623"/>
        <v>0</v>
      </c>
      <c r="P6624">
        <f t="shared" si="620"/>
        <v>4650</v>
      </c>
      <c r="Q6624">
        <f t="shared" si="624"/>
        <v>4650</v>
      </c>
      <c r="T6624" s="16">
        <f t="shared" si="625"/>
        <v>-3.9483872761698249E-2</v>
      </c>
    </row>
    <row r="6625" spans="7:20" ht="14.4" x14ac:dyDescent="0.25">
      <c r="G6625" s="10">
        <v>436</v>
      </c>
      <c r="H6625" s="9">
        <v>2914</v>
      </c>
      <c r="I6625" s="14">
        <f>DATE(2012,12,31)-1035</f>
        <v>40239</v>
      </c>
      <c r="J6625" s="15" t="s">
        <v>16</v>
      </c>
      <c r="K6625" s="9">
        <v>3</v>
      </c>
      <c r="L6625" s="16" t="s">
        <v>26</v>
      </c>
      <c r="M6625" s="16">
        <f t="shared" si="621"/>
        <v>-1.5587989583845694</v>
      </c>
      <c r="N6625">
        <f t="shared" si="622"/>
        <v>0</v>
      </c>
      <c r="O6625">
        <f t="shared" si="623"/>
        <v>0</v>
      </c>
      <c r="P6625">
        <f t="shared" si="620"/>
        <v>3550</v>
      </c>
      <c r="Q6625">
        <f t="shared" si="624"/>
        <v>3550</v>
      </c>
      <c r="T6625" s="16">
        <f t="shared" si="625"/>
        <v>-1.5587989583845698</v>
      </c>
    </row>
    <row r="6626" spans="7:20" ht="14.4" x14ac:dyDescent="0.25">
      <c r="G6626" s="10">
        <v>441</v>
      </c>
      <c r="H6626" s="9">
        <v>2978</v>
      </c>
      <c r="I6626" s="14">
        <f>DATE(2012,12,31)-609</f>
        <v>40665</v>
      </c>
      <c r="J6626" s="15" t="s">
        <v>30</v>
      </c>
      <c r="K6626" s="9">
        <v>34</v>
      </c>
      <c r="L6626" s="16" t="s">
        <v>27</v>
      </c>
      <c r="M6626" s="16">
        <f t="shared" si="621"/>
        <v>0.58205411681129504</v>
      </c>
      <c r="N6626">
        <f t="shared" si="622"/>
        <v>0</v>
      </c>
      <c r="O6626">
        <f t="shared" si="623"/>
        <v>0</v>
      </c>
      <c r="P6626">
        <f t="shared" si="620"/>
        <v>5100</v>
      </c>
      <c r="Q6626">
        <f t="shared" si="624"/>
        <v>5100</v>
      </c>
      <c r="T6626" s="16">
        <f t="shared" si="625"/>
        <v>0.58205411681129471</v>
      </c>
    </row>
    <row r="6627" spans="7:20" ht="14.4" x14ac:dyDescent="0.25">
      <c r="G6627" s="10">
        <v>442</v>
      </c>
      <c r="H6627" s="9">
        <v>2978</v>
      </c>
      <c r="I6627" s="14">
        <f>DATE(2012,12,31)-609</f>
        <v>40665</v>
      </c>
      <c r="J6627" s="15" t="s">
        <v>30</v>
      </c>
      <c r="K6627" s="9">
        <v>36</v>
      </c>
      <c r="L6627" s="16" t="s">
        <v>26</v>
      </c>
      <c r="M6627" s="16">
        <f t="shared" si="621"/>
        <v>0.72017367004973787</v>
      </c>
      <c r="N6627">
        <f t="shared" si="622"/>
        <v>0</v>
      </c>
      <c r="O6627">
        <f t="shared" si="623"/>
        <v>0</v>
      </c>
      <c r="P6627">
        <f t="shared" si="620"/>
        <v>5200</v>
      </c>
      <c r="Q6627">
        <f t="shared" si="624"/>
        <v>5200</v>
      </c>
      <c r="T6627" s="16">
        <f t="shared" si="625"/>
        <v>0.72017367004973754</v>
      </c>
    </row>
    <row r="6628" spans="7:20" ht="14.4" x14ac:dyDescent="0.25">
      <c r="G6628" s="10">
        <v>444</v>
      </c>
      <c r="H6628" s="9">
        <v>3008</v>
      </c>
      <c r="I6628" s="14">
        <f>DATE(2012,12,31)-420</f>
        <v>40854</v>
      </c>
      <c r="J6628" s="15" t="s">
        <v>16</v>
      </c>
      <c r="K6628" s="9">
        <v>41</v>
      </c>
      <c r="L6628" s="16" t="s">
        <v>26</v>
      </c>
      <c r="M6628" s="16">
        <f t="shared" si="621"/>
        <v>1.0654725531458451</v>
      </c>
      <c r="N6628">
        <f t="shared" si="622"/>
        <v>0</v>
      </c>
      <c r="O6628">
        <f t="shared" si="623"/>
        <v>0</v>
      </c>
      <c r="P6628">
        <f t="shared" si="620"/>
        <v>5450</v>
      </c>
      <c r="Q6628">
        <f t="shared" si="624"/>
        <v>5450</v>
      </c>
      <c r="T6628" s="16">
        <f t="shared" si="625"/>
        <v>1.0654725531458447</v>
      </c>
    </row>
    <row r="6629" spans="7:20" ht="14.4" x14ac:dyDescent="0.25">
      <c r="G6629" s="10">
        <v>448</v>
      </c>
      <c r="H6629" s="9">
        <v>3042</v>
      </c>
      <c r="I6629" s="14">
        <f>DATE(2012,12,31)-1137</f>
        <v>40137</v>
      </c>
      <c r="J6629" s="15" t="s">
        <v>16</v>
      </c>
      <c r="K6629" s="9">
        <v>26</v>
      </c>
      <c r="L6629" s="16" t="s">
        <v>26</v>
      </c>
      <c r="M6629" s="16">
        <f t="shared" si="621"/>
        <v>2.9575903857523567E-2</v>
      </c>
      <c r="N6629">
        <f t="shared" si="622"/>
        <v>0</v>
      </c>
      <c r="O6629">
        <f t="shared" si="623"/>
        <v>0</v>
      </c>
      <c r="P6629">
        <f t="shared" si="620"/>
        <v>4700</v>
      </c>
      <c r="Q6629">
        <f t="shared" si="624"/>
        <v>4700</v>
      </c>
      <c r="T6629" s="16">
        <f t="shared" si="625"/>
        <v>2.9575903857523185E-2</v>
      </c>
    </row>
    <row r="6630" spans="7:20" ht="14.4" x14ac:dyDescent="0.25">
      <c r="G6630" s="10">
        <v>453</v>
      </c>
      <c r="H6630" s="9">
        <v>3078</v>
      </c>
      <c r="I6630" s="14">
        <f>DATE(2012,12,31)-1054</f>
        <v>40220</v>
      </c>
      <c r="J6630" s="15" t="s">
        <v>17</v>
      </c>
      <c r="K6630" s="9">
        <v>12</v>
      </c>
      <c r="L6630" s="16" t="s">
        <v>26</v>
      </c>
      <c r="M6630" s="16">
        <f t="shared" si="621"/>
        <v>-0.9372609688115765</v>
      </c>
      <c r="N6630">
        <f t="shared" si="622"/>
        <v>0</v>
      </c>
      <c r="O6630">
        <f t="shared" si="623"/>
        <v>0</v>
      </c>
      <c r="P6630">
        <f t="shared" si="620"/>
        <v>4000</v>
      </c>
      <c r="Q6630">
        <f t="shared" si="624"/>
        <v>4000</v>
      </c>
      <c r="T6630" s="16">
        <f t="shared" si="625"/>
        <v>-0.93726096881157694</v>
      </c>
    </row>
    <row r="6631" spans="7:20" ht="14.4" x14ac:dyDescent="0.25">
      <c r="G6631" s="10">
        <v>467</v>
      </c>
      <c r="H6631" s="9">
        <v>3175</v>
      </c>
      <c r="I6631" s="14">
        <f>DATE(2012,12,31)-1266</f>
        <v>40008</v>
      </c>
      <c r="J6631" s="15" t="s">
        <v>25</v>
      </c>
      <c r="K6631" s="9">
        <v>23</v>
      </c>
      <c r="L6631" s="16" t="s">
        <v>26</v>
      </c>
      <c r="M6631" s="16">
        <f t="shared" si="621"/>
        <v>-0.17760342600014073</v>
      </c>
      <c r="N6631">
        <f t="shared" si="622"/>
        <v>0</v>
      </c>
      <c r="O6631">
        <f t="shared" si="623"/>
        <v>0</v>
      </c>
      <c r="P6631">
        <f t="shared" si="620"/>
        <v>4550</v>
      </c>
      <c r="Q6631">
        <f t="shared" si="624"/>
        <v>4550</v>
      </c>
      <c r="T6631" s="16">
        <f t="shared" si="625"/>
        <v>-0.17760342600014112</v>
      </c>
    </row>
    <row r="6632" spans="7:20" ht="14.4" x14ac:dyDescent="0.25">
      <c r="G6632" s="10">
        <v>477</v>
      </c>
      <c r="H6632" s="9">
        <v>3300</v>
      </c>
      <c r="I6632" s="14">
        <f>DATE(2012,12,31)-536</f>
        <v>40738</v>
      </c>
      <c r="J6632" s="15" t="s">
        <v>25</v>
      </c>
      <c r="K6632" s="9">
        <v>6</v>
      </c>
      <c r="L6632" s="16" t="s">
        <v>27</v>
      </c>
      <c r="M6632" s="16">
        <f t="shared" si="621"/>
        <v>-1.3516196285269051</v>
      </c>
      <c r="N6632">
        <f t="shared" si="622"/>
        <v>0</v>
      </c>
      <c r="O6632">
        <f t="shared" si="623"/>
        <v>0</v>
      </c>
      <c r="P6632">
        <f t="shared" si="620"/>
        <v>3700</v>
      </c>
      <c r="Q6632">
        <f t="shared" si="624"/>
        <v>3700</v>
      </c>
      <c r="T6632" s="16">
        <f t="shared" si="625"/>
        <v>-1.3516196285269055</v>
      </c>
    </row>
    <row r="6633" spans="7:20" ht="14.4" x14ac:dyDescent="0.25">
      <c r="G6633" s="10">
        <v>478</v>
      </c>
      <c r="H6633" s="9">
        <v>3328</v>
      </c>
      <c r="I6633" s="14">
        <f>DATE(2012,12,31)-43</f>
        <v>41231</v>
      </c>
      <c r="J6633" s="15" t="s">
        <v>25</v>
      </c>
      <c r="K6633" s="9">
        <v>12</v>
      </c>
      <c r="L6633" s="16" t="s">
        <v>29</v>
      </c>
      <c r="M6633" s="16">
        <f t="shared" si="621"/>
        <v>-0.9372609688115765</v>
      </c>
      <c r="N6633">
        <f t="shared" si="622"/>
        <v>0</v>
      </c>
      <c r="O6633">
        <f t="shared" si="623"/>
        <v>0</v>
      </c>
      <c r="P6633">
        <f t="shared" si="620"/>
        <v>4000</v>
      </c>
      <c r="Q6633">
        <f t="shared" si="624"/>
        <v>4000</v>
      </c>
      <c r="T6633" s="16">
        <f t="shared" si="625"/>
        <v>-0.93726096881157694</v>
      </c>
    </row>
    <row r="6634" spans="7:20" ht="14.4" x14ac:dyDescent="0.25">
      <c r="G6634" s="10">
        <v>514</v>
      </c>
      <c r="H6634" s="9">
        <v>3525</v>
      </c>
      <c r="I6634" s="14">
        <f>DATE(2012,12,31)-376</f>
        <v>40898</v>
      </c>
      <c r="J6634" s="15" t="s">
        <v>28</v>
      </c>
      <c r="K6634" s="9">
        <v>38</v>
      </c>
      <c r="L6634" s="16" t="s">
        <v>26</v>
      </c>
      <c r="M6634" s="16">
        <f t="shared" si="621"/>
        <v>0.85829322328818081</v>
      </c>
      <c r="N6634">
        <f t="shared" si="622"/>
        <v>0</v>
      </c>
      <c r="O6634">
        <f t="shared" si="623"/>
        <v>0</v>
      </c>
      <c r="P6634">
        <f t="shared" si="620"/>
        <v>5300</v>
      </c>
      <c r="Q6634">
        <f t="shared" si="624"/>
        <v>5300</v>
      </c>
      <c r="T6634" s="16">
        <f t="shared" si="625"/>
        <v>0.85829322328818036</v>
      </c>
    </row>
    <row r="6635" spans="7:20" ht="14.4" x14ac:dyDescent="0.25">
      <c r="G6635" s="10">
        <v>515</v>
      </c>
      <c r="H6635" s="9">
        <v>3526</v>
      </c>
      <c r="I6635" s="14">
        <f>DATE(2012,12,31)-657</f>
        <v>40617</v>
      </c>
      <c r="J6635" s="15" t="s">
        <v>25</v>
      </c>
      <c r="K6635" s="9">
        <v>20</v>
      </c>
      <c r="L6635" s="16" t="s">
        <v>29</v>
      </c>
      <c r="M6635" s="16">
        <f t="shared" si="621"/>
        <v>-0.38478275585780503</v>
      </c>
      <c r="N6635">
        <f t="shared" si="622"/>
        <v>0</v>
      </c>
      <c r="O6635">
        <f t="shared" si="623"/>
        <v>0</v>
      </c>
      <c r="P6635">
        <f t="shared" si="620"/>
        <v>4400</v>
      </c>
      <c r="Q6635">
        <f t="shared" si="624"/>
        <v>4400</v>
      </c>
      <c r="T6635" s="16">
        <f t="shared" si="625"/>
        <v>-0.38478275585780541</v>
      </c>
    </row>
    <row r="6636" spans="7:20" ht="14.4" x14ac:dyDescent="0.25">
      <c r="G6636" s="10">
        <v>532</v>
      </c>
      <c r="H6636" s="9">
        <v>3621</v>
      </c>
      <c r="I6636" s="14">
        <f>DATE(2012,12,31)-971</f>
        <v>40303</v>
      </c>
      <c r="J6636" s="15" t="s">
        <v>16</v>
      </c>
      <c r="K6636" s="9">
        <v>14</v>
      </c>
      <c r="L6636" s="16" t="s">
        <v>26</v>
      </c>
      <c r="M6636" s="16">
        <f t="shared" si="621"/>
        <v>-0.79914141557313367</v>
      </c>
      <c r="N6636">
        <f t="shared" si="622"/>
        <v>0</v>
      </c>
      <c r="O6636">
        <f t="shared" si="623"/>
        <v>0</v>
      </c>
      <c r="P6636">
        <f t="shared" si="620"/>
        <v>4100</v>
      </c>
      <c r="Q6636">
        <f t="shared" si="624"/>
        <v>4100</v>
      </c>
      <c r="T6636" s="16">
        <f t="shared" si="625"/>
        <v>-0.79914141557313401</v>
      </c>
    </row>
    <row r="6637" spans="7:20" ht="14.4" x14ac:dyDescent="0.25">
      <c r="G6637" s="10">
        <v>536</v>
      </c>
      <c r="H6637" s="9">
        <v>3649</v>
      </c>
      <c r="I6637" s="14">
        <f>DATE(2012,12,31)-1275</f>
        <v>39999</v>
      </c>
      <c r="J6637" s="15" t="s">
        <v>25</v>
      </c>
      <c r="K6637" s="9">
        <v>8</v>
      </c>
      <c r="L6637" s="16" t="s">
        <v>26</v>
      </c>
      <c r="M6637" s="16">
        <f t="shared" si="621"/>
        <v>-1.2135000752884624</v>
      </c>
      <c r="N6637">
        <f t="shared" si="622"/>
        <v>0</v>
      </c>
      <c r="O6637">
        <f t="shared" si="623"/>
        <v>0</v>
      </c>
      <c r="P6637">
        <f t="shared" si="620"/>
        <v>3800</v>
      </c>
      <c r="Q6637">
        <f t="shared" si="624"/>
        <v>3800</v>
      </c>
      <c r="T6637" s="16">
        <f t="shared" si="625"/>
        <v>-1.2135000752884626</v>
      </c>
    </row>
    <row r="6638" spans="7:20" ht="14.4" x14ac:dyDescent="0.25">
      <c r="G6638" s="10">
        <v>537</v>
      </c>
      <c r="H6638" s="9">
        <v>3649</v>
      </c>
      <c r="I6638" s="14">
        <f>DATE(2012,12,31)-1275</f>
        <v>39999</v>
      </c>
      <c r="J6638" s="15" t="s">
        <v>25</v>
      </c>
      <c r="K6638" s="9">
        <v>26</v>
      </c>
      <c r="L6638" s="16" t="s">
        <v>26</v>
      </c>
      <c r="M6638" s="16">
        <f t="shared" si="621"/>
        <v>2.9575903857523567E-2</v>
      </c>
      <c r="N6638">
        <f t="shared" si="622"/>
        <v>0</v>
      </c>
      <c r="O6638">
        <f t="shared" si="623"/>
        <v>0</v>
      </c>
      <c r="P6638">
        <f t="shared" si="620"/>
        <v>4700</v>
      </c>
      <c r="Q6638">
        <f t="shared" si="624"/>
        <v>4700</v>
      </c>
      <c r="T6638" s="16">
        <f t="shared" si="625"/>
        <v>2.9575903857523185E-2</v>
      </c>
    </row>
    <row r="6639" spans="7:20" ht="14.4" x14ac:dyDescent="0.25">
      <c r="G6639" s="10">
        <v>541</v>
      </c>
      <c r="H6639" s="9">
        <v>3654</v>
      </c>
      <c r="I6639" s="14">
        <f>DATE(2012,12,31)-212</f>
        <v>41062</v>
      </c>
      <c r="J6639" s="15" t="s">
        <v>25</v>
      </c>
      <c r="K6639" s="9">
        <v>41</v>
      </c>
      <c r="L6639" s="16" t="s">
        <v>29</v>
      </c>
      <c r="M6639" s="16">
        <f t="shared" si="621"/>
        <v>1.0654725531458451</v>
      </c>
      <c r="N6639">
        <f t="shared" si="622"/>
        <v>0</v>
      </c>
      <c r="O6639">
        <f t="shared" si="623"/>
        <v>0</v>
      </c>
      <c r="P6639">
        <f t="shared" si="620"/>
        <v>5450</v>
      </c>
      <c r="Q6639">
        <f t="shared" si="624"/>
        <v>5450</v>
      </c>
      <c r="T6639" s="16">
        <f t="shared" si="625"/>
        <v>1.0654725531458447</v>
      </c>
    </row>
    <row r="6640" spans="7:20" ht="14.4" x14ac:dyDescent="0.25">
      <c r="G6640" s="10">
        <v>565</v>
      </c>
      <c r="H6640" s="9">
        <v>3814</v>
      </c>
      <c r="I6640" s="14">
        <f>DATE(2012,12,31)-679</f>
        <v>40595</v>
      </c>
      <c r="J6640" s="15" t="s">
        <v>25</v>
      </c>
      <c r="K6640" s="9">
        <v>43</v>
      </c>
      <c r="L6640" s="16" t="s">
        <v>26</v>
      </c>
      <c r="M6640" s="16">
        <f t="shared" si="621"/>
        <v>1.203592106384288</v>
      </c>
      <c r="N6640">
        <f t="shared" si="622"/>
        <v>0</v>
      </c>
      <c r="O6640">
        <f t="shared" si="623"/>
        <v>0</v>
      </c>
      <c r="P6640">
        <f t="shared" si="620"/>
        <v>5550</v>
      </c>
      <c r="Q6640">
        <f t="shared" si="624"/>
        <v>5550</v>
      </c>
      <c r="T6640" s="16">
        <f t="shared" si="625"/>
        <v>1.2035921063842876</v>
      </c>
    </row>
    <row r="6641" spans="7:20" ht="14.4" x14ac:dyDescent="0.25">
      <c r="G6641" s="10">
        <v>578</v>
      </c>
      <c r="H6641" s="9">
        <v>3911</v>
      </c>
      <c r="I6641" s="14">
        <f>DATE(2012,12,31)-656</f>
        <v>40618</v>
      </c>
      <c r="J6641" s="15" t="s">
        <v>28</v>
      </c>
      <c r="K6641" s="9">
        <v>24</v>
      </c>
      <c r="L6641" s="16" t="s">
        <v>26</v>
      </c>
      <c r="M6641" s="16">
        <f t="shared" si="621"/>
        <v>-0.1085436493809193</v>
      </c>
      <c r="N6641">
        <f t="shared" si="622"/>
        <v>0</v>
      </c>
      <c r="O6641">
        <f t="shared" si="623"/>
        <v>0</v>
      </c>
      <c r="P6641">
        <f t="shared" si="620"/>
        <v>4600</v>
      </c>
      <c r="Q6641">
        <f t="shared" si="624"/>
        <v>4600</v>
      </c>
      <c r="T6641" s="16">
        <f t="shared" si="625"/>
        <v>-0.10854364938091969</v>
      </c>
    </row>
    <row r="6642" spans="7:20" ht="14.4" x14ac:dyDescent="0.25">
      <c r="G6642" s="10">
        <v>607</v>
      </c>
      <c r="H6642" s="9">
        <v>4134</v>
      </c>
      <c r="I6642" s="14">
        <f>DATE(2012,12,31)-720</f>
        <v>40554</v>
      </c>
      <c r="J6642" s="15" t="s">
        <v>30</v>
      </c>
      <c r="K6642" s="9">
        <v>48</v>
      </c>
      <c r="L6642" s="16" t="s">
        <v>29</v>
      </c>
      <c r="M6642" s="16">
        <f t="shared" si="621"/>
        <v>1.5488909894803951</v>
      </c>
      <c r="N6642">
        <f t="shared" si="622"/>
        <v>0</v>
      </c>
      <c r="O6642">
        <f t="shared" si="623"/>
        <v>0</v>
      </c>
      <c r="P6642">
        <f t="shared" si="620"/>
        <v>5800</v>
      </c>
      <c r="Q6642">
        <f t="shared" si="624"/>
        <v>5800</v>
      </c>
      <c r="T6642" s="16">
        <f t="shared" si="625"/>
        <v>1.5488909894803948</v>
      </c>
    </row>
    <row r="6643" spans="7:20" ht="14.4" x14ac:dyDescent="0.25">
      <c r="G6643" s="10">
        <v>608</v>
      </c>
      <c r="H6643" s="9">
        <v>4134</v>
      </c>
      <c r="I6643" s="14">
        <f>DATE(2012,12,31)-720</f>
        <v>40554</v>
      </c>
      <c r="J6643" s="15" t="s">
        <v>30</v>
      </c>
      <c r="K6643" s="9">
        <v>23</v>
      </c>
      <c r="L6643" s="16" t="s">
        <v>27</v>
      </c>
      <c r="M6643" s="16">
        <f t="shared" si="621"/>
        <v>-0.17760342600014073</v>
      </c>
      <c r="N6643">
        <f t="shared" si="622"/>
        <v>0</v>
      </c>
      <c r="O6643">
        <f t="shared" si="623"/>
        <v>0</v>
      </c>
      <c r="P6643">
        <f t="shared" si="620"/>
        <v>4550</v>
      </c>
      <c r="Q6643">
        <f t="shared" si="624"/>
        <v>4550</v>
      </c>
      <c r="T6643" s="16">
        <f t="shared" si="625"/>
        <v>-0.17760342600014112</v>
      </c>
    </row>
    <row r="6644" spans="7:20" ht="14.4" x14ac:dyDescent="0.25">
      <c r="G6644" s="10">
        <v>615</v>
      </c>
      <c r="H6644" s="9">
        <v>4230</v>
      </c>
      <c r="I6644" s="14">
        <f>DATE(2012,12,31)-303</f>
        <v>40971</v>
      </c>
      <c r="J6644" s="15" t="s">
        <v>30</v>
      </c>
      <c r="K6644" s="9">
        <v>18</v>
      </c>
      <c r="L6644" s="16" t="s">
        <v>29</v>
      </c>
      <c r="M6644" s="16">
        <f t="shared" si="621"/>
        <v>-0.52290230909624791</v>
      </c>
      <c r="N6644">
        <f t="shared" si="622"/>
        <v>0</v>
      </c>
      <c r="O6644">
        <f t="shared" si="623"/>
        <v>0</v>
      </c>
      <c r="P6644">
        <f t="shared" si="620"/>
        <v>4300</v>
      </c>
      <c r="Q6644">
        <f t="shared" si="624"/>
        <v>4300</v>
      </c>
      <c r="T6644" s="16">
        <f t="shared" si="625"/>
        <v>-0.52290230909624835</v>
      </c>
    </row>
    <row r="6645" spans="7:20" ht="14.4" x14ac:dyDescent="0.25">
      <c r="G6645" s="10">
        <v>616</v>
      </c>
      <c r="H6645" s="9">
        <v>4230</v>
      </c>
      <c r="I6645" s="14">
        <f>DATE(2012,12,31)-303</f>
        <v>40971</v>
      </c>
      <c r="J6645" s="15" t="s">
        <v>30</v>
      </c>
      <c r="K6645" s="9">
        <v>46</v>
      </c>
      <c r="L6645" s="16" t="s">
        <v>27</v>
      </c>
      <c r="M6645" s="16">
        <f t="shared" si="621"/>
        <v>1.4107714362419523</v>
      </c>
      <c r="N6645">
        <f t="shared" si="622"/>
        <v>0</v>
      </c>
      <c r="O6645">
        <f t="shared" si="623"/>
        <v>0</v>
      </c>
      <c r="P6645">
        <f t="shared" si="620"/>
        <v>5700</v>
      </c>
      <c r="Q6645">
        <f t="shared" si="624"/>
        <v>5700</v>
      </c>
      <c r="T6645" s="16">
        <f t="shared" si="625"/>
        <v>1.4107714362419519</v>
      </c>
    </row>
    <row r="6646" spans="7:20" ht="14.4" x14ac:dyDescent="0.25">
      <c r="G6646" s="10">
        <v>624</v>
      </c>
      <c r="H6646" s="9">
        <v>4324</v>
      </c>
      <c r="I6646" s="14">
        <f>DATE(2012,12,31)-534</f>
        <v>40740</v>
      </c>
      <c r="J6646" s="15" t="s">
        <v>30</v>
      </c>
      <c r="K6646" s="9">
        <v>28</v>
      </c>
      <c r="L6646" s="16" t="s">
        <v>26</v>
      </c>
      <c r="M6646" s="16">
        <f t="shared" si="621"/>
        <v>0.16769545709596645</v>
      </c>
      <c r="N6646">
        <f t="shared" si="622"/>
        <v>0</v>
      </c>
      <c r="O6646">
        <f t="shared" si="623"/>
        <v>0</v>
      </c>
      <c r="P6646">
        <f t="shared" si="620"/>
        <v>4800</v>
      </c>
      <c r="Q6646">
        <f t="shared" si="624"/>
        <v>4800</v>
      </c>
      <c r="T6646" s="16">
        <f t="shared" si="625"/>
        <v>0.16769545709596606</v>
      </c>
    </row>
    <row r="6647" spans="7:20" ht="14.4" x14ac:dyDescent="0.25">
      <c r="G6647" s="10">
        <v>651</v>
      </c>
      <c r="H6647" s="9">
        <v>4581</v>
      </c>
      <c r="I6647" s="14">
        <f>DATE(2012,12,31)-119</f>
        <v>41155</v>
      </c>
      <c r="J6647" s="15" t="s">
        <v>28</v>
      </c>
      <c r="K6647" s="9">
        <v>25</v>
      </c>
      <c r="L6647" s="16" t="s">
        <v>26</v>
      </c>
      <c r="M6647" s="16">
        <f t="shared" si="621"/>
        <v>-3.9483872761697868E-2</v>
      </c>
      <c r="N6647">
        <f t="shared" si="622"/>
        <v>0</v>
      </c>
      <c r="O6647">
        <f t="shared" si="623"/>
        <v>0</v>
      </c>
      <c r="P6647">
        <f t="shared" si="620"/>
        <v>4650</v>
      </c>
      <c r="Q6647">
        <f t="shared" si="624"/>
        <v>4650</v>
      </c>
      <c r="T6647" s="16">
        <f t="shared" si="625"/>
        <v>-3.9483872761698249E-2</v>
      </c>
    </row>
    <row r="6648" spans="7:20" ht="14.4" x14ac:dyDescent="0.25">
      <c r="G6648" s="10">
        <v>674</v>
      </c>
      <c r="H6648" s="9">
        <v>4706</v>
      </c>
      <c r="I6648" s="14">
        <f>DATE(2012,12,31)-3</f>
        <v>41271</v>
      </c>
      <c r="J6648" s="15" t="s">
        <v>28</v>
      </c>
      <c r="K6648" s="9">
        <v>30</v>
      </c>
      <c r="L6648" s="16" t="s">
        <v>26</v>
      </c>
      <c r="M6648" s="16">
        <f t="shared" si="621"/>
        <v>0.30581501033440933</v>
      </c>
      <c r="N6648">
        <f t="shared" si="622"/>
        <v>0</v>
      </c>
      <c r="O6648">
        <f t="shared" si="623"/>
        <v>0</v>
      </c>
      <c r="P6648">
        <f t="shared" si="620"/>
        <v>4900</v>
      </c>
      <c r="Q6648">
        <f t="shared" si="624"/>
        <v>4900</v>
      </c>
      <c r="T6648" s="16">
        <f t="shared" si="625"/>
        <v>0.30581501033440894</v>
      </c>
    </row>
    <row r="6649" spans="7:20" ht="14.4" x14ac:dyDescent="0.25">
      <c r="G6649" s="10">
        <v>677</v>
      </c>
      <c r="H6649" s="9">
        <v>4738</v>
      </c>
      <c r="I6649" s="14">
        <f>DATE(2012,12,31)-268</f>
        <v>41006</v>
      </c>
      <c r="J6649" s="15" t="s">
        <v>17</v>
      </c>
      <c r="K6649" s="9">
        <v>2</v>
      </c>
      <c r="L6649" s="16" t="s">
        <v>26</v>
      </c>
      <c r="M6649" s="16">
        <f t="shared" si="621"/>
        <v>-1.627858735003791</v>
      </c>
      <c r="N6649">
        <f t="shared" si="622"/>
        <v>0</v>
      </c>
      <c r="O6649">
        <f t="shared" si="623"/>
        <v>0</v>
      </c>
      <c r="P6649">
        <f t="shared" si="620"/>
        <v>3500</v>
      </c>
      <c r="Q6649">
        <f t="shared" si="624"/>
        <v>3500</v>
      </c>
      <c r="T6649" s="16">
        <f t="shared" si="625"/>
        <v>-1.6278587350037912</v>
      </c>
    </row>
    <row r="6650" spans="7:20" ht="14.4" x14ac:dyDescent="0.25">
      <c r="G6650" s="10">
        <v>683</v>
      </c>
      <c r="H6650" s="9">
        <v>4771</v>
      </c>
      <c r="I6650" s="14">
        <f>DATE(2012,12,31)-18</f>
        <v>41256</v>
      </c>
      <c r="J6650" s="15" t="s">
        <v>30</v>
      </c>
      <c r="K6650" s="9">
        <v>4</v>
      </c>
      <c r="L6650" s="16" t="s">
        <v>29</v>
      </c>
      <c r="M6650" s="16">
        <f t="shared" si="621"/>
        <v>-1.489739181765348</v>
      </c>
      <c r="N6650">
        <f t="shared" si="622"/>
        <v>0</v>
      </c>
      <c r="O6650">
        <f t="shared" si="623"/>
        <v>0</v>
      </c>
      <c r="P6650">
        <f t="shared" si="620"/>
        <v>3600</v>
      </c>
      <c r="Q6650">
        <f t="shared" si="624"/>
        <v>3600</v>
      </c>
      <c r="T6650" s="16">
        <f t="shared" si="625"/>
        <v>-1.4897391817653485</v>
      </c>
    </row>
    <row r="6651" spans="7:20" ht="14.4" x14ac:dyDescent="0.25">
      <c r="G6651" s="10">
        <v>691</v>
      </c>
      <c r="H6651" s="9">
        <v>4804</v>
      </c>
      <c r="I6651" s="14">
        <f>DATE(2012,12,31)-339</f>
        <v>40935</v>
      </c>
      <c r="J6651" s="15" t="s">
        <v>17</v>
      </c>
      <c r="K6651" s="9">
        <v>13</v>
      </c>
      <c r="L6651" s="16" t="s">
        <v>27</v>
      </c>
      <c r="M6651" s="16">
        <f t="shared" si="621"/>
        <v>-0.86820119219235514</v>
      </c>
      <c r="N6651">
        <f t="shared" si="622"/>
        <v>0</v>
      </c>
      <c r="O6651">
        <f t="shared" si="623"/>
        <v>0</v>
      </c>
      <c r="P6651">
        <f t="shared" si="620"/>
        <v>4050</v>
      </c>
      <c r="Q6651">
        <f t="shared" si="624"/>
        <v>4050</v>
      </c>
      <c r="T6651" s="16">
        <f t="shared" si="625"/>
        <v>-0.86820119219235548</v>
      </c>
    </row>
    <row r="6652" spans="7:20" ht="14.4" x14ac:dyDescent="0.25">
      <c r="G6652" s="10">
        <v>696</v>
      </c>
      <c r="H6652" s="9">
        <v>4870</v>
      </c>
      <c r="I6652" s="14">
        <f>DATE(2012,12,31)-1244</f>
        <v>40030</v>
      </c>
      <c r="J6652" s="15" t="s">
        <v>16</v>
      </c>
      <c r="K6652" s="9">
        <v>44</v>
      </c>
      <c r="L6652" s="16" t="s">
        <v>29</v>
      </c>
      <c r="M6652" s="16">
        <f t="shared" si="621"/>
        <v>1.2726518830035094</v>
      </c>
      <c r="N6652">
        <f t="shared" si="622"/>
        <v>0</v>
      </c>
      <c r="O6652">
        <f t="shared" si="623"/>
        <v>0</v>
      </c>
      <c r="P6652">
        <f t="shared" si="620"/>
        <v>5600</v>
      </c>
      <c r="Q6652">
        <f t="shared" si="624"/>
        <v>5600</v>
      </c>
      <c r="T6652" s="16">
        <f t="shared" si="625"/>
        <v>1.272651883003509</v>
      </c>
    </row>
    <row r="6653" spans="7:20" ht="14.4" x14ac:dyDescent="0.25">
      <c r="G6653" s="10">
        <v>702</v>
      </c>
      <c r="H6653" s="9">
        <v>4931</v>
      </c>
      <c r="I6653" s="14">
        <f>DATE(2012,12,31)-1141</f>
        <v>40133</v>
      </c>
      <c r="J6653" s="15" t="s">
        <v>30</v>
      </c>
      <c r="K6653" s="9">
        <v>22</v>
      </c>
      <c r="L6653" s="16" t="s">
        <v>26</v>
      </c>
      <c r="M6653" s="16">
        <f t="shared" si="621"/>
        <v>-0.24666320261936217</v>
      </c>
      <c r="N6653">
        <f t="shared" si="622"/>
        <v>0</v>
      </c>
      <c r="O6653">
        <f t="shared" si="623"/>
        <v>0</v>
      </c>
      <c r="P6653">
        <f t="shared" si="620"/>
        <v>4500</v>
      </c>
      <c r="Q6653">
        <f t="shared" si="624"/>
        <v>4500</v>
      </c>
      <c r="T6653" s="16">
        <f t="shared" si="625"/>
        <v>-0.24666320261936256</v>
      </c>
    </row>
    <row r="6654" spans="7:20" ht="14.4" x14ac:dyDescent="0.25">
      <c r="G6654" s="10">
        <v>703</v>
      </c>
      <c r="H6654" s="9">
        <v>4931</v>
      </c>
      <c r="I6654" s="14">
        <f>DATE(2012,12,31)-1141</f>
        <v>40133</v>
      </c>
      <c r="J6654" s="15" t="s">
        <v>30</v>
      </c>
      <c r="K6654" s="9">
        <v>45</v>
      </c>
      <c r="L6654" s="16" t="s">
        <v>27</v>
      </c>
      <c r="M6654" s="16">
        <f t="shared" si="621"/>
        <v>1.3417116596227308</v>
      </c>
      <c r="N6654">
        <f t="shared" si="622"/>
        <v>0</v>
      </c>
      <c r="O6654">
        <f t="shared" si="623"/>
        <v>0</v>
      </c>
      <c r="P6654">
        <f t="shared" si="620"/>
        <v>5650</v>
      </c>
      <c r="Q6654">
        <f t="shared" si="624"/>
        <v>5650</v>
      </c>
      <c r="T6654" s="16">
        <f t="shared" si="625"/>
        <v>1.3417116596227305</v>
      </c>
    </row>
    <row r="6655" spans="7:20" ht="14.4" x14ac:dyDescent="0.25">
      <c r="G6655" s="10">
        <v>716</v>
      </c>
      <c r="H6655" s="9">
        <v>5094</v>
      </c>
      <c r="I6655" s="14">
        <f>DATE(2012,12,31)-1009</f>
        <v>40265</v>
      </c>
      <c r="J6655" s="15" t="s">
        <v>28</v>
      </c>
      <c r="K6655" s="9">
        <v>2</v>
      </c>
      <c r="L6655" s="16" t="s">
        <v>26</v>
      </c>
      <c r="M6655" s="16">
        <f t="shared" si="621"/>
        <v>-1.627858735003791</v>
      </c>
      <c r="N6655">
        <f t="shared" si="622"/>
        <v>0</v>
      </c>
      <c r="O6655">
        <f t="shared" si="623"/>
        <v>0</v>
      </c>
      <c r="P6655">
        <f t="shared" si="620"/>
        <v>3500</v>
      </c>
      <c r="Q6655">
        <f t="shared" si="624"/>
        <v>3500</v>
      </c>
      <c r="T6655" s="16">
        <f t="shared" si="625"/>
        <v>-1.6278587350037912</v>
      </c>
    </row>
    <row r="6656" spans="7:20" ht="14.4" x14ac:dyDescent="0.25">
      <c r="G6656" s="10">
        <v>721</v>
      </c>
      <c r="H6656" s="9">
        <v>5188</v>
      </c>
      <c r="I6656" s="14">
        <f>DATE(2012,12,31)-671</f>
        <v>40603</v>
      </c>
      <c r="J6656" s="15" t="s">
        <v>28</v>
      </c>
      <c r="K6656" s="9">
        <v>24</v>
      </c>
      <c r="L6656" s="16" t="s">
        <v>26</v>
      </c>
      <c r="M6656" s="16">
        <f t="shared" si="621"/>
        <v>-0.1085436493809193</v>
      </c>
      <c r="N6656">
        <f t="shared" si="622"/>
        <v>0</v>
      </c>
      <c r="O6656">
        <f t="shared" si="623"/>
        <v>0</v>
      </c>
      <c r="P6656">
        <f t="shared" si="620"/>
        <v>4600</v>
      </c>
      <c r="Q6656">
        <f t="shared" si="624"/>
        <v>4600</v>
      </c>
      <c r="T6656" s="16">
        <f t="shared" si="625"/>
        <v>-0.10854364938091969</v>
      </c>
    </row>
    <row r="6657" spans="7:20" ht="14.4" x14ac:dyDescent="0.25">
      <c r="G6657" s="10">
        <v>722</v>
      </c>
      <c r="H6657" s="9">
        <v>5189</v>
      </c>
      <c r="I6657" s="14">
        <f>DATE(2012,12,31)-767</f>
        <v>40507</v>
      </c>
      <c r="J6657" s="15" t="s">
        <v>25</v>
      </c>
      <c r="K6657" s="9">
        <v>12</v>
      </c>
      <c r="L6657" s="16" t="s">
        <v>27</v>
      </c>
      <c r="M6657" s="16">
        <f t="shared" si="621"/>
        <v>-0.9372609688115765</v>
      </c>
      <c r="N6657">
        <f t="shared" si="622"/>
        <v>0</v>
      </c>
      <c r="O6657">
        <f t="shared" si="623"/>
        <v>0</v>
      </c>
      <c r="P6657">
        <f t="shared" si="620"/>
        <v>4000</v>
      </c>
      <c r="Q6657">
        <f t="shared" si="624"/>
        <v>4000</v>
      </c>
      <c r="T6657" s="16">
        <f t="shared" si="625"/>
        <v>-0.93726096881157694</v>
      </c>
    </row>
    <row r="6658" spans="7:20" ht="14.4" x14ac:dyDescent="0.25">
      <c r="G6658" s="10">
        <v>753</v>
      </c>
      <c r="H6658" s="9">
        <v>5408</v>
      </c>
      <c r="I6658" s="14">
        <f>DATE(2012,12,31)-164</f>
        <v>41110</v>
      </c>
      <c r="J6658" s="15" t="s">
        <v>25</v>
      </c>
      <c r="K6658" s="9">
        <v>20</v>
      </c>
      <c r="L6658" s="16" t="s">
        <v>26</v>
      </c>
      <c r="M6658" s="16">
        <f t="shared" si="621"/>
        <v>-0.38478275585780503</v>
      </c>
      <c r="N6658">
        <f t="shared" si="622"/>
        <v>0</v>
      </c>
      <c r="O6658">
        <f t="shared" si="623"/>
        <v>0</v>
      </c>
      <c r="P6658">
        <f t="shared" si="620"/>
        <v>4400</v>
      </c>
      <c r="Q6658">
        <f t="shared" si="624"/>
        <v>4400</v>
      </c>
      <c r="T6658" s="16">
        <f t="shared" si="625"/>
        <v>-0.38478275585780541</v>
      </c>
    </row>
    <row r="6659" spans="7:20" ht="14.4" x14ac:dyDescent="0.25">
      <c r="G6659" s="10">
        <v>754</v>
      </c>
      <c r="H6659" s="9">
        <v>5408</v>
      </c>
      <c r="I6659" s="14">
        <f>DATE(2012,12,31)-164</f>
        <v>41110</v>
      </c>
      <c r="J6659" s="15" t="s">
        <v>25</v>
      </c>
      <c r="K6659" s="9">
        <v>11</v>
      </c>
      <c r="L6659" s="16" t="s">
        <v>29</v>
      </c>
      <c r="M6659" s="16">
        <f t="shared" si="621"/>
        <v>-1.0063207454307979</v>
      </c>
      <c r="N6659">
        <f t="shared" si="622"/>
        <v>0</v>
      </c>
      <c r="O6659">
        <f t="shared" si="623"/>
        <v>0</v>
      </c>
      <c r="P6659">
        <f t="shared" si="620"/>
        <v>3950</v>
      </c>
      <c r="Q6659">
        <f t="shared" si="624"/>
        <v>3950</v>
      </c>
      <c r="T6659" s="16">
        <f t="shared" si="625"/>
        <v>-1.0063207454307983</v>
      </c>
    </row>
    <row r="6660" spans="7:20" ht="14.4" x14ac:dyDescent="0.25">
      <c r="G6660" s="10">
        <v>763</v>
      </c>
      <c r="H6660" s="9">
        <v>5472</v>
      </c>
      <c r="I6660" s="14">
        <f>DATE(2012,12,31)-996</f>
        <v>40278</v>
      </c>
      <c r="J6660" s="15" t="s">
        <v>25</v>
      </c>
      <c r="K6660" s="9">
        <v>32</v>
      </c>
      <c r="L6660" s="16" t="s">
        <v>26</v>
      </c>
      <c r="M6660" s="16">
        <f t="shared" si="621"/>
        <v>0.44393456357285216</v>
      </c>
      <c r="N6660">
        <f t="shared" si="622"/>
        <v>0</v>
      </c>
      <c r="O6660">
        <f t="shared" si="623"/>
        <v>0</v>
      </c>
      <c r="P6660">
        <f t="shared" si="620"/>
        <v>5000</v>
      </c>
      <c r="Q6660">
        <f t="shared" si="624"/>
        <v>5000</v>
      </c>
      <c r="T6660" s="16">
        <f t="shared" si="625"/>
        <v>0.44393456357285183</v>
      </c>
    </row>
    <row r="6661" spans="7:20" ht="14.4" x14ac:dyDescent="0.25">
      <c r="G6661" s="10">
        <v>764</v>
      </c>
      <c r="H6661" s="9">
        <v>5472</v>
      </c>
      <c r="I6661" s="14">
        <f>DATE(2012,12,31)-996</f>
        <v>40278</v>
      </c>
      <c r="J6661" s="15" t="s">
        <v>25</v>
      </c>
      <c r="K6661" s="9">
        <v>27</v>
      </c>
      <c r="L6661" s="16" t="s">
        <v>26</v>
      </c>
      <c r="M6661" s="16">
        <f t="shared" si="621"/>
        <v>9.8635680476745008E-2</v>
      </c>
      <c r="N6661">
        <f t="shared" si="622"/>
        <v>0</v>
      </c>
      <c r="O6661">
        <f t="shared" si="623"/>
        <v>0</v>
      </c>
      <c r="P6661">
        <f t="shared" si="620"/>
        <v>4750</v>
      </c>
      <c r="Q6661">
        <f t="shared" si="624"/>
        <v>4750</v>
      </c>
      <c r="T6661" s="16">
        <f t="shared" si="625"/>
        <v>9.8635680476744619E-2</v>
      </c>
    </row>
    <row r="6662" spans="7:20" ht="14.4" x14ac:dyDescent="0.25">
      <c r="G6662" s="10">
        <v>765</v>
      </c>
      <c r="H6662" s="9">
        <v>5472</v>
      </c>
      <c r="I6662" s="14">
        <f>DATE(2012,12,31)-996</f>
        <v>40278</v>
      </c>
      <c r="J6662" s="15" t="s">
        <v>25</v>
      </c>
      <c r="K6662" s="9">
        <v>12</v>
      </c>
      <c r="L6662" s="16" t="s">
        <v>27</v>
      </c>
      <c r="M6662" s="16">
        <f t="shared" si="621"/>
        <v>-0.9372609688115765</v>
      </c>
      <c r="N6662">
        <f t="shared" si="622"/>
        <v>0</v>
      </c>
      <c r="O6662">
        <f t="shared" si="623"/>
        <v>0</v>
      </c>
      <c r="P6662">
        <f t="shared" si="620"/>
        <v>4000</v>
      </c>
      <c r="Q6662">
        <f t="shared" si="624"/>
        <v>4000</v>
      </c>
      <c r="T6662" s="16">
        <f t="shared" si="625"/>
        <v>-0.93726096881157694</v>
      </c>
    </row>
    <row r="6663" spans="7:20" ht="14.4" x14ac:dyDescent="0.25">
      <c r="G6663" s="10">
        <v>799</v>
      </c>
      <c r="H6663" s="9">
        <v>5702</v>
      </c>
      <c r="I6663" s="14">
        <f>DATE(2012,12,31)-847</f>
        <v>40427</v>
      </c>
      <c r="J6663" s="15" t="s">
        <v>28</v>
      </c>
      <c r="K6663" s="9">
        <v>20</v>
      </c>
      <c r="L6663" s="16" t="s">
        <v>27</v>
      </c>
      <c r="M6663" s="16">
        <f t="shared" si="621"/>
        <v>-0.38478275585780503</v>
      </c>
      <c r="N6663">
        <f t="shared" si="622"/>
        <v>0</v>
      </c>
      <c r="O6663">
        <f t="shared" si="623"/>
        <v>0</v>
      </c>
      <c r="P6663">
        <f t="shared" si="620"/>
        <v>4400</v>
      </c>
      <c r="Q6663">
        <f t="shared" si="624"/>
        <v>4400</v>
      </c>
      <c r="T6663" s="16">
        <f t="shared" si="625"/>
        <v>-0.38478275585780541</v>
      </c>
    </row>
    <row r="6664" spans="7:20" ht="14.4" x14ac:dyDescent="0.25">
      <c r="G6664" s="10">
        <v>827</v>
      </c>
      <c r="H6664" s="9">
        <v>5958</v>
      </c>
      <c r="I6664" s="14">
        <f>DATE(2012,12,31)-473</f>
        <v>40801</v>
      </c>
      <c r="J6664" s="15" t="s">
        <v>16</v>
      </c>
      <c r="K6664" s="9">
        <v>3</v>
      </c>
      <c r="L6664" s="16" t="s">
        <v>27</v>
      </c>
      <c r="M6664" s="16">
        <f t="shared" si="621"/>
        <v>-1.5587989583845694</v>
      </c>
      <c r="N6664">
        <f t="shared" si="622"/>
        <v>0</v>
      </c>
      <c r="O6664">
        <f t="shared" si="623"/>
        <v>0</v>
      </c>
      <c r="P6664">
        <f t="shared" si="620"/>
        <v>3550</v>
      </c>
      <c r="Q6664">
        <f t="shared" si="624"/>
        <v>3550</v>
      </c>
      <c r="T6664" s="16">
        <f t="shared" si="625"/>
        <v>-1.5587989583845698</v>
      </c>
    </row>
    <row r="6665" spans="7:20" ht="14.4" x14ac:dyDescent="0.25">
      <c r="G6665" s="10">
        <v>828</v>
      </c>
      <c r="H6665" s="9">
        <v>5958</v>
      </c>
      <c r="I6665" s="14">
        <f>DATE(2012,12,31)-473</f>
        <v>40801</v>
      </c>
      <c r="J6665" s="15" t="s">
        <v>16</v>
      </c>
      <c r="K6665" s="9">
        <v>21</v>
      </c>
      <c r="L6665" s="16" t="s">
        <v>29</v>
      </c>
      <c r="M6665" s="16">
        <f t="shared" si="621"/>
        <v>-0.31572297923858361</v>
      </c>
      <c r="N6665">
        <f t="shared" si="622"/>
        <v>0</v>
      </c>
      <c r="O6665">
        <f t="shared" si="623"/>
        <v>0</v>
      </c>
      <c r="P6665">
        <f t="shared" si="620"/>
        <v>4450</v>
      </c>
      <c r="Q6665">
        <f t="shared" si="624"/>
        <v>4450</v>
      </c>
      <c r="T6665" s="16">
        <f t="shared" si="625"/>
        <v>-0.315722979238584</v>
      </c>
    </row>
    <row r="6666" spans="7:20" ht="14.4" x14ac:dyDescent="0.25">
      <c r="G6666" s="10">
        <v>829</v>
      </c>
      <c r="H6666" s="9">
        <v>5984</v>
      </c>
      <c r="I6666" s="14">
        <f>DATE(2012,12,31)-1293</f>
        <v>39981</v>
      </c>
      <c r="J6666" s="15" t="s">
        <v>25</v>
      </c>
      <c r="K6666" s="9">
        <v>37</v>
      </c>
      <c r="L6666" s="16" t="s">
        <v>26</v>
      </c>
      <c r="M6666" s="16">
        <f t="shared" si="621"/>
        <v>0.78923344666895934</v>
      </c>
      <c r="N6666">
        <f t="shared" si="622"/>
        <v>0</v>
      </c>
      <c r="O6666">
        <f t="shared" si="623"/>
        <v>0</v>
      </c>
      <c r="P6666">
        <f t="shared" si="620"/>
        <v>5250</v>
      </c>
      <c r="Q6666">
        <f t="shared" si="624"/>
        <v>5250</v>
      </c>
      <c r="T6666" s="16">
        <f t="shared" si="625"/>
        <v>0.789233446668959</v>
      </c>
    </row>
    <row r="6667" spans="7:20" ht="14.4" x14ac:dyDescent="0.25">
      <c r="G6667" s="10">
        <v>830</v>
      </c>
      <c r="H6667" s="9">
        <v>5984</v>
      </c>
      <c r="I6667" s="14">
        <f>DATE(2012,12,31)-1293</f>
        <v>39981</v>
      </c>
      <c r="J6667" s="15" t="s">
        <v>25</v>
      </c>
      <c r="K6667" s="9">
        <v>42</v>
      </c>
      <c r="L6667" s="16" t="s">
        <v>29</v>
      </c>
      <c r="M6667" s="16">
        <f t="shared" si="621"/>
        <v>1.1345323297650665</v>
      </c>
      <c r="N6667">
        <f t="shared" si="622"/>
        <v>0</v>
      </c>
      <c r="O6667">
        <f t="shared" si="623"/>
        <v>0</v>
      </c>
      <c r="P6667">
        <f t="shared" si="620"/>
        <v>5500</v>
      </c>
      <c r="Q6667">
        <f t="shared" si="624"/>
        <v>5500</v>
      </c>
      <c r="T6667" s="16">
        <f t="shared" si="625"/>
        <v>1.1345323297650662</v>
      </c>
    </row>
    <row r="6668" spans="7:20" ht="14.4" x14ac:dyDescent="0.25">
      <c r="G6668" s="10">
        <v>831</v>
      </c>
      <c r="H6668" s="9">
        <v>5984</v>
      </c>
      <c r="I6668" s="14">
        <f>DATE(2012,12,31)-1293</f>
        <v>39981</v>
      </c>
      <c r="J6668" s="15" t="s">
        <v>25</v>
      </c>
      <c r="K6668" s="9">
        <v>11</v>
      </c>
      <c r="L6668" s="16" t="s">
        <v>29</v>
      </c>
      <c r="M6668" s="16">
        <f t="shared" si="621"/>
        <v>-1.0063207454307979</v>
      </c>
      <c r="N6668">
        <f t="shared" si="622"/>
        <v>0</v>
      </c>
      <c r="O6668">
        <f t="shared" si="623"/>
        <v>0</v>
      </c>
      <c r="P6668">
        <f t="shared" ref="P6668:P6731" si="626">50*K6668+$P$10</f>
        <v>3950</v>
      </c>
      <c r="Q6668">
        <f t="shared" si="624"/>
        <v>3950</v>
      </c>
      <c r="T6668" s="16">
        <f t="shared" si="625"/>
        <v>-1.0063207454307983</v>
      </c>
    </row>
    <row r="6669" spans="7:20" ht="14.4" x14ac:dyDescent="0.25">
      <c r="G6669" s="10">
        <v>836</v>
      </c>
      <c r="H6669" s="9">
        <v>5989</v>
      </c>
      <c r="I6669" s="14">
        <f>DATE(2012,12,31)-444</f>
        <v>40830</v>
      </c>
      <c r="J6669" s="15" t="s">
        <v>16</v>
      </c>
      <c r="K6669" s="9">
        <v>6</v>
      </c>
      <c r="L6669" s="16" t="s">
        <v>26</v>
      </c>
      <c r="M6669" s="16">
        <f t="shared" ref="M6669:M6732" si="627">(K6669-$K$4)/$K$7</f>
        <v>-1.3516196285269051</v>
      </c>
      <c r="N6669">
        <f t="shared" ref="N6669:N6732" si="628">IF(MOD($B$20+G6669,1000)=0,1,0)</f>
        <v>0</v>
      </c>
      <c r="O6669">
        <f t="shared" ref="O6669:O6732" si="629">+ROUND(N6669*(IF(K6669&lt;$K$4,-4.5,10.5)*$P$5),-2)</f>
        <v>0</v>
      </c>
      <c r="P6669">
        <f t="shared" si="626"/>
        <v>3700</v>
      </c>
      <c r="Q6669">
        <f t="shared" ref="Q6669:Q6732" si="630">P6669+O6669</f>
        <v>3700</v>
      </c>
      <c r="T6669" s="16">
        <f t="shared" ref="T6669:T6732" si="631">(Q6669-$P$4)/$P$5</f>
        <v>-1.3516196285269055</v>
      </c>
    </row>
    <row r="6670" spans="7:20" ht="14.4" x14ac:dyDescent="0.25">
      <c r="G6670" s="10">
        <v>837</v>
      </c>
      <c r="H6670" s="9">
        <v>5989</v>
      </c>
      <c r="I6670" s="14">
        <f>DATE(2012,12,31)-444</f>
        <v>40830</v>
      </c>
      <c r="J6670" s="15" t="s">
        <v>16</v>
      </c>
      <c r="K6670" s="9">
        <v>21</v>
      </c>
      <c r="L6670" s="16" t="s">
        <v>26</v>
      </c>
      <c r="M6670" s="16">
        <f t="shared" si="627"/>
        <v>-0.31572297923858361</v>
      </c>
      <c r="N6670">
        <f t="shared" si="628"/>
        <v>0</v>
      </c>
      <c r="O6670">
        <f t="shared" si="629"/>
        <v>0</v>
      </c>
      <c r="P6670">
        <f t="shared" si="626"/>
        <v>4450</v>
      </c>
      <c r="Q6670">
        <f t="shared" si="630"/>
        <v>4450</v>
      </c>
      <c r="T6670" s="16">
        <f t="shared" si="631"/>
        <v>-0.315722979238584</v>
      </c>
    </row>
    <row r="6671" spans="7:20" ht="14.4" x14ac:dyDescent="0.25">
      <c r="G6671" s="10">
        <v>838</v>
      </c>
      <c r="H6671" s="9">
        <v>5990</v>
      </c>
      <c r="I6671" s="14">
        <f>DATE(2012,12,31)-999</f>
        <v>40275</v>
      </c>
      <c r="J6671" s="15" t="s">
        <v>30</v>
      </c>
      <c r="K6671" s="9">
        <v>9</v>
      </c>
      <c r="L6671" s="16" t="s">
        <v>26</v>
      </c>
      <c r="M6671" s="16">
        <f t="shared" si="627"/>
        <v>-1.1444402986692408</v>
      </c>
      <c r="N6671">
        <f t="shared" si="628"/>
        <v>0</v>
      </c>
      <c r="O6671">
        <f t="shared" si="629"/>
        <v>0</v>
      </c>
      <c r="P6671">
        <f t="shared" si="626"/>
        <v>3850</v>
      </c>
      <c r="Q6671">
        <f t="shared" si="630"/>
        <v>3850</v>
      </c>
      <c r="T6671" s="16">
        <f t="shared" si="631"/>
        <v>-1.1444402986692412</v>
      </c>
    </row>
    <row r="6672" spans="7:20" ht="14.4" x14ac:dyDescent="0.25">
      <c r="G6672" s="10">
        <v>846</v>
      </c>
      <c r="H6672" s="9">
        <v>6054</v>
      </c>
      <c r="I6672" s="14">
        <f>DATE(2012,12,31)-480</f>
        <v>40794</v>
      </c>
      <c r="J6672" s="15" t="s">
        <v>25</v>
      </c>
      <c r="K6672" s="9">
        <v>6</v>
      </c>
      <c r="L6672" s="16" t="s">
        <v>29</v>
      </c>
      <c r="M6672" s="16">
        <f t="shared" si="627"/>
        <v>-1.3516196285269051</v>
      </c>
      <c r="N6672">
        <f t="shared" si="628"/>
        <v>0</v>
      </c>
      <c r="O6672">
        <f t="shared" si="629"/>
        <v>0</v>
      </c>
      <c r="P6672">
        <f t="shared" si="626"/>
        <v>3700</v>
      </c>
      <c r="Q6672">
        <f t="shared" si="630"/>
        <v>3700</v>
      </c>
      <c r="T6672" s="16">
        <f t="shared" si="631"/>
        <v>-1.3516196285269055</v>
      </c>
    </row>
    <row r="6673" spans="7:20" ht="14.4" x14ac:dyDescent="0.25">
      <c r="G6673" s="10">
        <v>847</v>
      </c>
      <c r="H6673" s="9">
        <v>6054</v>
      </c>
      <c r="I6673" s="14">
        <f>DATE(2012,12,31)-480</f>
        <v>40794</v>
      </c>
      <c r="J6673" s="15" t="s">
        <v>25</v>
      </c>
      <c r="K6673" s="9">
        <v>43</v>
      </c>
      <c r="L6673" s="16" t="s">
        <v>26</v>
      </c>
      <c r="M6673" s="16">
        <f t="shared" si="627"/>
        <v>1.203592106384288</v>
      </c>
      <c r="N6673">
        <f t="shared" si="628"/>
        <v>0</v>
      </c>
      <c r="O6673">
        <f t="shared" si="629"/>
        <v>0</v>
      </c>
      <c r="P6673">
        <f t="shared" si="626"/>
        <v>5550</v>
      </c>
      <c r="Q6673">
        <f t="shared" si="630"/>
        <v>5550</v>
      </c>
      <c r="T6673" s="16">
        <f t="shared" si="631"/>
        <v>1.2035921063842876</v>
      </c>
    </row>
    <row r="6674" spans="7:20" ht="14.4" x14ac:dyDescent="0.25">
      <c r="G6674" s="10">
        <v>909</v>
      </c>
      <c r="H6674" s="9">
        <v>6531</v>
      </c>
      <c r="I6674" s="14">
        <f>DATE(2012,12,31)-898</f>
        <v>40376</v>
      </c>
      <c r="J6674" s="15" t="s">
        <v>17</v>
      </c>
      <c r="K6674" s="9">
        <v>42</v>
      </c>
      <c r="L6674" s="16" t="s">
        <v>26</v>
      </c>
      <c r="M6674" s="16">
        <f t="shared" si="627"/>
        <v>1.1345323297650665</v>
      </c>
      <c r="N6674">
        <f t="shared" si="628"/>
        <v>0</v>
      </c>
      <c r="O6674">
        <f t="shared" si="629"/>
        <v>0</v>
      </c>
      <c r="P6674">
        <f t="shared" si="626"/>
        <v>5500</v>
      </c>
      <c r="Q6674">
        <f t="shared" si="630"/>
        <v>5500</v>
      </c>
      <c r="T6674" s="16">
        <f t="shared" si="631"/>
        <v>1.1345323297650662</v>
      </c>
    </row>
    <row r="6675" spans="7:20" ht="14.4" x14ac:dyDescent="0.25">
      <c r="G6675" s="10">
        <v>910</v>
      </c>
      <c r="H6675" s="9">
        <v>6531</v>
      </c>
      <c r="I6675" s="14">
        <f>DATE(2012,12,31)-898</f>
        <v>40376</v>
      </c>
      <c r="J6675" s="15" t="s">
        <v>17</v>
      </c>
      <c r="K6675" s="9">
        <v>28</v>
      </c>
      <c r="L6675" s="16" t="s">
        <v>26</v>
      </c>
      <c r="M6675" s="16">
        <f t="shared" si="627"/>
        <v>0.16769545709596645</v>
      </c>
      <c r="N6675">
        <f t="shared" si="628"/>
        <v>0</v>
      </c>
      <c r="O6675">
        <f t="shared" si="629"/>
        <v>0</v>
      </c>
      <c r="P6675">
        <f t="shared" si="626"/>
        <v>4800</v>
      </c>
      <c r="Q6675">
        <f t="shared" si="630"/>
        <v>4800</v>
      </c>
      <c r="T6675" s="16">
        <f t="shared" si="631"/>
        <v>0.16769545709596606</v>
      </c>
    </row>
    <row r="6676" spans="7:20" ht="14.4" x14ac:dyDescent="0.25">
      <c r="G6676" s="10">
        <v>915</v>
      </c>
      <c r="H6676" s="9">
        <v>6564</v>
      </c>
      <c r="I6676" s="14">
        <f>DATE(2012,12,31)-710</f>
        <v>40564</v>
      </c>
      <c r="J6676" s="15" t="s">
        <v>25</v>
      </c>
      <c r="K6676" s="9">
        <v>26</v>
      </c>
      <c r="L6676" s="16" t="s">
        <v>27</v>
      </c>
      <c r="M6676" s="16">
        <f t="shared" si="627"/>
        <v>2.9575903857523567E-2</v>
      </c>
      <c r="N6676">
        <f t="shared" si="628"/>
        <v>0</v>
      </c>
      <c r="O6676">
        <f t="shared" si="629"/>
        <v>0</v>
      </c>
      <c r="P6676">
        <f t="shared" si="626"/>
        <v>4700</v>
      </c>
      <c r="Q6676">
        <f t="shared" si="630"/>
        <v>4700</v>
      </c>
      <c r="T6676" s="16">
        <f t="shared" si="631"/>
        <v>2.9575903857523185E-2</v>
      </c>
    </row>
    <row r="6677" spans="7:20" ht="14.4" x14ac:dyDescent="0.25">
      <c r="G6677" s="10">
        <v>916</v>
      </c>
      <c r="H6677" s="9">
        <v>6566</v>
      </c>
      <c r="I6677" s="14">
        <f>DATE(2012,12,31)-590</f>
        <v>40684</v>
      </c>
      <c r="J6677" s="15" t="s">
        <v>30</v>
      </c>
      <c r="K6677" s="9">
        <v>21</v>
      </c>
      <c r="L6677" s="16" t="s">
        <v>27</v>
      </c>
      <c r="M6677" s="16">
        <f t="shared" si="627"/>
        <v>-0.31572297923858361</v>
      </c>
      <c r="N6677">
        <f t="shared" si="628"/>
        <v>0</v>
      </c>
      <c r="O6677">
        <f t="shared" si="629"/>
        <v>0</v>
      </c>
      <c r="P6677">
        <f t="shared" si="626"/>
        <v>4450</v>
      </c>
      <c r="Q6677">
        <f t="shared" si="630"/>
        <v>4450</v>
      </c>
      <c r="T6677" s="16">
        <f t="shared" si="631"/>
        <v>-0.315722979238584</v>
      </c>
    </row>
    <row r="6678" spans="7:20" ht="14.4" x14ac:dyDescent="0.25">
      <c r="G6678" s="10">
        <v>925</v>
      </c>
      <c r="H6678" s="9">
        <v>6693</v>
      </c>
      <c r="I6678" s="14">
        <f>DATE(2012,12,31)-221</f>
        <v>41053</v>
      </c>
      <c r="J6678" s="15" t="s">
        <v>30</v>
      </c>
      <c r="K6678" s="9">
        <v>16</v>
      </c>
      <c r="L6678" s="16" t="s">
        <v>26</v>
      </c>
      <c r="M6678" s="16">
        <f t="shared" si="627"/>
        <v>-0.66102186233469074</v>
      </c>
      <c r="N6678">
        <f t="shared" si="628"/>
        <v>0</v>
      </c>
      <c r="O6678">
        <f t="shared" si="629"/>
        <v>0</v>
      </c>
      <c r="P6678">
        <f t="shared" si="626"/>
        <v>4200</v>
      </c>
      <c r="Q6678">
        <f t="shared" si="630"/>
        <v>4200</v>
      </c>
      <c r="T6678" s="16">
        <f t="shared" si="631"/>
        <v>-0.66102186233469118</v>
      </c>
    </row>
    <row r="6679" spans="7:20" ht="14.4" x14ac:dyDescent="0.25">
      <c r="G6679" s="10">
        <v>931</v>
      </c>
      <c r="H6679" s="9">
        <v>6753</v>
      </c>
      <c r="I6679" s="14">
        <f>DATE(2012,12,31)-827</f>
        <v>40447</v>
      </c>
      <c r="J6679" s="15" t="s">
        <v>25</v>
      </c>
      <c r="K6679" s="9">
        <v>7</v>
      </c>
      <c r="L6679" s="16" t="s">
        <v>29</v>
      </c>
      <c r="M6679" s="16">
        <f t="shared" si="627"/>
        <v>-1.2825598519076837</v>
      </c>
      <c r="N6679">
        <f t="shared" si="628"/>
        <v>0</v>
      </c>
      <c r="O6679">
        <f t="shared" si="629"/>
        <v>0</v>
      </c>
      <c r="P6679">
        <f t="shared" si="626"/>
        <v>3750</v>
      </c>
      <c r="Q6679">
        <f t="shared" si="630"/>
        <v>3750</v>
      </c>
      <c r="T6679" s="16">
        <f t="shared" si="631"/>
        <v>-1.2825598519076842</v>
      </c>
    </row>
    <row r="6680" spans="7:20" ht="14.4" x14ac:dyDescent="0.25">
      <c r="G6680" s="10">
        <v>937</v>
      </c>
      <c r="H6680" s="9">
        <v>6788</v>
      </c>
      <c r="I6680" s="14">
        <f>DATE(2012,12,31)-515</f>
        <v>40759</v>
      </c>
      <c r="J6680" s="15" t="s">
        <v>28</v>
      </c>
      <c r="K6680" s="9">
        <v>41</v>
      </c>
      <c r="L6680" s="16" t="s">
        <v>26</v>
      </c>
      <c r="M6680" s="16">
        <f t="shared" si="627"/>
        <v>1.0654725531458451</v>
      </c>
      <c r="N6680">
        <f t="shared" si="628"/>
        <v>0</v>
      </c>
      <c r="O6680">
        <f t="shared" si="629"/>
        <v>0</v>
      </c>
      <c r="P6680">
        <f t="shared" si="626"/>
        <v>5450</v>
      </c>
      <c r="Q6680">
        <f t="shared" si="630"/>
        <v>5450</v>
      </c>
      <c r="T6680" s="16">
        <f t="shared" si="631"/>
        <v>1.0654725531458447</v>
      </c>
    </row>
    <row r="6681" spans="7:20" ht="14.4" x14ac:dyDescent="0.25">
      <c r="G6681" s="10">
        <v>938</v>
      </c>
      <c r="H6681" s="9">
        <v>6788</v>
      </c>
      <c r="I6681" s="14">
        <f>DATE(2012,12,31)-515</f>
        <v>40759</v>
      </c>
      <c r="J6681" s="15" t="s">
        <v>28</v>
      </c>
      <c r="K6681" s="9">
        <v>6</v>
      </c>
      <c r="L6681" s="16" t="s">
        <v>26</v>
      </c>
      <c r="M6681" s="16">
        <f t="shared" si="627"/>
        <v>-1.3516196285269051</v>
      </c>
      <c r="N6681">
        <f t="shared" si="628"/>
        <v>0</v>
      </c>
      <c r="O6681">
        <f t="shared" si="629"/>
        <v>0</v>
      </c>
      <c r="P6681">
        <f t="shared" si="626"/>
        <v>3700</v>
      </c>
      <c r="Q6681">
        <f t="shared" si="630"/>
        <v>3700</v>
      </c>
      <c r="T6681" s="16">
        <f t="shared" si="631"/>
        <v>-1.3516196285269055</v>
      </c>
    </row>
    <row r="6682" spans="7:20" ht="14.4" x14ac:dyDescent="0.25">
      <c r="G6682" s="10">
        <v>949</v>
      </c>
      <c r="H6682" s="9">
        <v>6880</v>
      </c>
      <c r="I6682" s="14">
        <f>DATE(2012,12,31)-1316</f>
        <v>39958</v>
      </c>
      <c r="J6682" s="15" t="s">
        <v>16</v>
      </c>
      <c r="K6682" s="9">
        <v>5</v>
      </c>
      <c r="L6682" s="16" t="s">
        <v>26</v>
      </c>
      <c r="M6682" s="16">
        <f t="shared" si="627"/>
        <v>-1.4206794051461267</v>
      </c>
      <c r="N6682">
        <f t="shared" si="628"/>
        <v>0</v>
      </c>
      <c r="O6682">
        <f t="shared" si="629"/>
        <v>0</v>
      </c>
      <c r="P6682">
        <f t="shared" si="626"/>
        <v>3650</v>
      </c>
      <c r="Q6682">
        <f t="shared" si="630"/>
        <v>3650</v>
      </c>
      <c r="T6682" s="16">
        <f t="shared" si="631"/>
        <v>-1.4206794051461269</v>
      </c>
    </row>
    <row r="6683" spans="7:20" ht="14.4" x14ac:dyDescent="0.25">
      <c r="G6683" s="10">
        <v>954</v>
      </c>
      <c r="H6683" s="9">
        <v>6886</v>
      </c>
      <c r="I6683" s="14">
        <f>DATE(2012,12,31)-347</f>
        <v>40927</v>
      </c>
      <c r="J6683" s="15" t="s">
        <v>17</v>
      </c>
      <c r="K6683" s="9">
        <v>46</v>
      </c>
      <c r="L6683" s="16" t="s">
        <v>26</v>
      </c>
      <c r="M6683" s="16">
        <f t="shared" si="627"/>
        <v>1.4107714362419523</v>
      </c>
      <c r="N6683">
        <f t="shared" si="628"/>
        <v>0</v>
      </c>
      <c r="O6683">
        <f t="shared" si="629"/>
        <v>0</v>
      </c>
      <c r="P6683">
        <f t="shared" si="626"/>
        <v>5700</v>
      </c>
      <c r="Q6683">
        <f t="shared" si="630"/>
        <v>5700</v>
      </c>
      <c r="T6683" s="16">
        <f t="shared" si="631"/>
        <v>1.4107714362419519</v>
      </c>
    </row>
    <row r="6684" spans="7:20" ht="14.4" x14ac:dyDescent="0.25">
      <c r="G6684" s="10">
        <v>969</v>
      </c>
      <c r="H6684" s="9">
        <v>7042</v>
      </c>
      <c r="I6684" s="14">
        <f>DATE(2012,12,31)-358</f>
        <v>40916</v>
      </c>
      <c r="J6684" s="15" t="s">
        <v>16</v>
      </c>
      <c r="K6684" s="9">
        <v>4</v>
      </c>
      <c r="L6684" s="16" t="s">
        <v>29</v>
      </c>
      <c r="M6684" s="16">
        <f t="shared" si="627"/>
        <v>-1.489739181765348</v>
      </c>
      <c r="N6684">
        <f t="shared" si="628"/>
        <v>0</v>
      </c>
      <c r="O6684">
        <f t="shared" si="629"/>
        <v>0</v>
      </c>
      <c r="P6684">
        <f t="shared" si="626"/>
        <v>3600</v>
      </c>
      <c r="Q6684">
        <f t="shared" si="630"/>
        <v>3600</v>
      </c>
      <c r="T6684" s="16">
        <f t="shared" si="631"/>
        <v>-1.4897391817653485</v>
      </c>
    </row>
    <row r="6685" spans="7:20" ht="14.4" x14ac:dyDescent="0.25">
      <c r="G6685" s="10">
        <v>970</v>
      </c>
      <c r="H6685" s="9">
        <v>7043</v>
      </c>
      <c r="I6685" s="14">
        <f>DATE(2012,12,31)-1436</f>
        <v>39838</v>
      </c>
      <c r="J6685" s="15" t="s">
        <v>30</v>
      </c>
      <c r="K6685" s="9">
        <v>4</v>
      </c>
      <c r="L6685" s="16" t="s">
        <v>29</v>
      </c>
      <c r="M6685" s="16">
        <f t="shared" si="627"/>
        <v>-1.489739181765348</v>
      </c>
      <c r="N6685">
        <f t="shared" si="628"/>
        <v>0</v>
      </c>
      <c r="O6685">
        <f t="shared" si="629"/>
        <v>0</v>
      </c>
      <c r="P6685">
        <f t="shared" si="626"/>
        <v>3600</v>
      </c>
      <c r="Q6685">
        <f t="shared" si="630"/>
        <v>3600</v>
      </c>
      <c r="T6685" s="16">
        <f t="shared" si="631"/>
        <v>-1.4897391817653485</v>
      </c>
    </row>
    <row r="6686" spans="7:20" ht="14.4" x14ac:dyDescent="0.25">
      <c r="G6686" s="10">
        <v>996</v>
      </c>
      <c r="H6686" s="9">
        <v>7174</v>
      </c>
      <c r="I6686" s="14">
        <f>DATE(2012,12,31)-296</f>
        <v>40978</v>
      </c>
      <c r="J6686" s="15" t="s">
        <v>28</v>
      </c>
      <c r="K6686" s="9">
        <v>10</v>
      </c>
      <c r="L6686" s="16" t="s">
        <v>29</v>
      </c>
      <c r="M6686" s="16">
        <f t="shared" si="627"/>
        <v>-1.0753805220500194</v>
      </c>
      <c r="N6686">
        <f t="shared" si="628"/>
        <v>0</v>
      </c>
      <c r="O6686">
        <f t="shared" si="629"/>
        <v>0</v>
      </c>
      <c r="P6686">
        <f t="shared" si="626"/>
        <v>3900</v>
      </c>
      <c r="Q6686">
        <f t="shared" si="630"/>
        <v>3900</v>
      </c>
      <c r="T6686" s="16">
        <f t="shared" si="631"/>
        <v>-1.0753805220500199</v>
      </c>
    </row>
    <row r="6687" spans="7:20" ht="14.4" x14ac:dyDescent="0.25">
      <c r="G6687" s="10">
        <v>1023</v>
      </c>
      <c r="H6687" s="9">
        <v>7458</v>
      </c>
      <c r="I6687" s="14">
        <f>DATE(2012,12,31)-271</f>
        <v>41003</v>
      </c>
      <c r="J6687" s="15" t="s">
        <v>30</v>
      </c>
      <c r="K6687" s="9">
        <v>9</v>
      </c>
      <c r="L6687" s="16" t="s">
        <v>27</v>
      </c>
      <c r="M6687" s="16">
        <f t="shared" si="627"/>
        <v>-1.1444402986692408</v>
      </c>
      <c r="N6687">
        <f t="shared" si="628"/>
        <v>0</v>
      </c>
      <c r="O6687">
        <f t="shared" si="629"/>
        <v>0</v>
      </c>
      <c r="P6687">
        <f t="shared" si="626"/>
        <v>3850</v>
      </c>
      <c r="Q6687">
        <f t="shared" si="630"/>
        <v>3850</v>
      </c>
      <c r="T6687" s="16">
        <f t="shared" si="631"/>
        <v>-1.1444402986692412</v>
      </c>
    </row>
    <row r="6688" spans="7:20" ht="14.4" x14ac:dyDescent="0.25">
      <c r="G6688" s="10">
        <v>1056</v>
      </c>
      <c r="H6688" s="9">
        <v>7812</v>
      </c>
      <c r="I6688" s="14">
        <f>DATE(2012,12,31)-621</f>
        <v>40653</v>
      </c>
      <c r="J6688" s="15" t="s">
        <v>25</v>
      </c>
      <c r="K6688" s="9">
        <v>17</v>
      </c>
      <c r="L6688" s="16" t="s">
        <v>29</v>
      </c>
      <c r="M6688" s="16">
        <f t="shared" si="627"/>
        <v>-0.59196208571546938</v>
      </c>
      <c r="N6688">
        <f t="shared" si="628"/>
        <v>0</v>
      </c>
      <c r="O6688">
        <f t="shared" si="629"/>
        <v>0</v>
      </c>
      <c r="P6688">
        <f t="shared" si="626"/>
        <v>4250</v>
      </c>
      <c r="Q6688">
        <f t="shared" si="630"/>
        <v>4250</v>
      </c>
      <c r="T6688" s="16">
        <f t="shared" si="631"/>
        <v>-0.59196208571546971</v>
      </c>
    </row>
    <row r="6689" spans="7:20" ht="14.4" x14ac:dyDescent="0.25">
      <c r="G6689" s="10">
        <v>1057</v>
      </c>
      <c r="H6689" s="9">
        <v>7812</v>
      </c>
      <c r="I6689" s="14">
        <f>DATE(2012,12,31)-621</f>
        <v>40653</v>
      </c>
      <c r="J6689" s="15" t="s">
        <v>25</v>
      </c>
      <c r="K6689" s="9">
        <v>12</v>
      </c>
      <c r="L6689" s="16" t="s">
        <v>29</v>
      </c>
      <c r="M6689" s="16">
        <f t="shared" si="627"/>
        <v>-0.9372609688115765</v>
      </c>
      <c r="N6689">
        <f t="shared" si="628"/>
        <v>0</v>
      </c>
      <c r="O6689">
        <f t="shared" si="629"/>
        <v>0</v>
      </c>
      <c r="P6689">
        <f t="shared" si="626"/>
        <v>4000</v>
      </c>
      <c r="Q6689">
        <f t="shared" si="630"/>
        <v>4000</v>
      </c>
      <c r="T6689" s="16">
        <f t="shared" si="631"/>
        <v>-0.93726096881157694</v>
      </c>
    </row>
    <row r="6690" spans="7:20" ht="14.4" x14ac:dyDescent="0.25">
      <c r="G6690" s="10">
        <v>1059</v>
      </c>
      <c r="H6690" s="9">
        <v>7840</v>
      </c>
      <c r="I6690" s="14">
        <f>DATE(2012,12,31)-723</f>
        <v>40551</v>
      </c>
      <c r="J6690" s="15" t="s">
        <v>25</v>
      </c>
      <c r="K6690" s="9">
        <v>34</v>
      </c>
      <c r="L6690" s="16" t="s">
        <v>27</v>
      </c>
      <c r="M6690" s="16">
        <f t="shared" si="627"/>
        <v>0.58205411681129504</v>
      </c>
      <c r="N6690">
        <f t="shared" si="628"/>
        <v>0</v>
      </c>
      <c r="O6690">
        <f t="shared" si="629"/>
        <v>0</v>
      </c>
      <c r="P6690">
        <f t="shared" si="626"/>
        <v>5100</v>
      </c>
      <c r="Q6690">
        <f t="shared" si="630"/>
        <v>5100</v>
      </c>
      <c r="T6690" s="16">
        <f t="shared" si="631"/>
        <v>0.58205411681129471</v>
      </c>
    </row>
    <row r="6691" spans="7:20" ht="14.4" x14ac:dyDescent="0.25">
      <c r="G6691" s="10">
        <v>1081</v>
      </c>
      <c r="H6691" s="9">
        <v>7938</v>
      </c>
      <c r="I6691" s="14">
        <f>DATE(2012,12,31)-1024</f>
        <v>40250</v>
      </c>
      <c r="J6691" s="15" t="s">
        <v>16</v>
      </c>
      <c r="K6691" s="9">
        <v>16</v>
      </c>
      <c r="L6691" s="16" t="s">
        <v>29</v>
      </c>
      <c r="M6691" s="16">
        <f t="shared" si="627"/>
        <v>-0.66102186233469074</v>
      </c>
      <c r="N6691">
        <f t="shared" si="628"/>
        <v>0</v>
      </c>
      <c r="O6691">
        <f t="shared" si="629"/>
        <v>0</v>
      </c>
      <c r="P6691">
        <f t="shared" si="626"/>
        <v>4200</v>
      </c>
      <c r="Q6691">
        <f t="shared" si="630"/>
        <v>4200</v>
      </c>
      <c r="T6691" s="16">
        <f t="shared" si="631"/>
        <v>-0.66102186233469118</v>
      </c>
    </row>
    <row r="6692" spans="7:20" ht="14.4" x14ac:dyDescent="0.25">
      <c r="G6692" s="10">
        <v>1086</v>
      </c>
      <c r="H6692" s="9">
        <v>8001</v>
      </c>
      <c r="I6692" s="14">
        <f>DATE(2012,12,31)-773</f>
        <v>40501</v>
      </c>
      <c r="J6692" s="15" t="s">
        <v>17</v>
      </c>
      <c r="K6692" s="9">
        <v>15</v>
      </c>
      <c r="L6692" s="16" t="s">
        <v>26</v>
      </c>
      <c r="M6692" s="16">
        <f t="shared" si="627"/>
        <v>-0.7300816389539122</v>
      </c>
      <c r="N6692">
        <f t="shared" si="628"/>
        <v>0</v>
      </c>
      <c r="O6692">
        <f t="shared" si="629"/>
        <v>0</v>
      </c>
      <c r="P6692">
        <f t="shared" si="626"/>
        <v>4150</v>
      </c>
      <c r="Q6692">
        <f t="shared" si="630"/>
        <v>4150</v>
      </c>
      <c r="T6692" s="16">
        <f t="shared" si="631"/>
        <v>-0.73008163895391265</v>
      </c>
    </row>
    <row r="6693" spans="7:20" ht="14.4" x14ac:dyDescent="0.25">
      <c r="G6693" s="10">
        <v>1087</v>
      </c>
      <c r="H6693" s="9">
        <v>8001</v>
      </c>
      <c r="I6693" s="14">
        <f>DATE(2012,12,31)-773</f>
        <v>40501</v>
      </c>
      <c r="J6693" s="15" t="s">
        <v>17</v>
      </c>
      <c r="K6693" s="9">
        <v>47</v>
      </c>
      <c r="L6693" s="16" t="s">
        <v>26</v>
      </c>
      <c r="M6693" s="16">
        <f t="shared" si="627"/>
        <v>1.4798312128611737</v>
      </c>
      <c r="N6693">
        <f t="shared" si="628"/>
        <v>0</v>
      </c>
      <c r="O6693">
        <f t="shared" si="629"/>
        <v>0</v>
      </c>
      <c r="P6693">
        <f t="shared" si="626"/>
        <v>5750</v>
      </c>
      <c r="Q6693">
        <f t="shared" si="630"/>
        <v>5750</v>
      </c>
      <c r="T6693" s="16">
        <f t="shared" si="631"/>
        <v>1.4798312128611733</v>
      </c>
    </row>
    <row r="6694" spans="7:20" ht="14.4" x14ac:dyDescent="0.25">
      <c r="G6694" s="10">
        <v>1102</v>
      </c>
      <c r="H6694" s="9">
        <v>8101</v>
      </c>
      <c r="I6694" s="14">
        <f>DATE(2012,12,31)-1033</f>
        <v>40241</v>
      </c>
      <c r="J6694" s="15" t="s">
        <v>16</v>
      </c>
      <c r="K6694" s="9">
        <v>35</v>
      </c>
      <c r="L6694" s="16" t="s">
        <v>29</v>
      </c>
      <c r="M6694" s="16">
        <f t="shared" si="627"/>
        <v>0.65111389343051651</v>
      </c>
      <c r="N6694">
        <f t="shared" si="628"/>
        <v>0</v>
      </c>
      <c r="O6694">
        <f t="shared" si="629"/>
        <v>0</v>
      </c>
      <c r="P6694">
        <f t="shared" si="626"/>
        <v>5150</v>
      </c>
      <c r="Q6694">
        <f t="shared" si="630"/>
        <v>5150</v>
      </c>
      <c r="T6694" s="16">
        <f t="shared" si="631"/>
        <v>0.65111389343051607</v>
      </c>
    </row>
    <row r="6695" spans="7:20" ht="14.4" x14ac:dyDescent="0.25">
      <c r="G6695" s="10">
        <v>1103</v>
      </c>
      <c r="H6695" s="9">
        <v>8101</v>
      </c>
      <c r="I6695" s="14">
        <f>DATE(2012,12,31)-1033</f>
        <v>40241</v>
      </c>
      <c r="J6695" s="15" t="s">
        <v>16</v>
      </c>
      <c r="K6695" s="9">
        <v>15</v>
      </c>
      <c r="L6695" s="16" t="s">
        <v>26</v>
      </c>
      <c r="M6695" s="16">
        <f t="shared" si="627"/>
        <v>-0.7300816389539122</v>
      </c>
      <c r="N6695">
        <f t="shared" si="628"/>
        <v>0</v>
      </c>
      <c r="O6695">
        <f t="shared" si="629"/>
        <v>0</v>
      </c>
      <c r="P6695">
        <f t="shared" si="626"/>
        <v>4150</v>
      </c>
      <c r="Q6695">
        <f t="shared" si="630"/>
        <v>4150</v>
      </c>
      <c r="T6695" s="16">
        <f t="shared" si="631"/>
        <v>-0.73008163895391265</v>
      </c>
    </row>
    <row r="6696" spans="7:20" ht="14.4" x14ac:dyDescent="0.25">
      <c r="G6696" s="10">
        <v>1111</v>
      </c>
      <c r="H6696" s="9">
        <v>8161</v>
      </c>
      <c r="I6696" s="14">
        <f>DATE(2012,12,31)-1307</f>
        <v>39967</v>
      </c>
      <c r="J6696" s="15" t="s">
        <v>17</v>
      </c>
      <c r="K6696" s="9">
        <v>45</v>
      </c>
      <c r="L6696" s="16" t="s">
        <v>26</v>
      </c>
      <c r="M6696" s="16">
        <f t="shared" si="627"/>
        <v>1.3417116596227308</v>
      </c>
      <c r="N6696">
        <f t="shared" si="628"/>
        <v>0</v>
      </c>
      <c r="O6696">
        <f t="shared" si="629"/>
        <v>0</v>
      </c>
      <c r="P6696">
        <f t="shared" si="626"/>
        <v>5650</v>
      </c>
      <c r="Q6696">
        <f t="shared" si="630"/>
        <v>5650</v>
      </c>
      <c r="T6696" s="16">
        <f t="shared" si="631"/>
        <v>1.3417116596227305</v>
      </c>
    </row>
    <row r="6697" spans="7:20" ht="14.4" x14ac:dyDescent="0.25">
      <c r="G6697" s="10">
        <v>1141</v>
      </c>
      <c r="H6697" s="9">
        <v>8320</v>
      </c>
      <c r="I6697" s="14">
        <f>DATE(2012,12,31)-1199</f>
        <v>40075</v>
      </c>
      <c r="J6697" s="15" t="s">
        <v>28</v>
      </c>
      <c r="K6697" s="9">
        <v>22</v>
      </c>
      <c r="L6697" s="16" t="s">
        <v>26</v>
      </c>
      <c r="M6697" s="16">
        <f t="shared" si="627"/>
        <v>-0.24666320261936217</v>
      </c>
      <c r="N6697">
        <f t="shared" si="628"/>
        <v>0</v>
      </c>
      <c r="O6697">
        <f t="shared" si="629"/>
        <v>0</v>
      </c>
      <c r="P6697">
        <f t="shared" si="626"/>
        <v>4500</v>
      </c>
      <c r="Q6697">
        <f t="shared" si="630"/>
        <v>4500</v>
      </c>
      <c r="T6697" s="16">
        <f t="shared" si="631"/>
        <v>-0.24666320261936256</v>
      </c>
    </row>
    <row r="6698" spans="7:20" ht="14.4" x14ac:dyDescent="0.25">
      <c r="G6698" s="10">
        <v>1144</v>
      </c>
      <c r="H6698" s="9">
        <v>8325</v>
      </c>
      <c r="I6698" s="14">
        <f>DATE(2012,12,31)-1447</f>
        <v>39827</v>
      </c>
      <c r="J6698" s="15" t="s">
        <v>30</v>
      </c>
      <c r="K6698" s="9">
        <v>21</v>
      </c>
      <c r="L6698" s="16" t="s">
        <v>27</v>
      </c>
      <c r="M6698" s="16">
        <f t="shared" si="627"/>
        <v>-0.31572297923858361</v>
      </c>
      <c r="N6698">
        <f t="shared" si="628"/>
        <v>0</v>
      </c>
      <c r="O6698">
        <f t="shared" si="629"/>
        <v>0</v>
      </c>
      <c r="P6698">
        <f t="shared" si="626"/>
        <v>4450</v>
      </c>
      <c r="Q6698">
        <f t="shared" si="630"/>
        <v>4450</v>
      </c>
      <c r="T6698" s="16">
        <f t="shared" si="631"/>
        <v>-0.315722979238584</v>
      </c>
    </row>
    <row r="6699" spans="7:20" ht="14.4" x14ac:dyDescent="0.25">
      <c r="G6699" s="10">
        <v>1145</v>
      </c>
      <c r="H6699" s="9">
        <v>8325</v>
      </c>
      <c r="I6699" s="14">
        <f>DATE(2012,12,31)-1447</f>
        <v>39827</v>
      </c>
      <c r="J6699" s="15" t="s">
        <v>30</v>
      </c>
      <c r="K6699" s="9">
        <v>27</v>
      </c>
      <c r="L6699" s="16" t="s">
        <v>26</v>
      </c>
      <c r="M6699" s="16">
        <f t="shared" si="627"/>
        <v>9.8635680476745008E-2</v>
      </c>
      <c r="N6699">
        <f t="shared" si="628"/>
        <v>0</v>
      </c>
      <c r="O6699">
        <f t="shared" si="629"/>
        <v>0</v>
      </c>
      <c r="P6699">
        <f t="shared" si="626"/>
        <v>4750</v>
      </c>
      <c r="Q6699">
        <f t="shared" si="630"/>
        <v>4750</v>
      </c>
      <c r="T6699" s="16">
        <f t="shared" si="631"/>
        <v>9.8635680476744619E-2</v>
      </c>
    </row>
    <row r="6700" spans="7:20" ht="14.4" x14ac:dyDescent="0.25">
      <c r="G6700" s="10">
        <v>1173</v>
      </c>
      <c r="H6700" s="9">
        <v>8576</v>
      </c>
      <c r="I6700" s="14">
        <f>DATE(2012,12,31)-1452</f>
        <v>39822</v>
      </c>
      <c r="J6700" s="15" t="s">
        <v>17</v>
      </c>
      <c r="K6700" s="9">
        <v>43</v>
      </c>
      <c r="L6700" s="16" t="s">
        <v>26</v>
      </c>
      <c r="M6700" s="16">
        <f t="shared" si="627"/>
        <v>1.203592106384288</v>
      </c>
      <c r="N6700">
        <f t="shared" si="628"/>
        <v>0</v>
      </c>
      <c r="O6700">
        <f t="shared" si="629"/>
        <v>0</v>
      </c>
      <c r="P6700">
        <f t="shared" si="626"/>
        <v>5550</v>
      </c>
      <c r="Q6700">
        <f t="shared" si="630"/>
        <v>5550</v>
      </c>
      <c r="T6700" s="16">
        <f t="shared" si="631"/>
        <v>1.2035921063842876</v>
      </c>
    </row>
    <row r="6701" spans="7:20" ht="14.4" x14ac:dyDescent="0.25">
      <c r="G6701" s="10">
        <v>1177</v>
      </c>
      <c r="H6701" s="9">
        <v>8582</v>
      </c>
      <c r="I6701" s="14">
        <f>DATE(2012,12,31)-772</f>
        <v>40502</v>
      </c>
      <c r="J6701" s="15" t="s">
        <v>25</v>
      </c>
      <c r="K6701" s="9">
        <v>15</v>
      </c>
      <c r="L6701" s="16" t="s">
        <v>29</v>
      </c>
      <c r="M6701" s="16">
        <f t="shared" si="627"/>
        <v>-0.7300816389539122</v>
      </c>
      <c r="N6701">
        <f t="shared" si="628"/>
        <v>0</v>
      </c>
      <c r="O6701">
        <f t="shared" si="629"/>
        <v>0</v>
      </c>
      <c r="P6701">
        <f t="shared" si="626"/>
        <v>4150</v>
      </c>
      <c r="Q6701">
        <f t="shared" si="630"/>
        <v>4150</v>
      </c>
      <c r="T6701" s="16">
        <f t="shared" si="631"/>
        <v>-0.73008163895391265</v>
      </c>
    </row>
    <row r="6702" spans="7:20" ht="14.4" x14ac:dyDescent="0.25">
      <c r="G6702" s="10">
        <v>1204</v>
      </c>
      <c r="H6702" s="9">
        <v>8832</v>
      </c>
      <c r="I6702" s="14">
        <f>DATE(2012,12,31)-333</f>
        <v>40941</v>
      </c>
      <c r="J6702" s="15" t="s">
        <v>25</v>
      </c>
      <c r="K6702" s="9">
        <v>39</v>
      </c>
      <c r="L6702" s="16" t="s">
        <v>29</v>
      </c>
      <c r="M6702" s="16">
        <f t="shared" si="627"/>
        <v>0.92735299990740228</v>
      </c>
      <c r="N6702">
        <f t="shared" si="628"/>
        <v>0</v>
      </c>
      <c r="O6702">
        <f t="shared" si="629"/>
        <v>0</v>
      </c>
      <c r="P6702">
        <f t="shared" si="626"/>
        <v>5350</v>
      </c>
      <c r="Q6702">
        <f t="shared" si="630"/>
        <v>5350</v>
      </c>
      <c r="T6702" s="16">
        <f t="shared" si="631"/>
        <v>0.92735299990740183</v>
      </c>
    </row>
    <row r="6703" spans="7:20" ht="14.4" x14ac:dyDescent="0.25">
      <c r="G6703" s="10">
        <v>1212</v>
      </c>
      <c r="H6703" s="9">
        <v>8901</v>
      </c>
      <c r="I6703" s="14">
        <f>DATE(2012,12,31)-499</f>
        <v>40775</v>
      </c>
      <c r="J6703" s="15" t="s">
        <v>25</v>
      </c>
      <c r="K6703" s="9">
        <v>15</v>
      </c>
      <c r="L6703" s="16" t="s">
        <v>27</v>
      </c>
      <c r="M6703" s="16">
        <f t="shared" si="627"/>
        <v>-0.7300816389539122</v>
      </c>
      <c r="N6703">
        <f t="shared" si="628"/>
        <v>0</v>
      </c>
      <c r="O6703">
        <f t="shared" si="629"/>
        <v>0</v>
      </c>
      <c r="P6703">
        <f t="shared" si="626"/>
        <v>4150</v>
      </c>
      <c r="Q6703">
        <f t="shared" si="630"/>
        <v>4150</v>
      </c>
      <c r="T6703" s="16">
        <f t="shared" si="631"/>
        <v>-0.73008163895391265</v>
      </c>
    </row>
    <row r="6704" spans="7:20" ht="14.4" x14ac:dyDescent="0.25">
      <c r="G6704" s="10">
        <v>1214</v>
      </c>
      <c r="H6704" s="9">
        <v>8930</v>
      </c>
      <c r="I6704" s="14">
        <f>DATE(2012,12,31)-1322</f>
        <v>39952</v>
      </c>
      <c r="J6704" s="15" t="s">
        <v>16</v>
      </c>
      <c r="K6704" s="9">
        <v>14</v>
      </c>
      <c r="L6704" s="16" t="s">
        <v>26</v>
      </c>
      <c r="M6704" s="16">
        <f t="shared" si="627"/>
        <v>-0.79914141557313367</v>
      </c>
      <c r="N6704">
        <f t="shared" si="628"/>
        <v>0</v>
      </c>
      <c r="O6704">
        <f t="shared" si="629"/>
        <v>0</v>
      </c>
      <c r="P6704">
        <f t="shared" si="626"/>
        <v>4100</v>
      </c>
      <c r="Q6704">
        <f t="shared" si="630"/>
        <v>4100</v>
      </c>
      <c r="T6704" s="16">
        <f t="shared" si="631"/>
        <v>-0.79914141557313401</v>
      </c>
    </row>
    <row r="6705" spans="7:20" ht="14.4" x14ac:dyDescent="0.25">
      <c r="G6705" s="10">
        <v>1237</v>
      </c>
      <c r="H6705" s="9">
        <v>8999</v>
      </c>
      <c r="I6705" s="14">
        <f>DATE(2012,12,31)-1298</f>
        <v>39976</v>
      </c>
      <c r="J6705" s="15" t="s">
        <v>17</v>
      </c>
      <c r="K6705" s="9">
        <v>28</v>
      </c>
      <c r="L6705" s="16" t="s">
        <v>26</v>
      </c>
      <c r="M6705" s="16">
        <f t="shared" si="627"/>
        <v>0.16769545709596645</v>
      </c>
      <c r="N6705">
        <f t="shared" si="628"/>
        <v>0</v>
      </c>
      <c r="O6705">
        <f t="shared" si="629"/>
        <v>0</v>
      </c>
      <c r="P6705">
        <f t="shared" si="626"/>
        <v>4800</v>
      </c>
      <c r="Q6705">
        <f t="shared" si="630"/>
        <v>4800</v>
      </c>
      <c r="T6705" s="16">
        <f t="shared" si="631"/>
        <v>0.16769545709596606</v>
      </c>
    </row>
    <row r="6706" spans="7:20" ht="14.4" x14ac:dyDescent="0.25">
      <c r="G6706" s="10">
        <v>1249</v>
      </c>
      <c r="H6706" s="9">
        <v>9091</v>
      </c>
      <c r="I6706" s="14">
        <f>DATE(2012,12,31)-781</f>
        <v>40493</v>
      </c>
      <c r="J6706" s="15" t="s">
        <v>17</v>
      </c>
      <c r="K6706" s="9">
        <v>42</v>
      </c>
      <c r="L6706" s="16" t="s">
        <v>29</v>
      </c>
      <c r="M6706" s="16">
        <f t="shared" si="627"/>
        <v>1.1345323297650665</v>
      </c>
      <c r="N6706">
        <f t="shared" si="628"/>
        <v>0</v>
      </c>
      <c r="O6706">
        <f t="shared" si="629"/>
        <v>0</v>
      </c>
      <c r="P6706">
        <f t="shared" si="626"/>
        <v>5500</v>
      </c>
      <c r="Q6706">
        <f t="shared" si="630"/>
        <v>5500</v>
      </c>
      <c r="T6706" s="16">
        <f t="shared" si="631"/>
        <v>1.1345323297650662</v>
      </c>
    </row>
    <row r="6707" spans="7:20" ht="14.4" x14ac:dyDescent="0.25">
      <c r="G6707" s="10">
        <v>1250</v>
      </c>
      <c r="H6707" s="9">
        <v>9091</v>
      </c>
      <c r="I6707" s="14">
        <f>DATE(2012,12,31)-781</f>
        <v>40493</v>
      </c>
      <c r="J6707" s="15" t="s">
        <v>17</v>
      </c>
      <c r="K6707" s="9">
        <v>44</v>
      </c>
      <c r="L6707" s="16" t="s">
        <v>26</v>
      </c>
      <c r="M6707" s="16">
        <f t="shared" si="627"/>
        <v>1.2726518830035094</v>
      </c>
      <c r="N6707">
        <f t="shared" si="628"/>
        <v>0</v>
      </c>
      <c r="O6707">
        <f t="shared" si="629"/>
        <v>0</v>
      </c>
      <c r="P6707">
        <f t="shared" si="626"/>
        <v>5600</v>
      </c>
      <c r="Q6707">
        <f t="shared" si="630"/>
        <v>5600</v>
      </c>
      <c r="T6707" s="16">
        <f t="shared" si="631"/>
        <v>1.272651883003509</v>
      </c>
    </row>
    <row r="6708" spans="7:20" ht="14.4" x14ac:dyDescent="0.25">
      <c r="G6708" s="10">
        <v>1251</v>
      </c>
      <c r="H6708" s="9">
        <v>9092</v>
      </c>
      <c r="I6708" s="14">
        <f>DATE(2012,12,31)-1256</f>
        <v>40018</v>
      </c>
      <c r="J6708" s="15" t="s">
        <v>28</v>
      </c>
      <c r="K6708" s="9">
        <v>33</v>
      </c>
      <c r="L6708" s="16" t="s">
        <v>26</v>
      </c>
      <c r="M6708" s="16">
        <f t="shared" si="627"/>
        <v>0.51299434019207357</v>
      </c>
      <c r="N6708">
        <f t="shared" si="628"/>
        <v>0</v>
      </c>
      <c r="O6708">
        <f t="shared" si="629"/>
        <v>0</v>
      </c>
      <c r="P6708">
        <f t="shared" si="626"/>
        <v>5050</v>
      </c>
      <c r="Q6708">
        <f t="shared" si="630"/>
        <v>5050</v>
      </c>
      <c r="T6708" s="16">
        <f t="shared" si="631"/>
        <v>0.51299434019207324</v>
      </c>
    </row>
    <row r="6709" spans="7:20" ht="14.4" x14ac:dyDescent="0.25">
      <c r="G6709" s="10">
        <v>1252</v>
      </c>
      <c r="H6709" s="9">
        <v>9092</v>
      </c>
      <c r="I6709" s="14">
        <f>DATE(2012,12,31)-1256</f>
        <v>40018</v>
      </c>
      <c r="J6709" s="15" t="s">
        <v>28</v>
      </c>
      <c r="K6709" s="9">
        <v>8</v>
      </c>
      <c r="L6709" s="16" t="s">
        <v>27</v>
      </c>
      <c r="M6709" s="16">
        <f t="shared" si="627"/>
        <v>-1.2135000752884624</v>
      </c>
      <c r="N6709">
        <f t="shared" si="628"/>
        <v>0</v>
      </c>
      <c r="O6709">
        <f t="shared" si="629"/>
        <v>0</v>
      </c>
      <c r="P6709">
        <f t="shared" si="626"/>
        <v>3800</v>
      </c>
      <c r="Q6709">
        <f t="shared" si="630"/>
        <v>3800</v>
      </c>
      <c r="T6709" s="16">
        <f t="shared" si="631"/>
        <v>-1.2135000752884626</v>
      </c>
    </row>
    <row r="6710" spans="7:20" ht="14.4" x14ac:dyDescent="0.25">
      <c r="G6710" s="10">
        <v>1253</v>
      </c>
      <c r="H6710" s="9">
        <v>9093</v>
      </c>
      <c r="I6710" s="14">
        <f>DATE(2012,12,31)-388</f>
        <v>40886</v>
      </c>
      <c r="J6710" s="15" t="s">
        <v>16</v>
      </c>
      <c r="K6710" s="9">
        <v>36</v>
      </c>
      <c r="L6710" s="16" t="s">
        <v>27</v>
      </c>
      <c r="M6710" s="16">
        <f t="shared" si="627"/>
        <v>0.72017367004973787</v>
      </c>
      <c r="N6710">
        <f t="shared" si="628"/>
        <v>0</v>
      </c>
      <c r="O6710">
        <f t="shared" si="629"/>
        <v>0</v>
      </c>
      <c r="P6710">
        <f t="shared" si="626"/>
        <v>5200</v>
      </c>
      <c r="Q6710">
        <f t="shared" si="630"/>
        <v>5200</v>
      </c>
      <c r="T6710" s="16">
        <f t="shared" si="631"/>
        <v>0.72017367004973754</v>
      </c>
    </row>
    <row r="6711" spans="7:20" ht="14.4" x14ac:dyDescent="0.25">
      <c r="G6711" s="10">
        <v>1274</v>
      </c>
      <c r="H6711" s="9">
        <v>9251</v>
      </c>
      <c r="I6711" s="14">
        <f>DATE(2012,12,31)-855</f>
        <v>40419</v>
      </c>
      <c r="J6711" s="15" t="s">
        <v>16</v>
      </c>
      <c r="K6711" s="9">
        <v>38</v>
      </c>
      <c r="L6711" s="16" t="s">
        <v>29</v>
      </c>
      <c r="M6711" s="16">
        <f t="shared" si="627"/>
        <v>0.85829322328818081</v>
      </c>
      <c r="N6711">
        <f t="shared" si="628"/>
        <v>0</v>
      </c>
      <c r="O6711">
        <f t="shared" si="629"/>
        <v>0</v>
      </c>
      <c r="P6711">
        <f t="shared" si="626"/>
        <v>5300</v>
      </c>
      <c r="Q6711">
        <f t="shared" si="630"/>
        <v>5300</v>
      </c>
      <c r="T6711" s="16">
        <f t="shared" si="631"/>
        <v>0.85829322328818036</v>
      </c>
    </row>
    <row r="6712" spans="7:20" ht="14.4" x14ac:dyDescent="0.25">
      <c r="G6712" s="10">
        <v>1282</v>
      </c>
      <c r="H6712" s="9">
        <v>9344</v>
      </c>
      <c r="I6712" s="14">
        <f>DATE(2012,12,31)-391</f>
        <v>40883</v>
      </c>
      <c r="J6712" s="15" t="s">
        <v>25</v>
      </c>
      <c r="K6712" s="9">
        <v>18</v>
      </c>
      <c r="L6712" s="16" t="s">
        <v>26</v>
      </c>
      <c r="M6712" s="16">
        <f t="shared" si="627"/>
        <v>-0.52290230909624791</v>
      </c>
      <c r="N6712">
        <f t="shared" si="628"/>
        <v>0</v>
      </c>
      <c r="O6712">
        <f t="shared" si="629"/>
        <v>0</v>
      </c>
      <c r="P6712">
        <f t="shared" si="626"/>
        <v>4300</v>
      </c>
      <c r="Q6712">
        <f t="shared" si="630"/>
        <v>4300</v>
      </c>
      <c r="T6712" s="16">
        <f t="shared" si="631"/>
        <v>-0.52290230909624835</v>
      </c>
    </row>
    <row r="6713" spans="7:20" ht="14.4" x14ac:dyDescent="0.25">
      <c r="G6713" s="10">
        <v>1283</v>
      </c>
      <c r="H6713" s="9">
        <v>9344</v>
      </c>
      <c r="I6713" s="14">
        <f>DATE(2012,12,31)-391</f>
        <v>40883</v>
      </c>
      <c r="J6713" s="15" t="s">
        <v>25</v>
      </c>
      <c r="K6713" s="9">
        <v>31</v>
      </c>
      <c r="L6713" s="16" t="s">
        <v>27</v>
      </c>
      <c r="M6713" s="16">
        <f t="shared" si="627"/>
        <v>0.37487478695363075</v>
      </c>
      <c r="N6713">
        <f t="shared" si="628"/>
        <v>0</v>
      </c>
      <c r="O6713">
        <f t="shared" si="629"/>
        <v>0</v>
      </c>
      <c r="P6713">
        <f t="shared" si="626"/>
        <v>4950</v>
      </c>
      <c r="Q6713">
        <f t="shared" si="630"/>
        <v>4950</v>
      </c>
      <c r="T6713" s="16">
        <f t="shared" si="631"/>
        <v>0.37487478695363036</v>
      </c>
    </row>
    <row r="6714" spans="7:20" ht="14.4" x14ac:dyDescent="0.25">
      <c r="G6714" s="10">
        <v>1342</v>
      </c>
      <c r="H6714" s="9">
        <v>9824</v>
      </c>
      <c r="I6714" s="14">
        <f>DATE(2012,12,31)-709</f>
        <v>40565</v>
      </c>
      <c r="J6714" s="15" t="s">
        <v>30</v>
      </c>
      <c r="K6714" s="9">
        <v>39</v>
      </c>
      <c r="L6714" s="16" t="s">
        <v>26</v>
      </c>
      <c r="M6714" s="16">
        <f t="shared" si="627"/>
        <v>0.92735299990740228</v>
      </c>
      <c r="N6714">
        <f t="shared" si="628"/>
        <v>0</v>
      </c>
      <c r="O6714">
        <f t="shared" si="629"/>
        <v>0</v>
      </c>
      <c r="P6714">
        <f t="shared" si="626"/>
        <v>5350</v>
      </c>
      <c r="Q6714">
        <f t="shared" si="630"/>
        <v>5350</v>
      </c>
      <c r="T6714" s="16">
        <f t="shared" si="631"/>
        <v>0.92735299990740183</v>
      </c>
    </row>
    <row r="6715" spans="7:20" ht="14.4" x14ac:dyDescent="0.25">
      <c r="G6715" s="10">
        <v>1343</v>
      </c>
      <c r="H6715" s="9">
        <v>9824</v>
      </c>
      <c r="I6715" s="14">
        <f>DATE(2012,12,31)-709</f>
        <v>40565</v>
      </c>
      <c r="J6715" s="15" t="s">
        <v>30</v>
      </c>
      <c r="K6715" s="9">
        <v>5</v>
      </c>
      <c r="L6715" s="16" t="s">
        <v>26</v>
      </c>
      <c r="M6715" s="16">
        <f t="shared" si="627"/>
        <v>-1.4206794051461267</v>
      </c>
      <c r="N6715">
        <f t="shared" si="628"/>
        <v>0</v>
      </c>
      <c r="O6715">
        <f t="shared" si="629"/>
        <v>0</v>
      </c>
      <c r="P6715">
        <f t="shared" si="626"/>
        <v>3650</v>
      </c>
      <c r="Q6715">
        <f t="shared" si="630"/>
        <v>3650</v>
      </c>
      <c r="T6715" s="16">
        <f t="shared" si="631"/>
        <v>-1.4206794051461269</v>
      </c>
    </row>
    <row r="6716" spans="7:20" ht="14.4" x14ac:dyDescent="0.25">
      <c r="G6716" s="10">
        <v>1344</v>
      </c>
      <c r="H6716" s="9">
        <v>9824</v>
      </c>
      <c r="I6716" s="14">
        <f>DATE(2012,12,31)-709</f>
        <v>40565</v>
      </c>
      <c r="J6716" s="15" t="s">
        <v>30</v>
      </c>
      <c r="K6716" s="9">
        <v>43</v>
      </c>
      <c r="L6716" s="16" t="s">
        <v>26</v>
      </c>
      <c r="M6716" s="16">
        <f t="shared" si="627"/>
        <v>1.203592106384288</v>
      </c>
      <c r="N6716">
        <f t="shared" si="628"/>
        <v>0</v>
      </c>
      <c r="O6716">
        <f t="shared" si="629"/>
        <v>0</v>
      </c>
      <c r="P6716">
        <f t="shared" si="626"/>
        <v>5550</v>
      </c>
      <c r="Q6716">
        <f t="shared" si="630"/>
        <v>5550</v>
      </c>
      <c r="T6716" s="16">
        <f t="shared" si="631"/>
        <v>1.2035921063842876</v>
      </c>
    </row>
    <row r="6717" spans="7:20" ht="14.4" x14ac:dyDescent="0.25">
      <c r="G6717" s="10">
        <v>1383</v>
      </c>
      <c r="H6717" s="9">
        <v>10052</v>
      </c>
      <c r="I6717" s="14">
        <f>DATE(2012,12,31)-1211</f>
        <v>40063</v>
      </c>
      <c r="J6717" s="15" t="s">
        <v>28</v>
      </c>
      <c r="K6717" s="9">
        <v>16</v>
      </c>
      <c r="L6717" s="16" t="s">
        <v>26</v>
      </c>
      <c r="M6717" s="16">
        <f t="shared" si="627"/>
        <v>-0.66102186233469074</v>
      </c>
      <c r="N6717">
        <f t="shared" si="628"/>
        <v>0</v>
      </c>
      <c r="O6717">
        <f t="shared" si="629"/>
        <v>0</v>
      </c>
      <c r="P6717">
        <f t="shared" si="626"/>
        <v>4200</v>
      </c>
      <c r="Q6717">
        <f t="shared" si="630"/>
        <v>4200</v>
      </c>
      <c r="T6717" s="16">
        <f t="shared" si="631"/>
        <v>-0.66102186233469118</v>
      </c>
    </row>
    <row r="6718" spans="7:20" ht="14.4" x14ac:dyDescent="0.25">
      <c r="G6718" s="10">
        <v>1384</v>
      </c>
      <c r="H6718" s="9">
        <v>10052</v>
      </c>
      <c r="I6718" s="14">
        <f>DATE(2012,12,31)-1211</f>
        <v>40063</v>
      </c>
      <c r="J6718" s="15" t="s">
        <v>28</v>
      </c>
      <c r="K6718" s="9">
        <v>28</v>
      </c>
      <c r="L6718" s="16" t="s">
        <v>26</v>
      </c>
      <c r="M6718" s="16">
        <f t="shared" si="627"/>
        <v>0.16769545709596645</v>
      </c>
      <c r="N6718">
        <f t="shared" si="628"/>
        <v>0</v>
      </c>
      <c r="O6718">
        <f t="shared" si="629"/>
        <v>0</v>
      </c>
      <c r="P6718">
        <f t="shared" si="626"/>
        <v>4800</v>
      </c>
      <c r="Q6718">
        <f t="shared" si="630"/>
        <v>4800</v>
      </c>
      <c r="T6718" s="16">
        <f t="shared" si="631"/>
        <v>0.16769545709596606</v>
      </c>
    </row>
    <row r="6719" spans="7:20" ht="14.4" x14ac:dyDescent="0.25">
      <c r="G6719" s="10">
        <v>1385</v>
      </c>
      <c r="H6719" s="9">
        <v>10052</v>
      </c>
      <c r="I6719" s="14">
        <f>DATE(2012,12,31)-1211</f>
        <v>40063</v>
      </c>
      <c r="J6719" s="15" t="s">
        <v>28</v>
      </c>
      <c r="K6719" s="9">
        <v>46</v>
      </c>
      <c r="L6719" s="16" t="s">
        <v>26</v>
      </c>
      <c r="M6719" s="16">
        <f t="shared" si="627"/>
        <v>1.4107714362419523</v>
      </c>
      <c r="N6719">
        <f t="shared" si="628"/>
        <v>0</v>
      </c>
      <c r="O6719">
        <f t="shared" si="629"/>
        <v>0</v>
      </c>
      <c r="P6719">
        <f t="shared" si="626"/>
        <v>5700</v>
      </c>
      <c r="Q6719">
        <f t="shared" si="630"/>
        <v>5700</v>
      </c>
      <c r="T6719" s="16">
        <f t="shared" si="631"/>
        <v>1.4107714362419519</v>
      </c>
    </row>
    <row r="6720" spans="7:20" ht="14.4" x14ac:dyDescent="0.25">
      <c r="G6720" s="10">
        <v>1390</v>
      </c>
      <c r="H6720" s="9">
        <v>10080</v>
      </c>
      <c r="I6720" s="14">
        <f>DATE(2012,12,31)-1053</f>
        <v>40221</v>
      </c>
      <c r="J6720" s="15" t="s">
        <v>25</v>
      </c>
      <c r="K6720" s="9">
        <v>20</v>
      </c>
      <c r="L6720" s="16" t="s">
        <v>27</v>
      </c>
      <c r="M6720" s="16">
        <f t="shared" si="627"/>
        <v>-0.38478275585780503</v>
      </c>
      <c r="N6720">
        <f t="shared" si="628"/>
        <v>0</v>
      </c>
      <c r="O6720">
        <f t="shared" si="629"/>
        <v>0</v>
      </c>
      <c r="P6720">
        <f t="shared" si="626"/>
        <v>4400</v>
      </c>
      <c r="Q6720">
        <f t="shared" si="630"/>
        <v>4400</v>
      </c>
      <c r="T6720" s="16">
        <f t="shared" si="631"/>
        <v>-0.38478275585780541</v>
      </c>
    </row>
    <row r="6721" spans="7:20" ht="14.4" x14ac:dyDescent="0.25">
      <c r="G6721" s="10">
        <v>1393</v>
      </c>
      <c r="H6721" s="9">
        <v>10117</v>
      </c>
      <c r="I6721" s="14">
        <f>DATE(2012,12,31)-776</f>
        <v>40498</v>
      </c>
      <c r="J6721" s="15" t="s">
        <v>16</v>
      </c>
      <c r="K6721" s="9">
        <v>6</v>
      </c>
      <c r="L6721" s="16" t="s">
        <v>26</v>
      </c>
      <c r="M6721" s="16">
        <f t="shared" si="627"/>
        <v>-1.3516196285269051</v>
      </c>
      <c r="N6721">
        <f t="shared" si="628"/>
        <v>0</v>
      </c>
      <c r="O6721">
        <f t="shared" si="629"/>
        <v>0</v>
      </c>
      <c r="P6721">
        <f t="shared" si="626"/>
        <v>3700</v>
      </c>
      <c r="Q6721">
        <f t="shared" si="630"/>
        <v>3700</v>
      </c>
      <c r="T6721" s="16">
        <f t="shared" si="631"/>
        <v>-1.3516196285269055</v>
      </c>
    </row>
    <row r="6722" spans="7:20" ht="14.4" x14ac:dyDescent="0.25">
      <c r="G6722" s="10">
        <v>1394</v>
      </c>
      <c r="H6722" s="9">
        <v>10117</v>
      </c>
      <c r="I6722" s="14">
        <f>DATE(2012,12,31)-776</f>
        <v>40498</v>
      </c>
      <c r="J6722" s="15" t="s">
        <v>16</v>
      </c>
      <c r="K6722" s="9">
        <v>10</v>
      </c>
      <c r="L6722" s="16" t="s">
        <v>27</v>
      </c>
      <c r="M6722" s="16">
        <f t="shared" si="627"/>
        <v>-1.0753805220500194</v>
      </c>
      <c r="N6722">
        <f t="shared" si="628"/>
        <v>0</v>
      </c>
      <c r="O6722">
        <f t="shared" si="629"/>
        <v>0</v>
      </c>
      <c r="P6722">
        <f t="shared" si="626"/>
        <v>3900</v>
      </c>
      <c r="Q6722">
        <f t="shared" si="630"/>
        <v>3900</v>
      </c>
      <c r="T6722" s="16">
        <f t="shared" si="631"/>
        <v>-1.0753805220500199</v>
      </c>
    </row>
    <row r="6723" spans="7:20" ht="14.4" x14ac:dyDescent="0.25">
      <c r="G6723" s="10">
        <v>1398</v>
      </c>
      <c r="H6723" s="9">
        <v>10146</v>
      </c>
      <c r="I6723" s="14">
        <f>DATE(2012,12,31)-1340</f>
        <v>39934</v>
      </c>
      <c r="J6723" s="15" t="s">
        <v>25</v>
      </c>
      <c r="K6723" s="9">
        <v>19</v>
      </c>
      <c r="L6723" s="16" t="s">
        <v>29</v>
      </c>
      <c r="M6723" s="16">
        <f t="shared" si="627"/>
        <v>-0.45384253247702649</v>
      </c>
      <c r="N6723">
        <f t="shared" si="628"/>
        <v>0</v>
      </c>
      <c r="O6723">
        <f t="shared" si="629"/>
        <v>0</v>
      </c>
      <c r="P6723">
        <f t="shared" si="626"/>
        <v>4350</v>
      </c>
      <c r="Q6723">
        <f t="shared" si="630"/>
        <v>4350</v>
      </c>
      <c r="T6723" s="16">
        <f t="shared" si="631"/>
        <v>-0.45384253247702688</v>
      </c>
    </row>
    <row r="6724" spans="7:20" ht="14.4" x14ac:dyDescent="0.25">
      <c r="G6724" s="10">
        <v>1410</v>
      </c>
      <c r="H6724" s="9">
        <v>10245</v>
      </c>
      <c r="I6724" s="14">
        <f>DATE(2012,12,31)-687</f>
        <v>40587</v>
      </c>
      <c r="J6724" s="15" t="s">
        <v>16</v>
      </c>
      <c r="K6724" s="9">
        <v>27</v>
      </c>
      <c r="L6724" s="16" t="s">
        <v>29</v>
      </c>
      <c r="M6724" s="16">
        <f t="shared" si="627"/>
        <v>9.8635680476745008E-2</v>
      </c>
      <c r="N6724">
        <f t="shared" si="628"/>
        <v>0</v>
      </c>
      <c r="O6724">
        <f t="shared" si="629"/>
        <v>0</v>
      </c>
      <c r="P6724">
        <f t="shared" si="626"/>
        <v>4750</v>
      </c>
      <c r="Q6724">
        <f t="shared" si="630"/>
        <v>4750</v>
      </c>
      <c r="T6724" s="16">
        <f t="shared" si="631"/>
        <v>9.8635680476744619E-2</v>
      </c>
    </row>
    <row r="6725" spans="7:20" ht="14.4" x14ac:dyDescent="0.25">
      <c r="G6725" s="10">
        <v>1417</v>
      </c>
      <c r="H6725" s="9">
        <v>10277</v>
      </c>
      <c r="I6725" s="14">
        <f>DATE(2012,12,31)-1364</f>
        <v>39910</v>
      </c>
      <c r="J6725" s="15" t="s">
        <v>16</v>
      </c>
      <c r="K6725" s="9">
        <v>36</v>
      </c>
      <c r="L6725" s="16" t="s">
        <v>27</v>
      </c>
      <c r="M6725" s="16">
        <f t="shared" si="627"/>
        <v>0.72017367004973787</v>
      </c>
      <c r="N6725">
        <f t="shared" si="628"/>
        <v>0</v>
      </c>
      <c r="O6725">
        <f t="shared" si="629"/>
        <v>0</v>
      </c>
      <c r="P6725">
        <f t="shared" si="626"/>
        <v>5200</v>
      </c>
      <c r="Q6725">
        <f t="shared" si="630"/>
        <v>5200</v>
      </c>
      <c r="T6725" s="16">
        <f t="shared" si="631"/>
        <v>0.72017367004973754</v>
      </c>
    </row>
    <row r="6726" spans="7:20" ht="14.4" x14ac:dyDescent="0.25">
      <c r="G6726" s="10">
        <v>1419</v>
      </c>
      <c r="H6726" s="9">
        <v>10305</v>
      </c>
      <c r="I6726" s="14">
        <f>DATE(2012,12,31)-1273</f>
        <v>40001</v>
      </c>
      <c r="J6726" s="15" t="s">
        <v>25</v>
      </c>
      <c r="K6726" s="9">
        <v>12</v>
      </c>
      <c r="L6726" s="16" t="s">
        <v>29</v>
      </c>
      <c r="M6726" s="16">
        <f t="shared" si="627"/>
        <v>-0.9372609688115765</v>
      </c>
      <c r="N6726">
        <f t="shared" si="628"/>
        <v>0</v>
      </c>
      <c r="O6726">
        <f t="shared" si="629"/>
        <v>0</v>
      </c>
      <c r="P6726">
        <f t="shared" si="626"/>
        <v>4000</v>
      </c>
      <c r="Q6726">
        <f t="shared" si="630"/>
        <v>4000</v>
      </c>
      <c r="T6726" s="16">
        <f t="shared" si="631"/>
        <v>-0.93726096881157694</v>
      </c>
    </row>
    <row r="6727" spans="7:20" ht="14.4" x14ac:dyDescent="0.25">
      <c r="G6727" s="10">
        <v>1427</v>
      </c>
      <c r="H6727" s="9">
        <v>10339</v>
      </c>
      <c r="I6727" s="14">
        <f>DATE(2012,12,31)-447</f>
        <v>40827</v>
      </c>
      <c r="J6727" s="15" t="s">
        <v>25</v>
      </c>
      <c r="K6727" s="9">
        <v>49</v>
      </c>
      <c r="L6727" s="16" t="s">
        <v>29</v>
      </c>
      <c r="M6727" s="16">
        <f t="shared" si="627"/>
        <v>1.6179507660996166</v>
      </c>
      <c r="N6727">
        <f t="shared" si="628"/>
        <v>0</v>
      </c>
      <c r="O6727">
        <f t="shared" si="629"/>
        <v>0</v>
      </c>
      <c r="P6727">
        <f t="shared" si="626"/>
        <v>5850</v>
      </c>
      <c r="Q6727">
        <f t="shared" si="630"/>
        <v>5850</v>
      </c>
      <c r="T6727" s="16">
        <f t="shared" si="631"/>
        <v>1.6179507660996162</v>
      </c>
    </row>
    <row r="6728" spans="7:20" ht="14.4" x14ac:dyDescent="0.25">
      <c r="G6728" s="10">
        <v>1451</v>
      </c>
      <c r="H6728" s="9">
        <v>10466</v>
      </c>
      <c r="I6728" s="14">
        <f>DATE(2012,12,31)-6</f>
        <v>41268</v>
      </c>
      <c r="J6728" s="15" t="s">
        <v>17</v>
      </c>
      <c r="K6728" s="9">
        <v>27</v>
      </c>
      <c r="L6728" s="16" t="s">
        <v>26</v>
      </c>
      <c r="M6728" s="16">
        <f t="shared" si="627"/>
        <v>9.8635680476745008E-2</v>
      </c>
      <c r="N6728">
        <f t="shared" si="628"/>
        <v>0</v>
      </c>
      <c r="O6728">
        <f t="shared" si="629"/>
        <v>0</v>
      </c>
      <c r="P6728">
        <f t="shared" si="626"/>
        <v>4750</v>
      </c>
      <c r="Q6728">
        <f t="shared" si="630"/>
        <v>4750</v>
      </c>
      <c r="T6728" s="16">
        <f t="shared" si="631"/>
        <v>9.8635680476744619E-2</v>
      </c>
    </row>
    <row r="6729" spans="7:20" ht="14.4" x14ac:dyDescent="0.25">
      <c r="G6729" s="10">
        <v>1464</v>
      </c>
      <c r="H6729" s="9">
        <v>10562</v>
      </c>
      <c r="I6729" s="14">
        <f>DATE(2012,12,31)-1146</f>
        <v>40128</v>
      </c>
      <c r="J6729" s="15" t="s">
        <v>28</v>
      </c>
      <c r="K6729" s="9">
        <v>10</v>
      </c>
      <c r="L6729" s="16" t="s">
        <v>26</v>
      </c>
      <c r="M6729" s="16">
        <f t="shared" si="627"/>
        <v>-1.0753805220500194</v>
      </c>
      <c r="N6729">
        <f t="shared" si="628"/>
        <v>0</v>
      </c>
      <c r="O6729">
        <f t="shared" si="629"/>
        <v>0</v>
      </c>
      <c r="P6729">
        <f t="shared" si="626"/>
        <v>3900</v>
      </c>
      <c r="Q6729">
        <f t="shared" si="630"/>
        <v>3900</v>
      </c>
      <c r="T6729" s="16">
        <f t="shared" si="631"/>
        <v>-1.0753805220500199</v>
      </c>
    </row>
    <row r="6730" spans="7:20" ht="14.4" x14ac:dyDescent="0.25">
      <c r="G6730" s="10">
        <v>1465</v>
      </c>
      <c r="H6730" s="9">
        <v>10563</v>
      </c>
      <c r="I6730" s="14">
        <f>DATE(2012,12,31)-824</f>
        <v>40450</v>
      </c>
      <c r="J6730" s="15" t="s">
        <v>30</v>
      </c>
      <c r="K6730" s="9">
        <v>38</v>
      </c>
      <c r="L6730" s="16" t="s">
        <v>26</v>
      </c>
      <c r="M6730" s="16">
        <f t="shared" si="627"/>
        <v>0.85829322328818081</v>
      </c>
      <c r="N6730">
        <f t="shared" si="628"/>
        <v>0</v>
      </c>
      <c r="O6730">
        <f t="shared" si="629"/>
        <v>0</v>
      </c>
      <c r="P6730">
        <f t="shared" si="626"/>
        <v>5300</v>
      </c>
      <c r="Q6730">
        <f t="shared" si="630"/>
        <v>5300</v>
      </c>
      <c r="T6730" s="16">
        <f t="shared" si="631"/>
        <v>0.85829322328818036</v>
      </c>
    </row>
    <row r="6731" spans="7:20" ht="14.4" x14ac:dyDescent="0.25">
      <c r="G6731" s="10">
        <v>1466</v>
      </c>
      <c r="H6731" s="9">
        <v>10563</v>
      </c>
      <c r="I6731" s="14">
        <f>DATE(2012,12,31)-824</f>
        <v>40450</v>
      </c>
      <c r="J6731" s="15" t="s">
        <v>30</v>
      </c>
      <c r="K6731" s="9">
        <v>50</v>
      </c>
      <c r="L6731" s="16" t="s">
        <v>26</v>
      </c>
      <c r="M6731" s="16">
        <f t="shared" si="627"/>
        <v>1.687010542718838</v>
      </c>
      <c r="N6731">
        <f t="shared" si="628"/>
        <v>0</v>
      </c>
      <c r="O6731">
        <f t="shared" si="629"/>
        <v>0</v>
      </c>
      <c r="P6731">
        <f t="shared" si="626"/>
        <v>5900</v>
      </c>
      <c r="Q6731">
        <f t="shared" si="630"/>
        <v>5900</v>
      </c>
      <c r="T6731" s="16">
        <f t="shared" si="631"/>
        <v>1.6870105427188375</v>
      </c>
    </row>
    <row r="6732" spans="7:20" ht="14.4" x14ac:dyDescent="0.25">
      <c r="G6732" s="10">
        <v>1477</v>
      </c>
      <c r="H6732" s="9">
        <v>10658</v>
      </c>
      <c r="I6732" s="14">
        <f>DATE(2012,12,31)-1222</f>
        <v>40052</v>
      </c>
      <c r="J6732" s="15" t="s">
        <v>25</v>
      </c>
      <c r="K6732" s="9">
        <v>31</v>
      </c>
      <c r="L6732" s="16" t="s">
        <v>27</v>
      </c>
      <c r="M6732" s="16">
        <f t="shared" si="627"/>
        <v>0.37487478695363075</v>
      </c>
      <c r="N6732">
        <f t="shared" si="628"/>
        <v>0</v>
      </c>
      <c r="O6732">
        <f t="shared" si="629"/>
        <v>0</v>
      </c>
      <c r="P6732">
        <f t="shared" ref="P6732:P6795" si="632">50*K6732+$P$10</f>
        <v>4950</v>
      </c>
      <c r="Q6732">
        <f t="shared" si="630"/>
        <v>4950</v>
      </c>
      <c r="T6732" s="16">
        <f t="shared" si="631"/>
        <v>0.37487478695363036</v>
      </c>
    </row>
    <row r="6733" spans="7:20" ht="14.4" x14ac:dyDescent="0.25">
      <c r="G6733" s="10">
        <v>1478</v>
      </c>
      <c r="H6733" s="9">
        <v>10658</v>
      </c>
      <c r="I6733" s="14">
        <f>DATE(2012,12,31)-1222</f>
        <v>40052</v>
      </c>
      <c r="J6733" s="15" t="s">
        <v>25</v>
      </c>
      <c r="K6733" s="9">
        <v>12</v>
      </c>
      <c r="L6733" s="16" t="s">
        <v>27</v>
      </c>
      <c r="M6733" s="16">
        <f t="shared" ref="M6733:M6796" si="633">(K6733-$K$4)/$K$7</f>
        <v>-0.9372609688115765</v>
      </c>
      <c r="N6733">
        <f t="shared" ref="N6733:N6796" si="634">IF(MOD($B$20+G6733,1000)=0,1,0)</f>
        <v>0</v>
      </c>
      <c r="O6733">
        <f t="shared" ref="O6733:O6796" si="635">+ROUND(N6733*(IF(K6733&lt;$K$4,-4.5,10.5)*$P$5),-2)</f>
        <v>0</v>
      </c>
      <c r="P6733">
        <f t="shared" si="632"/>
        <v>4000</v>
      </c>
      <c r="Q6733">
        <f t="shared" ref="Q6733:Q6796" si="636">P6733+O6733</f>
        <v>4000</v>
      </c>
      <c r="T6733" s="16">
        <f t="shared" ref="T6733:T6796" si="637">(Q6733-$P$4)/$P$5</f>
        <v>-0.93726096881157694</v>
      </c>
    </row>
    <row r="6734" spans="7:20" ht="14.4" x14ac:dyDescent="0.25">
      <c r="G6734" s="10">
        <v>1479</v>
      </c>
      <c r="H6734" s="9">
        <v>10658</v>
      </c>
      <c r="I6734" s="14">
        <f>DATE(2012,12,31)-1222</f>
        <v>40052</v>
      </c>
      <c r="J6734" s="15" t="s">
        <v>25</v>
      </c>
      <c r="K6734" s="9">
        <v>17</v>
      </c>
      <c r="L6734" s="16" t="s">
        <v>27</v>
      </c>
      <c r="M6734" s="16">
        <f t="shared" si="633"/>
        <v>-0.59196208571546938</v>
      </c>
      <c r="N6734">
        <f t="shared" si="634"/>
        <v>0</v>
      </c>
      <c r="O6734">
        <f t="shared" si="635"/>
        <v>0</v>
      </c>
      <c r="P6734">
        <f t="shared" si="632"/>
        <v>4250</v>
      </c>
      <c r="Q6734">
        <f t="shared" si="636"/>
        <v>4250</v>
      </c>
      <c r="T6734" s="16">
        <f t="shared" si="637"/>
        <v>-0.59196208571546971</v>
      </c>
    </row>
    <row r="6735" spans="7:20" ht="14.4" x14ac:dyDescent="0.25">
      <c r="G6735" s="10">
        <v>1483</v>
      </c>
      <c r="H6735" s="9">
        <v>10662</v>
      </c>
      <c r="I6735" s="14">
        <f>DATE(2012,12,31)-599</f>
        <v>40675</v>
      </c>
      <c r="J6735" s="15" t="s">
        <v>25</v>
      </c>
      <c r="K6735" s="9">
        <v>45</v>
      </c>
      <c r="L6735" s="16" t="s">
        <v>26</v>
      </c>
      <c r="M6735" s="16">
        <f t="shared" si="633"/>
        <v>1.3417116596227308</v>
      </c>
      <c r="N6735">
        <f t="shared" si="634"/>
        <v>0</v>
      </c>
      <c r="O6735">
        <f t="shared" si="635"/>
        <v>0</v>
      </c>
      <c r="P6735">
        <f t="shared" si="632"/>
        <v>5650</v>
      </c>
      <c r="Q6735">
        <f t="shared" si="636"/>
        <v>5650</v>
      </c>
      <c r="T6735" s="16">
        <f t="shared" si="637"/>
        <v>1.3417116596227305</v>
      </c>
    </row>
    <row r="6736" spans="7:20" ht="14.4" x14ac:dyDescent="0.25">
      <c r="G6736" s="10">
        <v>1514</v>
      </c>
      <c r="H6736" s="9">
        <v>10948</v>
      </c>
      <c r="I6736" s="14">
        <f>DATE(2012,12,31)-140</f>
        <v>41134</v>
      </c>
      <c r="J6736" s="15" t="s">
        <v>16</v>
      </c>
      <c r="K6736" s="9">
        <v>50</v>
      </c>
      <c r="L6736" s="16" t="s">
        <v>26</v>
      </c>
      <c r="M6736" s="16">
        <f t="shared" si="633"/>
        <v>1.687010542718838</v>
      </c>
      <c r="N6736">
        <f t="shared" si="634"/>
        <v>0</v>
      </c>
      <c r="O6736">
        <f t="shared" si="635"/>
        <v>0</v>
      </c>
      <c r="P6736">
        <f t="shared" si="632"/>
        <v>5900</v>
      </c>
      <c r="Q6736">
        <f t="shared" si="636"/>
        <v>5900</v>
      </c>
      <c r="T6736" s="16">
        <f t="shared" si="637"/>
        <v>1.6870105427188375</v>
      </c>
    </row>
    <row r="6737" spans="7:20" ht="14.4" x14ac:dyDescent="0.25">
      <c r="G6737" s="10">
        <v>1530</v>
      </c>
      <c r="H6737" s="9">
        <v>11014</v>
      </c>
      <c r="I6737" s="14">
        <f>DATE(2012,12,31)-846</f>
        <v>40428</v>
      </c>
      <c r="J6737" s="15" t="s">
        <v>17</v>
      </c>
      <c r="K6737" s="9">
        <v>13</v>
      </c>
      <c r="L6737" s="16" t="s">
        <v>26</v>
      </c>
      <c r="M6737" s="16">
        <f t="shared" si="633"/>
        <v>-0.86820119219235514</v>
      </c>
      <c r="N6737">
        <f t="shared" si="634"/>
        <v>0</v>
      </c>
      <c r="O6737">
        <f t="shared" si="635"/>
        <v>0</v>
      </c>
      <c r="P6737">
        <f t="shared" si="632"/>
        <v>4050</v>
      </c>
      <c r="Q6737">
        <f t="shared" si="636"/>
        <v>4050</v>
      </c>
      <c r="T6737" s="16">
        <f t="shared" si="637"/>
        <v>-0.86820119219235548</v>
      </c>
    </row>
    <row r="6738" spans="7:20" ht="14.4" x14ac:dyDescent="0.25">
      <c r="G6738" s="10">
        <v>1539</v>
      </c>
      <c r="H6738" s="9">
        <v>11077</v>
      </c>
      <c r="I6738" s="14">
        <f>DATE(2012,12,31)-1382</f>
        <v>39892</v>
      </c>
      <c r="J6738" s="15" t="s">
        <v>25</v>
      </c>
      <c r="K6738" s="9">
        <v>30</v>
      </c>
      <c r="L6738" s="16" t="s">
        <v>29</v>
      </c>
      <c r="M6738" s="16">
        <f t="shared" si="633"/>
        <v>0.30581501033440933</v>
      </c>
      <c r="N6738">
        <f t="shared" si="634"/>
        <v>0</v>
      </c>
      <c r="O6738">
        <f t="shared" si="635"/>
        <v>0</v>
      </c>
      <c r="P6738">
        <f t="shared" si="632"/>
        <v>4900</v>
      </c>
      <c r="Q6738">
        <f t="shared" si="636"/>
        <v>4900</v>
      </c>
      <c r="T6738" s="16">
        <f t="shared" si="637"/>
        <v>0.30581501033440894</v>
      </c>
    </row>
    <row r="6739" spans="7:20" ht="14.4" x14ac:dyDescent="0.25">
      <c r="G6739" s="10">
        <v>1550</v>
      </c>
      <c r="H6739" s="9">
        <v>11174</v>
      </c>
      <c r="I6739" s="14">
        <f>DATE(2012,12,31)-1362</f>
        <v>39912</v>
      </c>
      <c r="J6739" s="15" t="s">
        <v>16</v>
      </c>
      <c r="K6739" s="9">
        <v>30</v>
      </c>
      <c r="L6739" s="16" t="s">
        <v>27</v>
      </c>
      <c r="M6739" s="16">
        <f t="shared" si="633"/>
        <v>0.30581501033440933</v>
      </c>
      <c r="N6739">
        <f t="shared" si="634"/>
        <v>0</v>
      </c>
      <c r="O6739">
        <f t="shared" si="635"/>
        <v>0</v>
      </c>
      <c r="P6739">
        <f t="shared" si="632"/>
        <v>4900</v>
      </c>
      <c r="Q6739">
        <f t="shared" si="636"/>
        <v>4900</v>
      </c>
      <c r="T6739" s="16">
        <f t="shared" si="637"/>
        <v>0.30581501033440894</v>
      </c>
    </row>
    <row r="6740" spans="7:20" ht="14.4" x14ac:dyDescent="0.25">
      <c r="G6740" s="10">
        <v>1555</v>
      </c>
      <c r="H6740" s="9">
        <v>11236</v>
      </c>
      <c r="I6740" s="14">
        <f>DATE(2012,12,31)-793</f>
        <v>40481</v>
      </c>
      <c r="J6740" s="15" t="s">
        <v>17</v>
      </c>
      <c r="K6740" s="9">
        <v>45</v>
      </c>
      <c r="L6740" s="16" t="s">
        <v>26</v>
      </c>
      <c r="M6740" s="16">
        <f t="shared" si="633"/>
        <v>1.3417116596227308</v>
      </c>
      <c r="N6740">
        <f t="shared" si="634"/>
        <v>0</v>
      </c>
      <c r="O6740">
        <f t="shared" si="635"/>
        <v>0</v>
      </c>
      <c r="P6740">
        <f t="shared" si="632"/>
        <v>5650</v>
      </c>
      <c r="Q6740">
        <f t="shared" si="636"/>
        <v>5650</v>
      </c>
      <c r="T6740" s="16">
        <f t="shared" si="637"/>
        <v>1.3417116596227305</v>
      </c>
    </row>
    <row r="6741" spans="7:20" ht="14.4" x14ac:dyDescent="0.25">
      <c r="G6741" s="10">
        <v>1556</v>
      </c>
      <c r="H6741" s="9">
        <v>11236</v>
      </c>
      <c r="I6741" s="14">
        <f>DATE(2012,12,31)-793</f>
        <v>40481</v>
      </c>
      <c r="J6741" s="15" t="s">
        <v>17</v>
      </c>
      <c r="K6741" s="9">
        <v>15</v>
      </c>
      <c r="L6741" s="16" t="s">
        <v>26</v>
      </c>
      <c r="M6741" s="16">
        <f t="shared" si="633"/>
        <v>-0.7300816389539122</v>
      </c>
      <c r="N6741">
        <f t="shared" si="634"/>
        <v>0</v>
      </c>
      <c r="O6741">
        <f t="shared" si="635"/>
        <v>0</v>
      </c>
      <c r="P6741">
        <f t="shared" si="632"/>
        <v>4150</v>
      </c>
      <c r="Q6741">
        <f t="shared" si="636"/>
        <v>4150</v>
      </c>
      <c r="T6741" s="16">
        <f t="shared" si="637"/>
        <v>-0.73008163895391265</v>
      </c>
    </row>
    <row r="6742" spans="7:20" ht="14.4" x14ac:dyDescent="0.25">
      <c r="G6742" s="10">
        <v>1611</v>
      </c>
      <c r="H6742" s="9">
        <v>11680</v>
      </c>
      <c r="I6742" s="14">
        <f>DATE(2012,12,31)-1214</f>
        <v>40060</v>
      </c>
      <c r="J6742" s="15" t="s">
        <v>16</v>
      </c>
      <c r="K6742" s="9">
        <v>50</v>
      </c>
      <c r="L6742" s="16" t="s">
        <v>27</v>
      </c>
      <c r="M6742" s="16">
        <f t="shared" si="633"/>
        <v>1.687010542718838</v>
      </c>
      <c r="N6742">
        <f t="shared" si="634"/>
        <v>0</v>
      </c>
      <c r="O6742">
        <f t="shared" si="635"/>
        <v>0</v>
      </c>
      <c r="P6742">
        <f t="shared" si="632"/>
        <v>5900</v>
      </c>
      <c r="Q6742">
        <f t="shared" si="636"/>
        <v>5900</v>
      </c>
      <c r="T6742" s="16">
        <f t="shared" si="637"/>
        <v>1.6870105427188375</v>
      </c>
    </row>
    <row r="6743" spans="7:20" ht="14.4" x14ac:dyDescent="0.25">
      <c r="G6743" s="10">
        <v>1612</v>
      </c>
      <c r="H6743" s="9">
        <v>11682</v>
      </c>
      <c r="I6743" s="14">
        <f>DATE(2012,12,31)-911</f>
        <v>40363</v>
      </c>
      <c r="J6743" s="15" t="s">
        <v>25</v>
      </c>
      <c r="K6743" s="9">
        <v>5</v>
      </c>
      <c r="L6743" s="16" t="s">
        <v>27</v>
      </c>
      <c r="M6743" s="16">
        <f t="shared" si="633"/>
        <v>-1.4206794051461267</v>
      </c>
      <c r="N6743">
        <f t="shared" si="634"/>
        <v>0</v>
      </c>
      <c r="O6743">
        <f t="shared" si="635"/>
        <v>0</v>
      </c>
      <c r="P6743">
        <f t="shared" si="632"/>
        <v>3650</v>
      </c>
      <c r="Q6743">
        <f t="shared" si="636"/>
        <v>3650</v>
      </c>
      <c r="T6743" s="16">
        <f t="shared" si="637"/>
        <v>-1.4206794051461269</v>
      </c>
    </row>
    <row r="6744" spans="7:20" ht="14.4" x14ac:dyDescent="0.25">
      <c r="G6744" s="10">
        <v>1618</v>
      </c>
      <c r="H6744" s="9">
        <v>11714</v>
      </c>
      <c r="I6744" s="14">
        <f>DATE(2012,12,31)-1245</f>
        <v>40029</v>
      </c>
      <c r="J6744" s="15" t="s">
        <v>30</v>
      </c>
      <c r="K6744" s="9">
        <v>1</v>
      </c>
      <c r="L6744" s="16" t="s">
        <v>27</v>
      </c>
      <c r="M6744" s="16">
        <f t="shared" si="633"/>
        <v>-1.6969185116230123</v>
      </c>
      <c r="N6744">
        <f t="shared" si="634"/>
        <v>0</v>
      </c>
      <c r="O6744">
        <f t="shared" si="635"/>
        <v>0</v>
      </c>
      <c r="P6744">
        <f t="shared" si="632"/>
        <v>3450</v>
      </c>
      <c r="Q6744">
        <f t="shared" si="636"/>
        <v>3450</v>
      </c>
      <c r="T6744" s="16">
        <f t="shared" si="637"/>
        <v>-1.6969185116230128</v>
      </c>
    </row>
    <row r="6745" spans="7:20" ht="14.4" x14ac:dyDescent="0.25">
      <c r="G6745" s="10">
        <v>1619</v>
      </c>
      <c r="H6745" s="9">
        <v>11714</v>
      </c>
      <c r="I6745" s="14">
        <f>DATE(2012,12,31)-1245</f>
        <v>40029</v>
      </c>
      <c r="J6745" s="15" t="s">
        <v>30</v>
      </c>
      <c r="K6745" s="9">
        <v>9</v>
      </c>
      <c r="L6745" s="16" t="s">
        <v>26</v>
      </c>
      <c r="M6745" s="16">
        <f t="shared" si="633"/>
        <v>-1.1444402986692408</v>
      </c>
      <c r="N6745">
        <f t="shared" si="634"/>
        <v>0</v>
      </c>
      <c r="O6745">
        <f t="shared" si="635"/>
        <v>0</v>
      </c>
      <c r="P6745">
        <f t="shared" si="632"/>
        <v>3850</v>
      </c>
      <c r="Q6745">
        <f t="shared" si="636"/>
        <v>3850</v>
      </c>
      <c r="T6745" s="16">
        <f t="shared" si="637"/>
        <v>-1.1444402986692412</v>
      </c>
    </row>
    <row r="6746" spans="7:20" ht="14.4" x14ac:dyDescent="0.25">
      <c r="G6746" s="10">
        <v>1625</v>
      </c>
      <c r="H6746" s="9">
        <v>11748</v>
      </c>
      <c r="I6746" s="14">
        <f>DATE(2012,12,31)-1307</f>
        <v>39967</v>
      </c>
      <c r="J6746" s="15" t="s">
        <v>28</v>
      </c>
      <c r="K6746" s="9">
        <v>23</v>
      </c>
      <c r="L6746" s="16" t="s">
        <v>29</v>
      </c>
      <c r="M6746" s="16">
        <f t="shared" si="633"/>
        <v>-0.17760342600014073</v>
      </c>
      <c r="N6746">
        <f t="shared" si="634"/>
        <v>0</v>
      </c>
      <c r="O6746">
        <f t="shared" si="635"/>
        <v>0</v>
      </c>
      <c r="P6746">
        <f t="shared" si="632"/>
        <v>4550</v>
      </c>
      <c r="Q6746">
        <f t="shared" si="636"/>
        <v>4550</v>
      </c>
      <c r="T6746" s="16">
        <f t="shared" si="637"/>
        <v>-0.17760342600014112</v>
      </c>
    </row>
    <row r="6747" spans="7:20" ht="14.4" x14ac:dyDescent="0.25">
      <c r="G6747" s="10">
        <v>1630</v>
      </c>
      <c r="H6747" s="9">
        <v>11780</v>
      </c>
      <c r="I6747" s="14">
        <f>DATE(2012,12,31)-832</f>
        <v>40442</v>
      </c>
      <c r="J6747" s="15" t="s">
        <v>30</v>
      </c>
      <c r="K6747" s="9">
        <v>7</v>
      </c>
      <c r="L6747" s="16" t="s">
        <v>26</v>
      </c>
      <c r="M6747" s="16">
        <f t="shared" si="633"/>
        <v>-1.2825598519076837</v>
      </c>
      <c r="N6747">
        <f t="shared" si="634"/>
        <v>0</v>
      </c>
      <c r="O6747">
        <f t="shared" si="635"/>
        <v>0</v>
      </c>
      <c r="P6747">
        <f t="shared" si="632"/>
        <v>3750</v>
      </c>
      <c r="Q6747">
        <f t="shared" si="636"/>
        <v>3750</v>
      </c>
      <c r="T6747" s="16">
        <f t="shared" si="637"/>
        <v>-1.2825598519076842</v>
      </c>
    </row>
    <row r="6748" spans="7:20" ht="14.4" x14ac:dyDescent="0.25">
      <c r="G6748" s="10">
        <v>1666</v>
      </c>
      <c r="H6748" s="9">
        <v>12007</v>
      </c>
      <c r="I6748" s="14">
        <f>DATE(2012,12,31)-1191</f>
        <v>40083</v>
      </c>
      <c r="J6748" s="15" t="s">
        <v>28</v>
      </c>
      <c r="K6748" s="9">
        <v>42</v>
      </c>
      <c r="L6748" s="16" t="s">
        <v>26</v>
      </c>
      <c r="M6748" s="16">
        <f t="shared" si="633"/>
        <v>1.1345323297650665</v>
      </c>
      <c r="N6748">
        <f t="shared" si="634"/>
        <v>0</v>
      </c>
      <c r="O6748">
        <f t="shared" si="635"/>
        <v>0</v>
      </c>
      <c r="P6748">
        <f t="shared" si="632"/>
        <v>5500</v>
      </c>
      <c r="Q6748">
        <f t="shared" si="636"/>
        <v>5500</v>
      </c>
      <c r="T6748" s="16">
        <f t="shared" si="637"/>
        <v>1.1345323297650662</v>
      </c>
    </row>
    <row r="6749" spans="7:20" ht="14.4" x14ac:dyDescent="0.25">
      <c r="G6749" s="10">
        <v>1668</v>
      </c>
      <c r="H6749" s="9">
        <v>12039</v>
      </c>
      <c r="I6749" s="14">
        <f>DATE(2012,12,31)-929</f>
        <v>40345</v>
      </c>
      <c r="J6749" s="15" t="s">
        <v>17</v>
      </c>
      <c r="K6749" s="9">
        <v>13</v>
      </c>
      <c r="L6749" s="16" t="s">
        <v>27</v>
      </c>
      <c r="M6749" s="16">
        <f t="shared" si="633"/>
        <v>-0.86820119219235514</v>
      </c>
      <c r="N6749">
        <f t="shared" si="634"/>
        <v>0</v>
      </c>
      <c r="O6749">
        <f t="shared" si="635"/>
        <v>0</v>
      </c>
      <c r="P6749">
        <f t="shared" si="632"/>
        <v>4050</v>
      </c>
      <c r="Q6749">
        <f t="shared" si="636"/>
        <v>4050</v>
      </c>
      <c r="T6749" s="16">
        <f t="shared" si="637"/>
        <v>-0.86820119219235548</v>
      </c>
    </row>
    <row r="6750" spans="7:20" ht="14.4" x14ac:dyDescent="0.25">
      <c r="G6750" s="10">
        <v>1669</v>
      </c>
      <c r="H6750" s="9">
        <v>12066</v>
      </c>
      <c r="I6750" s="14">
        <f>DATE(2012,12,31)-694</f>
        <v>40580</v>
      </c>
      <c r="J6750" s="15" t="s">
        <v>16</v>
      </c>
      <c r="K6750" s="9">
        <v>27</v>
      </c>
      <c r="L6750" s="16" t="s">
        <v>27</v>
      </c>
      <c r="M6750" s="16">
        <f t="shared" si="633"/>
        <v>9.8635680476745008E-2</v>
      </c>
      <c r="N6750">
        <f t="shared" si="634"/>
        <v>0</v>
      </c>
      <c r="O6750">
        <f t="shared" si="635"/>
        <v>0</v>
      </c>
      <c r="P6750">
        <f t="shared" si="632"/>
        <v>4750</v>
      </c>
      <c r="Q6750">
        <f t="shared" si="636"/>
        <v>4750</v>
      </c>
      <c r="T6750" s="16">
        <f t="shared" si="637"/>
        <v>9.8635680476744619E-2</v>
      </c>
    </row>
    <row r="6751" spans="7:20" ht="14.4" x14ac:dyDescent="0.25">
      <c r="G6751" s="10">
        <v>1708</v>
      </c>
      <c r="H6751" s="9">
        <v>12262</v>
      </c>
      <c r="I6751" s="14">
        <f>DATE(2012,12,31)-387</f>
        <v>40887</v>
      </c>
      <c r="J6751" s="15" t="s">
        <v>25</v>
      </c>
      <c r="K6751" s="9">
        <v>45</v>
      </c>
      <c r="L6751" s="16" t="s">
        <v>29</v>
      </c>
      <c r="M6751" s="16">
        <f t="shared" si="633"/>
        <v>1.3417116596227308</v>
      </c>
      <c r="N6751">
        <f t="shared" si="634"/>
        <v>0</v>
      </c>
      <c r="O6751">
        <f t="shared" si="635"/>
        <v>0</v>
      </c>
      <c r="P6751">
        <f t="shared" si="632"/>
        <v>5650</v>
      </c>
      <c r="Q6751">
        <f t="shared" si="636"/>
        <v>5650</v>
      </c>
      <c r="T6751" s="16">
        <f t="shared" si="637"/>
        <v>1.3417116596227305</v>
      </c>
    </row>
    <row r="6752" spans="7:20" ht="14.4" x14ac:dyDescent="0.25">
      <c r="G6752" s="10">
        <v>1746</v>
      </c>
      <c r="H6752" s="9">
        <v>12486</v>
      </c>
      <c r="I6752" s="14">
        <f>DATE(2012,12,31)-680</f>
        <v>40594</v>
      </c>
      <c r="J6752" s="15" t="s">
        <v>17</v>
      </c>
      <c r="K6752" s="9">
        <v>31</v>
      </c>
      <c r="L6752" s="16" t="s">
        <v>29</v>
      </c>
      <c r="M6752" s="16">
        <f t="shared" si="633"/>
        <v>0.37487478695363075</v>
      </c>
      <c r="N6752">
        <f t="shared" si="634"/>
        <v>0</v>
      </c>
      <c r="O6752">
        <f t="shared" si="635"/>
        <v>0</v>
      </c>
      <c r="P6752">
        <f t="shared" si="632"/>
        <v>4950</v>
      </c>
      <c r="Q6752">
        <f t="shared" si="636"/>
        <v>4950</v>
      </c>
      <c r="T6752" s="16">
        <f t="shared" si="637"/>
        <v>0.37487478695363036</v>
      </c>
    </row>
    <row r="6753" spans="7:20" ht="14.4" x14ac:dyDescent="0.25">
      <c r="G6753" s="10">
        <v>1747</v>
      </c>
      <c r="H6753" s="9">
        <v>12486</v>
      </c>
      <c r="I6753" s="14">
        <f>DATE(2012,12,31)-680</f>
        <v>40594</v>
      </c>
      <c r="J6753" s="15" t="s">
        <v>17</v>
      </c>
      <c r="K6753" s="9">
        <v>42</v>
      </c>
      <c r="L6753" s="16" t="s">
        <v>26</v>
      </c>
      <c r="M6753" s="16">
        <f t="shared" si="633"/>
        <v>1.1345323297650665</v>
      </c>
      <c r="N6753">
        <f t="shared" si="634"/>
        <v>0</v>
      </c>
      <c r="O6753">
        <f t="shared" si="635"/>
        <v>0</v>
      </c>
      <c r="P6753">
        <f t="shared" si="632"/>
        <v>5500</v>
      </c>
      <c r="Q6753">
        <f t="shared" si="636"/>
        <v>5500</v>
      </c>
      <c r="T6753" s="16">
        <f t="shared" si="637"/>
        <v>1.1345323297650662</v>
      </c>
    </row>
    <row r="6754" spans="7:20" ht="14.4" x14ac:dyDescent="0.25">
      <c r="G6754" s="10">
        <v>1755</v>
      </c>
      <c r="H6754" s="9">
        <v>12580</v>
      </c>
      <c r="I6754" s="14">
        <f>DATE(2012,12,31)-1083</f>
        <v>40191</v>
      </c>
      <c r="J6754" s="15" t="s">
        <v>25</v>
      </c>
      <c r="K6754" s="9">
        <v>50</v>
      </c>
      <c r="L6754" s="16" t="s">
        <v>26</v>
      </c>
      <c r="M6754" s="16">
        <f t="shared" si="633"/>
        <v>1.687010542718838</v>
      </c>
      <c r="N6754">
        <f t="shared" si="634"/>
        <v>0</v>
      </c>
      <c r="O6754">
        <f t="shared" si="635"/>
        <v>0</v>
      </c>
      <c r="P6754">
        <f t="shared" si="632"/>
        <v>5900</v>
      </c>
      <c r="Q6754">
        <f t="shared" si="636"/>
        <v>5900</v>
      </c>
      <c r="T6754" s="16">
        <f t="shared" si="637"/>
        <v>1.6870105427188375</v>
      </c>
    </row>
    <row r="6755" spans="7:20" ht="14.4" x14ac:dyDescent="0.25">
      <c r="G6755" s="10">
        <v>1758</v>
      </c>
      <c r="H6755" s="9">
        <v>12612</v>
      </c>
      <c r="I6755" s="14">
        <f>DATE(2012,12,31)-741</f>
        <v>40533</v>
      </c>
      <c r="J6755" s="15" t="s">
        <v>25</v>
      </c>
      <c r="K6755" s="9">
        <v>29</v>
      </c>
      <c r="L6755" s="16" t="s">
        <v>26</v>
      </c>
      <c r="M6755" s="16">
        <f t="shared" si="633"/>
        <v>0.23675523371518786</v>
      </c>
      <c r="N6755">
        <f t="shared" si="634"/>
        <v>0</v>
      </c>
      <c r="O6755">
        <f t="shared" si="635"/>
        <v>0</v>
      </c>
      <c r="P6755">
        <f t="shared" si="632"/>
        <v>4850</v>
      </c>
      <c r="Q6755">
        <f t="shared" si="636"/>
        <v>4850</v>
      </c>
      <c r="T6755" s="16">
        <f t="shared" si="637"/>
        <v>0.2367552337151875</v>
      </c>
    </row>
    <row r="6756" spans="7:20" ht="14.4" x14ac:dyDescent="0.25">
      <c r="G6756" s="10">
        <v>1759</v>
      </c>
      <c r="H6756" s="9">
        <v>12612</v>
      </c>
      <c r="I6756" s="14">
        <f>DATE(2012,12,31)-741</f>
        <v>40533</v>
      </c>
      <c r="J6756" s="15" t="s">
        <v>25</v>
      </c>
      <c r="K6756" s="9">
        <v>49</v>
      </c>
      <c r="L6756" s="16" t="s">
        <v>26</v>
      </c>
      <c r="M6756" s="16">
        <f t="shared" si="633"/>
        <v>1.6179507660996166</v>
      </c>
      <c r="N6756">
        <f t="shared" si="634"/>
        <v>0</v>
      </c>
      <c r="O6756">
        <f t="shared" si="635"/>
        <v>0</v>
      </c>
      <c r="P6756">
        <f t="shared" si="632"/>
        <v>5850</v>
      </c>
      <c r="Q6756">
        <f t="shared" si="636"/>
        <v>5850</v>
      </c>
      <c r="T6756" s="16">
        <f t="shared" si="637"/>
        <v>1.6179507660996162</v>
      </c>
    </row>
    <row r="6757" spans="7:20" ht="14.4" x14ac:dyDescent="0.25">
      <c r="G6757" s="10">
        <v>1772</v>
      </c>
      <c r="H6757" s="9">
        <v>12706</v>
      </c>
      <c r="I6757" s="14">
        <f>DATE(2012,12,31)-1137</f>
        <v>40137</v>
      </c>
      <c r="J6757" s="15" t="s">
        <v>30</v>
      </c>
      <c r="K6757" s="9">
        <v>46</v>
      </c>
      <c r="L6757" s="16" t="s">
        <v>29</v>
      </c>
      <c r="M6757" s="16">
        <f t="shared" si="633"/>
        <v>1.4107714362419523</v>
      </c>
      <c r="N6757">
        <f t="shared" si="634"/>
        <v>0</v>
      </c>
      <c r="O6757">
        <f t="shared" si="635"/>
        <v>0</v>
      </c>
      <c r="P6757">
        <f t="shared" si="632"/>
        <v>5700</v>
      </c>
      <c r="Q6757">
        <f t="shared" si="636"/>
        <v>5700</v>
      </c>
      <c r="T6757" s="16">
        <f t="shared" si="637"/>
        <v>1.4107714362419519</v>
      </c>
    </row>
    <row r="6758" spans="7:20" ht="14.4" x14ac:dyDescent="0.25">
      <c r="G6758" s="10">
        <v>1774</v>
      </c>
      <c r="H6758" s="9">
        <v>12708</v>
      </c>
      <c r="I6758" s="14">
        <f>DATE(2012,12,31)-1089</f>
        <v>40185</v>
      </c>
      <c r="J6758" s="15" t="s">
        <v>25</v>
      </c>
      <c r="K6758" s="9">
        <v>44</v>
      </c>
      <c r="L6758" s="16" t="s">
        <v>26</v>
      </c>
      <c r="M6758" s="16">
        <f t="shared" si="633"/>
        <v>1.2726518830035094</v>
      </c>
      <c r="N6758">
        <f t="shared" si="634"/>
        <v>0</v>
      </c>
      <c r="O6758">
        <f t="shared" si="635"/>
        <v>0</v>
      </c>
      <c r="P6758">
        <f t="shared" si="632"/>
        <v>5600</v>
      </c>
      <c r="Q6758">
        <f t="shared" si="636"/>
        <v>5600</v>
      </c>
      <c r="T6758" s="16">
        <f t="shared" si="637"/>
        <v>1.272651883003509</v>
      </c>
    </row>
    <row r="6759" spans="7:20" ht="14.4" x14ac:dyDescent="0.25">
      <c r="G6759" s="10">
        <v>1808</v>
      </c>
      <c r="H6759" s="9">
        <v>12930</v>
      </c>
      <c r="I6759" s="14">
        <f>DATE(2012,12,31)-403</f>
        <v>40871</v>
      </c>
      <c r="J6759" s="15" t="s">
        <v>17</v>
      </c>
      <c r="K6759" s="9">
        <v>49</v>
      </c>
      <c r="L6759" s="16" t="s">
        <v>26</v>
      </c>
      <c r="M6759" s="16">
        <f t="shared" si="633"/>
        <v>1.6179507660996166</v>
      </c>
      <c r="N6759">
        <f t="shared" si="634"/>
        <v>0</v>
      </c>
      <c r="O6759">
        <f t="shared" si="635"/>
        <v>0</v>
      </c>
      <c r="P6759">
        <f t="shared" si="632"/>
        <v>5850</v>
      </c>
      <c r="Q6759">
        <f t="shared" si="636"/>
        <v>5850</v>
      </c>
      <c r="T6759" s="16">
        <f t="shared" si="637"/>
        <v>1.6179507660996162</v>
      </c>
    </row>
    <row r="6760" spans="7:20" ht="14.4" x14ac:dyDescent="0.25">
      <c r="G6760" s="10">
        <v>1812</v>
      </c>
      <c r="H6760" s="9">
        <v>12965</v>
      </c>
      <c r="I6760" s="14">
        <f>DATE(2012,12,31)-920</f>
        <v>40354</v>
      </c>
      <c r="J6760" s="15" t="s">
        <v>16</v>
      </c>
      <c r="K6760" s="9">
        <v>7</v>
      </c>
      <c r="L6760" s="16" t="s">
        <v>26</v>
      </c>
      <c r="M6760" s="16">
        <f t="shared" si="633"/>
        <v>-1.2825598519076837</v>
      </c>
      <c r="N6760">
        <f t="shared" si="634"/>
        <v>0</v>
      </c>
      <c r="O6760">
        <f t="shared" si="635"/>
        <v>0</v>
      </c>
      <c r="P6760">
        <f t="shared" si="632"/>
        <v>3750</v>
      </c>
      <c r="Q6760">
        <f t="shared" si="636"/>
        <v>3750</v>
      </c>
      <c r="T6760" s="16">
        <f t="shared" si="637"/>
        <v>-1.2825598519076842</v>
      </c>
    </row>
    <row r="6761" spans="7:20" ht="14.4" x14ac:dyDescent="0.25">
      <c r="G6761" s="10">
        <v>1813</v>
      </c>
      <c r="H6761" s="9">
        <v>12965</v>
      </c>
      <c r="I6761" s="14">
        <f>DATE(2012,12,31)-920</f>
        <v>40354</v>
      </c>
      <c r="J6761" s="15" t="s">
        <v>16</v>
      </c>
      <c r="K6761" s="9">
        <v>21</v>
      </c>
      <c r="L6761" s="16" t="s">
        <v>26</v>
      </c>
      <c r="M6761" s="16">
        <f t="shared" si="633"/>
        <v>-0.31572297923858361</v>
      </c>
      <c r="N6761">
        <f t="shared" si="634"/>
        <v>0</v>
      </c>
      <c r="O6761">
        <f t="shared" si="635"/>
        <v>0</v>
      </c>
      <c r="P6761">
        <f t="shared" si="632"/>
        <v>4450</v>
      </c>
      <c r="Q6761">
        <f t="shared" si="636"/>
        <v>4450</v>
      </c>
      <c r="T6761" s="16">
        <f t="shared" si="637"/>
        <v>-0.315722979238584</v>
      </c>
    </row>
    <row r="6762" spans="7:20" ht="14.4" x14ac:dyDescent="0.25">
      <c r="G6762" s="10">
        <v>1822</v>
      </c>
      <c r="H6762" s="9">
        <v>13090</v>
      </c>
      <c r="I6762" s="14">
        <f>DATE(2012,12,31)-889</f>
        <v>40385</v>
      </c>
      <c r="J6762" s="15" t="s">
        <v>28</v>
      </c>
      <c r="K6762" s="9">
        <v>15</v>
      </c>
      <c r="L6762" s="16" t="s">
        <v>26</v>
      </c>
      <c r="M6762" s="16">
        <f t="shared" si="633"/>
        <v>-0.7300816389539122</v>
      </c>
      <c r="N6762">
        <f t="shared" si="634"/>
        <v>0</v>
      </c>
      <c r="O6762">
        <f t="shared" si="635"/>
        <v>0</v>
      </c>
      <c r="P6762">
        <f t="shared" si="632"/>
        <v>4150</v>
      </c>
      <c r="Q6762">
        <f t="shared" si="636"/>
        <v>4150</v>
      </c>
      <c r="T6762" s="16">
        <f t="shared" si="637"/>
        <v>-0.73008163895391265</v>
      </c>
    </row>
    <row r="6763" spans="7:20" ht="14.4" x14ac:dyDescent="0.25">
      <c r="G6763" s="10">
        <v>1836</v>
      </c>
      <c r="H6763" s="9">
        <v>13157</v>
      </c>
      <c r="I6763" s="14">
        <f>DATE(2012,12,31)-324</f>
        <v>40950</v>
      </c>
      <c r="J6763" s="15" t="s">
        <v>16</v>
      </c>
      <c r="K6763" s="9">
        <v>2</v>
      </c>
      <c r="L6763" s="16" t="s">
        <v>27</v>
      </c>
      <c r="M6763" s="16">
        <f t="shared" si="633"/>
        <v>-1.627858735003791</v>
      </c>
      <c r="N6763">
        <f t="shared" si="634"/>
        <v>0</v>
      </c>
      <c r="O6763">
        <f t="shared" si="635"/>
        <v>0</v>
      </c>
      <c r="P6763">
        <f t="shared" si="632"/>
        <v>3500</v>
      </c>
      <c r="Q6763">
        <f t="shared" si="636"/>
        <v>3500</v>
      </c>
      <c r="T6763" s="16">
        <f t="shared" si="637"/>
        <v>-1.6278587350037912</v>
      </c>
    </row>
    <row r="6764" spans="7:20" ht="14.4" x14ac:dyDescent="0.25">
      <c r="G6764" s="10">
        <v>1838</v>
      </c>
      <c r="H6764" s="9">
        <v>13218</v>
      </c>
      <c r="I6764" s="14">
        <f>DATE(2012,12,31)-1325</f>
        <v>39949</v>
      </c>
      <c r="J6764" s="15" t="s">
        <v>17</v>
      </c>
      <c r="K6764" s="9">
        <v>18</v>
      </c>
      <c r="L6764" s="16" t="s">
        <v>26</v>
      </c>
      <c r="M6764" s="16">
        <f t="shared" si="633"/>
        <v>-0.52290230909624791</v>
      </c>
      <c r="N6764">
        <f t="shared" si="634"/>
        <v>0</v>
      </c>
      <c r="O6764">
        <f t="shared" si="635"/>
        <v>0</v>
      </c>
      <c r="P6764">
        <f t="shared" si="632"/>
        <v>4300</v>
      </c>
      <c r="Q6764">
        <f t="shared" si="636"/>
        <v>4300</v>
      </c>
      <c r="T6764" s="16">
        <f t="shared" si="637"/>
        <v>-0.52290230909624835</v>
      </c>
    </row>
    <row r="6765" spans="7:20" ht="14.4" x14ac:dyDescent="0.25">
      <c r="G6765" s="10">
        <v>1839</v>
      </c>
      <c r="H6765" s="9">
        <v>13218</v>
      </c>
      <c r="I6765" s="14">
        <f>DATE(2012,12,31)-1325</f>
        <v>39949</v>
      </c>
      <c r="J6765" s="15" t="s">
        <v>17</v>
      </c>
      <c r="K6765" s="9">
        <v>16</v>
      </c>
      <c r="L6765" s="16" t="s">
        <v>26</v>
      </c>
      <c r="M6765" s="16">
        <f t="shared" si="633"/>
        <v>-0.66102186233469074</v>
      </c>
      <c r="N6765">
        <f t="shared" si="634"/>
        <v>0</v>
      </c>
      <c r="O6765">
        <f t="shared" si="635"/>
        <v>0</v>
      </c>
      <c r="P6765">
        <f t="shared" si="632"/>
        <v>4200</v>
      </c>
      <c r="Q6765">
        <f t="shared" si="636"/>
        <v>4200</v>
      </c>
      <c r="T6765" s="16">
        <f t="shared" si="637"/>
        <v>-0.66102186233469118</v>
      </c>
    </row>
    <row r="6766" spans="7:20" ht="14.4" x14ac:dyDescent="0.25">
      <c r="G6766" s="10">
        <v>1852</v>
      </c>
      <c r="H6766" s="9">
        <v>13314</v>
      </c>
      <c r="I6766" s="14">
        <f>DATE(2012,12,31)-1328</f>
        <v>39946</v>
      </c>
      <c r="J6766" s="15" t="s">
        <v>17</v>
      </c>
      <c r="K6766" s="9">
        <v>34</v>
      </c>
      <c r="L6766" s="16" t="s">
        <v>26</v>
      </c>
      <c r="M6766" s="16">
        <f t="shared" si="633"/>
        <v>0.58205411681129504</v>
      </c>
      <c r="N6766">
        <f t="shared" si="634"/>
        <v>0</v>
      </c>
      <c r="O6766">
        <f t="shared" si="635"/>
        <v>0</v>
      </c>
      <c r="P6766">
        <f t="shared" si="632"/>
        <v>5100</v>
      </c>
      <c r="Q6766">
        <f t="shared" si="636"/>
        <v>5100</v>
      </c>
      <c r="T6766" s="16">
        <f t="shared" si="637"/>
        <v>0.58205411681129471</v>
      </c>
    </row>
    <row r="6767" spans="7:20" ht="14.4" x14ac:dyDescent="0.25">
      <c r="G6767" s="10">
        <v>1877</v>
      </c>
      <c r="H6767" s="9">
        <v>13536</v>
      </c>
      <c r="I6767" s="14">
        <f>DATE(2012,12,31)-1231</f>
        <v>40043</v>
      </c>
      <c r="J6767" s="15" t="s">
        <v>16</v>
      </c>
      <c r="K6767" s="9">
        <v>23</v>
      </c>
      <c r="L6767" s="16" t="s">
        <v>26</v>
      </c>
      <c r="M6767" s="16">
        <f t="shared" si="633"/>
        <v>-0.17760342600014073</v>
      </c>
      <c r="N6767">
        <f t="shared" si="634"/>
        <v>0</v>
      </c>
      <c r="O6767">
        <f t="shared" si="635"/>
        <v>0</v>
      </c>
      <c r="P6767">
        <f t="shared" si="632"/>
        <v>4550</v>
      </c>
      <c r="Q6767">
        <f t="shared" si="636"/>
        <v>4550</v>
      </c>
      <c r="T6767" s="16">
        <f t="shared" si="637"/>
        <v>-0.17760342600014112</v>
      </c>
    </row>
    <row r="6768" spans="7:20" ht="14.4" x14ac:dyDescent="0.25">
      <c r="G6768" s="10">
        <v>1887</v>
      </c>
      <c r="H6768" s="9">
        <v>13569</v>
      </c>
      <c r="I6768" s="14">
        <f>DATE(2012,12,31)-631</f>
        <v>40643</v>
      </c>
      <c r="J6768" s="15" t="s">
        <v>30</v>
      </c>
      <c r="K6768" s="9">
        <v>13</v>
      </c>
      <c r="L6768" s="16" t="s">
        <v>26</v>
      </c>
      <c r="M6768" s="16">
        <f t="shared" si="633"/>
        <v>-0.86820119219235514</v>
      </c>
      <c r="N6768">
        <f t="shared" si="634"/>
        <v>0</v>
      </c>
      <c r="O6768">
        <f t="shared" si="635"/>
        <v>0</v>
      </c>
      <c r="P6768">
        <f t="shared" si="632"/>
        <v>4050</v>
      </c>
      <c r="Q6768">
        <f t="shared" si="636"/>
        <v>4050</v>
      </c>
      <c r="T6768" s="16">
        <f t="shared" si="637"/>
        <v>-0.86820119219235548</v>
      </c>
    </row>
    <row r="6769" spans="7:20" ht="14.4" x14ac:dyDescent="0.25">
      <c r="G6769" s="10">
        <v>1888</v>
      </c>
      <c r="H6769" s="9">
        <v>13569</v>
      </c>
      <c r="I6769" s="14">
        <f>DATE(2012,12,31)-631</f>
        <v>40643</v>
      </c>
      <c r="J6769" s="15" t="s">
        <v>30</v>
      </c>
      <c r="K6769" s="9">
        <v>16</v>
      </c>
      <c r="L6769" s="16" t="s">
        <v>26</v>
      </c>
      <c r="M6769" s="16">
        <f t="shared" si="633"/>
        <v>-0.66102186233469074</v>
      </c>
      <c r="N6769">
        <f t="shared" si="634"/>
        <v>0</v>
      </c>
      <c r="O6769">
        <f t="shared" si="635"/>
        <v>0</v>
      </c>
      <c r="P6769">
        <f t="shared" si="632"/>
        <v>4200</v>
      </c>
      <c r="Q6769">
        <f t="shared" si="636"/>
        <v>4200</v>
      </c>
      <c r="T6769" s="16">
        <f t="shared" si="637"/>
        <v>-0.66102186233469118</v>
      </c>
    </row>
    <row r="6770" spans="7:20" ht="14.4" x14ac:dyDescent="0.25">
      <c r="G6770" s="10">
        <v>1889</v>
      </c>
      <c r="H6770" s="9">
        <v>13570</v>
      </c>
      <c r="I6770" s="14">
        <f>DATE(2012,12,31)-29</f>
        <v>41245</v>
      </c>
      <c r="J6770" s="15" t="s">
        <v>28</v>
      </c>
      <c r="K6770" s="9">
        <v>2</v>
      </c>
      <c r="L6770" s="16" t="s">
        <v>29</v>
      </c>
      <c r="M6770" s="16">
        <f t="shared" si="633"/>
        <v>-1.627858735003791</v>
      </c>
      <c r="N6770">
        <f t="shared" si="634"/>
        <v>0</v>
      </c>
      <c r="O6770">
        <f t="shared" si="635"/>
        <v>0</v>
      </c>
      <c r="P6770">
        <f t="shared" si="632"/>
        <v>3500</v>
      </c>
      <c r="Q6770">
        <f t="shared" si="636"/>
        <v>3500</v>
      </c>
      <c r="T6770" s="16">
        <f t="shared" si="637"/>
        <v>-1.6278587350037912</v>
      </c>
    </row>
    <row r="6771" spans="7:20" ht="14.4" x14ac:dyDescent="0.25">
      <c r="G6771" s="10">
        <v>1890</v>
      </c>
      <c r="H6771" s="9">
        <v>13570</v>
      </c>
      <c r="I6771" s="14">
        <f>DATE(2012,12,31)-29</f>
        <v>41245</v>
      </c>
      <c r="J6771" s="15" t="s">
        <v>28</v>
      </c>
      <c r="K6771" s="9">
        <v>42</v>
      </c>
      <c r="L6771" s="16" t="s">
        <v>27</v>
      </c>
      <c r="M6771" s="16">
        <f t="shared" si="633"/>
        <v>1.1345323297650665</v>
      </c>
      <c r="N6771">
        <f t="shared" si="634"/>
        <v>0</v>
      </c>
      <c r="O6771">
        <f t="shared" si="635"/>
        <v>0</v>
      </c>
      <c r="P6771">
        <f t="shared" si="632"/>
        <v>5500</v>
      </c>
      <c r="Q6771">
        <f t="shared" si="636"/>
        <v>5500</v>
      </c>
      <c r="T6771" s="16">
        <f t="shared" si="637"/>
        <v>1.1345323297650662</v>
      </c>
    </row>
    <row r="6772" spans="7:20" ht="14.4" x14ac:dyDescent="0.25">
      <c r="G6772" s="10">
        <v>1894</v>
      </c>
      <c r="H6772" s="9">
        <v>13602</v>
      </c>
      <c r="I6772" s="14">
        <f>DATE(2012,12,31)-1448</f>
        <v>39826</v>
      </c>
      <c r="J6772" s="15" t="s">
        <v>25</v>
      </c>
      <c r="K6772" s="9">
        <v>3</v>
      </c>
      <c r="L6772" s="16" t="s">
        <v>27</v>
      </c>
      <c r="M6772" s="16">
        <f t="shared" si="633"/>
        <v>-1.5587989583845694</v>
      </c>
      <c r="N6772">
        <f t="shared" si="634"/>
        <v>0</v>
      </c>
      <c r="O6772">
        <f t="shared" si="635"/>
        <v>0</v>
      </c>
      <c r="P6772">
        <f t="shared" si="632"/>
        <v>3550</v>
      </c>
      <c r="Q6772">
        <f t="shared" si="636"/>
        <v>3550</v>
      </c>
      <c r="T6772" s="16">
        <f t="shared" si="637"/>
        <v>-1.5587989583845698</v>
      </c>
    </row>
    <row r="6773" spans="7:20" ht="14.4" x14ac:dyDescent="0.25">
      <c r="G6773" s="10">
        <v>1895</v>
      </c>
      <c r="H6773" s="9">
        <v>13602</v>
      </c>
      <c r="I6773" s="14">
        <f>DATE(2012,12,31)-1448</f>
        <v>39826</v>
      </c>
      <c r="J6773" s="15" t="s">
        <v>25</v>
      </c>
      <c r="K6773" s="9">
        <v>13</v>
      </c>
      <c r="L6773" s="16" t="s">
        <v>26</v>
      </c>
      <c r="M6773" s="16">
        <f t="shared" si="633"/>
        <v>-0.86820119219235514</v>
      </c>
      <c r="N6773">
        <f t="shared" si="634"/>
        <v>0</v>
      </c>
      <c r="O6773">
        <f t="shared" si="635"/>
        <v>0</v>
      </c>
      <c r="P6773">
        <f t="shared" si="632"/>
        <v>4050</v>
      </c>
      <c r="Q6773">
        <f t="shared" si="636"/>
        <v>4050</v>
      </c>
      <c r="T6773" s="16">
        <f t="shared" si="637"/>
        <v>-0.86820119219235548</v>
      </c>
    </row>
    <row r="6774" spans="7:20" ht="14.4" x14ac:dyDescent="0.25">
      <c r="G6774" s="10">
        <v>1911</v>
      </c>
      <c r="H6774" s="9">
        <v>13668</v>
      </c>
      <c r="I6774" s="14">
        <f>DATE(2012,12,31)-311</f>
        <v>40963</v>
      </c>
      <c r="J6774" s="15" t="s">
        <v>30</v>
      </c>
      <c r="K6774" s="9">
        <v>42</v>
      </c>
      <c r="L6774" s="16" t="s">
        <v>29</v>
      </c>
      <c r="M6774" s="16">
        <f t="shared" si="633"/>
        <v>1.1345323297650665</v>
      </c>
      <c r="N6774">
        <f t="shared" si="634"/>
        <v>0</v>
      </c>
      <c r="O6774">
        <f t="shared" si="635"/>
        <v>0</v>
      </c>
      <c r="P6774">
        <f t="shared" si="632"/>
        <v>5500</v>
      </c>
      <c r="Q6774">
        <f t="shared" si="636"/>
        <v>5500</v>
      </c>
      <c r="T6774" s="16">
        <f t="shared" si="637"/>
        <v>1.1345323297650662</v>
      </c>
    </row>
    <row r="6775" spans="7:20" ht="14.4" x14ac:dyDescent="0.25">
      <c r="G6775" s="10">
        <v>1943</v>
      </c>
      <c r="H6775" s="9">
        <v>13923</v>
      </c>
      <c r="I6775" s="14">
        <f>DATE(2012,12,31)-176</f>
        <v>41098</v>
      </c>
      <c r="J6775" s="15" t="s">
        <v>17</v>
      </c>
      <c r="K6775" s="9">
        <v>28</v>
      </c>
      <c r="L6775" s="16" t="s">
        <v>27</v>
      </c>
      <c r="M6775" s="16">
        <f t="shared" si="633"/>
        <v>0.16769545709596645</v>
      </c>
      <c r="N6775">
        <f t="shared" si="634"/>
        <v>0</v>
      </c>
      <c r="O6775">
        <f t="shared" si="635"/>
        <v>0</v>
      </c>
      <c r="P6775">
        <f t="shared" si="632"/>
        <v>4800</v>
      </c>
      <c r="Q6775">
        <f t="shared" si="636"/>
        <v>4800</v>
      </c>
      <c r="T6775" s="16">
        <f t="shared" si="637"/>
        <v>0.16769545709596606</v>
      </c>
    </row>
    <row r="6776" spans="7:20" ht="14.4" x14ac:dyDescent="0.25">
      <c r="G6776" s="10">
        <v>1949</v>
      </c>
      <c r="H6776" s="9">
        <v>13958</v>
      </c>
      <c r="I6776" s="14">
        <f>DATE(2012,12,31)-1073</f>
        <v>40201</v>
      </c>
      <c r="J6776" s="15" t="s">
        <v>25</v>
      </c>
      <c r="K6776" s="9">
        <v>11</v>
      </c>
      <c r="L6776" s="16" t="s">
        <v>27</v>
      </c>
      <c r="M6776" s="16">
        <f t="shared" si="633"/>
        <v>-1.0063207454307979</v>
      </c>
      <c r="N6776">
        <f t="shared" si="634"/>
        <v>0</v>
      </c>
      <c r="O6776">
        <f t="shared" si="635"/>
        <v>0</v>
      </c>
      <c r="P6776">
        <f t="shared" si="632"/>
        <v>3950</v>
      </c>
      <c r="Q6776">
        <f t="shared" si="636"/>
        <v>3950</v>
      </c>
      <c r="T6776" s="16">
        <f t="shared" si="637"/>
        <v>-1.0063207454307983</v>
      </c>
    </row>
    <row r="6777" spans="7:20" ht="14.4" x14ac:dyDescent="0.25">
      <c r="G6777" s="10">
        <v>1957</v>
      </c>
      <c r="H6777" s="9">
        <v>13991</v>
      </c>
      <c r="I6777" s="14">
        <f>DATE(2012,12,31)-300</f>
        <v>40974</v>
      </c>
      <c r="J6777" s="15" t="s">
        <v>17</v>
      </c>
      <c r="K6777" s="9">
        <v>24</v>
      </c>
      <c r="L6777" s="16" t="s">
        <v>27</v>
      </c>
      <c r="M6777" s="16">
        <f t="shared" si="633"/>
        <v>-0.1085436493809193</v>
      </c>
      <c r="N6777">
        <f t="shared" si="634"/>
        <v>0</v>
      </c>
      <c r="O6777">
        <f t="shared" si="635"/>
        <v>0</v>
      </c>
      <c r="P6777">
        <f t="shared" si="632"/>
        <v>4600</v>
      </c>
      <c r="Q6777">
        <f t="shared" si="636"/>
        <v>4600</v>
      </c>
      <c r="T6777" s="16">
        <f t="shared" si="637"/>
        <v>-0.10854364938091969</v>
      </c>
    </row>
    <row r="6778" spans="7:20" ht="14.4" x14ac:dyDescent="0.25">
      <c r="G6778" s="10">
        <v>1958</v>
      </c>
      <c r="H6778" s="9">
        <v>13991</v>
      </c>
      <c r="I6778" s="14">
        <f>DATE(2012,12,31)-300</f>
        <v>40974</v>
      </c>
      <c r="J6778" s="15" t="s">
        <v>17</v>
      </c>
      <c r="K6778" s="9">
        <v>21</v>
      </c>
      <c r="L6778" s="16" t="s">
        <v>29</v>
      </c>
      <c r="M6778" s="16">
        <f t="shared" si="633"/>
        <v>-0.31572297923858361</v>
      </c>
      <c r="N6778">
        <f t="shared" si="634"/>
        <v>0</v>
      </c>
      <c r="O6778">
        <f t="shared" si="635"/>
        <v>0</v>
      </c>
      <c r="P6778">
        <f t="shared" si="632"/>
        <v>4450</v>
      </c>
      <c r="Q6778">
        <f t="shared" si="636"/>
        <v>4450</v>
      </c>
      <c r="T6778" s="16">
        <f t="shared" si="637"/>
        <v>-0.315722979238584</v>
      </c>
    </row>
    <row r="6779" spans="7:20" ht="14.4" x14ac:dyDescent="0.25">
      <c r="G6779" s="10">
        <v>1964</v>
      </c>
      <c r="H6779" s="9">
        <v>14048</v>
      </c>
      <c r="I6779" s="14">
        <f>DATE(2012,12,31)-959</f>
        <v>40315</v>
      </c>
      <c r="J6779" s="15" t="s">
        <v>28</v>
      </c>
      <c r="K6779" s="9">
        <v>47</v>
      </c>
      <c r="L6779" s="16" t="s">
        <v>26</v>
      </c>
      <c r="M6779" s="16">
        <f t="shared" si="633"/>
        <v>1.4798312128611737</v>
      </c>
      <c r="N6779">
        <f t="shared" si="634"/>
        <v>0</v>
      </c>
      <c r="O6779">
        <f t="shared" si="635"/>
        <v>0</v>
      </c>
      <c r="P6779">
        <f t="shared" si="632"/>
        <v>5750</v>
      </c>
      <c r="Q6779">
        <f t="shared" si="636"/>
        <v>5750</v>
      </c>
      <c r="T6779" s="16">
        <f t="shared" si="637"/>
        <v>1.4798312128611733</v>
      </c>
    </row>
    <row r="6780" spans="7:20" ht="14.4" x14ac:dyDescent="0.25">
      <c r="G6780" s="10">
        <v>1965</v>
      </c>
      <c r="H6780" s="9">
        <v>14048</v>
      </c>
      <c r="I6780" s="14">
        <f>DATE(2012,12,31)-959</f>
        <v>40315</v>
      </c>
      <c r="J6780" s="15" t="s">
        <v>28</v>
      </c>
      <c r="K6780" s="9">
        <v>5</v>
      </c>
      <c r="L6780" s="16" t="s">
        <v>26</v>
      </c>
      <c r="M6780" s="16">
        <f t="shared" si="633"/>
        <v>-1.4206794051461267</v>
      </c>
      <c r="N6780">
        <f t="shared" si="634"/>
        <v>0</v>
      </c>
      <c r="O6780">
        <f t="shared" si="635"/>
        <v>0</v>
      </c>
      <c r="P6780">
        <f t="shared" si="632"/>
        <v>3650</v>
      </c>
      <c r="Q6780">
        <f t="shared" si="636"/>
        <v>3650</v>
      </c>
      <c r="T6780" s="16">
        <f t="shared" si="637"/>
        <v>-1.4206794051461269</v>
      </c>
    </row>
    <row r="6781" spans="7:20" ht="14.4" x14ac:dyDescent="0.25">
      <c r="G6781" s="10">
        <v>1966</v>
      </c>
      <c r="H6781" s="9">
        <v>14048</v>
      </c>
      <c r="I6781" s="14">
        <f>DATE(2012,12,31)-959</f>
        <v>40315</v>
      </c>
      <c r="J6781" s="15" t="s">
        <v>28</v>
      </c>
      <c r="K6781" s="9">
        <v>40</v>
      </c>
      <c r="L6781" s="16" t="s">
        <v>27</v>
      </c>
      <c r="M6781" s="16">
        <f t="shared" si="633"/>
        <v>0.99641277652662363</v>
      </c>
      <c r="N6781">
        <f t="shared" si="634"/>
        <v>0</v>
      </c>
      <c r="O6781">
        <f t="shared" si="635"/>
        <v>0</v>
      </c>
      <c r="P6781">
        <f t="shared" si="632"/>
        <v>5400</v>
      </c>
      <c r="Q6781">
        <f t="shared" si="636"/>
        <v>5400</v>
      </c>
      <c r="T6781" s="16">
        <f t="shared" si="637"/>
        <v>0.9964127765266233</v>
      </c>
    </row>
    <row r="6782" spans="7:20" ht="14.4" x14ac:dyDescent="0.25">
      <c r="G6782" s="10">
        <v>2007</v>
      </c>
      <c r="H6782" s="9">
        <v>14311</v>
      </c>
      <c r="I6782" s="14">
        <f>DATE(2012,12,31)-1248</f>
        <v>40026</v>
      </c>
      <c r="J6782" s="15" t="s">
        <v>30</v>
      </c>
      <c r="K6782" s="9">
        <v>30</v>
      </c>
      <c r="L6782" s="16" t="s">
        <v>26</v>
      </c>
      <c r="M6782" s="16">
        <f t="shared" si="633"/>
        <v>0.30581501033440933</v>
      </c>
      <c r="N6782">
        <f t="shared" si="634"/>
        <v>0</v>
      </c>
      <c r="O6782">
        <f t="shared" si="635"/>
        <v>0</v>
      </c>
      <c r="P6782">
        <f t="shared" si="632"/>
        <v>4900</v>
      </c>
      <c r="Q6782">
        <f t="shared" si="636"/>
        <v>4900</v>
      </c>
      <c r="T6782" s="16">
        <f t="shared" si="637"/>
        <v>0.30581501033440894</v>
      </c>
    </row>
    <row r="6783" spans="7:20" ht="14.4" x14ac:dyDescent="0.25">
      <c r="G6783" s="10">
        <v>2024</v>
      </c>
      <c r="H6783" s="9">
        <v>14434</v>
      </c>
      <c r="I6783" s="14">
        <f>DATE(2012,12,31)-685</f>
        <v>40589</v>
      </c>
      <c r="J6783" s="15" t="s">
        <v>28</v>
      </c>
      <c r="K6783" s="9">
        <v>39</v>
      </c>
      <c r="L6783" s="16" t="s">
        <v>27</v>
      </c>
      <c r="M6783" s="16">
        <f t="shared" si="633"/>
        <v>0.92735299990740228</v>
      </c>
      <c r="N6783">
        <f t="shared" si="634"/>
        <v>0</v>
      </c>
      <c r="O6783">
        <f t="shared" si="635"/>
        <v>0</v>
      </c>
      <c r="P6783">
        <f t="shared" si="632"/>
        <v>5350</v>
      </c>
      <c r="Q6783">
        <f t="shared" si="636"/>
        <v>5350</v>
      </c>
      <c r="T6783" s="16">
        <f t="shared" si="637"/>
        <v>0.92735299990740183</v>
      </c>
    </row>
    <row r="6784" spans="7:20" ht="14.4" x14ac:dyDescent="0.25">
      <c r="G6784" s="10">
        <v>2050</v>
      </c>
      <c r="H6784" s="9">
        <v>14630</v>
      </c>
      <c r="I6784" s="14">
        <f>DATE(2012,12,31)-76</f>
        <v>41198</v>
      </c>
      <c r="J6784" s="15" t="s">
        <v>25</v>
      </c>
      <c r="K6784" s="9">
        <v>17</v>
      </c>
      <c r="L6784" s="16" t="s">
        <v>26</v>
      </c>
      <c r="M6784" s="16">
        <f t="shared" si="633"/>
        <v>-0.59196208571546938</v>
      </c>
      <c r="N6784">
        <f t="shared" si="634"/>
        <v>0</v>
      </c>
      <c r="O6784">
        <f t="shared" si="635"/>
        <v>0</v>
      </c>
      <c r="P6784">
        <f t="shared" si="632"/>
        <v>4250</v>
      </c>
      <c r="Q6784">
        <f t="shared" si="636"/>
        <v>4250</v>
      </c>
      <c r="T6784" s="16">
        <f t="shared" si="637"/>
        <v>-0.59196208571546971</v>
      </c>
    </row>
    <row r="6785" spans="7:20" ht="14.4" x14ac:dyDescent="0.25">
      <c r="G6785" s="10">
        <v>2075</v>
      </c>
      <c r="H6785" s="9">
        <v>14851</v>
      </c>
      <c r="I6785" s="14">
        <f>DATE(2012,12,31)-234</f>
        <v>41040</v>
      </c>
      <c r="J6785" s="15" t="s">
        <v>28</v>
      </c>
      <c r="K6785" s="9">
        <v>6</v>
      </c>
      <c r="L6785" s="16" t="s">
        <v>27</v>
      </c>
      <c r="M6785" s="16">
        <f t="shared" si="633"/>
        <v>-1.3516196285269051</v>
      </c>
      <c r="N6785">
        <f t="shared" si="634"/>
        <v>0</v>
      </c>
      <c r="O6785">
        <f t="shared" si="635"/>
        <v>0</v>
      </c>
      <c r="P6785">
        <f t="shared" si="632"/>
        <v>3700</v>
      </c>
      <c r="Q6785">
        <f t="shared" si="636"/>
        <v>3700</v>
      </c>
      <c r="T6785" s="16">
        <f t="shared" si="637"/>
        <v>-1.3516196285269055</v>
      </c>
    </row>
    <row r="6786" spans="7:20" ht="14.4" x14ac:dyDescent="0.25">
      <c r="G6786" s="10">
        <v>2076</v>
      </c>
      <c r="H6786" s="9">
        <v>14851</v>
      </c>
      <c r="I6786" s="14">
        <f>DATE(2012,12,31)-234</f>
        <v>41040</v>
      </c>
      <c r="J6786" s="15" t="s">
        <v>28</v>
      </c>
      <c r="K6786" s="9">
        <v>26</v>
      </c>
      <c r="L6786" s="16" t="s">
        <v>27</v>
      </c>
      <c r="M6786" s="16">
        <f t="shared" si="633"/>
        <v>2.9575903857523567E-2</v>
      </c>
      <c r="N6786">
        <f t="shared" si="634"/>
        <v>0</v>
      </c>
      <c r="O6786">
        <f t="shared" si="635"/>
        <v>0</v>
      </c>
      <c r="P6786">
        <f t="shared" si="632"/>
        <v>4700</v>
      </c>
      <c r="Q6786">
        <f t="shared" si="636"/>
        <v>4700</v>
      </c>
      <c r="T6786" s="16">
        <f t="shared" si="637"/>
        <v>2.9575903857523185E-2</v>
      </c>
    </row>
    <row r="6787" spans="7:20" ht="14.4" x14ac:dyDescent="0.25">
      <c r="G6787" s="10">
        <v>2088</v>
      </c>
      <c r="H6787" s="9">
        <v>14950</v>
      </c>
      <c r="I6787" s="14">
        <f>DATE(2012,12,31)-827</f>
        <v>40447</v>
      </c>
      <c r="J6787" s="15" t="s">
        <v>25</v>
      </c>
      <c r="K6787" s="9">
        <v>48</v>
      </c>
      <c r="L6787" s="16" t="s">
        <v>26</v>
      </c>
      <c r="M6787" s="16">
        <f t="shared" si="633"/>
        <v>1.5488909894803951</v>
      </c>
      <c r="N6787">
        <f t="shared" si="634"/>
        <v>0</v>
      </c>
      <c r="O6787">
        <f t="shared" si="635"/>
        <v>0</v>
      </c>
      <c r="P6787">
        <f t="shared" si="632"/>
        <v>5800</v>
      </c>
      <c r="Q6787">
        <f t="shared" si="636"/>
        <v>5800</v>
      </c>
      <c r="T6787" s="16">
        <f t="shared" si="637"/>
        <v>1.5488909894803948</v>
      </c>
    </row>
    <row r="6788" spans="7:20" ht="14.4" x14ac:dyDescent="0.25">
      <c r="G6788" s="10">
        <v>2095</v>
      </c>
      <c r="H6788" s="9">
        <v>14981</v>
      </c>
      <c r="I6788" s="14">
        <f>DATE(2012,12,31)-797</f>
        <v>40477</v>
      </c>
      <c r="J6788" s="15" t="s">
        <v>16</v>
      </c>
      <c r="K6788" s="9">
        <v>8</v>
      </c>
      <c r="L6788" s="16" t="s">
        <v>26</v>
      </c>
      <c r="M6788" s="16">
        <f t="shared" si="633"/>
        <v>-1.2135000752884624</v>
      </c>
      <c r="N6788">
        <f t="shared" si="634"/>
        <v>0</v>
      </c>
      <c r="O6788">
        <f t="shared" si="635"/>
        <v>0</v>
      </c>
      <c r="P6788">
        <f t="shared" si="632"/>
        <v>3800</v>
      </c>
      <c r="Q6788">
        <f t="shared" si="636"/>
        <v>3800</v>
      </c>
      <c r="T6788" s="16">
        <f t="shared" si="637"/>
        <v>-1.2135000752884626</v>
      </c>
    </row>
    <row r="6789" spans="7:20" ht="14.4" x14ac:dyDescent="0.25">
      <c r="G6789" s="10">
        <v>2096</v>
      </c>
      <c r="H6789" s="9">
        <v>14981</v>
      </c>
      <c r="I6789" s="14">
        <f>DATE(2012,12,31)-797</f>
        <v>40477</v>
      </c>
      <c r="J6789" s="15" t="s">
        <v>16</v>
      </c>
      <c r="K6789" s="9">
        <v>8</v>
      </c>
      <c r="L6789" s="16" t="s">
        <v>29</v>
      </c>
      <c r="M6789" s="16">
        <f t="shared" si="633"/>
        <v>-1.2135000752884624</v>
      </c>
      <c r="N6789">
        <f t="shared" si="634"/>
        <v>0</v>
      </c>
      <c r="O6789">
        <f t="shared" si="635"/>
        <v>0</v>
      </c>
      <c r="P6789">
        <f t="shared" si="632"/>
        <v>3800</v>
      </c>
      <c r="Q6789">
        <f t="shared" si="636"/>
        <v>3800</v>
      </c>
      <c r="T6789" s="16">
        <f t="shared" si="637"/>
        <v>-1.2135000752884626</v>
      </c>
    </row>
    <row r="6790" spans="7:20" ht="14.4" x14ac:dyDescent="0.25">
      <c r="G6790" s="10">
        <v>2113</v>
      </c>
      <c r="H6790" s="9">
        <v>15105</v>
      </c>
      <c r="I6790" s="14">
        <f>DATE(2012,12,31)-1154</f>
        <v>40120</v>
      </c>
      <c r="J6790" s="15" t="s">
        <v>25</v>
      </c>
      <c r="K6790" s="9">
        <v>39</v>
      </c>
      <c r="L6790" s="16" t="s">
        <v>26</v>
      </c>
      <c r="M6790" s="16">
        <f t="shared" si="633"/>
        <v>0.92735299990740228</v>
      </c>
      <c r="N6790">
        <f t="shared" si="634"/>
        <v>0</v>
      </c>
      <c r="O6790">
        <f t="shared" si="635"/>
        <v>0</v>
      </c>
      <c r="P6790">
        <f t="shared" si="632"/>
        <v>5350</v>
      </c>
      <c r="Q6790">
        <f t="shared" si="636"/>
        <v>5350</v>
      </c>
      <c r="T6790" s="16">
        <f t="shared" si="637"/>
        <v>0.92735299990740183</v>
      </c>
    </row>
    <row r="6791" spans="7:20" ht="14.4" x14ac:dyDescent="0.25">
      <c r="G6791" s="10">
        <v>2123</v>
      </c>
      <c r="H6791" s="9">
        <v>15111</v>
      </c>
      <c r="I6791" s="14">
        <f>DATE(2012,12,31)-1110</f>
        <v>40164</v>
      </c>
      <c r="J6791" s="15" t="s">
        <v>28</v>
      </c>
      <c r="K6791" s="9">
        <v>13</v>
      </c>
      <c r="L6791" s="16" t="s">
        <v>26</v>
      </c>
      <c r="M6791" s="16">
        <f t="shared" si="633"/>
        <v>-0.86820119219235514</v>
      </c>
      <c r="N6791">
        <f t="shared" si="634"/>
        <v>0</v>
      </c>
      <c r="O6791">
        <f t="shared" si="635"/>
        <v>0</v>
      </c>
      <c r="P6791">
        <f t="shared" si="632"/>
        <v>4050</v>
      </c>
      <c r="Q6791">
        <f t="shared" si="636"/>
        <v>4050</v>
      </c>
      <c r="T6791" s="16">
        <f t="shared" si="637"/>
        <v>-0.86820119219235548</v>
      </c>
    </row>
    <row r="6792" spans="7:20" ht="14.4" x14ac:dyDescent="0.25">
      <c r="G6792" s="10">
        <v>2128</v>
      </c>
      <c r="H6792" s="9">
        <v>15202</v>
      </c>
      <c r="I6792" s="14">
        <f>DATE(2012,12,31)-906</f>
        <v>40368</v>
      </c>
      <c r="J6792" s="15" t="s">
        <v>17</v>
      </c>
      <c r="K6792" s="9">
        <v>36</v>
      </c>
      <c r="L6792" s="16" t="s">
        <v>29</v>
      </c>
      <c r="M6792" s="16">
        <f t="shared" si="633"/>
        <v>0.72017367004973787</v>
      </c>
      <c r="N6792">
        <f t="shared" si="634"/>
        <v>0</v>
      </c>
      <c r="O6792">
        <f t="shared" si="635"/>
        <v>0</v>
      </c>
      <c r="P6792">
        <f t="shared" si="632"/>
        <v>5200</v>
      </c>
      <c r="Q6792">
        <f t="shared" si="636"/>
        <v>5200</v>
      </c>
      <c r="T6792" s="16">
        <f t="shared" si="637"/>
        <v>0.72017367004973754</v>
      </c>
    </row>
    <row r="6793" spans="7:20" ht="14.4" x14ac:dyDescent="0.25">
      <c r="G6793" s="10">
        <v>2131</v>
      </c>
      <c r="H6793" s="9">
        <v>15206</v>
      </c>
      <c r="I6793" s="14">
        <f>DATE(2012,12,31)-788</f>
        <v>40486</v>
      </c>
      <c r="J6793" s="15" t="s">
        <v>25</v>
      </c>
      <c r="K6793" s="9">
        <v>35</v>
      </c>
      <c r="L6793" s="16" t="s">
        <v>29</v>
      </c>
      <c r="M6793" s="16">
        <f t="shared" si="633"/>
        <v>0.65111389343051651</v>
      </c>
      <c r="N6793">
        <f t="shared" si="634"/>
        <v>0</v>
      </c>
      <c r="O6793">
        <f t="shared" si="635"/>
        <v>0</v>
      </c>
      <c r="P6793">
        <f t="shared" si="632"/>
        <v>5150</v>
      </c>
      <c r="Q6793">
        <f t="shared" si="636"/>
        <v>5150</v>
      </c>
      <c r="T6793" s="16">
        <f t="shared" si="637"/>
        <v>0.65111389343051607</v>
      </c>
    </row>
    <row r="6794" spans="7:20" ht="14.4" x14ac:dyDescent="0.25">
      <c r="G6794" s="10">
        <v>2162</v>
      </c>
      <c r="H6794" s="9">
        <v>15616</v>
      </c>
      <c r="I6794" s="14">
        <f>DATE(2012,12,31)-283</f>
        <v>40991</v>
      </c>
      <c r="J6794" s="15" t="s">
        <v>30</v>
      </c>
      <c r="K6794" s="9">
        <v>12</v>
      </c>
      <c r="L6794" s="16" t="s">
        <v>27</v>
      </c>
      <c r="M6794" s="16">
        <f t="shared" si="633"/>
        <v>-0.9372609688115765</v>
      </c>
      <c r="N6794">
        <f t="shared" si="634"/>
        <v>0</v>
      </c>
      <c r="O6794">
        <f t="shared" si="635"/>
        <v>0</v>
      </c>
      <c r="P6794">
        <f t="shared" si="632"/>
        <v>4000</v>
      </c>
      <c r="Q6794">
        <f t="shared" si="636"/>
        <v>4000</v>
      </c>
      <c r="T6794" s="16">
        <f t="shared" si="637"/>
        <v>-0.93726096881157694</v>
      </c>
    </row>
    <row r="6795" spans="7:20" ht="14.4" x14ac:dyDescent="0.25">
      <c r="G6795" s="10">
        <v>2163</v>
      </c>
      <c r="H6795" s="9">
        <v>15616</v>
      </c>
      <c r="I6795" s="14">
        <f>DATE(2012,12,31)-283</f>
        <v>40991</v>
      </c>
      <c r="J6795" s="15" t="s">
        <v>30</v>
      </c>
      <c r="K6795" s="9">
        <v>34</v>
      </c>
      <c r="L6795" s="16" t="s">
        <v>26</v>
      </c>
      <c r="M6795" s="16">
        <f t="shared" si="633"/>
        <v>0.58205411681129504</v>
      </c>
      <c r="N6795">
        <f t="shared" si="634"/>
        <v>0</v>
      </c>
      <c r="O6795">
        <f t="shared" si="635"/>
        <v>0</v>
      </c>
      <c r="P6795">
        <f t="shared" si="632"/>
        <v>5100</v>
      </c>
      <c r="Q6795">
        <f t="shared" si="636"/>
        <v>5100</v>
      </c>
      <c r="T6795" s="16">
        <f t="shared" si="637"/>
        <v>0.58205411681129471</v>
      </c>
    </row>
    <row r="6796" spans="7:20" ht="14.4" x14ac:dyDescent="0.25">
      <c r="G6796" s="10">
        <v>2176</v>
      </c>
      <c r="H6796" s="9">
        <v>15654</v>
      </c>
      <c r="I6796" s="14">
        <f>DATE(2012,12,31)-1186</f>
        <v>40088</v>
      </c>
      <c r="J6796" s="15" t="s">
        <v>28</v>
      </c>
      <c r="K6796" s="9">
        <v>27</v>
      </c>
      <c r="L6796" s="16" t="s">
        <v>29</v>
      </c>
      <c r="M6796" s="16">
        <f t="shared" si="633"/>
        <v>9.8635680476745008E-2</v>
      </c>
      <c r="N6796">
        <f t="shared" si="634"/>
        <v>0</v>
      </c>
      <c r="O6796">
        <f t="shared" si="635"/>
        <v>0</v>
      </c>
      <c r="P6796">
        <f t="shared" ref="P6796:P6859" si="638">50*K6796+$P$10</f>
        <v>4750</v>
      </c>
      <c r="Q6796">
        <f t="shared" si="636"/>
        <v>4750</v>
      </c>
      <c r="T6796" s="16">
        <f t="shared" si="637"/>
        <v>9.8635680476744619E-2</v>
      </c>
    </row>
    <row r="6797" spans="7:20" ht="14.4" x14ac:dyDescent="0.25">
      <c r="G6797" s="10">
        <v>2177</v>
      </c>
      <c r="H6797" s="9">
        <v>15654</v>
      </c>
      <c r="I6797" s="14">
        <f>DATE(2012,12,31)-1186</f>
        <v>40088</v>
      </c>
      <c r="J6797" s="15" t="s">
        <v>28</v>
      </c>
      <c r="K6797" s="9">
        <v>4</v>
      </c>
      <c r="L6797" s="16" t="s">
        <v>27</v>
      </c>
      <c r="M6797" s="16">
        <f t="shared" ref="M6797:M6860" si="639">(K6797-$K$4)/$K$7</f>
        <v>-1.489739181765348</v>
      </c>
      <c r="N6797">
        <f t="shared" ref="N6797:N6860" si="640">IF(MOD($B$20+G6797,1000)=0,1,0)</f>
        <v>0</v>
      </c>
      <c r="O6797">
        <f t="shared" ref="O6797:O6860" si="641">+ROUND(N6797*(IF(K6797&lt;$K$4,-4.5,10.5)*$P$5),-2)</f>
        <v>0</v>
      </c>
      <c r="P6797">
        <f t="shared" si="638"/>
        <v>3600</v>
      </c>
      <c r="Q6797">
        <f t="shared" ref="Q6797:Q6860" si="642">P6797+O6797</f>
        <v>3600</v>
      </c>
      <c r="T6797" s="16">
        <f t="shared" ref="T6797:T6860" si="643">(Q6797-$P$4)/$P$5</f>
        <v>-1.4897391817653485</v>
      </c>
    </row>
    <row r="6798" spans="7:20" ht="14.4" x14ac:dyDescent="0.25">
      <c r="G6798" s="10">
        <v>2228</v>
      </c>
      <c r="H6798" s="9">
        <v>16102</v>
      </c>
      <c r="I6798" s="14">
        <f>DATE(2012,12,31)-1114</f>
        <v>40160</v>
      </c>
      <c r="J6798" s="15" t="s">
        <v>28</v>
      </c>
      <c r="K6798" s="9">
        <v>25</v>
      </c>
      <c r="L6798" s="16" t="s">
        <v>29</v>
      </c>
      <c r="M6798" s="16">
        <f t="shared" si="639"/>
        <v>-3.9483872761697868E-2</v>
      </c>
      <c r="N6798">
        <f t="shared" si="640"/>
        <v>0</v>
      </c>
      <c r="O6798">
        <f t="shared" si="641"/>
        <v>0</v>
      </c>
      <c r="P6798">
        <f t="shared" si="638"/>
        <v>4650</v>
      </c>
      <c r="Q6798">
        <f t="shared" si="642"/>
        <v>4650</v>
      </c>
      <c r="T6798" s="16">
        <f t="shared" si="643"/>
        <v>-3.9483872761698249E-2</v>
      </c>
    </row>
    <row r="6799" spans="7:20" ht="14.4" x14ac:dyDescent="0.25">
      <c r="G6799" s="10">
        <v>2254</v>
      </c>
      <c r="H6799" s="9">
        <v>16229</v>
      </c>
      <c r="I6799" s="14">
        <f>DATE(2012,12,31)-1373</f>
        <v>39901</v>
      </c>
      <c r="J6799" s="15" t="s">
        <v>17</v>
      </c>
      <c r="K6799" s="9">
        <v>27</v>
      </c>
      <c r="L6799" s="16" t="s">
        <v>27</v>
      </c>
      <c r="M6799" s="16">
        <f t="shared" si="639"/>
        <v>9.8635680476745008E-2</v>
      </c>
      <c r="N6799">
        <f t="shared" si="640"/>
        <v>0</v>
      </c>
      <c r="O6799">
        <f t="shared" si="641"/>
        <v>0</v>
      </c>
      <c r="P6799">
        <f t="shared" si="638"/>
        <v>4750</v>
      </c>
      <c r="Q6799">
        <f t="shared" si="642"/>
        <v>4750</v>
      </c>
      <c r="T6799" s="16">
        <f t="shared" si="643"/>
        <v>9.8635680476744619E-2</v>
      </c>
    </row>
    <row r="6800" spans="7:20" ht="14.4" x14ac:dyDescent="0.25">
      <c r="G6800" s="10">
        <v>2274</v>
      </c>
      <c r="H6800" s="9">
        <v>16356</v>
      </c>
      <c r="I6800" s="14">
        <f>DATE(2012,12,31)-517</f>
        <v>40757</v>
      </c>
      <c r="J6800" s="15" t="s">
        <v>30</v>
      </c>
      <c r="K6800" s="9">
        <v>6</v>
      </c>
      <c r="L6800" s="16" t="s">
        <v>26</v>
      </c>
      <c r="M6800" s="16">
        <f t="shared" si="639"/>
        <v>-1.3516196285269051</v>
      </c>
      <c r="N6800">
        <f t="shared" si="640"/>
        <v>0</v>
      </c>
      <c r="O6800">
        <f t="shared" si="641"/>
        <v>0</v>
      </c>
      <c r="P6800">
        <f t="shared" si="638"/>
        <v>3700</v>
      </c>
      <c r="Q6800">
        <f t="shared" si="642"/>
        <v>3700</v>
      </c>
      <c r="T6800" s="16">
        <f t="shared" si="643"/>
        <v>-1.3516196285269055</v>
      </c>
    </row>
    <row r="6801" spans="7:20" ht="14.4" x14ac:dyDescent="0.25">
      <c r="G6801" s="10">
        <v>2287</v>
      </c>
      <c r="H6801" s="9">
        <v>16481</v>
      </c>
      <c r="I6801" s="14">
        <f>DATE(2012,12,31)-682</f>
        <v>40592</v>
      </c>
      <c r="J6801" s="15" t="s">
        <v>25</v>
      </c>
      <c r="K6801" s="9">
        <v>50</v>
      </c>
      <c r="L6801" s="16" t="s">
        <v>26</v>
      </c>
      <c r="M6801" s="16">
        <f t="shared" si="639"/>
        <v>1.687010542718838</v>
      </c>
      <c r="N6801">
        <f t="shared" si="640"/>
        <v>0</v>
      </c>
      <c r="O6801">
        <f t="shared" si="641"/>
        <v>0</v>
      </c>
      <c r="P6801">
        <f t="shared" si="638"/>
        <v>5900</v>
      </c>
      <c r="Q6801">
        <f t="shared" si="642"/>
        <v>5900</v>
      </c>
      <c r="T6801" s="16">
        <f t="shared" si="643"/>
        <v>1.6870105427188375</v>
      </c>
    </row>
    <row r="6802" spans="7:20" ht="14.4" x14ac:dyDescent="0.25">
      <c r="G6802" s="10">
        <v>2288</v>
      </c>
      <c r="H6802" s="9">
        <v>16481</v>
      </c>
      <c r="I6802" s="14">
        <f>DATE(2012,12,31)-682</f>
        <v>40592</v>
      </c>
      <c r="J6802" s="15" t="s">
        <v>25</v>
      </c>
      <c r="K6802" s="9">
        <v>47</v>
      </c>
      <c r="L6802" s="16" t="s">
        <v>27</v>
      </c>
      <c r="M6802" s="16">
        <f t="shared" si="639"/>
        <v>1.4798312128611737</v>
      </c>
      <c r="N6802">
        <f t="shared" si="640"/>
        <v>0</v>
      </c>
      <c r="O6802">
        <f t="shared" si="641"/>
        <v>0</v>
      </c>
      <c r="P6802">
        <f t="shared" si="638"/>
        <v>5750</v>
      </c>
      <c r="Q6802">
        <f t="shared" si="642"/>
        <v>5750</v>
      </c>
      <c r="T6802" s="16">
        <f t="shared" si="643"/>
        <v>1.4798312128611733</v>
      </c>
    </row>
    <row r="6803" spans="7:20" ht="14.4" x14ac:dyDescent="0.25">
      <c r="G6803" s="10">
        <v>2308</v>
      </c>
      <c r="H6803" s="9">
        <v>16641</v>
      </c>
      <c r="I6803" s="14">
        <f>DATE(2012,12,31)-966</f>
        <v>40308</v>
      </c>
      <c r="J6803" s="15" t="s">
        <v>17</v>
      </c>
      <c r="K6803" s="9">
        <v>33</v>
      </c>
      <c r="L6803" s="16" t="s">
        <v>29</v>
      </c>
      <c r="M6803" s="16">
        <f t="shared" si="639"/>
        <v>0.51299434019207357</v>
      </c>
      <c r="N6803">
        <f t="shared" si="640"/>
        <v>0</v>
      </c>
      <c r="O6803">
        <f t="shared" si="641"/>
        <v>0</v>
      </c>
      <c r="P6803">
        <f t="shared" si="638"/>
        <v>5050</v>
      </c>
      <c r="Q6803">
        <f t="shared" si="642"/>
        <v>5050</v>
      </c>
      <c r="T6803" s="16">
        <f t="shared" si="643"/>
        <v>0.51299434019207324</v>
      </c>
    </row>
    <row r="6804" spans="7:20" ht="14.4" x14ac:dyDescent="0.25">
      <c r="G6804" s="10">
        <v>2309</v>
      </c>
      <c r="H6804" s="9">
        <v>16642</v>
      </c>
      <c r="I6804" s="14">
        <f>DATE(2012,12,31)-670</f>
        <v>40604</v>
      </c>
      <c r="J6804" s="15" t="s">
        <v>28</v>
      </c>
      <c r="K6804" s="9">
        <v>46</v>
      </c>
      <c r="L6804" s="16" t="s">
        <v>27</v>
      </c>
      <c r="M6804" s="16">
        <f t="shared" si="639"/>
        <v>1.4107714362419523</v>
      </c>
      <c r="N6804">
        <f t="shared" si="640"/>
        <v>0</v>
      </c>
      <c r="O6804">
        <f t="shared" si="641"/>
        <v>0</v>
      </c>
      <c r="P6804">
        <f t="shared" si="638"/>
        <v>5700</v>
      </c>
      <c r="Q6804">
        <f t="shared" si="642"/>
        <v>5700</v>
      </c>
      <c r="T6804" s="16">
        <f t="shared" si="643"/>
        <v>1.4107714362419519</v>
      </c>
    </row>
    <row r="6805" spans="7:20" ht="14.4" x14ac:dyDescent="0.25">
      <c r="G6805" s="10">
        <v>2319</v>
      </c>
      <c r="H6805" s="9">
        <v>16709</v>
      </c>
      <c r="I6805" s="14">
        <f>DATE(2012,12,31)-86</f>
        <v>41188</v>
      </c>
      <c r="J6805" s="15" t="s">
        <v>17</v>
      </c>
      <c r="K6805" s="9">
        <v>3</v>
      </c>
      <c r="L6805" s="16" t="s">
        <v>26</v>
      </c>
      <c r="M6805" s="16">
        <f t="shared" si="639"/>
        <v>-1.5587989583845694</v>
      </c>
      <c r="N6805">
        <f t="shared" si="640"/>
        <v>0</v>
      </c>
      <c r="O6805">
        <f t="shared" si="641"/>
        <v>0</v>
      </c>
      <c r="P6805">
        <f t="shared" si="638"/>
        <v>3550</v>
      </c>
      <c r="Q6805">
        <f t="shared" si="642"/>
        <v>3550</v>
      </c>
      <c r="T6805" s="16">
        <f t="shared" si="643"/>
        <v>-1.5587989583845698</v>
      </c>
    </row>
    <row r="6806" spans="7:20" ht="14.4" x14ac:dyDescent="0.25">
      <c r="G6806" s="10">
        <v>2354</v>
      </c>
      <c r="H6806" s="9">
        <v>16992</v>
      </c>
      <c r="I6806" s="14">
        <f>DATE(2012,12,31)-750</f>
        <v>40524</v>
      </c>
      <c r="J6806" s="15" t="s">
        <v>17</v>
      </c>
      <c r="K6806" s="9">
        <v>15</v>
      </c>
      <c r="L6806" s="16" t="s">
        <v>26</v>
      </c>
      <c r="M6806" s="16">
        <f t="shared" si="639"/>
        <v>-0.7300816389539122</v>
      </c>
      <c r="N6806">
        <f t="shared" si="640"/>
        <v>0</v>
      </c>
      <c r="O6806">
        <f t="shared" si="641"/>
        <v>0</v>
      </c>
      <c r="P6806">
        <f t="shared" si="638"/>
        <v>4150</v>
      </c>
      <c r="Q6806">
        <f t="shared" si="642"/>
        <v>4150</v>
      </c>
      <c r="T6806" s="16">
        <f t="shared" si="643"/>
        <v>-0.73008163895391265</v>
      </c>
    </row>
    <row r="6807" spans="7:20" ht="14.4" x14ac:dyDescent="0.25">
      <c r="G6807" s="10">
        <v>2356</v>
      </c>
      <c r="H6807" s="9">
        <v>16995</v>
      </c>
      <c r="I6807" s="14">
        <f>DATE(2012,12,31)-744</f>
        <v>40530</v>
      </c>
      <c r="J6807" s="15" t="s">
        <v>28</v>
      </c>
      <c r="K6807" s="9">
        <v>42</v>
      </c>
      <c r="L6807" s="16" t="s">
        <v>26</v>
      </c>
      <c r="M6807" s="16">
        <f t="shared" si="639"/>
        <v>1.1345323297650665</v>
      </c>
      <c r="N6807">
        <f t="shared" si="640"/>
        <v>0</v>
      </c>
      <c r="O6807">
        <f t="shared" si="641"/>
        <v>0</v>
      </c>
      <c r="P6807">
        <f t="shared" si="638"/>
        <v>5500</v>
      </c>
      <c r="Q6807">
        <f t="shared" si="642"/>
        <v>5500</v>
      </c>
      <c r="T6807" s="16">
        <f t="shared" si="643"/>
        <v>1.1345323297650662</v>
      </c>
    </row>
    <row r="6808" spans="7:20" ht="14.4" x14ac:dyDescent="0.25">
      <c r="G6808" s="10">
        <v>2365</v>
      </c>
      <c r="H6808" s="9">
        <v>17093</v>
      </c>
      <c r="I6808" s="14">
        <f>DATE(2012,12,31)-324</f>
        <v>40950</v>
      </c>
      <c r="J6808" s="15" t="s">
        <v>28</v>
      </c>
      <c r="K6808" s="9">
        <v>50</v>
      </c>
      <c r="L6808" s="16" t="s">
        <v>29</v>
      </c>
      <c r="M6808" s="16">
        <f t="shared" si="639"/>
        <v>1.687010542718838</v>
      </c>
      <c r="N6808">
        <f t="shared" si="640"/>
        <v>0</v>
      </c>
      <c r="O6808">
        <f t="shared" si="641"/>
        <v>0</v>
      </c>
      <c r="P6808">
        <f t="shared" si="638"/>
        <v>5900</v>
      </c>
      <c r="Q6808">
        <f t="shared" si="642"/>
        <v>5900</v>
      </c>
      <c r="T6808" s="16">
        <f t="shared" si="643"/>
        <v>1.6870105427188375</v>
      </c>
    </row>
    <row r="6809" spans="7:20" ht="14.4" x14ac:dyDescent="0.25">
      <c r="G6809" s="10">
        <v>2414</v>
      </c>
      <c r="H6809" s="9">
        <v>17510</v>
      </c>
      <c r="I6809" s="14">
        <f>DATE(2012,12,31)-62</f>
        <v>41212</v>
      </c>
      <c r="J6809" s="15" t="s">
        <v>30</v>
      </c>
      <c r="K6809" s="9">
        <v>28</v>
      </c>
      <c r="L6809" s="16" t="s">
        <v>26</v>
      </c>
      <c r="M6809" s="16">
        <f t="shared" si="639"/>
        <v>0.16769545709596645</v>
      </c>
      <c r="N6809">
        <f t="shared" si="640"/>
        <v>0</v>
      </c>
      <c r="O6809">
        <f t="shared" si="641"/>
        <v>0</v>
      </c>
      <c r="P6809">
        <f t="shared" si="638"/>
        <v>4800</v>
      </c>
      <c r="Q6809">
        <f t="shared" si="642"/>
        <v>4800</v>
      </c>
      <c r="T6809" s="16">
        <f t="shared" si="643"/>
        <v>0.16769545709596606</v>
      </c>
    </row>
    <row r="6810" spans="7:20" ht="14.4" x14ac:dyDescent="0.25">
      <c r="G6810" s="10">
        <v>2417</v>
      </c>
      <c r="H6810" s="9">
        <v>17542</v>
      </c>
      <c r="I6810" s="14">
        <f>DATE(2012,12,31)-853</f>
        <v>40421</v>
      </c>
      <c r="J6810" s="15" t="s">
        <v>25</v>
      </c>
      <c r="K6810" s="9">
        <v>37</v>
      </c>
      <c r="L6810" s="16" t="s">
        <v>26</v>
      </c>
      <c r="M6810" s="16">
        <f t="shared" si="639"/>
        <v>0.78923344666895934</v>
      </c>
      <c r="N6810">
        <f t="shared" si="640"/>
        <v>0</v>
      </c>
      <c r="O6810">
        <f t="shared" si="641"/>
        <v>0</v>
      </c>
      <c r="P6810">
        <f t="shared" si="638"/>
        <v>5250</v>
      </c>
      <c r="Q6810">
        <f t="shared" si="642"/>
        <v>5250</v>
      </c>
      <c r="T6810" s="16">
        <f t="shared" si="643"/>
        <v>0.789233446668959</v>
      </c>
    </row>
    <row r="6811" spans="7:20" ht="14.4" x14ac:dyDescent="0.25">
      <c r="G6811" s="10">
        <v>2421</v>
      </c>
      <c r="H6811" s="9">
        <v>17568</v>
      </c>
      <c r="I6811" s="14">
        <f>DATE(2012,12,31)-815</f>
        <v>40459</v>
      </c>
      <c r="J6811" s="15" t="s">
        <v>28</v>
      </c>
      <c r="K6811" s="9">
        <v>31</v>
      </c>
      <c r="L6811" s="16" t="s">
        <v>27</v>
      </c>
      <c r="M6811" s="16">
        <f t="shared" si="639"/>
        <v>0.37487478695363075</v>
      </c>
      <c r="N6811">
        <f t="shared" si="640"/>
        <v>0</v>
      </c>
      <c r="O6811">
        <f t="shared" si="641"/>
        <v>0</v>
      </c>
      <c r="P6811">
        <f t="shared" si="638"/>
        <v>4950</v>
      </c>
      <c r="Q6811">
        <f t="shared" si="642"/>
        <v>4950</v>
      </c>
      <c r="T6811" s="16">
        <f t="shared" si="643"/>
        <v>0.37487478695363036</v>
      </c>
    </row>
    <row r="6812" spans="7:20" ht="14.4" x14ac:dyDescent="0.25">
      <c r="G6812" s="10">
        <v>2422</v>
      </c>
      <c r="H6812" s="9">
        <v>17571</v>
      </c>
      <c r="I6812" s="14">
        <f>DATE(2012,12,31)-291</f>
        <v>40983</v>
      </c>
      <c r="J6812" s="15" t="s">
        <v>28</v>
      </c>
      <c r="K6812" s="9">
        <v>32</v>
      </c>
      <c r="L6812" s="16" t="s">
        <v>26</v>
      </c>
      <c r="M6812" s="16">
        <f t="shared" si="639"/>
        <v>0.44393456357285216</v>
      </c>
      <c r="N6812">
        <f t="shared" si="640"/>
        <v>0</v>
      </c>
      <c r="O6812">
        <f t="shared" si="641"/>
        <v>0</v>
      </c>
      <c r="P6812">
        <f t="shared" si="638"/>
        <v>5000</v>
      </c>
      <c r="Q6812">
        <f t="shared" si="642"/>
        <v>5000</v>
      </c>
      <c r="T6812" s="16">
        <f t="shared" si="643"/>
        <v>0.44393456357285183</v>
      </c>
    </row>
    <row r="6813" spans="7:20" ht="14.4" x14ac:dyDescent="0.25">
      <c r="G6813" s="10">
        <v>2423</v>
      </c>
      <c r="H6813" s="9">
        <v>17571</v>
      </c>
      <c r="I6813" s="14">
        <f>DATE(2012,12,31)-291</f>
        <v>40983</v>
      </c>
      <c r="J6813" s="15" t="s">
        <v>28</v>
      </c>
      <c r="K6813" s="9">
        <v>50</v>
      </c>
      <c r="L6813" s="16" t="s">
        <v>27</v>
      </c>
      <c r="M6813" s="16">
        <f t="shared" si="639"/>
        <v>1.687010542718838</v>
      </c>
      <c r="N6813">
        <f t="shared" si="640"/>
        <v>0</v>
      </c>
      <c r="O6813">
        <f t="shared" si="641"/>
        <v>0</v>
      </c>
      <c r="P6813">
        <f t="shared" si="638"/>
        <v>5900</v>
      </c>
      <c r="Q6813">
        <f t="shared" si="642"/>
        <v>5900</v>
      </c>
      <c r="T6813" s="16">
        <f t="shared" si="643"/>
        <v>1.6870105427188375</v>
      </c>
    </row>
    <row r="6814" spans="7:20" ht="14.4" x14ac:dyDescent="0.25">
      <c r="G6814" s="10">
        <v>2428</v>
      </c>
      <c r="H6814" s="9">
        <v>17636</v>
      </c>
      <c r="I6814" s="14">
        <f>DATE(2012,12,31)-1426</f>
        <v>39848</v>
      </c>
      <c r="J6814" s="15" t="s">
        <v>25</v>
      </c>
      <c r="K6814" s="9">
        <v>2</v>
      </c>
      <c r="L6814" s="16" t="s">
        <v>26</v>
      </c>
      <c r="M6814" s="16">
        <f t="shared" si="639"/>
        <v>-1.627858735003791</v>
      </c>
      <c r="N6814">
        <f t="shared" si="640"/>
        <v>0</v>
      </c>
      <c r="O6814">
        <f t="shared" si="641"/>
        <v>0</v>
      </c>
      <c r="P6814">
        <f t="shared" si="638"/>
        <v>3500</v>
      </c>
      <c r="Q6814">
        <f t="shared" si="642"/>
        <v>3500</v>
      </c>
      <c r="T6814" s="16">
        <f t="shared" si="643"/>
        <v>-1.6278587350037912</v>
      </c>
    </row>
    <row r="6815" spans="7:20" ht="14.4" x14ac:dyDescent="0.25">
      <c r="G6815" s="10">
        <v>2434</v>
      </c>
      <c r="H6815" s="9">
        <v>17669</v>
      </c>
      <c r="I6815" s="14">
        <f>DATE(2012,12,31)-1342</f>
        <v>39932</v>
      </c>
      <c r="J6815" s="15" t="s">
        <v>17</v>
      </c>
      <c r="K6815" s="9">
        <v>32</v>
      </c>
      <c r="L6815" s="16" t="s">
        <v>26</v>
      </c>
      <c r="M6815" s="16">
        <f t="shared" si="639"/>
        <v>0.44393456357285216</v>
      </c>
      <c r="N6815">
        <f t="shared" si="640"/>
        <v>0</v>
      </c>
      <c r="O6815">
        <f t="shared" si="641"/>
        <v>0</v>
      </c>
      <c r="P6815">
        <f t="shared" si="638"/>
        <v>5000</v>
      </c>
      <c r="Q6815">
        <f t="shared" si="642"/>
        <v>5000</v>
      </c>
      <c r="T6815" s="16">
        <f t="shared" si="643"/>
        <v>0.44393456357285183</v>
      </c>
    </row>
    <row r="6816" spans="7:20" ht="14.4" x14ac:dyDescent="0.25">
      <c r="G6816" s="10">
        <v>2439</v>
      </c>
      <c r="H6816" s="9">
        <v>17700</v>
      </c>
      <c r="I6816" s="14">
        <f>DATE(2012,12,31)-65</f>
        <v>41209</v>
      </c>
      <c r="J6816" s="15" t="s">
        <v>30</v>
      </c>
      <c r="K6816" s="9">
        <v>20</v>
      </c>
      <c r="L6816" s="16" t="s">
        <v>29</v>
      </c>
      <c r="M6816" s="16">
        <f t="shared" si="639"/>
        <v>-0.38478275585780503</v>
      </c>
      <c r="N6816">
        <f t="shared" si="640"/>
        <v>0</v>
      </c>
      <c r="O6816">
        <f t="shared" si="641"/>
        <v>0</v>
      </c>
      <c r="P6816">
        <f t="shared" si="638"/>
        <v>4400</v>
      </c>
      <c r="Q6816">
        <f t="shared" si="642"/>
        <v>4400</v>
      </c>
      <c r="T6816" s="16">
        <f t="shared" si="643"/>
        <v>-0.38478275585780541</v>
      </c>
    </row>
    <row r="6817" spans="7:20" ht="14.4" x14ac:dyDescent="0.25">
      <c r="G6817" s="10">
        <v>2440</v>
      </c>
      <c r="H6817" s="9">
        <v>17701</v>
      </c>
      <c r="I6817" s="14">
        <f>DATE(2012,12,31)-224</f>
        <v>41050</v>
      </c>
      <c r="J6817" s="15" t="s">
        <v>30</v>
      </c>
      <c r="K6817" s="9">
        <v>21</v>
      </c>
      <c r="L6817" s="16" t="s">
        <v>26</v>
      </c>
      <c r="M6817" s="16">
        <f t="shared" si="639"/>
        <v>-0.31572297923858361</v>
      </c>
      <c r="N6817">
        <f t="shared" si="640"/>
        <v>0</v>
      </c>
      <c r="O6817">
        <f t="shared" si="641"/>
        <v>0</v>
      </c>
      <c r="P6817">
        <f t="shared" si="638"/>
        <v>4450</v>
      </c>
      <c r="Q6817">
        <f t="shared" si="642"/>
        <v>4450</v>
      </c>
      <c r="T6817" s="16">
        <f t="shared" si="643"/>
        <v>-0.315722979238584</v>
      </c>
    </row>
    <row r="6818" spans="7:20" ht="14.4" x14ac:dyDescent="0.25">
      <c r="G6818" s="10">
        <v>2450</v>
      </c>
      <c r="H6818" s="9">
        <v>17799</v>
      </c>
      <c r="I6818" s="14">
        <f>DATE(2012,12,31)-102</f>
        <v>41172</v>
      </c>
      <c r="J6818" s="15" t="s">
        <v>16</v>
      </c>
      <c r="K6818" s="9">
        <v>8</v>
      </c>
      <c r="L6818" s="16" t="s">
        <v>29</v>
      </c>
      <c r="M6818" s="16">
        <f t="shared" si="639"/>
        <v>-1.2135000752884624</v>
      </c>
      <c r="N6818">
        <f t="shared" si="640"/>
        <v>0</v>
      </c>
      <c r="O6818">
        <f t="shared" si="641"/>
        <v>0</v>
      </c>
      <c r="P6818">
        <f t="shared" si="638"/>
        <v>3800</v>
      </c>
      <c r="Q6818">
        <f t="shared" si="642"/>
        <v>3800</v>
      </c>
      <c r="T6818" s="16">
        <f t="shared" si="643"/>
        <v>-1.2135000752884626</v>
      </c>
    </row>
    <row r="6819" spans="7:20" ht="14.4" x14ac:dyDescent="0.25">
      <c r="G6819" s="10">
        <v>2515</v>
      </c>
      <c r="H6819" s="9">
        <v>18275</v>
      </c>
      <c r="I6819" s="14">
        <f>DATE(2012,12,31)-356</f>
        <v>40918</v>
      </c>
      <c r="J6819" s="15" t="s">
        <v>25</v>
      </c>
      <c r="K6819" s="9">
        <v>25</v>
      </c>
      <c r="L6819" s="16" t="s">
        <v>29</v>
      </c>
      <c r="M6819" s="16">
        <f t="shared" si="639"/>
        <v>-3.9483872761697868E-2</v>
      </c>
      <c r="N6819">
        <f t="shared" si="640"/>
        <v>0</v>
      </c>
      <c r="O6819">
        <f t="shared" si="641"/>
        <v>0</v>
      </c>
      <c r="P6819">
        <f t="shared" si="638"/>
        <v>4650</v>
      </c>
      <c r="Q6819">
        <f t="shared" si="642"/>
        <v>4650</v>
      </c>
      <c r="T6819" s="16">
        <f t="shared" si="643"/>
        <v>-3.9483872761698249E-2</v>
      </c>
    </row>
    <row r="6820" spans="7:20" ht="14.4" x14ac:dyDescent="0.25">
      <c r="G6820" s="10">
        <v>2523</v>
      </c>
      <c r="H6820" s="9">
        <v>18336</v>
      </c>
      <c r="I6820" s="14">
        <f>DATE(2012,12,31)-1347</f>
        <v>39927</v>
      </c>
      <c r="J6820" s="15" t="s">
        <v>28</v>
      </c>
      <c r="K6820" s="9">
        <v>1</v>
      </c>
      <c r="L6820" s="16" t="s">
        <v>26</v>
      </c>
      <c r="M6820" s="16">
        <f t="shared" si="639"/>
        <v>-1.6969185116230123</v>
      </c>
      <c r="N6820">
        <f t="shared" si="640"/>
        <v>0</v>
      </c>
      <c r="O6820">
        <f t="shared" si="641"/>
        <v>0</v>
      </c>
      <c r="P6820">
        <f t="shared" si="638"/>
        <v>3450</v>
      </c>
      <c r="Q6820">
        <f t="shared" si="642"/>
        <v>3450</v>
      </c>
      <c r="T6820" s="16">
        <f t="shared" si="643"/>
        <v>-1.6969185116230128</v>
      </c>
    </row>
    <row r="6821" spans="7:20" ht="14.4" x14ac:dyDescent="0.25">
      <c r="G6821" s="10">
        <v>2536</v>
      </c>
      <c r="H6821" s="9">
        <v>18402</v>
      </c>
      <c r="I6821" s="14">
        <f>DATE(2012,12,31)-1220</f>
        <v>40054</v>
      </c>
      <c r="J6821" s="15" t="s">
        <v>25</v>
      </c>
      <c r="K6821" s="9">
        <v>5</v>
      </c>
      <c r="L6821" s="16" t="s">
        <v>29</v>
      </c>
      <c r="M6821" s="16">
        <f t="shared" si="639"/>
        <v>-1.4206794051461267</v>
      </c>
      <c r="N6821">
        <f t="shared" si="640"/>
        <v>0</v>
      </c>
      <c r="O6821">
        <f t="shared" si="641"/>
        <v>0</v>
      </c>
      <c r="P6821">
        <f t="shared" si="638"/>
        <v>3650</v>
      </c>
      <c r="Q6821">
        <f t="shared" si="642"/>
        <v>3650</v>
      </c>
      <c r="T6821" s="16">
        <f t="shared" si="643"/>
        <v>-1.4206794051461269</v>
      </c>
    </row>
    <row r="6822" spans="7:20" ht="14.4" x14ac:dyDescent="0.25">
      <c r="G6822" s="10">
        <v>2537</v>
      </c>
      <c r="H6822" s="9">
        <v>18402</v>
      </c>
      <c r="I6822" s="14">
        <f>DATE(2012,12,31)-1220</f>
        <v>40054</v>
      </c>
      <c r="J6822" s="15" t="s">
        <v>25</v>
      </c>
      <c r="K6822" s="9">
        <v>3</v>
      </c>
      <c r="L6822" s="16" t="s">
        <v>29</v>
      </c>
      <c r="M6822" s="16">
        <f t="shared" si="639"/>
        <v>-1.5587989583845694</v>
      </c>
      <c r="N6822">
        <f t="shared" si="640"/>
        <v>0</v>
      </c>
      <c r="O6822">
        <f t="shared" si="641"/>
        <v>0</v>
      </c>
      <c r="P6822">
        <f t="shared" si="638"/>
        <v>3550</v>
      </c>
      <c r="Q6822">
        <f t="shared" si="642"/>
        <v>3550</v>
      </c>
      <c r="T6822" s="16">
        <f t="shared" si="643"/>
        <v>-1.5587989583845698</v>
      </c>
    </row>
    <row r="6823" spans="7:20" ht="14.4" x14ac:dyDescent="0.25">
      <c r="G6823" s="10">
        <v>2549</v>
      </c>
      <c r="H6823" s="9">
        <v>18466</v>
      </c>
      <c r="I6823" s="14">
        <f>DATE(2012,12,31)-224</f>
        <v>41050</v>
      </c>
      <c r="J6823" s="15" t="s">
        <v>25</v>
      </c>
      <c r="K6823" s="9">
        <v>25</v>
      </c>
      <c r="L6823" s="16" t="s">
        <v>26</v>
      </c>
      <c r="M6823" s="16">
        <f t="shared" si="639"/>
        <v>-3.9483872761697868E-2</v>
      </c>
      <c r="N6823">
        <f t="shared" si="640"/>
        <v>0</v>
      </c>
      <c r="O6823">
        <f t="shared" si="641"/>
        <v>0</v>
      </c>
      <c r="P6823">
        <f t="shared" si="638"/>
        <v>4650</v>
      </c>
      <c r="Q6823">
        <f t="shared" si="642"/>
        <v>4650</v>
      </c>
      <c r="T6823" s="16">
        <f t="shared" si="643"/>
        <v>-3.9483872761698249E-2</v>
      </c>
    </row>
    <row r="6824" spans="7:20" ht="14.4" x14ac:dyDescent="0.25">
      <c r="G6824" s="10">
        <v>2550</v>
      </c>
      <c r="H6824" s="9">
        <v>18466</v>
      </c>
      <c r="I6824" s="14">
        <f>DATE(2012,12,31)-224</f>
        <v>41050</v>
      </c>
      <c r="J6824" s="15" t="s">
        <v>25</v>
      </c>
      <c r="K6824" s="9">
        <v>24</v>
      </c>
      <c r="L6824" s="16" t="s">
        <v>27</v>
      </c>
      <c r="M6824" s="16">
        <f t="shared" si="639"/>
        <v>-0.1085436493809193</v>
      </c>
      <c r="N6824">
        <f t="shared" si="640"/>
        <v>0</v>
      </c>
      <c r="O6824">
        <f t="shared" si="641"/>
        <v>0</v>
      </c>
      <c r="P6824">
        <f t="shared" si="638"/>
        <v>4600</v>
      </c>
      <c r="Q6824">
        <f t="shared" si="642"/>
        <v>4600</v>
      </c>
      <c r="T6824" s="16">
        <f t="shared" si="643"/>
        <v>-0.10854364938091969</v>
      </c>
    </row>
    <row r="6825" spans="7:20" ht="14.4" x14ac:dyDescent="0.25">
      <c r="G6825" s="10">
        <v>2563</v>
      </c>
      <c r="H6825" s="9">
        <v>18530</v>
      </c>
      <c r="I6825" s="14">
        <f>DATE(2012,12,31)-731</f>
        <v>40543</v>
      </c>
      <c r="J6825" s="15" t="s">
        <v>28</v>
      </c>
      <c r="K6825" s="9">
        <v>2</v>
      </c>
      <c r="L6825" s="16" t="s">
        <v>29</v>
      </c>
      <c r="M6825" s="16">
        <f t="shared" si="639"/>
        <v>-1.627858735003791</v>
      </c>
      <c r="N6825">
        <f t="shared" si="640"/>
        <v>0</v>
      </c>
      <c r="O6825">
        <f t="shared" si="641"/>
        <v>0</v>
      </c>
      <c r="P6825">
        <f t="shared" si="638"/>
        <v>3500</v>
      </c>
      <c r="Q6825">
        <f t="shared" si="642"/>
        <v>3500</v>
      </c>
      <c r="T6825" s="16">
        <f t="shared" si="643"/>
        <v>-1.6278587350037912</v>
      </c>
    </row>
    <row r="6826" spans="7:20" ht="14.4" x14ac:dyDescent="0.25">
      <c r="G6826" s="10">
        <v>2564</v>
      </c>
      <c r="H6826" s="9">
        <v>18530</v>
      </c>
      <c r="I6826" s="14">
        <f>DATE(2012,12,31)-731</f>
        <v>40543</v>
      </c>
      <c r="J6826" s="15" t="s">
        <v>28</v>
      </c>
      <c r="K6826" s="9">
        <v>25</v>
      </c>
      <c r="L6826" s="16" t="s">
        <v>27</v>
      </c>
      <c r="M6826" s="16">
        <f t="shared" si="639"/>
        <v>-3.9483872761697868E-2</v>
      </c>
      <c r="N6826">
        <f t="shared" si="640"/>
        <v>0</v>
      </c>
      <c r="O6826">
        <f t="shared" si="641"/>
        <v>0</v>
      </c>
      <c r="P6826">
        <f t="shared" si="638"/>
        <v>4650</v>
      </c>
      <c r="Q6826">
        <f t="shared" si="642"/>
        <v>4650</v>
      </c>
      <c r="T6826" s="16">
        <f t="shared" si="643"/>
        <v>-3.9483872761698249E-2</v>
      </c>
    </row>
    <row r="6827" spans="7:20" ht="14.4" x14ac:dyDescent="0.25">
      <c r="G6827" s="10">
        <v>2602</v>
      </c>
      <c r="H6827" s="9">
        <v>18790</v>
      </c>
      <c r="I6827" s="14">
        <f>DATE(2012,12,31)-1419</f>
        <v>39855</v>
      </c>
      <c r="J6827" s="15" t="s">
        <v>17</v>
      </c>
      <c r="K6827" s="9">
        <v>7</v>
      </c>
      <c r="L6827" s="16" t="s">
        <v>27</v>
      </c>
      <c r="M6827" s="16">
        <f t="shared" si="639"/>
        <v>-1.2825598519076837</v>
      </c>
      <c r="N6827">
        <f t="shared" si="640"/>
        <v>0</v>
      </c>
      <c r="O6827">
        <f t="shared" si="641"/>
        <v>0</v>
      </c>
      <c r="P6827">
        <f t="shared" si="638"/>
        <v>3750</v>
      </c>
      <c r="Q6827">
        <f t="shared" si="642"/>
        <v>3750</v>
      </c>
      <c r="T6827" s="16">
        <f t="shared" si="643"/>
        <v>-1.2825598519076842</v>
      </c>
    </row>
    <row r="6828" spans="7:20" ht="14.4" x14ac:dyDescent="0.25">
      <c r="G6828" s="10">
        <v>2604</v>
      </c>
      <c r="H6828" s="9">
        <v>18819</v>
      </c>
      <c r="I6828" s="14">
        <f>DATE(2012,12,31)-1405</f>
        <v>39869</v>
      </c>
      <c r="J6828" s="15" t="s">
        <v>25</v>
      </c>
      <c r="K6828" s="9">
        <v>22</v>
      </c>
      <c r="L6828" s="16" t="s">
        <v>29</v>
      </c>
      <c r="M6828" s="16">
        <f t="shared" si="639"/>
        <v>-0.24666320261936217</v>
      </c>
      <c r="N6828">
        <f t="shared" si="640"/>
        <v>0</v>
      </c>
      <c r="O6828">
        <f t="shared" si="641"/>
        <v>0</v>
      </c>
      <c r="P6828">
        <f t="shared" si="638"/>
        <v>4500</v>
      </c>
      <c r="Q6828">
        <f t="shared" si="642"/>
        <v>4500</v>
      </c>
      <c r="T6828" s="16">
        <f t="shared" si="643"/>
        <v>-0.24666320261936256</v>
      </c>
    </row>
    <row r="6829" spans="7:20" ht="14.4" x14ac:dyDescent="0.25">
      <c r="G6829" s="10">
        <v>2607</v>
      </c>
      <c r="H6829" s="9">
        <v>18849</v>
      </c>
      <c r="I6829" s="14">
        <f>DATE(2012,12,31)-148</f>
        <v>41126</v>
      </c>
      <c r="J6829" s="15" t="s">
        <v>17</v>
      </c>
      <c r="K6829" s="9">
        <v>43</v>
      </c>
      <c r="L6829" s="16" t="s">
        <v>26</v>
      </c>
      <c r="M6829" s="16">
        <f t="shared" si="639"/>
        <v>1.203592106384288</v>
      </c>
      <c r="N6829">
        <f t="shared" si="640"/>
        <v>0</v>
      </c>
      <c r="O6829">
        <f t="shared" si="641"/>
        <v>0</v>
      </c>
      <c r="P6829">
        <f t="shared" si="638"/>
        <v>5550</v>
      </c>
      <c r="Q6829">
        <f t="shared" si="642"/>
        <v>5550</v>
      </c>
      <c r="T6829" s="16">
        <f t="shared" si="643"/>
        <v>1.2035921063842876</v>
      </c>
    </row>
    <row r="6830" spans="7:20" ht="14.4" x14ac:dyDescent="0.25">
      <c r="G6830" s="10">
        <v>2608</v>
      </c>
      <c r="H6830" s="9">
        <v>18849</v>
      </c>
      <c r="I6830" s="14">
        <f>DATE(2012,12,31)-148</f>
        <v>41126</v>
      </c>
      <c r="J6830" s="15" t="s">
        <v>17</v>
      </c>
      <c r="K6830" s="9">
        <v>39</v>
      </c>
      <c r="L6830" s="16" t="s">
        <v>29</v>
      </c>
      <c r="M6830" s="16">
        <f t="shared" si="639"/>
        <v>0.92735299990740228</v>
      </c>
      <c r="N6830">
        <f t="shared" si="640"/>
        <v>0</v>
      </c>
      <c r="O6830">
        <f t="shared" si="641"/>
        <v>0</v>
      </c>
      <c r="P6830">
        <f t="shared" si="638"/>
        <v>5350</v>
      </c>
      <c r="Q6830">
        <f t="shared" si="642"/>
        <v>5350</v>
      </c>
      <c r="T6830" s="16">
        <f t="shared" si="643"/>
        <v>0.92735299990740183</v>
      </c>
    </row>
    <row r="6831" spans="7:20" ht="14.4" x14ac:dyDescent="0.25">
      <c r="G6831" s="10">
        <v>2612</v>
      </c>
      <c r="H6831" s="9">
        <v>18855</v>
      </c>
      <c r="I6831" s="14">
        <f>DATE(2012,12,31)-1203</f>
        <v>40071</v>
      </c>
      <c r="J6831" s="15" t="s">
        <v>17</v>
      </c>
      <c r="K6831" s="9">
        <v>31</v>
      </c>
      <c r="L6831" s="16" t="s">
        <v>26</v>
      </c>
      <c r="M6831" s="16">
        <f t="shared" si="639"/>
        <v>0.37487478695363075</v>
      </c>
      <c r="N6831">
        <f t="shared" si="640"/>
        <v>0</v>
      </c>
      <c r="O6831">
        <f t="shared" si="641"/>
        <v>0</v>
      </c>
      <c r="P6831">
        <f t="shared" si="638"/>
        <v>4950</v>
      </c>
      <c r="Q6831">
        <f t="shared" si="642"/>
        <v>4950</v>
      </c>
      <c r="T6831" s="16">
        <f t="shared" si="643"/>
        <v>0.37487478695363036</v>
      </c>
    </row>
    <row r="6832" spans="7:20" ht="14.4" x14ac:dyDescent="0.25">
      <c r="G6832" s="10">
        <v>2625</v>
      </c>
      <c r="H6832" s="9">
        <v>19040</v>
      </c>
      <c r="I6832" s="14">
        <f>DATE(2012,12,31)-378</f>
        <v>40896</v>
      </c>
      <c r="J6832" s="15" t="s">
        <v>17</v>
      </c>
      <c r="K6832" s="9">
        <v>10</v>
      </c>
      <c r="L6832" s="16" t="s">
        <v>26</v>
      </c>
      <c r="M6832" s="16">
        <f t="shared" si="639"/>
        <v>-1.0753805220500194</v>
      </c>
      <c r="N6832">
        <f t="shared" si="640"/>
        <v>0</v>
      </c>
      <c r="O6832">
        <f t="shared" si="641"/>
        <v>0</v>
      </c>
      <c r="P6832">
        <f t="shared" si="638"/>
        <v>3900</v>
      </c>
      <c r="Q6832">
        <f t="shared" si="642"/>
        <v>3900</v>
      </c>
      <c r="T6832" s="16">
        <f t="shared" si="643"/>
        <v>-1.0753805220500199</v>
      </c>
    </row>
    <row r="6833" spans="7:20" ht="14.4" x14ac:dyDescent="0.25">
      <c r="G6833" s="10">
        <v>2626</v>
      </c>
      <c r="H6833" s="9">
        <v>19041</v>
      </c>
      <c r="I6833" s="14">
        <f>DATE(2012,12,31)-524</f>
        <v>40750</v>
      </c>
      <c r="J6833" s="15" t="s">
        <v>25</v>
      </c>
      <c r="K6833" s="9">
        <v>3</v>
      </c>
      <c r="L6833" s="16" t="s">
        <v>26</v>
      </c>
      <c r="M6833" s="16">
        <f t="shared" si="639"/>
        <v>-1.5587989583845694</v>
      </c>
      <c r="N6833">
        <f t="shared" si="640"/>
        <v>0</v>
      </c>
      <c r="O6833">
        <f t="shared" si="641"/>
        <v>0</v>
      </c>
      <c r="P6833">
        <f t="shared" si="638"/>
        <v>3550</v>
      </c>
      <c r="Q6833">
        <f t="shared" si="642"/>
        <v>3550</v>
      </c>
      <c r="T6833" s="16">
        <f t="shared" si="643"/>
        <v>-1.5587989583845698</v>
      </c>
    </row>
    <row r="6834" spans="7:20" ht="14.4" x14ac:dyDescent="0.25">
      <c r="G6834" s="10">
        <v>2627</v>
      </c>
      <c r="H6834" s="9">
        <v>19041</v>
      </c>
      <c r="I6834" s="14">
        <f>DATE(2012,12,31)-524</f>
        <v>40750</v>
      </c>
      <c r="J6834" s="15" t="s">
        <v>25</v>
      </c>
      <c r="K6834" s="9">
        <v>43</v>
      </c>
      <c r="L6834" s="16" t="s">
        <v>26</v>
      </c>
      <c r="M6834" s="16">
        <f t="shared" si="639"/>
        <v>1.203592106384288</v>
      </c>
      <c r="N6834">
        <f t="shared" si="640"/>
        <v>0</v>
      </c>
      <c r="O6834">
        <f t="shared" si="641"/>
        <v>0</v>
      </c>
      <c r="P6834">
        <f t="shared" si="638"/>
        <v>5550</v>
      </c>
      <c r="Q6834">
        <f t="shared" si="642"/>
        <v>5550</v>
      </c>
      <c r="T6834" s="16">
        <f t="shared" si="643"/>
        <v>1.2035921063842876</v>
      </c>
    </row>
    <row r="6835" spans="7:20" ht="14.4" x14ac:dyDescent="0.25">
      <c r="G6835" s="10">
        <v>2631</v>
      </c>
      <c r="H6835" s="9">
        <v>19047</v>
      </c>
      <c r="I6835" s="14">
        <f>DATE(2012,12,31)-1433</f>
        <v>39841</v>
      </c>
      <c r="J6835" s="15" t="s">
        <v>17</v>
      </c>
      <c r="K6835" s="9">
        <v>1</v>
      </c>
      <c r="L6835" s="16" t="s">
        <v>26</v>
      </c>
      <c r="M6835" s="16">
        <f t="shared" si="639"/>
        <v>-1.6969185116230123</v>
      </c>
      <c r="N6835">
        <f t="shared" si="640"/>
        <v>0</v>
      </c>
      <c r="O6835">
        <f t="shared" si="641"/>
        <v>0</v>
      </c>
      <c r="P6835">
        <f t="shared" si="638"/>
        <v>3450</v>
      </c>
      <c r="Q6835">
        <f t="shared" si="642"/>
        <v>3450</v>
      </c>
      <c r="T6835" s="16">
        <f t="shared" si="643"/>
        <v>-1.6969185116230128</v>
      </c>
    </row>
    <row r="6836" spans="7:20" ht="14.4" x14ac:dyDescent="0.25">
      <c r="G6836" s="10">
        <v>2632</v>
      </c>
      <c r="H6836" s="9">
        <v>19047</v>
      </c>
      <c r="I6836" s="14">
        <f>DATE(2012,12,31)-1433</f>
        <v>39841</v>
      </c>
      <c r="J6836" s="15" t="s">
        <v>17</v>
      </c>
      <c r="K6836" s="9">
        <v>3</v>
      </c>
      <c r="L6836" s="16" t="s">
        <v>26</v>
      </c>
      <c r="M6836" s="16">
        <f t="shared" si="639"/>
        <v>-1.5587989583845694</v>
      </c>
      <c r="N6836">
        <f t="shared" si="640"/>
        <v>0</v>
      </c>
      <c r="O6836">
        <f t="shared" si="641"/>
        <v>0</v>
      </c>
      <c r="P6836">
        <f t="shared" si="638"/>
        <v>3550</v>
      </c>
      <c r="Q6836">
        <f t="shared" si="642"/>
        <v>3550</v>
      </c>
      <c r="T6836" s="16">
        <f t="shared" si="643"/>
        <v>-1.5587989583845698</v>
      </c>
    </row>
    <row r="6837" spans="7:20" ht="14.4" x14ac:dyDescent="0.25">
      <c r="G6837" s="10">
        <v>2647</v>
      </c>
      <c r="H6837" s="9">
        <v>19143</v>
      </c>
      <c r="I6837" s="14">
        <f>DATE(2012,12,31)-57</f>
        <v>41217</v>
      </c>
      <c r="J6837" s="15" t="s">
        <v>17</v>
      </c>
      <c r="K6837" s="9">
        <v>3</v>
      </c>
      <c r="L6837" s="16" t="s">
        <v>27</v>
      </c>
      <c r="M6837" s="16">
        <f t="shared" si="639"/>
        <v>-1.5587989583845694</v>
      </c>
      <c r="N6837">
        <f t="shared" si="640"/>
        <v>0</v>
      </c>
      <c r="O6837">
        <f t="shared" si="641"/>
        <v>0</v>
      </c>
      <c r="P6837">
        <f t="shared" si="638"/>
        <v>3550</v>
      </c>
      <c r="Q6837">
        <f t="shared" si="642"/>
        <v>3550</v>
      </c>
      <c r="T6837" s="16">
        <f t="shared" si="643"/>
        <v>-1.5587989583845698</v>
      </c>
    </row>
    <row r="6838" spans="7:20" ht="14.4" x14ac:dyDescent="0.25">
      <c r="G6838" s="10">
        <v>2665</v>
      </c>
      <c r="H6838" s="9">
        <v>19264</v>
      </c>
      <c r="I6838" s="14">
        <f>DATE(2012,12,31)-459</f>
        <v>40815</v>
      </c>
      <c r="J6838" s="15" t="s">
        <v>17</v>
      </c>
      <c r="K6838" s="9">
        <v>40</v>
      </c>
      <c r="L6838" s="16" t="s">
        <v>26</v>
      </c>
      <c r="M6838" s="16">
        <f t="shared" si="639"/>
        <v>0.99641277652662363</v>
      </c>
      <c r="N6838">
        <f t="shared" si="640"/>
        <v>0</v>
      </c>
      <c r="O6838">
        <f t="shared" si="641"/>
        <v>0</v>
      </c>
      <c r="P6838">
        <f t="shared" si="638"/>
        <v>5400</v>
      </c>
      <c r="Q6838">
        <f t="shared" si="642"/>
        <v>5400</v>
      </c>
      <c r="T6838" s="16">
        <f t="shared" si="643"/>
        <v>0.9964127765266233</v>
      </c>
    </row>
    <row r="6839" spans="7:20" ht="14.4" x14ac:dyDescent="0.25">
      <c r="G6839" s="10">
        <v>2666</v>
      </c>
      <c r="H6839" s="9">
        <v>19264</v>
      </c>
      <c r="I6839" s="14">
        <f>DATE(2012,12,31)-459</f>
        <v>40815</v>
      </c>
      <c r="J6839" s="15" t="s">
        <v>17</v>
      </c>
      <c r="K6839" s="9">
        <v>23</v>
      </c>
      <c r="L6839" s="16" t="s">
        <v>26</v>
      </c>
      <c r="M6839" s="16">
        <f t="shared" si="639"/>
        <v>-0.17760342600014073</v>
      </c>
      <c r="N6839">
        <f t="shared" si="640"/>
        <v>0</v>
      </c>
      <c r="O6839">
        <f t="shared" si="641"/>
        <v>0</v>
      </c>
      <c r="P6839">
        <f t="shared" si="638"/>
        <v>4550</v>
      </c>
      <c r="Q6839">
        <f t="shared" si="642"/>
        <v>4550</v>
      </c>
      <c r="T6839" s="16">
        <f t="shared" si="643"/>
        <v>-0.17760342600014112</v>
      </c>
    </row>
    <row r="6840" spans="7:20" ht="14.4" x14ac:dyDescent="0.25">
      <c r="G6840" s="10">
        <v>2667</v>
      </c>
      <c r="H6840" s="9">
        <v>19296</v>
      </c>
      <c r="I6840" s="14">
        <f>DATE(2012,12,31)-996</f>
        <v>40278</v>
      </c>
      <c r="J6840" s="15" t="s">
        <v>17</v>
      </c>
      <c r="K6840" s="9">
        <v>43</v>
      </c>
      <c r="L6840" s="16" t="s">
        <v>26</v>
      </c>
      <c r="M6840" s="16">
        <f t="shared" si="639"/>
        <v>1.203592106384288</v>
      </c>
      <c r="N6840">
        <f t="shared" si="640"/>
        <v>0</v>
      </c>
      <c r="O6840">
        <f t="shared" si="641"/>
        <v>0</v>
      </c>
      <c r="P6840">
        <f t="shared" si="638"/>
        <v>5550</v>
      </c>
      <c r="Q6840">
        <f t="shared" si="642"/>
        <v>5550</v>
      </c>
      <c r="T6840" s="16">
        <f t="shared" si="643"/>
        <v>1.2035921063842876</v>
      </c>
    </row>
    <row r="6841" spans="7:20" ht="14.4" x14ac:dyDescent="0.25">
      <c r="G6841" s="10">
        <v>2668</v>
      </c>
      <c r="H6841" s="9">
        <v>19299</v>
      </c>
      <c r="I6841" s="14">
        <f>DATE(2012,12,31)-1384</f>
        <v>39890</v>
      </c>
      <c r="J6841" s="15" t="s">
        <v>28</v>
      </c>
      <c r="K6841" s="9">
        <v>10</v>
      </c>
      <c r="L6841" s="16" t="s">
        <v>26</v>
      </c>
      <c r="M6841" s="16">
        <f t="shared" si="639"/>
        <v>-1.0753805220500194</v>
      </c>
      <c r="N6841">
        <f t="shared" si="640"/>
        <v>0</v>
      </c>
      <c r="O6841">
        <f t="shared" si="641"/>
        <v>0</v>
      </c>
      <c r="P6841">
        <f t="shared" si="638"/>
        <v>3900</v>
      </c>
      <c r="Q6841">
        <f t="shared" si="642"/>
        <v>3900</v>
      </c>
      <c r="T6841" s="16">
        <f t="shared" si="643"/>
        <v>-1.0753805220500199</v>
      </c>
    </row>
    <row r="6842" spans="7:20" ht="14.4" x14ac:dyDescent="0.25">
      <c r="G6842" s="10">
        <v>2685</v>
      </c>
      <c r="H6842" s="9">
        <v>19429</v>
      </c>
      <c r="I6842" s="14">
        <f>DATE(2012,12,31)-1225</f>
        <v>40049</v>
      </c>
      <c r="J6842" s="15" t="s">
        <v>28</v>
      </c>
      <c r="K6842" s="9">
        <v>2</v>
      </c>
      <c r="L6842" s="16" t="s">
        <v>29</v>
      </c>
      <c r="M6842" s="16">
        <f t="shared" si="639"/>
        <v>-1.627858735003791</v>
      </c>
      <c r="N6842">
        <f t="shared" si="640"/>
        <v>0</v>
      </c>
      <c r="O6842">
        <f t="shared" si="641"/>
        <v>0</v>
      </c>
      <c r="P6842">
        <f t="shared" si="638"/>
        <v>3500</v>
      </c>
      <c r="Q6842">
        <f t="shared" si="642"/>
        <v>3500</v>
      </c>
      <c r="T6842" s="16">
        <f t="shared" si="643"/>
        <v>-1.6278587350037912</v>
      </c>
    </row>
    <row r="6843" spans="7:20" ht="14.4" x14ac:dyDescent="0.25">
      <c r="G6843" s="10">
        <v>2686</v>
      </c>
      <c r="H6843" s="9">
        <v>19430</v>
      </c>
      <c r="I6843" s="14">
        <f>DATE(2012,12,31)-779</f>
        <v>40495</v>
      </c>
      <c r="J6843" s="15" t="s">
        <v>30</v>
      </c>
      <c r="K6843" s="9">
        <v>39</v>
      </c>
      <c r="L6843" s="16" t="s">
        <v>26</v>
      </c>
      <c r="M6843" s="16">
        <f t="shared" si="639"/>
        <v>0.92735299990740228</v>
      </c>
      <c r="N6843">
        <f t="shared" si="640"/>
        <v>0</v>
      </c>
      <c r="O6843">
        <f t="shared" si="641"/>
        <v>0</v>
      </c>
      <c r="P6843">
        <f t="shared" si="638"/>
        <v>5350</v>
      </c>
      <c r="Q6843">
        <f t="shared" si="642"/>
        <v>5350</v>
      </c>
      <c r="T6843" s="16">
        <f t="shared" si="643"/>
        <v>0.92735299990740183</v>
      </c>
    </row>
    <row r="6844" spans="7:20" ht="14.4" x14ac:dyDescent="0.25">
      <c r="G6844" s="10">
        <v>2700</v>
      </c>
      <c r="H6844" s="9">
        <v>19524</v>
      </c>
      <c r="I6844" s="14">
        <f>DATE(2012,12,31)-1082</f>
        <v>40192</v>
      </c>
      <c r="J6844" s="15" t="s">
        <v>30</v>
      </c>
      <c r="K6844" s="9">
        <v>9</v>
      </c>
      <c r="L6844" s="16" t="s">
        <v>26</v>
      </c>
      <c r="M6844" s="16">
        <f t="shared" si="639"/>
        <v>-1.1444402986692408</v>
      </c>
      <c r="N6844">
        <f t="shared" si="640"/>
        <v>0</v>
      </c>
      <c r="O6844">
        <f t="shared" si="641"/>
        <v>0</v>
      </c>
      <c r="P6844">
        <f t="shared" si="638"/>
        <v>3850</v>
      </c>
      <c r="Q6844">
        <f t="shared" si="642"/>
        <v>3850</v>
      </c>
      <c r="T6844" s="16">
        <f t="shared" si="643"/>
        <v>-1.1444402986692412</v>
      </c>
    </row>
    <row r="6845" spans="7:20" ht="14.4" x14ac:dyDescent="0.25">
      <c r="G6845" s="10">
        <v>2703</v>
      </c>
      <c r="H6845" s="9">
        <v>19556</v>
      </c>
      <c r="I6845" s="14">
        <f>DATE(2012,12,31)-732</f>
        <v>40542</v>
      </c>
      <c r="J6845" s="15" t="s">
        <v>28</v>
      </c>
      <c r="K6845" s="9">
        <v>45</v>
      </c>
      <c r="L6845" s="16" t="s">
        <v>29</v>
      </c>
      <c r="M6845" s="16">
        <f t="shared" si="639"/>
        <v>1.3417116596227308</v>
      </c>
      <c r="N6845">
        <f t="shared" si="640"/>
        <v>0</v>
      </c>
      <c r="O6845">
        <f t="shared" si="641"/>
        <v>0</v>
      </c>
      <c r="P6845">
        <f t="shared" si="638"/>
        <v>5650</v>
      </c>
      <c r="Q6845">
        <f t="shared" si="642"/>
        <v>5650</v>
      </c>
      <c r="T6845" s="16">
        <f t="shared" si="643"/>
        <v>1.3417116596227305</v>
      </c>
    </row>
    <row r="6846" spans="7:20" ht="14.4" x14ac:dyDescent="0.25">
      <c r="G6846" s="10">
        <v>2704</v>
      </c>
      <c r="H6846" s="9">
        <v>19556</v>
      </c>
      <c r="I6846" s="14">
        <f>DATE(2012,12,31)-732</f>
        <v>40542</v>
      </c>
      <c r="J6846" s="15" t="s">
        <v>28</v>
      </c>
      <c r="K6846" s="9">
        <v>22</v>
      </c>
      <c r="L6846" s="16" t="s">
        <v>26</v>
      </c>
      <c r="M6846" s="16">
        <f t="shared" si="639"/>
        <v>-0.24666320261936217</v>
      </c>
      <c r="N6846">
        <f t="shared" si="640"/>
        <v>0</v>
      </c>
      <c r="O6846">
        <f t="shared" si="641"/>
        <v>0</v>
      </c>
      <c r="P6846">
        <f t="shared" si="638"/>
        <v>4500</v>
      </c>
      <c r="Q6846">
        <f t="shared" si="642"/>
        <v>4500</v>
      </c>
      <c r="T6846" s="16">
        <f t="shared" si="643"/>
        <v>-0.24666320261936256</v>
      </c>
    </row>
    <row r="6847" spans="7:20" ht="14.4" x14ac:dyDescent="0.25">
      <c r="G6847" s="10">
        <v>2705</v>
      </c>
      <c r="H6847" s="9">
        <v>19556</v>
      </c>
      <c r="I6847" s="14">
        <f>DATE(2012,12,31)-732</f>
        <v>40542</v>
      </c>
      <c r="J6847" s="15" t="s">
        <v>28</v>
      </c>
      <c r="K6847" s="9">
        <v>35</v>
      </c>
      <c r="L6847" s="16" t="s">
        <v>27</v>
      </c>
      <c r="M6847" s="16">
        <f t="shared" si="639"/>
        <v>0.65111389343051651</v>
      </c>
      <c r="N6847">
        <f t="shared" si="640"/>
        <v>0</v>
      </c>
      <c r="O6847">
        <f t="shared" si="641"/>
        <v>0</v>
      </c>
      <c r="P6847">
        <f t="shared" si="638"/>
        <v>5150</v>
      </c>
      <c r="Q6847">
        <f t="shared" si="642"/>
        <v>5150</v>
      </c>
      <c r="T6847" s="16">
        <f t="shared" si="643"/>
        <v>0.65111389343051607</v>
      </c>
    </row>
    <row r="6848" spans="7:20" ht="14.4" x14ac:dyDescent="0.25">
      <c r="G6848" s="10">
        <v>2746</v>
      </c>
      <c r="H6848" s="9">
        <v>19815</v>
      </c>
      <c r="I6848" s="14">
        <f>DATE(2012,12,31)-1012</f>
        <v>40262</v>
      </c>
      <c r="J6848" s="15" t="s">
        <v>28</v>
      </c>
      <c r="K6848" s="9">
        <v>33</v>
      </c>
      <c r="L6848" s="16" t="s">
        <v>26</v>
      </c>
      <c r="M6848" s="16">
        <f t="shared" si="639"/>
        <v>0.51299434019207357</v>
      </c>
      <c r="N6848">
        <f t="shared" si="640"/>
        <v>0</v>
      </c>
      <c r="O6848">
        <f t="shared" si="641"/>
        <v>0</v>
      </c>
      <c r="P6848">
        <f t="shared" si="638"/>
        <v>5050</v>
      </c>
      <c r="Q6848">
        <f t="shared" si="642"/>
        <v>5050</v>
      </c>
      <c r="T6848" s="16">
        <f t="shared" si="643"/>
        <v>0.51299434019207324</v>
      </c>
    </row>
    <row r="6849" spans="7:20" ht="14.4" x14ac:dyDescent="0.25">
      <c r="G6849" s="10">
        <v>2783</v>
      </c>
      <c r="H6849" s="9">
        <v>20096</v>
      </c>
      <c r="I6849" s="14">
        <f>DATE(2012,12,31)-134</f>
        <v>41140</v>
      </c>
      <c r="J6849" s="15" t="s">
        <v>25</v>
      </c>
      <c r="K6849" s="9">
        <v>35</v>
      </c>
      <c r="L6849" s="16" t="s">
        <v>29</v>
      </c>
      <c r="M6849" s="16">
        <f t="shared" si="639"/>
        <v>0.65111389343051651</v>
      </c>
      <c r="N6849">
        <f t="shared" si="640"/>
        <v>0</v>
      </c>
      <c r="O6849">
        <f t="shared" si="641"/>
        <v>0</v>
      </c>
      <c r="P6849">
        <f t="shared" si="638"/>
        <v>5150</v>
      </c>
      <c r="Q6849">
        <f t="shared" si="642"/>
        <v>5150</v>
      </c>
      <c r="T6849" s="16">
        <f t="shared" si="643"/>
        <v>0.65111389343051607</v>
      </c>
    </row>
    <row r="6850" spans="7:20" ht="14.4" x14ac:dyDescent="0.25">
      <c r="G6850" s="10">
        <v>2791</v>
      </c>
      <c r="H6850" s="9">
        <v>20132</v>
      </c>
      <c r="I6850" s="14">
        <f>DATE(2012,12,31)-959</f>
        <v>40315</v>
      </c>
      <c r="J6850" s="15" t="s">
        <v>25</v>
      </c>
      <c r="K6850" s="9">
        <v>30</v>
      </c>
      <c r="L6850" s="16" t="s">
        <v>27</v>
      </c>
      <c r="M6850" s="16">
        <f t="shared" si="639"/>
        <v>0.30581501033440933</v>
      </c>
      <c r="N6850">
        <f t="shared" si="640"/>
        <v>0</v>
      </c>
      <c r="O6850">
        <f t="shared" si="641"/>
        <v>0</v>
      </c>
      <c r="P6850">
        <f t="shared" si="638"/>
        <v>4900</v>
      </c>
      <c r="Q6850">
        <f t="shared" si="642"/>
        <v>4900</v>
      </c>
      <c r="T6850" s="16">
        <f t="shared" si="643"/>
        <v>0.30581501033440894</v>
      </c>
    </row>
    <row r="6851" spans="7:20" ht="14.4" x14ac:dyDescent="0.25">
      <c r="G6851" s="10">
        <v>2802</v>
      </c>
      <c r="H6851" s="9">
        <v>20225</v>
      </c>
      <c r="I6851" s="14">
        <f>DATE(2012,12,31)-889</f>
        <v>40385</v>
      </c>
      <c r="J6851" s="15" t="s">
        <v>25</v>
      </c>
      <c r="K6851" s="9">
        <v>33</v>
      </c>
      <c r="L6851" s="16" t="s">
        <v>26</v>
      </c>
      <c r="M6851" s="16">
        <f t="shared" si="639"/>
        <v>0.51299434019207357</v>
      </c>
      <c r="N6851">
        <f t="shared" si="640"/>
        <v>0</v>
      </c>
      <c r="O6851">
        <f t="shared" si="641"/>
        <v>0</v>
      </c>
      <c r="P6851">
        <f t="shared" si="638"/>
        <v>5050</v>
      </c>
      <c r="Q6851">
        <f t="shared" si="642"/>
        <v>5050</v>
      </c>
      <c r="T6851" s="16">
        <f t="shared" si="643"/>
        <v>0.51299434019207324</v>
      </c>
    </row>
    <row r="6852" spans="7:20" ht="14.4" x14ac:dyDescent="0.25">
      <c r="G6852" s="10">
        <v>2803</v>
      </c>
      <c r="H6852" s="9">
        <v>20225</v>
      </c>
      <c r="I6852" s="14">
        <f>DATE(2012,12,31)-889</f>
        <v>40385</v>
      </c>
      <c r="J6852" s="15" t="s">
        <v>25</v>
      </c>
      <c r="K6852" s="9">
        <v>22</v>
      </c>
      <c r="L6852" s="16" t="s">
        <v>26</v>
      </c>
      <c r="M6852" s="16">
        <f t="shared" si="639"/>
        <v>-0.24666320261936217</v>
      </c>
      <c r="N6852">
        <f t="shared" si="640"/>
        <v>0</v>
      </c>
      <c r="O6852">
        <f t="shared" si="641"/>
        <v>0</v>
      </c>
      <c r="P6852">
        <f t="shared" si="638"/>
        <v>4500</v>
      </c>
      <c r="Q6852">
        <f t="shared" si="642"/>
        <v>4500</v>
      </c>
      <c r="T6852" s="16">
        <f t="shared" si="643"/>
        <v>-0.24666320261936256</v>
      </c>
    </row>
    <row r="6853" spans="7:20" ht="14.4" x14ac:dyDescent="0.25">
      <c r="G6853" s="10">
        <v>2818</v>
      </c>
      <c r="H6853" s="9">
        <v>20325</v>
      </c>
      <c r="I6853" s="14">
        <f>DATE(2012,12,31)-912</f>
        <v>40362</v>
      </c>
      <c r="J6853" s="15" t="s">
        <v>30</v>
      </c>
      <c r="K6853" s="9">
        <v>35</v>
      </c>
      <c r="L6853" s="16" t="s">
        <v>27</v>
      </c>
      <c r="M6853" s="16">
        <f t="shared" si="639"/>
        <v>0.65111389343051651</v>
      </c>
      <c r="N6853">
        <f t="shared" si="640"/>
        <v>0</v>
      </c>
      <c r="O6853">
        <f t="shared" si="641"/>
        <v>0</v>
      </c>
      <c r="P6853">
        <f t="shared" si="638"/>
        <v>5150</v>
      </c>
      <c r="Q6853">
        <f t="shared" si="642"/>
        <v>5150</v>
      </c>
      <c r="T6853" s="16">
        <f t="shared" si="643"/>
        <v>0.65111389343051607</v>
      </c>
    </row>
    <row r="6854" spans="7:20" ht="14.4" x14ac:dyDescent="0.25">
      <c r="G6854" s="10">
        <v>2819</v>
      </c>
      <c r="H6854" s="9">
        <v>20325</v>
      </c>
      <c r="I6854" s="14">
        <f>DATE(2012,12,31)-912</f>
        <v>40362</v>
      </c>
      <c r="J6854" s="15" t="s">
        <v>30</v>
      </c>
      <c r="K6854" s="9">
        <v>24</v>
      </c>
      <c r="L6854" s="16" t="s">
        <v>26</v>
      </c>
      <c r="M6854" s="16">
        <f t="shared" si="639"/>
        <v>-0.1085436493809193</v>
      </c>
      <c r="N6854">
        <f t="shared" si="640"/>
        <v>0</v>
      </c>
      <c r="O6854">
        <f t="shared" si="641"/>
        <v>0</v>
      </c>
      <c r="P6854">
        <f t="shared" si="638"/>
        <v>4600</v>
      </c>
      <c r="Q6854">
        <f t="shared" si="642"/>
        <v>4600</v>
      </c>
      <c r="T6854" s="16">
        <f t="shared" si="643"/>
        <v>-0.10854364938091969</v>
      </c>
    </row>
    <row r="6855" spans="7:20" ht="14.4" x14ac:dyDescent="0.25">
      <c r="G6855" s="10">
        <v>2833</v>
      </c>
      <c r="H6855" s="9">
        <v>20450</v>
      </c>
      <c r="I6855" s="14">
        <f>DATE(2012,12,31)-24</f>
        <v>41250</v>
      </c>
      <c r="J6855" s="15" t="s">
        <v>30</v>
      </c>
      <c r="K6855" s="9">
        <v>26</v>
      </c>
      <c r="L6855" s="16" t="s">
        <v>29</v>
      </c>
      <c r="M6855" s="16">
        <f t="shared" si="639"/>
        <v>2.9575903857523567E-2</v>
      </c>
      <c r="N6855">
        <f t="shared" si="640"/>
        <v>0</v>
      </c>
      <c r="O6855">
        <f t="shared" si="641"/>
        <v>0</v>
      </c>
      <c r="P6855">
        <f t="shared" si="638"/>
        <v>4700</v>
      </c>
      <c r="Q6855">
        <f t="shared" si="642"/>
        <v>4700</v>
      </c>
      <c r="T6855" s="16">
        <f t="shared" si="643"/>
        <v>2.9575903857523185E-2</v>
      </c>
    </row>
    <row r="6856" spans="7:20" ht="14.4" x14ac:dyDescent="0.25">
      <c r="G6856" s="10">
        <v>2851</v>
      </c>
      <c r="H6856" s="9">
        <v>20519</v>
      </c>
      <c r="I6856" s="14">
        <f>DATE(2012,12,31)-1361</f>
        <v>39913</v>
      </c>
      <c r="J6856" s="15" t="s">
        <v>17</v>
      </c>
      <c r="K6856" s="9">
        <v>7</v>
      </c>
      <c r="L6856" s="16" t="s">
        <v>27</v>
      </c>
      <c r="M6856" s="16">
        <f t="shared" si="639"/>
        <v>-1.2825598519076837</v>
      </c>
      <c r="N6856">
        <f t="shared" si="640"/>
        <v>0</v>
      </c>
      <c r="O6856">
        <f t="shared" si="641"/>
        <v>0</v>
      </c>
      <c r="P6856">
        <f t="shared" si="638"/>
        <v>3750</v>
      </c>
      <c r="Q6856">
        <f t="shared" si="642"/>
        <v>3750</v>
      </c>
      <c r="T6856" s="16">
        <f t="shared" si="643"/>
        <v>-1.2825598519076842</v>
      </c>
    </row>
    <row r="6857" spans="7:20" ht="14.4" x14ac:dyDescent="0.25">
      <c r="G6857" s="10">
        <v>2865</v>
      </c>
      <c r="H6857" s="9">
        <v>20679</v>
      </c>
      <c r="I6857" s="14">
        <f>DATE(2012,12,31)-870</f>
        <v>40404</v>
      </c>
      <c r="J6857" s="15" t="s">
        <v>16</v>
      </c>
      <c r="K6857" s="9">
        <v>32</v>
      </c>
      <c r="L6857" s="16" t="s">
        <v>26</v>
      </c>
      <c r="M6857" s="16">
        <f t="shared" si="639"/>
        <v>0.44393456357285216</v>
      </c>
      <c r="N6857">
        <f t="shared" si="640"/>
        <v>0</v>
      </c>
      <c r="O6857">
        <f t="shared" si="641"/>
        <v>0</v>
      </c>
      <c r="P6857">
        <f t="shared" si="638"/>
        <v>5000</v>
      </c>
      <c r="Q6857">
        <f t="shared" si="642"/>
        <v>5000</v>
      </c>
      <c r="T6857" s="16">
        <f t="shared" si="643"/>
        <v>0.44393456357285183</v>
      </c>
    </row>
    <row r="6858" spans="7:20" ht="14.4" x14ac:dyDescent="0.25">
      <c r="G6858" s="10">
        <v>2869</v>
      </c>
      <c r="H6858" s="9">
        <v>20706</v>
      </c>
      <c r="I6858" s="14">
        <f>DATE(2012,12,31)-1268</f>
        <v>40006</v>
      </c>
      <c r="J6858" s="15" t="s">
        <v>17</v>
      </c>
      <c r="K6858" s="9">
        <v>41</v>
      </c>
      <c r="L6858" s="16" t="s">
        <v>29</v>
      </c>
      <c r="M6858" s="16">
        <f t="shared" si="639"/>
        <v>1.0654725531458451</v>
      </c>
      <c r="N6858">
        <f t="shared" si="640"/>
        <v>0</v>
      </c>
      <c r="O6858">
        <f t="shared" si="641"/>
        <v>0</v>
      </c>
      <c r="P6858">
        <f t="shared" si="638"/>
        <v>5450</v>
      </c>
      <c r="Q6858">
        <f t="shared" si="642"/>
        <v>5450</v>
      </c>
      <c r="T6858" s="16">
        <f t="shared" si="643"/>
        <v>1.0654725531458447</v>
      </c>
    </row>
    <row r="6859" spans="7:20" ht="14.4" x14ac:dyDescent="0.25">
      <c r="G6859" s="10">
        <v>2894</v>
      </c>
      <c r="H6859" s="9">
        <v>20898</v>
      </c>
      <c r="I6859" s="14">
        <f>DATE(2012,12,31)-428</f>
        <v>40846</v>
      </c>
      <c r="J6859" s="15" t="s">
        <v>16</v>
      </c>
      <c r="K6859" s="9">
        <v>33</v>
      </c>
      <c r="L6859" s="16" t="s">
        <v>27</v>
      </c>
      <c r="M6859" s="16">
        <f t="shared" si="639"/>
        <v>0.51299434019207357</v>
      </c>
      <c r="N6859">
        <f t="shared" si="640"/>
        <v>0</v>
      </c>
      <c r="O6859">
        <f t="shared" si="641"/>
        <v>0</v>
      </c>
      <c r="P6859">
        <f t="shared" si="638"/>
        <v>5050</v>
      </c>
      <c r="Q6859">
        <f t="shared" si="642"/>
        <v>5050</v>
      </c>
      <c r="T6859" s="16">
        <f t="shared" si="643"/>
        <v>0.51299434019207324</v>
      </c>
    </row>
    <row r="6860" spans="7:20" ht="14.4" x14ac:dyDescent="0.25">
      <c r="G6860" s="10">
        <v>2911</v>
      </c>
      <c r="H6860" s="9">
        <v>20995</v>
      </c>
      <c r="I6860" s="14">
        <f>DATE(2012,12,31)-279</f>
        <v>40995</v>
      </c>
      <c r="J6860" s="15" t="s">
        <v>16</v>
      </c>
      <c r="K6860" s="9">
        <v>37</v>
      </c>
      <c r="L6860" s="16" t="s">
        <v>29</v>
      </c>
      <c r="M6860" s="16">
        <f t="shared" si="639"/>
        <v>0.78923344666895934</v>
      </c>
      <c r="N6860">
        <f t="shared" si="640"/>
        <v>0</v>
      </c>
      <c r="O6860">
        <f t="shared" si="641"/>
        <v>0</v>
      </c>
      <c r="P6860">
        <f t="shared" ref="P6860:P6923" si="644">50*K6860+$P$10</f>
        <v>5250</v>
      </c>
      <c r="Q6860">
        <f t="shared" si="642"/>
        <v>5250</v>
      </c>
      <c r="T6860" s="16">
        <f t="shared" si="643"/>
        <v>0.789233446668959</v>
      </c>
    </row>
    <row r="6861" spans="7:20" ht="14.4" x14ac:dyDescent="0.25">
      <c r="G6861" s="10">
        <v>2923</v>
      </c>
      <c r="H6861" s="9">
        <v>21159</v>
      </c>
      <c r="I6861" s="14">
        <f>DATE(2012,12,31)-573</f>
        <v>40701</v>
      </c>
      <c r="J6861" s="15" t="s">
        <v>25</v>
      </c>
      <c r="K6861" s="9">
        <v>5</v>
      </c>
      <c r="L6861" s="16" t="s">
        <v>26</v>
      </c>
      <c r="M6861" s="16">
        <f t="shared" ref="M6861:M6924" si="645">(K6861-$K$4)/$K$7</f>
        <v>-1.4206794051461267</v>
      </c>
      <c r="N6861">
        <f t="shared" ref="N6861:N6924" si="646">IF(MOD($B$20+G6861,1000)=0,1,0)</f>
        <v>0</v>
      </c>
      <c r="O6861">
        <f t="shared" ref="O6861:O6924" si="647">+ROUND(N6861*(IF(K6861&lt;$K$4,-4.5,10.5)*$P$5),-2)</f>
        <v>0</v>
      </c>
      <c r="P6861">
        <f t="shared" si="644"/>
        <v>3650</v>
      </c>
      <c r="Q6861">
        <f t="shared" ref="Q6861:Q6924" si="648">P6861+O6861</f>
        <v>3650</v>
      </c>
      <c r="T6861" s="16">
        <f t="shared" ref="T6861:T6924" si="649">(Q6861-$P$4)/$P$5</f>
        <v>-1.4206794051461269</v>
      </c>
    </row>
    <row r="6862" spans="7:20" ht="14.4" x14ac:dyDescent="0.25">
      <c r="G6862" s="10">
        <v>2926</v>
      </c>
      <c r="H6862" s="9">
        <v>21191</v>
      </c>
      <c r="I6862" s="14">
        <f>DATE(2012,12,31)-47</f>
        <v>41227</v>
      </c>
      <c r="J6862" s="15" t="s">
        <v>17</v>
      </c>
      <c r="K6862" s="9">
        <v>48</v>
      </c>
      <c r="L6862" s="16" t="s">
        <v>27</v>
      </c>
      <c r="M6862" s="16">
        <f t="shared" si="645"/>
        <v>1.5488909894803951</v>
      </c>
      <c r="N6862">
        <f t="shared" si="646"/>
        <v>0</v>
      </c>
      <c r="O6862">
        <f t="shared" si="647"/>
        <v>0</v>
      </c>
      <c r="P6862">
        <f t="shared" si="644"/>
        <v>5800</v>
      </c>
      <c r="Q6862">
        <f t="shared" si="648"/>
        <v>5800</v>
      </c>
      <c r="T6862" s="16">
        <f t="shared" si="649"/>
        <v>1.5488909894803948</v>
      </c>
    </row>
    <row r="6863" spans="7:20" ht="14.4" x14ac:dyDescent="0.25">
      <c r="G6863" s="10">
        <v>2937</v>
      </c>
      <c r="H6863" s="9">
        <v>21286</v>
      </c>
      <c r="I6863" s="14">
        <f>DATE(2012,12,31)-1325</f>
        <v>39949</v>
      </c>
      <c r="J6863" s="15" t="s">
        <v>30</v>
      </c>
      <c r="K6863" s="9">
        <v>17</v>
      </c>
      <c r="L6863" s="16" t="s">
        <v>26</v>
      </c>
      <c r="M6863" s="16">
        <f t="shared" si="645"/>
        <v>-0.59196208571546938</v>
      </c>
      <c r="N6863">
        <f t="shared" si="646"/>
        <v>0</v>
      </c>
      <c r="O6863">
        <f t="shared" si="647"/>
        <v>0</v>
      </c>
      <c r="P6863">
        <f t="shared" si="644"/>
        <v>4250</v>
      </c>
      <c r="Q6863">
        <f t="shared" si="648"/>
        <v>4250</v>
      </c>
      <c r="T6863" s="16">
        <f t="shared" si="649"/>
        <v>-0.59196208571546971</v>
      </c>
    </row>
    <row r="6864" spans="7:20" ht="14.4" x14ac:dyDescent="0.25">
      <c r="G6864" s="10">
        <v>2948</v>
      </c>
      <c r="H6864" s="9">
        <v>21346</v>
      </c>
      <c r="I6864" s="14">
        <f>DATE(2012,12,31)-573</f>
        <v>40701</v>
      </c>
      <c r="J6864" s="15" t="s">
        <v>17</v>
      </c>
      <c r="K6864" s="9">
        <v>46</v>
      </c>
      <c r="L6864" s="16" t="s">
        <v>26</v>
      </c>
      <c r="M6864" s="16">
        <f t="shared" si="645"/>
        <v>1.4107714362419523</v>
      </c>
      <c r="N6864">
        <f t="shared" si="646"/>
        <v>0</v>
      </c>
      <c r="O6864">
        <f t="shared" si="647"/>
        <v>0</v>
      </c>
      <c r="P6864">
        <f t="shared" si="644"/>
        <v>5700</v>
      </c>
      <c r="Q6864">
        <f t="shared" si="648"/>
        <v>5700</v>
      </c>
      <c r="T6864" s="16">
        <f t="shared" si="649"/>
        <v>1.4107714362419519</v>
      </c>
    </row>
    <row r="6865" spans="7:20" ht="14.4" x14ac:dyDescent="0.25">
      <c r="G6865" s="10">
        <v>2970</v>
      </c>
      <c r="H6865" s="9">
        <v>21475</v>
      </c>
      <c r="I6865" s="14">
        <f>DATE(2012,12,31)-680</f>
        <v>40594</v>
      </c>
      <c r="J6865" s="15" t="s">
        <v>30</v>
      </c>
      <c r="K6865" s="9">
        <v>39</v>
      </c>
      <c r="L6865" s="16" t="s">
        <v>27</v>
      </c>
      <c r="M6865" s="16">
        <f t="shared" si="645"/>
        <v>0.92735299990740228</v>
      </c>
      <c r="N6865">
        <f t="shared" si="646"/>
        <v>0</v>
      </c>
      <c r="O6865">
        <f t="shared" si="647"/>
        <v>0</v>
      </c>
      <c r="P6865">
        <f t="shared" si="644"/>
        <v>5350</v>
      </c>
      <c r="Q6865">
        <f t="shared" si="648"/>
        <v>5350</v>
      </c>
      <c r="T6865" s="16">
        <f t="shared" si="649"/>
        <v>0.92735299990740183</v>
      </c>
    </row>
    <row r="6866" spans="7:20" ht="14.4" x14ac:dyDescent="0.25">
      <c r="G6866" s="10">
        <v>2971</v>
      </c>
      <c r="H6866" s="9">
        <v>21475</v>
      </c>
      <c r="I6866" s="14">
        <f>DATE(2012,12,31)-680</f>
        <v>40594</v>
      </c>
      <c r="J6866" s="15" t="s">
        <v>30</v>
      </c>
      <c r="K6866" s="9">
        <v>15</v>
      </c>
      <c r="L6866" s="16" t="s">
        <v>29</v>
      </c>
      <c r="M6866" s="16">
        <f t="shared" si="645"/>
        <v>-0.7300816389539122</v>
      </c>
      <c r="N6866">
        <f t="shared" si="646"/>
        <v>0</v>
      </c>
      <c r="O6866">
        <f t="shared" si="647"/>
        <v>0</v>
      </c>
      <c r="P6866">
        <f t="shared" si="644"/>
        <v>4150</v>
      </c>
      <c r="Q6866">
        <f t="shared" si="648"/>
        <v>4150</v>
      </c>
      <c r="T6866" s="16">
        <f t="shared" si="649"/>
        <v>-0.73008163895391265</v>
      </c>
    </row>
    <row r="6867" spans="7:20" ht="14.4" x14ac:dyDescent="0.25">
      <c r="G6867" s="10">
        <v>2981</v>
      </c>
      <c r="H6867" s="9">
        <v>21539</v>
      </c>
      <c r="I6867" s="14">
        <f>DATE(2012,12,31)-906</f>
        <v>40368</v>
      </c>
      <c r="J6867" s="15" t="s">
        <v>16</v>
      </c>
      <c r="K6867" s="9">
        <v>18</v>
      </c>
      <c r="L6867" s="16" t="s">
        <v>26</v>
      </c>
      <c r="M6867" s="16">
        <f t="shared" si="645"/>
        <v>-0.52290230909624791</v>
      </c>
      <c r="N6867">
        <f t="shared" si="646"/>
        <v>0</v>
      </c>
      <c r="O6867">
        <f t="shared" si="647"/>
        <v>0</v>
      </c>
      <c r="P6867">
        <f t="shared" si="644"/>
        <v>4300</v>
      </c>
      <c r="Q6867">
        <f t="shared" si="648"/>
        <v>4300</v>
      </c>
      <c r="T6867" s="16">
        <f t="shared" si="649"/>
        <v>-0.52290230909624835</v>
      </c>
    </row>
    <row r="6868" spans="7:20" ht="14.4" x14ac:dyDescent="0.25">
      <c r="G6868" s="10">
        <v>2982</v>
      </c>
      <c r="H6868" s="9">
        <v>21539</v>
      </c>
      <c r="I6868" s="14">
        <f>DATE(2012,12,31)-906</f>
        <v>40368</v>
      </c>
      <c r="J6868" s="15" t="s">
        <v>16</v>
      </c>
      <c r="K6868" s="9">
        <v>39</v>
      </c>
      <c r="L6868" s="16" t="s">
        <v>29</v>
      </c>
      <c r="M6868" s="16">
        <f t="shared" si="645"/>
        <v>0.92735299990740228</v>
      </c>
      <c r="N6868">
        <f t="shared" si="646"/>
        <v>0</v>
      </c>
      <c r="O6868">
        <f t="shared" si="647"/>
        <v>0</v>
      </c>
      <c r="P6868">
        <f t="shared" si="644"/>
        <v>5350</v>
      </c>
      <c r="Q6868">
        <f t="shared" si="648"/>
        <v>5350</v>
      </c>
      <c r="T6868" s="16">
        <f t="shared" si="649"/>
        <v>0.92735299990740183</v>
      </c>
    </row>
    <row r="6869" spans="7:20" ht="14.4" x14ac:dyDescent="0.25">
      <c r="G6869" s="10">
        <v>3008</v>
      </c>
      <c r="H6869" s="9">
        <v>21639</v>
      </c>
      <c r="I6869" s="14">
        <f>DATE(2012,12,31)-698</f>
        <v>40576</v>
      </c>
      <c r="J6869" s="15" t="s">
        <v>28</v>
      </c>
      <c r="K6869" s="9">
        <v>24</v>
      </c>
      <c r="L6869" s="16" t="s">
        <v>26</v>
      </c>
      <c r="M6869" s="16">
        <f t="shared" si="645"/>
        <v>-0.1085436493809193</v>
      </c>
      <c r="N6869">
        <f t="shared" si="646"/>
        <v>0</v>
      </c>
      <c r="O6869">
        <f t="shared" si="647"/>
        <v>0</v>
      </c>
      <c r="P6869">
        <f t="shared" si="644"/>
        <v>4600</v>
      </c>
      <c r="Q6869">
        <f t="shared" si="648"/>
        <v>4600</v>
      </c>
      <c r="T6869" s="16">
        <f t="shared" si="649"/>
        <v>-0.10854364938091969</v>
      </c>
    </row>
    <row r="6870" spans="7:20" ht="14.4" x14ac:dyDescent="0.25">
      <c r="G6870" s="10">
        <v>3009</v>
      </c>
      <c r="H6870" s="9">
        <v>21639</v>
      </c>
      <c r="I6870" s="14">
        <f>DATE(2012,12,31)-698</f>
        <v>40576</v>
      </c>
      <c r="J6870" s="15" t="s">
        <v>28</v>
      </c>
      <c r="K6870" s="9">
        <v>3</v>
      </c>
      <c r="L6870" s="16" t="s">
        <v>29</v>
      </c>
      <c r="M6870" s="16">
        <f t="shared" si="645"/>
        <v>-1.5587989583845694</v>
      </c>
      <c r="N6870">
        <f t="shared" si="646"/>
        <v>0</v>
      </c>
      <c r="O6870">
        <f t="shared" si="647"/>
        <v>0</v>
      </c>
      <c r="P6870">
        <f t="shared" si="644"/>
        <v>3550</v>
      </c>
      <c r="Q6870">
        <f t="shared" si="648"/>
        <v>3550</v>
      </c>
      <c r="T6870" s="16">
        <f t="shared" si="649"/>
        <v>-1.5587989583845698</v>
      </c>
    </row>
    <row r="6871" spans="7:20" ht="14.4" x14ac:dyDescent="0.25">
      <c r="G6871" s="10">
        <v>3010</v>
      </c>
      <c r="H6871" s="9">
        <v>21639</v>
      </c>
      <c r="I6871" s="14">
        <f>DATE(2012,12,31)-698</f>
        <v>40576</v>
      </c>
      <c r="J6871" s="15" t="s">
        <v>28</v>
      </c>
      <c r="K6871" s="9">
        <v>38</v>
      </c>
      <c r="L6871" s="16" t="s">
        <v>29</v>
      </c>
      <c r="M6871" s="16">
        <f t="shared" si="645"/>
        <v>0.85829322328818081</v>
      </c>
      <c r="N6871">
        <f t="shared" si="646"/>
        <v>0</v>
      </c>
      <c r="O6871">
        <f t="shared" si="647"/>
        <v>0</v>
      </c>
      <c r="P6871">
        <f t="shared" si="644"/>
        <v>5300</v>
      </c>
      <c r="Q6871">
        <f t="shared" si="648"/>
        <v>5300</v>
      </c>
      <c r="T6871" s="16">
        <f t="shared" si="649"/>
        <v>0.85829322328818036</v>
      </c>
    </row>
    <row r="6872" spans="7:20" ht="14.4" x14ac:dyDescent="0.25">
      <c r="G6872" s="10">
        <v>3011</v>
      </c>
      <c r="H6872" s="9">
        <v>21639</v>
      </c>
      <c r="I6872" s="14">
        <f>DATE(2012,12,31)-698</f>
        <v>40576</v>
      </c>
      <c r="J6872" s="15" t="s">
        <v>28</v>
      </c>
      <c r="K6872" s="9">
        <v>23</v>
      </c>
      <c r="L6872" s="16" t="s">
        <v>26</v>
      </c>
      <c r="M6872" s="16">
        <f t="shared" si="645"/>
        <v>-0.17760342600014073</v>
      </c>
      <c r="N6872">
        <f t="shared" si="646"/>
        <v>0</v>
      </c>
      <c r="O6872">
        <f t="shared" si="647"/>
        <v>0</v>
      </c>
      <c r="P6872">
        <f t="shared" si="644"/>
        <v>4550</v>
      </c>
      <c r="Q6872">
        <f t="shared" si="648"/>
        <v>4550</v>
      </c>
      <c r="T6872" s="16">
        <f t="shared" si="649"/>
        <v>-0.17760342600014112</v>
      </c>
    </row>
    <row r="6873" spans="7:20" ht="14.4" x14ac:dyDescent="0.25">
      <c r="G6873" s="10">
        <v>3025</v>
      </c>
      <c r="H6873" s="9">
        <v>21760</v>
      </c>
      <c r="I6873" s="14">
        <f>DATE(2012,12,31)-701</f>
        <v>40573</v>
      </c>
      <c r="J6873" s="15" t="s">
        <v>28</v>
      </c>
      <c r="K6873" s="9">
        <v>9</v>
      </c>
      <c r="L6873" s="16" t="s">
        <v>29</v>
      </c>
      <c r="M6873" s="16">
        <f t="shared" si="645"/>
        <v>-1.1444402986692408</v>
      </c>
      <c r="N6873">
        <f t="shared" si="646"/>
        <v>0</v>
      </c>
      <c r="O6873">
        <f t="shared" si="647"/>
        <v>0</v>
      </c>
      <c r="P6873">
        <f t="shared" si="644"/>
        <v>3850</v>
      </c>
      <c r="Q6873">
        <f t="shared" si="648"/>
        <v>3850</v>
      </c>
      <c r="T6873" s="16">
        <f t="shared" si="649"/>
        <v>-1.1444402986692412</v>
      </c>
    </row>
    <row r="6874" spans="7:20" ht="14.4" x14ac:dyDescent="0.25">
      <c r="G6874" s="10">
        <v>3038</v>
      </c>
      <c r="H6874" s="9">
        <v>21827</v>
      </c>
      <c r="I6874" s="14">
        <f>DATE(2012,12,31)-52</f>
        <v>41222</v>
      </c>
      <c r="J6874" s="15" t="s">
        <v>28</v>
      </c>
      <c r="K6874" s="9">
        <v>25</v>
      </c>
      <c r="L6874" s="16" t="s">
        <v>26</v>
      </c>
      <c r="M6874" s="16">
        <f t="shared" si="645"/>
        <v>-3.9483872761697868E-2</v>
      </c>
      <c r="N6874">
        <f t="shared" si="646"/>
        <v>0</v>
      </c>
      <c r="O6874">
        <f t="shared" si="647"/>
        <v>0</v>
      </c>
      <c r="P6874">
        <f t="shared" si="644"/>
        <v>4650</v>
      </c>
      <c r="Q6874">
        <f t="shared" si="648"/>
        <v>4650</v>
      </c>
      <c r="T6874" s="16">
        <f t="shared" si="649"/>
        <v>-3.9483872761698249E-2</v>
      </c>
    </row>
    <row r="6875" spans="7:20" ht="14.4" x14ac:dyDescent="0.25">
      <c r="G6875" s="10">
        <v>3039</v>
      </c>
      <c r="H6875" s="9">
        <v>21827</v>
      </c>
      <c r="I6875" s="14">
        <f>DATE(2012,12,31)-52</f>
        <v>41222</v>
      </c>
      <c r="J6875" s="15" t="s">
        <v>28</v>
      </c>
      <c r="K6875" s="9">
        <v>21</v>
      </c>
      <c r="L6875" s="16" t="s">
        <v>27</v>
      </c>
      <c r="M6875" s="16">
        <f t="shared" si="645"/>
        <v>-0.31572297923858361</v>
      </c>
      <c r="N6875">
        <f t="shared" si="646"/>
        <v>0</v>
      </c>
      <c r="O6875">
        <f t="shared" si="647"/>
        <v>0</v>
      </c>
      <c r="P6875">
        <f t="shared" si="644"/>
        <v>4450</v>
      </c>
      <c r="Q6875">
        <f t="shared" si="648"/>
        <v>4450</v>
      </c>
      <c r="T6875" s="16">
        <f t="shared" si="649"/>
        <v>-0.315722979238584</v>
      </c>
    </row>
    <row r="6876" spans="7:20" ht="14.4" x14ac:dyDescent="0.25">
      <c r="G6876" s="10">
        <v>3055</v>
      </c>
      <c r="H6876" s="9">
        <v>21890</v>
      </c>
      <c r="I6876" s="14">
        <f>DATE(2012,12,31)-707</f>
        <v>40567</v>
      </c>
      <c r="J6876" s="15" t="s">
        <v>28</v>
      </c>
      <c r="K6876" s="9">
        <v>44</v>
      </c>
      <c r="L6876" s="16" t="s">
        <v>26</v>
      </c>
      <c r="M6876" s="16">
        <f t="shared" si="645"/>
        <v>1.2726518830035094</v>
      </c>
      <c r="N6876">
        <f t="shared" si="646"/>
        <v>0</v>
      </c>
      <c r="O6876">
        <f t="shared" si="647"/>
        <v>0</v>
      </c>
      <c r="P6876">
        <f t="shared" si="644"/>
        <v>5600</v>
      </c>
      <c r="Q6876">
        <f t="shared" si="648"/>
        <v>5600</v>
      </c>
      <c r="T6876" s="16">
        <f t="shared" si="649"/>
        <v>1.272651883003509</v>
      </c>
    </row>
    <row r="6877" spans="7:20" ht="14.4" x14ac:dyDescent="0.25">
      <c r="G6877" s="10">
        <v>3063</v>
      </c>
      <c r="H6877" s="9">
        <v>21927</v>
      </c>
      <c r="I6877" s="14">
        <f>DATE(2012,12,31)-387</f>
        <v>40887</v>
      </c>
      <c r="J6877" s="15" t="s">
        <v>17</v>
      </c>
      <c r="K6877" s="9">
        <v>23</v>
      </c>
      <c r="L6877" s="16" t="s">
        <v>29</v>
      </c>
      <c r="M6877" s="16">
        <f t="shared" si="645"/>
        <v>-0.17760342600014073</v>
      </c>
      <c r="N6877">
        <f t="shared" si="646"/>
        <v>0</v>
      </c>
      <c r="O6877">
        <f t="shared" si="647"/>
        <v>0</v>
      </c>
      <c r="P6877">
        <f t="shared" si="644"/>
        <v>4550</v>
      </c>
      <c r="Q6877">
        <f t="shared" si="648"/>
        <v>4550</v>
      </c>
      <c r="T6877" s="16">
        <f t="shared" si="649"/>
        <v>-0.17760342600014112</v>
      </c>
    </row>
    <row r="6878" spans="7:20" ht="14.4" x14ac:dyDescent="0.25">
      <c r="G6878" s="10">
        <v>3068</v>
      </c>
      <c r="H6878" s="9">
        <v>21988</v>
      </c>
      <c r="I6878" s="14">
        <f>DATE(2012,12,31)-1009</f>
        <v>40265</v>
      </c>
      <c r="J6878" s="15" t="s">
        <v>16</v>
      </c>
      <c r="K6878" s="9">
        <v>4</v>
      </c>
      <c r="L6878" s="16" t="s">
        <v>26</v>
      </c>
      <c r="M6878" s="16">
        <f t="shared" si="645"/>
        <v>-1.489739181765348</v>
      </c>
      <c r="N6878">
        <f t="shared" si="646"/>
        <v>0</v>
      </c>
      <c r="O6878">
        <f t="shared" si="647"/>
        <v>0</v>
      </c>
      <c r="P6878">
        <f t="shared" si="644"/>
        <v>3600</v>
      </c>
      <c r="Q6878">
        <f t="shared" si="648"/>
        <v>3600</v>
      </c>
      <c r="T6878" s="16">
        <f t="shared" si="649"/>
        <v>-1.4897391817653485</v>
      </c>
    </row>
    <row r="6879" spans="7:20" ht="14.4" x14ac:dyDescent="0.25">
      <c r="G6879" s="10">
        <v>3077</v>
      </c>
      <c r="H6879" s="9">
        <v>22083</v>
      </c>
      <c r="I6879" s="14">
        <f>DATE(2012,12,31)-1413</f>
        <v>39861</v>
      </c>
      <c r="J6879" s="15" t="s">
        <v>30</v>
      </c>
      <c r="K6879" s="9">
        <v>2</v>
      </c>
      <c r="L6879" s="16" t="s">
        <v>26</v>
      </c>
      <c r="M6879" s="16">
        <f t="shared" si="645"/>
        <v>-1.627858735003791</v>
      </c>
      <c r="N6879">
        <f t="shared" si="646"/>
        <v>0</v>
      </c>
      <c r="O6879">
        <f t="shared" si="647"/>
        <v>0</v>
      </c>
      <c r="P6879">
        <f t="shared" si="644"/>
        <v>3500</v>
      </c>
      <c r="Q6879">
        <f t="shared" si="648"/>
        <v>3500</v>
      </c>
      <c r="T6879" s="16">
        <f t="shared" si="649"/>
        <v>-1.6278587350037912</v>
      </c>
    </row>
    <row r="6880" spans="7:20" ht="14.4" x14ac:dyDescent="0.25">
      <c r="G6880" s="10">
        <v>3117</v>
      </c>
      <c r="H6880" s="9">
        <v>22402</v>
      </c>
      <c r="I6880" s="14">
        <f>DATE(2012,12,31)-1314</f>
        <v>39960</v>
      </c>
      <c r="J6880" s="15" t="s">
        <v>30</v>
      </c>
      <c r="K6880" s="9">
        <v>33</v>
      </c>
      <c r="L6880" s="16" t="s">
        <v>26</v>
      </c>
      <c r="M6880" s="16">
        <f t="shared" si="645"/>
        <v>0.51299434019207357</v>
      </c>
      <c r="N6880">
        <f t="shared" si="646"/>
        <v>0</v>
      </c>
      <c r="O6880">
        <f t="shared" si="647"/>
        <v>0</v>
      </c>
      <c r="P6880">
        <f t="shared" si="644"/>
        <v>5050</v>
      </c>
      <c r="Q6880">
        <f t="shared" si="648"/>
        <v>5050</v>
      </c>
      <c r="T6880" s="16">
        <f t="shared" si="649"/>
        <v>0.51299434019207324</v>
      </c>
    </row>
    <row r="6881" spans="7:20" ht="14.4" x14ac:dyDescent="0.25">
      <c r="G6881" s="10">
        <v>3118</v>
      </c>
      <c r="H6881" s="9">
        <v>22402</v>
      </c>
      <c r="I6881" s="14">
        <f>DATE(2012,12,31)-1314</f>
        <v>39960</v>
      </c>
      <c r="J6881" s="15" t="s">
        <v>30</v>
      </c>
      <c r="K6881" s="9">
        <v>1</v>
      </c>
      <c r="L6881" s="16" t="s">
        <v>27</v>
      </c>
      <c r="M6881" s="16">
        <f t="shared" si="645"/>
        <v>-1.6969185116230123</v>
      </c>
      <c r="N6881">
        <f t="shared" si="646"/>
        <v>0</v>
      </c>
      <c r="O6881">
        <f t="shared" si="647"/>
        <v>0</v>
      </c>
      <c r="P6881">
        <f t="shared" si="644"/>
        <v>3450</v>
      </c>
      <c r="Q6881">
        <f t="shared" si="648"/>
        <v>3450</v>
      </c>
      <c r="T6881" s="16">
        <f t="shared" si="649"/>
        <v>-1.6969185116230128</v>
      </c>
    </row>
    <row r="6882" spans="7:20" ht="14.4" x14ac:dyDescent="0.25">
      <c r="G6882" s="10">
        <v>3124</v>
      </c>
      <c r="H6882" s="9">
        <v>22433</v>
      </c>
      <c r="I6882" s="14">
        <f>DATE(2012,12,31)-669</f>
        <v>40605</v>
      </c>
      <c r="J6882" s="15" t="s">
        <v>30</v>
      </c>
      <c r="K6882" s="9">
        <v>44</v>
      </c>
      <c r="L6882" s="16" t="s">
        <v>27</v>
      </c>
      <c r="M6882" s="16">
        <f t="shared" si="645"/>
        <v>1.2726518830035094</v>
      </c>
      <c r="N6882">
        <f t="shared" si="646"/>
        <v>0</v>
      </c>
      <c r="O6882">
        <f t="shared" si="647"/>
        <v>0</v>
      </c>
      <c r="P6882">
        <f t="shared" si="644"/>
        <v>5600</v>
      </c>
      <c r="Q6882">
        <f t="shared" si="648"/>
        <v>5600</v>
      </c>
      <c r="T6882" s="16">
        <f t="shared" si="649"/>
        <v>1.272651883003509</v>
      </c>
    </row>
    <row r="6883" spans="7:20" ht="14.4" x14ac:dyDescent="0.25">
      <c r="G6883" s="10">
        <v>3127</v>
      </c>
      <c r="H6883" s="9">
        <v>22465</v>
      </c>
      <c r="I6883" s="14">
        <f>DATE(2012,12,31)-163</f>
        <v>41111</v>
      </c>
      <c r="J6883" s="15" t="s">
        <v>28</v>
      </c>
      <c r="K6883" s="9">
        <v>4</v>
      </c>
      <c r="L6883" s="16" t="s">
        <v>29</v>
      </c>
      <c r="M6883" s="16">
        <f t="shared" si="645"/>
        <v>-1.489739181765348</v>
      </c>
      <c r="N6883">
        <f t="shared" si="646"/>
        <v>0</v>
      </c>
      <c r="O6883">
        <f t="shared" si="647"/>
        <v>0</v>
      </c>
      <c r="P6883">
        <f t="shared" si="644"/>
        <v>3600</v>
      </c>
      <c r="Q6883">
        <f t="shared" si="648"/>
        <v>3600</v>
      </c>
      <c r="T6883" s="16">
        <f t="shared" si="649"/>
        <v>-1.4897391817653485</v>
      </c>
    </row>
    <row r="6884" spans="7:20" ht="14.4" x14ac:dyDescent="0.25">
      <c r="G6884" s="10">
        <v>3128</v>
      </c>
      <c r="H6884" s="9">
        <v>22466</v>
      </c>
      <c r="I6884" s="14">
        <f>DATE(2012,12,31)-278</f>
        <v>40996</v>
      </c>
      <c r="J6884" s="15" t="s">
        <v>25</v>
      </c>
      <c r="K6884" s="9">
        <v>31</v>
      </c>
      <c r="L6884" s="16" t="s">
        <v>29</v>
      </c>
      <c r="M6884" s="16">
        <f t="shared" si="645"/>
        <v>0.37487478695363075</v>
      </c>
      <c r="N6884">
        <f t="shared" si="646"/>
        <v>0</v>
      </c>
      <c r="O6884">
        <f t="shared" si="647"/>
        <v>0</v>
      </c>
      <c r="P6884">
        <f t="shared" si="644"/>
        <v>4950</v>
      </c>
      <c r="Q6884">
        <f t="shared" si="648"/>
        <v>4950</v>
      </c>
      <c r="T6884" s="16">
        <f t="shared" si="649"/>
        <v>0.37487478695363036</v>
      </c>
    </row>
    <row r="6885" spans="7:20" ht="14.4" x14ac:dyDescent="0.25">
      <c r="G6885" s="10">
        <v>3129</v>
      </c>
      <c r="H6885" s="9">
        <v>22466</v>
      </c>
      <c r="I6885" s="14">
        <f>DATE(2012,12,31)-278</f>
        <v>40996</v>
      </c>
      <c r="J6885" s="15" t="s">
        <v>25</v>
      </c>
      <c r="K6885" s="9">
        <v>40</v>
      </c>
      <c r="L6885" s="16" t="s">
        <v>26</v>
      </c>
      <c r="M6885" s="16">
        <f t="shared" si="645"/>
        <v>0.99641277652662363</v>
      </c>
      <c r="N6885">
        <f t="shared" si="646"/>
        <v>0</v>
      </c>
      <c r="O6885">
        <f t="shared" si="647"/>
        <v>0</v>
      </c>
      <c r="P6885">
        <f t="shared" si="644"/>
        <v>5400</v>
      </c>
      <c r="Q6885">
        <f t="shared" si="648"/>
        <v>5400</v>
      </c>
      <c r="T6885" s="16">
        <f t="shared" si="649"/>
        <v>0.9964127765266233</v>
      </c>
    </row>
    <row r="6886" spans="7:20" ht="14.4" x14ac:dyDescent="0.25">
      <c r="G6886" s="10">
        <v>3136</v>
      </c>
      <c r="H6886" s="9">
        <v>22497</v>
      </c>
      <c r="I6886" s="14">
        <f>DATE(2012,12,31)-247</f>
        <v>41027</v>
      </c>
      <c r="J6886" s="15" t="s">
        <v>16</v>
      </c>
      <c r="K6886" s="9">
        <v>37</v>
      </c>
      <c r="L6886" s="16" t="s">
        <v>27</v>
      </c>
      <c r="M6886" s="16">
        <f t="shared" si="645"/>
        <v>0.78923344666895934</v>
      </c>
      <c r="N6886">
        <f t="shared" si="646"/>
        <v>0</v>
      </c>
      <c r="O6886">
        <f t="shared" si="647"/>
        <v>0</v>
      </c>
      <c r="P6886">
        <f t="shared" si="644"/>
        <v>5250</v>
      </c>
      <c r="Q6886">
        <f t="shared" si="648"/>
        <v>5250</v>
      </c>
      <c r="T6886" s="16">
        <f t="shared" si="649"/>
        <v>0.789233446668959</v>
      </c>
    </row>
    <row r="6887" spans="7:20" ht="14.4" x14ac:dyDescent="0.25">
      <c r="G6887" s="10">
        <v>3152</v>
      </c>
      <c r="H6887" s="9">
        <v>22627</v>
      </c>
      <c r="I6887" s="14">
        <f>DATE(2012,12,31)-1003</f>
        <v>40271</v>
      </c>
      <c r="J6887" s="15" t="s">
        <v>25</v>
      </c>
      <c r="K6887" s="9">
        <v>46</v>
      </c>
      <c r="L6887" s="16" t="s">
        <v>29</v>
      </c>
      <c r="M6887" s="16">
        <f t="shared" si="645"/>
        <v>1.4107714362419523</v>
      </c>
      <c r="N6887">
        <f t="shared" si="646"/>
        <v>0</v>
      </c>
      <c r="O6887">
        <f t="shared" si="647"/>
        <v>0</v>
      </c>
      <c r="P6887">
        <f t="shared" si="644"/>
        <v>5700</v>
      </c>
      <c r="Q6887">
        <f t="shared" si="648"/>
        <v>5700</v>
      </c>
      <c r="T6887" s="16">
        <f t="shared" si="649"/>
        <v>1.4107714362419519</v>
      </c>
    </row>
    <row r="6888" spans="7:20" ht="14.4" x14ac:dyDescent="0.25">
      <c r="G6888" s="10">
        <v>3165</v>
      </c>
      <c r="H6888" s="9">
        <v>22752</v>
      </c>
      <c r="I6888" s="14">
        <f>DATE(2012,12,31)-24</f>
        <v>41250</v>
      </c>
      <c r="J6888" s="15" t="s">
        <v>25</v>
      </c>
      <c r="K6888" s="9">
        <v>2</v>
      </c>
      <c r="L6888" s="16" t="s">
        <v>26</v>
      </c>
      <c r="M6888" s="16">
        <f t="shared" si="645"/>
        <v>-1.627858735003791</v>
      </c>
      <c r="N6888">
        <f t="shared" si="646"/>
        <v>0</v>
      </c>
      <c r="O6888">
        <f t="shared" si="647"/>
        <v>0</v>
      </c>
      <c r="P6888">
        <f t="shared" si="644"/>
        <v>3500</v>
      </c>
      <c r="Q6888">
        <f t="shared" si="648"/>
        <v>3500</v>
      </c>
      <c r="T6888" s="16">
        <f t="shared" si="649"/>
        <v>-1.6278587350037912</v>
      </c>
    </row>
    <row r="6889" spans="7:20" ht="14.4" x14ac:dyDescent="0.25">
      <c r="G6889" s="10">
        <v>3176</v>
      </c>
      <c r="H6889" s="9">
        <v>22848</v>
      </c>
      <c r="I6889" s="14">
        <f>DATE(2012,12,31)-387</f>
        <v>40887</v>
      </c>
      <c r="J6889" s="15" t="s">
        <v>28</v>
      </c>
      <c r="K6889" s="9">
        <v>20</v>
      </c>
      <c r="L6889" s="16" t="s">
        <v>26</v>
      </c>
      <c r="M6889" s="16">
        <f t="shared" si="645"/>
        <v>-0.38478275585780503</v>
      </c>
      <c r="N6889">
        <f t="shared" si="646"/>
        <v>0</v>
      </c>
      <c r="O6889">
        <f t="shared" si="647"/>
        <v>0</v>
      </c>
      <c r="P6889">
        <f t="shared" si="644"/>
        <v>4400</v>
      </c>
      <c r="Q6889">
        <f t="shared" si="648"/>
        <v>4400</v>
      </c>
      <c r="T6889" s="16">
        <f t="shared" si="649"/>
        <v>-0.38478275585780541</v>
      </c>
    </row>
    <row r="6890" spans="7:20" ht="14.4" x14ac:dyDescent="0.25">
      <c r="G6890" s="10">
        <v>3177</v>
      </c>
      <c r="H6890" s="9">
        <v>22848</v>
      </c>
      <c r="I6890" s="14">
        <f>DATE(2012,12,31)-387</f>
        <v>40887</v>
      </c>
      <c r="J6890" s="15" t="s">
        <v>28</v>
      </c>
      <c r="K6890" s="9">
        <v>45</v>
      </c>
      <c r="L6890" s="16" t="s">
        <v>29</v>
      </c>
      <c r="M6890" s="16">
        <f t="shared" si="645"/>
        <v>1.3417116596227308</v>
      </c>
      <c r="N6890">
        <f t="shared" si="646"/>
        <v>0</v>
      </c>
      <c r="O6890">
        <f t="shared" si="647"/>
        <v>0</v>
      </c>
      <c r="P6890">
        <f t="shared" si="644"/>
        <v>5650</v>
      </c>
      <c r="Q6890">
        <f t="shared" si="648"/>
        <v>5650</v>
      </c>
      <c r="T6890" s="16">
        <f t="shared" si="649"/>
        <v>1.3417116596227305</v>
      </c>
    </row>
    <row r="6891" spans="7:20" ht="14.4" x14ac:dyDescent="0.25">
      <c r="G6891" s="10">
        <v>3178</v>
      </c>
      <c r="H6891" s="9">
        <v>22848</v>
      </c>
      <c r="I6891" s="14">
        <f>DATE(2012,12,31)-387</f>
        <v>40887</v>
      </c>
      <c r="J6891" s="15" t="s">
        <v>28</v>
      </c>
      <c r="K6891" s="9">
        <v>4</v>
      </c>
      <c r="L6891" s="16" t="s">
        <v>27</v>
      </c>
      <c r="M6891" s="16">
        <f t="shared" si="645"/>
        <v>-1.489739181765348</v>
      </c>
      <c r="N6891">
        <f t="shared" si="646"/>
        <v>0</v>
      </c>
      <c r="O6891">
        <f t="shared" si="647"/>
        <v>0</v>
      </c>
      <c r="P6891">
        <f t="shared" si="644"/>
        <v>3600</v>
      </c>
      <c r="Q6891">
        <f t="shared" si="648"/>
        <v>3600</v>
      </c>
      <c r="T6891" s="16">
        <f t="shared" si="649"/>
        <v>-1.4897391817653485</v>
      </c>
    </row>
    <row r="6892" spans="7:20" ht="14.4" x14ac:dyDescent="0.25">
      <c r="G6892" s="10">
        <v>3183</v>
      </c>
      <c r="H6892" s="9">
        <v>22850</v>
      </c>
      <c r="I6892" s="14">
        <f>DATE(2012,12,31)-611</f>
        <v>40663</v>
      </c>
      <c r="J6892" s="15" t="s">
        <v>16</v>
      </c>
      <c r="K6892" s="9">
        <v>4</v>
      </c>
      <c r="L6892" s="16" t="s">
        <v>27</v>
      </c>
      <c r="M6892" s="16">
        <f t="shared" si="645"/>
        <v>-1.489739181765348</v>
      </c>
      <c r="N6892">
        <f t="shared" si="646"/>
        <v>0</v>
      </c>
      <c r="O6892">
        <f t="shared" si="647"/>
        <v>0</v>
      </c>
      <c r="P6892">
        <f t="shared" si="644"/>
        <v>3600</v>
      </c>
      <c r="Q6892">
        <f t="shared" si="648"/>
        <v>3600</v>
      </c>
      <c r="T6892" s="16">
        <f t="shared" si="649"/>
        <v>-1.4897391817653485</v>
      </c>
    </row>
    <row r="6893" spans="7:20" ht="14.4" x14ac:dyDescent="0.25">
      <c r="G6893" s="10">
        <v>3192</v>
      </c>
      <c r="H6893" s="9">
        <v>22912</v>
      </c>
      <c r="I6893" s="14">
        <f>DATE(2012,12,31)-807</f>
        <v>40467</v>
      </c>
      <c r="J6893" s="15" t="s">
        <v>25</v>
      </c>
      <c r="K6893" s="9">
        <v>33</v>
      </c>
      <c r="L6893" s="16" t="s">
        <v>26</v>
      </c>
      <c r="M6893" s="16">
        <f t="shared" si="645"/>
        <v>0.51299434019207357</v>
      </c>
      <c r="N6893">
        <f t="shared" si="646"/>
        <v>0</v>
      </c>
      <c r="O6893">
        <f t="shared" si="647"/>
        <v>0</v>
      </c>
      <c r="P6893">
        <f t="shared" si="644"/>
        <v>5050</v>
      </c>
      <c r="Q6893">
        <f t="shared" si="648"/>
        <v>5050</v>
      </c>
      <c r="T6893" s="16">
        <f t="shared" si="649"/>
        <v>0.51299434019207324</v>
      </c>
    </row>
    <row r="6894" spans="7:20" ht="14.4" x14ac:dyDescent="0.25">
      <c r="G6894" s="10">
        <v>3193</v>
      </c>
      <c r="H6894" s="9">
        <v>22913</v>
      </c>
      <c r="I6894" s="14">
        <f>DATE(2012,12,31)-920</f>
        <v>40354</v>
      </c>
      <c r="J6894" s="15" t="s">
        <v>30</v>
      </c>
      <c r="K6894" s="9">
        <v>32</v>
      </c>
      <c r="L6894" s="16" t="s">
        <v>26</v>
      </c>
      <c r="M6894" s="16">
        <f t="shared" si="645"/>
        <v>0.44393456357285216</v>
      </c>
      <c r="N6894">
        <f t="shared" si="646"/>
        <v>0</v>
      </c>
      <c r="O6894">
        <f t="shared" si="647"/>
        <v>0</v>
      </c>
      <c r="P6894">
        <f t="shared" si="644"/>
        <v>5000</v>
      </c>
      <c r="Q6894">
        <f t="shared" si="648"/>
        <v>5000</v>
      </c>
      <c r="T6894" s="16">
        <f t="shared" si="649"/>
        <v>0.44393456357285183</v>
      </c>
    </row>
    <row r="6895" spans="7:20" ht="14.4" x14ac:dyDescent="0.25">
      <c r="G6895" s="10">
        <v>3194</v>
      </c>
      <c r="H6895" s="9">
        <v>22913</v>
      </c>
      <c r="I6895" s="14">
        <f>DATE(2012,12,31)-920</f>
        <v>40354</v>
      </c>
      <c r="J6895" s="15" t="s">
        <v>30</v>
      </c>
      <c r="K6895" s="9">
        <v>24</v>
      </c>
      <c r="L6895" s="16" t="s">
        <v>29</v>
      </c>
      <c r="M6895" s="16">
        <f t="shared" si="645"/>
        <v>-0.1085436493809193</v>
      </c>
      <c r="N6895">
        <f t="shared" si="646"/>
        <v>0</v>
      </c>
      <c r="O6895">
        <f t="shared" si="647"/>
        <v>0</v>
      </c>
      <c r="P6895">
        <f t="shared" si="644"/>
        <v>4600</v>
      </c>
      <c r="Q6895">
        <f t="shared" si="648"/>
        <v>4600</v>
      </c>
      <c r="T6895" s="16">
        <f t="shared" si="649"/>
        <v>-0.10854364938091969</v>
      </c>
    </row>
    <row r="6896" spans="7:20" ht="14.4" x14ac:dyDescent="0.25">
      <c r="G6896" s="10">
        <v>3195</v>
      </c>
      <c r="H6896" s="9">
        <v>22913</v>
      </c>
      <c r="I6896" s="14">
        <f>DATE(2012,12,31)-920</f>
        <v>40354</v>
      </c>
      <c r="J6896" s="15" t="s">
        <v>30</v>
      </c>
      <c r="K6896" s="9">
        <v>50</v>
      </c>
      <c r="L6896" s="16" t="s">
        <v>27</v>
      </c>
      <c r="M6896" s="16">
        <f t="shared" si="645"/>
        <v>1.687010542718838</v>
      </c>
      <c r="N6896">
        <f t="shared" si="646"/>
        <v>0</v>
      </c>
      <c r="O6896">
        <f t="shared" si="647"/>
        <v>0</v>
      </c>
      <c r="P6896">
        <f t="shared" si="644"/>
        <v>5900</v>
      </c>
      <c r="Q6896">
        <f t="shared" si="648"/>
        <v>5900</v>
      </c>
      <c r="T6896" s="16">
        <f t="shared" si="649"/>
        <v>1.6870105427188375</v>
      </c>
    </row>
    <row r="6897" spans="7:20" ht="14.4" x14ac:dyDescent="0.25">
      <c r="G6897" s="10">
        <v>3196</v>
      </c>
      <c r="H6897" s="9">
        <v>22914</v>
      </c>
      <c r="I6897" s="14">
        <f>DATE(2012,12,31)-353</f>
        <v>40921</v>
      </c>
      <c r="J6897" s="15" t="s">
        <v>30</v>
      </c>
      <c r="K6897" s="9">
        <v>30</v>
      </c>
      <c r="L6897" s="16" t="s">
        <v>26</v>
      </c>
      <c r="M6897" s="16">
        <f t="shared" si="645"/>
        <v>0.30581501033440933</v>
      </c>
      <c r="N6897">
        <f t="shared" si="646"/>
        <v>0</v>
      </c>
      <c r="O6897">
        <f t="shared" si="647"/>
        <v>0</v>
      </c>
      <c r="P6897">
        <f t="shared" si="644"/>
        <v>4900</v>
      </c>
      <c r="Q6897">
        <f t="shared" si="648"/>
        <v>4900</v>
      </c>
      <c r="T6897" s="16">
        <f t="shared" si="649"/>
        <v>0.30581501033440894</v>
      </c>
    </row>
    <row r="6898" spans="7:20" ht="14.4" x14ac:dyDescent="0.25">
      <c r="G6898" s="10">
        <v>3212</v>
      </c>
      <c r="H6898" s="9">
        <v>23042</v>
      </c>
      <c r="I6898" s="14">
        <f>DATE(2012,12,31)-1345</f>
        <v>39929</v>
      </c>
      <c r="J6898" s="15" t="s">
        <v>16</v>
      </c>
      <c r="K6898" s="9">
        <v>20</v>
      </c>
      <c r="L6898" s="16" t="s">
        <v>26</v>
      </c>
      <c r="M6898" s="16">
        <f t="shared" si="645"/>
        <v>-0.38478275585780503</v>
      </c>
      <c r="N6898">
        <f t="shared" si="646"/>
        <v>0</v>
      </c>
      <c r="O6898">
        <f t="shared" si="647"/>
        <v>0</v>
      </c>
      <c r="P6898">
        <f t="shared" si="644"/>
        <v>4400</v>
      </c>
      <c r="Q6898">
        <f t="shared" si="648"/>
        <v>4400</v>
      </c>
      <c r="T6898" s="16">
        <f t="shared" si="649"/>
        <v>-0.38478275585780541</v>
      </c>
    </row>
    <row r="6899" spans="7:20" ht="14.4" x14ac:dyDescent="0.25">
      <c r="G6899" s="10">
        <v>3226</v>
      </c>
      <c r="H6899" s="9">
        <v>23168</v>
      </c>
      <c r="I6899" s="14">
        <f>DATE(2012,12,31)-838</f>
        <v>40436</v>
      </c>
      <c r="J6899" s="15" t="s">
        <v>25</v>
      </c>
      <c r="K6899" s="9">
        <v>46</v>
      </c>
      <c r="L6899" s="16" t="s">
        <v>27</v>
      </c>
      <c r="M6899" s="16">
        <f t="shared" si="645"/>
        <v>1.4107714362419523</v>
      </c>
      <c r="N6899">
        <f t="shared" si="646"/>
        <v>0</v>
      </c>
      <c r="O6899">
        <f t="shared" si="647"/>
        <v>0</v>
      </c>
      <c r="P6899">
        <f t="shared" si="644"/>
        <v>5700</v>
      </c>
      <c r="Q6899">
        <f t="shared" si="648"/>
        <v>5700</v>
      </c>
      <c r="T6899" s="16">
        <f t="shared" si="649"/>
        <v>1.4107714362419519</v>
      </c>
    </row>
    <row r="6900" spans="7:20" ht="14.4" x14ac:dyDescent="0.25">
      <c r="G6900" s="10">
        <v>3242</v>
      </c>
      <c r="H6900" s="9">
        <v>23235</v>
      </c>
      <c r="I6900" s="14">
        <f>DATE(2012,12,31)-545</f>
        <v>40729</v>
      </c>
      <c r="J6900" s="15" t="s">
        <v>17</v>
      </c>
      <c r="K6900" s="9">
        <v>6</v>
      </c>
      <c r="L6900" s="16" t="s">
        <v>29</v>
      </c>
      <c r="M6900" s="16">
        <f t="shared" si="645"/>
        <v>-1.3516196285269051</v>
      </c>
      <c r="N6900">
        <f t="shared" si="646"/>
        <v>0</v>
      </c>
      <c r="O6900">
        <f t="shared" si="647"/>
        <v>0</v>
      </c>
      <c r="P6900">
        <f t="shared" si="644"/>
        <v>3700</v>
      </c>
      <c r="Q6900">
        <f t="shared" si="648"/>
        <v>3700</v>
      </c>
      <c r="T6900" s="16">
        <f t="shared" si="649"/>
        <v>-1.3516196285269055</v>
      </c>
    </row>
    <row r="6901" spans="7:20" ht="14.4" x14ac:dyDescent="0.25">
      <c r="G6901" s="10">
        <v>3243</v>
      </c>
      <c r="H6901" s="9">
        <v>23238</v>
      </c>
      <c r="I6901" s="14">
        <f>DATE(2012,12,31)-1006</f>
        <v>40268</v>
      </c>
      <c r="J6901" s="15" t="s">
        <v>28</v>
      </c>
      <c r="K6901" s="9">
        <v>25</v>
      </c>
      <c r="L6901" s="16" t="s">
        <v>27</v>
      </c>
      <c r="M6901" s="16">
        <f t="shared" si="645"/>
        <v>-3.9483872761697868E-2</v>
      </c>
      <c r="N6901">
        <f t="shared" si="646"/>
        <v>0</v>
      </c>
      <c r="O6901">
        <f t="shared" si="647"/>
        <v>0</v>
      </c>
      <c r="P6901">
        <f t="shared" si="644"/>
        <v>4650</v>
      </c>
      <c r="Q6901">
        <f t="shared" si="648"/>
        <v>4650</v>
      </c>
      <c r="T6901" s="16">
        <f t="shared" si="649"/>
        <v>-3.9483872761698249E-2</v>
      </c>
    </row>
    <row r="6902" spans="7:20" ht="14.4" x14ac:dyDescent="0.25">
      <c r="G6902" s="10">
        <v>3251</v>
      </c>
      <c r="H6902" s="9">
        <v>23297</v>
      </c>
      <c r="I6902" s="14">
        <f>DATE(2012,12,31)-182</f>
        <v>41092</v>
      </c>
      <c r="J6902" s="15" t="s">
        <v>30</v>
      </c>
      <c r="K6902" s="9">
        <v>20</v>
      </c>
      <c r="L6902" s="16" t="s">
        <v>26</v>
      </c>
      <c r="M6902" s="16">
        <f t="shared" si="645"/>
        <v>-0.38478275585780503</v>
      </c>
      <c r="N6902">
        <f t="shared" si="646"/>
        <v>0</v>
      </c>
      <c r="O6902">
        <f t="shared" si="647"/>
        <v>0</v>
      </c>
      <c r="P6902">
        <f t="shared" si="644"/>
        <v>4400</v>
      </c>
      <c r="Q6902">
        <f t="shared" si="648"/>
        <v>4400</v>
      </c>
      <c r="T6902" s="16">
        <f t="shared" si="649"/>
        <v>-0.38478275585780541</v>
      </c>
    </row>
    <row r="6903" spans="7:20" ht="14.4" x14ac:dyDescent="0.25">
      <c r="G6903" s="10">
        <v>3252</v>
      </c>
      <c r="H6903" s="9">
        <v>23297</v>
      </c>
      <c r="I6903" s="14">
        <f>DATE(2012,12,31)-182</f>
        <v>41092</v>
      </c>
      <c r="J6903" s="15" t="s">
        <v>30</v>
      </c>
      <c r="K6903" s="9">
        <v>34</v>
      </c>
      <c r="L6903" s="16" t="s">
        <v>26</v>
      </c>
      <c r="M6903" s="16">
        <f t="shared" si="645"/>
        <v>0.58205411681129504</v>
      </c>
      <c r="N6903">
        <f t="shared" si="646"/>
        <v>0</v>
      </c>
      <c r="O6903">
        <f t="shared" si="647"/>
        <v>0</v>
      </c>
      <c r="P6903">
        <f t="shared" si="644"/>
        <v>5100</v>
      </c>
      <c r="Q6903">
        <f t="shared" si="648"/>
        <v>5100</v>
      </c>
      <c r="T6903" s="16">
        <f t="shared" si="649"/>
        <v>0.58205411681129471</v>
      </c>
    </row>
    <row r="6904" spans="7:20" ht="14.4" x14ac:dyDescent="0.25">
      <c r="G6904" s="10">
        <v>3253</v>
      </c>
      <c r="H6904" s="9">
        <v>23301</v>
      </c>
      <c r="I6904" s="14">
        <f>DATE(2012,12,31)-623</f>
        <v>40651</v>
      </c>
      <c r="J6904" s="15" t="s">
        <v>17</v>
      </c>
      <c r="K6904" s="9">
        <v>4</v>
      </c>
      <c r="L6904" s="16" t="s">
        <v>27</v>
      </c>
      <c r="M6904" s="16">
        <f t="shared" si="645"/>
        <v>-1.489739181765348</v>
      </c>
      <c r="N6904">
        <f t="shared" si="646"/>
        <v>0</v>
      </c>
      <c r="O6904">
        <f t="shared" si="647"/>
        <v>0</v>
      </c>
      <c r="P6904">
        <f t="shared" si="644"/>
        <v>3600</v>
      </c>
      <c r="Q6904">
        <f t="shared" si="648"/>
        <v>3600</v>
      </c>
      <c r="T6904" s="16">
        <f t="shared" si="649"/>
        <v>-1.4897391817653485</v>
      </c>
    </row>
    <row r="6905" spans="7:20" ht="14.4" x14ac:dyDescent="0.25">
      <c r="G6905" s="10">
        <v>3254</v>
      </c>
      <c r="H6905" s="9">
        <v>23301</v>
      </c>
      <c r="I6905" s="14">
        <f>DATE(2012,12,31)-623</f>
        <v>40651</v>
      </c>
      <c r="J6905" s="15" t="s">
        <v>17</v>
      </c>
      <c r="K6905" s="9">
        <v>3</v>
      </c>
      <c r="L6905" s="16" t="s">
        <v>26</v>
      </c>
      <c r="M6905" s="16">
        <f t="shared" si="645"/>
        <v>-1.5587989583845694</v>
      </c>
      <c r="N6905">
        <f t="shared" si="646"/>
        <v>0</v>
      </c>
      <c r="O6905">
        <f t="shared" si="647"/>
        <v>0</v>
      </c>
      <c r="P6905">
        <f t="shared" si="644"/>
        <v>3550</v>
      </c>
      <c r="Q6905">
        <f t="shared" si="648"/>
        <v>3550</v>
      </c>
      <c r="T6905" s="16">
        <f t="shared" si="649"/>
        <v>-1.5587989583845698</v>
      </c>
    </row>
    <row r="6906" spans="7:20" ht="14.4" x14ac:dyDescent="0.25">
      <c r="G6906" s="10">
        <v>3257</v>
      </c>
      <c r="H6906" s="9">
        <v>23329</v>
      </c>
      <c r="I6906" s="14">
        <f>DATE(2012,12,31)-736</f>
        <v>40538</v>
      </c>
      <c r="J6906" s="15" t="s">
        <v>25</v>
      </c>
      <c r="K6906" s="9">
        <v>4</v>
      </c>
      <c r="L6906" s="16" t="s">
        <v>27</v>
      </c>
      <c r="M6906" s="16">
        <f t="shared" si="645"/>
        <v>-1.489739181765348</v>
      </c>
      <c r="N6906">
        <f t="shared" si="646"/>
        <v>0</v>
      </c>
      <c r="O6906">
        <f t="shared" si="647"/>
        <v>0</v>
      </c>
      <c r="P6906">
        <f t="shared" si="644"/>
        <v>3600</v>
      </c>
      <c r="Q6906">
        <f t="shared" si="648"/>
        <v>3600</v>
      </c>
      <c r="T6906" s="16">
        <f t="shared" si="649"/>
        <v>-1.4897391817653485</v>
      </c>
    </row>
    <row r="6907" spans="7:20" ht="14.4" x14ac:dyDescent="0.25">
      <c r="G6907" s="10">
        <v>3258</v>
      </c>
      <c r="H6907" s="9">
        <v>23329</v>
      </c>
      <c r="I6907" s="14">
        <f>DATE(2012,12,31)-736</f>
        <v>40538</v>
      </c>
      <c r="J6907" s="15" t="s">
        <v>25</v>
      </c>
      <c r="K6907" s="9">
        <v>47</v>
      </c>
      <c r="L6907" s="16" t="s">
        <v>27</v>
      </c>
      <c r="M6907" s="16">
        <f t="shared" si="645"/>
        <v>1.4798312128611737</v>
      </c>
      <c r="N6907">
        <f t="shared" si="646"/>
        <v>0</v>
      </c>
      <c r="O6907">
        <f t="shared" si="647"/>
        <v>0</v>
      </c>
      <c r="P6907">
        <f t="shared" si="644"/>
        <v>5750</v>
      </c>
      <c r="Q6907">
        <f t="shared" si="648"/>
        <v>5750</v>
      </c>
      <c r="T6907" s="16">
        <f t="shared" si="649"/>
        <v>1.4798312128611733</v>
      </c>
    </row>
    <row r="6908" spans="7:20" ht="14.4" x14ac:dyDescent="0.25">
      <c r="G6908" s="10">
        <v>3268</v>
      </c>
      <c r="H6908" s="9">
        <v>23366</v>
      </c>
      <c r="I6908" s="14">
        <f>DATE(2012,12,31)-773</f>
        <v>40501</v>
      </c>
      <c r="J6908" s="15" t="s">
        <v>28</v>
      </c>
      <c r="K6908" s="9">
        <v>12</v>
      </c>
      <c r="L6908" s="16" t="s">
        <v>29</v>
      </c>
      <c r="M6908" s="16">
        <f t="shared" si="645"/>
        <v>-0.9372609688115765</v>
      </c>
      <c r="N6908">
        <f t="shared" si="646"/>
        <v>0</v>
      </c>
      <c r="O6908">
        <f t="shared" si="647"/>
        <v>0</v>
      </c>
      <c r="P6908">
        <f t="shared" si="644"/>
        <v>4000</v>
      </c>
      <c r="Q6908">
        <f t="shared" si="648"/>
        <v>4000</v>
      </c>
      <c r="T6908" s="16">
        <f t="shared" si="649"/>
        <v>-0.93726096881157694</v>
      </c>
    </row>
    <row r="6909" spans="7:20" ht="14.4" x14ac:dyDescent="0.25">
      <c r="G6909" s="10">
        <v>3269</v>
      </c>
      <c r="H6909" s="9">
        <v>23366</v>
      </c>
      <c r="I6909" s="14">
        <f>DATE(2012,12,31)-773</f>
        <v>40501</v>
      </c>
      <c r="J6909" s="15" t="s">
        <v>28</v>
      </c>
      <c r="K6909" s="9">
        <v>5</v>
      </c>
      <c r="L6909" s="16" t="s">
        <v>26</v>
      </c>
      <c r="M6909" s="16">
        <f t="shared" si="645"/>
        <v>-1.4206794051461267</v>
      </c>
      <c r="N6909">
        <f t="shared" si="646"/>
        <v>0</v>
      </c>
      <c r="O6909">
        <f t="shared" si="647"/>
        <v>0</v>
      </c>
      <c r="P6909">
        <f t="shared" si="644"/>
        <v>3650</v>
      </c>
      <c r="Q6909">
        <f t="shared" si="648"/>
        <v>3650</v>
      </c>
      <c r="T6909" s="16">
        <f t="shared" si="649"/>
        <v>-1.4206794051461269</v>
      </c>
    </row>
    <row r="6910" spans="7:20" ht="14.4" x14ac:dyDescent="0.25">
      <c r="G6910" s="10">
        <v>3272</v>
      </c>
      <c r="H6910" s="9">
        <v>23395</v>
      </c>
      <c r="I6910" s="14">
        <f>DATE(2012,12,31)-65</f>
        <v>41209</v>
      </c>
      <c r="J6910" s="15" t="s">
        <v>16</v>
      </c>
      <c r="K6910" s="9">
        <v>31</v>
      </c>
      <c r="L6910" s="16" t="s">
        <v>27</v>
      </c>
      <c r="M6910" s="16">
        <f t="shared" si="645"/>
        <v>0.37487478695363075</v>
      </c>
      <c r="N6910">
        <f t="shared" si="646"/>
        <v>0</v>
      </c>
      <c r="O6910">
        <f t="shared" si="647"/>
        <v>0</v>
      </c>
      <c r="P6910">
        <f t="shared" si="644"/>
        <v>4950</v>
      </c>
      <c r="Q6910">
        <f t="shared" si="648"/>
        <v>4950</v>
      </c>
      <c r="T6910" s="16">
        <f t="shared" si="649"/>
        <v>0.37487478695363036</v>
      </c>
    </row>
    <row r="6911" spans="7:20" ht="14.4" x14ac:dyDescent="0.25">
      <c r="G6911" s="10">
        <v>3283</v>
      </c>
      <c r="H6911" s="9">
        <v>23488</v>
      </c>
      <c r="I6911" s="14">
        <f>DATE(2012,12,31)-1455</f>
        <v>39819</v>
      </c>
      <c r="J6911" s="15" t="s">
        <v>17</v>
      </c>
      <c r="K6911" s="9">
        <v>29</v>
      </c>
      <c r="L6911" s="16" t="s">
        <v>26</v>
      </c>
      <c r="M6911" s="16">
        <f t="shared" si="645"/>
        <v>0.23675523371518786</v>
      </c>
      <c r="N6911">
        <f t="shared" si="646"/>
        <v>0</v>
      </c>
      <c r="O6911">
        <f t="shared" si="647"/>
        <v>0</v>
      </c>
      <c r="P6911">
        <f t="shared" si="644"/>
        <v>4850</v>
      </c>
      <c r="Q6911">
        <f t="shared" si="648"/>
        <v>4850</v>
      </c>
      <c r="T6911" s="16">
        <f t="shared" si="649"/>
        <v>0.2367552337151875</v>
      </c>
    </row>
    <row r="6912" spans="7:20" ht="14.4" x14ac:dyDescent="0.25">
      <c r="G6912" s="10">
        <v>3292</v>
      </c>
      <c r="H6912" s="9">
        <v>23555</v>
      </c>
      <c r="I6912" s="14">
        <f>DATE(2012,12,31)-20</f>
        <v>41254</v>
      </c>
      <c r="J6912" s="15" t="s">
        <v>17</v>
      </c>
      <c r="K6912" s="9">
        <v>29</v>
      </c>
      <c r="L6912" s="16" t="s">
        <v>26</v>
      </c>
      <c r="M6912" s="16">
        <f t="shared" si="645"/>
        <v>0.23675523371518786</v>
      </c>
      <c r="N6912">
        <f t="shared" si="646"/>
        <v>0</v>
      </c>
      <c r="O6912">
        <f t="shared" si="647"/>
        <v>0</v>
      </c>
      <c r="P6912">
        <f t="shared" si="644"/>
        <v>4850</v>
      </c>
      <c r="Q6912">
        <f t="shared" si="648"/>
        <v>4850</v>
      </c>
      <c r="T6912" s="16">
        <f t="shared" si="649"/>
        <v>0.2367552337151875</v>
      </c>
    </row>
    <row r="6913" spans="7:20" ht="14.4" x14ac:dyDescent="0.25">
      <c r="G6913" s="10">
        <v>3293</v>
      </c>
      <c r="H6913" s="9">
        <v>23555</v>
      </c>
      <c r="I6913" s="14">
        <f>DATE(2012,12,31)-20</f>
        <v>41254</v>
      </c>
      <c r="J6913" s="15" t="s">
        <v>17</v>
      </c>
      <c r="K6913" s="9">
        <v>5</v>
      </c>
      <c r="L6913" s="16" t="s">
        <v>27</v>
      </c>
      <c r="M6913" s="16">
        <f t="shared" si="645"/>
        <v>-1.4206794051461267</v>
      </c>
      <c r="N6913">
        <f t="shared" si="646"/>
        <v>0</v>
      </c>
      <c r="O6913">
        <f t="shared" si="647"/>
        <v>0</v>
      </c>
      <c r="P6913">
        <f t="shared" si="644"/>
        <v>3650</v>
      </c>
      <c r="Q6913">
        <f t="shared" si="648"/>
        <v>3650</v>
      </c>
      <c r="T6913" s="16">
        <f t="shared" si="649"/>
        <v>-1.4206794051461269</v>
      </c>
    </row>
    <row r="6914" spans="7:20" ht="14.4" x14ac:dyDescent="0.25">
      <c r="G6914" s="10">
        <v>3304</v>
      </c>
      <c r="H6914" s="9">
        <v>23617</v>
      </c>
      <c r="I6914" s="14">
        <f>DATE(2012,12,31)-606</f>
        <v>40668</v>
      </c>
      <c r="J6914" s="15" t="s">
        <v>28</v>
      </c>
      <c r="K6914" s="9">
        <v>6</v>
      </c>
      <c r="L6914" s="16" t="s">
        <v>26</v>
      </c>
      <c r="M6914" s="16">
        <f t="shared" si="645"/>
        <v>-1.3516196285269051</v>
      </c>
      <c r="N6914">
        <f t="shared" si="646"/>
        <v>0</v>
      </c>
      <c r="O6914">
        <f t="shared" si="647"/>
        <v>0</v>
      </c>
      <c r="P6914">
        <f t="shared" si="644"/>
        <v>3700</v>
      </c>
      <c r="Q6914">
        <f t="shared" si="648"/>
        <v>3700</v>
      </c>
      <c r="T6914" s="16">
        <f t="shared" si="649"/>
        <v>-1.3516196285269055</v>
      </c>
    </row>
    <row r="6915" spans="7:20" ht="14.4" x14ac:dyDescent="0.25">
      <c r="G6915" s="10">
        <v>3313</v>
      </c>
      <c r="H6915" s="9">
        <v>23652</v>
      </c>
      <c r="I6915" s="14">
        <f>DATE(2012,12,31)-1219</f>
        <v>40055</v>
      </c>
      <c r="J6915" s="15" t="s">
        <v>28</v>
      </c>
      <c r="K6915" s="9">
        <v>27</v>
      </c>
      <c r="L6915" s="16" t="s">
        <v>26</v>
      </c>
      <c r="M6915" s="16">
        <f t="shared" si="645"/>
        <v>9.8635680476745008E-2</v>
      </c>
      <c r="N6915">
        <f t="shared" si="646"/>
        <v>0</v>
      </c>
      <c r="O6915">
        <f t="shared" si="647"/>
        <v>0</v>
      </c>
      <c r="P6915">
        <f t="shared" si="644"/>
        <v>4750</v>
      </c>
      <c r="Q6915">
        <f t="shared" si="648"/>
        <v>4750</v>
      </c>
      <c r="T6915" s="16">
        <f t="shared" si="649"/>
        <v>9.8635680476744619E-2</v>
      </c>
    </row>
    <row r="6916" spans="7:20" ht="14.4" x14ac:dyDescent="0.25">
      <c r="G6916" s="10">
        <v>3314</v>
      </c>
      <c r="H6916" s="9">
        <v>23680</v>
      </c>
      <c r="I6916" s="14">
        <f>DATE(2012,12,31)-786</f>
        <v>40488</v>
      </c>
      <c r="J6916" s="15" t="s">
        <v>28</v>
      </c>
      <c r="K6916" s="9">
        <v>8</v>
      </c>
      <c r="L6916" s="16" t="s">
        <v>29</v>
      </c>
      <c r="M6916" s="16">
        <f t="shared" si="645"/>
        <v>-1.2135000752884624</v>
      </c>
      <c r="N6916">
        <f t="shared" si="646"/>
        <v>0</v>
      </c>
      <c r="O6916">
        <f t="shared" si="647"/>
        <v>0</v>
      </c>
      <c r="P6916">
        <f t="shared" si="644"/>
        <v>3800</v>
      </c>
      <c r="Q6916">
        <f t="shared" si="648"/>
        <v>3800</v>
      </c>
      <c r="T6916" s="16">
        <f t="shared" si="649"/>
        <v>-1.2135000752884626</v>
      </c>
    </row>
    <row r="6917" spans="7:20" ht="14.4" x14ac:dyDescent="0.25">
      <c r="G6917" s="10">
        <v>3318</v>
      </c>
      <c r="H6917" s="9">
        <v>23719</v>
      </c>
      <c r="I6917" s="14">
        <f>DATE(2012,12,31)-890</f>
        <v>40384</v>
      </c>
      <c r="J6917" s="15" t="s">
        <v>30</v>
      </c>
      <c r="K6917" s="9">
        <v>17</v>
      </c>
      <c r="L6917" s="16" t="s">
        <v>26</v>
      </c>
      <c r="M6917" s="16">
        <f t="shared" si="645"/>
        <v>-0.59196208571546938</v>
      </c>
      <c r="N6917">
        <f t="shared" si="646"/>
        <v>0</v>
      </c>
      <c r="O6917">
        <f t="shared" si="647"/>
        <v>0</v>
      </c>
      <c r="P6917">
        <f t="shared" si="644"/>
        <v>4250</v>
      </c>
      <c r="Q6917">
        <f t="shared" si="648"/>
        <v>4250</v>
      </c>
      <c r="T6917" s="16">
        <f t="shared" si="649"/>
        <v>-0.59196208571546971</v>
      </c>
    </row>
    <row r="6918" spans="7:20" ht="14.4" x14ac:dyDescent="0.25">
      <c r="G6918" s="10">
        <v>3325</v>
      </c>
      <c r="H6918" s="9">
        <v>23778</v>
      </c>
      <c r="I6918" s="14">
        <f>DATE(2012,12,31)-1267</f>
        <v>40007</v>
      </c>
      <c r="J6918" s="15" t="s">
        <v>25</v>
      </c>
      <c r="K6918" s="9">
        <v>13</v>
      </c>
      <c r="L6918" s="16" t="s">
        <v>26</v>
      </c>
      <c r="M6918" s="16">
        <f t="shared" si="645"/>
        <v>-0.86820119219235514</v>
      </c>
      <c r="N6918">
        <f t="shared" si="646"/>
        <v>0</v>
      </c>
      <c r="O6918">
        <f t="shared" si="647"/>
        <v>0</v>
      </c>
      <c r="P6918">
        <f t="shared" si="644"/>
        <v>4050</v>
      </c>
      <c r="Q6918">
        <f t="shared" si="648"/>
        <v>4050</v>
      </c>
      <c r="T6918" s="16">
        <f t="shared" si="649"/>
        <v>-0.86820119219235548</v>
      </c>
    </row>
    <row r="6919" spans="7:20" ht="14.4" x14ac:dyDescent="0.25">
      <c r="G6919" s="10">
        <v>3329</v>
      </c>
      <c r="H6919" s="9">
        <v>23808</v>
      </c>
      <c r="I6919" s="14">
        <f>DATE(2012,12,31)-1423</f>
        <v>39851</v>
      </c>
      <c r="J6919" s="15" t="s">
        <v>25</v>
      </c>
      <c r="K6919" s="9">
        <v>30</v>
      </c>
      <c r="L6919" s="16" t="s">
        <v>26</v>
      </c>
      <c r="M6919" s="16">
        <f t="shared" si="645"/>
        <v>0.30581501033440933</v>
      </c>
      <c r="N6919">
        <f t="shared" si="646"/>
        <v>0</v>
      </c>
      <c r="O6919">
        <f t="shared" si="647"/>
        <v>0</v>
      </c>
      <c r="P6919">
        <f t="shared" si="644"/>
        <v>4900</v>
      </c>
      <c r="Q6919">
        <f t="shared" si="648"/>
        <v>4900</v>
      </c>
      <c r="T6919" s="16">
        <f t="shared" si="649"/>
        <v>0.30581501033440894</v>
      </c>
    </row>
    <row r="6920" spans="7:20" ht="14.4" x14ac:dyDescent="0.25">
      <c r="G6920" s="10">
        <v>3330</v>
      </c>
      <c r="H6920" s="9">
        <v>23808</v>
      </c>
      <c r="I6920" s="14">
        <f>DATE(2012,12,31)-1423</f>
        <v>39851</v>
      </c>
      <c r="J6920" s="15" t="s">
        <v>25</v>
      </c>
      <c r="K6920" s="9">
        <v>28</v>
      </c>
      <c r="L6920" s="16" t="s">
        <v>27</v>
      </c>
      <c r="M6920" s="16">
        <f t="shared" si="645"/>
        <v>0.16769545709596645</v>
      </c>
      <c r="N6920">
        <f t="shared" si="646"/>
        <v>0</v>
      </c>
      <c r="O6920">
        <f t="shared" si="647"/>
        <v>0</v>
      </c>
      <c r="P6920">
        <f t="shared" si="644"/>
        <v>4800</v>
      </c>
      <c r="Q6920">
        <f t="shared" si="648"/>
        <v>4800</v>
      </c>
      <c r="T6920" s="16">
        <f t="shared" si="649"/>
        <v>0.16769545709596606</v>
      </c>
    </row>
    <row r="6921" spans="7:20" ht="14.4" x14ac:dyDescent="0.25">
      <c r="G6921" s="10">
        <v>3338</v>
      </c>
      <c r="H6921" s="9">
        <v>23877</v>
      </c>
      <c r="I6921" s="14">
        <f>DATE(2012,12,31)-1268</f>
        <v>40006</v>
      </c>
      <c r="J6921" s="15" t="s">
        <v>28</v>
      </c>
      <c r="K6921" s="9">
        <v>31</v>
      </c>
      <c r="L6921" s="16" t="s">
        <v>27</v>
      </c>
      <c r="M6921" s="16">
        <f t="shared" si="645"/>
        <v>0.37487478695363075</v>
      </c>
      <c r="N6921">
        <f t="shared" si="646"/>
        <v>0</v>
      </c>
      <c r="O6921">
        <f t="shared" si="647"/>
        <v>0</v>
      </c>
      <c r="P6921">
        <f t="shared" si="644"/>
        <v>4950</v>
      </c>
      <c r="Q6921">
        <f t="shared" si="648"/>
        <v>4950</v>
      </c>
      <c r="T6921" s="16">
        <f t="shared" si="649"/>
        <v>0.37487478695363036</v>
      </c>
    </row>
    <row r="6922" spans="7:20" ht="14.4" x14ac:dyDescent="0.25">
      <c r="G6922" s="10">
        <v>3339</v>
      </c>
      <c r="H6922" s="9">
        <v>23877</v>
      </c>
      <c r="I6922" s="14">
        <f>DATE(2012,12,31)-1268</f>
        <v>40006</v>
      </c>
      <c r="J6922" s="15" t="s">
        <v>28</v>
      </c>
      <c r="K6922" s="9">
        <v>35</v>
      </c>
      <c r="L6922" s="16" t="s">
        <v>27</v>
      </c>
      <c r="M6922" s="16">
        <f t="shared" si="645"/>
        <v>0.65111389343051651</v>
      </c>
      <c r="N6922">
        <f t="shared" si="646"/>
        <v>0</v>
      </c>
      <c r="O6922">
        <f t="shared" si="647"/>
        <v>0</v>
      </c>
      <c r="P6922">
        <f t="shared" si="644"/>
        <v>5150</v>
      </c>
      <c r="Q6922">
        <f t="shared" si="648"/>
        <v>5150</v>
      </c>
      <c r="T6922" s="16">
        <f t="shared" si="649"/>
        <v>0.65111389343051607</v>
      </c>
    </row>
    <row r="6923" spans="7:20" ht="14.4" x14ac:dyDescent="0.25">
      <c r="G6923" s="10">
        <v>3353</v>
      </c>
      <c r="H6923" s="9">
        <v>24003</v>
      </c>
      <c r="I6923" s="14">
        <f>DATE(2012,12,31)-1157</f>
        <v>40117</v>
      </c>
      <c r="J6923" s="15" t="s">
        <v>30</v>
      </c>
      <c r="K6923" s="9">
        <v>9</v>
      </c>
      <c r="L6923" s="16" t="s">
        <v>26</v>
      </c>
      <c r="M6923" s="16">
        <f t="shared" si="645"/>
        <v>-1.1444402986692408</v>
      </c>
      <c r="N6923">
        <f t="shared" si="646"/>
        <v>0</v>
      </c>
      <c r="O6923">
        <f t="shared" si="647"/>
        <v>0</v>
      </c>
      <c r="P6923">
        <f t="shared" si="644"/>
        <v>3850</v>
      </c>
      <c r="Q6923">
        <f t="shared" si="648"/>
        <v>3850</v>
      </c>
      <c r="T6923" s="16">
        <f t="shared" si="649"/>
        <v>-1.1444402986692412</v>
      </c>
    </row>
    <row r="6924" spans="7:20" ht="14.4" x14ac:dyDescent="0.25">
      <c r="G6924" s="10">
        <v>3440</v>
      </c>
      <c r="H6924" s="9">
        <v>24548</v>
      </c>
      <c r="I6924" s="14">
        <f>DATE(2012,12,31)-658</f>
        <v>40616</v>
      </c>
      <c r="J6924" s="15" t="s">
        <v>17</v>
      </c>
      <c r="K6924" s="9">
        <v>32</v>
      </c>
      <c r="L6924" s="16" t="s">
        <v>29</v>
      </c>
      <c r="M6924" s="16">
        <f t="shared" si="645"/>
        <v>0.44393456357285216</v>
      </c>
      <c r="N6924">
        <f t="shared" si="646"/>
        <v>0</v>
      </c>
      <c r="O6924">
        <f t="shared" si="647"/>
        <v>0</v>
      </c>
      <c r="P6924">
        <f t="shared" ref="P6924:P6987" si="650">50*K6924+$P$10</f>
        <v>5000</v>
      </c>
      <c r="Q6924">
        <f t="shared" si="648"/>
        <v>5000</v>
      </c>
      <c r="T6924" s="16">
        <f t="shared" si="649"/>
        <v>0.44393456357285183</v>
      </c>
    </row>
    <row r="6925" spans="7:20" ht="14.4" x14ac:dyDescent="0.25">
      <c r="G6925" s="10">
        <v>3451</v>
      </c>
      <c r="H6925" s="9">
        <v>24610</v>
      </c>
      <c r="I6925" s="14">
        <f>DATE(2012,12,31)-1078</f>
        <v>40196</v>
      </c>
      <c r="J6925" s="15" t="s">
        <v>28</v>
      </c>
      <c r="K6925" s="9">
        <v>4</v>
      </c>
      <c r="L6925" s="16" t="s">
        <v>29</v>
      </c>
      <c r="M6925" s="16">
        <f t="shared" ref="M6925:M6988" si="651">(K6925-$K$4)/$K$7</f>
        <v>-1.489739181765348</v>
      </c>
      <c r="N6925">
        <f t="shared" ref="N6925:N6988" si="652">IF(MOD($B$20+G6925,1000)=0,1,0)</f>
        <v>0</v>
      </c>
      <c r="O6925">
        <f t="shared" ref="O6925:O6988" si="653">+ROUND(N6925*(IF(K6925&lt;$K$4,-4.5,10.5)*$P$5),-2)</f>
        <v>0</v>
      </c>
      <c r="P6925">
        <f t="shared" si="650"/>
        <v>3600</v>
      </c>
      <c r="Q6925">
        <f t="shared" ref="Q6925:Q6988" si="654">P6925+O6925</f>
        <v>3600</v>
      </c>
      <c r="T6925" s="16">
        <f t="shared" ref="T6925:T6988" si="655">(Q6925-$P$4)/$P$5</f>
        <v>-1.4897391817653485</v>
      </c>
    </row>
    <row r="6926" spans="7:20" ht="14.4" x14ac:dyDescent="0.25">
      <c r="G6926" s="10">
        <v>3467</v>
      </c>
      <c r="H6926" s="9">
        <v>24677</v>
      </c>
      <c r="I6926" s="14">
        <f>DATE(2012,12,31)-301</f>
        <v>40973</v>
      </c>
      <c r="J6926" s="15" t="s">
        <v>25</v>
      </c>
      <c r="K6926" s="9">
        <v>44</v>
      </c>
      <c r="L6926" s="16" t="s">
        <v>27</v>
      </c>
      <c r="M6926" s="16">
        <f t="shared" si="651"/>
        <v>1.2726518830035094</v>
      </c>
      <c r="N6926">
        <f t="shared" si="652"/>
        <v>0</v>
      </c>
      <c r="O6926">
        <f t="shared" si="653"/>
        <v>0</v>
      </c>
      <c r="P6926">
        <f t="shared" si="650"/>
        <v>5600</v>
      </c>
      <c r="Q6926">
        <f t="shared" si="654"/>
        <v>5600</v>
      </c>
      <c r="T6926" s="16">
        <f t="shared" si="655"/>
        <v>1.272651883003509</v>
      </c>
    </row>
    <row r="6927" spans="7:20" ht="14.4" x14ac:dyDescent="0.25">
      <c r="G6927" s="10">
        <v>3511</v>
      </c>
      <c r="H6927" s="9">
        <v>25027</v>
      </c>
      <c r="I6927" s="14">
        <f>DATE(2012,12,31)-1111</f>
        <v>40163</v>
      </c>
      <c r="J6927" s="15" t="s">
        <v>16</v>
      </c>
      <c r="K6927" s="9">
        <v>25</v>
      </c>
      <c r="L6927" s="16" t="s">
        <v>29</v>
      </c>
      <c r="M6927" s="16">
        <f t="shared" si="651"/>
        <v>-3.9483872761697868E-2</v>
      </c>
      <c r="N6927">
        <f t="shared" si="652"/>
        <v>0</v>
      </c>
      <c r="O6927">
        <f t="shared" si="653"/>
        <v>0</v>
      </c>
      <c r="P6927">
        <f t="shared" si="650"/>
        <v>4650</v>
      </c>
      <c r="Q6927">
        <f t="shared" si="654"/>
        <v>4650</v>
      </c>
      <c r="T6927" s="16">
        <f t="shared" si="655"/>
        <v>-3.9483872761698249E-2</v>
      </c>
    </row>
    <row r="6928" spans="7:20" ht="14.4" x14ac:dyDescent="0.25">
      <c r="G6928" s="10">
        <v>3537</v>
      </c>
      <c r="H6928" s="9">
        <v>25157</v>
      </c>
      <c r="I6928" s="14">
        <f>DATE(2012,12,31)-951</f>
        <v>40323</v>
      </c>
      <c r="J6928" s="15" t="s">
        <v>28</v>
      </c>
      <c r="K6928" s="9">
        <v>24</v>
      </c>
      <c r="L6928" s="16" t="s">
        <v>26</v>
      </c>
      <c r="M6928" s="16">
        <f t="shared" si="651"/>
        <v>-0.1085436493809193</v>
      </c>
      <c r="N6928">
        <f t="shared" si="652"/>
        <v>0</v>
      </c>
      <c r="O6928">
        <f t="shared" si="653"/>
        <v>0</v>
      </c>
      <c r="P6928">
        <f t="shared" si="650"/>
        <v>4600</v>
      </c>
      <c r="Q6928">
        <f t="shared" si="654"/>
        <v>4600</v>
      </c>
      <c r="T6928" s="16">
        <f t="shared" si="655"/>
        <v>-0.10854364938091969</v>
      </c>
    </row>
    <row r="6929" spans="7:20" ht="14.4" x14ac:dyDescent="0.25">
      <c r="G6929" s="10">
        <v>3561</v>
      </c>
      <c r="H6929" s="9">
        <v>25378</v>
      </c>
      <c r="I6929" s="14">
        <f>DATE(2012,12,31)-379</f>
        <v>40895</v>
      </c>
      <c r="J6929" s="15" t="s">
        <v>28</v>
      </c>
      <c r="K6929" s="9">
        <v>48</v>
      </c>
      <c r="L6929" s="16" t="s">
        <v>27</v>
      </c>
      <c r="M6929" s="16">
        <f t="shared" si="651"/>
        <v>1.5488909894803951</v>
      </c>
      <c r="N6929">
        <f t="shared" si="652"/>
        <v>0</v>
      </c>
      <c r="O6929">
        <f t="shared" si="653"/>
        <v>0</v>
      </c>
      <c r="P6929">
        <f t="shared" si="650"/>
        <v>5800</v>
      </c>
      <c r="Q6929">
        <f t="shared" si="654"/>
        <v>5800</v>
      </c>
      <c r="T6929" s="16">
        <f t="shared" si="655"/>
        <v>1.5488909894803948</v>
      </c>
    </row>
    <row r="6930" spans="7:20" ht="14.4" x14ac:dyDescent="0.25">
      <c r="G6930" s="10">
        <v>3567</v>
      </c>
      <c r="H6930" s="9">
        <v>25445</v>
      </c>
      <c r="I6930" s="14">
        <f>DATE(2012,12,31)-1316</f>
        <v>39958</v>
      </c>
      <c r="J6930" s="15" t="s">
        <v>25</v>
      </c>
      <c r="K6930" s="9">
        <v>48</v>
      </c>
      <c r="L6930" s="16" t="s">
        <v>26</v>
      </c>
      <c r="M6930" s="16">
        <f t="shared" si="651"/>
        <v>1.5488909894803951</v>
      </c>
      <c r="N6930">
        <f t="shared" si="652"/>
        <v>0</v>
      </c>
      <c r="O6930">
        <f t="shared" si="653"/>
        <v>0</v>
      </c>
      <c r="P6930">
        <f t="shared" si="650"/>
        <v>5800</v>
      </c>
      <c r="Q6930">
        <f t="shared" si="654"/>
        <v>5800</v>
      </c>
      <c r="T6930" s="16">
        <f t="shared" si="655"/>
        <v>1.5488909894803948</v>
      </c>
    </row>
    <row r="6931" spans="7:20" ht="14.4" x14ac:dyDescent="0.25">
      <c r="G6931" s="10">
        <v>3574</v>
      </c>
      <c r="H6931" s="9">
        <v>25476</v>
      </c>
      <c r="I6931" s="14">
        <f>DATE(2012,12,31)-90</f>
        <v>41184</v>
      </c>
      <c r="J6931" s="15" t="s">
        <v>28</v>
      </c>
      <c r="K6931" s="9">
        <v>21</v>
      </c>
      <c r="L6931" s="16" t="s">
        <v>27</v>
      </c>
      <c r="M6931" s="16">
        <f t="shared" si="651"/>
        <v>-0.31572297923858361</v>
      </c>
      <c r="N6931">
        <f t="shared" si="652"/>
        <v>0</v>
      </c>
      <c r="O6931">
        <f t="shared" si="653"/>
        <v>0</v>
      </c>
      <c r="P6931">
        <f t="shared" si="650"/>
        <v>4450</v>
      </c>
      <c r="Q6931">
        <f t="shared" si="654"/>
        <v>4450</v>
      </c>
      <c r="T6931" s="16">
        <f t="shared" si="655"/>
        <v>-0.315722979238584</v>
      </c>
    </row>
    <row r="6932" spans="7:20" ht="14.4" x14ac:dyDescent="0.25">
      <c r="G6932" s="10">
        <v>3575</v>
      </c>
      <c r="H6932" s="9">
        <v>25476</v>
      </c>
      <c r="I6932" s="14">
        <f>DATE(2012,12,31)-90</f>
        <v>41184</v>
      </c>
      <c r="J6932" s="15" t="s">
        <v>28</v>
      </c>
      <c r="K6932" s="9">
        <v>4</v>
      </c>
      <c r="L6932" s="16" t="s">
        <v>27</v>
      </c>
      <c r="M6932" s="16">
        <f t="shared" si="651"/>
        <v>-1.489739181765348</v>
      </c>
      <c r="N6932">
        <f t="shared" si="652"/>
        <v>0</v>
      </c>
      <c r="O6932">
        <f t="shared" si="653"/>
        <v>0</v>
      </c>
      <c r="P6932">
        <f t="shared" si="650"/>
        <v>3600</v>
      </c>
      <c r="Q6932">
        <f t="shared" si="654"/>
        <v>3600</v>
      </c>
      <c r="T6932" s="16">
        <f t="shared" si="655"/>
        <v>-1.4897391817653485</v>
      </c>
    </row>
    <row r="6933" spans="7:20" ht="14.4" x14ac:dyDescent="0.25">
      <c r="G6933" s="10">
        <v>3607</v>
      </c>
      <c r="H6933" s="9">
        <v>25797</v>
      </c>
      <c r="I6933" s="14">
        <f>DATE(2012,12,31)-121</f>
        <v>41153</v>
      </c>
      <c r="J6933" s="15" t="s">
        <v>28</v>
      </c>
      <c r="K6933" s="9">
        <v>28</v>
      </c>
      <c r="L6933" s="16" t="s">
        <v>27</v>
      </c>
      <c r="M6933" s="16">
        <f t="shared" si="651"/>
        <v>0.16769545709596645</v>
      </c>
      <c r="N6933">
        <f t="shared" si="652"/>
        <v>0</v>
      </c>
      <c r="O6933">
        <f t="shared" si="653"/>
        <v>0</v>
      </c>
      <c r="P6933">
        <f t="shared" si="650"/>
        <v>4800</v>
      </c>
      <c r="Q6933">
        <f t="shared" si="654"/>
        <v>4800</v>
      </c>
      <c r="T6933" s="16">
        <f t="shared" si="655"/>
        <v>0.16769545709596606</v>
      </c>
    </row>
    <row r="6934" spans="7:20" ht="14.4" x14ac:dyDescent="0.25">
      <c r="G6934" s="10">
        <v>3625</v>
      </c>
      <c r="H6934" s="9">
        <v>25889</v>
      </c>
      <c r="I6934" s="14">
        <f>DATE(2012,12,31)-937</f>
        <v>40337</v>
      </c>
      <c r="J6934" s="15" t="s">
        <v>25</v>
      </c>
      <c r="K6934" s="9">
        <v>23</v>
      </c>
      <c r="L6934" s="16" t="s">
        <v>29</v>
      </c>
      <c r="M6934" s="16">
        <f t="shared" si="651"/>
        <v>-0.17760342600014073</v>
      </c>
      <c r="N6934">
        <f t="shared" si="652"/>
        <v>0</v>
      </c>
      <c r="O6934">
        <f t="shared" si="653"/>
        <v>0</v>
      </c>
      <c r="P6934">
        <f t="shared" si="650"/>
        <v>4550</v>
      </c>
      <c r="Q6934">
        <f t="shared" si="654"/>
        <v>4550</v>
      </c>
      <c r="T6934" s="16">
        <f t="shared" si="655"/>
        <v>-0.17760342600014112</v>
      </c>
    </row>
    <row r="6935" spans="7:20" ht="14.4" x14ac:dyDescent="0.25">
      <c r="G6935" s="10">
        <v>3637</v>
      </c>
      <c r="H6935" s="9">
        <v>25986</v>
      </c>
      <c r="I6935" s="14">
        <f>DATE(2012,12,31)-192</f>
        <v>41082</v>
      </c>
      <c r="J6935" s="15" t="s">
        <v>16</v>
      </c>
      <c r="K6935" s="9">
        <v>48</v>
      </c>
      <c r="L6935" s="16" t="s">
        <v>26</v>
      </c>
      <c r="M6935" s="16">
        <f t="shared" si="651"/>
        <v>1.5488909894803951</v>
      </c>
      <c r="N6935">
        <f t="shared" si="652"/>
        <v>0</v>
      </c>
      <c r="O6935">
        <f t="shared" si="653"/>
        <v>0</v>
      </c>
      <c r="P6935">
        <f t="shared" si="650"/>
        <v>5800</v>
      </c>
      <c r="Q6935">
        <f t="shared" si="654"/>
        <v>5800</v>
      </c>
      <c r="T6935" s="16">
        <f t="shared" si="655"/>
        <v>1.5488909894803948</v>
      </c>
    </row>
    <row r="6936" spans="7:20" ht="14.4" x14ac:dyDescent="0.25">
      <c r="G6936" s="10">
        <v>3640</v>
      </c>
      <c r="H6936" s="9">
        <v>26021</v>
      </c>
      <c r="I6936" s="14">
        <f>DATE(2012,12,31)-108</f>
        <v>41166</v>
      </c>
      <c r="J6936" s="15" t="s">
        <v>30</v>
      </c>
      <c r="K6936" s="9">
        <v>17</v>
      </c>
      <c r="L6936" s="16" t="s">
        <v>27</v>
      </c>
      <c r="M6936" s="16">
        <f t="shared" si="651"/>
        <v>-0.59196208571546938</v>
      </c>
      <c r="N6936">
        <f t="shared" si="652"/>
        <v>0</v>
      </c>
      <c r="O6936">
        <f t="shared" si="653"/>
        <v>0</v>
      </c>
      <c r="P6936">
        <f t="shared" si="650"/>
        <v>4250</v>
      </c>
      <c r="Q6936">
        <f t="shared" si="654"/>
        <v>4250</v>
      </c>
      <c r="T6936" s="16">
        <f t="shared" si="655"/>
        <v>-0.59196208571546971</v>
      </c>
    </row>
    <row r="6937" spans="7:20" ht="14.4" x14ac:dyDescent="0.25">
      <c r="G6937" s="10">
        <v>3647</v>
      </c>
      <c r="H6937" s="9">
        <v>26055</v>
      </c>
      <c r="I6937" s="14">
        <f>DATE(2012,12,31)-36</f>
        <v>41238</v>
      </c>
      <c r="J6937" s="15" t="s">
        <v>28</v>
      </c>
      <c r="K6937" s="9">
        <v>46</v>
      </c>
      <c r="L6937" s="16" t="s">
        <v>27</v>
      </c>
      <c r="M6937" s="16">
        <f t="shared" si="651"/>
        <v>1.4107714362419523</v>
      </c>
      <c r="N6937">
        <f t="shared" si="652"/>
        <v>0</v>
      </c>
      <c r="O6937">
        <f t="shared" si="653"/>
        <v>0</v>
      </c>
      <c r="P6937">
        <f t="shared" si="650"/>
        <v>5700</v>
      </c>
      <c r="Q6937">
        <f t="shared" si="654"/>
        <v>5700</v>
      </c>
      <c r="T6937" s="16">
        <f t="shared" si="655"/>
        <v>1.4107714362419519</v>
      </c>
    </row>
    <row r="6938" spans="7:20" ht="14.4" x14ac:dyDescent="0.25">
      <c r="G6938" s="10">
        <v>3667</v>
      </c>
      <c r="H6938" s="9">
        <v>26274</v>
      </c>
      <c r="I6938" s="14">
        <f>DATE(2012,12,31)-202</f>
        <v>41072</v>
      </c>
      <c r="J6938" s="15" t="s">
        <v>28</v>
      </c>
      <c r="K6938" s="9">
        <v>41</v>
      </c>
      <c r="L6938" s="16" t="s">
        <v>26</v>
      </c>
      <c r="M6938" s="16">
        <f t="shared" si="651"/>
        <v>1.0654725531458451</v>
      </c>
      <c r="N6938">
        <f t="shared" si="652"/>
        <v>0</v>
      </c>
      <c r="O6938">
        <f t="shared" si="653"/>
        <v>0</v>
      </c>
      <c r="P6938">
        <f t="shared" si="650"/>
        <v>5450</v>
      </c>
      <c r="Q6938">
        <f t="shared" si="654"/>
        <v>5450</v>
      </c>
      <c r="T6938" s="16">
        <f t="shared" si="655"/>
        <v>1.0654725531458447</v>
      </c>
    </row>
    <row r="6939" spans="7:20" ht="14.4" x14ac:dyDescent="0.25">
      <c r="G6939" s="10">
        <v>3675</v>
      </c>
      <c r="H6939" s="9">
        <v>26306</v>
      </c>
      <c r="I6939" s="14">
        <f>DATE(2012,12,31)-62</f>
        <v>41212</v>
      </c>
      <c r="J6939" s="15" t="s">
        <v>25</v>
      </c>
      <c r="K6939" s="9">
        <v>39</v>
      </c>
      <c r="L6939" s="16" t="s">
        <v>29</v>
      </c>
      <c r="M6939" s="16">
        <f t="shared" si="651"/>
        <v>0.92735299990740228</v>
      </c>
      <c r="N6939">
        <f t="shared" si="652"/>
        <v>0</v>
      </c>
      <c r="O6939">
        <f t="shared" si="653"/>
        <v>0</v>
      </c>
      <c r="P6939">
        <f t="shared" si="650"/>
        <v>5350</v>
      </c>
      <c r="Q6939">
        <f t="shared" si="654"/>
        <v>5350</v>
      </c>
      <c r="T6939" s="16">
        <f t="shared" si="655"/>
        <v>0.92735299990740183</v>
      </c>
    </row>
    <row r="6940" spans="7:20" ht="14.4" x14ac:dyDescent="0.25">
      <c r="G6940" s="10">
        <v>3700</v>
      </c>
      <c r="H6940" s="9">
        <v>26437</v>
      </c>
      <c r="I6940" s="14">
        <f>DATE(2012,12,31)-399</f>
        <v>40875</v>
      </c>
      <c r="J6940" s="15" t="s">
        <v>30</v>
      </c>
      <c r="K6940" s="9">
        <v>4</v>
      </c>
      <c r="L6940" s="16" t="s">
        <v>29</v>
      </c>
      <c r="M6940" s="16">
        <f t="shared" si="651"/>
        <v>-1.489739181765348</v>
      </c>
      <c r="N6940">
        <f t="shared" si="652"/>
        <v>0</v>
      </c>
      <c r="O6940">
        <f t="shared" si="653"/>
        <v>0</v>
      </c>
      <c r="P6940">
        <f t="shared" si="650"/>
        <v>3600</v>
      </c>
      <c r="Q6940">
        <f t="shared" si="654"/>
        <v>3600</v>
      </c>
      <c r="T6940" s="16">
        <f t="shared" si="655"/>
        <v>-1.4897391817653485</v>
      </c>
    </row>
    <row r="6941" spans="7:20" ht="14.4" x14ac:dyDescent="0.25">
      <c r="G6941" s="10">
        <v>3701</v>
      </c>
      <c r="H6941" s="9">
        <v>26437</v>
      </c>
      <c r="I6941" s="14">
        <f>DATE(2012,12,31)-399</f>
        <v>40875</v>
      </c>
      <c r="J6941" s="15" t="s">
        <v>30</v>
      </c>
      <c r="K6941" s="9">
        <v>48</v>
      </c>
      <c r="L6941" s="16" t="s">
        <v>26</v>
      </c>
      <c r="M6941" s="16">
        <f t="shared" si="651"/>
        <v>1.5488909894803951</v>
      </c>
      <c r="N6941">
        <f t="shared" si="652"/>
        <v>0</v>
      </c>
      <c r="O6941">
        <f t="shared" si="653"/>
        <v>0</v>
      </c>
      <c r="P6941">
        <f t="shared" si="650"/>
        <v>5800</v>
      </c>
      <c r="Q6941">
        <f t="shared" si="654"/>
        <v>5800</v>
      </c>
      <c r="T6941" s="16">
        <f t="shared" si="655"/>
        <v>1.5488909894803948</v>
      </c>
    </row>
    <row r="6942" spans="7:20" ht="14.4" x14ac:dyDescent="0.25">
      <c r="G6942" s="10">
        <v>3705</v>
      </c>
      <c r="H6942" s="9">
        <v>26464</v>
      </c>
      <c r="I6942" s="14">
        <f>DATE(2012,12,31)-386</f>
        <v>40888</v>
      </c>
      <c r="J6942" s="15" t="s">
        <v>17</v>
      </c>
      <c r="K6942" s="9">
        <v>25</v>
      </c>
      <c r="L6942" s="16" t="s">
        <v>26</v>
      </c>
      <c r="M6942" s="16">
        <f t="shared" si="651"/>
        <v>-3.9483872761697868E-2</v>
      </c>
      <c r="N6942">
        <f t="shared" si="652"/>
        <v>0</v>
      </c>
      <c r="O6942">
        <f t="shared" si="653"/>
        <v>0</v>
      </c>
      <c r="P6942">
        <f t="shared" si="650"/>
        <v>4650</v>
      </c>
      <c r="Q6942">
        <f t="shared" si="654"/>
        <v>4650</v>
      </c>
      <c r="T6942" s="16">
        <f t="shared" si="655"/>
        <v>-3.9483872761698249E-2</v>
      </c>
    </row>
    <row r="6943" spans="7:20" ht="14.4" x14ac:dyDescent="0.25">
      <c r="G6943" s="10">
        <v>3706</v>
      </c>
      <c r="H6943" s="9">
        <v>26464</v>
      </c>
      <c r="I6943" s="14">
        <f>DATE(2012,12,31)-386</f>
        <v>40888</v>
      </c>
      <c r="J6943" s="15" t="s">
        <v>17</v>
      </c>
      <c r="K6943" s="9">
        <v>26</v>
      </c>
      <c r="L6943" s="16" t="s">
        <v>29</v>
      </c>
      <c r="M6943" s="16">
        <f t="shared" si="651"/>
        <v>2.9575903857523567E-2</v>
      </c>
      <c r="N6943">
        <f t="shared" si="652"/>
        <v>0</v>
      </c>
      <c r="O6943">
        <f t="shared" si="653"/>
        <v>0</v>
      </c>
      <c r="P6943">
        <f t="shared" si="650"/>
        <v>4700</v>
      </c>
      <c r="Q6943">
        <f t="shared" si="654"/>
        <v>4700</v>
      </c>
      <c r="T6943" s="16">
        <f t="shared" si="655"/>
        <v>2.9575903857523185E-2</v>
      </c>
    </row>
    <row r="6944" spans="7:20" ht="14.4" x14ac:dyDescent="0.25">
      <c r="G6944" s="10">
        <v>3727</v>
      </c>
      <c r="H6944" s="9">
        <v>26631</v>
      </c>
      <c r="I6944" s="14">
        <f>DATE(2012,12,31)-791</f>
        <v>40483</v>
      </c>
      <c r="J6944" s="15" t="s">
        <v>30</v>
      </c>
      <c r="K6944" s="9">
        <v>37</v>
      </c>
      <c r="L6944" s="16" t="s">
        <v>26</v>
      </c>
      <c r="M6944" s="16">
        <f t="shared" si="651"/>
        <v>0.78923344666895934</v>
      </c>
      <c r="N6944">
        <f t="shared" si="652"/>
        <v>0</v>
      </c>
      <c r="O6944">
        <f t="shared" si="653"/>
        <v>0</v>
      </c>
      <c r="P6944">
        <f t="shared" si="650"/>
        <v>5250</v>
      </c>
      <c r="Q6944">
        <f t="shared" si="654"/>
        <v>5250</v>
      </c>
      <c r="T6944" s="16">
        <f t="shared" si="655"/>
        <v>0.789233446668959</v>
      </c>
    </row>
    <row r="6945" spans="7:20" ht="14.4" x14ac:dyDescent="0.25">
      <c r="G6945" s="10">
        <v>3734</v>
      </c>
      <c r="H6945" s="9">
        <v>26689</v>
      </c>
      <c r="I6945" s="14">
        <f>DATE(2012,12,31)-1189</f>
        <v>40085</v>
      </c>
      <c r="J6945" s="15" t="s">
        <v>17</v>
      </c>
      <c r="K6945" s="9">
        <v>2</v>
      </c>
      <c r="L6945" s="16" t="s">
        <v>29</v>
      </c>
      <c r="M6945" s="16">
        <f t="shared" si="651"/>
        <v>-1.627858735003791</v>
      </c>
      <c r="N6945">
        <f t="shared" si="652"/>
        <v>0</v>
      </c>
      <c r="O6945">
        <f t="shared" si="653"/>
        <v>0</v>
      </c>
      <c r="P6945">
        <f t="shared" si="650"/>
        <v>3500</v>
      </c>
      <c r="Q6945">
        <f t="shared" si="654"/>
        <v>3500</v>
      </c>
      <c r="T6945" s="16">
        <f t="shared" si="655"/>
        <v>-1.6278587350037912</v>
      </c>
    </row>
    <row r="6946" spans="7:20" ht="14.4" x14ac:dyDescent="0.25">
      <c r="G6946" s="10">
        <v>3751</v>
      </c>
      <c r="H6946" s="9">
        <v>26786</v>
      </c>
      <c r="I6946" s="14">
        <f>DATE(2012,12,31)-999</f>
        <v>40275</v>
      </c>
      <c r="J6946" s="15" t="s">
        <v>16</v>
      </c>
      <c r="K6946" s="9">
        <v>29</v>
      </c>
      <c r="L6946" s="16" t="s">
        <v>26</v>
      </c>
      <c r="M6946" s="16">
        <f t="shared" si="651"/>
        <v>0.23675523371518786</v>
      </c>
      <c r="N6946">
        <f t="shared" si="652"/>
        <v>0</v>
      </c>
      <c r="O6946">
        <f t="shared" si="653"/>
        <v>0</v>
      </c>
      <c r="P6946">
        <f t="shared" si="650"/>
        <v>4850</v>
      </c>
      <c r="Q6946">
        <f t="shared" si="654"/>
        <v>4850</v>
      </c>
      <c r="T6946" s="16">
        <f t="shared" si="655"/>
        <v>0.2367552337151875</v>
      </c>
    </row>
    <row r="6947" spans="7:20" ht="14.4" x14ac:dyDescent="0.25">
      <c r="G6947" s="10">
        <v>3778</v>
      </c>
      <c r="H6947" s="9">
        <v>26976</v>
      </c>
      <c r="I6947" s="14">
        <f>DATE(2012,12,31)-591</f>
        <v>40683</v>
      </c>
      <c r="J6947" s="15" t="s">
        <v>28</v>
      </c>
      <c r="K6947" s="9">
        <v>44</v>
      </c>
      <c r="L6947" s="16" t="s">
        <v>26</v>
      </c>
      <c r="M6947" s="16">
        <f t="shared" si="651"/>
        <v>1.2726518830035094</v>
      </c>
      <c r="N6947">
        <f t="shared" si="652"/>
        <v>0</v>
      </c>
      <c r="O6947">
        <f t="shared" si="653"/>
        <v>0</v>
      </c>
      <c r="P6947">
        <f t="shared" si="650"/>
        <v>5600</v>
      </c>
      <c r="Q6947">
        <f t="shared" si="654"/>
        <v>5600</v>
      </c>
      <c r="T6947" s="16">
        <f t="shared" si="655"/>
        <v>1.272651883003509</v>
      </c>
    </row>
    <row r="6948" spans="7:20" ht="14.4" x14ac:dyDescent="0.25">
      <c r="G6948" s="10">
        <v>3779</v>
      </c>
      <c r="H6948" s="9">
        <v>26976</v>
      </c>
      <c r="I6948" s="14">
        <f>DATE(2012,12,31)-591</f>
        <v>40683</v>
      </c>
      <c r="J6948" s="15" t="s">
        <v>28</v>
      </c>
      <c r="K6948" s="9">
        <v>28</v>
      </c>
      <c r="L6948" s="16" t="s">
        <v>29</v>
      </c>
      <c r="M6948" s="16">
        <f t="shared" si="651"/>
        <v>0.16769545709596645</v>
      </c>
      <c r="N6948">
        <f t="shared" si="652"/>
        <v>0</v>
      </c>
      <c r="O6948">
        <f t="shared" si="653"/>
        <v>0</v>
      </c>
      <c r="P6948">
        <f t="shared" si="650"/>
        <v>4800</v>
      </c>
      <c r="Q6948">
        <f t="shared" si="654"/>
        <v>4800</v>
      </c>
      <c r="T6948" s="16">
        <f t="shared" si="655"/>
        <v>0.16769545709596606</v>
      </c>
    </row>
    <row r="6949" spans="7:20" ht="14.4" x14ac:dyDescent="0.25">
      <c r="G6949" s="10">
        <v>3780</v>
      </c>
      <c r="H6949" s="9">
        <v>26976</v>
      </c>
      <c r="I6949" s="14">
        <f>DATE(2012,12,31)-591</f>
        <v>40683</v>
      </c>
      <c r="J6949" s="15" t="s">
        <v>28</v>
      </c>
      <c r="K6949" s="9">
        <v>11</v>
      </c>
      <c r="L6949" s="16" t="s">
        <v>27</v>
      </c>
      <c r="M6949" s="16">
        <f t="shared" si="651"/>
        <v>-1.0063207454307979</v>
      </c>
      <c r="N6949">
        <f t="shared" si="652"/>
        <v>0</v>
      </c>
      <c r="O6949">
        <f t="shared" si="653"/>
        <v>0</v>
      </c>
      <c r="P6949">
        <f t="shared" si="650"/>
        <v>3950</v>
      </c>
      <c r="Q6949">
        <f t="shared" si="654"/>
        <v>3950</v>
      </c>
      <c r="T6949" s="16">
        <f t="shared" si="655"/>
        <v>-1.0063207454307983</v>
      </c>
    </row>
    <row r="6950" spans="7:20" ht="14.4" x14ac:dyDescent="0.25">
      <c r="G6950" s="10">
        <v>3814</v>
      </c>
      <c r="H6950" s="9">
        <v>27169</v>
      </c>
      <c r="I6950" s="14">
        <f>DATE(2012,12,31)-477</f>
        <v>40797</v>
      </c>
      <c r="J6950" s="15" t="s">
        <v>28</v>
      </c>
      <c r="K6950" s="9">
        <v>16</v>
      </c>
      <c r="L6950" s="16" t="s">
        <v>26</v>
      </c>
      <c r="M6950" s="16">
        <f t="shared" si="651"/>
        <v>-0.66102186233469074</v>
      </c>
      <c r="N6950">
        <f t="shared" si="652"/>
        <v>0</v>
      </c>
      <c r="O6950">
        <f t="shared" si="653"/>
        <v>0</v>
      </c>
      <c r="P6950">
        <f t="shared" si="650"/>
        <v>4200</v>
      </c>
      <c r="Q6950">
        <f t="shared" si="654"/>
        <v>4200</v>
      </c>
      <c r="T6950" s="16">
        <f t="shared" si="655"/>
        <v>-0.66102186233469118</v>
      </c>
    </row>
    <row r="6951" spans="7:20" ht="14.4" x14ac:dyDescent="0.25">
      <c r="G6951" s="10">
        <v>3837</v>
      </c>
      <c r="H6951" s="9">
        <v>27363</v>
      </c>
      <c r="I6951" s="14">
        <f>DATE(2012,12,31)-440</f>
        <v>40834</v>
      </c>
      <c r="J6951" s="15" t="s">
        <v>16</v>
      </c>
      <c r="K6951" s="9">
        <v>6</v>
      </c>
      <c r="L6951" s="16" t="s">
        <v>26</v>
      </c>
      <c r="M6951" s="16">
        <f t="shared" si="651"/>
        <v>-1.3516196285269051</v>
      </c>
      <c r="N6951">
        <f t="shared" si="652"/>
        <v>0</v>
      </c>
      <c r="O6951">
        <f t="shared" si="653"/>
        <v>0</v>
      </c>
      <c r="P6951">
        <f t="shared" si="650"/>
        <v>3700</v>
      </c>
      <c r="Q6951">
        <f t="shared" si="654"/>
        <v>3700</v>
      </c>
      <c r="T6951" s="16">
        <f t="shared" si="655"/>
        <v>-1.3516196285269055</v>
      </c>
    </row>
    <row r="6952" spans="7:20" ht="14.4" x14ac:dyDescent="0.25">
      <c r="G6952" s="10">
        <v>3858</v>
      </c>
      <c r="H6952" s="9">
        <v>27524</v>
      </c>
      <c r="I6952" s="14">
        <f>DATE(2012,12,31)-1064</f>
        <v>40210</v>
      </c>
      <c r="J6952" s="15" t="s">
        <v>28</v>
      </c>
      <c r="K6952" s="9">
        <v>50</v>
      </c>
      <c r="L6952" s="16" t="s">
        <v>26</v>
      </c>
      <c r="M6952" s="16">
        <f t="shared" si="651"/>
        <v>1.687010542718838</v>
      </c>
      <c r="N6952">
        <f t="shared" si="652"/>
        <v>0</v>
      </c>
      <c r="O6952">
        <f t="shared" si="653"/>
        <v>0</v>
      </c>
      <c r="P6952">
        <f t="shared" si="650"/>
        <v>5900</v>
      </c>
      <c r="Q6952">
        <f t="shared" si="654"/>
        <v>5900</v>
      </c>
      <c r="T6952" s="16">
        <f t="shared" si="655"/>
        <v>1.6870105427188375</v>
      </c>
    </row>
    <row r="6953" spans="7:20" ht="14.4" x14ac:dyDescent="0.25">
      <c r="G6953" s="10">
        <v>3862</v>
      </c>
      <c r="H6953" s="9">
        <v>27554</v>
      </c>
      <c r="I6953" s="14">
        <f>DATE(2012,12,31)-662</f>
        <v>40612</v>
      </c>
      <c r="J6953" s="15" t="s">
        <v>30</v>
      </c>
      <c r="K6953" s="9">
        <v>45</v>
      </c>
      <c r="L6953" s="16" t="s">
        <v>29</v>
      </c>
      <c r="M6953" s="16">
        <f t="shared" si="651"/>
        <v>1.3417116596227308</v>
      </c>
      <c r="N6953">
        <f t="shared" si="652"/>
        <v>0</v>
      </c>
      <c r="O6953">
        <f t="shared" si="653"/>
        <v>0</v>
      </c>
      <c r="P6953">
        <f t="shared" si="650"/>
        <v>5650</v>
      </c>
      <c r="Q6953">
        <f t="shared" si="654"/>
        <v>5650</v>
      </c>
      <c r="T6953" s="16">
        <f t="shared" si="655"/>
        <v>1.3417116596227305</v>
      </c>
    </row>
    <row r="6954" spans="7:20" ht="14.4" x14ac:dyDescent="0.25">
      <c r="G6954" s="10">
        <v>3879</v>
      </c>
      <c r="H6954" s="9">
        <v>27712</v>
      </c>
      <c r="I6954" s="14">
        <f>DATE(2012,12,31)-1033</f>
        <v>40241</v>
      </c>
      <c r="J6954" s="15" t="s">
        <v>25</v>
      </c>
      <c r="K6954" s="9">
        <v>20</v>
      </c>
      <c r="L6954" s="16" t="s">
        <v>26</v>
      </c>
      <c r="M6954" s="16">
        <f t="shared" si="651"/>
        <v>-0.38478275585780503</v>
      </c>
      <c r="N6954">
        <f t="shared" si="652"/>
        <v>0</v>
      </c>
      <c r="O6954">
        <f t="shared" si="653"/>
        <v>0</v>
      </c>
      <c r="P6954">
        <f t="shared" si="650"/>
        <v>4400</v>
      </c>
      <c r="Q6954">
        <f t="shared" si="654"/>
        <v>4400</v>
      </c>
      <c r="T6954" s="16">
        <f t="shared" si="655"/>
        <v>-0.38478275585780541</v>
      </c>
    </row>
    <row r="6955" spans="7:20" ht="14.4" x14ac:dyDescent="0.25">
      <c r="G6955" s="10">
        <v>3880</v>
      </c>
      <c r="H6955" s="9">
        <v>27715</v>
      </c>
      <c r="I6955" s="14">
        <f>DATE(2012,12,31)-469</f>
        <v>40805</v>
      </c>
      <c r="J6955" s="15" t="s">
        <v>17</v>
      </c>
      <c r="K6955" s="9">
        <v>12</v>
      </c>
      <c r="L6955" s="16" t="s">
        <v>26</v>
      </c>
      <c r="M6955" s="16">
        <f t="shared" si="651"/>
        <v>-0.9372609688115765</v>
      </c>
      <c r="N6955">
        <f t="shared" si="652"/>
        <v>0</v>
      </c>
      <c r="O6955">
        <f t="shared" si="653"/>
        <v>0</v>
      </c>
      <c r="P6955">
        <f t="shared" si="650"/>
        <v>4000</v>
      </c>
      <c r="Q6955">
        <f t="shared" si="654"/>
        <v>4000</v>
      </c>
      <c r="T6955" s="16">
        <f t="shared" si="655"/>
        <v>-0.93726096881157694</v>
      </c>
    </row>
    <row r="6956" spans="7:20" ht="14.4" x14ac:dyDescent="0.25">
      <c r="G6956" s="10">
        <v>3882</v>
      </c>
      <c r="H6956" s="9">
        <v>27744</v>
      </c>
      <c r="I6956" s="14">
        <f>DATE(2012,12,31)-881</f>
        <v>40393</v>
      </c>
      <c r="J6956" s="15" t="s">
        <v>30</v>
      </c>
      <c r="K6956" s="9">
        <v>22</v>
      </c>
      <c r="L6956" s="16" t="s">
        <v>26</v>
      </c>
      <c r="M6956" s="16">
        <f t="shared" si="651"/>
        <v>-0.24666320261936217</v>
      </c>
      <c r="N6956">
        <f t="shared" si="652"/>
        <v>0</v>
      </c>
      <c r="O6956">
        <f t="shared" si="653"/>
        <v>0</v>
      </c>
      <c r="P6956">
        <f t="shared" si="650"/>
        <v>4500</v>
      </c>
      <c r="Q6956">
        <f t="shared" si="654"/>
        <v>4500</v>
      </c>
      <c r="T6956" s="16">
        <f t="shared" si="655"/>
        <v>-0.24666320261936256</v>
      </c>
    </row>
    <row r="6957" spans="7:20" ht="14.4" x14ac:dyDescent="0.25">
      <c r="G6957" s="10">
        <v>3883</v>
      </c>
      <c r="H6957" s="9">
        <v>27745</v>
      </c>
      <c r="I6957" s="14">
        <f>DATE(2012,12,31)-833</f>
        <v>40441</v>
      </c>
      <c r="J6957" s="15" t="s">
        <v>25</v>
      </c>
      <c r="K6957" s="9">
        <v>41</v>
      </c>
      <c r="L6957" s="16" t="s">
        <v>29</v>
      </c>
      <c r="M6957" s="16">
        <f t="shared" si="651"/>
        <v>1.0654725531458451</v>
      </c>
      <c r="N6957">
        <f t="shared" si="652"/>
        <v>0</v>
      </c>
      <c r="O6957">
        <f t="shared" si="653"/>
        <v>0</v>
      </c>
      <c r="P6957">
        <f t="shared" si="650"/>
        <v>5450</v>
      </c>
      <c r="Q6957">
        <f t="shared" si="654"/>
        <v>5450</v>
      </c>
      <c r="T6957" s="16">
        <f t="shared" si="655"/>
        <v>1.0654725531458447</v>
      </c>
    </row>
    <row r="6958" spans="7:20" ht="14.4" x14ac:dyDescent="0.25">
      <c r="G6958" s="10">
        <v>3917</v>
      </c>
      <c r="H6958" s="9">
        <v>27936</v>
      </c>
      <c r="I6958" s="14">
        <f>DATE(2012,12,31)-543</f>
        <v>40731</v>
      </c>
      <c r="J6958" s="15" t="s">
        <v>17</v>
      </c>
      <c r="K6958" s="9">
        <v>3</v>
      </c>
      <c r="L6958" s="16" t="s">
        <v>27</v>
      </c>
      <c r="M6958" s="16">
        <f t="shared" si="651"/>
        <v>-1.5587989583845694</v>
      </c>
      <c r="N6958">
        <f t="shared" si="652"/>
        <v>0</v>
      </c>
      <c r="O6958">
        <f t="shared" si="653"/>
        <v>0</v>
      </c>
      <c r="P6958">
        <f t="shared" si="650"/>
        <v>3550</v>
      </c>
      <c r="Q6958">
        <f t="shared" si="654"/>
        <v>3550</v>
      </c>
      <c r="T6958" s="16">
        <f t="shared" si="655"/>
        <v>-1.5587989583845698</v>
      </c>
    </row>
    <row r="6959" spans="7:20" ht="14.4" x14ac:dyDescent="0.25">
      <c r="G6959" s="10">
        <v>3930</v>
      </c>
      <c r="H6959" s="9">
        <v>28007</v>
      </c>
      <c r="I6959" s="14">
        <f>DATE(2012,12,31)-998</f>
        <v>40276</v>
      </c>
      <c r="J6959" s="15" t="s">
        <v>28</v>
      </c>
      <c r="K6959" s="9">
        <v>23</v>
      </c>
      <c r="L6959" s="16" t="s">
        <v>26</v>
      </c>
      <c r="M6959" s="16">
        <f t="shared" si="651"/>
        <v>-0.17760342600014073</v>
      </c>
      <c r="N6959">
        <f t="shared" si="652"/>
        <v>0</v>
      </c>
      <c r="O6959">
        <f t="shared" si="653"/>
        <v>0</v>
      </c>
      <c r="P6959">
        <f t="shared" si="650"/>
        <v>4550</v>
      </c>
      <c r="Q6959">
        <f t="shared" si="654"/>
        <v>4550</v>
      </c>
      <c r="T6959" s="16">
        <f t="shared" si="655"/>
        <v>-0.17760342600014112</v>
      </c>
    </row>
    <row r="6960" spans="7:20" ht="14.4" x14ac:dyDescent="0.25">
      <c r="G6960" s="10">
        <v>3931</v>
      </c>
      <c r="H6960" s="9">
        <v>28007</v>
      </c>
      <c r="I6960" s="14">
        <f>DATE(2012,12,31)-998</f>
        <v>40276</v>
      </c>
      <c r="J6960" s="15" t="s">
        <v>28</v>
      </c>
      <c r="K6960" s="9">
        <v>20</v>
      </c>
      <c r="L6960" s="16" t="s">
        <v>26</v>
      </c>
      <c r="M6960" s="16">
        <f t="shared" si="651"/>
        <v>-0.38478275585780503</v>
      </c>
      <c r="N6960">
        <f t="shared" si="652"/>
        <v>0</v>
      </c>
      <c r="O6960">
        <f t="shared" si="653"/>
        <v>0</v>
      </c>
      <c r="P6960">
        <f t="shared" si="650"/>
        <v>4400</v>
      </c>
      <c r="Q6960">
        <f t="shared" si="654"/>
        <v>4400</v>
      </c>
      <c r="T6960" s="16">
        <f t="shared" si="655"/>
        <v>-0.38478275585780541</v>
      </c>
    </row>
    <row r="6961" spans="7:20" ht="14.4" x14ac:dyDescent="0.25">
      <c r="G6961" s="10">
        <v>3932</v>
      </c>
      <c r="H6961" s="9">
        <v>28007</v>
      </c>
      <c r="I6961" s="14">
        <f>DATE(2012,12,31)-998</f>
        <v>40276</v>
      </c>
      <c r="J6961" s="15" t="s">
        <v>28</v>
      </c>
      <c r="K6961" s="9">
        <v>20</v>
      </c>
      <c r="L6961" s="16" t="s">
        <v>26</v>
      </c>
      <c r="M6961" s="16">
        <f t="shared" si="651"/>
        <v>-0.38478275585780503</v>
      </c>
      <c r="N6961">
        <f t="shared" si="652"/>
        <v>0</v>
      </c>
      <c r="O6961">
        <f t="shared" si="653"/>
        <v>0</v>
      </c>
      <c r="P6961">
        <f t="shared" si="650"/>
        <v>4400</v>
      </c>
      <c r="Q6961">
        <f t="shared" si="654"/>
        <v>4400</v>
      </c>
      <c r="T6961" s="16">
        <f t="shared" si="655"/>
        <v>-0.38478275585780541</v>
      </c>
    </row>
    <row r="6962" spans="7:20" ht="14.4" x14ac:dyDescent="0.25">
      <c r="G6962" s="10">
        <v>3944</v>
      </c>
      <c r="H6962" s="9">
        <v>28129</v>
      </c>
      <c r="I6962" s="14">
        <f>DATE(2012,12,31)-340</f>
        <v>40934</v>
      </c>
      <c r="J6962" s="15" t="s">
        <v>16</v>
      </c>
      <c r="K6962" s="9">
        <v>5</v>
      </c>
      <c r="L6962" s="16" t="s">
        <v>26</v>
      </c>
      <c r="M6962" s="16">
        <f t="shared" si="651"/>
        <v>-1.4206794051461267</v>
      </c>
      <c r="N6962">
        <f t="shared" si="652"/>
        <v>0</v>
      </c>
      <c r="O6962">
        <f t="shared" si="653"/>
        <v>0</v>
      </c>
      <c r="P6962">
        <f t="shared" si="650"/>
        <v>3650</v>
      </c>
      <c r="Q6962">
        <f t="shared" si="654"/>
        <v>3650</v>
      </c>
      <c r="T6962" s="16">
        <f t="shared" si="655"/>
        <v>-1.4206794051461269</v>
      </c>
    </row>
    <row r="6963" spans="7:20" ht="14.4" x14ac:dyDescent="0.25">
      <c r="G6963" s="10">
        <v>3954</v>
      </c>
      <c r="H6963" s="9">
        <v>28224</v>
      </c>
      <c r="I6963" s="14">
        <f>DATE(2012,12,31)-12</f>
        <v>41262</v>
      </c>
      <c r="J6963" s="15" t="s">
        <v>30</v>
      </c>
      <c r="K6963" s="9">
        <v>25</v>
      </c>
      <c r="L6963" s="16" t="s">
        <v>26</v>
      </c>
      <c r="M6963" s="16">
        <f t="shared" si="651"/>
        <v>-3.9483872761697868E-2</v>
      </c>
      <c r="N6963">
        <f t="shared" si="652"/>
        <v>0</v>
      </c>
      <c r="O6963">
        <f t="shared" si="653"/>
        <v>0</v>
      </c>
      <c r="P6963">
        <f t="shared" si="650"/>
        <v>4650</v>
      </c>
      <c r="Q6963">
        <f t="shared" si="654"/>
        <v>4650</v>
      </c>
      <c r="T6963" s="16">
        <f t="shared" si="655"/>
        <v>-3.9483872761698249E-2</v>
      </c>
    </row>
    <row r="6964" spans="7:20" ht="14.4" x14ac:dyDescent="0.25">
      <c r="G6964" s="10">
        <v>3970</v>
      </c>
      <c r="H6964" s="9">
        <v>28354</v>
      </c>
      <c r="I6964" s="14">
        <f>DATE(2012,12,31)-1375</f>
        <v>39899</v>
      </c>
      <c r="J6964" s="15" t="s">
        <v>25</v>
      </c>
      <c r="K6964" s="9">
        <v>34</v>
      </c>
      <c r="L6964" s="16" t="s">
        <v>27</v>
      </c>
      <c r="M6964" s="16">
        <f t="shared" si="651"/>
        <v>0.58205411681129504</v>
      </c>
      <c r="N6964">
        <f t="shared" si="652"/>
        <v>0</v>
      </c>
      <c r="O6964">
        <f t="shared" si="653"/>
        <v>0</v>
      </c>
      <c r="P6964">
        <f t="shared" si="650"/>
        <v>5100</v>
      </c>
      <c r="Q6964">
        <f t="shared" si="654"/>
        <v>5100</v>
      </c>
      <c r="T6964" s="16">
        <f t="shared" si="655"/>
        <v>0.58205411681129471</v>
      </c>
    </row>
    <row r="6965" spans="7:20" ht="14.4" x14ac:dyDescent="0.25">
      <c r="G6965" s="10">
        <v>3973</v>
      </c>
      <c r="H6965" s="9">
        <v>28387</v>
      </c>
      <c r="I6965" s="14">
        <f>DATE(2012,12,31)-185</f>
        <v>41089</v>
      </c>
      <c r="J6965" s="15" t="s">
        <v>28</v>
      </c>
      <c r="K6965" s="9">
        <v>37</v>
      </c>
      <c r="L6965" s="16" t="s">
        <v>26</v>
      </c>
      <c r="M6965" s="16">
        <f t="shared" si="651"/>
        <v>0.78923344666895934</v>
      </c>
      <c r="N6965">
        <f t="shared" si="652"/>
        <v>0</v>
      </c>
      <c r="O6965">
        <f t="shared" si="653"/>
        <v>0</v>
      </c>
      <c r="P6965">
        <f t="shared" si="650"/>
        <v>5250</v>
      </c>
      <c r="Q6965">
        <f t="shared" si="654"/>
        <v>5250</v>
      </c>
      <c r="T6965" s="16">
        <f t="shared" si="655"/>
        <v>0.789233446668959</v>
      </c>
    </row>
    <row r="6966" spans="7:20" ht="14.4" x14ac:dyDescent="0.25">
      <c r="G6966" s="10">
        <v>3974</v>
      </c>
      <c r="H6966" s="9">
        <v>28387</v>
      </c>
      <c r="I6966" s="14">
        <f>DATE(2012,12,31)-185</f>
        <v>41089</v>
      </c>
      <c r="J6966" s="15" t="s">
        <v>28</v>
      </c>
      <c r="K6966" s="9">
        <v>13</v>
      </c>
      <c r="L6966" s="16" t="s">
        <v>26</v>
      </c>
      <c r="M6966" s="16">
        <f t="shared" si="651"/>
        <v>-0.86820119219235514</v>
      </c>
      <c r="N6966">
        <f t="shared" si="652"/>
        <v>0</v>
      </c>
      <c r="O6966">
        <f t="shared" si="653"/>
        <v>0</v>
      </c>
      <c r="P6966">
        <f t="shared" si="650"/>
        <v>4050</v>
      </c>
      <c r="Q6966">
        <f t="shared" si="654"/>
        <v>4050</v>
      </c>
      <c r="T6966" s="16">
        <f t="shared" si="655"/>
        <v>-0.86820119219235548</v>
      </c>
    </row>
    <row r="6967" spans="7:20" ht="14.4" x14ac:dyDescent="0.25">
      <c r="G6967" s="10">
        <v>3991</v>
      </c>
      <c r="H6967" s="9">
        <v>28485</v>
      </c>
      <c r="I6967" s="14">
        <f>DATE(2012,12,31)-354</f>
        <v>40920</v>
      </c>
      <c r="J6967" s="15" t="s">
        <v>17</v>
      </c>
      <c r="K6967" s="9">
        <v>12</v>
      </c>
      <c r="L6967" s="16" t="s">
        <v>26</v>
      </c>
      <c r="M6967" s="16">
        <f t="shared" si="651"/>
        <v>-0.9372609688115765</v>
      </c>
      <c r="N6967">
        <f t="shared" si="652"/>
        <v>0</v>
      </c>
      <c r="O6967">
        <f t="shared" si="653"/>
        <v>0</v>
      </c>
      <c r="P6967">
        <f t="shared" si="650"/>
        <v>4000</v>
      </c>
      <c r="Q6967">
        <f t="shared" si="654"/>
        <v>4000</v>
      </c>
      <c r="T6967" s="16">
        <f t="shared" si="655"/>
        <v>-0.93726096881157694</v>
      </c>
    </row>
    <row r="6968" spans="7:20" ht="14.4" x14ac:dyDescent="0.25">
      <c r="G6968" s="10">
        <v>4014</v>
      </c>
      <c r="H6968" s="9">
        <v>28643</v>
      </c>
      <c r="I6968" s="14">
        <f>DATE(2012,12,31)-979</f>
        <v>40295</v>
      </c>
      <c r="J6968" s="15" t="s">
        <v>28</v>
      </c>
      <c r="K6968" s="9">
        <v>16</v>
      </c>
      <c r="L6968" s="16" t="s">
        <v>26</v>
      </c>
      <c r="M6968" s="16">
        <f t="shared" si="651"/>
        <v>-0.66102186233469074</v>
      </c>
      <c r="N6968">
        <f t="shared" si="652"/>
        <v>0</v>
      </c>
      <c r="O6968">
        <f t="shared" si="653"/>
        <v>0</v>
      </c>
      <c r="P6968">
        <f t="shared" si="650"/>
        <v>4200</v>
      </c>
      <c r="Q6968">
        <f t="shared" si="654"/>
        <v>4200</v>
      </c>
      <c r="T6968" s="16">
        <f t="shared" si="655"/>
        <v>-0.66102186233469118</v>
      </c>
    </row>
    <row r="6969" spans="7:20" ht="14.4" x14ac:dyDescent="0.25">
      <c r="G6969" s="10">
        <v>4019</v>
      </c>
      <c r="H6969" s="9">
        <v>28737</v>
      </c>
      <c r="I6969" s="14">
        <f>DATE(2012,12,31)-455</f>
        <v>40819</v>
      </c>
      <c r="J6969" s="15" t="s">
        <v>30</v>
      </c>
      <c r="K6969" s="9">
        <v>50</v>
      </c>
      <c r="L6969" s="16" t="s">
        <v>26</v>
      </c>
      <c r="M6969" s="16">
        <f t="shared" si="651"/>
        <v>1.687010542718838</v>
      </c>
      <c r="N6969">
        <f t="shared" si="652"/>
        <v>0</v>
      </c>
      <c r="O6969">
        <f t="shared" si="653"/>
        <v>0</v>
      </c>
      <c r="P6969">
        <f t="shared" si="650"/>
        <v>5900</v>
      </c>
      <c r="Q6969">
        <f t="shared" si="654"/>
        <v>5900</v>
      </c>
      <c r="T6969" s="16">
        <f t="shared" si="655"/>
        <v>1.6870105427188375</v>
      </c>
    </row>
    <row r="6970" spans="7:20" ht="14.4" x14ac:dyDescent="0.25">
      <c r="G6970" s="10">
        <v>4020</v>
      </c>
      <c r="H6970" s="9">
        <v>28737</v>
      </c>
      <c r="I6970" s="14">
        <f>DATE(2012,12,31)-455</f>
        <v>40819</v>
      </c>
      <c r="J6970" s="15" t="s">
        <v>30</v>
      </c>
      <c r="K6970" s="9">
        <v>17</v>
      </c>
      <c r="L6970" s="16" t="s">
        <v>27</v>
      </c>
      <c r="M6970" s="16">
        <f t="shared" si="651"/>
        <v>-0.59196208571546938</v>
      </c>
      <c r="N6970">
        <f t="shared" si="652"/>
        <v>0</v>
      </c>
      <c r="O6970">
        <f t="shared" si="653"/>
        <v>0</v>
      </c>
      <c r="P6970">
        <f t="shared" si="650"/>
        <v>4250</v>
      </c>
      <c r="Q6970">
        <f t="shared" si="654"/>
        <v>4250</v>
      </c>
      <c r="T6970" s="16">
        <f t="shared" si="655"/>
        <v>-0.59196208571546971</v>
      </c>
    </row>
    <row r="6971" spans="7:20" ht="14.4" x14ac:dyDescent="0.25">
      <c r="G6971" s="10">
        <v>4038</v>
      </c>
      <c r="H6971" s="9">
        <v>28807</v>
      </c>
      <c r="I6971" s="14">
        <f>DATE(2012,12,31)-641</f>
        <v>40633</v>
      </c>
      <c r="J6971" s="15" t="s">
        <v>17</v>
      </c>
      <c r="K6971" s="9">
        <v>9</v>
      </c>
      <c r="L6971" s="16" t="s">
        <v>26</v>
      </c>
      <c r="M6971" s="16">
        <f t="shared" si="651"/>
        <v>-1.1444402986692408</v>
      </c>
      <c r="N6971">
        <f t="shared" si="652"/>
        <v>0</v>
      </c>
      <c r="O6971">
        <f t="shared" si="653"/>
        <v>0</v>
      </c>
      <c r="P6971">
        <f t="shared" si="650"/>
        <v>3850</v>
      </c>
      <c r="Q6971">
        <f t="shared" si="654"/>
        <v>3850</v>
      </c>
      <c r="T6971" s="16">
        <f t="shared" si="655"/>
        <v>-1.1444402986692412</v>
      </c>
    </row>
    <row r="6972" spans="7:20" ht="14.4" x14ac:dyDescent="0.25">
      <c r="G6972" s="10">
        <v>4039</v>
      </c>
      <c r="H6972" s="9">
        <v>28832</v>
      </c>
      <c r="I6972" s="14">
        <f>DATE(2012,12,31)-829</f>
        <v>40445</v>
      </c>
      <c r="J6972" s="15" t="s">
        <v>16</v>
      </c>
      <c r="K6972" s="9">
        <v>46</v>
      </c>
      <c r="L6972" s="16" t="s">
        <v>26</v>
      </c>
      <c r="M6972" s="16">
        <f t="shared" si="651"/>
        <v>1.4107714362419523</v>
      </c>
      <c r="N6972">
        <f t="shared" si="652"/>
        <v>0</v>
      </c>
      <c r="O6972">
        <f t="shared" si="653"/>
        <v>0</v>
      </c>
      <c r="P6972">
        <f t="shared" si="650"/>
        <v>5700</v>
      </c>
      <c r="Q6972">
        <f t="shared" si="654"/>
        <v>5700</v>
      </c>
      <c r="T6972" s="16">
        <f t="shared" si="655"/>
        <v>1.4107714362419519</v>
      </c>
    </row>
    <row r="6973" spans="7:20" ht="14.4" x14ac:dyDescent="0.25">
      <c r="G6973" s="10">
        <v>4040</v>
      </c>
      <c r="H6973" s="9">
        <v>28832</v>
      </c>
      <c r="I6973" s="14">
        <f>DATE(2012,12,31)-829</f>
        <v>40445</v>
      </c>
      <c r="J6973" s="15" t="s">
        <v>16</v>
      </c>
      <c r="K6973" s="9">
        <v>45</v>
      </c>
      <c r="L6973" s="16" t="s">
        <v>26</v>
      </c>
      <c r="M6973" s="16">
        <f t="shared" si="651"/>
        <v>1.3417116596227308</v>
      </c>
      <c r="N6973">
        <f t="shared" si="652"/>
        <v>0</v>
      </c>
      <c r="O6973">
        <f t="shared" si="653"/>
        <v>0</v>
      </c>
      <c r="P6973">
        <f t="shared" si="650"/>
        <v>5650</v>
      </c>
      <c r="Q6973">
        <f t="shared" si="654"/>
        <v>5650</v>
      </c>
      <c r="T6973" s="16">
        <f t="shared" si="655"/>
        <v>1.3417116596227305</v>
      </c>
    </row>
    <row r="6974" spans="7:20" ht="14.4" x14ac:dyDescent="0.25">
      <c r="G6974" s="10">
        <v>4064</v>
      </c>
      <c r="H6974" s="9">
        <v>28933</v>
      </c>
      <c r="I6974" s="14">
        <f>DATE(2012,12,31)-1271</f>
        <v>40003</v>
      </c>
      <c r="J6974" s="15" t="s">
        <v>30</v>
      </c>
      <c r="K6974" s="9">
        <v>1</v>
      </c>
      <c r="L6974" s="16" t="s">
        <v>26</v>
      </c>
      <c r="M6974" s="16">
        <f t="shared" si="651"/>
        <v>-1.6969185116230123</v>
      </c>
      <c r="N6974">
        <f t="shared" si="652"/>
        <v>0</v>
      </c>
      <c r="O6974">
        <f t="shared" si="653"/>
        <v>0</v>
      </c>
      <c r="P6974">
        <f t="shared" si="650"/>
        <v>3450</v>
      </c>
      <c r="Q6974">
        <f t="shared" si="654"/>
        <v>3450</v>
      </c>
      <c r="T6974" s="16">
        <f t="shared" si="655"/>
        <v>-1.6969185116230128</v>
      </c>
    </row>
    <row r="6975" spans="7:20" ht="14.4" x14ac:dyDescent="0.25">
      <c r="G6975" s="10">
        <v>4065</v>
      </c>
      <c r="H6975" s="9">
        <v>28933</v>
      </c>
      <c r="I6975" s="14">
        <f>DATE(2012,12,31)-1271</f>
        <v>40003</v>
      </c>
      <c r="J6975" s="15" t="s">
        <v>30</v>
      </c>
      <c r="K6975" s="9">
        <v>38</v>
      </c>
      <c r="L6975" s="16" t="s">
        <v>26</v>
      </c>
      <c r="M6975" s="16">
        <f t="shared" si="651"/>
        <v>0.85829322328818081</v>
      </c>
      <c r="N6975">
        <f t="shared" si="652"/>
        <v>0</v>
      </c>
      <c r="O6975">
        <f t="shared" si="653"/>
        <v>0</v>
      </c>
      <c r="P6975">
        <f t="shared" si="650"/>
        <v>5300</v>
      </c>
      <c r="Q6975">
        <f t="shared" si="654"/>
        <v>5300</v>
      </c>
      <c r="T6975" s="16">
        <f t="shared" si="655"/>
        <v>0.85829322328818036</v>
      </c>
    </row>
    <row r="6976" spans="7:20" ht="14.4" x14ac:dyDescent="0.25">
      <c r="G6976" s="10">
        <v>4080</v>
      </c>
      <c r="H6976" s="9">
        <v>29090</v>
      </c>
      <c r="I6976" s="14">
        <f>DATE(2012,12,31)-350</f>
        <v>40924</v>
      </c>
      <c r="J6976" s="15" t="s">
        <v>16</v>
      </c>
      <c r="K6976" s="9">
        <v>24</v>
      </c>
      <c r="L6976" s="16" t="s">
        <v>26</v>
      </c>
      <c r="M6976" s="16">
        <f t="shared" si="651"/>
        <v>-0.1085436493809193</v>
      </c>
      <c r="N6976">
        <f t="shared" si="652"/>
        <v>0</v>
      </c>
      <c r="O6976">
        <f t="shared" si="653"/>
        <v>0</v>
      </c>
      <c r="P6976">
        <f t="shared" si="650"/>
        <v>4600</v>
      </c>
      <c r="Q6976">
        <f t="shared" si="654"/>
        <v>4600</v>
      </c>
      <c r="T6976" s="16">
        <f t="shared" si="655"/>
        <v>-0.10854364938091969</v>
      </c>
    </row>
    <row r="6977" spans="7:20" ht="14.4" x14ac:dyDescent="0.25">
      <c r="G6977" s="10">
        <v>4081</v>
      </c>
      <c r="H6977" s="9">
        <v>29090</v>
      </c>
      <c r="I6977" s="14">
        <f>DATE(2012,12,31)-350</f>
        <v>40924</v>
      </c>
      <c r="J6977" s="15" t="s">
        <v>16</v>
      </c>
      <c r="K6977" s="9">
        <v>36</v>
      </c>
      <c r="L6977" s="16" t="s">
        <v>26</v>
      </c>
      <c r="M6977" s="16">
        <f t="shared" si="651"/>
        <v>0.72017367004973787</v>
      </c>
      <c r="N6977">
        <f t="shared" si="652"/>
        <v>0</v>
      </c>
      <c r="O6977">
        <f t="shared" si="653"/>
        <v>0</v>
      </c>
      <c r="P6977">
        <f t="shared" si="650"/>
        <v>5200</v>
      </c>
      <c r="Q6977">
        <f t="shared" si="654"/>
        <v>5200</v>
      </c>
      <c r="T6977" s="16">
        <f t="shared" si="655"/>
        <v>0.72017367004973754</v>
      </c>
    </row>
    <row r="6978" spans="7:20" ht="14.4" x14ac:dyDescent="0.25">
      <c r="G6978" s="10">
        <v>4107</v>
      </c>
      <c r="H6978" s="9">
        <v>29221</v>
      </c>
      <c r="I6978" s="14">
        <f>DATE(2012,12,31)-216</f>
        <v>41058</v>
      </c>
      <c r="J6978" s="15" t="s">
        <v>17</v>
      </c>
      <c r="K6978" s="9">
        <v>41</v>
      </c>
      <c r="L6978" s="16" t="s">
        <v>26</v>
      </c>
      <c r="M6978" s="16">
        <f t="shared" si="651"/>
        <v>1.0654725531458451</v>
      </c>
      <c r="N6978">
        <f t="shared" si="652"/>
        <v>0</v>
      </c>
      <c r="O6978">
        <f t="shared" si="653"/>
        <v>0</v>
      </c>
      <c r="P6978">
        <f t="shared" si="650"/>
        <v>5450</v>
      </c>
      <c r="Q6978">
        <f t="shared" si="654"/>
        <v>5450</v>
      </c>
      <c r="T6978" s="16">
        <f t="shared" si="655"/>
        <v>1.0654725531458447</v>
      </c>
    </row>
    <row r="6979" spans="7:20" ht="14.4" x14ac:dyDescent="0.25">
      <c r="G6979" s="10">
        <v>4116</v>
      </c>
      <c r="H6979" s="9">
        <v>29284</v>
      </c>
      <c r="I6979" s="14">
        <f>DATE(2012,12,31)-1361</f>
        <v>39913</v>
      </c>
      <c r="J6979" s="15" t="s">
        <v>16</v>
      </c>
      <c r="K6979" s="9">
        <v>20</v>
      </c>
      <c r="L6979" s="16" t="s">
        <v>29</v>
      </c>
      <c r="M6979" s="16">
        <f t="shared" si="651"/>
        <v>-0.38478275585780503</v>
      </c>
      <c r="N6979">
        <f t="shared" si="652"/>
        <v>0</v>
      </c>
      <c r="O6979">
        <f t="shared" si="653"/>
        <v>0</v>
      </c>
      <c r="P6979">
        <f t="shared" si="650"/>
        <v>4400</v>
      </c>
      <c r="Q6979">
        <f t="shared" si="654"/>
        <v>4400</v>
      </c>
      <c r="T6979" s="16">
        <f t="shared" si="655"/>
        <v>-0.38478275585780541</v>
      </c>
    </row>
    <row r="6980" spans="7:20" ht="14.4" x14ac:dyDescent="0.25">
      <c r="G6980" s="10">
        <v>4159</v>
      </c>
      <c r="H6980" s="9">
        <v>29505</v>
      </c>
      <c r="I6980" s="14">
        <f>DATE(2012,12,31)-4</f>
        <v>41270</v>
      </c>
      <c r="J6980" s="15" t="s">
        <v>16</v>
      </c>
      <c r="K6980" s="9">
        <v>22</v>
      </c>
      <c r="L6980" s="16" t="s">
        <v>26</v>
      </c>
      <c r="M6980" s="16">
        <f t="shared" si="651"/>
        <v>-0.24666320261936217</v>
      </c>
      <c r="N6980">
        <f t="shared" si="652"/>
        <v>0</v>
      </c>
      <c r="O6980">
        <f t="shared" si="653"/>
        <v>0</v>
      </c>
      <c r="P6980">
        <f t="shared" si="650"/>
        <v>4500</v>
      </c>
      <c r="Q6980">
        <f t="shared" si="654"/>
        <v>4500</v>
      </c>
      <c r="T6980" s="16">
        <f t="shared" si="655"/>
        <v>-0.24666320261936256</v>
      </c>
    </row>
    <row r="6981" spans="7:20" ht="14.4" x14ac:dyDescent="0.25">
      <c r="G6981" s="10">
        <v>4198</v>
      </c>
      <c r="H6981" s="9">
        <v>29831</v>
      </c>
      <c r="I6981" s="14">
        <f>DATE(2012,12,31)-277</f>
        <v>40997</v>
      </c>
      <c r="J6981" s="15" t="s">
        <v>30</v>
      </c>
      <c r="K6981" s="9">
        <v>29</v>
      </c>
      <c r="L6981" s="16" t="s">
        <v>26</v>
      </c>
      <c r="M6981" s="16">
        <f t="shared" si="651"/>
        <v>0.23675523371518786</v>
      </c>
      <c r="N6981">
        <f t="shared" si="652"/>
        <v>0</v>
      </c>
      <c r="O6981">
        <f t="shared" si="653"/>
        <v>0</v>
      </c>
      <c r="P6981">
        <f t="shared" si="650"/>
        <v>4850</v>
      </c>
      <c r="Q6981">
        <f t="shared" si="654"/>
        <v>4850</v>
      </c>
      <c r="T6981" s="16">
        <f t="shared" si="655"/>
        <v>0.2367552337151875</v>
      </c>
    </row>
    <row r="6982" spans="7:20" ht="14.4" x14ac:dyDescent="0.25">
      <c r="G6982" s="10">
        <v>4309</v>
      </c>
      <c r="H6982" s="9">
        <v>30720</v>
      </c>
      <c r="I6982" s="14">
        <f>DATE(2012,12,31)-95</f>
        <v>41179</v>
      </c>
      <c r="J6982" s="15" t="s">
        <v>25</v>
      </c>
      <c r="K6982" s="9">
        <v>5</v>
      </c>
      <c r="L6982" s="16" t="s">
        <v>26</v>
      </c>
      <c r="M6982" s="16">
        <f t="shared" si="651"/>
        <v>-1.4206794051461267</v>
      </c>
      <c r="N6982">
        <f t="shared" si="652"/>
        <v>0</v>
      </c>
      <c r="O6982">
        <f t="shared" si="653"/>
        <v>0</v>
      </c>
      <c r="P6982">
        <f t="shared" si="650"/>
        <v>3650</v>
      </c>
      <c r="Q6982">
        <f t="shared" si="654"/>
        <v>3650</v>
      </c>
      <c r="T6982" s="16">
        <f t="shared" si="655"/>
        <v>-1.4206794051461269</v>
      </c>
    </row>
    <row r="6983" spans="7:20" ht="14.4" x14ac:dyDescent="0.25">
      <c r="G6983" s="10">
        <v>4310</v>
      </c>
      <c r="H6983" s="9">
        <v>30720</v>
      </c>
      <c r="I6983" s="14">
        <f>DATE(2012,12,31)-95</f>
        <v>41179</v>
      </c>
      <c r="J6983" s="15" t="s">
        <v>25</v>
      </c>
      <c r="K6983" s="9">
        <v>37</v>
      </c>
      <c r="L6983" s="16" t="s">
        <v>27</v>
      </c>
      <c r="M6983" s="16">
        <f t="shared" si="651"/>
        <v>0.78923344666895934</v>
      </c>
      <c r="N6983">
        <f t="shared" si="652"/>
        <v>0</v>
      </c>
      <c r="O6983">
        <f t="shared" si="653"/>
        <v>0</v>
      </c>
      <c r="P6983">
        <f t="shared" si="650"/>
        <v>5250</v>
      </c>
      <c r="Q6983">
        <f t="shared" si="654"/>
        <v>5250</v>
      </c>
      <c r="T6983" s="16">
        <f t="shared" si="655"/>
        <v>0.789233446668959</v>
      </c>
    </row>
    <row r="6984" spans="7:20" ht="14.4" x14ac:dyDescent="0.25">
      <c r="G6984" s="10">
        <v>4318</v>
      </c>
      <c r="H6984" s="9">
        <v>30759</v>
      </c>
      <c r="I6984" s="14">
        <f>DATE(2012,12,31)-1333</f>
        <v>39941</v>
      </c>
      <c r="J6984" s="15" t="s">
        <v>28</v>
      </c>
      <c r="K6984" s="9">
        <v>2</v>
      </c>
      <c r="L6984" s="16" t="s">
        <v>29</v>
      </c>
      <c r="M6984" s="16">
        <f t="shared" si="651"/>
        <v>-1.627858735003791</v>
      </c>
      <c r="N6984">
        <f t="shared" si="652"/>
        <v>0</v>
      </c>
      <c r="O6984">
        <f t="shared" si="653"/>
        <v>0</v>
      </c>
      <c r="P6984">
        <f t="shared" si="650"/>
        <v>3500</v>
      </c>
      <c r="Q6984">
        <f t="shared" si="654"/>
        <v>3500</v>
      </c>
      <c r="T6984" s="16">
        <f t="shared" si="655"/>
        <v>-1.6278587350037912</v>
      </c>
    </row>
    <row r="6985" spans="7:20" ht="14.4" x14ac:dyDescent="0.25">
      <c r="G6985" s="10">
        <v>4327</v>
      </c>
      <c r="H6985" s="9">
        <v>30848</v>
      </c>
      <c r="I6985" s="14">
        <f>DATE(2012,12,31)-610</f>
        <v>40664</v>
      </c>
      <c r="J6985" s="15" t="s">
        <v>16</v>
      </c>
      <c r="K6985" s="9">
        <v>13</v>
      </c>
      <c r="L6985" s="16" t="s">
        <v>29</v>
      </c>
      <c r="M6985" s="16">
        <f t="shared" si="651"/>
        <v>-0.86820119219235514</v>
      </c>
      <c r="N6985">
        <f t="shared" si="652"/>
        <v>0</v>
      </c>
      <c r="O6985">
        <f t="shared" si="653"/>
        <v>0</v>
      </c>
      <c r="P6985">
        <f t="shared" si="650"/>
        <v>4050</v>
      </c>
      <c r="Q6985">
        <f t="shared" si="654"/>
        <v>4050</v>
      </c>
      <c r="T6985" s="16">
        <f t="shared" si="655"/>
        <v>-0.86820119219235548</v>
      </c>
    </row>
    <row r="6986" spans="7:20" ht="14.4" x14ac:dyDescent="0.25">
      <c r="G6986" s="10">
        <v>4334</v>
      </c>
      <c r="H6986" s="9">
        <v>30885</v>
      </c>
      <c r="I6986" s="14">
        <f>DATE(2012,12,31)-924</f>
        <v>40350</v>
      </c>
      <c r="J6986" s="15" t="s">
        <v>17</v>
      </c>
      <c r="K6986" s="9">
        <v>24</v>
      </c>
      <c r="L6986" s="16" t="s">
        <v>26</v>
      </c>
      <c r="M6986" s="16">
        <f t="shared" si="651"/>
        <v>-0.1085436493809193</v>
      </c>
      <c r="N6986">
        <f t="shared" si="652"/>
        <v>0</v>
      </c>
      <c r="O6986">
        <f t="shared" si="653"/>
        <v>0</v>
      </c>
      <c r="P6986">
        <f t="shared" si="650"/>
        <v>4600</v>
      </c>
      <c r="Q6986">
        <f t="shared" si="654"/>
        <v>4600</v>
      </c>
      <c r="T6986" s="16">
        <f t="shared" si="655"/>
        <v>-0.10854364938091969</v>
      </c>
    </row>
    <row r="6987" spans="7:20" ht="14.4" x14ac:dyDescent="0.25">
      <c r="G6987" s="10">
        <v>4336</v>
      </c>
      <c r="H6987" s="9">
        <v>30887</v>
      </c>
      <c r="I6987" s="14">
        <f>DATE(2012,12,31)-908</f>
        <v>40366</v>
      </c>
      <c r="J6987" s="15" t="s">
        <v>30</v>
      </c>
      <c r="K6987" s="9">
        <v>44</v>
      </c>
      <c r="L6987" s="16" t="s">
        <v>27</v>
      </c>
      <c r="M6987" s="16">
        <f t="shared" si="651"/>
        <v>1.2726518830035094</v>
      </c>
      <c r="N6987">
        <f t="shared" si="652"/>
        <v>0</v>
      </c>
      <c r="O6987">
        <f t="shared" si="653"/>
        <v>0</v>
      </c>
      <c r="P6987">
        <f t="shared" si="650"/>
        <v>5600</v>
      </c>
      <c r="Q6987">
        <f t="shared" si="654"/>
        <v>5600</v>
      </c>
      <c r="T6987" s="16">
        <f t="shared" si="655"/>
        <v>1.272651883003509</v>
      </c>
    </row>
    <row r="6988" spans="7:20" ht="14.4" x14ac:dyDescent="0.25">
      <c r="G6988" s="10">
        <v>4382</v>
      </c>
      <c r="H6988" s="9">
        <v>31233</v>
      </c>
      <c r="I6988" s="14">
        <f>DATE(2012,12,31)-464</f>
        <v>40810</v>
      </c>
      <c r="J6988" s="15" t="s">
        <v>25</v>
      </c>
      <c r="K6988" s="9">
        <v>41</v>
      </c>
      <c r="L6988" s="16" t="s">
        <v>27</v>
      </c>
      <c r="M6988" s="16">
        <f t="shared" si="651"/>
        <v>1.0654725531458451</v>
      </c>
      <c r="N6988">
        <f t="shared" si="652"/>
        <v>0</v>
      </c>
      <c r="O6988">
        <f t="shared" si="653"/>
        <v>0</v>
      </c>
      <c r="P6988">
        <f t="shared" ref="P6988:P7051" si="656">50*K6988+$P$10</f>
        <v>5450</v>
      </c>
      <c r="Q6988">
        <f t="shared" si="654"/>
        <v>5450</v>
      </c>
      <c r="T6988" s="16">
        <f t="shared" si="655"/>
        <v>1.0654725531458447</v>
      </c>
    </row>
    <row r="6989" spans="7:20" ht="14.4" x14ac:dyDescent="0.25">
      <c r="G6989" s="10">
        <v>4383</v>
      </c>
      <c r="H6989" s="9">
        <v>31233</v>
      </c>
      <c r="I6989" s="14">
        <f>DATE(2012,12,31)-464</f>
        <v>40810</v>
      </c>
      <c r="J6989" s="15" t="s">
        <v>25</v>
      </c>
      <c r="K6989" s="9">
        <v>3</v>
      </c>
      <c r="L6989" s="16" t="s">
        <v>26</v>
      </c>
      <c r="M6989" s="16">
        <f t="shared" ref="M6989:M7052" si="657">(K6989-$K$4)/$K$7</f>
        <v>-1.5587989583845694</v>
      </c>
      <c r="N6989">
        <f t="shared" ref="N6989:N7052" si="658">IF(MOD($B$20+G6989,1000)=0,1,0)</f>
        <v>0</v>
      </c>
      <c r="O6989">
        <f t="shared" ref="O6989:O7052" si="659">+ROUND(N6989*(IF(K6989&lt;$K$4,-4.5,10.5)*$P$5),-2)</f>
        <v>0</v>
      </c>
      <c r="P6989">
        <f t="shared" si="656"/>
        <v>3550</v>
      </c>
      <c r="Q6989">
        <f t="shared" ref="Q6989:Q7052" si="660">P6989+O6989</f>
        <v>3550</v>
      </c>
      <c r="T6989" s="16">
        <f t="shared" ref="T6989:T7052" si="661">(Q6989-$P$4)/$P$5</f>
        <v>-1.5587989583845698</v>
      </c>
    </row>
    <row r="6990" spans="7:20" ht="14.4" x14ac:dyDescent="0.25">
      <c r="G6990" s="10">
        <v>4384</v>
      </c>
      <c r="H6990" s="9">
        <v>31233</v>
      </c>
      <c r="I6990" s="14">
        <f>DATE(2012,12,31)-464</f>
        <v>40810</v>
      </c>
      <c r="J6990" s="15" t="s">
        <v>25</v>
      </c>
      <c r="K6990" s="9">
        <v>35</v>
      </c>
      <c r="L6990" s="16" t="s">
        <v>26</v>
      </c>
      <c r="M6990" s="16">
        <f t="shared" si="657"/>
        <v>0.65111389343051651</v>
      </c>
      <c r="N6990">
        <f t="shared" si="658"/>
        <v>0</v>
      </c>
      <c r="O6990">
        <f t="shared" si="659"/>
        <v>0</v>
      </c>
      <c r="P6990">
        <f t="shared" si="656"/>
        <v>5150</v>
      </c>
      <c r="Q6990">
        <f t="shared" si="660"/>
        <v>5150</v>
      </c>
      <c r="T6990" s="16">
        <f t="shared" si="661"/>
        <v>0.65111389343051607</v>
      </c>
    </row>
    <row r="6991" spans="7:20" ht="14.4" x14ac:dyDescent="0.25">
      <c r="G6991" s="10">
        <v>4385</v>
      </c>
      <c r="H6991" s="9">
        <v>31233</v>
      </c>
      <c r="I6991" s="14">
        <f>DATE(2012,12,31)-464</f>
        <v>40810</v>
      </c>
      <c r="J6991" s="15" t="s">
        <v>25</v>
      </c>
      <c r="K6991" s="9">
        <v>19</v>
      </c>
      <c r="L6991" s="16" t="s">
        <v>29</v>
      </c>
      <c r="M6991" s="16">
        <f t="shared" si="657"/>
        <v>-0.45384253247702649</v>
      </c>
      <c r="N6991">
        <f t="shared" si="658"/>
        <v>0</v>
      </c>
      <c r="O6991">
        <f t="shared" si="659"/>
        <v>0</v>
      </c>
      <c r="P6991">
        <f t="shared" si="656"/>
        <v>4350</v>
      </c>
      <c r="Q6991">
        <f t="shared" si="660"/>
        <v>4350</v>
      </c>
      <c r="T6991" s="16">
        <f t="shared" si="661"/>
        <v>-0.45384253247702688</v>
      </c>
    </row>
    <row r="6992" spans="7:20" ht="14.4" x14ac:dyDescent="0.25">
      <c r="G6992" s="10">
        <v>4410</v>
      </c>
      <c r="H6992" s="9">
        <v>31461</v>
      </c>
      <c r="I6992" s="14">
        <f>DATE(2012,12,31)-553</f>
        <v>40721</v>
      </c>
      <c r="J6992" s="15" t="s">
        <v>16</v>
      </c>
      <c r="K6992" s="9">
        <v>26</v>
      </c>
      <c r="L6992" s="16" t="s">
        <v>26</v>
      </c>
      <c r="M6992" s="16">
        <f t="shared" si="657"/>
        <v>2.9575903857523567E-2</v>
      </c>
      <c r="N6992">
        <f t="shared" si="658"/>
        <v>0</v>
      </c>
      <c r="O6992">
        <f t="shared" si="659"/>
        <v>0</v>
      </c>
      <c r="P6992">
        <f t="shared" si="656"/>
        <v>4700</v>
      </c>
      <c r="Q6992">
        <f t="shared" si="660"/>
        <v>4700</v>
      </c>
      <c r="T6992" s="16">
        <f t="shared" si="661"/>
        <v>2.9575903857523185E-2</v>
      </c>
    </row>
    <row r="6993" spans="7:20" ht="14.4" x14ac:dyDescent="0.25">
      <c r="G6993" s="10">
        <v>4422</v>
      </c>
      <c r="H6993" s="9">
        <v>31524</v>
      </c>
      <c r="I6993" s="14">
        <f>DATE(2012,12,31)-554</f>
        <v>40720</v>
      </c>
      <c r="J6993" s="15" t="s">
        <v>25</v>
      </c>
      <c r="K6993" s="9">
        <v>10</v>
      </c>
      <c r="L6993" s="16" t="s">
        <v>29</v>
      </c>
      <c r="M6993" s="16">
        <f t="shared" si="657"/>
        <v>-1.0753805220500194</v>
      </c>
      <c r="N6993">
        <f t="shared" si="658"/>
        <v>0</v>
      </c>
      <c r="O6993">
        <f t="shared" si="659"/>
        <v>0</v>
      </c>
      <c r="P6993">
        <f t="shared" si="656"/>
        <v>3900</v>
      </c>
      <c r="Q6993">
        <f t="shared" si="660"/>
        <v>3900</v>
      </c>
      <c r="T6993" s="16">
        <f t="shared" si="661"/>
        <v>-1.0753805220500199</v>
      </c>
    </row>
    <row r="6994" spans="7:20" ht="14.4" x14ac:dyDescent="0.25">
      <c r="G6994" s="10">
        <v>4433</v>
      </c>
      <c r="H6994" s="9">
        <v>31590</v>
      </c>
      <c r="I6994" s="14">
        <f>DATE(2012,12,31)-940</f>
        <v>40334</v>
      </c>
      <c r="J6994" s="15" t="s">
        <v>30</v>
      </c>
      <c r="K6994" s="9">
        <v>5</v>
      </c>
      <c r="L6994" s="16" t="s">
        <v>27</v>
      </c>
      <c r="M6994" s="16">
        <f t="shared" si="657"/>
        <v>-1.4206794051461267</v>
      </c>
      <c r="N6994">
        <f t="shared" si="658"/>
        <v>0</v>
      </c>
      <c r="O6994">
        <f t="shared" si="659"/>
        <v>0</v>
      </c>
      <c r="P6994">
        <f t="shared" si="656"/>
        <v>3650</v>
      </c>
      <c r="Q6994">
        <f t="shared" si="660"/>
        <v>3650</v>
      </c>
      <c r="T6994" s="16">
        <f t="shared" si="661"/>
        <v>-1.4206794051461269</v>
      </c>
    </row>
    <row r="6995" spans="7:20" ht="14.4" x14ac:dyDescent="0.25">
      <c r="G6995" s="10">
        <v>4434</v>
      </c>
      <c r="H6995" s="9">
        <v>31590</v>
      </c>
      <c r="I6995" s="14">
        <f>DATE(2012,12,31)-940</f>
        <v>40334</v>
      </c>
      <c r="J6995" s="15" t="s">
        <v>30</v>
      </c>
      <c r="K6995" s="9">
        <v>27</v>
      </c>
      <c r="L6995" s="16" t="s">
        <v>26</v>
      </c>
      <c r="M6995" s="16">
        <f t="shared" si="657"/>
        <v>9.8635680476745008E-2</v>
      </c>
      <c r="N6995">
        <f t="shared" si="658"/>
        <v>0</v>
      </c>
      <c r="O6995">
        <f t="shared" si="659"/>
        <v>0</v>
      </c>
      <c r="P6995">
        <f t="shared" si="656"/>
        <v>4750</v>
      </c>
      <c r="Q6995">
        <f t="shared" si="660"/>
        <v>4750</v>
      </c>
      <c r="T6995" s="16">
        <f t="shared" si="661"/>
        <v>9.8635680476744619E-2</v>
      </c>
    </row>
    <row r="6996" spans="7:20" ht="14.4" x14ac:dyDescent="0.25">
      <c r="G6996" s="10">
        <v>4438</v>
      </c>
      <c r="H6996" s="9">
        <v>31619</v>
      </c>
      <c r="I6996" s="14">
        <f>DATE(2012,12,31)-1201</f>
        <v>40073</v>
      </c>
      <c r="J6996" s="15" t="s">
        <v>25</v>
      </c>
      <c r="K6996" s="9">
        <v>11</v>
      </c>
      <c r="L6996" s="16" t="s">
        <v>26</v>
      </c>
      <c r="M6996" s="16">
        <f t="shared" si="657"/>
        <v>-1.0063207454307979</v>
      </c>
      <c r="N6996">
        <f t="shared" si="658"/>
        <v>0</v>
      </c>
      <c r="O6996">
        <f t="shared" si="659"/>
        <v>0</v>
      </c>
      <c r="P6996">
        <f t="shared" si="656"/>
        <v>3950</v>
      </c>
      <c r="Q6996">
        <f t="shared" si="660"/>
        <v>3950</v>
      </c>
      <c r="T6996" s="16">
        <f t="shared" si="661"/>
        <v>-1.0063207454307983</v>
      </c>
    </row>
    <row r="6997" spans="7:20" ht="14.4" x14ac:dyDescent="0.25">
      <c r="G6997" s="10">
        <v>4439</v>
      </c>
      <c r="H6997" s="9">
        <v>31619</v>
      </c>
      <c r="I6997" s="14">
        <f>DATE(2012,12,31)-1201</f>
        <v>40073</v>
      </c>
      <c r="J6997" s="15" t="s">
        <v>25</v>
      </c>
      <c r="K6997" s="9">
        <v>9</v>
      </c>
      <c r="L6997" s="16" t="s">
        <v>29</v>
      </c>
      <c r="M6997" s="16">
        <f t="shared" si="657"/>
        <v>-1.1444402986692408</v>
      </c>
      <c r="N6997">
        <f t="shared" si="658"/>
        <v>0</v>
      </c>
      <c r="O6997">
        <f t="shared" si="659"/>
        <v>0</v>
      </c>
      <c r="P6997">
        <f t="shared" si="656"/>
        <v>3850</v>
      </c>
      <c r="Q6997">
        <f t="shared" si="660"/>
        <v>3850</v>
      </c>
      <c r="T6997" s="16">
        <f t="shared" si="661"/>
        <v>-1.1444402986692412</v>
      </c>
    </row>
    <row r="6998" spans="7:20" ht="14.4" x14ac:dyDescent="0.25">
      <c r="G6998" s="10">
        <v>4450</v>
      </c>
      <c r="H6998" s="9">
        <v>31715</v>
      </c>
      <c r="I6998" s="14">
        <f>DATE(2012,12,31)-1452</f>
        <v>39822</v>
      </c>
      <c r="J6998" s="15" t="s">
        <v>28</v>
      </c>
      <c r="K6998" s="9">
        <v>11</v>
      </c>
      <c r="L6998" s="16" t="s">
        <v>26</v>
      </c>
      <c r="M6998" s="16">
        <f t="shared" si="657"/>
        <v>-1.0063207454307979</v>
      </c>
      <c r="N6998">
        <f t="shared" si="658"/>
        <v>0</v>
      </c>
      <c r="O6998">
        <f t="shared" si="659"/>
        <v>0</v>
      </c>
      <c r="P6998">
        <f t="shared" si="656"/>
        <v>3950</v>
      </c>
      <c r="Q6998">
        <f t="shared" si="660"/>
        <v>3950</v>
      </c>
      <c r="T6998" s="16">
        <f t="shared" si="661"/>
        <v>-1.0063207454307983</v>
      </c>
    </row>
    <row r="6999" spans="7:20" ht="14.4" x14ac:dyDescent="0.25">
      <c r="G6999" s="10">
        <v>4451</v>
      </c>
      <c r="H6999" s="9">
        <v>31715</v>
      </c>
      <c r="I6999" s="14">
        <f>DATE(2012,12,31)-1452</f>
        <v>39822</v>
      </c>
      <c r="J6999" s="15" t="s">
        <v>28</v>
      </c>
      <c r="K6999" s="9">
        <v>44</v>
      </c>
      <c r="L6999" s="16" t="s">
        <v>26</v>
      </c>
      <c r="M6999" s="16">
        <f t="shared" si="657"/>
        <v>1.2726518830035094</v>
      </c>
      <c r="N6999">
        <f t="shared" si="658"/>
        <v>0</v>
      </c>
      <c r="O6999">
        <f t="shared" si="659"/>
        <v>0</v>
      </c>
      <c r="P6999">
        <f t="shared" si="656"/>
        <v>5600</v>
      </c>
      <c r="Q6999">
        <f t="shared" si="660"/>
        <v>5600</v>
      </c>
      <c r="T6999" s="16">
        <f t="shared" si="661"/>
        <v>1.272651883003509</v>
      </c>
    </row>
    <row r="7000" spans="7:20" ht="14.4" x14ac:dyDescent="0.25">
      <c r="G7000" s="10">
        <v>4509</v>
      </c>
      <c r="H7000" s="9">
        <v>32099</v>
      </c>
      <c r="I7000" s="14">
        <f>DATE(2012,12,31)-971</f>
        <v>40303</v>
      </c>
      <c r="J7000" s="15" t="s">
        <v>28</v>
      </c>
      <c r="K7000" s="9">
        <v>41</v>
      </c>
      <c r="L7000" s="16" t="s">
        <v>26</v>
      </c>
      <c r="M7000" s="16">
        <f t="shared" si="657"/>
        <v>1.0654725531458451</v>
      </c>
      <c r="N7000">
        <f t="shared" si="658"/>
        <v>0</v>
      </c>
      <c r="O7000">
        <f t="shared" si="659"/>
        <v>0</v>
      </c>
      <c r="P7000">
        <f t="shared" si="656"/>
        <v>5450</v>
      </c>
      <c r="Q7000">
        <f t="shared" si="660"/>
        <v>5450</v>
      </c>
      <c r="T7000" s="16">
        <f t="shared" si="661"/>
        <v>1.0654725531458447</v>
      </c>
    </row>
    <row r="7001" spans="7:20" ht="14.4" x14ac:dyDescent="0.25">
      <c r="G7001" s="10">
        <v>4513</v>
      </c>
      <c r="H7001" s="9">
        <v>32129</v>
      </c>
      <c r="I7001" s="14">
        <f>DATE(2012,12,31)-548</f>
        <v>40726</v>
      </c>
      <c r="J7001" s="15" t="s">
        <v>30</v>
      </c>
      <c r="K7001" s="9">
        <v>20</v>
      </c>
      <c r="L7001" s="16" t="s">
        <v>26</v>
      </c>
      <c r="M7001" s="16">
        <f t="shared" si="657"/>
        <v>-0.38478275585780503</v>
      </c>
      <c r="N7001">
        <f t="shared" si="658"/>
        <v>0</v>
      </c>
      <c r="O7001">
        <f t="shared" si="659"/>
        <v>0</v>
      </c>
      <c r="P7001">
        <f t="shared" si="656"/>
        <v>4400</v>
      </c>
      <c r="Q7001">
        <f t="shared" si="660"/>
        <v>4400</v>
      </c>
      <c r="T7001" s="16">
        <f t="shared" si="661"/>
        <v>-0.38478275585780541</v>
      </c>
    </row>
    <row r="7002" spans="7:20" ht="14.4" x14ac:dyDescent="0.25">
      <c r="G7002" s="10">
        <v>4514</v>
      </c>
      <c r="H7002" s="9">
        <v>32129</v>
      </c>
      <c r="I7002" s="14">
        <f>DATE(2012,12,31)-548</f>
        <v>40726</v>
      </c>
      <c r="J7002" s="15" t="s">
        <v>30</v>
      </c>
      <c r="K7002" s="9">
        <v>4</v>
      </c>
      <c r="L7002" s="16" t="s">
        <v>27</v>
      </c>
      <c r="M7002" s="16">
        <f t="shared" si="657"/>
        <v>-1.489739181765348</v>
      </c>
      <c r="N7002">
        <f t="shared" si="658"/>
        <v>0</v>
      </c>
      <c r="O7002">
        <f t="shared" si="659"/>
        <v>0</v>
      </c>
      <c r="P7002">
        <f t="shared" si="656"/>
        <v>3600</v>
      </c>
      <c r="Q7002">
        <f t="shared" si="660"/>
        <v>3600</v>
      </c>
      <c r="T7002" s="16">
        <f t="shared" si="661"/>
        <v>-1.4897391817653485</v>
      </c>
    </row>
    <row r="7003" spans="7:20" ht="14.4" x14ac:dyDescent="0.25">
      <c r="G7003" s="10">
        <v>4536</v>
      </c>
      <c r="H7003" s="9">
        <v>32291</v>
      </c>
      <c r="I7003" s="14">
        <f>DATE(2012,12,31)-1152</f>
        <v>40122</v>
      </c>
      <c r="J7003" s="15" t="s">
        <v>16</v>
      </c>
      <c r="K7003" s="9">
        <v>13</v>
      </c>
      <c r="L7003" s="16" t="s">
        <v>29</v>
      </c>
      <c r="M7003" s="16">
        <f t="shared" si="657"/>
        <v>-0.86820119219235514</v>
      </c>
      <c r="N7003">
        <f t="shared" si="658"/>
        <v>0</v>
      </c>
      <c r="O7003">
        <f t="shared" si="659"/>
        <v>0</v>
      </c>
      <c r="P7003">
        <f t="shared" si="656"/>
        <v>4050</v>
      </c>
      <c r="Q7003">
        <f t="shared" si="660"/>
        <v>4050</v>
      </c>
      <c r="T7003" s="16">
        <f t="shared" si="661"/>
        <v>-0.86820119219235548</v>
      </c>
    </row>
    <row r="7004" spans="7:20" ht="14.4" x14ac:dyDescent="0.25">
      <c r="G7004" s="10">
        <v>4537</v>
      </c>
      <c r="H7004" s="9">
        <v>32291</v>
      </c>
      <c r="I7004" s="14">
        <f>DATE(2012,12,31)-1152</f>
        <v>40122</v>
      </c>
      <c r="J7004" s="15" t="s">
        <v>16</v>
      </c>
      <c r="K7004" s="9">
        <v>4</v>
      </c>
      <c r="L7004" s="16" t="s">
        <v>26</v>
      </c>
      <c r="M7004" s="16">
        <f t="shared" si="657"/>
        <v>-1.489739181765348</v>
      </c>
      <c r="N7004">
        <f t="shared" si="658"/>
        <v>0</v>
      </c>
      <c r="O7004">
        <f t="shared" si="659"/>
        <v>0</v>
      </c>
      <c r="P7004">
        <f t="shared" si="656"/>
        <v>3600</v>
      </c>
      <c r="Q7004">
        <f t="shared" si="660"/>
        <v>3600</v>
      </c>
      <c r="T7004" s="16">
        <f t="shared" si="661"/>
        <v>-1.4897391817653485</v>
      </c>
    </row>
    <row r="7005" spans="7:20" ht="14.4" x14ac:dyDescent="0.25">
      <c r="G7005" s="10">
        <v>4622</v>
      </c>
      <c r="H7005" s="9">
        <v>32902</v>
      </c>
      <c r="I7005" s="14">
        <f>DATE(2012,12,31)-303</f>
        <v>40971</v>
      </c>
      <c r="J7005" s="15" t="s">
        <v>17</v>
      </c>
      <c r="K7005" s="9">
        <v>23</v>
      </c>
      <c r="L7005" s="16" t="s">
        <v>26</v>
      </c>
      <c r="M7005" s="16">
        <f t="shared" si="657"/>
        <v>-0.17760342600014073</v>
      </c>
      <c r="N7005">
        <f t="shared" si="658"/>
        <v>0</v>
      </c>
      <c r="O7005">
        <f t="shared" si="659"/>
        <v>0</v>
      </c>
      <c r="P7005">
        <f t="shared" si="656"/>
        <v>4550</v>
      </c>
      <c r="Q7005">
        <f t="shared" si="660"/>
        <v>4550</v>
      </c>
      <c r="T7005" s="16">
        <f t="shared" si="661"/>
        <v>-0.17760342600014112</v>
      </c>
    </row>
    <row r="7006" spans="7:20" ht="14.4" x14ac:dyDescent="0.25">
      <c r="G7006" s="10">
        <v>4623</v>
      </c>
      <c r="H7006" s="9">
        <v>32902</v>
      </c>
      <c r="I7006" s="14">
        <f>DATE(2012,12,31)-303</f>
        <v>40971</v>
      </c>
      <c r="J7006" s="15" t="s">
        <v>17</v>
      </c>
      <c r="K7006" s="9">
        <v>8</v>
      </c>
      <c r="L7006" s="16" t="s">
        <v>26</v>
      </c>
      <c r="M7006" s="16">
        <f t="shared" si="657"/>
        <v>-1.2135000752884624</v>
      </c>
      <c r="N7006">
        <f t="shared" si="658"/>
        <v>0</v>
      </c>
      <c r="O7006">
        <f t="shared" si="659"/>
        <v>0</v>
      </c>
      <c r="P7006">
        <f t="shared" si="656"/>
        <v>3800</v>
      </c>
      <c r="Q7006">
        <f t="shared" si="660"/>
        <v>3800</v>
      </c>
      <c r="T7006" s="16">
        <f t="shared" si="661"/>
        <v>-1.2135000752884626</v>
      </c>
    </row>
    <row r="7007" spans="7:20" ht="14.4" x14ac:dyDescent="0.25">
      <c r="G7007" s="10">
        <v>4629</v>
      </c>
      <c r="H7007" s="9">
        <v>32932</v>
      </c>
      <c r="I7007" s="14">
        <f>DATE(2012,12,31)-1087</f>
        <v>40187</v>
      </c>
      <c r="J7007" s="15" t="s">
        <v>25</v>
      </c>
      <c r="K7007" s="9">
        <v>49</v>
      </c>
      <c r="L7007" s="16" t="s">
        <v>27</v>
      </c>
      <c r="M7007" s="16">
        <f t="shared" si="657"/>
        <v>1.6179507660996166</v>
      </c>
      <c r="N7007">
        <f t="shared" si="658"/>
        <v>0</v>
      </c>
      <c r="O7007">
        <f t="shared" si="659"/>
        <v>0</v>
      </c>
      <c r="P7007">
        <f t="shared" si="656"/>
        <v>5850</v>
      </c>
      <c r="Q7007">
        <f t="shared" si="660"/>
        <v>5850</v>
      </c>
      <c r="T7007" s="16">
        <f t="shared" si="661"/>
        <v>1.6179507660996162</v>
      </c>
    </row>
    <row r="7008" spans="7:20" ht="14.4" x14ac:dyDescent="0.25">
      <c r="G7008" s="10">
        <v>4648</v>
      </c>
      <c r="H7008" s="9">
        <v>33095</v>
      </c>
      <c r="I7008" s="14">
        <f>DATE(2012,12,31)-1415</f>
        <v>39859</v>
      </c>
      <c r="J7008" s="15" t="s">
        <v>28</v>
      </c>
      <c r="K7008" s="9">
        <v>30</v>
      </c>
      <c r="L7008" s="16" t="s">
        <v>27</v>
      </c>
      <c r="M7008" s="16">
        <f t="shared" si="657"/>
        <v>0.30581501033440933</v>
      </c>
      <c r="N7008">
        <f t="shared" si="658"/>
        <v>0</v>
      </c>
      <c r="O7008">
        <f t="shared" si="659"/>
        <v>0</v>
      </c>
      <c r="P7008">
        <f t="shared" si="656"/>
        <v>4900</v>
      </c>
      <c r="Q7008">
        <f t="shared" si="660"/>
        <v>4900</v>
      </c>
      <c r="T7008" s="16">
        <f t="shared" si="661"/>
        <v>0.30581501033440894</v>
      </c>
    </row>
    <row r="7009" spans="7:20" ht="14.4" x14ac:dyDescent="0.25">
      <c r="G7009" s="10">
        <v>4649</v>
      </c>
      <c r="H7009" s="9">
        <v>33095</v>
      </c>
      <c r="I7009" s="14">
        <f>DATE(2012,12,31)-1415</f>
        <v>39859</v>
      </c>
      <c r="J7009" s="15" t="s">
        <v>28</v>
      </c>
      <c r="K7009" s="9">
        <v>34</v>
      </c>
      <c r="L7009" s="16" t="s">
        <v>29</v>
      </c>
      <c r="M7009" s="16">
        <f t="shared" si="657"/>
        <v>0.58205411681129504</v>
      </c>
      <c r="N7009">
        <f t="shared" si="658"/>
        <v>0</v>
      </c>
      <c r="O7009">
        <f t="shared" si="659"/>
        <v>0</v>
      </c>
      <c r="P7009">
        <f t="shared" si="656"/>
        <v>5100</v>
      </c>
      <c r="Q7009">
        <f t="shared" si="660"/>
        <v>5100</v>
      </c>
      <c r="T7009" s="16">
        <f t="shared" si="661"/>
        <v>0.58205411681129471</v>
      </c>
    </row>
    <row r="7010" spans="7:20" ht="14.4" x14ac:dyDescent="0.25">
      <c r="G7010" s="10">
        <v>4652</v>
      </c>
      <c r="H7010" s="9">
        <v>33126</v>
      </c>
      <c r="I7010" s="14">
        <f>DATE(2012,12,31)-415</f>
        <v>40859</v>
      </c>
      <c r="J7010" s="15" t="s">
        <v>30</v>
      </c>
      <c r="K7010" s="9">
        <v>46</v>
      </c>
      <c r="L7010" s="16" t="s">
        <v>29</v>
      </c>
      <c r="M7010" s="16">
        <f t="shared" si="657"/>
        <v>1.4107714362419523</v>
      </c>
      <c r="N7010">
        <f t="shared" si="658"/>
        <v>0</v>
      </c>
      <c r="O7010">
        <f t="shared" si="659"/>
        <v>0</v>
      </c>
      <c r="P7010">
        <f t="shared" si="656"/>
        <v>5700</v>
      </c>
      <c r="Q7010">
        <f t="shared" si="660"/>
        <v>5700</v>
      </c>
      <c r="T7010" s="16">
        <f t="shared" si="661"/>
        <v>1.4107714362419519</v>
      </c>
    </row>
    <row r="7011" spans="7:20" ht="14.4" x14ac:dyDescent="0.25">
      <c r="G7011" s="10">
        <v>4653</v>
      </c>
      <c r="H7011" s="9">
        <v>33126</v>
      </c>
      <c r="I7011" s="14">
        <f>DATE(2012,12,31)-415</f>
        <v>40859</v>
      </c>
      <c r="J7011" s="15" t="s">
        <v>30</v>
      </c>
      <c r="K7011" s="9">
        <v>28</v>
      </c>
      <c r="L7011" s="16" t="s">
        <v>26</v>
      </c>
      <c r="M7011" s="16">
        <f t="shared" si="657"/>
        <v>0.16769545709596645</v>
      </c>
      <c r="N7011">
        <f t="shared" si="658"/>
        <v>0</v>
      </c>
      <c r="O7011">
        <f t="shared" si="659"/>
        <v>0</v>
      </c>
      <c r="P7011">
        <f t="shared" si="656"/>
        <v>4800</v>
      </c>
      <c r="Q7011">
        <f t="shared" si="660"/>
        <v>4800</v>
      </c>
      <c r="T7011" s="16">
        <f t="shared" si="661"/>
        <v>0.16769545709596606</v>
      </c>
    </row>
    <row r="7012" spans="7:20" ht="14.4" x14ac:dyDescent="0.25">
      <c r="G7012" s="10">
        <v>4669</v>
      </c>
      <c r="H7012" s="9">
        <v>33222</v>
      </c>
      <c r="I7012" s="14">
        <f>DATE(2012,12,31)-195</f>
        <v>41079</v>
      </c>
      <c r="J7012" s="15" t="s">
        <v>16</v>
      </c>
      <c r="K7012" s="9">
        <v>18</v>
      </c>
      <c r="L7012" s="16" t="s">
        <v>26</v>
      </c>
      <c r="M7012" s="16">
        <f t="shared" si="657"/>
        <v>-0.52290230909624791</v>
      </c>
      <c r="N7012">
        <f t="shared" si="658"/>
        <v>0</v>
      </c>
      <c r="O7012">
        <f t="shared" si="659"/>
        <v>0</v>
      </c>
      <c r="P7012">
        <f t="shared" si="656"/>
        <v>4300</v>
      </c>
      <c r="Q7012">
        <f t="shared" si="660"/>
        <v>4300</v>
      </c>
      <c r="T7012" s="16">
        <f t="shared" si="661"/>
        <v>-0.52290230909624835</v>
      </c>
    </row>
    <row r="7013" spans="7:20" ht="14.4" x14ac:dyDescent="0.25">
      <c r="G7013" s="10">
        <v>4670</v>
      </c>
      <c r="H7013" s="9">
        <v>33222</v>
      </c>
      <c r="I7013" s="14">
        <f>DATE(2012,12,31)-195</f>
        <v>41079</v>
      </c>
      <c r="J7013" s="15" t="s">
        <v>16</v>
      </c>
      <c r="K7013" s="9">
        <v>30</v>
      </c>
      <c r="L7013" s="16" t="s">
        <v>29</v>
      </c>
      <c r="M7013" s="16">
        <f t="shared" si="657"/>
        <v>0.30581501033440933</v>
      </c>
      <c r="N7013">
        <f t="shared" si="658"/>
        <v>0</v>
      </c>
      <c r="O7013">
        <f t="shared" si="659"/>
        <v>0</v>
      </c>
      <c r="P7013">
        <f t="shared" si="656"/>
        <v>4900</v>
      </c>
      <c r="Q7013">
        <f t="shared" si="660"/>
        <v>4900</v>
      </c>
      <c r="T7013" s="16">
        <f t="shared" si="661"/>
        <v>0.30581501033440894</v>
      </c>
    </row>
    <row r="7014" spans="7:20" ht="14.4" x14ac:dyDescent="0.25">
      <c r="G7014" s="10">
        <v>4671</v>
      </c>
      <c r="H7014" s="9">
        <v>33222</v>
      </c>
      <c r="I7014" s="14">
        <f>DATE(2012,12,31)-195</f>
        <v>41079</v>
      </c>
      <c r="J7014" s="15" t="s">
        <v>16</v>
      </c>
      <c r="K7014" s="9">
        <v>48</v>
      </c>
      <c r="L7014" s="16" t="s">
        <v>26</v>
      </c>
      <c r="M7014" s="16">
        <f t="shared" si="657"/>
        <v>1.5488909894803951</v>
      </c>
      <c r="N7014">
        <f t="shared" si="658"/>
        <v>0</v>
      </c>
      <c r="O7014">
        <f t="shared" si="659"/>
        <v>0</v>
      </c>
      <c r="P7014">
        <f t="shared" si="656"/>
        <v>5800</v>
      </c>
      <c r="Q7014">
        <f t="shared" si="660"/>
        <v>5800</v>
      </c>
      <c r="T7014" s="16">
        <f t="shared" si="661"/>
        <v>1.5488909894803948</v>
      </c>
    </row>
    <row r="7015" spans="7:20" ht="14.4" x14ac:dyDescent="0.25">
      <c r="G7015" s="10">
        <v>4681</v>
      </c>
      <c r="H7015" s="9">
        <v>33317</v>
      </c>
      <c r="I7015" s="14">
        <f>DATE(2012,12,31)-1330</f>
        <v>39944</v>
      </c>
      <c r="J7015" s="15" t="s">
        <v>17</v>
      </c>
      <c r="K7015" s="9">
        <v>35</v>
      </c>
      <c r="L7015" s="16" t="s">
        <v>26</v>
      </c>
      <c r="M7015" s="16">
        <f t="shared" si="657"/>
        <v>0.65111389343051651</v>
      </c>
      <c r="N7015">
        <f t="shared" si="658"/>
        <v>0</v>
      </c>
      <c r="O7015">
        <f t="shared" si="659"/>
        <v>0</v>
      </c>
      <c r="P7015">
        <f t="shared" si="656"/>
        <v>5150</v>
      </c>
      <c r="Q7015">
        <f t="shared" si="660"/>
        <v>5150</v>
      </c>
      <c r="T7015" s="16">
        <f t="shared" si="661"/>
        <v>0.65111389343051607</v>
      </c>
    </row>
    <row r="7016" spans="7:20" ht="14.4" x14ac:dyDescent="0.25">
      <c r="G7016" s="10">
        <v>4682</v>
      </c>
      <c r="H7016" s="9">
        <v>33317</v>
      </c>
      <c r="I7016" s="14">
        <f>DATE(2012,12,31)-1330</f>
        <v>39944</v>
      </c>
      <c r="J7016" s="15" t="s">
        <v>17</v>
      </c>
      <c r="K7016" s="9">
        <v>18</v>
      </c>
      <c r="L7016" s="16" t="s">
        <v>26</v>
      </c>
      <c r="M7016" s="16">
        <f t="shared" si="657"/>
        <v>-0.52290230909624791</v>
      </c>
      <c r="N7016">
        <f t="shared" si="658"/>
        <v>0</v>
      </c>
      <c r="O7016">
        <f t="shared" si="659"/>
        <v>0</v>
      </c>
      <c r="P7016">
        <f t="shared" si="656"/>
        <v>4300</v>
      </c>
      <c r="Q7016">
        <f t="shared" si="660"/>
        <v>4300</v>
      </c>
      <c r="T7016" s="16">
        <f t="shared" si="661"/>
        <v>-0.52290230909624835</v>
      </c>
    </row>
    <row r="7017" spans="7:20" ht="14.4" x14ac:dyDescent="0.25">
      <c r="G7017" s="10">
        <v>4683</v>
      </c>
      <c r="H7017" s="9">
        <v>33317</v>
      </c>
      <c r="I7017" s="14">
        <f>DATE(2012,12,31)-1330</f>
        <v>39944</v>
      </c>
      <c r="J7017" s="15" t="s">
        <v>17</v>
      </c>
      <c r="K7017" s="9">
        <v>5</v>
      </c>
      <c r="L7017" s="16" t="s">
        <v>26</v>
      </c>
      <c r="M7017" s="16">
        <f t="shared" si="657"/>
        <v>-1.4206794051461267</v>
      </c>
      <c r="N7017">
        <f t="shared" si="658"/>
        <v>0</v>
      </c>
      <c r="O7017">
        <f t="shared" si="659"/>
        <v>0</v>
      </c>
      <c r="P7017">
        <f t="shared" si="656"/>
        <v>3650</v>
      </c>
      <c r="Q7017">
        <f t="shared" si="660"/>
        <v>3650</v>
      </c>
      <c r="T7017" s="16">
        <f t="shared" si="661"/>
        <v>-1.4206794051461269</v>
      </c>
    </row>
    <row r="7018" spans="7:20" ht="14.4" x14ac:dyDescent="0.25">
      <c r="G7018" s="10">
        <v>4684</v>
      </c>
      <c r="H7018" s="9">
        <v>33317</v>
      </c>
      <c r="I7018" s="14">
        <f>DATE(2012,12,31)-1330</f>
        <v>39944</v>
      </c>
      <c r="J7018" s="15" t="s">
        <v>17</v>
      </c>
      <c r="K7018" s="9">
        <v>13</v>
      </c>
      <c r="L7018" s="16" t="s">
        <v>27</v>
      </c>
      <c r="M7018" s="16">
        <f t="shared" si="657"/>
        <v>-0.86820119219235514</v>
      </c>
      <c r="N7018">
        <f t="shared" si="658"/>
        <v>0</v>
      </c>
      <c r="O7018">
        <f t="shared" si="659"/>
        <v>0</v>
      </c>
      <c r="P7018">
        <f t="shared" si="656"/>
        <v>4050</v>
      </c>
      <c r="Q7018">
        <f t="shared" si="660"/>
        <v>4050</v>
      </c>
      <c r="T7018" s="16">
        <f t="shared" si="661"/>
        <v>-0.86820119219235548</v>
      </c>
    </row>
    <row r="7019" spans="7:20" ht="14.4" x14ac:dyDescent="0.25">
      <c r="G7019" s="10">
        <v>4693</v>
      </c>
      <c r="H7019" s="9">
        <v>33445</v>
      </c>
      <c r="I7019" s="14">
        <f>DATE(2012,12,31)-151</f>
        <v>41123</v>
      </c>
      <c r="J7019" s="15" t="s">
        <v>25</v>
      </c>
      <c r="K7019" s="9">
        <v>18</v>
      </c>
      <c r="L7019" s="16" t="s">
        <v>29</v>
      </c>
      <c r="M7019" s="16">
        <f t="shared" si="657"/>
        <v>-0.52290230909624791</v>
      </c>
      <c r="N7019">
        <f t="shared" si="658"/>
        <v>0</v>
      </c>
      <c r="O7019">
        <f t="shared" si="659"/>
        <v>0</v>
      </c>
      <c r="P7019">
        <f t="shared" si="656"/>
        <v>4300</v>
      </c>
      <c r="Q7019">
        <f t="shared" si="660"/>
        <v>4300</v>
      </c>
      <c r="T7019" s="16">
        <f t="shared" si="661"/>
        <v>-0.52290230909624835</v>
      </c>
    </row>
    <row r="7020" spans="7:20" ht="14.4" x14ac:dyDescent="0.25">
      <c r="G7020" s="10">
        <v>4694</v>
      </c>
      <c r="H7020" s="9">
        <v>33445</v>
      </c>
      <c r="I7020" s="14">
        <f>DATE(2012,12,31)-151</f>
        <v>41123</v>
      </c>
      <c r="J7020" s="15" t="s">
        <v>25</v>
      </c>
      <c r="K7020" s="9">
        <v>49</v>
      </c>
      <c r="L7020" s="16" t="s">
        <v>29</v>
      </c>
      <c r="M7020" s="16">
        <f t="shared" si="657"/>
        <v>1.6179507660996166</v>
      </c>
      <c r="N7020">
        <f t="shared" si="658"/>
        <v>0</v>
      </c>
      <c r="O7020">
        <f t="shared" si="659"/>
        <v>0</v>
      </c>
      <c r="P7020">
        <f t="shared" si="656"/>
        <v>5850</v>
      </c>
      <c r="Q7020">
        <f t="shared" si="660"/>
        <v>5850</v>
      </c>
      <c r="T7020" s="16">
        <f t="shared" si="661"/>
        <v>1.6179507660996162</v>
      </c>
    </row>
    <row r="7021" spans="7:20" ht="14.4" x14ac:dyDescent="0.25">
      <c r="G7021" s="10">
        <v>4695</v>
      </c>
      <c r="H7021" s="9">
        <v>33445</v>
      </c>
      <c r="I7021" s="14">
        <f>DATE(2012,12,31)-151</f>
        <v>41123</v>
      </c>
      <c r="J7021" s="15" t="s">
        <v>25</v>
      </c>
      <c r="K7021" s="9">
        <v>16</v>
      </c>
      <c r="L7021" s="16" t="s">
        <v>29</v>
      </c>
      <c r="M7021" s="16">
        <f t="shared" si="657"/>
        <v>-0.66102186233469074</v>
      </c>
      <c r="N7021">
        <f t="shared" si="658"/>
        <v>0</v>
      </c>
      <c r="O7021">
        <f t="shared" si="659"/>
        <v>0</v>
      </c>
      <c r="P7021">
        <f t="shared" si="656"/>
        <v>4200</v>
      </c>
      <c r="Q7021">
        <f t="shared" si="660"/>
        <v>4200</v>
      </c>
      <c r="T7021" s="16">
        <f t="shared" si="661"/>
        <v>-0.66102186233469118</v>
      </c>
    </row>
    <row r="7022" spans="7:20" ht="14.4" x14ac:dyDescent="0.25">
      <c r="G7022" s="10">
        <v>4719</v>
      </c>
      <c r="H7022" s="9">
        <v>33604</v>
      </c>
      <c r="I7022" s="14">
        <f>DATE(2012,12,31)-501</f>
        <v>40773</v>
      </c>
      <c r="J7022" s="15" t="s">
        <v>17</v>
      </c>
      <c r="K7022" s="9">
        <v>10</v>
      </c>
      <c r="L7022" s="16" t="s">
        <v>26</v>
      </c>
      <c r="M7022" s="16">
        <f t="shared" si="657"/>
        <v>-1.0753805220500194</v>
      </c>
      <c r="N7022">
        <f t="shared" si="658"/>
        <v>0</v>
      </c>
      <c r="O7022">
        <f t="shared" si="659"/>
        <v>0</v>
      </c>
      <c r="P7022">
        <f t="shared" si="656"/>
        <v>3900</v>
      </c>
      <c r="Q7022">
        <f t="shared" si="660"/>
        <v>3900</v>
      </c>
      <c r="T7022" s="16">
        <f t="shared" si="661"/>
        <v>-1.0753805220500199</v>
      </c>
    </row>
    <row r="7023" spans="7:20" ht="14.4" x14ac:dyDescent="0.25">
      <c r="G7023" s="10">
        <v>4731</v>
      </c>
      <c r="H7023" s="9">
        <v>33696</v>
      </c>
      <c r="I7023" s="14">
        <f>DATE(2012,12,31)-1334</f>
        <v>39940</v>
      </c>
      <c r="J7023" s="15" t="s">
        <v>17</v>
      </c>
      <c r="K7023" s="9">
        <v>2</v>
      </c>
      <c r="L7023" s="16" t="s">
        <v>27</v>
      </c>
      <c r="M7023" s="16">
        <f t="shared" si="657"/>
        <v>-1.627858735003791</v>
      </c>
      <c r="N7023">
        <f t="shared" si="658"/>
        <v>0</v>
      </c>
      <c r="O7023">
        <f t="shared" si="659"/>
        <v>0</v>
      </c>
      <c r="P7023">
        <f t="shared" si="656"/>
        <v>3500</v>
      </c>
      <c r="Q7023">
        <f t="shared" si="660"/>
        <v>3500</v>
      </c>
      <c r="T7023" s="16">
        <f t="shared" si="661"/>
        <v>-1.6278587350037912</v>
      </c>
    </row>
    <row r="7024" spans="7:20" ht="14.4" x14ac:dyDescent="0.25">
      <c r="G7024" s="10">
        <v>4737</v>
      </c>
      <c r="H7024" s="9">
        <v>33702</v>
      </c>
      <c r="I7024" s="14">
        <f>DATE(2012,12,31)-120</f>
        <v>41154</v>
      </c>
      <c r="J7024" s="15" t="s">
        <v>28</v>
      </c>
      <c r="K7024" s="9">
        <v>14</v>
      </c>
      <c r="L7024" s="16" t="s">
        <v>26</v>
      </c>
      <c r="M7024" s="16">
        <f t="shared" si="657"/>
        <v>-0.79914141557313367</v>
      </c>
      <c r="N7024">
        <f t="shared" si="658"/>
        <v>0</v>
      </c>
      <c r="O7024">
        <f t="shared" si="659"/>
        <v>0</v>
      </c>
      <c r="P7024">
        <f t="shared" si="656"/>
        <v>4100</v>
      </c>
      <c r="Q7024">
        <f t="shared" si="660"/>
        <v>4100</v>
      </c>
      <c r="T7024" s="16">
        <f t="shared" si="661"/>
        <v>-0.79914141557313401</v>
      </c>
    </row>
    <row r="7025" spans="7:20" ht="14.4" x14ac:dyDescent="0.25">
      <c r="G7025" s="10">
        <v>4778</v>
      </c>
      <c r="H7025" s="9">
        <v>33923</v>
      </c>
      <c r="I7025" s="14">
        <f>DATE(2012,12,31)-1454</f>
        <v>39820</v>
      </c>
      <c r="J7025" s="15" t="s">
        <v>25</v>
      </c>
      <c r="K7025" s="9">
        <v>34</v>
      </c>
      <c r="L7025" s="16" t="s">
        <v>27</v>
      </c>
      <c r="M7025" s="16">
        <f t="shared" si="657"/>
        <v>0.58205411681129504</v>
      </c>
      <c r="N7025">
        <f t="shared" si="658"/>
        <v>0</v>
      </c>
      <c r="O7025">
        <f t="shared" si="659"/>
        <v>0</v>
      </c>
      <c r="P7025">
        <f t="shared" si="656"/>
        <v>5100</v>
      </c>
      <c r="Q7025">
        <f t="shared" si="660"/>
        <v>5100</v>
      </c>
      <c r="T7025" s="16">
        <f t="shared" si="661"/>
        <v>0.58205411681129471</v>
      </c>
    </row>
    <row r="7026" spans="7:20" ht="14.4" x14ac:dyDescent="0.25">
      <c r="G7026" s="10">
        <v>4779</v>
      </c>
      <c r="H7026" s="9">
        <v>33924</v>
      </c>
      <c r="I7026" s="14">
        <f>DATE(2012,12,31)-74</f>
        <v>41200</v>
      </c>
      <c r="J7026" s="15" t="s">
        <v>28</v>
      </c>
      <c r="K7026" s="9">
        <v>12</v>
      </c>
      <c r="L7026" s="16" t="s">
        <v>27</v>
      </c>
      <c r="M7026" s="16">
        <f t="shared" si="657"/>
        <v>-0.9372609688115765</v>
      </c>
      <c r="N7026">
        <f t="shared" si="658"/>
        <v>0</v>
      </c>
      <c r="O7026">
        <f t="shared" si="659"/>
        <v>0</v>
      </c>
      <c r="P7026">
        <f t="shared" si="656"/>
        <v>4000</v>
      </c>
      <c r="Q7026">
        <f t="shared" si="660"/>
        <v>4000</v>
      </c>
      <c r="T7026" s="16">
        <f t="shared" si="661"/>
        <v>-0.93726096881157694</v>
      </c>
    </row>
    <row r="7027" spans="7:20" ht="14.4" x14ac:dyDescent="0.25">
      <c r="G7027" s="10">
        <v>4786</v>
      </c>
      <c r="H7027" s="9">
        <v>33987</v>
      </c>
      <c r="I7027" s="14">
        <f>DATE(2012,12,31)-433</f>
        <v>40841</v>
      </c>
      <c r="J7027" s="15" t="s">
        <v>17</v>
      </c>
      <c r="K7027" s="9">
        <v>27</v>
      </c>
      <c r="L7027" s="16" t="s">
        <v>27</v>
      </c>
      <c r="M7027" s="16">
        <f t="shared" si="657"/>
        <v>9.8635680476745008E-2</v>
      </c>
      <c r="N7027">
        <f t="shared" si="658"/>
        <v>0</v>
      </c>
      <c r="O7027">
        <f t="shared" si="659"/>
        <v>0</v>
      </c>
      <c r="P7027">
        <f t="shared" si="656"/>
        <v>4750</v>
      </c>
      <c r="Q7027">
        <f t="shared" si="660"/>
        <v>4750</v>
      </c>
      <c r="T7027" s="16">
        <f t="shared" si="661"/>
        <v>9.8635680476744619E-2</v>
      </c>
    </row>
    <row r="7028" spans="7:20" ht="14.4" x14ac:dyDescent="0.25">
      <c r="G7028" s="10">
        <v>4814</v>
      </c>
      <c r="H7028" s="9">
        <v>34243</v>
      </c>
      <c r="I7028" s="14">
        <f>DATE(2012,12,31)-689</f>
        <v>40585</v>
      </c>
      <c r="J7028" s="15" t="s">
        <v>17</v>
      </c>
      <c r="K7028" s="9">
        <v>10</v>
      </c>
      <c r="L7028" s="16" t="s">
        <v>29</v>
      </c>
      <c r="M7028" s="16">
        <f t="shared" si="657"/>
        <v>-1.0753805220500194</v>
      </c>
      <c r="N7028">
        <f t="shared" si="658"/>
        <v>0</v>
      </c>
      <c r="O7028">
        <f t="shared" si="659"/>
        <v>0</v>
      </c>
      <c r="P7028">
        <f t="shared" si="656"/>
        <v>3900</v>
      </c>
      <c r="Q7028">
        <f t="shared" si="660"/>
        <v>3900</v>
      </c>
      <c r="T7028" s="16">
        <f t="shared" si="661"/>
        <v>-1.0753805220500199</v>
      </c>
    </row>
    <row r="7029" spans="7:20" ht="14.4" x14ac:dyDescent="0.25">
      <c r="G7029" s="10">
        <v>4815</v>
      </c>
      <c r="H7029" s="9">
        <v>34243</v>
      </c>
      <c r="I7029" s="14">
        <f>DATE(2012,12,31)-689</f>
        <v>40585</v>
      </c>
      <c r="J7029" s="15" t="s">
        <v>17</v>
      </c>
      <c r="K7029" s="9">
        <v>40</v>
      </c>
      <c r="L7029" s="16" t="s">
        <v>26</v>
      </c>
      <c r="M7029" s="16">
        <f t="shared" si="657"/>
        <v>0.99641277652662363</v>
      </c>
      <c r="N7029">
        <f t="shared" si="658"/>
        <v>0</v>
      </c>
      <c r="O7029">
        <f t="shared" si="659"/>
        <v>0</v>
      </c>
      <c r="P7029">
        <f t="shared" si="656"/>
        <v>5400</v>
      </c>
      <c r="Q7029">
        <f t="shared" si="660"/>
        <v>5400</v>
      </c>
      <c r="T7029" s="16">
        <f t="shared" si="661"/>
        <v>0.9964127765266233</v>
      </c>
    </row>
    <row r="7030" spans="7:20" ht="14.4" x14ac:dyDescent="0.25">
      <c r="G7030" s="10">
        <v>4816</v>
      </c>
      <c r="H7030" s="9">
        <v>34243</v>
      </c>
      <c r="I7030" s="14">
        <f>DATE(2012,12,31)-689</f>
        <v>40585</v>
      </c>
      <c r="J7030" s="15" t="s">
        <v>17</v>
      </c>
      <c r="K7030" s="9">
        <v>35</v>
      </c>
      <c r="L7030" s="16" t="s">
        <v>26</v>
      </c>
      <c r="M7030" s="16">
        <f t="shared" si="657"/>
        <v>0.65111389343051651</v>
      </c>
      <c r="N7030">
        <f t="shared" si="658"/>
        <v>0</v>
      </c>
      <c r="O7030">
        <f t="shared" si="659"/>
        <v>0</v>
      </c>
      <c r="P7030">
        <f t="shared" si="656"/>
        <v>5150</v>
      </c>
      <c r="Q7030">
        <f t="shared" si="660"/>
        <v>5150</v>
      </c>
      <c r="T7030" s="16">
        <f t="shared" si="661"/>
        <v>0.65111389343051607</v>
      </c>
    </row>
    <row r="7031" spans="7:20" ht="14.4" x14ac:dyDescent="0.25">
      <c r="G7031" s="10">
        <v>4825</v>
      </c>
      <c r="H7031" s="9">
        <v>34279</v>
      </c>
      <c r="I7031" s="14">
        <f>DATE(2012,12,31)-278</f>
        <v>40996</v>
      </c>
      <c r="J7031" s="15" t="s">
        <v>28</v>
      </c>
      <c r="K7031" s="9">
        <v>3</v>
      </c>
      <c r="L7031" s="16" t="s">
        <v>29</v>
      </c>
      <c r="M7031" s="16">
        <f t="shared" si="657"/>
        <v>-1.5587989583845694</v>
      </c>
      <c r="N7031">
        <f t="shared" si="658"/>
        <v>0</v>
      </c>
      <c r="O7031">
        <f t="shared" si="659"/>
        <v>0</v>
      </c>
      <c r="P7031">
        <f t="shared" si="656"/>
        <v>3550</v>
      </c>
      <c r="Q7031">
        <f t="shared" si="660"/>
        <v>3550</v>
      </c>
      <c r="T7031" s="16">
        <f t="shared" si="661"/>
        <v>-1.5587989583845698</v>
      </c>
    </row>
    <row r="7032" spans="7:20" ht="14.4" x14ac:dyDescent="0.25">
      <c r="G7032" s="10">
        <v>4837</v>
      </c>
      <c r="H7032" s="9">
        <v>34406</v>
      </c>
      <c r="I7032" s="14">
        <f>DATE(2012,12,31)-94</f>
        <v>41180</v>
      </c>
      <c r="J7032" s="15" t="s">
        <v>16</v>
      </c>
      <c r="K7032" s="9">
        <v>29</v>
      </c>
      <c r="L7032" s="16" t="s">
        <v>26</v>
      </c>
      <c r="M7032" s="16">
        <f t="shared" si="657"/>
        <v>0.23675523371518786</v>
      </c>
      <c r="N7032">
        <f t="shared" si="658"/>
        <v>0</v>
      </c>
      <c r="O7032">
        <f t="shared" si="659"/>
        <v>0</v>
      </c>
      <c r="P7032">
        <f t="shared" si="656"/>
        <v>4850</v>
      </c>
      <c r="Q7032">
        <f t="shared" si="660"/>
        <v>4850</v>
      </c>
      <c r="T7032" s="16">
        <f t="shared" si="661"/>
        <v>0.2367552337151875</v>
      </c>
    </row>
    <row r="7033" spans="7:20" ht="14.4" x14ac:dyDescent="0.25">
      <c r="G7033" s="10">
        <v>4861</v>
      </c>
      <c r="H7033" s="9">
        <v>34597</v>
      </c>
      <c r="I7033" s="14">
        <f>DATE(2012,12,31)-746</f>
        <v>40528</v>
      </c>
      <c r="J7033" s="15" t="s">
        <v>16</v>
      </c>
      <c r="K7033" s="9">
        <v>8</v>
      </c>
      <c r="L7033" s="16" t="s">
        <v>27</v>
      </c>
      <c r="M7033" s="16">
        <f t="shared" si="657"/>
        <v>-1.2135000752884624</v>
      </c>
      <c r="N7033">
        <f t="shared" si="658"/>
        <v>0</v>
      </c>
      <c r="O7033">
        <f t="shared" si="659"/>
        <v>0</v>
      </c>
      <c r="P7033">
        <f t="shared" si="656"/>
        <v>3800</v>
      </c>
      <c r="Q7033">
        <f t="shared" si="660"/>
        <v>3800</v>
      </c>
      <c r="T7033" s="16">
        <f t="shared" si="661"/>
        <v>-1.2135000752884626</v>
      </c>
    </row>
    <row r="7034" spans="7:20" ht="14.4" x14ac:dyDescent="0.25">
      <c r="G7034" s="10">
        <v>4914</v>
      </c>
      <c r="H7034" s="9">
        <v>34980</v>
      </c>
      <c r="I7034" s="14">
        <f>DATE(2012,12,31)-882</f>
        <v>40392</v>
      </c>
      <c r="J7034" s="15" t="s">
        <v>28</v>
      </c>
      <c r="K7034" s="9">
        <v>7</v>
      </c>
      <c r="L7034" s="16" t="s">
        <v>29</v>
      </c>
      <c r="M7034" s="16">
        <f t="shared" si="657"/>
        <v>-1.2825598519076837</v>
      </c>
      <c r="N7034">
        <f t="shared" si="658"/>
        <v>0</v>
      </c>
      <c r="O7034">
        <f t="shared" si="659"/>
        <v>0</v>
      </c>
      <c r="P7034">
        <f t="shared" si="656"/>
        <v>3750</v>
      </c>
      <c r="Q7034">
        <f t="shared" si="660"/>
        <v>3750</v>
      </c>
      <c r="T7034" s="16">
        <f t="shared" si="661"/>
        <v>-1.2825598519076842</v>
      </c>
    </row>
    <row r="7035" spans="7:20" ht="14.4" x14ac:dyDescent="0.25">
      <c r="G7035" s="10">
        <v>4915</v>
      </c>
      <c r="H7035" s="9">
        <v>34980</v>
      </c>
      <c r="I7035" s="14">
        <f>DATE(2012,12,31)-882</f>
        <v>40392</v>
      </c>
      <c r="J7035" s="15" t="s">
        <v>28</v>
      </c>
      <c r="K7035" s="9">
        <v>25</v>
      </c>
      <c r="L7035" s="16" t="s">
        <v>26</v>
      </c>
      <c r="M7035" s="16">
        <f t="shared" si="657"/>
        <v>-3.9483872761697868E-2</v>
      </c>
      <c r="N7035">
        <f t="shared" si="658"/>
        <v>0</v>
      </c>
      <c r="O7035">
        <f t="shared" si="659"/>
        <v>0</v>
      </c>
      <c r="P7035">
        <f t="shared" si="656"/>
        <v>4650</v>
      </c>
      <c r="Q7035">
        <f t="shared" si="660"/>
        <v>4650</v>
      </c>
      <c r="T7035" s="16">
        <f t="shared" si="661"/>
        <v>-3.9483872761698249E-2</v>
      </c>
    </row>
    <row r="7036" spans="7:20" ht="14.4" x14ac:dyDescent="0.25">
      <c r="G7036" s="10">
        <v>4916</v>
      </c>
      <c r="H7036" s="9">
        <v>34980</v>
      </c>
      <c r="I7036" s="14">
        <f>DATE(2012,12,31)-882</f>
        <v>40392</v>
      </c>
      <c r="J7036" s="15" t="s">
        <v>28</v>
      </c>
      <c r="K7036" s="9">
        <v>12</v>
      </c>
      <c r="L7036" s="16" t="s">
        <v>26</v>
      </c>
      <c r="M7036" s="16">
        <f t="shared" si="657"/>
        <v>-0.9372609688115765</v>
      </c>
      <c r="N7036">
        <f t="shared" si="658"/>
        <v>0</v>
      </c>
      <c r="O7036">
        <f t="shared" si="659"/>
        <v>0</v>
      </c>
      <c r="P7036">
        <f t="shared" si="656"/>
        <v>4000</v>
      </c>
      <c r="Q7036">
        <f t="shared" si="660"/>
        <v>4000</v>
      </c>
      <c r="T7036" s="16">
        <f t="shared" si="661"/>
        <v>-0.93726096881157694</v>
      </c>
    </row>
    <row r="7037" spans="7:20" ht="14.4" x14ac:dyDescent="0.25">
      <c r="G7037" s="10">
        <v>4968</v>
      </c>
      <c r="H7037" s="9">
        <v>35361</v>
      </c>
      <c r="I7037" s="14">
        <f>DATE(2012,12,31)-1365</f>
        <v>39909</v>
      </c>
      <c r="J7037" s="15" t="s">
        <v>16</v>
      </c>
      <c r="K7037" s="9">
        <v>40</v>
      </c>
      <c r="L7037" s="16" t="s">
        <v>26</v>
      </c>
      <c r="M7037" s="16">
        <f t="shared" si="657"/>
        <v>0.99641277652662363</v>
      </c>
      <c r="N7037">
        <f t="shared" si="658"/>
        <v>0</v>
      </c>
      <c r="O7037">
        <f t="shared" si="659"/>
        <v>0</v>
      </c>
      <c r="P7037">
        <f t="shared" si="656"/>
        <v>5400</v>
      </c>
      <c r="Q7037">
        <f t="shared" si="660"/>
        <v>5400</v>
      </c>
      <c r="T7037" s="16">
        <f t="shared" si="661"/>
        <v>0.9964127765266233</v>
      </c>
    </row>
    <row r="7038" spans="7:20" ht="14.4" x14ac:dyDescent="0.25">
      <c r="G7038" s="10">
        <v>4969</v>
      </c>
      <c r="H7038" s="9">
        <v>35361</v>
      </c>
      <c r="I7038" s="14">
        <f>DATE(2012,12,31)-1365</f>
        <v>39909</v>
      </c>
      <c r="J7038" s="15" t="s">
        <v>16</v>
      </c>
      <c r="K7038" s="9">
        <v>37</v>
      </c>
      <c r="L7038" s="16" t="s">
        <v>26</v>
      </c>
      <c r="M7038" s="16">
        <f t="shared" si="657"/>
        <v>0.78923344666895934</v>
      </c>
      <c r="N7038">
        <f t="shared" si="658"/>
        <v>0</v>
      </c>
      <c r="O7038">
        <f t="shared" si="659"/>
        <v>0</v>
      </c>
      <c r="P7038">
        <f t="shared" si="656"/>
        <v>5250</v>
      </c>
      <c r="Q7038">
        <f t="shared" si="660"/>
        <v>5250</v>
      </c>
      <c r="T7038" s="16">
        <f t="shared" si="661"/>
        <v>0.789233446668959</v>
      </c>
    </row>
    <row r="7039" spans="7:20" ht="14.4" x14ac:dyDescent="0.25">
      <c r="G7039" s="10">
        <v>4998</v>
      </c>
      <c r="H7039" s="9">
        <v>35587</v>
      </c>
      <c r="I7039" s="14">
        <f>DATE(2012,12,31)-417</f>
        <v>40857</v>
      </c>
      <c r="J7039" s="15" t="s">
        <v>30</v>
      </c>
      <c r="K7039" s="9">
        <v>43</v>
      </c>
      <c r="L7039" s="16" t="s">
        <v>29</v>
      </c>
      <c r="M7039" s="16">
        <f t="shared" si="657"/>
        <v>1.203592106384288</v>
      </c>
      <c r="N7039">
        <f t="shared" si="658"/>
        <v>0</v>
      </c>
      <c r="O7039">
        <f t="shared" si="659"/>
        <v>0</v>
      </c>
      <c r="P7039">
        <f t="shared" si="656"/>
        <v>5550</v>
      </c>
      <c r="Q7039">
        <f t="shared" si="660"/>
        <v>5550</v>
      </c>
      <c r="T7039" s="16">
        <f t="shared" si="661"/>
        <v>1.2035921063842876</v>
      </c>
    </row>
    <row r="7040" spans="7:20" ht="14.4" x14ac:dyDescent="0.25">
      <c r="G7040" s="10">
        <v>5014</v>
      </c>
      <c r="H7040" s="9">
        <v>35780</v>
      </c>
      <c r="I7040" s="14">
        <f>DATE(2012,12,31)-714</f>
        <v>40560</v>
      </c>
      <c r="J7040" s="15" t="s">
        <v>16</v>
      </c>
      <c r="K7040" s="9">
        <v>6</v>
      </c>
      <c r="L7040" s="16" t="s">
        <v>26</v>
      </c>
      <c r="M7040" s="16">
        <f t="shared" si="657"/>
        <v>-1.3516196285269051</v>
      </c>
      <c r="N7040">
        <f t="shared" si="658"/>
        <v>0</v>
      </c>
      <c r="O7040">
        <f t="shared" si="659"/>
        <v>0</v>
      </c>
      <c r="P7040">
        <f t="shared" si="656"/>
        <v>3700</v>
      </c>
      <c r="Q7040">
        <f t="shared" si="660"/>
        <v>3700</v>
      </c>
      <c r="T7040" s="16">
        <f t="shared" si="661"/>
        <v>-1.3516196285269055</v>
      </c>
    </row>
    <row r="7041" spans="7:20" ht="14.4" x14ac:dyDescent="0.25">
      <c r="G7041" s="10">
        <v>5024</v>
      </c>
      <c r="H7041" s="9">
        <v>35814</v>
      </c>
      <c r="I7041" s="14">
        <f>DATE(2012,12,31)-279</f>
        <v>40995</v>
      </c>
      <c r="J7041" s="15" t="s">
        <v>17</v>
      </c>
      <c r="K7041" s="9">
        <v>11</v>
      </c>
      <c r="L7041" s="16" t="s">
        <v>29</v>
      </c>
      <c r="M7041" s="16">
        <f t="shared" si="657"/>
        <v>-1.0063207454307979</v>
      </c>
      <c r="N7041">
        <f t="shared" si="658"/>
        <v>0</v>
      </c>
      <c r="O7041">
        <f t="shared" si="659"/>
        <v>0</v>
      </c>
      <c r="P7041">
        <f t="shared" si="656"/>
        <v>3950</v>
      </c>
      <c r="Q7041">
        <f t="shared" si="660"/>
        <v>3950</v>
      </c>
      <c r="T7041" s="16">
        <f t="shared" si="661"/>
        <v>-1.0063207454307983</v>
      </c>
    </row>
    <row r="7042" spans="7:20" ht="14.4" x14ac:dyDescent="0.25">
      <c r="G7042" s="10">
        <v>5044</v>
      </c>
      <c r="H7042" s="9">
        <v>35938</v>
      </c>
      <c r="I7042" s="14">
        <f>DATE(2012,12,31)-44</f>
        <v>41230</v>
      </c>
      <c r="J7042" s="15" t="s">
        <v>28</v>
      </c>
      <c r="K7042" s="9">
        <v>6</v>
      </c>
      <c r="L7042" s="16" t="s">
        <v>29</v>
      </c>
      <c r="M7042" s="16">
        <f t="shared" si="657"/>
        <v>-1.3516196285269051</v>
      </c>
      <c r="N7042">
        <f t="shared" si="658"/>
        <v>0</v>
      </c>
      <c r="O7042">
        <f t="shared" si="659"/>
        <v>0</v>
      </c>
      <c r="P7042">
        <f t="shared" si="656"/>
        <v>3700</v>
      </c>
      <c r="Q7042">
        <f t="shared" si="660"/>
        <v>3700</v>
      </c>
      <c r="T7042" s="16">
        <f t="shared" si="661"/>
        <v>-1.3516196285269055</v>
      </c>
    </row>
    <row r="7043" spans="7:20" ht="14.4" x14ac:dyDescent="0.25">
      <c r="G7043" s="10">
        <v>5045</v>
      </c>
      <c r="H7043" s="9">
        <v>35938</v>
      </c>
      <c r="I7043" s="14">
        <f>DATE(2012,12,31)-44</f>
        <v>41230</v>
      </c>
      <c r="J7043" s="15" t="s">
        <v>28</v>
      </c>
      <c r="K7043" s="9">
        <v>48</v>
      </c>
      <c r="L7043" s="16" t="s">
        <v>26</v>
      </c>
      <c r="M7043" s="16">
        <f t="shared" si="657"/>
        <v>1.5488909894803951</v>
      </c>
      <c r="N7043">
        <f t="shared" si="658"/>
        <v>0</v>
      </c>
      <c r="O7043">
        <f t="shared" si="659"/>
        <v>0</v>
      </c>
      <c r="P7043">
        <f t="shared" si="656"/>
        <v>5800</v>
      </c>
      <c r="Q7043">
        <f t="shared" si="660"/>
        <v>5800</v>
      </c>
      <c r="T7043" s="16">
        <f t="shared" si="661"/>
        <v>1.5488909894803948</v>
      </c>
    </row>
    <row r="7044" spans="7:20" ht="14.4" x14ac:dyDescent="0.25">
      <c r="G7044" s="10">
        <v>5047</v>
      </c>
      <c r="H7044" s="9">
        <v>35968</v>
      </c>
      <c r="I7044" s="14">
        <f>DATE(2012,12,31)-303</f>
        <v>40971</v>
      </c>
      <c r="J7044" s="15" t="s">
        <v>28</v>
      </c>
      <c r="K7044" s="9">
        <v>21</v>
      </c>
      <c r="L7044" s="16" t="s">
        <v>26</v>
      </c>
      <c r="M7044" s="16">
        <f t="shared" si="657"/>
        <v>-0.31572297923858361</v>
      </c>
      <c r="N7044">
        <f t="shared" si="658"/>
        <v>0</v>
      </c>
      <c r="O7044">
        <f t="shared" si="659"/>
        <v>0</v>
      </c>
      <c r="P7044">
        <f t="shared" si="656"/>
        <v>4450</v>
      </c>
      <c r="Q7044">
        <f t="shared" si="660"/>
        <v>4450</v>
      </c>
      <c r="T7044" s="16">
        <f t="shared" si="661"/>
        <v>-0.315722979238584</v>
      </c>
    </row>
    <row r="7045" spans="7:20" ht="14.4" x14ac:dyDescent="0.25">
      <c r="G7045" s="10">
        <v>5053</v>
      </c>
      <c r="H7045" s="9">
        <v>36033</v>
      </c>
      <c r="I7045" s="14">
        <f>DATE(2012,12,31)-1108</f>
        <v>40166</v>
      </c>
      <c r="J7045" s="15" t="s">
        <v>28</v>
      </c>
      <c r="K7045" s="9">
        <v>15</v>
      </c>
      <c r="L7045" s="16" t="s">
        <v>27</v>
      </c>
      <c r="M7045" s="16">
        <f t="shared" si="657"/>
        <v>-0.7300816389539122</v>
      </c>
      <c r="N7045">
        <f t="shared" si="658"/>
        <v>0</v>
      </c>
      <c r="O7045">
        <f t="shared" si="659"/>
        <v>0</v>
      </c>
      <c r="P7045">
        <f t="shared" si="656"/>
        <v>4150</v>
      </c>
      <c r="Q7045">
        <f t="shared" si="660"/>
        <v>4150</v>
      </c>
      <c r="T7045" s="16">
        <f t="shared" si="661"/>
        <v>-0.73008163895391265</v>
      </c>
    </row>
    <row r="7046" spans="7:20" ht="14.4" x14ac:dyDescent="0.25">
      <c r="G7046" s="10">
        <v>5057</v>
      </c>
      <c r="H7046" s="9">
        <v>36067</v>
      </c>
      <c r="I7046" s="14">
        <f>DATE(2012,12,31)-1276</f>
        <v>39998</v>
      </c>
      <c r="J7046" s="15" t="s">
        <v>17</v>
      </c>
      <c r="K7046" s="9">
        <v>37</v>
      </c>
      <c r="L7046" s="16" t="s">
        <v>26</v>
      </c>
      <c r="M7046" s="16">
        <f t="shared" si="657"/>
        <v>0.78923344666895934</v>
      </c>
      <c r="N7046">
        <f t="shared" si="658"/>
        <v>0</v>
      </c>
      <c r="O7046">
        <f t="shared" si="659"/>
        <v>0</v>
      </c>
      <c r="P7046">
        <f t="shared" si="656"/>
        <v>5250</v>
      </c>
      <c r="Q7046">
        <f t="shared" si="660"/>
        <v>5250</v>
      </c>
      <c r="T7046" s="16">
        <f t="shared" si="661"/>
        <v>0.789233446668959</v>
      </c>
    </row>
    <row r="7047" spans="7:20" ht="14.4" x14ac:dyDescent="0.25">
      <c r="G7047" s="10">
        <v>5071</v>
      </c>
      <c r="H7047" s="9">
        <v>36131</v>
      </c>
      <c r="I7047" s="14">
        <f>DATE(2012,12,31)-1324</f>
        <v>39950</v>
      </c>
      <c r="J7047" s="15" t="s">
        <v>17</v>
      </c>
      <c r="K7047" s="9">
        <v>26</v>
      </c>
      <c r="L7047" s="16" t="s">
        <v>26</v>
      </c>
      <c r="M7047" s="16">
        <f t="shared" si="657"/>
        <v>2.9575903857523567E-2</v>
      </c>
      <c r="N7047">
        <f t="shared" si="658"/>
        <v>0</v>
      </c>
      <c r="O7047">
        <f t="shared" si="659"/>
        <v>0</v>
      </c>
      <c r="P7047">
        <f t="shared" si="656"/>
        <v>4700</v>
      </c>
      <c r="Q7047">
        <f t="shared" si="660"/>
        <v>4700</v>
      </c>
      <c r="T7047" s="16">
        <f t="shared" si="661"/>
        <v>2.9575903857523185E-2</v>
      </c>
    </row>
    <row r="7048" spans="7:20" ht="14.4" x14ac:dyDescent="0.25">
      <c r="G7048" s="10">
        <v>5076</v>
      </c>
      <c r="H7048" s="9">
        <v>36160</v>
      </c>
      <c r="I7048" s="14">
        <f>DATE(2012,12,31)-39</f>
        <v>41235</v>
      </c>
      <c r="J7048" s="15" t="s">
        <v>25</v>
      </c>
      <c r="K7048" s="9">
        <v>12</v>
      </c>
      <c r="L7048" s="16" t="s">
        <v>27</v>
      </c>
      <c r="M7048" s="16">
        <f t="shared" si="657"/>
        <v>-0.9372609688115765</v>
      </c>
      <c r="N7048">
        <f t="shared" si="658"/>
        <v>0</v>
      </c>
      <c r="O7048">
        <f t="shared" si="659"/>
        <v>0</v>
      </c>
      <c r="P7048">
        <f t="shared" si="656"/>
        <v>4000</v>
      </c>
      <c r="Q7048">
        <f t="shared" si="660"/>
        <v>4000</v>
      </c>
      <c r="T7048" s="16">
        <f t="shared" si="661"/>
        <v>-0.93726096881157694</v>
      </c>
    </row>
    <row r="7049" spans="7:20" ht="14.4" x14ac:dyDescent="0.25">
      <c r="G7049" s="10">
        <v>5079</v>
      </c>
      <c r="H7049" s="9">
        <v>36196</v>
      </c>
      <c r="I7049" s="14">
        <f>DATE(2012,12,31)-513</f>
        <v>40761</v>
      </c>
      <c r="J7049" s="15" t="s">
        <v>28</v>
      </c>
      <c r="K7049" s="9">
        <v>7</v>
      </c>
      <c r="L7049" s="16" t="s">
        <v>27</v>
      </c>
      <c r="M7049" s="16">
        <f t="shared" si="657"/>
        <v>-1.2825598519076837</v>
      </c>
      <c r="N7049">
        <f t="shared" si="658"/>
        <v>0</v>
      </c>
      <c r="O7049">
        <f t="shared" si="659"/>
        <v>0</v>
      </c>
      <c r="P7049">
        <f t="shared" si="656"/>
        <v>3750</v>
      </c>
      <c r="Q7049">
        <f t="shared" si="660"/>
        <v>3750</v>
      </c>
      <c r="T7049" s="16">
        <f t="shared" si="661"/>
        <v>-1.2825598519076842</v>
      </c>
    </row>
    <row r="7050" spans="7:20" ht="14.4" x14ac:dyDescent="0.25">
      <c r="G7050" s="10">
        <v>5101</v>
      </c>
      <c r="H7050" s="9">
        <v>36356</v>
      </c>
      <c r="I7050" s="14">
        <f>DATE(2012,12,31)-372</f>
        <v>40902</v>
      </c>
      <c r="J7050" s="15" t="s">
        <v>16</v>
      </c>
      <c r="K7050" s="9">
        <v>45</v>
      </c>
      <c r="L7050" s="16" t="s">
        <v>29</v>
      </c>
      <c r="M7050" s="16">
        <f t="shared" si="657"/>
        <v>1.3417116596227308</v>
      </c>
      <c r="N7050">
        <f t="shared" si="658"/>
        <v>0</v>
      </c>
      <c r="O7050">
        <f t="shared" si="659"/>
        <v>0</v>
      </c>
      <c r="P7050">
        <f t="shared" si="656"/>
        <v>5650</v>
      </c>
      <c r="Q7050">
        <f t="shared" si="660"/>
        <v>5650</v>
      </c>
      <c r="T7050" s="16">
        <f t="shared" si="661"/>
        <v>1.3417116596227305</v>
      </c>
    </row>
    <row r="7051" spans="7:20" ht="14.4" x14ac:dyDescent="0.25">
      <c r="G7051" s="10">
        <v>5102</v>
      </c>
      <c r="H7051" s="9">
        <v>36356</v>
      </c>
      <c r="I7051" s="14">
        <f>DATE(2012,12,31)-372</f>
        <v>40902</v>
      </c>
      <c r="J7051" s="15" t="s">
        <v>16</v>
      </c>
      <c r="K7051" s="9">
        <v>33</v>
      </c>
      <c r="L7051" s="16" t="s">
        <v>26</v>
      </c>
      <c r="M7051" s="16">
        <f t="shared" si="657"/>
        <v>0.51299434019207357</v>
      </c>
      <c r="N7051">
        <f t="shared" si="658"/>
        <v>0</v>
      </c>
      <c r="O7051">
        <f t="shared" si="659"/>
        <v>0</v>
      </c>
      <c r="P7051">
        <f t="shared" si="656"/>
        <v>5050</v>
      </c>
      <c r="Q7051">
        <f t="shared" si="660"/>
        <v>5050</v>
      </c>
      <c r="T7051" s="16">
        <f t="shared" si="661"/>
        <v>0.51299434019207324</v>
      </c>
    </row>
    <row r="7052" spans="7:20" ht="14.4" x14ac:dyDescent="0.25">
      <c r="G7052" s="10">
        <v>5140</v>
      </c>
      <c r="H7052" s="9">
        <v>36647</v>
      </c>
      <c r="I7052" s="14">
        <f>DATE(2012,12,31)-1280</f>
        <v>39994</v>
      </c>
      <c r="J7052" s="15" t="s">
        <v>17</v>
      </c>
      <c r="K7052" s="9">
        <v>21</v>
      </c>
      <c r="L7052" s="16" t="s">
        <v>26</v>
      </c>
      <c r="M7052" s="16">
        <f t="shared" si="657"/>
        <v>-0.31572297923858361</v>
      </c>
      <c r="N7052">
        <f t="shared" si="658"/>
        <v>0</v>
      </c>
      <c r="O7052">
        <f t="shared" si="659"/>
        <v>0</v>
      </c>
      <c r="P7052">
        <f t="shared" ref="P7052:P7115" si="662">50*K7052+$P$10</f>
        <v>4450</v>
      </c>
      <c r="Q7052">
        <f t="shared" si="660"/>
        <v>4450</v>
      </c>
      <c r="T7052" s="16">
        <f t="shared" si="661"/>
        <v>-0.315722979238584</v>
      </c>
    </row>
    <row r="7053" spans="7:20" ht="14.4" x14ac:dyDescent="0.25">
      <c r="G7053" s="10">
        <v>5141</v>
      </c>
      <c r="H7053" s="9">
        <v>36647</v>
      </c>
      <c r="I7053" s="14">
        <f>DATE(2012,12,31)-1280</f>
        <v>39994</v>
      </c>
      <c r="J7053" s="15" t="s">
        <v>17</v>
      </c>
      <c r="K7053" s="9">
        <v>16</v>
      </c>
      <c r="L7053" s="16" t="s">
        <v>26</v>
      </c>
      <c r="M7053" s="16">
        <f t="shared" ref="M7053:M7116" si="663">(K7053-$K$4)/$K$7</f>
        <v>-0.66102186233469074</v>
      </c>
      <c r="N7053">
        <f t="shared" ref="N7053:N7116" si="664">IF(MOD($B$20+G7053,1000)=0,1,0)</f>
        <v>0</v>
      </c>
      <c r="O7053">
        <f t="shared" ref="O7053:O7116" si="665">+ROUND(N7053*(IF(K7053&lt;$K$4,-4.5,10.5)*$P$5),-2)</f>
        <v>0</v>
      </c>
      <c r="P7053">
        <f t="shared" si="662"/>
        <v>4200</v>
      </c>
      <c r="Q7053">
        <f t="shared" ref="Q7053:Q7116" si="666">P7053+O7053</f>
        <v>4200</v>
      </c>
      <c r="T7053" s="16">
        <f t="shared" ref="T7053:T7116" si="667">(Q7053-$P$4)/$P$5</f>
        <v>-0.66102186233469118</v>
      </c>
    </row>
    <row r="7054" spans="7:20" ht="14.4" x14ac:dyDescent="0.25">
      <c r="G7054" s="10">
        <v>5142</v>
      </c>
      <c r="H7054" s="9">
        <v>36647</v>
      </c>
      <c r="I7054" s="14">
        <f>DATE(2012,12,31)-1280</f>
        <v>39994</v>
      </c>
      <c r="J7054" s="15" t="s">
        <v>17</v>
      </c>
      <c r="K7054" s="9">
        <v>18</v>
      </c>
      <c r="L7054" s="16" t="s">
        <v>26</v>
      </c>
      <c r="M7054" s="16">
        <f t="shared" si="663"/>
        <v>-0.52290230909624791</v>
      </c>
      <c r="N7054">
        <f t="shared" si="664"/>
        <v>0</v>
      </c>
      <c r="O7054">
        <f t="shared" si="665"/>
        <v>0</v>
      </c>
      <c r="P7054">
        <f t="shared" si="662"/>
        <v>4300</v>
      </c>
      <c r="Q7054">
        <f t="shared" si="666"/>
        <v>4300</v>
      </c>
      <c r="T7054" s="16">
        <f t="shared" si="667"/>
        <v>-0.52290230909624835</v>
      </c>
    </row>
    <row r="7055" spans="7:20" ht="14.4" x14ac:dyDescent="0.25">
      <c r="G7055" s="10">
        <v>5159</v>
      </c>
      <c r="H7055" s="9">
        <v>36737</v>
      </c>
      <c r="I7055" s="14">
        <f>DATE(2012,12,31)-1022</f>
        <v>40252</v>
      </c>
      <c r="J7055" s="15" t="s">
        <v>28</v>
      </c>
      <c r="K7055" s="9">
        <v>10</v>
      </c>
      <c r="L7055" s="16" t="s">
        <v>27</v>
      </c>
      <c r="M7055" s="16">
        <f t="shared" si="663"/>
        <v>-1.0753805220500194</v>
      </c>
      <c r="N7055">
        <f t="shared" si="664"/>
        <v>0</v>
      </c>
      <c r="O7055">
        <f t="shared" si="665"/>
        <v>0</v>
      </c>
      <c r="P7055">
        <f t="shared" si="662"/>
        <v>3900</v>
      </c>
      <c r="Q7055">
        <f t="shared" si="666"/>
        <v>3900</v>
      </c>
      <c r="T7055" s="16">
        <f t="shared" si="667"/>
        <v>-1.0753805220500199</v>
      </c>
    </row>
    <row r="7056" spans="7:20" ht="14.4" x14ac:dyDescent="0.25">
      <c r="G7056" s="10">
        <v>5160</v>
      </c>
      <c r="H7056" s="9">
        <v>36737</v>
      </c>
      <c r="I7056" s="14">
        <f>DATE(2012,12,31)-1022</f>
        <v>40252</v>
      </c>
      <c r="J7056" s="15" t="s">
        <v>28</v>
      </c>
      <c r="K7056" s="9">
        <v>10</v>
      </c>
      <c r="L7056" s="16" t="s">
        <v>26</v>
      </c>
      <c r="M7056" s="16">
        <f t="shared" si="663"/>
        <v>-1.0753805220500194</v>
      </c>
      <c r="N7056">
        <f t="shared" si="664"/>
        <v>0</v>
      </c>
      <c r="O7056">
        <f t="shared" si="665"/>
        <v>0</v>
      </c>
      <c r="P7056">
        <f t="shared" si="662"/>
        <v>3900</v>
      </c>
      <c r="Q7056">
        <f t="shared" si="666"/>
        <v>3900</v>
      </c>
      <c r="T7056" s="16">
        <f t="shared" si="667"/>
        <v>-1.0753805220500199</v>
      </c>
    </row>
    <row r="7057" spans="7:20" ht="14.4" x14ac:dyDescent="0.25">
      <c r="G7057" s="10">
        <v>5177</v>
      </c>
      <c r="H7057" s="9">
        <v>36832</v>
      </c>
      <c r="I7057" s="14">
        <f>DATE(2012,12,31)-213</f>
        <v>41061</v>
      </c>
      <c r="J7057" s="15" t="s">
        <v>25</v>
      </c>
      <c r="K7057" s="9">
        <v>43</v>
      </c>
      <c r="L7057" s="16" t="s">
        <v>26</v>
      </c>
      <c r="M7057" s="16">
        <f t="shared" si="663"/>
        <v>1.203592106384288</v>
      </c>
      <c r="N7057">
        <f t="shared" si="664"/>
        <v>0</v>
      </c>
      <c r="O7057">
        <f t="shared" si="665"/>
        <v>0</v>
      </c>
      <c r="P7057">
        <f t="shared" si="662"/>
        <v>5550</v>
      </c>
      <c r="Q7057">
        <f t="shared" si="666"/>
        <v>5550</v>
      </c>
      <c r="T7057" s="16">
        <f t="shared" si="667"/>
        <v>1.2035921063842876</v>
      </c>
    </row>
    <row r="7058" spans="7:20" ht="14.4" x14ac:dyDescent="0.25">
      <c r="G7058" s="10">
        <v>5178</v>
      </c>
      <c r="H7058" s="9">
        <v>36832</v>
      </c>
      <c r="I7058" s="14">
        <f>DATE(2012,12,31)-213</f>
        <v>41061</v>
      </c>
      <c r="J7058" s="15" t="s">
        <v>25</v>
      </c>
      <c r="K7058" s="9">
        <v>24</v>
      </c>
      <c r="L7058" s="16" t="s">
        <v>27</v>
      </c>
      <c r="M7058" s="16">
        <f t="shared" si="663"/>
        <v>-0.1085436493809193</v>
      </c>
      <c r="N7058">
        <f t="shared" si="664"/>
        <v>0</v>
      </c>
      <c r="O7058">
        <f t="shared" si="665"/>
        <v>0</v>
      </c>
      <c r="P7058">
        <f t="shared" si="662"/>
        <v>4600</v>
      </c>
      <c r="Q7058">
        <f t="shared" si="666"/>
        <v>4600</v>
      </c>
      <c r="T7058" s="16">
        <f t="shared" si="667"/>
        <v>-0.10854364938091969</v>
      </c>
    </row>
    <row r="7059" spans="7:20" ht="14.4" x14ac:dyDescent="0.25">
      <c r="G7059" s="10">
        <v>5184</v>
      </c>
      <c r="H7059" s="9">
        <v>36836</v>
      </c>
      <c r="I7059" s="14">
        <f>DATE(2012,12,31)-1039</f>
        <v>40235</v>
      </c>
      <c r="J7059" s="15" t="s">
        <v>16</v>
      </c>
      <c r="K7059" s="9">
        <v>43</v>
      </c>
      <c r="L7059" s="16" t="s">
        <v>26</v>
      </c>
      <c r="M7059" s="16">
        <f t="shared" si="663"/>
        <v>1.203592106384288</v>
      </c>
      <c r="N7059">
        <f t="shared" si="664"/>
        <v>0</v>
      </c>
      <c r="O7059">
        <f t="shared" si="665"/>
        <v>0</v>
      </c>
      <c r="P7059">
        <f t="shared" si="662"/>
        <v>5550</v>
      </c>
      <c r="Q7059">
        <f t="shared" si="666"/>
        <v>5550</v>
      </c>
      <c r="T7059" s="16">
        <f t="shared" si="667"/>
        <v>1.2035921063842876</v>
      </c>
    </row>
    <row r="7060" spans="7:20" ht="14.4" x14ac:dyDescent="0.25">
      <c r="G7060" s="10">
        <v>5188</v>
      </c>
      <c r="H7060" s="9">
        <v>36867</v>
      </c>
      <c r="I7060" s="14">
        <f>DATE(2012,12,31)-1213</f>
        <v>40061</v>
      </c>
      <c r="J7060" s="15" t="s">
        <v>17</v>
      </c>
      <c r="K7060" s="9">
        <v>21</v>
      </c>
      <c r="L7060" s="16" t="s">
        <v>29</v>
      </c>
      <c r="M7060" s="16">
        <f t="shared" si="663"/>
        <v>-0.31572297923858361</v>
      </c>
      <c r="N7060">
        <f t="shared" si="664"/>
        <v>0</v>
      </c>
      <c r="O7060">
        <f t="shared" si="665"/>
        <v>0</v>
      </c>
      <c r="P7060">
        <f t="shared" si="662"/>
        <v>4450</v>
      </c>
      <c r="Q7060">
        <f t="shared" si="666"/>
        <v>4450</v>
      </c>
      <c r="T7060" s="16">
        <f t="shared" si="667"/>
        <v>-0.315722979238584</v>
      </c>
    </row>
    <row r="7061" spans="7:20" ht="14.4" x14ac:dyDescent="0.25">
      <c r="G7061" s="10">
        <v>5189</v>
      </c>
      <c r="H7061" s="9">
        <v>36867</v>
      </c>
      <c r="I7061" s="14">
        <f>DATE(2012,12,31)-1213</f>
        <v>40061</v>
      </c>
      <c r="J7061" s="15" t="s">
        <v>17</v>
      </c>
      <c r="K7061" s="9">
        <v>16</v>
      </c>
      <c r="L7061" s="16" t="s">
        <v>26</v>
      </c>
      <c r="M7061" s="16">
        <f t="shared" si="663"/>
        <v>-0.66102186233469074</v>
      </c>
      <c r="N7061">
        <f t="shared" si="664"/>
        <v>0</v>
      </c>
      <c r="O7061">
        <f t="shared" si="665"/>
        <v>0</v>
      </c>
      <c r="P7061">
        <f t="shared" si="662"/>
        <v>4200</v>
      </c>
      <c r="Q7061">
        <f t="shared" si="666"/>
        <v>4200</v>
      </c>
      <c r="T7061" s="16">
        <f t="shared" si="667"/>
        <v>-0.66102186233469118</v>
      </c>
    </row>
    <row r="7062" spans="7:20" ht="14.4" x14ac:dyDescent="0.25">
      <c r="G7062" s="10">
        <v>5231</v>
      </c>
      <c r="H7062" s="9">
        <v>37250</v>
      </c>
      <c r="I7062" s="14">
        <f>DATE(2012,12,31)-1082</f>
        <v>40192</v>
      </c>
      <c r="J7062" s="15" t="s">
        <v>17</v>
      </c>
      <c r="K7062" s="9">
        <v>13</v>
      </c>
      <c r="L7062" s="16" t="s">
        <v>26</v>
      </c>
      <c r="M7062" s="16">
        <f t="shared" si="663"/>
        <v>-0.86820119219235514</v>
      </c>
      <c r="N7062">
        <f t="shared" si="664"/>
        <v>0</v>
      </c>
      <c r="O7062">
        <f t="shared" si="665"/>
        <v>0</v>
      </c>
      <c r="P7062">
        <f t="shared" si="662"/>
        <v>4050</v>
      </c>
      <c r="Q7062">
        <f t="shared" si="666"/>
        <v>4050</v>
      </c>
      <c r="T7062" s="16">
        <f t="shared" si="667"/>
        <v>-0.86820119219235548</v>
      </c>
    </row>
    <row r="7063" spans="7:20" ht="14.4" x14ac:dyDescent="0.25">
      <c r="G7063" s="10">
        <v>5266</v>
      </c>
      <c r="H7063" s="9">
        <v>37473</v>
      </c>
      <c r="I7063" s="14">
        <f>DATE(2012,12,31)-1187</f>
        <v>40087</v>
      </c>
      <c r="J7063" s="15" t="s">
        <v>25</v>
      </c>
      <c r="K7063" s="9">
        <v>42</v>
      </c>
      <c r="L7063" s="16" t="s">
        <v>26</v>
      </c>
      <c r="M7063" s="16">
        <f t="shared" si="663"/>
        <v>1.1345323297650665</v>
      </c>
      <c r="N7063">
        <f t="shared" si="664"/>
        <v>0</v>
      </c>
      <c r="O7063">
        <f t="shared" si="665"/>
        <v>0</v>
      </c>
      <c r="P7063">
        <f t="shared" si="662"/>
        <v>5500</v>
      </c>
      <c r="Q7063">
        <f t="shared" si="666"/>
        <v>5500</v>
      </c>
      <c r="T7063" s="16">
        <f t="shared" si="667"/>
        <v>1.1345323297650662</v>
      </c>
    </row>
    <row r="7064" spans="7:20" ht="14.4" x14ac:dyDescent="0.25">
      <c r="G7064" s="10">
        <v>5268</v>
      </c>
      <c r="H7064" s="9">
        <v>37505</v>
      </c>
      <c r="I7064" s="14">
        <f>DATE(2012,12,31)-577</f>
        <v>40697</v>
      </c>
      <c r="J7064" s="15" t="s">
        <v>25</v>
      </c>
      <c r="K7064" s="9">
        <v>1</v>
      </c>
      <c r="L7064" s="16" t="s">
        <v>26</v>
      </c>
      <c r="M7064" s="16">
        <f t="shared" si="663"/>
        <v>-1.6969185116230123</v>
      </c>
      <c r="N7064">
        <f t="shared" si="664"/>
        <v>0</v>
      </c>
      <c r="O7064">
        <f t="shared" si="665"/>
        <v>0</v>
      </c>
      <c r="P7064">
        <f t="shared" si="662"/>
        <v>3450</v>
      </c>
      <c r="Q7064">
        <f t="shared" si="666"/>
        <v>3450</v>
      </c>
      <c r="T7064" s="16">
        <f t="shared" si="667"/>
        <v>-1.6969185116230128</v>
      </c>
    </row>
    <row r="7065" spans="7:20" ht="14.4" x14ac:dyDescent="0.25">
      <c r="G7065" s="10">
        <v>5269</v>
      </c>
      <c r="H7065" s="9">
        <v>37505</v>
      </c>
      <c r="I7065" s="14">
        <f>DATE(2012,12,31)-577</f>
        <v>40697</v>
      </c>
      <c r="J7065" s="15" t="s">
        <v>25</v>
      </c>
      <c r="K7065" s="9">
        <v>9</v>
      </c>
      <c r="L7065" s="16" t="s">
        <v>26</v>
      </c>
      <c r="M7065" s="16">
        <f t="shared" si="663"/>
        <v>-1.1444402986692408</v>
      </c>
      <c r="N7065">
        <f t="shared" si="664"/>
        <v>0</v>
      </c>
      <c r="O7065">
        <f t="shared" si="665"/>
        <v>0</v>
      </c>
      <c r="P7065">
        <f t="shared" si="662"/>
        <v>3850</v>
      </c>
      <c r="Q7065">
        <f t="shared" si="666"/>
        <v>3850</v>
      </c>
      <c r="T7065" s="16">
        <f t="shared" si="667"/>
        <v>-1.1444402986692412</v>
      </c>
    </row>
    <row r="7066" spans="7:20" ht="14.4" x14ac:dyDescent="0.25">
      <c r="G7066" s="10">
        <v>5270</v>
      </c>
      <c r="H7066" s="9">
        <v>37505</v>
      </c>
      <c r="I7066" s="14">
        <f>DATE(2012,12,31)-577</f>
        <v>40697</v>
      </c>
      <c r="J7066" s="15" t="s">
        <v>25</v>
      </c>
      <c r="K7066" s="9">
        <v>42</v>
      </c>
      <c r="L7066" s="16" t="s">
        <v>27</v>
      </c>
      <c r="M7066" s="16">
        <f t="shared" si="663"/>
        <v>1.1345323297650665</v>
      </c>
      <c r="N7066">
        <f t="shared" si="664"/>
        <v>0</v>
      </c>
      <c r="O7066">
        <f t="shared" si="665"/>
        <v>0</v>
      </c>
      <c r="P7066">
        <f t="shared" si="662"/>
        <v>5500</v>
      </c>
      <c r="Q7066">
        <f t="shared" si="666"/>
        <v>5500</v>
      </c>
      <c r="T7066" s="16">
        <f t="shared" si="667"/>
        <v>1.1345323297650662</v>
      </c>
    </row>
    <row r="7067" spans="7:20" ht="14.4" x14ac:dyDescent="0.25">
      <c r="G7067" s="10">
        <v>5272</v>
      </c>
      <c r="H7067" s="9">
        <v>37537</v>
      </c>
      <c r="I7067" s="14">
        <f>DATE(2012,12,31)-1459</f>
        <v>39815</v>
      </c>
      <c r="J7067" s="15" t="s">
        <v>25</v>
      </c>
      <c r="K7067" s="9">
        <v>4</v>
      </c>
      <c r="L7067" s="16" t="s">
        <v>29</v>
      </c>
      <c r="M7067" s="16">
        <f t="shared" si="663"/>
        <v>-1.489739181765348</v>
      </c>
      <c r="N7067">
        <f t="shared" si="664"/>
        <v>0</v>
      </c>
      <c r="O7067">
        <f t="shared" si="665"/>
        <v>0</v>
      </c>
      <c r="P7067">
        <f t="shared" si="662"/>
        <v>3600</v>
      </c>
      <c r="Q7067">
        <f t="shared" si="666"/>
        <v>3600</v>
      </c>
      <c r="T7067" s="16">
        <f t="shared" si="667"/>
        <v>-1.4897391817653485</v>
      </c>
    </row>
    <row r="7068" spans="7:20" ht="14.4" x14ac:dyDescent="0.25">
      <c r="G7068" s="10">
        <v>5273</v>
      </c>
      <c r="H7068" s="9">
        <v>37537</v>
      </c>
      <c r="I7068" s="14">
        <f>DATE(2012,12,31)-1459</f>
        <v>39815</v>
      </c>
      <c r="J7068" s="15" t="s">
        <v>25</v>
      </c>
      <c r="K7068" s="9">
        <v>43</v>
      </c>
      <c r="L7068" s="16" t="s">
        <v>29</v>
      </c>
      <c r="M7068" s="16">
        <f t="shared" si="663"/>
        <v>1.203592106384288</v>
      </c>
      <c r="N7068">
        <f t="shared" si="664"/>
        <v>0</v>
      </c>
      <c r="O7068">
        <f t="shared" si="665"/>
        <v>0</v>
      </c>
      <c r="P7068">
        <f t="shared" si="662"/>
        <v>5550</v>
      </c>
      <c r="Q7068">
        <f t="shared" si="666"/>
        <v>5550</v>
      </c>
      <c r="T7068" s="16">
        <f t="shared" si="667"/>
        <v>1.2035921063842876</v>
      </c>
    </row>
    <row r="7069" spans="7:20" ht="14.4" x14ac:dyDescent="0.25">
      <c r="G7069" s="10">
        <v>5274</v>
      </c>
      <c r="H7069" s="9">
        <v>37537</v>
      </c>
      <c r="I7069" s="14">
        <f>DATE(2012,12,31)-1459</f>
        <v>39815</v>
      </c>
      <c r="J7069" s="15" t="s">
        <v>25</v>
      </c>
      <c r="K7069" s="9">
        <v>32</v>
      </c>
      <c r="L7069" s="16" t="s">
        <v>26</v>
      </c>
      <c r="M7069" s="16">
        <f t="shared" si="663"/>
        <v>0.44393456357285216</v>
      </c>
      <c r="N7069">
        <f t="shared" si="664"/>
        <v>0</v>
      </c>
      <c r="O7069">
        <f t="shared" si="665"/>
        <v>0</v>
      </c>
      <c r="P7069">
        <f t="shared" si="662"/>
        <v>5000</v>
      </c>
      <c r="Q7069">
        <f t="shared" si="666"/>
        <v>5000</v>
      </c>
      <c r="T7069" s="16">
        <f t="shared" si="667"/>
        <v>0.44393456357285183</v>
      </c>
    </row>
    <row r="7070" spans="7:20" ht="14.4" x14ac:dyDescent="0.25">
      <c r="G7070" s="10">
        <v>5283</v>
      </c>
      <c r="H7070" s="9">
        <v>37606</v>
      </c>
      <c r="I7070" s="14">
        <f>DATE(2012,12,31)-1043</f>
        <v>40231</v>
      </c>
      <c r="J7070" s="15" t="s">
        <v>30</v>
      </c>
      <c r="K7070" s="9">
        <v>1</v>
      </c>
      <c r="L7070" s="16" t="s">
        <v>26</v>
      </c>
      <c r="M7070" s="16">
        <f t="shared" si="663"/>
        <v>-1.6969185116230123</v>
      </c>
      <c r="N7070">
        <f t="shared" si="664"/>
        <v>0</v>
      </c>
      <c r="O7070">
        <f t="shared" si="665"/>
        <v>0</v>
      </c>
      <c r="P7070">
        <f t="shared" si="662"/>
        <v>3450</v>
      </c>
      <c r="Q7070">
        <f t="shared" si="666"/>
        <v>3450</v>
      </c>
      <c r="T7070" s="16">
        <f t="shared" si="667"/>
        <v>-1.6969185116230128</v>
      </c>
    </row>
    <row r="7071" spans="7:20" ht="14.4" x14ac:dyDescent="0.25">
      <c r="G7071" s="10">
        <v>5284</v>
      </c>
      <c r="H7071" s="9">
        <v>37606</v>
      </c>
      <c r="I7071" s="14">
        <f>DATE(2012,12,31)-1043</f>
        <v>40231</v>
      </c>
      <c r="J7071" s="15" t="s">
        <v>30</v>
      </c>
      <c r="K7071" s="9">
        <v>41</v>
      </c>
      <c r="L7071" s="16" t="s">
        <v>26</v>
      </c>
      <c r="M7071" s="16">
        <f t="shared" si="663"/>
        <v>1.0654725531458451</v>
      </c>
      <c r="N7071">
        <f t="shared" si="664"/>
        <v>0</v>
      </c>
      <c r="O7071">
        <f t="shared" si="665"/>
        <v>0</v>
      </c>
      <c r="P7071">
        <f t="shared" si="662"/>
        <v>5450</v>
      </c>
      <c r="Q7071">
        <f t="shared" si="666"/>
        <v>5450</v>
      </c>
      <c r="T7071" s="16">
        <f t="shared" si="667"/>
        <v>1.0654725531458447</v>
      </c>
    </row>
    <row r="7072" spans="7:20" ht="14.4" x14ac:dyDescent="0.25">
      <c r="G7072" s="10">
        <v>5285</v>
      </c>
      <c r="H7072" s="9">
        <v>37606</v>
      </c>
      <c r="I7072" s="14">
        <f>DATE(2012,12,31)-1043</f>
        <v>40231</v>
      </c>
      <c r="J7072" s="15" t="s">
        <v>30</v>
      </c>
      <c r="K7072" s="9">
        <v>21</v>
      </c>
      <c r="L7072" s="16" t="s">
        <v>26</v>
      </c>
      <c r="M7072" s="16">
        <f t="shared" si="663"/>
        <v>-0.31572297923858361</v>
      </c>
      <c r="N7072">
        <f t="shared" si="664"/>
        <v>0</v>
      </c>
      <c r="O7072">
        <f t="shared" si="665"/>
        <v>0</v>
      </c>
      <c r="P7072">
        <f t="shared" si="662"/>
        <v>4450</v>
      </c>
      <c r="Q7072">
        <f t="shared" si="666"/>
        <v>4450</v>
      </c>
      <c r="T7072" s="16">
        <f t="shared" si="667"/>
        <v>-0.315722979238584</v>
      </c>
    </row>
    <row r="7073" spans="7:20" ht="14.4" x14ac:dyDescent="0.25">
      <c r="G7073" s="10">
        <v>5289</v>
      </c>
      <c r="H7073" s="9">
        <v>37668</v>
      </c>
      <c r="I7073" s="14">
        <f>DATE(2012,12,31)-1088</f>
        <v>40186</v>
      </c>
      <c r="J7073" s="15" t="s">
        <v>25</v>
      </c>
      <c r="K7073" s="9">
        <v>33</v>
      </c>
      <c r="L7073" s="16" t="s">
        <v>27</v>
      </c>
      <c r="M7073" s="16">
        <f t="shared" si="663"/>
        <v>0.51299434019207357</v>
      </c>
      <c r="N7073">
        <f t="shared" si="664"/>
        <v>0</v>
      </c>
      <c r="O7073">
        <f t="shared" si="665"/>
        <v>0</v>
      </c>
      <c r="P7073">
        <f t="shared" si="662"/>
        <v>5050</v>
      </c>
      <c r="Q7073">
        <f t="shared" si="666"/>
        <v>5050</v>
      </c>
      <c r="T7073" s="16">
        <f t="shared" si="667"/>
        <v>0.51299434019207324</v>
      </c>
    </row>
    <row r="7074" spans="7:20" ht="14.4" x14ac:dyDescent="0.25">
      <c r="G7074" s="10">
        <v>5322</v>
      </c>
      <c r="H7074" s="9">
        <v>37830</v>
      </c>
      <c r="I7074" s="14">
        <f>DATE(2012,12,31)-1233</f>
        <v>40041</v>
      </c>
      <c r="J7074" s="15" t="s">
        <v>28</v>
      </c>
      <c r="K7074" s="9">
        <v>39</v>
      </c>
      <c r="L7074" s="16" t="s">
        <v>26</v>
      </c>
      <c r="M7074" s="16">
        <f t="shared" si="663"/>
        <v>0.92735299990740228</v>
      </c>
      <c r="N7074">
        <f t="shared" si="664"/>
        <v>0</v>
      </c>
      <c r="O7074">
        <f t="shared" si="665"/>
        <v>0</v>
      </c>
      <c r="P7074">
        <f t="shared" si="662"/>
        <v>5350</v>
      </c>
      <c r="Q7074">
        <f t="shared" si="666"/>
        <v>5350</v>
      </c>
      <c r="T7074" s="16">
        <f t="shared" si="667"/>
        <v>0.92735299990740183</v>
      </c>
    </row>
    <row r="7075" spans="7:20" ht="14.4" x14ac:dyDescent="0.25">
      <c r="G7075" s="10">
        <v>5343</v>
      </c>
      <c r="H7075" s="9">
        <v>37957</v>
      </c>
      <c r="I7075" s="14">
        <f>DATE(2012,12,31)-787</f>
        <v>40487</v>
      </c>
      <c r="J7075" s="15" t="s">
        <v>28</v>
      </c>
      <c r="K7075" s="9">
        <v>31</v>
      </c>
      <c r="L7075" s="16" t="s">
        <v>26</v>
      </c>
      <c r="M7075" s="16">
        <f t="shared" si="663"/>
        <v>0.37487478695363075</v>
      </c>
      <c r="N7075">
        <f t="shared" si="664"/>
        <v>0</v>
      </c>
      <c r="O7075">
        <f t="shared" si="665"/>
        <v>0</v>
      </c>
      <c r="P7075">
        <f t="shared" si="662"/>
        <v>4950</v>
      </c>
      <c r="Q7075">
        <f t="shared" si="666"/>
        <v>4950</v>
      </c>
      <c r="T7075" s="16">
        <f t="shared" si="667"/>
        <v>0.37487478695363036</v>
      </c>
    </row>
    <row r="7076" spans="7:20" ht="14.4" x14ac:dyDescent="0.25">
      <c r="G7076" s="10">
        <v>5404</v>
      </c>
      <c r="H7076" s="9">
        <v>38406</v>
      </c>
      <c r="I7076" s="14">
        <f>DATE(2012,12,31)-760</f>
        <v>40514</v>
      </c>
      <c r="J7076" s="15" t="s">
        <v>16</v>
      </c>
      <c r="K7076" s="9">
        <v>12</v>
      </c>
      <c r="L7076" s="16" t="s">
        <v>29</v>
      </c>
      <c r="M7076" s="16">
        <f t="shared" si="663"/>
        <v>-0.9372609688115765</v>
      </c>
      <c r="N7076">
        <f t="shared" si="664"/>
        <v>0</v>
      </c>
      <c r="O7076">
        <f t="shared" si="665"/>
        <v>0</v>
      </c>
      <c r="P7076">
        <f t="shared" si="662"/>
        <v>4000</v>
      </c>
      <c r="Q7076">
        <f t="shared" si="666"/>
        <v>4000</v>
      </c>
      <c r="T7076" s="16">
        <f t="shared" si="667"/>
        <v>-0.93726096881157694</v>
      </c>
    </row>
    <row r="7077" spans="7:20" ht="14.4" x14ac:dyDescent="0.25">
      <c r="G7077" s="10">
        <v>5431</v>
      </c>
      <c r="H7077" s="9">
        <v>38594</v>
      </c>
      <c r="I7077" s="14">
        <f>DATE(2012,12,31)-1126</f>
        <v>40148</v>
      </c>
      <c r="J7077" s="15" t="s">
        <v>16</v>
      </c>
      <c r="K7077" s="9">
        <v>26</v>
      </c>
      <c r="L7077" s="16" t="s">
        <v>27</v>
      </c>
      <c r="M7077" s="16">
        <f t="shared" si="663"/>
        <v>2.9575903857523567E-2</v>
      </c>
      <c r="N7077">
        <f t="shared" si="664"/>
        <v>0</v>
      </c>
      <c r="O7077">
        <f t="shared" si="665"/>
        <v>0</v>
      </c>
      <c r="P7077">
        <f t="shared" si="662"/>
        <v>4700</v>
      </c>
      <c r="Q7077">
        <f t="shared" si="666"/>
        <v>4700</v>
      </c>
      <c r="T7077" s="16">
        <f t="shared" si="667"/>
        <v>2.9575903857523185E-2</v>
      </c>
    </row>
    <row r="7078" spans="7:20" ht="14.4" x14ac:dyDescent="0.25">
      <c r="G7078" s="10">
        <v>5444</v>
      </c>
      <c r="H7078" s="9">
        <v>38657</v>
      </c>
      <c r="I7078" s="14">
        <f>DATE(2012,12,31)-948</f>
        <v>40326</v>
      </c>
      <c r="J7078" s="15" t="s">
        <v>28</v>
      </c>
      <c r="K7078" s="9">
        <v>38</v>
      </c>
      <c r="L7078" s="16" t="s">
        <v>27</v>
      </c>
      <c r="M7078" s="16">
        <f t="shared" si="663"/>
        <v>0.85829322328818081</v>
      </c>
      <c r="N7078">
        <f t="shared" si="664"/>
        <v>0</v>
      </c>
      <c r="O7078">
        <f t="shared" si="665"/>
        <v>0</v>
      </c>
      <c r="P7078">
        <f t="shared" si="662"/>
        <v>5300</v>
      </c>
      <c r="Q7078">
        <f t="shared" si="666"/>
        <v>5300</v>
      </c>
      <c r="T7078" s="16">
        <f t="shared" si="667"/>
        <v>0.85829322328818036</v>
      </c>
    </row>
    <row r="7079" spans="7:20" ht="14.4" x14ac:dyDescent="0.25">
      <c r="G7079" s="10">
        <v>5466</v>
      </c>
      <c r="H7079" s="9">
        <v>38850</v>
      </c>
      <c r="I7079" s="14">
        <f>DATE(2012,12,31)-977</f>
        <v>40297</v>
      </c>
      <c r="J7079" s="15" t="s">
        <v>16</v>
      </c>
      <c r="K7079" s="9">
        <v>34</v>
      </c>
      <c r="L7079" s="16" t="s">
        <v>29</v>
      </c>
      <c r="M7079" s="16">
        <f t="shared" si="663"/>
        <v>0.58205411681129504</v>
      </c>
      <c r="N7079">
        <f t="shared" si="664"/>
        <v>0</v>
      </c>
      <c r="O7079">
        <f t="shared" si="665"/>
        <v>0</v>
      </c>
      <c r="P7079">
        <f t="shared" si="662"/>
        <v>5100</v>
      </c>
      <c r="Q7079">
        <f t="shared" si="666"/>
        <v>5100</v>
      </c>
      <c r="T7079" s="16">
        <f t="shared" si="667"/>
        <v>0.58205411681129471</v>
      </c>
    </row>
    <row r="7080" spans="7:20" ht="14.4" x14ac:dyDescent="0.25">
      <c r="G7080" s="10">
        <v>5479</v>
      </c>
      <c r="H7080" s="9">
        <v>38913</v>
      </c>
      <c r="I7080" s="14">
        <f>DATE(2012,12,31)-1212</f>
        <v>40062</v>
      </c>
      <c r="J7080" s="15" t="s">
        <v>28</v>
      </c>
      <c r="K7080" s="9">
        <v>7</v>
      </c>
      <c r="L7080" s="16" t="s">
        <v>26</v>
      </c>
      <c r="M7080" s="16">
        <f t="shared" si="663"/>
        <v>-1.2825598519076837</v>
      </c>
      <c r="N7080">
        <f t="shared" si="664"/>
        <v>0</v>
      </c>
      <c r="O7080">
        <f t="shared" si="665"/>
        <v>0</v>
      </c>
      <c r="P7080">
        <f t="shared" si="662"/>
        <v>3750</v>
      </c>
      <c r="Q7080">
        <f t="shared" si="666"/>
        <v>3750</v>
      </c>
      <c r="T7080" s="16">
        <f t="shared" si="667"/>
        <v>-1.2825598519076842</v>
      </c>
    </row>
    <row r="7081" spans="7:20" ht="14.4" x14ac:dyDescent="0.25">
      <c r="G7081" s="10">
        <v>5488</v>
      </c>
      <c r="H7081" s="9">
        <v>38948</v>
      </c>
      <c r="I7081" s="14">
        <f>DATE(2012,12,31)-575</f>
        <v>40699</v>
      </c>
      <c r="J7081" s="15" t="s">
        <v>28</v>
      </c>
      <c r="K7081" s="9">
        <v>9</v>
      </c>
      <c r="L7081" s="16" t="s">
        <v>26</v>
      </c>
      <c r="M7081" s="16">
        <f t="shared" si="663"/>
        <v>-1.1444402986692408</v>
      </c>
      <c r="N7081">
        <f t="shared" si="664"/>
        <v>0</v>
      </c>
      <c r="O7081">
        <f t="shared" si="665"/>
        <v>0</v>
      </c>
      <c r="P7081">
        <f t="shared" si="662"/>
        <v>3850</v>
      </c>
      <c r="Q7081">
        <f t="shared" si="666"/>
        <v>3850</v>
      </c>
      <c r="T7081" s="16">
        <f t="shared" si="667"/>
        <v>-1.1444402986692412</v>
      </c>
    </row>
    <row r="7082" spans="7:20" ht="14.4" x14ac:dyDescent="0.25">
      <c r="G7082" s="10">
        <v>5489</v>
      </c>
      <c r="H7082" s="9">
        <v>38948</v>
      </c>
      <c r="I7082" s="14">
        <f>DATE(2012,12,31)-575</f>
        <v>40699</v>
      </c>
      <c r="J7082" s="15" t="s">
        <v>28</v>
      </c>
      <c r="K7082" s="9">
        <v>44</v>
      </c>
      <c r="L7082" s="16" t="s">
        <v>27</v>
      </c>
      <c r="M7082" s="16">
        <f t="shared" si="663"/>
        <v>1.2726518830035094</v>
      </c>
      <c r="N7082">
        <f t="shared" si="664"/>
        <v>0</v>
      </c>
      <c r="O7082">
        <f t="shared" si="665"/>
        <v>0</v>
      </c>
      <c r="P7082">
        <f t="shared" si="662"/>
        <v>5600</v>
      </c>
      <c r="Q7082">
        <f t="shared" si="666"/>
        <v>5600</v>
      </c>
      <c r="T7082" s="16">
        <f t="shared" si="667"/>
        <v>1.272651883003509</v>
      </c>
    </row>
    <row r="7083" spans="7:20" ht="14.4" x14ac:dyDescent="0.25">
      <c r="G7083" s="10">
        <v>5505</v>
      </c>
      <c r="H7083" s="9">
        <v>39041</v>
      </c>
      <c r="I7083" s="14">
        <f>DATE(2012,12,31)-432</f>
        <v>40842</v>
      </c>
      <c r="J7083" s="15" t="s">
        <v>30</v>
      </c>
      <c r="K7083" s="9">
        <v>47</v>
      </c>
      <c r="L7083" s="16" t="s">
        <v>29</v>
      </c>
      <c r="M7083" s="16">
        <f t="shared" si="663"/>
        <v>1.4798312128611737</v>
      </c>
      <c r="N7083">
        <f t="shared" si="664"/>
        <v>0</v>
      </c>
      <c r="O7083">
        <f t="shared" si="665"/>
        <v>0</v>
      </c>
      <c r="P7083">
        <f t="shared" si="662"/>
        <v>5750</v>
      </c>
      <c r="Q7083">
        <f t="shared" si="666"/>
        <v>5750</v>
      </c>
      <c r="T7083" s="16">
        <f t="shared" si="667"/>
        <v>1.4798312128611733</v>
      </c>
    </row>
    <row r="7084" spans="7:20" ht="14.4" x14ac:dyDescent="0.25">
      <c r="G7084" s="10">
        <v>5506</v>
      </c>
      <c r="H7084" s="9">
        <v>39041</v>
      </c>
      <c r="I7084" s="14">
        <f>DATE(2012,12,31)-432</f>
        <v>40842</v>
      </c>
      <c r="J7084" s="15" t="s">
        <v>30</v>
      </c>
      <c r="K7084" s="9">
        <v>23</v>
      </c>
      <c r="L7084" s="16" t="s">
        <v>29</v>
      </c>
      <c r="M7084" s="16">
        <f t="shared" si="663"/>
        <v>-0.17760342600014073</v>
      </c>
      <c r="N7084">
        <f t="shared" si="664"/>
        <v>0</v>
      </c>
      <c r="O7084">
        <f t="shared" si="665"/>
        <v>0</v>
      </c>
      <c r="P7084">
        <f t="shared" si="662"/>
        <v>4550</v>
      </c>
      <c r="Q7084">
        <f t="shared" si="666"/>
        <v>4550</v>
      </c>
      <c r="T7084" s="16">
        <f t="shared" si="667"/>
        <v>-0.17760342600014112</v>
      </c>
    </row>
    <row r="7085" spans="7:20" ht="14.4" x14ac:dyDescent="0.25">
      <c r="G7085" s="10">
        <v>5519</v>
      </c>
      <c r="H7085" s="9">
        <v>39136</v>
      </c>
      <c r="I7085" s="14">
        <f>DATE(2012,12,31)-1286</f>
        <v>39988</v>
      </c>
      <c r="J7085" s="15" t="s">
        <v>17</v>
      </c>
      <c r="K7085" s="9">
        <v>49</v>
      </c>
      <c r="L7085" s="16" t="s">
        <v>27</v>
      </c>
      <c r="M7085" s="16">
        <f t="shared" si="663"/>
        <v>1.6179507660996166</v>
      </c>
      <c r="N7085">
        <f t="shared" si="664"/>
        <v>0</v>
      </c>
      <c r="O7085">
        <f t="shared" si="665"/>
        <v>0</v>
      </c>
      <c r="P7085">
        <f t="shared" si="662"/>
        <v>5850</v>
      </c>
      <c r="Q7085">
        <f t="shared" si="666"/>
        <v>5850</v>
      </c>
      <c r="T7085" s="16">
        <f t="shared" si="667"/>
        <v>1.6179507660996162</v>
      </c>
    </row>
    <row r="7086" spans="7:20" ht="14.4" x14ac:dyDescent="0.25">
      <c r="G7086" s="10">
        <v>5535</v>
      </c>
      <c r="H7086" s="9">
        <v>39232</v>
      </c>
      <c r="I7086" s="14">
        <f>DATE(2012,12,31)-538</f>
        <v>40736</v>
      </c>
      <c r="J7086" s="15" t="s">
        <v>25</v>
      </c>
      <c r="K7086" s="9">
        <v>11</v>
      </c>
      <c r="L7086" s="16" t="s">
        <v>26</v>
      </c>
      <c r="M7086" s="16">
        <f t="shared" si="663"/>
        <v>-1.0063207454307979</v>
      </c>
      <c r="N7086">
        <f t="shared" si="664"/>
        <v>0</v>
      </c>
      <c r="O7086">
        <f t="shared" si="665"/>
        <v>0</v>
      </c>
      <c r="P7086">
        <f t="shared" si="662"/>
        <v>3950</v>
      </c>
      <c r="Q7086">
        <f t="shared" si="666"/>
        <v>3950</v>
      </c>
      <c r="T7086" s="16">
        <f t="shared" si="667"/>
        <v>-1.0063207454307983</v>
      </c>
    </row>
    <row r="7087" spans="7:20" ht="14.4" x14ac:dyDescent="0.25">
      <c r="G7087" s="10">
        <v>5536</v>
      </c>
      <c r="H7087" s="9">
        <v>39232</v>
      </c>
      <c r="I7087" s="14">
        <f>DATE(2012,12,31)-538</f>
        <v>40736</v>
      </c>
      <c r="J7087" s="15" t="s">
        <v>25</v>
      </c>
      <c r="K7087" s="9">
        <v>26</v>
      </c>
      <c r="L7087" s="16" t="s">
        <v>26</v>
      </c>
      <c r="M7087" s="16">
        <f t="shared" si="663"/>
        <v>2.9575903857523567E-2</v>
      </c>
      <c r="N7087">
        <f t="shared" si="664"/>
        <v>0</v>
      </c>
      <c r="O7087">
        <f t="shared" si="665"/>
        <v>0</v>
      </c>
      <c r="P7087">
        <f t="shared" si="662"/>
        <v>4700</v>
      </c>
      <c r="Q7087">
        <f t="shared" si="666"/>
        <v>4700</v>
      </c>
      <c r="T7087" s="16">
        <f t="shared" si="667"/>
        <v>2.9575903857523185E-2</v>
      </c>
    </row>
    <row r="7088" spans="7:20" ht="14.4" x14ac:dyDescent="0.25">
      <c r="G7088" s="10">
        <v>5586</v>
      </c>
      <c r="H7088" s="9">
        <v>39617</v>
      </c>
      <c r="I7088" s="14">
        <f>DATE(2012,12,31)-380</f>
        <v>40894</v>
      </c>
      <c r="J7088" s="15" t="s">
        <v>28</v>
      </c>
      <c r="K7088" s="9">
        <v>33</v>
      </c>
      <c r="L7088" s="16" t="s">
        <v>29</v>
      </c>
      <c r="M7088" s="16">
        <f t="shared" si="663"/>
        <v>0.51299434019207357</v>
      </c>
      <c r="N7088">
        <f t="shared" si="664"/>
        <v>0</v>
      </c>
      <c r="O7088">
        <f t="shared" si="665"/>
        <v>0</v>
      </c>
      <c r="P7088">
        <f t="shared" si="662"/>
        <v>5050</v>
      </c>
      <c r="Q7088">
        <f t="shared" si="666"/>
        <v>5050</v>
      </c>
      <c r="T7088" s="16">
        <f t="shared" si="667"/>
        <v>0.51299434019207324</v>
      </c>
    </row>
    <row r="7089" spans="7:20" ht="14.4" x14ac:dyDescent="0.25">
      <c r="G7089" s="10">
        <v>5587</v>
      </c>
      <c r="H7089" s="9">
        <v>39617</v>
      </c>
      <c r="I7089" s="14">
        <f>DATE(2012,12,31)-380</f>
        <v>40894</v>
      </c>
      <c r="J7089" s="15" t="s">
        <v>28</v>
      </c>
      <c r="K7089" s="9">
        <v>28</v>
      </c>
      <c r="L7089" s="16" t="s">
        <v>26</v>
      </c>
      <c r="M7089" s="16">
        <f t="shared" si="663"/>
        <v>0.16769545709596645</v>
      </c>
      <c r="N7089">
        <f t="shared" si="664"/>
        <v>0</v>
      </c>
      <c r="O7089">
        <f t="shared" si="665"/>
        <v>0</v>
      </c>
      <c r="P7089">
        <f t="shared" si="662"/>
        <v>4800</v>
      </c>
      <c r="Q7089">
        <f t="shared" si="666"/>
        <v>4800</v>
      </c>
      <c r="T7089" s="16">
        <f t="shared" si="667"/>
        <v>0.16769545709596606</v>
      </c>
    </row>
    <row r="7090" spans="7:20" ht="14.4" x14ac:dyDescent="0.25">
      <c r="G7090" s="10">
        <v>5589</v>
      </c>
      <c r="H7090" s="9">
        <v>39649</v>
      </c>
      <c r="I7090" s="14">
        <f>DATE(2012,12,31)-1169</f>
        <v>40105</v>
      </c>
      <c r="J7090" s="15" t="s">
        <v>17</v>
      </c>
      <c r="K7090" s="9">
        <v>10</v>
      </c>
      <c r="L7090" s="16" t="s">
        <v>27</v>
      </c>
      <c r="M7090" s="16">
        <f t="shared" si="663"/>
        <v>-1.0753805220500194</v>
      </c>
      <c r="N7090">
        <f t="shared" si="664"/>
        <v>0</v>
      </c>
      <c r="O7090">
        <f t="shared" si="665"/>
        <v>0</v>
      </c>
      <c r="P7090">
        <f t="shared" si="662"/>
        <v>3900</v>
      </c>
      <c r="Q7090">
        <f t="shared" si="666"/>
        <v>3900</v>
      </c>
      <c r="T7090" s="16">
        <f t="shared" si="667"/>
        <v>-1.0753805220500199</v>
      </c>
    </row>
    <row r="7091" spans="7:20" ht="14.4" x14ac:dyDescent="0.25">
      <c r="G7091" s="10">
        <v>5590</v>
      </c>
      <c r="H7091" s="9">
        <v>39649</v>
      </c>
      <c r="I7091" s="14">
        <f>DATE(2012,12,31)-1169</f>
        <v>40105</v>
      </c>
      <c r="J7091" s="15" t="s">
        <v>17</v>
      </c>
      <c r="K7091" s="9">
        <v>9</v>
      </c>
      <c r="L7091" s="16" t="s">
        <v>26</v>
      </c>
      <c r="M7091" s="16">
        <f t="shared" si="663"/>
        <v>-1.1444402986692408</v>
      </c>
      <c r="N7091">
        <f t="shared" si="664"/>
        <v>0</v>
      </c>
      <c r="O7091">
        <f t="shared" si="665"/>
        <v>0</v>
      </c>
      <c r="P7091">
        <f t="shared" si="662"/>
        <v>3850</v>
      </c>
      <c r="Q7091">
        <f t="shared" si="666"/>
        <v>3850</v>
      </c>
      <c r="T7091" s="16">
        <f t="shared" si="667"/>
        <v>-1.1444402986692412</v>
      </c>
    </row>
    <row r="7092" spans="7:20" ht="14.4" x14ac:dyDescent="0.25">
      <c r="G7092" s="10">
        <v>5595</v>
      </c>
      <c r="H7092" s="9">
        <v>39654</v>
      </c>
      <c r="I7092" s="14">
        <f>DATE(2012,12,31)-92</f>
        <v>41182</v>
      </c>
      <c r="J7092" s="15" t="s">
        <v>16</v>
      </c>
      <c r="K7092" s="9">
        <v>39</v>
      </c>
      <c r="L7092" s="16" t="s">
        <v>26</v>
      </c>
      <c r="M7092" s="16">
        <f t="shared" si="663"/>
        <v>0.92735299990740228</v>
      </c>
      <c r="N7092">
        <f t="shared" si="664"/>
        <v>0</v>
      </c>
      <c r="O7092">
        <f t="shared" si="665"/>
        <v>0</v>
      </c>
      <c r="P7092">
        <f t="shared" si="662"/>
        <v>5350</v>
      </c>
      <c r="Q7092">
        <f t="shared" si="666"/>
        <v>5350</v>
      </c>
      <c r="T7092" s="16">
        <f t="shared" si="667"/>
        <v>0.92735299990740183</v>
      </c>
    </row>
    <row r="7093" spans="7:20" ht="14.4" x14ac:dyDescent="0.25">
      <c r="G7093" s="10">
        <v>5618</v>
      </c>
      <c r="H7093" s="9">
        <v>39808</v>
      </c>
      <c r="I7093" s="14">
        <f>DATE(2012,12,31)-120</f>
        <v>41154</v>
      </c>
      <c r="J7093" s="15" t="s">
        <v>25</v>
      </c>
      <c r="K7093" s="9">
        <v>50</v>
      </c>
      <c r="L7093" s="16" t="s">
        <v>26</v>
      </c>
      <c r="M7093" s="16">
        <f t="shared" si="663"/>
        <v>1.687010542718838</v>
      </c>
      <c r="N7093">
        <f t="shared" si="664"/>
        <v>0</v>
      </c>
      <c r="O7093">
        <f t="shared" si="665"/>
        <v>0</v>
      </c>
      <c r="P7093">
        <f t="shared" si="662"/>
        <v>5900</v>
      </c>
      <c r="Q7093">
        <f t="shared" si="666"/>
        <v>5900</v>
      </c>
      <c r="T7093" s="16">
        <f t="shared" si="667"/>
        <v>1.6870105427188375</v>
      </c>
    </row>
    <row r="7094" spans="7:20" ht="14.4" x14ac:dyDescent="0.25">
      <c r="G7094" s="10">
        <v>5619</v>
      </c>
      <c r="H7094" s="9">
        <v>39808</v>
      </c>
      <c r="I7094" s="14">
        <f>DATE(2012,12,31)-120</f>
        <v>41154</v>
      </c>
      <c r="J7094" s="15" t="s">
        <v>25</v>
      </c>
      <c r="K7094" s="9">
        <v>31</v>
      </c>
      <c r="L7094" s="16" t="s">
        <v>27</v>
      </c>
      <c r="M7094" s="16">
        <f t="shared" si="663"/>
        <v>0.37487478695363075</v>
      </c>
      <c r="N7094">
        <f t="shared" si="664"/>
        <v>0</v>
      </c>
      <c r="O7094">
        <f t="shared" si="665"/>
        <v>0</v>
      </c>
      <c r="P7094">
        <f t="shared" si="662"/>
        <v>4950</v>
      </c>
      <c r="Q7094">
        <f t="shared" si="666"/>
        <v>4950</v>
      </c>
      <c r="T7094" s="16">
        <f t="shared" si="667"/>
        <v>0.37487478695363036</v>
      </c>
    </row>
    <row r="7095" spans="7:20" ht="14.4" x14ac:dyDescent="0.25">
      <c r="G7095" s="10">
        <v>5623</v>
      </c>
      <c r="H7095" s="9">
        <v>39841</v>
      </c>
      <c r="I7095" s="14">
        <f>DATE(2012,12,31)-1095</f>
        <v>40179</v>
      </c>
      <c r="J7095" s="15" t="s">
        <v>16</v>
      </c>
      <c r="K7095" s="9">
        <v>43</v>
      </c>
      <c r="L7095" s="16" t="s">
        <v>26</v>
      </c>
      <c r="M7095" s="16">
        <f t="shared" si="663"/>
        <v>1.203592106384288</v>
      </c>
      <c r="N7095">
        <f t="shared" si="664"/>
        <v>0</v>
      </c>
      <c r="O7095">
        <f t="shared" si="665"/>
        <v>0</v>
      </c>
      <c r="P7095">
        <f t="shared" si="662"/>
        <v>5550</v>
      </c>
      <c r="Q7095">
        <f t="shared" si="666"/>
        <v>5550</v>
      </c>
      <c r="T7095" s="16">
        <f t="shared" si="667"/>
        <v>1.2035921063842876</v>
      </c>
    </row>
    <row r="7096" spans="7:20" ht="14.4" x14ac:dyDescent="0.25">
      <c r="G7096" s="10">
        <v>5630</v>
      </c>
      <c r="H7096" s="9">
        <v>39847</v>
      </c>
      <c r="I7096" s="14">
        <f>DATE(2012,12,31)-1002</f>
        <v>40272</v>
      </c>
      <c r="J7096" s="15" t="s">
        <v>28</v>
      </c>
      <c r="K7096" s="9">
        <v>29</v>
      </c>
      <c r="L7096" s="16" t="s">
        <v>26</v>
      </c>
      <c r="M7096" s="16">
        <f t="shared" si="663"/>
        <v>0.23675523371518786</v>
      </c>
      <c r="N7096">
        <f t="shared" si="664"/>
        <v>0</v>
      </c>
      <c r="O7096">
        <f t="shared" si="665"/>
        <v>0</v>
      </c>
      <c r="P7096">
        <f t="shared" si="662"/>
        <v>4850</v>
      </c>
      <c r="Q7096">
        <f t="shared" si="666"/>
        <v>4850</v>
      </c>
      <c r="T7096" s="16">
        <f t="shared" si="667"/>
        <v>0.2367552337151875</v>
      </c>
    </row>
    <row r="7097" spans="7:20" ht="14.4" x14ac:dyDescent="0.25">
      <c r="G7097" s="10">
        <v>5631</v>
      </c>
      <c r="H7097" s="9">
        <v>39847</v>
      </c>
      <c r="I7097" s="14">
        <f>DATE(2012,12,31)-1002</f>
        <v>40272</v>
      </c>
      <c r="J7097" s="15" t="s">
        <v>28</v>
      </c>
      <c r="K7097" s="9">
        <v>49</v>
      </c>
      <c r="L7097" s="16" t="s">
        <v>26</v>
      </c>
      <c r="M7097" s="16">
        <f t="shared" si="663"/>
        <v>1.6179507660996166</v>
      </c>
      <c r="N7097">
        <f t="shared" si="664"/>
        <v>0</v>
      </c>
      <c r="O7097">
        <f t="shared" si="665"/>
        <v>0</v>
      </c>
      <c r="P7097">
        <f t="shared" si="662"/>
        <v>5850</v>
      </c>
      <c r="Q7097">
        <f t="shared" si="666"/>
        <v>5850</v>
      </c>
      <c r="T7097" s="16">
        <f t="shared" si="667"/>
        <v>1.6179507660996162</v>
      </c>
    </row>
    <row r="7098" spans="7:20" ht="14.4" x14ac:dyDescent="0.25">
      <c r="G7098" s="10">
        <v>5632</v>
      </c>
      <c r="H7098" s="9">
        <v>39847</v>
      </c>
      <c r="I7098" s="14">
        <f>DATE(2012,12,31)-1002</f>
        <v>40272</v>
      </c>
      <c r="J7098" s="15" t="s">
        <v>28</v>
      </c>
      <c r="K7098" s="9">
        <v>20</v>
      </c>
      <c r="L7098" s="16" t="s">
        <v>27</v>
      </c>
      <c r="M7098" s="16">
        <f t="shared" si="663"/>
        <v>-0.38478275585780503</v>
      </c>
      <c r="N7098">
        <f t="shared" si="664"/>
        <v>0</v>
      </c>
      <c r="O7098">
        <f t="shared" si="665"/>
        <v>0</v>
      </c>
      <c r="P7098">
        <f t="shared" si="662"/>
        <v>4400</v>
      </c>
      <c r="Q7098">
        <f t="shared" si="666"/>
        <v>4400</v>
      </c>
      <c r="T7098" s="16">
        <f t="shared" si="667"/>
        <v>-0.38478275585780541</v>
      </c>
    </row>
    <row r="7099" spans="7:20" ht="14.4" x14ac:dyDescent="0.25">
      <c r="G7099" s="10">
        <v>5641</v>
      </c>
      <c r="H7099" s="9">
        <v>39907</v>
      </c>
      <c r="I7099" s="14">
        <f>DATE(2012,12,31)-855</f>
        <v>40419</v>
      </c>
      <c r="J7099" s="15" t="s">
        <v>25</v>
      </c>
      <c r="K7099" s="9">
        <v>12</v>
      </c>
      <c r="L7099" s="16" t="s">
        <v>27</v>
      </c>
      <c r="M7099" s="16">
        <f t="shared" si="663"/>
        <v>-0.9372609688115765</v>
      </c>
      <c r="N7099">
        <f t="shared" si="664"/>
        <v>0</v>
      </c>
      <c r="O7099">
        <f t="shared" si="665"/>
        <v>0</v>
      </c>
      <c r="P7099">
        <f t="shared" si="662"/>
        <v>4000</v>
      </c>
      <c r="Q7099">
        <f t="shared" si="666"/>
        <v>4000</v>
      </c>
      <c r="T7099" s="16">
        <f t="shared" si="667"/>
        <v>-0.93726096881157694</v>
      </c>
    </row>
    <row r="7100" spans="7:20" ht="14.4" x14ac:dyDescent="0.25">
      <c r="G7100" s="10">
        <v>5663</v>
      </c>
      <c r="H7100" s="9">
        <v>40068</v>
      </c>
      <c r="I7100" s="14">
        <f>DATE(2012,12,31)-986</f>
        <v>40288</v>
      </c>
      <c r="J7100" s="15" t="s">
        <v>25</v>
      </c>
      <c r="K7100" s="9">
        <v>1</v>
      </c>
      <c r="L7100" s="16" t="s">
        <v>29</v>
      </c>
      <c r="M7100" s="16">
        <f t="shared" si="663"/>
        <v>-1.6969185116230123</v>
      </c>
      <c r="N7100">
        <f t="shared" si="664"/>
        <v>0</v>
      </c>
      <c r="O7100">
        <f t="shared" si="665"/>
        <v>0</v>
      </c>
      <c r="P7100">
        <f t="shared" si="662"/>
        <v>3450</v>
      </c>
      <c r="Q7100">
        <f t="shared" si="666"/>
        <v>3450</v>
      </c>
      <c r="T7100" s="16">
        <f t="shared" si="667"/>
        <v>-1.6969185116230128</v>
      </c>
    </row>
    <row r="7101" spans="7:20" ht="14.4" x14ac:dyDescent="0.25">
      <c r="G7101" s="10">
        <v>5664</v>
      </c>
      <c r="H7101" s="9">
        <v>40068</v>
      </c>
      <c r="I7101" s="14">
        <f>DATE(2012,12,31)-986</f>
        <v>40288</v>
      </c>
      <c r="J7101" s="15" t="s">
        <v>25</v>
      </c>
      <c r="K7101" s="9">
        <v>2</v>
      </c>
      <c r="L7101" s="16" t="s">
        <v>26</v>
      </c>
      <c r="M7101" s="16">
        <f t="shared" si="663"/>
        <v>-1.627858735003791</v>
      </c>
      <c r="N7101">
        <f t="shared" si="664"/>
        <v>0</v>
      </c>
      <c r="O7101">
        <f t="shared" si="665"/>
        <v>0</v>
      </c>
      <c r="P7101">
        <f t="shared" si="662"/>
        <v>3500</v>
      </c>
      <c r="Q7101">
        <f t="shared" si="666"/>
        <v>3500</v>
      </c>
      <c r="T7101" s="16">
        <f t="shared" si="667"/>
        <v>-1.6278587350037912</v>
      </c>
    </row>
    <row r="7102" spans="7:20" ht="14.4" x14ac:dyDescent="0.25">
      <c r="G7102" s="10">
        <v>5665</v>
      </c>
      <c r="H7102" s="9">
        <v>40068</v>
      </c>
      <c r="I7102" s="14">
        <f>DATE(2012,12,31)-986</f>
        <v>40288</v>
      </c>
      <c r="J7102" s="15" t="s">
        <v>25</v>
      </c>
      <c r="K7102" s="9">
        <v>24</v>
      </c>
      <c r="L7102" s="16" t="s">
        <v>29</v>
      </c>
      <c r="M7102" s="16">
        <f t="shared" si="663"/>
        <v>-0.1085436493809193</v>
      </c>
      <c r="N7102">
        <f t="shared" si="664"/>
        <v>0</v>
      </c>
      <c r="O7102">
        <f t="shared" si="665"/>
        <v>0</v>
      </c>
      <c r="P7102">
        <f t="shared" si="662"/>
        <v>4600</v>
      </c>
      <c r="Q7102">
        <f t="shared" si="666"/>
        <v>4600</v>
      </c>
      <c r="T7102" s="16">
        <f t="shared" si="667"/>
        <v>-0.10854364938091969</v>
      </c>
    </row>
    <row r="7103" spans="7:20" ht="14.4" x14ac:dyDescent="0.25">
      <c r="G7103" s="10">
        <v>5710</v>
      </c>
      <c r="H7103" s="9">
        <v>40420</v>
      </c>
      <c r="I7103" s="14">
        <f>DATE(2012,12,31)-721</f>
        <v>40553</v>
      </c>
      <c r="J7103" s="15" t="s">
        <v>17</v>
      </c>
      <c r="K7103" s="9">
        <v>22</v>
      </c>
      <c r="L7103" s="16" t="s">
        <v>26</v>
      </c>
      <c r="M7103" s="16">
        <f t="shared" si="663"/>
        <v>-0.24666320261936217</v>
      </c>
      <c r="N7103">
        <f t="shared" si="664"/>
        <v>0</v>
      </c>
      <c r="O7103">
        <f t="shared" si="665"/>
        <v>0</v>
      </c>
      <c r="P7103">
        <f t="shared" si="662"/>
        <v>4500</v>
      </c>
      <c r="Q7103">
        <f t="shared" si="666"/>
        <v>4500</v>
      </c>
      <c r="T7103" s="16">
        <f t="shared" si="667"/>
        <v>-0.24666320261936256</v>
      </c>
    </row>
    <row r="7104" spans="7:20" ht="14.4" x14ac:dyDescent="0.25">
      <c r="G7104" s="10">
        <v>5711</v>
      </c>
      <c r="H7104" s="9">
        <v>40420</v>
      </c>
      <c r="I7104" s="14">
        <f>DATE(2012,12,31)-721</f>
        <v>40553</v>
      </c>
      <c r="J7104" s="15" t="s">
        <v>17</v>
      </c>
      <c r="K7104" s="9">
        <v>50</v>
      </c>
      <c r="L7104" s="16" t="s">
        <v>27</v>
      </c>
      <c r="M7104" s="16">
        <f t="shared" si="663"/>
        <v>1.687010542718838</v>
      </c>
      <c r="N7104">
        <f t="shared" si="664"/>
        <v>0</v>
      </c>
      <c r="O7104">
        <f t="shared" si="665"/>
        <v>0</v>
      </c>
      <c r="P7104">
        <f t="shared" si="662"/>
        <v>5900</v>
      </c>
      <c r="Q7104">
        <f t="shared" si="666"/>
        <v>5900</v>
      </c>
      <c r="T7104" s="16">
        <f t="shared" si="667"/>
        <v>1.6870105427188375</v>
      </c>
    </row>
    <row r="7105" spans="7:20" ht="14.4" x14ac:dyDescent="0.25">
      <c r="G7105" s="10">
        <v>5716</v>
      </c>
      <c r="H7105" s="9">
        <v>40485</v>
      </c>
      <c r="I7105" s="14">
        <f>DATE(2012,12,31)-1100</f>
        <v>40174</v>
      </c>
      <c r="J7105" s="15" t="s">
        <v>28</v>
      </c>
      <c r="K7105" s="9">
        <v>36</v>
      </c>
      <c r="L7105" s="16" t="s">
        <v>26</v>
      </c>
      <c r="M7105" s="16">
        <f t="shared" si="663"/>
        <v>0.72017367004973787</v>
      </c>
      <c r="N7105">
        <f t="shared" si="664"/>
        <v>0</v>
      </c>
      <c r="O7105">
        <f t="shared" si="665"/>
        <v>0</v>
      </c>
      <c r="P7105">
        <f t="shared" si="662"/>
        <v>5200</v>
      </c>
      <c r="Q7105">
        <f t="shared" si="666"/>
        <v>5200</v>
      </c>
      <c r="T7105" s="16">
        <f t="shared" si="667"/>
        <v>0.72017367004973754</v>
      </c>
    </row>
    <row r="7106" spans="7:20" ht="14.4" x14ac:dyDescent="0.25">
      <c r="G7106" s="10">
        <v>5717</v>
      </c>
      <c r="H7106" s="9">
        <v>40485</v>
      </c>
      <c r="I7106" s="14">
        <f>DATE(2012,12,31)-1100</f>
        <v>40174</v>
      </c>
      <c r="J7106" s="15" t="s">
        <v>28</v>
      </c>
      <c r="K7106" s="9">
        <v>7</v>
      </c>
      <c r="L7106" s="16" t="s">
        <v>27</v>
      </c>
      <c r="M7106" s="16">
        <f t="shared" si="663"/>
        <v>-1.2825598519076837</v>
      </c>
      <c r="N7106">
        <f t="shared" si="664"/>
        <v>0</v>
      </c>
      <c r="O7106">
        <f t="shared" si="665"/>
        <v>0</v>
      </c>
      <c r="P7106">
        <f t="shared" si="662"/>
        <v>3750</v>
      </c>
      <c r="Q7106">
        <f t="shared" si="666"/>
        <v>3750</v>
      </c>
      <c r="T7106" s="16">
        <f t="shared" si="667"/>
        <v>-1.2825598519076842</v>
      </c>
    </row>
    <row r="7107" spans="7:20" ht="14.4" x14ac:dyDescent="0.25">
      <c r="G7107" s="10">
        <v>5781</v>
      </c>
      <c r="H7107" s="9">
        <v>40998</v>
      </c>
      <c r="I7107" s="14">
        <f>DATE(2012,12,31)-1339</f>
        <v>39935</v>
      </c>
      <c r="J7107" s="15" t="s">
        <v>16</v>
      </c>
      <c r="K7107" s="9">
        <v>43</v>
      </c>
      <c r="L7107" s="16" t="s">
        <v>27</v>
      </c>
      <c r="M7107" s="16">
        <f t="shared" si="663"/>
        <v>1.203592106384288</v>
      </c>
      <c r="N7107">
        <f t="shared" si="664"/>
        <v>0</v>
      </c>
      <c r="O7107">
        <f t="shared" si="665"/>
        <v>0</v>
      </c>
      <c r="P7107">
        <f t="shared" si="662"/>
        <v>5550</v>
      </c>
      <c r="Q7107">
        <f t="shared" si="666"/>
        <v>5550</v>
      </c>
      <c r="T7107" s="16">
        <f t="shared" si="667"/>
        <v>1.2035921063842876</v>
      </c>
    </row>
    <row r="7108" spans="7:20" ht="14.4" x14ac:dyDescent="0.25">
      <c r="G7108" s="10">
        <v>5782</v>
      </c>
      <c r="H7108" s="9">
        <v>40998</v>
      </c>
      <c r="I7108" s="14">
        <f>DATE(2012,12,31)-1339</f>
        <v>39935</v>
      </c>
      <c r="J7108" s="15" t="s">
        <v>16</v>
      </c>
      <c r="K7108" s="9">
        <v>39</v>
      </c>
      <c r="L7108" s="16" t="s">
        <v>26</v>
      </c>
      <c r="M7108" s="16">
        <f t="shared" si="663"/>
        <v>0.92735299990740228</v>
      </c>
      <c r="N7108">
        <f t="shared" si="664"/>
        <v>0</v>
      </c>
      <c r="O7108">
        <f t="shared" si="665"/>
        <v>0</v>
      </c>
      <c r="P7108">
        <f t="shared" si="662"/>
        <v>5350</v>
      </c>
      <c r="Q7108">
        <f t="shared" si="666"/>
        <v>5350</v>
      </c>
      <c r="T7108" s="16">
        <f t="shared" si="667"/>
        <v>0.92735299990740183</v>
      </c>
    </row>
    <row r="7109" spans="7:20" ht="14.4" x14ac:dyDescent="0.25">
      <c r="G7109" s="10">
        <v>5793</v>
      </c>
      <c r="H7109" s="9">
        <v>41091</v>
      </c>
      <c r="I7109" s="14">
        <f>DATE(2012,12,31)-1317</f>
        <v>39957</v>
      </c>
      <c r="J7109" s="15" t="s">
        <v>16</v>
      </c>
      <c r="K7109" s="9">
        <v>32</v>
      </c>
      <c r="L7109" s="16" t="s">
        <v>29</v>
      </c>
      <c r="M7109" s="16">
        <f t="shared" si="663"/>
        <v>0.44393456357285216</v>
      </c>
      <c r="N7109">
        <f t="shared" si="664"/>
        <v>0</v>
      </c>
      <c r="O7109">
        <f t="shared" si="665"/>
        <v>0</v>
      </c>
      <c r="P7109">
        <f t="shared" si="662"/>
        <v>5000</v>
      </c>
      <c r="Q7109">
        <f t="shared" si="666"/>
        <v>5000</v>
      </c>
      <c r="T7109" s="16">
        <f t="shared" si="667"/>
        <v>0.44393456357285183</v>
      </c>
    </row>
    <row r="7110" spans="7:20" ht="14.4" x14ac:dyDescent="0.25">
      <c r="G7110" s="10">
        <v>5800</v>
      </c>
      <c r="H7110" s="9">
        <v>41152</v>
      </c>
      <c r="I7110" s="14">
        <f>DATE(2012,12,31)-485</f>
        <v>40789</v>
      </c>
      <c r="J7110" s="15" t="s">
        <v>17</v>
      </c>
      <c r="K7110" s="9">
        <v>49</v>
      </c>
      <c r="L7110" s="16" t="s">
        <v>26</v>
      </c>
      <c r="M7110" s="16">
        <f t="shared" si="663"/>
        <v>1.6179507660996166</v>
      </c>
      <c r="N7110">
        <f t="shared" si="664"/>
        <v>0</v>
      </c>
      <c r="O7110">
        <f t="shared" si="665"/>
        <v>0</v>
      </c>
      <c r="P7110">
        <f t="shared" si="662"/>
        <v>5850</v>
      </c>
      <c r="Q7110">
        <f t="shared" si="666"/>
        <v>5850</v>
      </c>
      <c r="T7110" s="16">
        <f t="shared" si="667"/>
        <v>1.6179507660996162</v>
      </c>
    </row>
    <row r="7111" spans="7:20" ht="14.4" x14ac:dyDescent="0.25">
      <c r="G7111" s="10">
        <v>5801</v>
      </c>
      <c r="H7111" s="9">
        <v>41152</v>
      </c>
      <c r="I7111" s="14">
        <f>DATE(2012,12,31)-485</f>
        <v>40789</v>
      </c>
      <c r="J7111" s="15" t="s">
        <v>17</v>
      </c>
      <c r="K7111" s="9">
        <v>29</v>
      </c>
      <c r="L7111" s="16" t="s">
        <v>26</v>
      </c>
      <c r="M7111" s="16">
        <f t="shared" si="663"/>
        <v>0.23675523371518786</v>
      </c>
      <c r="N7111">
        <f t="shared" si="664"/>
        <v>0</v>
      </c>
      <c r="O7111">
        <f t="shared" si="665"/>
        <v>0</v>
      </c>
      <c r="P7111">
        <f t="shared" si="662"/>
        <v>4850</v>
      </c>
      <c r="Q7111">
        <f t="shared" si="666"/>
        <v>4850</v>
      </c>
      <c r="T7111" s="16">
        <f t="shared" si="667"/>
        <v>0.2367552337151875</v>
      </c>
    </row>
    <row r="7112" spans="7:20" ht="14.4" x14ac:dyDescent="0.25">
      <c r="G7112" s="10">
        <v>5804</v>
      </c>
      <c r="H7112" s="9">
        <v>41157</v>
      </c>
      <c r="I7112" s="14">
        <f>DATE(2012,12,31)-625</f>
        <v>40649</v>
      </c>
      <c r="J7112" s="15" t="s">
        <v>16</v>
      </c>
      <c r="K7112" s="9">
        <v>39</v>
      </c>
      <c r="L7112" s="16" t="s">
        <v>29</v>
      </c>
      <c r="M7112" s="16">
        <f t="shared" si="663"/>
        <v>0.92735299990740228</v>
      </c>
      <c r="N7112">
        <f t="shared" si="664"/>
        <v>0</v>
      </c>
      <c r="O7112">
        <f t="shared" si="665"/>
        <v>0</v>
      </c>
      <c r="P7112">
        <f t="shared" si="662"/>
        <v>5350</v>
      </c>
      <c r="Q7112">
        <f t="shared" si="666"/>
        <v>5350</v>
      </c>
      <c r="T7112" s="16">
        <f t="shared" si="667"/>
        <v>0.92735299990740183</v>
      </c>
    </row>
    <row r="7113" spans="7:20" ht="14.4" x14ac:dyDescent="0.25">
      <c r="G7113" s="10">
        <v>5826</v>
      </c>
      <c r="H7113" s="9">
        <v>41349</v>
      </c>
      <c r="I7113" s="14">
        <f>DATE(2012,12,31)-380</f>
        <v>40894</v>
      </c>
      <c r="J7113" s="15" t="s">
        <v>30</v>
      </c>
      <c r="K7113" s="9">
        <v>44</v>
      </c>
      <c r="L7113" s="16" t="s">
        <v>26</v>
      </c>
      <c r="M7113" s="16">
        <f t="shared" si="663"/>
        <v>1.2726518830035094</v>
      </c>
      <c r="N7113">
        <f t="shared" si="664"/>
        <v>0</v>
      </c>
      <c r="O7113">
        <f t="shared" si="665"/>
        <v>0</v>
      </c>
      <c r="P7113">
        <f t="shared" si="662"/>
        <v>5600</v>
      </c>
      <c r="Q7113">
        <f t="shared" si="666"/>
        <v>5600</v>
      </c>
      <c r="T7113" s="16">
        <f t="shared" si="667"/>
        <v>1.272651883003509</v>
      </c>
    </row>
    <row r="7114" spans="7:20" ht="14.4" x14ac:dyDescent="0.25">
      <c r="G7114" s="10">
        <v>5827</v>
      </c>
      <c r="H7114" s="9">
        <v>41349</v>
      </c>
      <c r="I7114" s="14">
        <f>DATE(2012,12,31)-380</f>
        <v>40894</v>
      </c>
      <c r="J7114" s="15" t="s">
        <v>30</v>
      </c>
      <c r="K7114" s="9">
        <v>4</v>
      </c>
      <c r="L7114" s="16" t="s">
        <v>29</v>
      </c>
      <c r="M7114" s="16">
        <f t="shared" si="663"/>
        <v>-1.489739181765348</v>
      </c>
      <c r="N7114">
        <f t="shared" si="664"/>
        <v>0</v>
      </c>
      <c r="O7114">
        <f t="shared" si="665"/>
        <v>0</v>
      </c>
      <c r="P7114">
        <f t="shared" si="662"/>
        <v>3600</v>
      </c>
      <c r="Q7114">
        <f t="shared" si="666"/>
        <v>3600</v>
      </c>
      <c r="T7114" s="16">
        <f t="shared" si="667"/>
        <v>-1.4897391817653485</v>
      </c>
    </row>
    <row r="7115" spans="7:20" ht="14.4" x14ac:dyDescent="0.25">
      <c r="G7115" s="10">
        <v>5828</v>
      </c>
      <c r="H7115" s="9">
        <v>41349</v>
      </c>
      <c r="I7115" s="14">
        <f>DATE(2012,12,31)-380</f>
        <v>40894</v>
      </c>
      <c r="J7115" s="15" t="s">
        <v>30</v>
      </c>
      <c r="K7115" s="9">
        <v>39</v>
      </c>
      <c r="L7115" s="16" t="s">
        <v>26</v>
      </c>
      <c r="M7115" s="16">
        <f t="shared" si="663"/>
        <v>0.92735299990740228</v>
      </c>
      <c r="N7115">
        <f t="shared" si="664"/>
        <v>0</v>
      </c>
      <c r="O7115">
        <f t="shared" si="665"/>
        <v>0</v>
      </c>
      <c r="P7115">
        <f t="shared" si="662"/>
        <v>5350</v>
      </c>
      <c r="Q7115">
        <f t="shared" si="666"/>
        <v>5350</v>
      </c>
      <c r="T7115" s="16">
        <f t="shared" si="667"/>
        <v>0.92735299990740183</v>
      </c>
    </row>
    <row r="7116" spans="7:20" ht="14.4" x14ac:dyDescent="0.25">
      <c r="G7116" s="10">
        <v>5841</v>
      </c>
      <c r="H7116" s="9">
        <v>41440</v>
      </c>
      <c r="I7116" s="14">
        <f>DATE(2012,12,31)-1196</f>
        <v>40078</v>
      </c>
      <c r="J7116" s="15" t="s">
        <v>17</v>
      </c>
      <c r="K7116" s="9">
        <v>20</v>
      </c>
      <c r="L7116" s="16" t="s">
        <v>26</v>
      </c>
      <c r="M7116" s="16">
        <f t="shared" si="663"/>
        <v>-0.38478275585780503</v>
      </c>
      <c r="N7116">
        <f t="shared" si="664"/>
        <v>0</v>
      </c>
      <c r="O7116">
        <f t="shared" si="665"/>
        <v>0</v>
      </c>
      <c r="P7116">
        <f t="shared" ref="P7116:P7179" si="668">50*K7116+$P$10</f>
        <v>4400</v>
      </c>
      <c r="Q7116">
        <f t="shared" si="666"/>
        <v>4400</v>
      </c>
      <c r="T7116" s="16">
        <f t="shared" si="667"/>
        <v>-0.38478275585780541</v>
      </c>
    </row>
    <row r="7117" spans="7:20" ht="14.4" x14ac:dyDescent="0.25">
      <c r="G7117" s="10">
        <v>5842</v>
      </c>
      <c r="H7117" s="9">
        <v>41440</v>
      </c>
      <c r="I7117" s="14">
        <f>DATE(2012,12,31)-1196</f>
        <v>40078</v>
      </c>
      <c r="J7117" s="15" t="s">
        <v>17</v>
      </c>
      <c r="K7117" s="9">
        <v>19</v>
      </c>
      <c r="L7117" s="16" t="s">
        <v>29</v>
      </c>
      <c r="M7117" s="16">
        <f t="shared" ref="M7117:M7180" si="669">(K7117-$K$4)/$K$7</f>
        <v>-0.45384253247702649</v>
      </c>
      <c r="N7117">
        <f t="shared" ref="N7117:N7180" si="670">IF(MOD($B$20+G7117,1000)=0,1,0)</f>
        <v>0</v>
      </c>
      <c r="O7117">
        <f t="shared" ref="O7117:O7180" si="671">+ROUND(N7117*(IF(K7117&lt;$K$4,-4.5,10.5)*$P$5),-2)</f>
        <v>0</v>
      </c>
      <c r="P7117">
        <f t="shared" si="668"/>
        <v>4350</v>
      </c>
      <c r="Q7117">
        <f t="shared" ref="Q7117:Q7180" si="672">P7117+O7117</f>
        <v>4350</v>
      </c>
      <c r="T7117" s="16">
        <f t="shared" ref="T7117:T7180" si="673">(Q7117-$P$4)/$P$5</f>
        <v>-0.45384253247702688</v>
      </c>
    </row>
    <row r="7118" spans="7:20" ht="14.4" x14ac:dyDescent="0.25">
      <c r="G7118" s="10">
        <v>5850</v>
      </c>
      <c r="H7118" s="9">
        <v>41539</v>
      </c>
      <c r="I7118" s="14">
        <f>DATE(2012,12,31)-608</f>
        <v>40666</v>
      </c>
      <c r="J7118" s="15" t="s">
        <v>17</v>
      </c>
      <c r="K7118" s="9">
        <v>24</v>
      </c>
      <c r="L7118" s="16" t="s">
        <v>26</v>
      </c>
      <c r="M7118" s="16">
        <f t="shared" si="669"/>
        <v>-0.1085436493809193</v>
      </c>
      <c r="N7118">
        <f t="shared" si="670"/>
        <v>0</v>
      </c>
      <c r="O7118">
        <f t="shared" si="671"/>
        <v>0</v>
      </c>
      <c r="P7118">
        <f t="shared" si="668"/>
        <v>4600</v>
      </c>
      <c r="Q7118">
        <f t="shared" si="672"/>
        <v>4600</v>
      </c>
      <c r="T7118" s="16">
        <f t="shared" si="673"/>
        <v>-0.10854364938091969</v>
      </c>
    </row>
    <row r="7119" spans="7:20" ht="14.4" x14ac:dyDescent="0.25">
      <c r="G7119" s="10">
        <v>5851</v>
      </c>
      <c r="H7119" s="9">
        <v>41539</v>
      </c>
      <c r="I7119" s="14">
        <f>DATE(2012,12,31)-608</f>
        <v>40666</v>
      </c>
      <c r="J7119" s="15" t="s">
        <v>17</v>
      </c>
      <c r="K7119" s="9">
        <v>41</v>
      </c>
      <c r="L7119" s="16" t="s">
        <v>27</v>
      </c>
      <c r="M7119" s="16">
        <f t="shared" si="669"/>
        <v>1.0654725531458451</v>
      </c>
      <c r="N7119">
        <f t="shared" si="670"/>
        <v>0</v>
      </c>
      <c r="O7119">
        <f t="shared" si="671"/>
        <v>0</v>
      </c>
      <c r="P7119">
        <f t="shared" si="668"/>
        <v>5450</v>
      </c>
      <c r="Q7119">
        <f t="shared" si="672"/>
        <v>5450</v>
      </c>
      <c r="T7119" s="16">
        <f t="shared" si="673"/>
        <v>1.0654725531458447</v>
      </c>
    </row>
    <row r="7120" spans="7:20" ht="14.4" x14ac:dyDescent="0.25">
      <c r="G7120" s="10">
        <v>5859</v>
      </c>
      <c r="H7120" s="9">
        <v>41574</v>
      </c>
      <c r="I7120" s="14">
        <f>DATE(2012,12,31)-833</f>
        <v>40441</v>
      </c>
      <c r="J7120" s="15" t="s">
        <v>17</v>
      </c>
      <c r="K7120" s="9">
        <v>23</v>
      </c>
      <c r="L7120" s="16" t="s">
        <v>26</v>
      </c>
      <c r="M7120" s="16">
        <f t="shared" si="669"/>
        <v>-0.17760342600014073</v>
      </c>
      <c r="N7120">
        <f t="shared" si="670"/>
        <v>0</v>
      </c>
      <c r="O7120">
        <f t="shared" si="671"/>
        <v>0</v>
      </c>
      <c r="P7120">
        <f t="shared" si="668"/>
        <v>4550</v>
      </c>
      <c r="Q7120">
        <f t="shared" si="672"/>
        <v>4550</v>
      </c>
      <c r="T7120" s="16">
        <f t="shared" si="673"/>
        <v>-0.17760342600014112</v>
      </c>
    </row>
    <row r="7121" spans="7:20" ht="14.4" x14ac:dyDescent="0.25">
      <c r="G7121" s="10">
        <v>5902</v>
      </c>
      <c r="H7121" s="9">
        <v>41831</v>
      </c>
      <c r="I7121" s="14">
        <f>DATE(2012,12,31)-163</f>
        <v>41111</v>
      </c>
      <c r="J7121" s="15" t="s">
        <v>28</v>
      </c>
      <c r="K7121" s="9">
        <v>43</v>
      </c>
      <c r="L7121" s="16" t="s">
        <v>27</v>
      </c>
      <c r="M7121" s="16">
        <f t="shared" si="669"/>
        <v>1.203592106384288</v>
      </c>
      <c r="N7121">
        <f t="shared" si="670"/>
        <v>0</v>
      </c>
      <c r="O7121">
        <f t="shared" si="671"/>
        <v>0</v>
      </c>
      <c r="P7121">
        <f t="shared" si="668"/>
        <v>5550</v>
      </c>
      <c r="Q7121">
        <f t="shared" si="672"/>
        <v>5550</v>
      </c>
      <c r="T7121" s="16">
        <f t="shared" si="673"/>
        <v>1.2035921063842876</v>
      </c>
    </row>
    <row r="7122" spans="7:20" ht="14.4" x14ac:dyDescent="0.25">
      <c r="G7122" s="10">
        <v>5903</v>
      </c>
      <c r="H7122" s="9">
        <v>41831</v>
      </c>
      <c r="I7122" s="14">
        <f>DATE(2012,12,31)-163</f>
        <v>41111</v>
      </c>
      <c r="J7122" s="15" t="s">
        <v>28</v>
      </c>
      <c r="K7122" s="9">
        <v>38</v>
      </c>
      <c r="L7122" s="16" t="s">
        <v>26</v>
      </c>
      <c r="M7122" s="16">
        <f t="shared" si="669"/>
        <v>0.85829322328818081</v>
      </c>
      <c r="N7122">
        <f t="shared" si="670"/>
        <v>0</v>
      </c>
      <c r="O7122">
        <f t="shared" si="671"/>
        <v>0</v>
      </c>
      <c r="P7122">
        <f t="shared" si="668"/>
        <v>5300</v>
      </c>
      <c r="Q7122">
        <f t="shared" si="672"/>
        <v>5300</v>
      </c>
      <c r="T7122" s="16">
        <f t="shared" si="673"/>
        <v>0.85829322328818036</v>
      </c>
    </row>
    <row r="7123" spans="7:20" ht="14.4" x14ac:dyDescent="0.25">
      <c r="G7123" s="10">
        <v>5906</v>
      </c>
      <c r="H7123" s="9">
        <v>41888</v>
      </c>
      <c r="I7123" s="14">
        <f>DATE(2012,12,31)-1402</f>
        <v>39872</v>
      </c>
      <c r="J7123" s="15" t="s">
        <v>25</v>
      </c>
      <c r="K7123" s="9">
        <v>18</v>
      </c>
      <c r="L7123" s="16" t="s">
        <v>26</v>
      </c>
      <c r="M7123" s="16">
        <f t="shared" si="669"/>
        <v>-0.52290230909624791</v>
      </c>
      <c r="N7123">
        <f t="shared" si="670"/>
        <v>0</v>
      </c>
      <c r="O7123">
        <f t="shared" si="671"/>
        <v>0</v>
      </c>
      <c r="P7123">
        <f t="shared" si="668"/>
        <v>4300</v>
      </c>
      <c r="Q7123">
        <f t="shared" si="672"/>
        <v>4300</v>
      </c>
      <c r="T7123" s="16">
        <f t="shared" si="673"/>
        <v>-0.52290230909624835</v>
      </c>
    </row>
    <row r="7124" spans="7:20" ht="14.4" x14ac:dyDescent="0.25">
      <c r="G7124" s="10">
        <v>5907</v>
      </c>
      <c r="H7124" s="9">
        <v>41888</v>
      </c>
      <c r="I7124" s="14">
        <f>DATE(2012,12,31)-1402</f>
        <v>39872</v>
      </c>
      <c r="J7124" s="15" t="s">
        <v>25</v>
      </c>
      <c r="K7124" s="9">
        <v>23</v>
      </c>
      <c r="L7124" s="16" t="s">
        <v>27</v>
      </c>
      <c r="M7124" s="16">
        <f t="shared" si="669"/>
        <v>-0.17760342600014073</v>
      </c>
      <c r="N7124">
        <f t="shared" si="670"/>
        <v>0</v>
      </c>
      <c r="O7124">
        <f t="shared" si="671"/>
        <v>0</v>
      </c>
      <c r="P7124">
        <f t="shared" si="668"/>
        <v>4550</v>
      </c>
      <c r="Q7124">
        <f t="shared" si="672"/>
        <v>4550</v>
      </c>
      <c r="T7124" s="16">
        <f t="shared" si="673"/>
        <v>-0.17760342600014112</v>
      </c>
    </row>
    <row r="7125" spans="7:20" ht="14.4" x14ac:dyDescent="0.25">
      <c r="G7125" s="10">
        <v>5908</v>
      </c>
      <c r="H7125" s="9">
        <v>41888</v>
      </c>
      <c r="I7125" s="14">
        <f>DATE(2012,12,31)-1402</f>
        <v>39872</v>
      </c>
      <c r="J7125" s="15" t="s">
        <v>25</v>
      </c>
      <c r="K7125" s="9">
        <v>29</v>
      </c>
      <c r="L7125" s="16" t="s">
        <v>27</v>
      </c>
      <c r="M7125" s="16">
        <f t="shared" si="669"/>
        <v>0.23675523371518786</v>
      </c>
      <c r="N7125">
        <f t="shared" si="670"/>
        <v>0</v>
      </c>
      <c r="O7125">
        <f t="shared" si="671"/>
        <v>0</v>
      </c>
      <c r="P7125">
        <f t="shared" si="668"/>
        <v>4850</v>
      </c>
      <c r="Q7125">
        <f t="shared" si="672"/>
        <v>4850</v>
      </c>
      <c r="T7125" s="16">
        <f t="shared" si="673"/>
        <v>0.2367552337151875</v>
      </c>
    </row>
    <row r="7126" spans="7:20" ht="14.4" x14ac:dyDescent="0.25">
      <c r="G7126" s="10">
        <v>5927</v>
      </c>
      <c r="H7126" s="9">
        <v>42054</v>
      </c>
      <c r="I7126" s="14">
        <f>DATE(2012,12,31)-108</f>
        <v>41166</v>
      </c>
      <c r="J7126" s="15" t="s">
        <v>16</v>
      </c>
      <c r="K7126" s="9">
        <v>32</v>
      </c>
      <c r="L7126" s="16" t="s">
        <v>26</v>
      </c>
      <c r="M7126" s="16">
        <f t="shared" si="669"/>
        <v>0.44393456357285216</v>
      </c>
      <c r="N7126">
        <f t="shared" si="670"/>
        <v>0</v>
      </c>
      <c r="O7126">
        <f t="shared" si="671"/>
        <v>0</v>
      </c>
      <c r="P7126">
        <f t="shared" si="668"/>
        <v>5000</v>
      </c>
      <c r="Q7126">
        <f t="shared" si="672"/>
        <v>5000</v>
      </c>
      <c r="T7126" s="16">
        <f t="shared" si="673"/>
        <v>0.44393456357285183</v>
      </c>
    </row>
    <row r="7127" spans="7:20" ht="14.4" x14ac:dyDescent="0.25">
      <c r="G7127" s="10">
        <v>5940</v>
      </c>
      <c r="H7127" s="9">
        <v>42148</v>
      </c>
      <c r="I7127" s="14">
        <f>DATE(2012,12,31)-438</f>
        <v>40836</v>
      </c>
      <c r="J7127" s="15" t="s">
        <v>30</v>
      </c>
      <c r="K7127" s="9">
        <v>11</v>
      </c>
      <c r="L7127" s="16" t="s">
        <v>26</v>
      </c>
      <c r="M7127" s="16">
        <f t="shared" si="669"/>
        <v>-1.0063207454307979</v>
      </c>
      <c r="N7127">
        <f t="shared" si="670"/>
        <v>0</v>
      </c>
      <c r="O7127">
        <f t="shared" si="671"/>
        <v>0</v>
      </c>
      <c r="P7127">
        <f t="shared" si="668"/>
        <v>3950</v>
      </c>
      <c r="Q7127">
        <f t="shared" si="672"/>
        <v>3950</v>
      </c>
      <c r="T7127" s="16">
        <f t="shared" si="673"/>
        <v>-1.0063207454307983</v>
      </c>
    </row>
    <row r="7128" spans="7:20" ht="14.4" x14ac:dyDescent="0.25">
      <c r="G7128" s="10">
        <v>5959</v>
      </c>
      <c r="H7128" s="9">
        <v>42306</v>
      </c>
      <c r="I7128" s="14">
        <f>DATE(2012,12,31)-108</f>
        <v>41166</v>
      </c>
      <c r="J7128" s="15" t="s">
        <v>17</v>
      </c>
      <c r="K7128" s="9">
        <v>4</v>
      </c>
      <c r="L7128" s="16" t="s">
        <v>26</v>
      </c>
      <c r="M7128" s="16">
        <f t="shared" si="669"/>
        <v>-1.489739181765348</v>
      </c>
      <c r="N7128">
        <f t="shared" si="670"/>
        <v>0</v>
      </c>
      <c r="O7128">
        <f t="shared" si="671"/>
        <v>0</v>
      </c>
      <c r="P7128">
        <f t="shared" si="668"/>
        <v>3600</v>
      </c>
      <c r="Q7128">
        <f t="shared" si="672"/>
        <v>3600</v>
      </c>
      <c r="T7128" s="16">
        <f t="shared" si="673"/>
        <v>-1.4897391817653485</v>
      </c>
    </row>
    <row r="7129" spans="7:20" ht="14.4" x14ac:dyDescent="0.25">
      <c r="G7129" s="10">
        <v>5967</v>
      </c>
      <c r="H7129" s="9">
        <v>42338</v>
      </c>
      <c r="I7129" s="14">
        <f>DATE(2012,12,31)-1155</f>
        <v>40119</v>
      </c>
      <c r="J7129" s="15" t="s">
        <v>28</v>
      </c>
      <c r="K7129" s="9">
        <v>14</v>
      </c>
      <c r="L7129" s="16" t="s">
        <v>29</v>
      </c>
      <c r="M7129" s="16">
        <f t="shared" si="669"/>
        <v>-0.79914141557313367</v>
      </c>
      <c r="N7129">
        <f t="shared" si="670"/>
        <v>0</v>
      </c>
      <c r="O7129">
        <f t="shared" si="671"/>
        <v>0</v>
      </c>
      <c r="P7129">
        <f t="shared" si="668"/>
        <v>4100</v>
      </c>
      <c r="Q7129">
        <f t="shared" si="672"/>
        <v>4100</v>
      </c>
      <c r="T7129" s="16">
        <f t="shared" si="673"/>
        <v>-0.79914141557313401</v>
      </c>
    </row>
    <row r="7130" spans="7:20" ht="14.4" x14ac:dyDescent="0.25">
      <c r="G7130" s="10">
        <v>5968</v>
      </c>
      <c r="H7130" s="9">
        <v>42338</v>
      </c>
      <c r="I7130" s="14">
        <f>DATE(2012,12,31)-1155</f>
        <v>40119</v>
      </c>
      <c r="J7130" s="15" t="s">
        <v>28</v>
      </c>
      <c r="K7130" s="9">
        <v>32</v>
      </c>
      <c r="L7130" s="16" t="s">
        <v>27</v>
      </c>
      <c r="M7130" s="16">
        <f t="shared" si="669"/>
        <v>0.44393456357285216</v>
      </c>
      <c r="N7130">
        <f t="shared" si="670"/>
        <v>0</v>
      </c>
      <c r="O7130">
        <f t="shared" si="671"/>
        <v>0</v>
      </c>
      <c r="P7130">
        <f t="shared" si="668"/>
        <v>5000</v>
      </c>
      <c r="Q7130">
        <f t="shared" si="672"/>
        <v>5000</v>
      </c>
      <c r="T7130" s="16">
        <f t="shared" si="673"/>
        <v>0.44393456357285183</v>
      </c>
    </row>
    <row r="7131" spans="7:20" ht="14.4" x14ac:dyDescent="0.25">
      <c r="G7131" s="10">
        <v>5972</v>
      </c>
      <c r="H7131" s="9">
        <v>42343</v>
      </c>
      <c r="I7131" s="14">
        <f>DATE(2012,12,31)-1235</f>
        <v>40039</v>
      </c>
      <c r="J7131" s="15" t="s">
        <v>30</v>
      </c>
      <c r="K7131" s="9">
        <v>46</v>
      </c>
      <c r="L7131" s="16" t="s">
        <v>29</v>
      </c>
      <c r="M7131" s="16">
        <f t="shared" si="669"/>
        <v>1.4107714362419523</v>
      </c>
      <c r="N7131">
        <f t="shared" si="670"/>
        <v>0</v>
      </c>
      <c r="O7131">
        <f t="shared" si="671"/>
        <v>0</v>
      </c>
      <c r="P7131">
        <f t="shared" si="668"/>
        <v>5700</v>
      </c>
      <c r="Q7131">
        <f t="shared" si="672"/>
        <v>5700</v>
      </c>
      <c r="T7131" s="16">
        <f t="shared" si="673"/>
        <v>1.4107714362419519</v>
      </c>
    </row>
    <row r="7132" spans="7:20" ht="14.4" x14ac:dyDescent="0.25">
      <c r="G7132" s="10">
        <v>5973</v>
      </c>
      <c r="H7132" s="9">
        <v>42343</v>
      </c>
      <c r="I7132" s="14">
        <f>DATE(2012,12,31)-1235</f>
        <v>40039</v>
      </c>
      <c r="J7132" s="15" t="s">
        <v>30</v>
      </c>
      <c r="K7132" s="9">
        <v>31</v>
      </c>
      <c r="L7132" s="16" t="s">
        <v>26</v>
      </c>
      <c r="M7132" s="16">
        <f t="shared" si="669"/>
        <v>0.37487478695363075</v>
      </c>
      <c r="N7132">
        <f t="shared" si="670"/>
        <v>0</v>
      </c>
      <c r="O7132">
        <f t="shared" si="671"/>
        <v>0</v>
      </c>
      <c r="P7132">
        <f t="shared" si="668"/>
        <v>4950</v>
      </c>
      <c r="Q7132">
        <f t="shared" si="672"/>
        <v>4950</v>
      </c>
      <c r="T7132" s="16">
        <f t="shared" si="673"/>
        <v>0.37487478695363036</v>
      </c>
    </row>
    <row r="7133" spans="7:20" ht="14.4" x14ac:dyDescent="0.25">
      <c r="G7133" s="10">
        <v>5991</v>
      </c>
      <c r="H7133" s="9">
        <v>42467</v>
      </c>
      <c r="I7133" s="14">
        <f>DATE(2012,12,31)-809</f>
        <v>40465</v>
      </c>
      <c r="J7133" s="15" t="s">
        <v>17</v>
      </c>
      <c r="K7133" s="9">
        <v>10</v>
      </c>
      <c r="L7133" s="16" t="s">
        <v>26</v>
      </c>
      <c r="M7133" s="16">
        <f t="shared" si="669"/>
        <v>-1.0753805220500194</v>
      </c>
      <c r="N7133">
        <f t="shared" si="670"/>
        <v>0</v>
      </c>
      <c r="O7133">
        <f t="shared" si="671"/>
        <v>0</v>
      </c>
      <c r="P7133">
        <f t="shared" si="668"/>
        <v>3900</v>
      </c>
      <c r="Q7133">
        <f t="shared" si="672"/>
        <v>3900</v>
      </c>
      <c r="T7133" s="16">
        <f t="shared" si="673"/>
        <v>-1.0753805220500199</v>
      </c>
    </row>
    <row r="7134" spans="7:20" ht="14.4" x14ac:dyDescent="0.25">
      <c r="G7134" s="10">
        <v>5992</v>
      </c>
      <c r="H7134" s="9">
        <v>42467</v>
      </c>
      <c r="I7134" s="14">
        <f>DATE(2012,12,31)-809</f>
        <v>40465</v>
      </c>
      <c r="J7134" s="15" t="s">
        <v>17</v>
      </c>
      <c r="K7134" s="9">
        <v>39</v>
      </c>
      <c r="L7134" s="16" t="s">
        <v>27</v>
      </c>
      <c r="M7134" s="16">
        <f t="shared" si="669"/>
        <v>0.92735299990740228</v>
      </c>
      <c r="N7134">
        <f t="shared" si="670"/>
        <v>0</v>
      </c>
      <c r="O7134">
        <f t="shared" si="671"/>
        <v>0</v>
      </c>
      <c r="P7134">
        <f t="shared" si="668"/>
        <v>5350</v>
      </c>
      <c r="Q7134">
        <f t="shared" si="672"/>
        <v>5350</v>
      </c>
      <c r="T7134" s="16">
        <f t="shared" si="673"/>
        <v>0.92735299990740183</v>
      </c>
    </row>
    <row r="7135" spans="7:20" ht="14.4" x14ac:dyDescent="0.25">
      <c r="G7135" s="10">
        <v>5993</v>
      </c>
      <c r="H7135" s="9">
        <v>42467</v>
      </c>
      <c r="I7135" s="14">
        <f>DATE(2012,12,31)-809</f>
        <v>40465</v>
      </c>
      <c r="J7135" s="15" t="s">
        <v>17</v>
      </c>
      <c r="K7135" s="9">
        <v>12</v>
      </c>
      <c r="L7135" s="16" t="s">
        <v>27</v>
      </c>
      <c r="M7135" s="16">
        <f t="shared" si="669"/>
        <v>-0.9372609688115765</v>
      </c>
      <c r="N7135">
        <f t="shared" si="670"/>
        <v>0</v>
      </c>
      <c r="O7135">
        <f t="shared" si="671"/>
        <v>0</v>
      </c>
      <c r="P7135">
        <f t="shared" si="668"/>
        <v>4000</v>
      </c>
      <c r="Q7135">
        <f t="shared" si="672"/>
        <v>4000</v>
      </c>
      <c r="T7135" s="16">
        <f t="shared" si="673"/>
        <v>-0.93726096881157694</v>
      </c>
    </row>
    <row r="7136" spans="7:20" ht="14.4" x14ac:dyDescent="0.25">
      <c r="G7136" s="10">
        <v>6005</v>
      </c>
      <c r="H7136" s="9">
        <v>42529</v>
      </c>
      <c r="I7136" s="14">
        <f>DATE(2012,12,31)-813</f>
        <v>40461</v>
      </c>
      <c r="J7136" s="15" t="s">
        <v>25</v>
      </c>
      <c r="K7136" s="9">
        <v>8</v>
      </c>
      <c r="L7136" s="16" t="s">
        <v>26</v>
      </c>
      <c r="M7136" s="16">
        <f t="shared" si="669"/>
        <v>-1.2135000752884624</v>
      </c>
      <c r="N7136">
        <f t="shared" si="670"/>
        <v>0</v>
      </c>
      <c r="O7136">
        <f t="shared" si="671"/>
        <v>0</v>
      </c>
      <c r="P7136">
        <f t="shared" si="668"/>
        <v>3800</v>
      </c>
      <c r="Q7136">
        <f t="shared" si="672"/>
        <v>3800</v>
      </c>
      <c r="T7136" s="16">
        <f t="shared" si="673"/>
        <v>-1.2135000752884626</v>
      </c>
    </row>
    <row r="7137" spans="7:20" ht="14.4" x14ac:dyDescent="0.25">
      <c r="G7137" s="10">
        <v>6008</v>
      </c>
      <c r="H7137" s="9">
        <v>42563</v>
      </c>
      <c r="I7137" s="14">
        <f>DATE(2012,12,31)-872</f>
        <v>40402</v>
      </c>
      <c r="J7137" s="15" t="s">
        <v>16</v>
      </c>
      <c r="K7137" s="9">
        <v>7</v>
      </c>
      <c r="L7137" s="16" t="s">
        <v>26</v>
      </c>
      <c r="M7137" s="16">
        <f t="shared" si="669"/>
        <v>-1.2825598519076837</v>
      </c>
      <c r="N7137">
        <f t="shared" si="670"/>
        <v>0</v>
      </c>
      <c r="O7137">
        <f t="shared" si="671"/>
        <v>0</v>
      </c>
      <c r="P7137">
        <f t="shared" si="668"/>
        <v>3750</v>
      </c>
      <c r="Q7137">
        <f t="shared" si="672"/>
        <v>3750</v>
      </c>
      <c r="T7137" s="16">
        <f t="shared" si="673"/>
        <v>-1.2825598519076842</v>
      </c>
    </row>
    <row r="7138" spans="7:20" ht="14.4" x14ac:dyDescent="0.25">
      <c r="G7138" s="10">
        <v>6011</v>
      </c>
      <c r="H7138" s="9">
        <v>42567</v>
      </c>
      <c r="I7138" s="14">
        <f>DATE(2012,12,31)-1085</f>
        <v>40189</v>
      </c>
      <c r="J7138" s="15" t="s">
        <v>30</v>
      </c>
      <c r="K7138" s="9">
        <v>12</v>
      </c>
      <c r="L7138" s="16" t="s">
        <v>29</v>
      </c>
      <c r="M7138" s="16">
        <f t="shared" si="669"/>
        <v>-0.9372609688115765</v>
      </c>
      <c r="N7138">
        <f t="shared" si="670"/>
        <v>0</v>
      </c>
      <c r="O7138">
        <f t="shared" si="671"/>
        <v>0</v>
      </c>
      <c r="P7138">
        <f t="shared" si="668"/>
        <v>4000</v>
      </c>
      <c r="Q7138">
        <f t="shared" si="672"/>
        <v>4000</v>
      </c>
      <c r="T7138" s="16">
        <f t="shared" si="673"/>
        <v>-0.93726096881157694</v>
      </c>
    </row>
    <row r="7139" spans="7:20" ht="14.4" x14ac:dyDescent="0.25">
      <c r="G7139" s="10">
        <v>6024</v>
      </c>
      <c r="H7139" s="9">
        <v>42691</v>
      </c>
      <c r="I7139" s="14">
        <f>DATE(2012,12,31)-952</f>
        <v>40322</v>
      </c>
      <c r="J7139" s="15" t="s">
        <v>25</v>
      </c>
      <c r="K7139" s="9">
        <v>50</v>
      </c>
      <c r="L7139" s="16" t="s">
        <v>29</v>
      </c>
      <c r="M7139" s="16">
        <f t="shared" si="669"/>
        <v>1.687010542718838</v>
      </c>
      <c r="N7139">
        <f t="shared" si="670"/>
        <v>0</v>
      </c>
      <c r="O7139">
        <f t="shared" si="671"/>
        <v>0</v>
      </c>
      <c r="P7139">
        <f t="shared" si="668"/>
        <v>5900</v>
      </c>
      <c r="Q7139">
        <f t="shared" si="672"/>
        <v>5900</v>
      </c>
      <c r="T7139" s="16">
        <f t="shared" si="673"/>
        <v>1.6870105427188375</v>
      </c>
    </row>
    <row r="7140" spans="7:20" ht="14.4" x14ac:dyDescent="0.25">
      <c r="G7140" s="10">
        <v>6025</v>
      </c>
      <c r="H7140" s="9">
        <v>42691</v>
      </c>
      <c r="I7140" s="14">
        <f>DATE(2012,12,31)-952</f>
        <v>40322</v>
      </c>
      <c r="J7140" s="15" t="s">
        <v>25</v>
      </c>
      <c r="K7140" s="9">
        <v>7</v>
      </c>
      <c r="L7140" s="16" t="s">
        <v>26</v>
      </c>
      <c r="M7140" s="16">
        <f t="shared" si="669"/>
        <v>-1.2825598519076837</v>
      </c>
      <c r="N7140">
        <f t="shared" si="670"/>
        <v>0</v>
      </c>
      <c r="O7140">
        <f t="shared" si="671"/>
        <v>0</v>
      </c>
      <c r="P7140">
        <f t="shared" si="668"/>
        <v>3750</v>
      </c>
      <c r="Q7140">
        <f t="shared" si="672"/>
        <v>3750</v>
      </c>
      <c r="T7140" s="16">
        <f t="shared" si="673"/>
        <v>-1.2825598519076842</v>
      </c>
    </row>
    <row r="7141" spans="7:20" ht="14.4" x14ac:dyDescent="0.25">
      <c r="G7141" s="10">
        <v>6058</v>
      </c>
      <c r="H7141" s="9">
        <v>42919</v>
      </c>
      <c r="I7141" s="14">
        <f>DATE(2012,12,31)-452</f>
        <v>40822</v>
      </c>
      <c r="J7141" s="15" t="s">
        <v>16</v>
      </c>
      <c r="K7141" s="9">
        <v>7</v>
      </c>
      <c r="L7141" s="16" t="s">
        <v>27</v>
      </c>
      <c r="M7141" s="16">
        <f t="shared" si="669"/>
        <v>-1.2825598519076837</v>
      </c>
      <c r="N7141">
        <f t="shared" si="670"/>
        <v>0</v>
      </c>
      <c r="O7141">
        <f t="shared" si="671"/>
        <v>0</v>
      </c>
      <c r="P7141">
        <f t="shared" si="668"/>
        <v>3750</v>
      </c>
      <c r="Q7141">
        <f t="shared" si="672"/>
        <v>3750</v>
      </c>
      <c r="T7141" s="16">
        <f t="shared" si="673"/>
        <v>-1.2825598519076842</v>
      </c>
    </row>
    <row r="7142" spans="7:20" ht="14.4" x14ac:dyDescent="0.25">
      <c r="G7142" s="10">
        <v>6070</v>
      </c>
      <c r="H7142" s="9">
        <v>43010</v>
      </c>
      <c r="I7142" s="14">
        <f>DATE(2012,12,31)-83</f>
        <v>41191</v>
      </c>
      <c r="J7142" s="15" t="s">
        <v>30</v>
      </c>
      <c r="K7142" s="9">
        <v>40</v>
      </c>
      <c r="L7142" s="16" t="s">
        <v>26</v>
      </c>
      <c r="M7142" s="16">
        <f t="shared" si="669"/>
        <v>0.99641277652662363</v>
      </c>
      <c r="N7142">
        <f t="shared" si="670"/>
        <v>0</v>
      </c>
      <c r="O7142">
        <f t="shared" si="671"/>
        <v>0</v>
      </c>
      <c r="P7142">
        <f t="shared" si="668"/>
        <v>5400</v>
      </c>
      <c r="Q7142">
        <f t="shared" si="672"/>
        <v>5400</v>
      </c>
      <c r="T7142" s="16">
        <f t="shared" si="673"/>
        <v>0.9964127765266233</v>
      </c>
    </row>
    <row r="7143" spans="7:20" ht="14.4" x14ac:dyDescent="0.25">
      <c r="G7143" s="10">
        <v>6071</v>
      </c>
      <c r="H7143" s="9">
        <v>43010</v>
      </c>
      <c r="I7143" s="14">
        <f>DATE(2012,12,31)-83</f>
        <v>41191</v>
      </c>
      <c r="J7143" s="15" t="s">
        <v>30</v>
      </c>
      <c r="K7143" s="9">
        <v>24</v>
      </c>
      <c r="L7143" s="16" t="s">
        <v>26</v>
      </c>
      <c r="M7143" s="16">
        <f t="shared" si="669"/>
        <v>-0.1085436493809193</v>
      </c>
      <c r="N7143">
        <f t="shared" si="670"/>
        <v>0</v>
      </c>
      <c r="O7143">
        <f t="shared" si="671"/>
        <v>0</v>
      </c>
      <c r="P7143">
        <f t="shared" si="668"/>
        <v>4600</v>
      </c>
      <c r="Q7143">
        <f t="shared" si="672"/>
        <v>4600</v>
      </c>
      <c r="T7143" s="16">
        <f t="shared" si="673"/>
        <v>-0.10854364938091969</v>
      </c>
    </row>
    <row r="7144" spans="7:20" ht="14.4" x14ac:dyDescent="0.25">
      <c r="G7144" s="10">
        <v>6074</v>
      </c>
      <c r="H7144" s="9">
        <v>43043</v>
      </c>
      <c r="I7144" s="14">
        <f>DATE(2012,12,31)-261</f>
        <v>41013</v>
      </c>
      <c r="J7144" s="15" t="s">
        <v>30</v>
      </c>
      <c r="K7144" s="9">
        <v>4</v>
      </c>
      <c r="L7144" s="16" t="s">
        <v>26</v>
      </c>
      <c r="M7144" s="16">
        <f t="shared" si="669"/>
        <v>-1.489739181765348</v>
      </c>
      <c r="N7144">
        <f t="shared" si="670"/>
        <v>0</v>
      </c>
      <c r="O7144">
        <f t="shared" si="671"/>
        <v>0</v>
      </c>
      <c r="P7144">
        <f t="shared" si="668"/>
        <v>3600</v>
      </c>
      <c r="Q7144">
        <f t="shared" si="672"/>
        <v>3600</v>
      </c>
      <c r="T7144" s="16">
        <f t="shared" si="673"/>
        <v>-1.4897391817653485</v>
      </c>
    </row>
    <row r="7145" spans="7:20" ht="14.4" x14ac:dyDescent="0.25">
      <c r="G7145" s="10">
        <v>6092</v>
      </c>
      <c r="H7145" s="9">
        <v>43170</v>
      </c>
      <c r="I7145" s="14">
        <f>DATE(2012,12,31)-963</f>
        <v>40311</v>
      </c>
      <c r="J7145" s="15" t="s">
        <v>25</v>
      </c>
      <c r="K7145" s="9">
        <v>25</v>
      </c>
      <c r="L7145" s="16" t="s">
        <v>27</v>
      </c>
      <c r="M7145" s="16">
        <f t="shared" si="669"/>
        <v>-3.9483872761697868E-2</v>
      </c>
      <c r="N7145">
        <f t="shared" si="670"/>
        <v>0</v>
      </c>
      <c r="O7145">
        <f t="shared" si="671"/>
        <v>0</v>
      </c>
      <c r="P7145">
        <f t="shared" si="668"/>
        <v>4650</v>
      </c>
      <c r="Q7145">
        <f t="shared" si="672"/>
        <v>4650</v>
      </c>
      <c r="T7145" s="16">
        <f t="shared" si="673"/>
        <v>-3.9483872761698249E-2</v>
      </c>
    </row>
    <row r="7146" spans="7:20" ht="14.4" x14ac:dyDescent="0.25">
      <c r="G7146" s="10">
        <v>6093</v>
      </c>
      <c r="H7146" s="9">
        <v>43170</v>
      </c>
      <c r="I7146" s="14">
        <f>DATE(2012,12,31)-963</f>
        <v>40311</v>
      </c>
      <c r="J7146" s="15" t="s">
        <v>25</v>
      </c>
      <c r="K7146" s="9">
        <v>40</v>
      </c>
      <c r="L7146" s="16" t="s">
        <v>26</v>
      </c>
      <c r="M7146" s="16">
        <f t="shared" si="669"/>
        <v>0.99641277652662363</v>
      </c>
      <c r="N7146">
        <f t="shared" si="670"/>
        <v>0</v>
      </c>
      <c r="O7146">
        <f t="shared" si="671"/>
        <v>0</v>
      </c>
      <c r="P7146">
        <f t="shared" si="668"/>
        <v>5400</v>
      </c>
      <c r="Q7146">
        <f t="shared" si="672"/>
        <v>5400</v>
      </c>
      <c r="T7146" s="16">
        <f t="shared" si="673"/>
        <v>0.9964127765266233</v>
      </c>
    </row>
    <row r="7147" spans="7:20" ht="14.4" x14ac:dyDescent="0.25">
      <c r="G7147" s="10">
        <v>6130</v>
      </c>
      <c r="H7147" s="9">
        <v>43397</v>
      </c>
      <c r="I7147" s="14">
        <f>DATE(2012,12,31)-599</f>
        <v>40675</v>
      </c>
      <c r="J7147" s="15" t="s">
        <v>30</v>
      </c>
      <c r="K7147" s="9">
        <v>35</v>
      </c>
      <c r="L7147" s="16" t="s">
        <v>29</v>
      </c>
      <c r="M7147" s="16">
        <f t="shared" si="669"/>
        <v>0.65111389343051651</v>
      </c>
      <c r="N7147">
        <f t="shared" si="670"/>
        <v>0</v>
      </c>
      <c r="O7147">
        <f t="shared" si="671"/>
        <v>0</v>
      </c>
      <c r="P7147">
        <f t="shared" si="668"/>
        <v>5150</v>
      </c>
      <c r="Q7147">
        <f t="shared" si="672"/>
        <v>5150</v>
      </c>
      <c r="T7147" s="16">
        <f t="shared" si="673"/>
        <v>0.65111389343051607</v>
      </c>
    </row>
    <row r="7148" spans="7:20" ht="14.4" x14ac:dyDescent="0.25">
      <c r="G7148" s="10">
        <v>6146</v>
      </c>
      <c r="H7148" s="9">
        <v>43494</v>
      </c>
      <c r="I7148" s="14">
        <f>DATE(2012,12,31)-363</f>
        <v>40911</v>
      </c>
      <c r="J7148" s="15" t="s">
        <v>16</v>
      </c>
      <c r="K7148" s="9">
        <v>2</v>
      </c>
      <c r="L7148" s="16" t="s">
        <v>27</v>
      </c>
      <c r="M7148" s="16">
        <f t="shared" si="669"/>
        <v>-1.627858735003791</v>
      </c>
      <c r="N7148">
        <f t="shared" si="670"/>
        <v>0</v>
      </c>
      <c r="O7148">
        <f t="shared" si="671"/>
        <v>0</v>
      </c>
      <c r="P7148">
        <f t="shared" si="668"/>
        <v>3500</v>
      </c>
      <c r="Q7148">
        <f t="shared" si="672"/>
        <v>3500</v>
      </c>
      <c r="T7148" s="16">
        <f t="shared" si="673"/>
        <v>-1.6278587350037912</v>
      </c>
    </row>
    <row r="7149" spans="7:20" ht="14.4" x14ac:dyDescent="0.25">
      <c r="G7149" s="10">
        <v>6165</v>
      </c>
      <c r="H7149" s="9">
        <v>43682</v>
      </c>
      <c r="I7149" s="14">
        <f>DATE(2012,12,31)-126</f>
        <v>41148</v>
      </c>
      <c r="J7149" s="15" t="s">
        <v>16</v>
      </c>
      <c r="K7149" s="9">
        <v>14</v>
      </c>
      <c r="L7149" s="16" t="s">
        <v>27</v>
      </c>
      <c r="M7149" s="16">
        <f t="shared" si="669"/>
        <v>-0.79914141557313367</v>
      </c>
      <c r="N7149">
        <f t="shared" si="670"/>
        <v>0</v>
      </c>
      <c r="O7149">
        <f t="shared" si="671"/>
        <v>0</v>
      </c>
      <c r="P7149">
        <f t="shared" si="668"/>
        <v>4100</v>
      </c>
      <c r="Q7149">
        <f t="shared" si="672"/>
        <v>4100</v>
      </c>
      <c r="T7149" s="16">
        <f t="shared" si="673"/>
        <v>-0.79914141557313401</v>
      </c>
    </row>
    <row r="7150" spans="7:20" ht="14.4" x14ac:dyDescent="0.25">
      <c r="G7150" s="10">
        <v>6181</v>
      </c>
      <c r="H7150" s="9">
        <v>43814</v>
      </c>
      <c r="I7150" s="14">
        <f>DATE(2012,12,31)-722</f>
        <v>40552</v>
      </c>
      <c r="J7150" s="15" t="s">
        <v>16</v>
      </c>
      <c r="K7150" s="9">
        <v>40</v>
      </c>
      <c r="L7150" s="16" t="s">
        <v>26</v>
      </c>
      <c r="M7150" s="16">
        <f t="shared" si="669"/>
        <v>0.99641277652662363</v>
      </c>
      <c r="N7150">
        <f t="shared" si="670"/>
        <v>0</v>
      </c>
      <c r="O7150">
        <f t="shared" si="671"/>
        <v>0</v>
      </c>
      <c r="P7150">
        <f t="shared" si="668"/>
        <v>5400</v>
      </c>
      <c r="Q7150">
        <f t="shared" si="672"/>
        <v>5400</v>
      </c>
      <c r="T7150" s="16">
        <f t="shared" si="673"/>
        <v>0.9964127765266233</v>
      </c>
    </row>
    <row r="7151" spans="7:20" ht="14.4" x14ac:dyDescent="0.25">
      <c r="G7151" s="10">
        <v>6182</v>
      </c>
      <c r="H7151" s="9">
        <v>43814</v>
      </c>
      <c r="I7151" s="14">
        <f>DATE(2012,12,31)-722</f>
        <v>40552</v>
      </c>
      <c r="J7151" s="15" t="s">
        <v>16</v>
      </c>
      <c r="K7151" s="9">
        <v>47</v>
      </c>
      <c r="L7151" s="16" t="s">
        <v>26</v>
      </c>
      <c r="M7151" s="16">
        <f t="shared" si="669"/>
        <v>1.4798312128611737</v>
      </c>
      <c r="N7151">
        <f t="shared" si="670"/>
        <v>0</v>
      </c>
      <c r="O7151">
        <f t="shared" si="671"/>
        <v>0</v>
      </c>
      <c r="P7151">
        <f t="shared" si="668"/>
        <v>5750</v>
      </c>
      <c r="Q7151">
        <f t="shared" si="672"/>
        <v>5750</v>
      </c>
      <c r="T7151" s="16">
        <f t="shared" si="673"/>
        <v>1.4798312128611733</v>
      </c>
    </row>
    <row r="7152" spans="7:20" ht="14.4" x14ac:dyDescent="0.25">
      <c r="G7152" s="10">
        <v>6183</v>
      </c>
      <c r="H7152" s="9">
        <v>43815</v>
      </c>
      <c r="I7152" s="14">
        <f>DATE(2012,12,31)-201</f>
        <v>41073</v>
      </c>
      <c r="J7152" s="15" t="s">
        <v>28</v>
      </c>
      <c r="K7152" s="9">
        <v>40</v>
      </c>
      <c r="L7152" s="16" t="s">
        <v>26</v>
      </c>
      <c r="M7152" s="16">
        <f t="shared" si="669"/>
        <v>0.99641277652662363</v>
      </c>
      <c r="N7152">
        <f t="shared" si="670"/>
        <v>0</v>
      </c>
      <c r="O7152">
        <f t="shared" si="671"/>
        <v>0</v>
      </c>
      <c r="P7152">
        <f t="shared" si="668"/>
        <v>5400</v>
      </c>
      <c r="Q7152">
        <f t="shared" si="672"/>
        <v>5400</v>
      </c>
      <c r="T7152" s="16">
        <f t="shared" si="673"/>
        <v>0.9964127765266233</v>
      </c>
    </row>
    <row r="7153" spans="7:20" ht="14.4" x14ac:dyDescent="0.25">
      <c r="G7153" s="10">
        <v>6184</v>
      </c>
      <c r="H7153" s="9">
        <v>43815</v>
      </c>
      <c r="I7153" s="14">
        <f>DATE(2012,12,31)-201</f>
        <v>41073</v>
      </c>
      <c r="J7153" s="15" t="s">
        <v>28</v>
      </c>
      <c r="K7153" s="9">
        <v>22</v>
      </c>
      <c r="L7153" s="16" t="s">
        <v>26</v>
      </c>
      <c r="M7153" s="16">
        <f t="shared" si="669"/>
        <v>-0.24666320261936217</v>
      </c>
      <c r="N7153">
        <f t="shared" si="670"/>
        <v>0</v>
      </c>
      <c r="O7153">
        <f t="shared" si="671"/>
        <v>0</v>
      </c>
      <c r="P7153">
        <f t="shared" si="668"/>
        <v>4500</v>
      </c>
      <c r="Q7153">
        <f t="shared" si="672"/>
        <v>4500</v>
      </c>
      <c r="T7153" s="16">
        <f t="shared" si="673"/>
        <v>-0.24666320261936256</v>
      </c>
    </row>
    <row r="7154" spans="7:20" ht="14.4" x14ac:dyDescent="0.25">
      <c r="G7154" s="10">
        <v>6185</v>
      </c>
      <c r="H7154" s="9">
        <v>43815</v>
      </c>
      <c r="I7154" s="14">
        <f>DATE(2012,12,31)-201</f>
        <v>41073</v>
      </c>
      <c r="J7154" s="15" t="s">
        <v>28</v>
      </c>
      <c r="K7154" s="9">
        <v>45</v>
      </c>
      <c r="L7154" s="16" t="s">
        <v>26</v>
      </c>
      <c r="M7154" s="16">
        <f t="shared" si="669"/>
        <v>1.3417116596227308</v>
      </c>
      <c r="N7154">
        <f t="shared" si="670"/>
        <v>0</v>
      </c>
      <c r="O7154">
        <f t="shared" si="671"/>
        <v>0</v>
      </c>
      <c r="P7154">
        <f t="shared" si="668"/>
        <v>5650</v>
      </c>
      <c r="Q7154">
        <f t="shared" si="672"/>
        <v>5650</v>
      </c>
      <c r="T7154" s="16">
        <f t="shared" si="673"/>
        <v>1.3417116596227305</v>
      </c>
    </row>
    <row r="7155" spans="7:20" ht="14.4" x14ac:dyDescent="0.25">
      <c r="G7155" s="10">
        <v>6186</v>
      </c>
      <c r="H7155" s="9">
        <v>43844</v>
      </c>
      <c r="I7155" s="14">
        <f>DATE(2012,12,31)-792</f>
        <v>40482</v>
      </c>
      <c r="J7155" s="15" t="s">
        <v>17</v>
      </c>
      <c r="K7155" s="9">
        <v>25</v>
      </c>
      <c r="L7155" s="16" t="s">
        <v>27</v>
      </c>
      <c r="M7155" s="16">
        <f t="shared" si="669"/>
        <v>-3.9483872761697868E-2</v>
      </c>
      <c r="N7155">
        <f t="shared" si="670"/>
        <v>0</v>
      </c>
      <c r="O7155">
        <f t="shared" si="671"/>
        <v>0</v>
      </c>
      <c r="P7155">
        <f t="shared" si="668"/>
        <v>4650</v>
      </c>
      <c r="Q7155">
        <f t="shared" si="672"/>
        <v>4650</v>
      </c>
      <c r="T7155" s="16">
        <f t="shared" si="673"/>
        <v>-3.9483872761698249E-2</v>
      </c>
    </row>
    <row r="7156" spans="7:20" ht="14.4" x14ac:dyDescent="0.25">
      <c r="G7156" s="10">
        <v>6187</v>
      </c>
      <c r="H7156" s="9">
        <v>43846</v>
      </c>
      <c r="I7156" s="14">
        <f>DATE(2012,12,31)-1404</f>
        <v>39870</v>
      </c>
      <c r="J7156" s="15" t="s">
        <v>17</v>
      </c>
      <c r="K7156" s="9">
        <v>9</v>
      </c>
      <c r="L7156" s="16" t="s">
        <v>26</v>
      </c>
      <c r="M7156" s="16">
        <f t="shared" si="669"/>
        <v>-1.1444402986692408</v>
      </c>
      <c r="N7156">
        <f t="shared" si="670"/>
        <v>0</v>
      </c>
      <c r="O7156">
        <f t="shared" si="671"/>
        <v>0</v>
      </c>
      <c r="P7156">
        <f t="shared" si="668"/>
        <v>3850</v>
      </c>
      <c r="Q7156">
        <f t="shared" si="672"/>
        <v>3850</v>
      </c>
      <c r="T7156" s="16">
        <f t="shared" si="673"/>
        <v>-1.1444402986692412</v>
      </c>
    </row>
    <row r="7157" spans="7:20" ht="14.4" x14ac:dyDescent="0.25">
      <c r="G7157" s="10">
        <v>6207</v>
      </c>
      <c r="H7157" s="9">
        <v>43974</v>
      </c>
      <c r="I7157" s="14">
        <f>DATE(2012,12,31)-1202</f>
        <v>40072</v>
      </c>
      <c r="J7157" s="15" t="s">
        <v>28</v>
      </c>
      <c r="K7157" s="9">
        <v>8</v>
      </c>
      <c r="L7157" s="16" t="s">
        <v>26</v>
      </c>
      <c r="M7157" s="16">
        <f t="shared" si="669"/>
        <v>-1.2135000752884624</v>
      </c>
      <c r="N7157">
        <f t="shared" si="670"/>
        <v>0</v>
      </c>
      <c r="O7157">
        <f t="shared" si="671"/>
        <v>0</v>
      </c>
      <c r="P7157">
        <f t="shared" si="668"/>
        <v>3800</v>
      </c>
      <c r="Q7157">
        <f t="shared" si="672"/>
        <v>3800</v>
      </c>
      <c r="T7157" s="16">
        <f t="shared" si="673"/>
        <v>-1.2135000752884626</v>
      </c>
    </row>
    <row r="7158" spans="7:20" ht="14.4" x14ac:dyDescent="0.25">
      <c r="G7158" s="10">
        <v>6209</v>
      </c>
      <c r="H7158" s="9">
        <v>44000</v>
      </c>
      <c r="I7158" s="14">
        <f>DATE(2012,12,31)-88</f>
        <v>41186</v>
      </c>
      <c r="J7158" s="15" t="s">
        <v>28</v>
      </c>
      <c r="K7158" s="9">
        <v>17</v>
      </c>
      <c r="L7158" s="16" t="s">
        <v>26</v>
      </c>
      <c r="M7158" s="16">
        <f t="shared" si="669"/>
        <v>-0.59196208571546938</v>
      </c>
      <c r="N7158">
        <f t="shared" si="670"/>
        <v>0</v>
      </c>
      <c r="O7158">
        <f t="shared" si="671"/>
        <v>0</v>
      </c>
      <c r="P7158">
        <f t="shared" si="668"/>
        <v>4250</v>
      </c>
      <c r="Q7158">
        <f t="shared" si="672"/>
        <v>4250</v>
      </c>
      <c r="T7158" s="16">
        <f t="shared" si="673"/>
        <v>-0.59196208571546971</v>
      </c>
    </row>
    <row r="7159" spans="7:20" ht="14.4" x14ac:dyDescent="0.25">
      <c r="G7159" s="10">
        <v>6210</v>
      </c>
      <c r="H7159" s="9">
        <v>44000</v>
      </c>
      <c r="I7159" s="14">
        <f>DATE(2012,12,31)-88</f>
        <v>41186</v>
      </c>
      <c r="J7159" s="15" t="s">
        <v>28</v>
      </c>
      <c r="K7159" s="9">
        <v>19</v>
      </c>
      <c r="L7159" s="16" t="s">
        <v>29</v>
      </c>
      <c r="M7159" s="16">
        <f t="shared" si="669"/>
        <v>-0.45384253247702649</v>
      </c>
      <c r="N7159">
        <f t="shared" si="670"/>
        <v>0</v>
      </c>
      <c r="O7159">
        <f t="shared" si="671"/>
        <v>0</v>
      </c>
      <c r="P7159">
        <f t="shared" si="668"/>
        <v>4350</v>
      </c>
      <c r="Q7159">
        <f t="shared" si="672"/>
        <v>4350</v>
      </c>
      <c r="T7159" s="16">
        <f t="shared" si="673"/>
        <v>-0.45384253247702688</v>
      </c>
    </row>
    <row r="7160" spans="7:20" ht="14.4" x14ac:dyDescent="0.25">
      <c r="G7160" s="10">
        <v>6214</v>
      </c>
      <c r="H7160" s="9">
        <v>44003</v>
      </c>
      <c r="I7160" s="14">
        <f>DATE(2012,12,31)-410</f>
        <v>40864</v>
      </c>
      <c r="J7160" s="15" t="s">
        <v>25</v>
      </c>
      <c r="K7160" s="9">
        <v>38</v>
      </c>
      <c r="L7160" s="16" t="s">
        <v>26</v>
      </c>
      <c r="M7160" s="16">
        <f t="shared" si="669"/>
        <v>0.85829322328818081</v>
      </c>
      <c r="N7160">
        <f t="shared" si="670"/>
        <v>0</v>
      </c>
      <c r="O7160">
        <f t="shared" si="671"/>
        <v>0</v>
      </c>
      <c r="P7160">
        <f t="shared" si="668"/>
        <v>5300</v>
      </c>
      <c r="Q7160">
        <f t="shared" si="672"/>
        <v>5300</v>
      </c>
      <c r="T7160" s="16">
        <f t="shared" si="673"/>
        <v>0.85829322328818036</v>
      </c>
    </row>
    <row r="7161" spans="7:20" ht="14.4" x14ac:dyDescent="0.25">
      <c r="G7161" s="10">
        <v>6224</v>
      </c>
      <c r="H7161" s="9">
        <v>44069</v>
      </c>
      <c r="I7161" s="14">
        <f>DATE(2012,12,31)-1459</f>
        <v>39815</v>
      </c>
      <c r="J7161" s="15" t="s">
        <v>30</v>
      </c>
      <c r="K7161" s="9">
        <v>16</v>
      </c>
      <c r="L7161" s="16" t="s">
        <v>26</v>
      </c>
      <c r="M7161" s="16">
        <f t="shared" si="669"/>
        <v>-0.66102186233469074</v>
      </c>
      <c r="N7161">
        <f t="shared" si="670"/>
        <v>0</v>
      </c>
      <c r="O7161">
        <f t="shared" si="671"/>
        <v>0</v>
      </c>
      <c r="P7161">
        <f t="shared" si="668"/>
        <v>4200</v>
      </c>
      <c r="Q7161">
        <f t="shared" si="672"/>
        <v>4200</v>
      </c>
      <c r="T7161" s="16">
        <f t="shared" si="673"/>
        <v>-0.66102186233469118</v>
      </c>
    </row>
    <row r="7162" spans="7:20" ht="14.4" x14ac:dyDescent="0.25">
      <c r="G7162" s="10">
        <v>6225</v>
      </c>
      <c r="H7162" s="9">
        <v>44069</v>
      </c>
      <c r="I7162" s="14">
        <f>DATE(2012,12,31)-1459</f>
        <v>39815</v>
      </c>
      <c r="J7162" s="15" t="s">
        <v>30</v>
      </c>
      <c r="K7162" s="9">
        <v>43</v>
      </c>
      <c r="L7162" s="16" t="s">
        <v>26</v>
      </c>
      <c r="M7162" s="16">
        <f t="shared" si="669"/>
        <v>1.203592106384288</v>
      </c>
      <c r="N7162">
        <f t="shared" si="670"/>
        <v>0</v>
      </c>
      <c r="O7162">
        <f t="shared" si="671"/>
        <v>0</v>
      </c>
      <c r="P7162">
        <f t="shared" si="668"/>
        <v>5550</v>
      </c>
      <c r="Q7162">
        <f t="shared" si="672"/>
        <v>5550</v>
      </c>
      <c r="T7162" s="16">
        <f t="shared" si="673"/>
        <v>1.2035921063842876</v>
      </c>
    </row>
    <row r="7163" spans="7:20" ht="14.4" x14ac:dyDescent="0.25">
      <c r="G7163" s="10">
        <v>6229</v>
      </c>
      <c r="H7163" s="9">
        <v>44099</v>
      </c>
      <c r="I7163" s="14">
        <f>DATE(2012,12,31)-294</f>
        <v>40980</v>
      </c>
      <c r="J7163" s="15" t="s">
        <v>16</v>
      </c>
      <c r="K7163" s="9">
        <v>34</v>
      </c>
      <c r="L7163" s="16" t="s">
        <v>26</v>
      </c>
      <c r="M7163" s="16">
        <f t="shared" si="669"/>
        <v>0.58205411681129504</v>
      </c>
      <c r="N7163">
        <f t="shared" si="670"/>
        <v>0</v>
      </c>
      <c r="O7163">
        <f t="shared" si="671"/>
        <v>0</v>
      </c>
      <c r="P7163">
        <f t="shared" si="668"/>
        <v>5100</v>
      </c>
      <c r="Q7163">
        <f t="shared" si="672"/>
        <v>5100</v>
      </c>
      <c r="T7163" s="16">
        <f t="shared" si="673"/>
        <v>0.58205411681129471</v>
      </c>
    </row>
    <row r="7164" spans="7:20" ht="14.4" x14ac:dyDescent="0.25">
      <c r="G7164" s="10">
        <v>6230</v>
      </c>
      <c r="H7164" s="9">
        <v>44099</v>
      </c>
      <c r="I7164" s="14">
        <f>DATE(2012,12,31)-294</f>
        <v>40980</v>
      </c>
      <c r="J7164" s="15" t="s">
        <v>16</v>
      </c>
      <c r="K7164" s="9">
        <v>19</v>
      </c>
      <c r="L7164" s="16" t="s">
        <v>26</v>
      </c>
      <c r="M7164" s="16">
        <f t="shared" si="669"/>
        <v>-0.45384253247702649</v>
      </c>
      <c r="N7164">
        <f t="shared" si="670"/>
        <v>0</v>
      </c>
      <c r="O7164">
        <f t="shared" si="671"/>
        <v>0</v>
      </c>
      <c r="P7164">
        <f t="shared" si="668"/>
        <v>4350</v>
      </c>
      <c r="Q7164">
        <f t="shared" si="672"/>
        <v>4350</v>
      </c>
      <c r="T7164" s="16">
        <f t="shared" si="673"/>
        <v>-0.45384253247702688</v>
      </c>
    </row>
    <row r="7165" spans="7:20" ht="14.4" x14ac:dyDescent="0.25">
      <c r="G7165" s="10">
        <v>6231</v>
      </c>
      <c r="H7165" s="9">
        <v>44133</v>
      </c>
      <c r="I7165" s="14">
        <f>DATE(2012,12,31)-1090</f>
        <v>40184</v>
      </c>
      <c r="J7165" s="15" t="s">
        <v>17</v>
      </c>
      <c r="K7165" s="9">
        <v>35</v>
      </c>
      <c r="L7165" s="16" t="s">
        <v>29</v>
      </c>
      <c r="M7165" s="16">
        <f t="shared" si="669"/>
        <v>0.65111389343051651</v>
      </c>
      <c r="N7165">
        <f t="shared" si="670"/>
        <v>0</v>
      </c>
      <c r="O7165">
        <f t="shared" si="671"/>
        <v>0</v>
      </c>
      <c r="P7165">
        <f t="shared" si="668"/>
        <v>5150</v>
      </c>
      <c r="Q7165">
        <f t="shared" si="672"/>
        <v>5150</v>
      </c>
      <c r="T7165" s="16">
        <f t="shared" si="673"/>
        <v>0.65111389343051607</v>
      </c>
    </row>
    <row r="7166" spans="7:20" ht="14.4" x14ac:dyDescent="0.25">
      <c r="G7166" s="10">
        <v>6249</v>
      </c>
      <c r="H7166" s="9">
        <v>44261</v>
      </c>
      <c r="I7166" s="14">
        <f>DATE(2012,12,31)-283</f>
        <v>40991</v>
      </c>
      <c r="J7166" s="15" t="s">
        <v>17</v>
      </c>
      <c r="K7166" s="9">
        <v>31</v>
      </c>
      <c r="L7166" s="16" t="s">
        <v>26</v>
      </c>
      <c r="M7166" s="16">
        <f t="shared" si="669"/>
        <v>0.37487478695363075</v>
      </c>
      <c r="N7166">
        <f t="shared" si="670"/>
        <v>0</v>
      </c>
      <c r="O7166">
        <f t="shared" si="671"/>
        <v>0</v>
      </c>
      <c r="P7166">
        <f t="shared" si="668"/>
        <v>4950</v>
      </c>
      <c r="Q7166">
        <f t="shared" si="672"/>
        <v>4950</v>
      </c>
      <c r="T7166" s="16">
        <f t="shared" si="673"/>
        <v>0.37487478695363036</v>
      </c>
    </row>
    <row r="7167" spans="7:20" ht="14.4" x14ac:dyDescent="0.25">
      <c r="G7167" s="10">
        <v>6250</v>
      </c>
      <c r="H7167" s="9">
        <v>44261</v>
      </c>
      <c r="I7167" s="14">
        <f>DATE(2012,12,31)-283</f>
        <v>40991</v>
      </c>
      <c r="J7167" s="15" t="s">
        <v>17</v>
      </c>
      <c r="K7167" s="9">
        <v>34</v>
      </c>
      <c r="L7167" s="16" t="s">
        <v>29</v>
      </c>
      <c r="M7167" s="16">
        <f t="shared" si="669"/>
        <v>0.58205411681129504</v>
      </c>
      <c r="N7167">
        <f t="shared" si="670"/>
        <v>0</v>
      </c>
      <c r="O7167">
        <f t="shared" si="671"/>
        <v>0</v>
      </c>
      <c r="P7167">
        <f t="shared" si="668"/>
        <v>5100</v>
      </c>
      <c r="Q7167">
        <f t="shared" si="672"/>
        <v>5100</v>
      </c>
      <c r="T7167" s="16">
        <f t="shared" si="673"/>
        <v>0.58205411681129471</v>
      </c>
    </row>
    <row r="7168" spans="7:20" ht="14.4" x14ac:dyDescent="0.25">
      <c r="G7168" s="10">
        <v>6251</v>
      </c>
      <c r="H7168" s="9">
        <v>44261</v>
      </c>
      <c r="I7168" s="14">
        <f>DATE(2012,12,31)-283</f>
        <v>40991</v>
      </c>
      <c r="J7168" s="15" t="s">
        <v>17</v>
      </c>
      <c r="K7168" s="9">
        <v>1</v>
      </c>
      <c r="L7168" s="16" t="s">
        <v>27</v>
      </c>
      <c r="M7168" s="16">
        <f t="shared" si="669"/>
        <v>-1.6969185116230123</v>
      </c>
      <c r="N7168">
        <f t="shared" si="670"/>
        <v>0</v>
      </c>
      <c r="O7168">
        <f t="shared" si="671"/>
        <v>0</v>
      </c>
      <c r="P7168">
        <f t="shared" si="668"/>
        <v>3450</v>
      </c>
      <c r="Q7168">
        <f t="shared" si="672"/>
        <v>3450</v>
      </c>
      <c r="T7168" s="16">
        <f t="shared" si="673"/>
        <v>-1.6969185116230128</v>
      </c>
    </row>
    <row r="7169" spans="7:20" ht="14.4" x14ac:dyDescent="0.25">
      <c r="G7169" s="10">
        <v>6252</v>
      </c>
      <c r="H7169" s="9">
        <v>44261</v>
      </c>
      <c r="I7169" s="14">
        <f>DATE(2012,12,31)-283</f>
        <v>40991</v>
      </c>
      <c r="J7169" s="15" t="s">
        <v>17</v>
      </c>
      <c r="K7169" s="9">
        <v>10</v>
      </c>
      <c r="L7169" s="16" t="s">
        <v>27</v>
      </c>
      <c r="M7169" s="16">
        <f t="shared" si="669"/>
        <v>-1.0753805220500194</v>
      </c>
      <c r="N7169">
        <f t="shared" si="670"/>
        <v>0</v>
      </c>
      <c r="O7169">
        <f t="shared" si="671"/>
        <v>0</v>
      </c>
      <c r="P7169">
        <f t="shared" si="668"/>
        <v>3900</v>
      </c>
      <c r="Q7169">
        <f t="shared" si="672"/>
        <v>3900</v>
      </c>
      <c r="T7169" s="16">
        <f t="shared" si="673"/>
        <v>-1.0753805220500199</v>
      </c>
    </row>
    <row r="7170" spans="7:20" ht="14.4" x14ac:dyDescent="0.25">
      <c r="G7170" s="10">
        <v>6263</v>
      </c>
      <c r="H7170" s="9">
        <v>44323</v>
      </c>
      <c r="I7170" s="14">
        <f>DATE(2012,12,31)-146</f>
        <v>41128</v>
      </c>
      <c r="J7170" s="15" t="s">
        <v>16</v>
      </c>
      <c r="K7170" s="9">
        <v>27</v>
      </c>
      <c r="L7170" s="16" t="s">
        <v>27</v>
      </c>
      <c r="M7170" s="16">
        <f t="shared" si="669"/>
        <v>9.8635680476745008E-2</v>
      </c>
      <c r="N7170">
        <f t="shared" si="670"/>
        <v>0</v>
      </c>
      <c r="O7170">
        <f t="shared" si="671"/>
        <v>0</v>
      </c>
      <c r="P7170">
        <f t="shared" si="668"/>
        <v>4750</v>
      </c>
      <c r="Q7170">
        <f t="shared" si="672"/>
        <v>4750</v>
      </c>
      <c r="T7170" s="16">
        <f t="shared" si="673"/>
        <v>9.8635680476744619E-2</v>
      </c>
    </row>
    <row r="7171" spans="7:20" ht="14.4" x14ac:dyDescent="0.25">
      <c r="G7171" s="10">
        <v>6289</v>
      </c>
      <c r="H7171" s="9">
        <v>44517</v>
      </c>
      <c r="I7171" s="14">
        <f>DATE(2012,12,31)-1348</f>
        <v>39926</v>
      </c>
      <c r="J7171" s="15" t="s">
        <v>16</v>
      </c>
      <c r="K7171" s="9">
        <v>5</v>
      </c>
      <c r="L7171" s="16" t="s">
        <v>26</v>
      </c>
      <c r="M7171" s="16">
        <f t="shared" si="669"/>
        <v>-1.4206794051461267</v>
      </c>
      <c r="N7171">
        <f t="shared" si="670"/>
        <v>0</v>
      </c>
      <c r="O7171">
        <f t="shared" si="671"/>
        <v>0</v>
      </c>
      <c r="P7171">
        <f t="shared" si="668"/>
        <v>3650</v>
      </c>
      <c r="Q7171">
        <f t="shared" si="672"/>
        <v>3650</v>
      </c>
      <c r="T7171" s="16">
        <f t="shared" si="673"/>
        <v>-1.4206794051461269</v>
      </c>
    </row>
    <row r="7172" spans="7:20" ht="14.4" x14ac:dyDescent="0.25">
      <c r="G7172" s="10">
        <v>6294</v>
      </c>
      <c r="H7172" s="9">
        <v>44549</v>
      </c>
      <c r="I7172" s="14">
        <f>DATE(2012,12,31)-344</f>
        <v>40930</v>
      </c>
      <c r="J7172" s="15" t="s">
        <v>16</v>
      </c>
      <c r="K7172" s="9">
        <v>5</v>
      </c>
      <c r="L7172" s="16" t="s">
        <v>26</v>
      </c>
      <c r="M7172" s="16">
        <f t="shared" si="669"/>
        <v>-1.4206794051461267</v>
      </c>
      <c r="N7172">
        <f t="shared" si="670"/>
        <v>0</v>
      </c>
      <c r="O7172">
        <f t="shared" si="671"/>
        <v>0</v>
      </c>
      <c r="P7172">
        <f t="shared" si="668"/>
        <v>3650</v>
      </c>
      <c r="Q7172">
        <f t="shared" si="672"/>
        <v>3650</v>
      </c>
      <c r="T7172" s="16">
        <f t="shared" si="673"/>
        <v>-1.4206794051461269</v>
      </c>
    </row>
    <row r="7173" spans="7:20" ht="14.4" x14ac:dyDescent="0.25">
      <c r="G7173" s="10">
        <v>6315</v>
      </c>
      <c r="H7173" s="9">
        <v>44679</v>
      </c>
      <c r="I7173" s="14">
        <f>DATE(2012,12,31)-211</f>
        <v>41063</v>
      </c>
      <c r="J7173" s="15" t="s">
        <v>16</v>
      </c>
      <c r="K7173" s="9">
        <v>22</v>
      </c>
      <c r="L7173" s="16" t="s">
        <v>26</v>
      </c>
      <c r="M7173" s="16">
        <f t="shared" si="669"/>
        <v>-0.24666320261936217</v>
      </c>
      <c r="N7173">
        <f t="shared" si="670"/>
        <v>0</v>
      </c>
      <c r="O7173">
        <f t="shared" si="671"/>
        <v>0</v>
      </c>
      <c r="P7173">
        <f t="shared" si="668"/>
        <v>4500</v>
      </c>
      <c r="Q7173">
        <f t="shared" si="672"/>
        <v>4500</v>
      </c>
      <c r="T7173" s="16">
        <f t="shared" si="673"/>
        <v>-0.24666320261936256</v>
      </c>
    </row>
    <row r="7174" spans="7:20" ht="14.4" x14ac:dyDescent="0.25">
      <c r="G7174" s="10">
        <v>6316</v>
      </c>
      <c r="H7174" s="9">
        <v>44679</v>
      </c>
      <c r="I7174" s="14">
        <f>DATE(2012,12,31)-211</f>
        <v>41063</v>
      </c>
      <c r="J7174" s="15" t="s">
        <v>16</v>
      </c>
      <c r="K7174" s="9">
        <v>35</v>
      </c>
      <c r="L7174" s="16" t="s">
        <v>29</v>
      </c>
      <c r="M7174" s="16">
        <f t="shared" si="669"/>
        <v>0.65111389343051651</v>
      </c>
      <c r="N7174">
        <f t="shared" si="670"/>
        <v>0</v>
      </c>
      <c r="O7174">
        <f t="shared" si="671"/>
        <v>0</v>
      </c>
      <c r="P7174">
        <f t="shared" si="668"/>
        <v>5150</v>
      </c>
      <c r="Q7174">
        <f t="shared" si="672"/>
        <v>5150</v>
      </c>
      <c r="T7174" s="16">
        <f t="shared" si="673"/>
        <v>0.65111389343051607</v>
      </c>
    </row>
    <row r="7175" spans="7:20" ht="14.4" x14ac:dyDescent="0.25">
      <c r="G7175" s="10">
        <v>6329</v>
      </c>
      <c r="H7175" s="9">
        <v>44836</v>
      </c>
      <c r="I7175" s="14">
        <f>DATE(2012,12,31)-1207</f>
        <v>40067</v>
      </c>
      <c r="J7175" s="15" t="s">
        <v>16</v>
      </c>
      <c r="K7175" s="9">
        <v>21</v>
      </c>
      <c r="L7175" s="16" t="s">
        <v>26</v>
      </c>
      <c r="M7175" s="16">
        <f t="shared" si="669"/>
        <v>-0.31572297923858361</v>
      </c>
      <c r="N7175">
        <f t="shared" si="670"/>
        <v>0</v>
      </c>
      <c r="O7175">
        <f t="shared" si="671"/>
        <v>0</v>
      </c>
      <c r="P7175">
        <f t="shared" si="668"/>
        <v>4450</v>
      </c>
      <c r="Q7175">
        <f t="shared" si="672"/>
        <v>4450</v>
      </c>
      <c r="T7175" s="16">
        <f t="shared" si="673"/>
        <v>-0.315722979238584</v>
      </c>
    </row>
    <row r="7176" spans="7:20" ht="14.4" x14ac:dyDescent="0.25">
      <c r="G7176" s="10">
        <v>6358</v>
      </c>
      <c r="H7176" s="9">
        <v>45120</v>
      </c>
      <c r="I7176" s="14">
        <f>DATE(2012,12,31)-1362</f>
        <v>39912</v>
      </c>
      <c r="J7176" s="15" t="s">
        <v>30</v>
      </c>
      <c r="K7176" s="9">
        <v>39</v>
      </c>
      <c r="L7176" s="16" t="s">
        <v>27</v>
      </c>
      <c r="M7176" s="16">
        <f t="shared" si="669"/>
        <v>0.92735299990740228</v>
      </c>
      <c r="N7176">
        <f t="shared" si="670"/>
        <v>0</v>
      </c>
      <c r="O7176">
        <f t="shared" si="671"/>
        <v>0</v>
      </c>
      <c r="P7176">
        <f t="shared" si="668"/>
        <v>5350</v>
      </c>
      <c r="Q7176">
        <f t="shared" si="672"/>
        <v>5350</v>
      </c>
      <c r="T7176" s="16">
        <f t="shared" si="673"/>
        <v>0.92735299990740183</v>
      </c>
    </row>
    <row r="7177" spans="7:20" ht="14.4" x14ac:dyDescent="0.25">
      <c r="G7177" s="10">
        <v>6367</v>
      </c>
      <c r="H7177" s="9">
        <v>45158</v>
      </c>
      <c r="I7177" s="14">
        <f>DATE(2012,12,31)-996</f>
        <v>40278</v>
      </c>
      <c r="J7177" s="15" t="s">
        <v>25</v>
      </c>
      <c r="K7177" s="9">
        <v>40</v>
      </c>
      <c r="L7177" s="16" t="s">
        <v>26</v>
      </c>
      <c r="M7177" s="16">
        <f t="shared" si="669"/>
        <v>0.99641277652662363</v>
      </c>
      <c r="N7177">
        <f t="shared" si="670"/>
        <v>0</v>
      </c>
      <c r="O7177">
        <f t="shared" si="671"/>
        <v>0</v>
      </c>
      <c r="P7177">
        <f t="shared" si="668"/>
        <v>5400</v>
      </c>
      <c r="Q7177">
        <f t="shared" si="672"/>
        <v>5400</v>
      </c>
      <c r="T7177" s="16">
        <f t="shared" si="673"/>
        <v>0.9964127765266233</v>
      </c>
    </row>
    <row r="7178" spans="7:20" ht="14.4" x14ac:dyDescent="0.25">
      <c r="G7178" s="10">
        <v>6368</v>
      </c>
      <c r="H7178" s="9">
        <v>45158</v>
      </c>
      <c r="I7178" s="14">
        <f>DATE(2012,12,31)-996</f>
        <v>40278</v>
      </c>
      <c r="J7178" s="15" t="s">
        <v>25</v>
      </c>
      <c r="K7178" s="9">
        <v>15</v>
      </c>
      <c r="L7178" s="16" t="s">
        <v>26</v>
      </c>
      <c r="M7178" s="16">
        <f t="shared" si="669"/>
        <v>-0.7300816389539122</v>
      </c>
      <c r="N7178">
        <f t="shared" si="670"/>
        <v>0</v>
      </c>
      <c r="O7178">
        <f t="shared" si="671"/>
        <v>0</v>
      </c>
      <c r="P7178">
        <f t="shared" si="668"/>
        <v>4150</v>
      </c>
      <c r="Q7178">
        <f t="shared" si="672"/>
        <v>4150</v>
      </c>
      <c r="T7178" s="16">
        <f t="shared" si="673"/>
        <v>-0.73008163895391265</v>
      </c>
    </row>
    <row r="7179" spans="7:20" ht="14.4" x14ac:dyDescent="0.25">
      <c r="G7179" s="10">
        <v>6377</v>
      </c>
      <c r="H7179" s="9">
        <v>45254</v>
      </c>
      <c r="I7179" s="14">
        <f>DATE(2012,12,31)-889</f>
        <v>40385</v>
      </c>
      <c r="J7179" s="15" t="s">
        <v>17</v>
      </c>
      <c r="K7179" s="9">
        <v>45</v>
      </c>
      <c r="L7179" s="16" t="s">
        <v>29</v>
      </c>
      <c r="M7179" s="16">
        <f t="shared" si="669"/>
        <v>1.3417116596227308</v>
      </c>
      <c r="N7179">
        <f t="shared" si="670"/>
        <v>0</v>
      </c>
      <c r="O7179">
        <f t="shared" si="671"/>
        <v>0</v>
      </c>
      <c r="P7179">
        <f t="shared" si="668"/>
        <v>5650</v>
      </c>
      <c r="Q7179">
        <f t="shared" si="672"/>
        <v>5650</v>
      </c>
      <c r="T7179" s="16">
        <f t="shared" si="673"/>
        <v>1.3417116596227305</v>
      </c>
    </row>
    <row r="7180" spans="7:20" ht="14.4" x14ac:dyDescent="0.25">
      <c r="G7180" s="10">
        <v>6379</v>
      </c>
      <c r="H7180" s="9">
        <v>45315</v>
      </c>
      <c r="I7180" s="14">
        <f>DATE(2012,12,31)-255</f>
        <v>41019</v>
      </c>
      <c r="J7180" s="15" t="s">
        <v>16</v>
      </c>
      <c r="K7180" s="9">
        <v>32</v>
      </c>
      <c r="L7180" s="16" t="s">
        <v>26</v>
      </c>
      <c r="M7180" s="16">
        <f t="shared" si="669"/>
        <v>0.44393456357285216</v>
      </c>
      <c r="N7180">
        <f t="shared" si="670"/>
        <v>0</v>
      </c>
      <c r="O7180">
        <f t="shared" si="671"/>
        <v>0</v>
      </c>
      <c r="P7180">
        <f t="shared" ref="P7180:P7243" si="674">50*K7180+$P$10</f>
        <v>5000</v>
      </c>
      <c r="Q7180">
        <f t="shared" si="672"/>
        <v>5000</v>
      </c>
      <c r="T7180" s="16">
        <f t="shared" si="673"/>
        <v>0.44393456357285183</v>
      </c>
    </row>
    <row r="7181" spans="7:20" ht="14.4" x14ac:dyDescent="0.25">
      <c r="G7181" s="10">
        <v>6387</v>
      </c>
      <c r="H7181" s="9">
        <v>45380</v>
      </c>
      <c r="I7181" s="14">
        <f>DATE(2012,12,31)-1341</f>
        <v>39933</v>
      </c>
      <c r="J7181" s="15" t="s">
        <v>30</v>
      </c>
      <c r="K7181" s="9">
        <v>34</v>
      </c>
      <c r="L7181" s="16" t="s">
        <v>27</v>
      </c>
      <c r="M7181" s="16">
        <f t="shared" ref="M7181:M7244" si="675">(K7181-$K$4)/$K$7</f>
        <v>0.58205411681129504</v>
      </c>
      <c r="N7181">
        <f t="shared" ref="N7181:N7244" si="676">IF(MOD($B$20+G7181,1000)=0,1,0)</f>
        <v>0</v>
      </c>
      <c r="O7181">
        <f t="shared" ref="O7181:O7244" si="677">+ROUND(N7181*(IF(K7181&lt;$K$4,-4.5,10.5)*$P$5),-2)</f>
        <v>0</v>
      </c>
      <c r="P7181">
        <f t="shared" si="674"/>
        <v>5100</v>
      </c>
      <c r="Q7181">
        <f t="shared" ref="Q7181:Q7244" si="678">P7181+O7181</f>
        <v>5100</v>
      </c>
      <c r="T7181" s="16">
        <f t="shared" ref="T7181:T7244" si="679">(Q7181-$P$4)/$P$5</f>
        <v>0.58205411681129471</v>
      </c>
    </row>
    <row r="7182" spans="7:20" ht="14.4" x14ac:dyDescent="0.25">
      <c r="G7182" s="10">
        <v>6388</v>
      </c>
      <c r="H7182" s="9">
        <v>45380</v>
      </c>
      <c r="I7182" s="14">
        <f>DATE(2012,12,31)-1341</f>
        <v>39933</v>
      </c>
      <c r="J7182" s="15" t="s">
        <v>30</v>
      </c>
      <c r="K7182" s="9">
        <v>24</v>
      </c>
      <c r="L7182" s="16" t="s">
        <v>27</v>
      </c>
      <c r="M7182" s="16">
        <f t="shared" si="675"/>
        <v>-0.1085436493809193</v>
      </c>
      <c r="N7182">
        <f t="shared" si="676"/>
        <v>0</v>
      </c>
      <c r="O7182">
        <f t="shared" si="677"/>
        <v>0</v>
      </c>
      <c r="P7182">
        <f t="shared" si="674"/>
        <v>4600</v>
      </c>
      <c r="Q7182">
        <f t="shared" si="678"/>
        <v>4600</v>
      </c>
      <c r="T7182" s="16">
        <f t="shared" si="679"/>
        <v>-0.10854364938091969</v>
      </c>
    </row>
    <row r="7183" spans="7:20" ht="14.4" x14ac:dyDescent="0.25">
      <c r="G7183" s="10">
        <v>6393</v>
      </c>
      <c r="H7183" s="9">
        <v>45409</v>
      </c>
      <c r="I7183" s="14">
        <f>DATE(2012,12,31)-994</f>
        <v>40280</v>
      </c>
      <c r="J7183" s="15" t="s">
        <v>30</v>
      </c>
      <c r="K7183" s="9">
        <v>11</v>
      </c>
      <c r="L7183" s="16" t="s">
        <v>29</v>
      </c>
      <c r="M7183" s="16">
        <f t="shared" si="675"/>
        <v>-1.0063207454307979</v>
      </c>
      <c r="N7183">
        <f t="shared" si="676"/>
        <v>0</v>
      </c>
      <c r="O7183">
        <f t="shared" si="677"/>
        <v>0</v>
      </c>
      <c r="P7183">
        <f t="shared" si="674"/>
        <v>3950</v>
      </c>
      <c r="Q7183">
        <f t="shared" si="678"/>
        <v>3950</v>
      </c>
      <c r="T7183" s="16">
        <f t="shared" si="679"/>
        <v>-1.0063207454307983</v>
      </c>
    </row>
    <row r="7184" spans="7:20" ht="14.4" x14ac:dyDescent="0.25">
      <c r="G7184" s="10">
        <v>6394</v>
      </c>
      <c r="H7184" s="9">
        <v>45409</v>
      </c>
      <c r="I7184" s="14">
        <f>DATE(2012,12,31)-994</f>
        <v>40280</v>
      </c>
      <c r="J7184" s="15" t="s">
        <v>30</v>
      </c>
      <c r="K7184" s="9">
        <v>10</v>
      </c>
      <c r="L7184" s="16" t="s">
        <v>26</v>
      </c>
      <c r="M7184" s="16">
        <f t="shared" si="675"/>
        <v>-1.0753805220500194</v>
      </c>
      <c r="N7184">
        <f t="shared" si="676"/>
        <v>0</v>
      </c>
      <c r="O7184">
        <f t="shared" si="677"/>
        <v>0</v>
      </c>
      <c r="P7184">
        <f t="shared" si="674"/>
        <v>3900</v>
      </c>
      <c r="Q7184">
        <f t="shared" si="678"/>
        <v>3900</v>
      </c>
      <c r="T7184" s="16">
        <f t="shared" si="679"/>
        <v>-1.0753805220500199</v>
      </c>
    </row>
    <row r="7185" spans="7:20" ht="14.4" x14ac:dyDescent="0.25">
      <c r="G7185" s="10">
        <v>6395</v>
      </c>
      <c r="H7185" s="9">
        <v>45409</v>
      </c>
      <c r="I7185" s="14">
        <f>DATE(2012,12,31)-994</f>
        <v>40280</v>
      </c>
      <c r="J7185" s="15" t="s">
        <v>30</v>
      </c>
      <c r="K7185" s="9">
        <v>50</v>
      </c>
      <c r="L7185" s="16" t="s">
        <v>27</v>
      </c>
      <c r="M7185" s="16">
        <f t="shared" si="675"/>
        <v>1.687010542718838</v>
      </c>
      <c r="N7185">
        <f t="shared" si="676"/>
        <v>0</v>
      </c>
      <c r="O7185">
        <f t="shared" si="677"/>
        <v>0</v>
      </c>
      <c r="P7185">
        <f t="shared" si="674"/>
        <v>5900</v>
      </c>
      <c r="Q7185">
        <f t="shared" si="678"/>
        <v>5900</v>
      </c>
      <c r="T7185" s="16">
        <f t="shared" si="679"/>
        <v>1.6870105427188375</v>
      </c>
    </row>
    <row r="7186" spans="7:20" ht="14.4" x14ac:dyDescent="0.25">
      <c r="G7186" s="10">
        <v>6406</v>
      </c>
      <c r="H7186" s="9">
        <v>45539</v>
      </c>
      <c r="I7186" s="14">
        <f>DATE(2012,12,31)-1247</f>
        <v>40027</v>
      </c>
      <c r="J7186" s="15" t="s">
        <v>28</v>
      </c>
      <c r="K7186" s="9">
        <v>15</v>
      </c>
      <c r="L7186" s="16" t="s">
        <v>27</v>
      </c>
      <c r="M7186" s="16">
        <f t="shared" si="675"/>
        <v>-0.7300816389539122</v>
      </c>
      <c r="N7186">
        <f t="shared" si="676"/>
        <v>0</v>
      </c>
      <c r="O7186">
        <f t="shared" si="677"/>
        <v>0</v>
      </c>
      <c r="P7186">
        <f t="shared" si="674"/>
        <v>4150</v>
      </c>
      <c r="Q7186">
        <f t="shared" si="678"/>
        <v>4150</v>
      </c>
      <c r="T7186" s="16">
        <f t="shared" si="679"/>
        <v>-0.73008163895391265</v>
      </c>
    </row>
    <row r="7187" spans="7:20" ht="14.4" x14ac:dyDescent="0.25">
      <c r="G7187" s="10">
        <v>6407</v>
      </c>
      <c r="H7187" s="9">
        <v>45539</v>
      </c>
      <c r="I7187" s="14">
        <f>DATE(2012,12,31)-1247</f>
        <v>40027</v>
      </c>
      <c r="J7187" s="15" t="s">
        <v>28</v>
      </c>
      <c r="K7187" s="9">
        <v>27</v>
      </c>
      <c r="L7187" s="16" t="s">
        <v>26</v>
      </c>
      <c r="M7187" s="16">
        <f t="shared" si="675"/>
        <v>9.8635680476745008E-2</v>
      </c>
      <c r="N7187">
        <f t="shared" si="676"/>
        <v>0</v>
      </c>
      <c r="O7187">
        <f t="shared" si="677"/>
        <v>0</v>
      </c>
      <c r="P7187">
        <f t="shared" si="674"/>
        <v>4750</v>
      </c>
      <c r="Q7187">
        <f t="shared" si="678"/>
        <v>4750</v>
      </c>
      <c r="T7187" s="16">
        <f t="shared" si="679"/>
        <v>9.8635680476744619E-2</v>
      </c>
    </row>
    <row r="7188" spans="7:20" ht="14.4" x14ac:dyDescent="0.25">
      <c r="G7188" s="10">
        <v>6418</v>
      </c>
      <c r="H7188" s="9">
        <v>45605</v>
      </c>
      <c r="I7188" s="14">
        <f>DATE(2012,12,31)-996</f>
        <v>40278</v>
      </c>
      <c r="J7188" s="15" t="s">
        <v>16</v>
      </c>
      <c r="K7188" s="9">
        <v>7</v>
      </c>
      <c r="L7188" s="16" t="s">
        <v>29</v>
      </c>
      <c r="M7188" s="16">
        <f t="shared" si="675"/>
        <v>-1.2825598519076837</v>
      </c>
      <c r="N7188">
        <f t="shared" si="676"/>
        <v>0</v>
      </c>
      <c r="O7188">
        <f t="shared" si="677"/>
        <v>0</v>
      </c>
      <c r="P7188">
        <f t="shared" si="674"/>
        <v>3750</v>
      </c>
      <c r="Q7188">
        <f t="shared" si="678"/>
        <v>3750</v>
      </c>
      <c r="T7188" s="16">
        <f t="shared" si="679"/>
        <v>-1.2825598519076842</v>
      </c>
    </row>
    <row r="7189" spans="7:20" ht="14.4" x14ac:dyDescent="0.25">
      <c r="G7189" s="10">
        <v>6423</v>
      </c>
      <c r="H7189" s="9">
        <v>45664</v>
      </c>
      <c r="I7189" s="14">
        <f>DATE(2012,12,31)-205</f>
        <v>41069</v>
      </c>
      <c r="J7189" s="15" t="s">
        <v>28</v>
      </c>
      <c r="K7189" s="9">
        <v>24</v>
      </c>
      <c r="L7189" s="16" t="s">
        <v>29</v>
      </c>
      <c r="M7189" s="16">
        <f t="shared" si="675"/>
        <v>-0.1085436493809193</v>
      </c>
      <c r="N7189">
        <f t="shared" si="676"/>
        <v>0</v>
      </c>
      <c r="O7189">
        <f t="shared" si="677"/>
        <v>0</v>
      </c>
      <c r="P7189">
        <f t="shared" si="674"/>
        <v>4600</v>
      </c>
      <c r="Q7189">
        <f t="shared" si="678"/>
        <v>4600</v>
      </c>
      <c r="T7189" s="16">
        <f t="shared" si="679"/>
        <v>-0.10854364938091969</v>
      </c>
    </row>
    <row r="7190" spans="7:20" ht="14.4" x14ac:dyDescent="0.25">
      <c r="G7190" s="10">
        <v>6426</v>
      </c>
      <c r="H7190" s="9">
        <v>45671</v>
      </c>
      <c r="I7190" s="14">
        <f>DATE(2012,12,31)-568</f>
        <v>40706</v>
      </c>
      <c r="J7190" s="15" t="s">
        <v>25</v>
      </c>
      <c r="K7190" s="9">
        <v>13</v>
      </c>
      <c r="L7190" s="16" t="s">
        <v>29</v>
      </c>
      <c r="M7190" s="16">
        <f t="shared" si="675"/>
        <v>-0.86820119219235514</v>
      </c>
      <c r="N7190">
        <f t="shared" si="676"/>
        <v>0</v>
      </c>
      <c r="O7190">
        <f t="shared" si="677"/>
        <v>0</v>
      </c>
      <c r="P7190">
        <f t="shared" si="674"/>
        <v>4050</v>
      </c>
      <c r="Q7190">
        <f t="shared" si="678"/>
        <v>4050</v>
      </c>
      <c r="T7190" s="16">
        <f t="shared" si="679"/>
        <v>-0.86820119219235548</v>
      </c>
    </row>
    <row r="7191" spans="7:20" ht="14.4" x14ac:dyDescent="0.25">
      <c r="G7191" s="10">
        <v>6430</v>
      </c>
      <c r="H7191" s="9">
        <v>45728</v>
      </c>
      <c r="I7191" s="14">
        <f>DATE(2012,12,31)-924</f>
        <v>40350</v>
      </c>
      <c r="J7191" s="15" t="s">
        <v>17</v>
      </c>
      <c r="K7191" s="9">
        <v>49</v>
      </c>
      <c r="L7191" s="16" t="s">
        <v>27</v>
      </c>
      <c r="M7191" s="16">
        <f t="shared" si="675"/>
        <v>1.6179507660996166</v>
      </c>
      <c r="N7191">
        <f t="shared" si="676"/>
        <v>0</v>
      </c>
      <c r="O7191">
        <f t="shared" si="677"/>
        <v>0</v>
      </c>
      <c r="P7191">
        <f t="shared" si="674"/>
        <v>5850</v>
      </c>
      <c r="Q7191">
        <f t="shared" si="678"/>
        <v>5850</v>
      </c>
      <c r="T7191" s="16">
        <f t="shared" si="679"/>
        <v>1.6179507660996162</v>
      </c>
    </row>
    <row r="7192" spans="7:20" ht="14.4" x14ac:dyDescent="0.25">
      <c r="G7192" s="10">
        <v>6437</v>
      </c>
      <c r="H7192" s="9">
        <v>45762</v>
      </c>
      <c r="I7192" s="14">
        <f>DATE(2012,12,31)-894</f>
        <v>40380</v>
      </c>
      <c r="J7192" s="15" t="s">
        <v>25</v>
      </c>
      <c r="K7192" s="9">
        <v>21</v>
      </c>
      <c r="L7192" s="16" t="s">
        <v>26</v>
      </c>
      <c r="M7192" s="16">
        <f t="shared" si="675"/>
        <v>-0.31572297923858361</v>
      </c>
      <c r="N7192">
        <f t="shared" si="676"/>
        <v>0</v>
      </c>
      <c r="O7192">
        <f t="shared" si="677"/>
        <v>0</v>
      </c>
      <c r="P7192">
        <f t="shared" si="674"/>
        <v>4450</v>
      </c>
      <c r="Q7192">
        <f t="shared" si="678"/>
        <v>4450</v>
      </c>
      <c r="T7192" s="16">
        <f t="shared" si="679"/>
        <v>-0.315722979238584</v>
      </c>
    </row>
    <row r="7193" spans="7:20" ht="14.4" x14ac:dyDescent="0.25">
      <c r="G7193" s="10">
        <v>6486</v>
      </c>
      <c r="H7193" s="9">
        <v>46151</v>
      </c>
      <c r="I7193" s="14">
        <f>DATE(2012,12,31)-1149</f>
        <v>40125</v>
      </c>
      <c r="J7193" s="15" t="s">
        <v>30</v>
      </c>
      <c r="K7193" s="9">
        <v>23</v>
      </c>
      <c r="L7193" s="16" t="s">
        <v>26</v>
      </c>
      <c r="M7193" s="16">
        <f t="shared" si="675"/>
        <v>-0.17760342600014073</v>
      </c>
      <c r="N7193">
        <f t="shared" si="676"/>
        <v>0</v>
      </c>
      <c r="O7193">
        <f t="shared" si="677"/>
        <v>0</v>
      </c>
      <c r="P7193">
        <f t="shared" si="674"/>
        <v>4550</v>
      </c>
      <c r="Q7193">
        <f t="shared" si="678"/>
        <v>4550</v>
      </c>
      <c r="T7193" s="16">
        <f t="shared" si="679"/>
        <v>-0.17760342600014112</v>
      </c>
    </row>
    <row r="7194" spans="7:20" ht="14.4" x14ac:dyDescent="0.25">
      <c r="G7194" s="10">
        <v>6523</v>
      </c>
      <c r="H7194" s="9">
        <v>46407</v>
      </c>
      <c r="I7194" s="14">
        <f>DATE(2012,12,31)-1376</f>
        <v>39898</v>
      </c>
      <c r="J7194" s="15" t="s">
        <v>28</v>
      </c>
      <c r="K7194" s="9">
        <v>7</v>
      </c>
      <c r="L7194" s="16" t="s">
        <v>26</v>
      </c>
      <c r="M7194" s="16">
        <f t="shared" si="675"/>
        <v>-1.2825598519076837</v>
      </c>
      <c r="N7194">
        <f t="shared" si="676"/>
        <v>0</v>
      </c>
      <c r="O7194">
        <f t="shared" si="677"/>
        <v>0</v>
      </c>
      <c r="P7194">
        <f t="shared" si="674"/>
        <v>3750</v>
      </c>
      <c r="Q7194">
        <f t="shared" si="678"/>
        <v>3750</v>
      </c>
      <c r="T7194" s="16">
        <f t="shared" si="679"/>
        <v>-1.2825598519076842</v>
      </c>
    </row>
    <row r="7195" spans="7:20" ht="14.4" x14ac:dyDescent="0.25">
      <c r="G7195" s="10">
        <v>6534</v>
      </c>
      <c r="H7195" s="9">
        <v>46499</v>
      </c>
      <c r="I7195" s="14">
        <f>DATE(2012,12,31)-1303</f>
        <v>39971</v>
      </c>
      <c r="J7195" s="15" t="s">
        <v>30</v>
      </c>
      <c r="K7195" s="9">
        <v>1</v>
      </c>
      <c r="L7195" s="16" t="s">
        <v>26</v>
      </c>
      <c r="M7195" s="16">
        <f t="shared" si="675"/>
        <v>-1.6969185116230123</v>
      </c>
      <c r="N7195">
        <f t="shared" si="676"/>
        <v>0</v>
      </c>
      <c r="O7195">
        <f t="shared" si="677"/>
        <v>0</v>
      </c>
      <c r="P7195">
        <f t="shared" si="674"/>
        <v>3450</v>
      </c>
      <c r="Q7195">
        <f t="shared" si="678"/>
        <v>3450</v>
      </c>
      <c r="T7195" s="16">
        <f t="shared" si="679"/>
        <v>-1.6969185116230128</v>
      </c>
    </row>
    <row r="7196" spans="7:20" ht="14.4" x14ac:dyDescent="0.25">
      <c r="G7196" s="10">
        <v>6535</v>
      </c>
      <c r="H7196" s="9">
        <v>46499</v>
      </c>
      <c r="I7196" s="14">
        <f>DATE(2012,12,31)-1303</f>
        <v>39971</v>
      </c>
      <c r="J7196" s="15" t="s">
        <v>30</v>
      </c>
      <c r="K7196" s="9">
        <v>22</v>
      </c>
      <c r="L7196" s="16" t="s">
        <v>26</v>
      </c>
      <c r="M7196" s="16">
        <f t="shared" si="675"/>
        <v>-0.24666320261936217</v>
      </c>
      <c r="N7196">
        <f t="shared" si="676"/>
        <v>0</v>
      </c>
      <c r="O7196">
        <f t="shared" si="677"/>
        <v>0</v>
      </c>
      <c r="P7196">
        <f t="shared" si="674"/>
        <v>4500</v>
      </c>
      <c r="Q7196">
        <f t="shared" si="678"/>
        <v>4500</v>
      </c>
      <c r="T7196" s="16">
        <f t="shared" si="679"/>
        <v>-0.24666320261936256</v>
      </c>
    </row>
    <row r="7197" spans="7:20" ht="14.4" x14ac:dyDescent="0.25">
      <c r="G7197" s="10">
        <v>6536</v>
      </c>
      <c r="H7197" s="9">
        <v>46499</v>
      </c>
      <c r="I7197" s="14">
        <f>DATE(2012,12,31)-1303</f>
        <v>39971</v>
      </c>
      <c r="J7197" s="15" t="s">
        <v>30</v>
      </c>
      <c r="K7197" s="9">
        <v>10</v>
      </c>
      <c r="L7197" s="16" t="s">
        <v>26</v>
      </c>
      <c r="M7197" s="16">
        <f t="shared" si="675"/>
        <v>-1.0753805220500194</v>
      </c>
      <c r="N7197">
        <f t="shared" si="676"/>
        <v>0</v>
      </c>
      <c r="O7197">
        <f t="shared" si="677"/>
        <v>0</v>
      </c>
      <c r="P7197">
        <f t="shared" si="674"/>
        <v>3900</v>
      </c>
      <c r="Q7197">
        <f t="shared" si="678"/>
        <v>3900</v>
      </c>
      <c r="T7197" s="16">
        <f t="shared" si="679"/>
        <v>-1.0753805220500199</v>
      </c>
    </row>
    <row r="7198" spans="7:20" ht="14.4" x14ac:dyDescent="0.25">
      <c r="G7198" s="10">
        <v>6561</v>
      </c>
      <c r="H7198" s="9">
        <v>46631</v>
      </c>
      <c r="I7198" s="14">
        <f>DATE(2012,12,31)-295</f>
        <v>40979</v>
      </c>
      <c r="J7198" s="15" t="s">
        <v>28</v>
      </c>
      <c r="K7198" s="9">
        <v>39</v>
      </c>
      <c r="L7198" s="16" t="s">
        <v>26</v>
      </c>
      <c r="M7198" s="16">
        <f t="shared" si="675"/>
        <v>0.92735299990740228</v>
      </c>
      <c r="N7198">
        <f t="shared" si="676"/>
        <v>0</v>
      </c>
      <c r="O7198">
        <f t="shared" si="677"/>
        <v>0</v>
      </c>
      <c r="P7198">
        <f t="shared" si="674"/>
        <v>5350</v>
      </c>
      <c r="Q7198">
        <f t="shared" si="678"/>
        <v>5350</v>
      </c>
      <c r="T7198" s="16">
        <f t="shared" si="679"/>
        <v>0.92735299990740183</v>
      </c>
    </row>
    <row r="7199" spans="7:20" ht="14.4" x14ac:dyDescent="0.25">
      <c r="G7199" s="10">
        <v>6563</v>
      </c>
      <c r="H7199" s="9">
        <v>46662</v>
      </c>
      <c r="I7199" s="14">
        <f>DATE(2012,12,31)-368</f>
        <v>40906</v>
      </c>
      <c r="J7199" s="15" t="s">
        <v>30</v>
      </c>
      <c r="K7199" s="9">
        <v>8</v>
      </c>
      <c r="L7199" s="16" t="s">
        <v>26</v>
      </c>
      <c r="M7199" s="16">
        <f t="shared" si="675"/>
        <v>-1.2135000752884624</v>
      </c>
      <c r="N7199">
        <f t="shared" si="676"/>
        <v>0</v>
      </c>
      <c r="O7199">
        <f t="shared" si="677"/>
        <v>0</v>
      </c>
      <c r="P7199">
        <f t="shared" si="674"/>
        <v>3800</v>
      </c>
      <c r="Q7199">
        <f t="shared" si="678"/>
        <v>3800</v>
      </c>
      <c r="T7199" s="16">
        <f t="shared" si="679"/>
        <v>-1.2135000752884626</v>
      </c>
    </row>
    <row r="7200" spans="7:20" ht="14.4" x14ac:dyDescent="0.25">
      <c r="G7200" s="10">
        <v>6564</v>
      </c>
      <c r="H7200" s="9">
        <v>46662</v>
      </c>
      <c r="I7200" s="14">
        <f>DATE(2012,12,31)-368</f>
        <v>40906</v>
      </c>
      <c r="J7200" s="15" t="s">
        <v>30</v>
      </c>
      <c r="K7200" s="9">
        <v>33</v>
      </c>
      <c r="L7200" s="16" t="s">
        <v>26</v>
      </c>
      <c r="M7200" s="16">
        <f t="shared" si="675"/>
        <v>0.51299434019207357</v>
      </c>
      <c r="N7200">
        <f t="shared" si="676"/>
        <v>0</v>
      </c>
      <c r="O7200">
        <f t="shared" si="677"/>
        <v>0</v>
      </c>
      <c r="P7200">
        <f t="shared" si="674"/>
        <v>5050</v>
      </c>
      <c r="Q7200">
        <f t="shared" si="678"/>
        <v>5050</v>
      </c>
      <c r="T7200" s="16">
        <f t="shared" si="679"/>
        <v>0.51299434019207324</v>
      </c>
    </row>
    <row r="7201" spans="7:20" ht="14.4" x14ac:dyDescent="0.25">
      <c r="G7201" s="10">
        <v>6565</v>
      </c>
      <c r="H7201" s="9">
        <v>46662</v>
      </c>
      <c r="I7201" s="14">
        <f>DATE(2012,12,31)-368</f>
        <v>40906</v>
      </c>
      <c r="J7201" s="15" t="s">
        <v>30</v>
      </c>
      <c r="K7201" s="9">
        <v>48</v>
      </c>
      <c r="L7201" s="16" t="s">
        <v>27</v>
      </c>
      <c r="M7201" s="16">
        <f t="shared" si="675"/>
        <v>1.5488909894803951</v>
      </c>
      <c r="N7201">
        <f t="shared" si="676"/>
        <v>0</v>
      </c>
      <c r="O7201">
        <f t="shared" si="677"/>
        <v>0</v>
      </c>
      <c r="P7201">
        <f t="shared" si="674"/>
        <v>5800</v>
      </c>
      <c r="Q7201">
        <f t="shared" si="678"/>
        <v>5800</v>
      </c>
      <c r="T7201" s="16">
        <f t="shared" si="679"/>
        <v>1.5488909894803948</v>
      </c>
    </row>
    <row r="7202" spans="7:20" ht="14.4" x14ac:dyDescent="0.25">
      <c r="G7202" s="10">
        <v>6566</v>
      </c>
      <c r="H7202" s="9">
        <v>46691</v>
      </c>
      <c r="I7202" s="14">
        <f>DATE(2012,12,31)-190</f>
        <v>41084</v>
      </c>
      <c r="J7202" s="15" t="s">
        <v>30</v>
      </c>
      <c r="K7202" s="9">
        <v>47</v>
      </c>
      <c r="L7202" s="16" t="s">
        <v>29</v>
      </c>
      <c r="M7202" s="16">
        <f t="shared" si="675"/>
        <v>1.4798312128611737</v>
      </c>
      <c r="N7202">
        <f t="shared" si="676"/>
        <v>0</v>
      </c>
      <c r="O7202">
        <f t="shared" si="677"/>
        <v>0</v>
      </c>
      <c r="P7202">
        <f t="shared" si="674"/>
        <v>5750</v>
      </c>
      <c r="Q7202">
        <f t="shared" si="678"/>
        <v>5750</v>
      </c>
      <c r="T7202" s="16">
        <f t="shared" si="679"/>
        <v>1.4798312128611733</v>
      </c>
    </row>
    <row r="7203" spans="7:20" ht="14.4" x14ac:dyDescent="0.25">
      <c r="G7203" s="10">
        <v>6583</v>
      </c>
      <c r="H7203" s="9">
        <v>46880</v>
      </c>
      <c r="I7203" s="14">
        <f>DATE(2012,12,31)-912</f>
        <v>40362</v>
      </c>
      <c r="J7203" s="15" t="s">
        <v>30</v>
      </c>
      <c r="K7203" s="9">
        <v>1</v>
      </c>
      <c r="L7203" s="16" t="s">
        <v>26</v>
      </c>
      <c r="M7203" s="16">
        <f t="shared" si="675"/>
        <v>-1.6969185116230123</v>
      </c>
      <c r="N7203">
        <f t="shared" si="676"/>
        <v>0</v>
      </c>
      <c r="O7203">
        <f t="shared" si="677"/>
        <v>0</v>
      </c>
      <c r="P7203">
        <f t="shared" si="674"/>
        <v>3450</v>
      </c>
      <c r="Q7203">
        <f t="shared" si="678"/>
        <v>3450</v>
      </c>
      <c r="T7203" s="16">
        <f t="shared" si="679"/>
        <v>-1.6969185116230128</v>
      </c>
    </row>
    <row r="7204" spans="7:20" ht="14.4" x14ac:dyDescent="0.25">
      <c r="G7204" s="10">
        <v>6607</v>
      </c>
      <c r="H7204" s="9">
        <v>47011</v>
      </c>
      <c r="I7204" s="14">
        <f>DATE(2012,12,31)-1411</f>
        <v>39863</v>
      </c>
      <c r="J7204" s="15" t="s">
        <v>17</v>
      </c>
      <c r="K7204" s="9">
        <v>33</v>
      </c>
      <c r="L7204" s="16" t="s">
        <v>26</v>
      </c>
      <c r="M7204" s="16">
        <f t="shared" si="675"/>
        <v>0.51299434019207357</v>
      </c>
      <c r="N7204">
        <f t="shared" si="676"/>
        <v>0</v>
      </c>
      <c r="O7204">
        <f t="shared" si="677"/>
        <v>0</v>
      </c>
      <c r="P7204">
        <f t="shared" si="674"/>
        <v>5050</v>
      </c>
      <c r="Q7204">
        <f t="shared" si="678"/>
        <v>5050</v>
      </c>
      <c r="T7204" s="16">
        <f t="shared" si="679"/>
        <v>0.51299434019207324</v>
      </c>
    </row>
    <row r="7205" spans="7:20" ht="14.4" x14ac:dyDescent="0.25">
      <c r="G7205" s="10">
        <v>6637</v>
      </c>
      <c r="H7205" s="9">
        <v>47201</v>
      </c>
      <c r="I7205" s="14">
        <f>DATE(2012,12,31)-1099</f>
        <v>40175</v>
      </c>
      <c r="J7205" s="15" t="s">
        <v>30</v>
      </c>
      <c r="K7205" s="9">
        <v>18</v>
      </c>
      <c r="L7205" s="16" t="s">
        <v>27</v>
      </c>
      <c r="M7205" s="16">
        <f t="shared" si="675"/>
        <v>-0.52290230909624791</v>
      </c>
      <c r="N7205">
        <f t="shared" si="676"/>
        <v>0</v>
      </c>
      <c r="O7205">
        <f t="shared" si="677"/>
        <v>0</v>
      </c>
      <c r="P7205">
        <f t="shared" si="674"/>
        <v>4300</v>
      </c>
      <c r="Q7205">
        <f t="shared" si="678"/>
        <v>4300</v>
      </c>
      <c r="T7205" s="16">
        <f t="shared" si="679"/>
        <v>-0.52290230909624835</v>
      </c>
    </row>
    <row r="7206" spans="7:20" ht="14.4" x14ac:dyDescent="0.25">
      <c r="G7206" s="10">
        <v>6663</v>
      </c>
      <c r="H7206" s="9">
        <v>47457</v>
      </c>
      <c r="I7206" s="14">
        <f>DATE(2012,12,31)-1307</f>
        <v>39967</v>
      </c>
      <c r="J7206" s="15" t="s">
        <v>25</v>
      </c>
      <c r="K7206" s="9">
        <v>50</v>
      </c>
      <c r="L7206" s="16" t="s">
        <v>26</v>
      </c>
      <c r="M7206" s="16">
        <f t="shared" si="675"/>
        <v>1.687010542718838</v>
      </c>
      <c r="N7206">
        <f t="shared" si="676"/>
        <v>0</v>
      </c>
      <c r="O7206">
        <f t="shared" si="677"/>
        <v>0</v>
      </c>
      <c r="P7206">
        <f t="shared" si="674"/>
        <v>5900</v>
      </c>
      <c r="Q7206">
        <f t="shared" si="678"/>
        <v>5900</v>
      </c>
      <c r="T7206" s="16">
        <f t="shared" si="679"/>
        <v>1.6870105427188375</v>
      </c>
    </row>
    <row r="7207" spans="7:20" ht="14.4" x14ac:dyDescent="0.25">
      <c r="G7207" s="10">
        <v>6679</v>
      </c>
      <c r="H7207" s="9">
        <v>47522</v>
      </c>
      <c r="I7207" s="14">
        <f>DATE(2012,12,31)-69</f>
        <v>41205</v>
      </c>
      <c r="J7207" s="15" t="s">
        <v>17</v>
      </c>
      <c r="K7207" s="9">
        <v>5</v>
      </c>
      <c r="L7207" s="16" t="s">
        <v>26</v>
      </c>
      <c r="M7207" s="16">
        <f t="shared" si="675"/>
        <v>-1.4206794051461267</v>
      </c>
      <c r="N7207">
        <f t="shared" si="676"/>
        <v>0</v>
      </c>
      <c r="O7207">
        <f t="shared" si="677"/>
        <v>0</v>
      </c>
      <c r="P7207">
        <f t="shared" si="674"/>
        <v>3650</v>
      </c>
      <c r="Q7207">
        <f t="shared" si="678"/>
        <v>3650</v>
      </c>
      <c r="T7207" s="16">
        <f t="shared" si="679"/>
        <v>-1.4206794051461269</v>
      </c>
    </row>
    <row r="7208" spans="7:20" ht="14.4" x14ac:dyDescent="0.25">
      <c r="G7208" s="10">
        <v>6684</v>
      </c>
      <c r="H7208" s="9">
        <v>47553</v>
      </c>
      <c r="I7208" s="14">
        <f>DATE(2012,12,31)-589</f>
        <v>40685</v>
      </c>
      <c r="J7208" s="15" t="s">
        <v>16</v>
      </c>
      <c r="K7208" s="9">
        <v>49</v>
      </c>
      <c r="L7208" s="16" t="s">
        <v>29</v>
      </c>
      <c r="M7208" s="16">
        <f t="shared" si="675"/>
        <v>1.6179507660996166</v>
      </c>
      <c r="N7208">
        <f t="shared" si="676"/>
        <v>0</v>
      </c>
      <c r="O7208">
        <f t="shared" si="677"/>
        <v>0</v>
      </c>
      <c r="P7208">
        <f t="shared" si="674"/>
        <v>5850</v>
      </c>
      <c r="Q7208">
        <f t="shared" si="678"/>
        <v>5850</v>
      </c>
      <c r="T7208" s="16">
        <f t="shared" si="679"/>
        <v>1.6179507660996162</v>
      </c>
    </row>
    <row r="7209" spans="7:20" ht="14.4" x14ac:dyDescent="0.25">
      <c r="G7209" s="10">
        <v>6688</v>
      </c>
      <c r="H7209" s="9">
        <v>47584</v>
      </c>
      <c r="I7209" s="14">
        <f>DATE(2012,12,31)-888</f>
        <v>40386</v>
      </c>
      <c r="J7209" s="15" t="s">
        <v>30</v>
      </c>
      <c r="K7209" s="9">
        <v>4</v>
      </c>
      <c r="L7209" s="16" t="s">
        <v>26</v>
      </c>
      <c r="M7209" s="16">
        <f t="shared" si="675"/>
        <v>-1.489739181765348</v>
      </c>
      <c r="N7209">
        <f t="shared" si="676"/>
        <v>0</v>
      </c>
      <c r="O7209">
        <f t="shared" si="677"/>
        <v>0</v>
      </c>
      <c r="P7209">
        <f t="shared" si="674"/>
        <v>3600</v>
      </c>
      <c r="Q7209">
        <f t="shared" si="678"/>
        <v>3600</v>
      </c>
      <c r="T7209" s="16">
        <f t="shared" si="679"/>
        <v>-1.4897391817653485</v>
      </c>
    </row>
    <row r="7210" spans="7:20" ht="14.4" x14ac:dyDescent="0.25">
      <c r="G7210" s="10">
        <v>6689</v>
      </c>
      <c r="H7210" s="9">
        <v>47584</v>
      </c>
      <c r="I7210" s="14">
        <f>DATE(2012,12,31)-888</f>
        <v>40386</v>
      </c>
      <c r="J7210" s="15" t="s">
        <v>30</v>
      </c>
      <c r="K7210" s="9">
        <v>43</v>
      </c>
      <c r="L7210" s="16" t="s">
        <v>26</v>
      </c>
      <c r="M7210" s="16">
        <f t="shared" si="675"/>
        <v>1.203592106384288</v>
      </c>
      <c r="N7210">
        <f t="shared" si="676"/>
        <v>0</v>
      </c>
      <c r="O7210">
        <f t="shared" si="677"/>
        <v>0</v>
      </c>
      <c r="P7210">
        <f t="shared" si="674"/>
        <v>5550</v>
      </c>
      <c r="Q7210">
        <f t="shared" si="678"/>
        <v>5550</v>
      </c>
      <c r="T7210" s="16">
        <f t="shared" si="679"/>
        <v>1.2035921063842876</v>
      </c>
    </row>
    <row r="7211" spans="7:20" ht="14.4" x14ac:dyDescent="0.25">
      <c r="G7211" s="10">
        <v>6696</v>
      </c>
      <c r="H7211" s="9">
        <v>47683</v>
      </c>
      <c r="I7211" s="14">
        <f>DATE(2012,12,31)-852</f>
        <v>40422</v>
      </c>
      <c r="J7211" s="15" t="s">
        <v>25</v>
      </c>
      <c r="K7211" s="9">
        <v>38</v>
      </c>
      <c r="L7211" s="16" t="s">
        <v>26</v>
      </c>
      <c r="M7211" s="16">
        <f t="shared" si="675"/>
        <v>0.85829322328818081</v>
      </c>
      <c r="N7211">
        <f t="shared" si="676"/>
        <v>0</v>
      </c>
      <c r="O7211">
        <f t="shared" si="677"/>
        <v>0</v>
      </c>
      <c r="P7211">
        <f t="shared" si="674"/>
        <v>5300</v>
      </c>
      <c r="Q7211">
        <f t="shared" si="678"/>
        <v>5300</v>
      </c>
      <c r="T7211" s="16">
        <f t="shared" si="679"/>
        <v>0.85829322328818036</v>
      </c>
    </row>
    <row r="7212" spans="7:20" ht="14.4" x14ac:dyDescent="0.25">
      <c r="G7212" s="10">
        <v>6719</v>
      </c>
      <c r="H7212" s="9">
        <v>47872</v>
      </c>
      <c r="I7212" s="14">
        <f>DATE(2012,12,31)-1298</f>
        <v>39976</v>
      </c>
      <c r="J7212" s="15" t="s">
        <v>30</v>
      </c>
      <c r="K7212" s="9">
        <v>38</v>
      </c>
      <c r="L7212" s="16" t="s">
        <v>26</v>
      </c>
      <c r="M7212" s="16">
        <f t="shared" si="675"/>
        <v>0.85829322328818081</v>
      </c>
      <c r="N7212">
        <f t="shared" si="676"/>
        <v>0</v>
      </c>
      <c r="O7212">
        <f t="shared" si="677"/>
        <v>0</v>
      </c>
      <c r="P7212">
        <f t="shared" si="674"/>
        <v>5300</v>
      </c>
      <c r="Q7212">
        <f t="shared" si="678"/>
        <v>5300</v>
      </c>
      <c r="T7212" s="16">
        <f t="shared" si="679"/>
        <v>0.85829322328818036</v>
      </c>
    </row>
    <row r="7213" spans="7:20" ht="14.4" x14ac:dyDescent="0.25">
      <c r="G7213" s="10">
        <v>6720</v>
      </c>
      <c r="H7213" s="9">
        <v>47872</v>
      </c>
      <c r="I7213" s="14">
        <f>DATE(2012,12,31)-1298</f>
        <v>39976</v>
      </c>
      <c r="J7213" s="15" t="s">
        <v>30</v>
      </c>
      <c r="K7213" s="9">
        <v>50</v>
      </c>
      <c r="L7213" s="16" t="s">
        <v>29</v>
      </c>
      <c r="M7213" s="16">
        <f t="shared" si="675"/>
        <v>1.687010542718838</v>
      </c>
      <c r="N7213">
        <f t="shared" si="676"/>
        <v>0</v>
      </c>
      <c r="O7213">
        <f t="shared" si="677"/>
        <v>0</v>
      </c>
      <c r="P7213">
        <f t="shared" si="674"/>
        <v>5900</v>
      </c>
      <c r="Q7213">
        <f t="shared" si="678"/>
        <v>5900</v>
      </c>
      <c r="T7213" s="16">
        <f t="shared" si="679"/>
        <v>1.6870105427188375</v>
      </c>
    </row>
    <row r="7214" spans="7:20" ht="14.4" x14ac:dyDescent="0.25">
      <c r="G7214" s="10">
        <v>6723</v>
      </c>
      <c r="H7214" s="9">
        <v>47877</v>
      </c>
      <c r="I7214" s="14">
        <f>DATE(2012,12,31)-1221</f>
        <v>40053</v>
      </c>
      <c r="J7214" s="15" t="s">
        <v>16</v>
      </c>
      <c r="K7214" s="9">
        <v>16</v>
      </c>
      <c r="L7214" s="16" t="s">
        <v>26</v>
      </c>
      <c r="M7214" s="16">
        <f t="shared" si="675"/>
        <v>-0.66102186233469074</v>
      </c>
      <c r="N7214">
        <f t="shared" si="676"/>
        <v>0</v>
      </c>
      <c r="O7214">
        <f t="shared" si="677"/>
        <v>0</v>
      </c>
      <c r="P7214">
        <f t="shared" si="674"/>
        <v>4200</v>
      </c>
      <c r="Q7214">
        <f t="shared" si="678"/>
        <v>4200</v>
      </c>
      <c r="T7214" s="16">
        <f t="shared" si="679"/>
        <v>-0.66102186233469118</v>
      </c>
    </row>
    <row r="7215" spans="7:20" ht="14.4" x14ac:dyDescent="0.25">
      <c r="G7215" s="10">
        <v>6724</v>
      </c>
      <c r="H7215" s="9">
        <v>47877</v>
      </c>
      <c r="I7215" s="14">
        <f>DATE(2012,12,31)-1221</f>
        <v>40053</v>
      </c>
      <c r="J7215" s="15" t="s">
        <v>16</v>
      </c>
      <c r="K7215" s="9">
        <v>19</v>
      </c>
      <c r="L7215" s="16" t="s">
        <v>29</v>
      </c>
      <c r="M7215" s="16">
        <f t="shared" si="675"/>
        <v>-0.45384253247702649</v>
      </c>
      <c r="N7215">
        <f t="shared" si="676"/>
        <v>0</v>
      </c>
      <c r="O7215">
        <f t="shared" si="677"/>
        <v>0</v>
      </c>
      <c r="P7215">
        <f t="shared" si="674"/>
        <v>4350</v>
      </c>
      <c r="Q7215">
        <f t="shared" si="678"/>
        <v>4350</v>
      </c>
      <c r="T7215" s="16">
        <f t="shared" si="679"/>
        <v>-0.45384253247702688</v>
      </c>
    </row>
    <row r="7216" spans="7:20" ht="14.4" x14ac:dyDescent="0.25">
      <c r="G7216" s="10">
        <v>6725</v>
      </c>
      <c r="H7216" s="9">
        <v>47877</v>
      </c>
      <c r="I7216" s="14">
        <f>DATE(2012,12,31)-1221</f>
        <v>40053</v>
      </c>
      <c r="J7216" s="15" t="s">
        <v>16</v>
      </c>
      <c r="K7216" s="9">
        <v>49</v>
      </c>
      <c r="L7216" s="16" t="s">
        <v>29</v>
      </c>
      <c r="M7216" s="16">
        <f t="shared" si="675"/>
        <v>1.6179507660996166</v>
      </c>
      <c r="N7216">
        <f t="shared" si="676"/>
        <v>0</v>
      </c>
      <c r="O7216">
        <f t="shared" si="677"/>
        <v>0</v>
      </c>
      <c r="P7216">
        <f t="shared" si="674"/>
        <v>5850</v>
      </c>
      <c r="Q7216">
        <f t="shared" si="678"/>
        <v>5850</v>
      </c>
      <c r="T7216" s="16">
        <f t="shared" si="679"/>
        <v>1.6179507660996162</v>
      </c>
    </row>
    <row r="7217" spans="7:20" ht="14.4" x14ac:dyDescent="0.25">
      <c r="G7217" s="10">
        <v>6726</v>
      </c>
      <c r="H7217" s="9">
        <v>47879</v>
      </c>
      <c r="I7217" s="14">
        <f>DATE(2012,12,31)-355</f>
        <v>40919</v>
      </c>
      <c r="J7217" s="15" t="s">
        <v>30</v>
      </c>
      <c r="K7217" s="9">
        <v>19</v>
      </c>
      <c r="L7217" s="16" t="s">
        <v>26</v>
      </c>
      <c r="M7217" s="16">
        <f t="shared" si="675"/>
        <v>-0.45384253247702649</v>
      </c>
      <c r="N7217">
        <f t="shared" si="676"/>
        <v>0</v>
      </c>
      <c r="O7217">
        <f t="shared" si="677"/>
        <v>0</v>
      </c>
      <c r="P7217">
        <f t="shared" si="674"/>
        <v>4350</v>
      </c>
      <c r="Q7217">
        <f t="shared" si="678"/>
        <v>4350</v>
      </c>
      <c r="T7217" s="16">
        <f t="shared" si="679"/>
        <v>-0.45384253247702688</v>
      </c>
    </row>
    <row r="7218" spans="7:20" ht="14.4" x14ac:dyDescent="0.25">
      <c r="G7218" s="10">
        <v>6730</v>
      </c>
      <c r="H7218" s="9">
        <v>47910</v>
      </c>
      <c r="I7218" s="14">
        <f>DATE(2012,12,31)-1234</f>
        <v>40040</v>
      </c>
      <c r="J7218" s="15" t="s">
        <v>17</v>
      </c>
      <c r="K7218" s="9">
        <v>30</v>
      </c>
      <c r="L7218" s="16" t="s">
        <v>26</v>
      </c>
      <c r="M7218" s="16">
        <f t="shared" si="675"/>
        <v>0.30581501033440933</v>
      </c>
      <c r="N7218">
        <f t="shared" si="676"/>
        <v>0</v>
      </c>
      <c r="O7218">
        <f t="shared" si="677"/>
        <v>0</v>
      </c>
      <c r="P7218">
        <f t="shared" si="674"/>
        <v>4900</v>
      </c>
      <c r="Q7218">
        <f t="shared" si="678"/>
        <v>4900</v>
      </c>
      <c r="T7218" s="16">
        <f t="shared" si="679"/>
        <v>0.30581501033440894</v>
      </c>
    </row>
    <row r="7219" spans="7:20" ht="14.4" x14ac:dyDescent="0.25">
      <c r="G7219" s="10">
        <v>6739</v>
      </c>
      <c r="H7219" s="9">
        <v>47972</v>
      </c>
      <c r="I7219" s="14">
        <f>DATE(2012,12,31)-812</f>
        <v>40462</v>
      </c>
      <c r="J7219" s="15" t="s">
        <v>16</v>
      </c>
      <c r="K7219" s="9">
        <v>46</v>
      </c>
      <c r="L7219" s="16" t="s">
        <v>26</v>
      </c>
      <c r="M7219" s="16">
        <f t="shared" si="675"/>
        <v>1.4107714362419523</v>
      </c>
      <c r="N7219">
        <f t="shared" si="676"/>
        <v>0</v>
      </c>
      <c r="O7219">
        <f t="shared" si="677"/>
        <v>0</v>
      </c>
      <c r="P7219">
        <f t="shared" si="674"/>
        <v>5700</v>
      </c>
      <c r="Q7219">
        <f t="shared" si="678"/>
        <v>5700</v>
      </c>
      <c r="T7219" s="16">
        <f t="shared" si="679"/>
        <v>1.4107714362419519</v>
      </c>
    </row>
    <row r="7220" spans="7:20" ht="14.4" x14ac:dyDescent="0.25">
      <c r="G7220" s="10">
        <v>6765</v>
      </c>
      <c r="H7220" s="9">
        <v>48192</v>
      </c>
      <c r="I7220" s="14">
        <f>DATE(2012,12,31)-1111</f>
        <v>40163</v>
      </c>
      <c r="J7220" s="15" t="s">
        <v>30</v>
      </c>
      <c r="K7220" s="9">
        <v>15</v>
      </c>
      <c r="L7220" s="16" t="s">
        <v>29</v>
      </c>
      <c r="M7220" s="16">
        <f t="shared" si="675"/>
        <v>-0.7300816389539122</v>
      </c>
      <c r="N7220">
        <f t="shared" si="676"/>
        <v>0</v>
      </c>
      <c r="O7220">
        <f t="shared" si="677"/>
        <v>0</v>
      </c>
      <c r="P7220">
        <f t="shared" si="674"/>
        <v>4150</v>
      </c>
      <c r="Q7220">
        <f t="shared" si="678"/>
        <v>4150</v>
      </c>
      <c r="T7220" s="16">
        <f t="shared" si="679"/>
        <v>-0.73008163895391265</v>
      </c>
    </row>
    <row r="7221" spans="7:20" ht="14.4" x14ac:dyDescent="0.25">
      <c r="G7221" s="10">
        <v>6780</v>
      </c>
      <c r="H7221" s="9">
        <v>48288</v>
      </c>
      <c r="I7221" s="14">
        <f>DATE(2012,12,31)-528</f>
        <v>40746</v>
      </c>
      <c r="J7221" s="15" t="s">
        <v>16</v>
      </c>
      <c r="K7221" s="9">
        <v>25</v>
      </c>
      <c r="L7221" s="16" t="s">
        <v>29</v>
      </c>
      <c r="M7221" s="16">
        <f t="shared" si="675"/>
        <v>-3.9483872761697868E-2</v>
      </c>
      <c r="N7221">
        <f t="shared" si="676"/>
        <v>0</v>
      </c>
      <c r="O7221">
        <f t="shared" si="677"/>
        <v>0</v>
      </c>
      <c r="P7221">
        <f t="shared" si="674"/>
        <v>4650</v>
      </c>
      <c r="Q7221">
        <f t="shared" si="678"/>
        <v>4650</v>
      </c>
      <c r="T7221" s="16">
        <f t="shared" si="679"/>
        <v>-3.9483872761698249E-2</v>
      </c>
    </row>
    <row r="7222" spans="7:20" ht="14.4" x14ac:dyDescent="0.25">
      <c r="G7222" s="10">
        <v>6781</v>
      </c>
      <c r="H7222" s="9">
        <v>48293</v>
      </c>
      <c r="I7222" s="14">
        <f>DATE(2012,12,31)-266</f>
        <v>41008</v>
      </c>
      <c r="J7222" s="15" t="s">
        <v>30</v>
      </c>
      <c r="K7222" s="9">
        <v>47</v>
      </c>
      <c r="L7222" s="16" t="s">
        <v>26</v>
      </c>
      <c r="M7222" s="16">
        <f t="shared" si="675"/>
        <v>1.4798312128611737</v>
      </c>
      <c r="N7222">
        <f t="shared" si="676"/>
        <v>0</v>
      </c>
      <c r="O7222">
        <f t="shared" si="677"/>
        <v>0</v>
      </c>
      <c r="P7222">
        <f t="shared" si="674"/>
        <v>5750</v>
      </c>
      <c r="Q7222">
        <f t="shared" si="678"/>
        <v>5750</v>
      </c>
      <c r="T7222" s="16">
        <f t="shared" si="679"/>
        <v>1.4798312128611733</v>
      </c>
    </row>
    <row r="7223" spans="7:20" ht="14.4" x14ac:dyDescent="0.25">
      <c r="G7223" s="10">
        <v>6782</v>
      </c>
      <c r="H7223" s="9">
        <v>48294</v>
      </c>
      <c r="I7223" s="14">
        <f>DATE(2012,12,31)-950</f>
        <v>40324</v>
      </c>
      <c r="J7223" s="15" t="s">
        <v>17</v>
      </c>
      <c r="K7223" s="9">
        <v>43</v>
      </c>
      <c r="L7223" s="16" t="s">
        <v>26</v>
      </c>
      <c r="M7223" s="16">
        <f t="shared" si="675"/>
        <v>1.203592106384288</v>
      </c>
      <c r="N7223">
        <f t="shared" si="676"/>
        <v>0</v>
      </c>
      <c r="O7223">
        <f t="shared" si="677"/>
        <v>0</v>
      </c>
      <c r="P7223">
        <f t="shared" si="674"/>
        <v>5550</v>
      </c>
      <c r="Q7223">
        <f t="shared" si="678"/>
        <v>5550</v>
      </c>
      <c r="T7223" s="16">
        <f t="shared" si="679"/>
        <v>1.2035921063842876</v>
      </c>
    </row>
    <row r="7224" spans="7:20" ht="14.4" x14ac:dyDescent="0.25">
      <c r="G7224" s="10">
        <v>6785</v>
      </c>
      <c r="H7224" s="9">
        <v>48322</v>
      </c>
      <c r="I7224" s="14">
        <f>DATE(2012,12,31)-302</f>
        <v>40972</v>
      </c>
      <c r="J7224" s="15" t="s">
        <v>16</v>
      </c>
      <c r="K7224" s="9">
        <v>14</v>
      </c>
      <c r="L7224" s="16" t="s">
        <v>26</v>
      </c>
      <c r="M7224" s="16">
        <f t="shared" si="675"/>
        <v>-0.79914141557313367</v>
      </c>
      <c r="N7224">
        <f t="shared" si="676"/>
        <v>0</v>
      </c>
      <c r="O7224">
        <f t="shared" si="677"/>
        <v>0</v>
      </c>
      <c r="P7224">
        <f t="shared" si="674"/>
        <v>4100</v>
      </c>
      <c r="Q7224">
        <f t="shared" si="678"/>
        <v>4100</v>
      </c>
      <c r="T7224" s="16">
        <f t="shared" si="679"/>
        <v>-0.79914141557313401</v>
      </c>
    </row>
    <row r="7225" spans="7:20" ht="14.4" x14ac:dyDescent="0.25">
      <c r="G7225" s="10">
        <v>6787</v>
      </c>
      <c r="H7225" s="9">
        <v>48353</v>
      </c>
      <c r="I7225" s="14">
        <f>DATE(2012,12,31)-16</f>
        <v>41258</v>
      </c>
      <c r="J7225" s="15" t="s">
        <v>28</v>
      </c>
      <c r="K7225" s="9">
        <v>18</v>
      </c>
      <c r="L7225" s="16" t="s">
        <v>26</v>
      </c>
      <c r="M7225" s="16">
        <f t="shared" si="675"/>
        <v>-0.52290230909624791</v>
      </c>
      <c r="N7225">
        <f t="shared" si="676"/>
        <v>0</v>
      </c>
      <c r="O7225">
        <f t="shared" si="677"/>
        <v>0</v>
      </c>
      <c r="P7225">
        <f t="shared" si="674"/>
        <v>4300</v>
      </c>
      <c r="Q7225">
        <f t="shared" si="678"/>
        <v>4300</v>
      </c>
      <c r="T7225" s="16">
        <f t="shared" si="679"/>
        <v>-0.52290230909624835</v>
      </c>
    </row>
    <row r="7226" spans="7:20" ht="14.4" x14ac:dyDescent="0.25">
      <c r="G7226" s="10">
        <v>6794</v>
      </c>
      <c r="H7226" s="9">
        <v>48420</v>
      </c>
      <c r="I7226" s="14">
        <f>DATE(2012,12,31)-1177</f>
        <v>40097</v>
      </c>
      <c r="J7226" s="15" t="s">
        <v>25</v>
      </c>
      <c r="K7226" s="9">
        <v>46</v>
      </c>
      <c r="L7226" s="16" t="s">
        <v>29</v>
      </c>
      <c r="M7226" s="16">
        <f t="shared" si="675"/>
        <v>1.4107714362419523</v>
      </c>
      <c r="N7226">
        <f t="shared" si="676"/>
        <v>0</v>
      </c>
      <c r="O7226">
        <f t="shared" si="677"/>
        <v>0</v>
      </c>
      <c r="P7226">
        <f t="shared" si="674"/>
        <v>5700</v>
      </c>
      <c r="Q7226">
        <f t="shared" si="678"/>
        <v>5700</v>
      </c>
      <c r="T7226" s="16">
        <f t="shared" si="679"/>
        <v>1.4107714362419519</v>
      </c>
    </row>
    <row r="7227" spans="7:20" ht="14.4" x14ac:dyDescent="0.25">
      <c r="G7227" s="10">
        <v>6814</v>
      </c>
      <c r="H7227" s="9">
        <v>48512</v>
      </c>
      <c r="I7227" s="14">
        <f>DATE(2012,12,31)-516</f>
        <v>40758</v>
      </c>
      <c r="J7227" s="15" t="s">
        <v>28</v>
      </c>
      <c r="K7227" s="9">
        <v>48</v>
      </c>
      <c r="L7227" s="16" t="s">
        <v>26</v>
      </c>
      <c r="M7227" s="16">
        <f t="shared" si="675"/>
        <v>1.5488909894803951</v>
      </c>
      <c r="N7227">
        <f t="shared" si="676"/>
        <v>0</v>
      </c>
      <c r="O7227">
        <f t="shared" si="677"/>
        <v>0</v>
      </c>
      <c r="P7227">
        <f t="shared" si="674"/>
        <v>5800</v>
      </c>
      <c r="Q7227">
        <f t="shared" si="678"/>
        <v>5800</v>
      </c>
      <c r="T7227" s="16">
        <f t="shared" si="679"/>
        <v>1.5488909894803948</v>
      </c>
    </row>
    <row r="7228" spans="7:20" ht="14.4" x14ac:dyDescent="0.25">
      <c r="G7228" s="10">
        <v>6815</v>
      </c>
      <c r="H7228" s="9">
        <v>48512</v>
      </c>
      <c r="I7228" s="14">
        <f>DATE(2012,12,31)-516</f>
        <v>40758</v>
      </c>
      <c r="J7228" s="15" t="s">
        <v>28</v>
      </c>
      <c r="K7228" s="9">
        <v>47</v>
      </c>
      <c r="L7228" s="16" t="s">
        <v>26</v>
      </c>
      <c r="M7228" s="16">
        <f t="shared" si="675"/>
        <v>1.4798312128611737</v>
      </c>
      <c r="N7228">
        <f t="shared" si="676"/>
        <v>0</v>
      </c>
      <c r="O7228">
        <f t="shared" si="677"/>
        <v>0</v>
      </c>
      <c r="P7228">
        <f t="shared" si="674"/>
        <v>5750</v>
      </c>
      <c r="Q7228">
        <f t="shared" si="678"/>
        <v>5750</v>
      </c>
      <c r="T7228" s="16">
        <f t="shared" si="679"/>
        <v>1.4798312128611733</v>
      </c>
    </row>
    <row r="7229" spans="7:20" ht="14.4" x14ac:dyDescent="0.25">
      <c r="G7229" s="10">
        <v>6828</v>
      </c>
      <c r="H7229" s="9">
        <v>48641</v>
      </c>
      <c r="I7229" s="14">
        <f>DATE(2012,12,31)-392</f>
        <v>40882</v>
      </c>
      <c r="J7229" s="15" t="s">
        <v>17</v>
      </c>
      <c r="K7229" s="9">
        <v>13</v>
      </c>
      <c r="L7229" s="16" t="s">
        <v>26</v>
      </c>
      <c r="M7229" s="16">
        <f t="shared" si="675"/>
        <v>-0.86820119219235514</v>
      </c>
      <c r="N7229">
        <f t="shared" si="676"/>
        <v>0</v>
      </c>
      <c r="O7229">
        <f t="shared" si="677"/>
        <v>0</v>
      </c>
      <c r="P7229">
        <f t="shared" si="674"/>
        <v>4050</v>
      </c>
      <c r="Q7229">
        <f t="shared" si="678"/>
        <v>4050</v>
      </c>
      <c r="T7229" s="16">
        <f t="shared" si="679"/>
        <v>-0.86820119219235548</v>
      </c>
    </row>
    <row r="7230" spans="7:20" ht="14.4" x14ac:dyDescent="0.25">
      <c r="G7230" s="10">
        <v>6836</v>
      </c>
      <c r="H7230" s="9">
        <v>48672</v>
      </c>
      <c r="I7230" s="14">
        <f>DATE(2012,12,31)-5</f>
        <v>41269</v>
      </c>
      <c r="J7230" s="15" t="s">
        <v>17</v>
      </c>
      <c r="K7230" s="9">
        <v>43</v>
      </c>
      <c r="L7230" s="16" t="s">
        <v>26</v>
      </c>
      <c r="M7230" s="16">
        <f t="shared" si="675"/>
        <v>1.203592106384288</v>
      </c>
      <c r="N7230">
        <f t="shared" si="676"/>
        <v>0</v>
      </c>
      <c r="O7230">
        <f t="shared" si="677"/>
        <v>0</v>
      </c>
      <c r="P7230">
        <f t="shared" si="674"/>
        <v>5550</v>
      </c>
      <c r="Q7230">
        <f t="shared" si="678"/>
        <v>5550</v>
      </c>
      <c r="T7230" s="16">
        <f t="shared" si="679"/>
        <v>1.2035921063842876</v>
      </c>
    </row>
    <row r="7231" spans="7:20" ht="14.4" x14ac:dyDescent="0.25">
      <c r="G7231" s="10">
        <v>6841</v>
      </c>
      <c r="H7231" s="9">
        <v>48709</v>
      </c>
      <c r="I7231" s="14">
        <f>DATE(2012,12,31)-491</f>
        <v>40783</v>
      </c>
      <c r="J7231" s="15" t="s">
        <v>17</v>
      </c>
      <c r="K7231" s="9">
        <v>17</v>
      </c>
      <c r="L7231" s="16" t="s">
        <v>26</v>
      </c>
      <c r="M7231" s="16">
        <f t="shared" si="675"/>
        <v>-0.59196208571546938</v>
      </c>
      <c r="N7231">
        <f t="shared" si="676"/>
        <v>0</v>
      </c>
      <c r="O7231">
        <f t="shared" si="677"/>
        <v>0</v>
      </c>
      <c r="P7231">
        <f t="shared" si="674"/>
        <v>4250</v>
      </c>
      <c r="Q7231">
        <f t="shared" si="678"/>
        <v>4250</v>
      </c>
      <c r="T7231" s="16">
        <f t="shared" si="679"/>
        <v>-0.59196208571546971</v>
      </c>
    </row>
    <row r="7232" spans="7:20" ht="14.4" x14ac:dyDescent="0.25">
      <c r="G7232" s="10">
        <v>6855</v>
      </c>
      <c r="H7232" s="9">
        <v>48832</v>
      </c>
      <c r="I7232" s="14">
        <f>DATE(2012,12,31)-971</f>
        <v>40303</v>
      </c>
      <c r="J7232" s="15" t="s">
        <v>17</v>
      </c>
      <c r="K7232" s="9">
        <v>48</v>
      </c>
      <c r="L7232" s="16" t="s">
        <v>29</v>
      </c>
      <c r="M7232" s="16">
        <f t="shared" si="675"/>
        <v>1.5488909894803951</v>
      </c>
      <c r="N7232">
        <f t="shared" si="676"/>
        <v>0</v>
      </c>
      <c r="O7232">
        <f t="shared" si="677"/>
        <v>0</v>
      </c>
      <c r="P7232">
        <f t="shared" si="674"/>
        <v>5800</v>
      </c>
      <c r="Q7232">
        <f t="shared" si="678"/>
        <v>5800</v>
      </c>
      <c r="T7232" s="16">
        <f t="shared" si="679"/>
        <v>1.5488909894803948</v>
      </c>
    </row>
    <row r="7233" spans="7:20" ht="14.4" x14ac:dyDescent="0.25">
      <c r="G7233" s="10">
        <v>6856</v>
      </c>
      <c r="H7233" s="9">
        <v>48836</v>
      </c>
      <c r="I7233" s="14">
        <f>DATE(2012,12,31)-1416</f>
        <v>39858</v>
      </c>
      <c r="J7233" s="15" t="s">
        <v>30</v>
      </c>
      <c r="K7233" s="9">
        <v>8</v>
      </c>
      <c r="L7233" s="16" t="s">
        <v>29</v>
      </c>
      <c r="M7233" s="16">
        <f t="shared" si="675"/>
        <v>-1.2135000752884624</v>
      </c>
      <c r="N7233">
        <f t="shared" si="676"/>
        <v>0</v>
      </c>
      <c r="O7233">
        <f t="shared" si="677"/>
        <v>0</v>
      </c>
      <c r="P7233">
        <f t="shared" si="674"/>
        <v>3800</v>
      </c>
      <c r="Q7233">
        <f t="shared" si="678"/>
        <v>3800</v>
      </c>
      <c r="T7233" s="16">
        <f t="shared" si="679"/>
        <v>-1.2135000752884626</v>
      </c>
    </row>
    <row r="7234" spans="7:20" ht="14.4" x14ac:dyDescent="0.25">
      <c r="G7234" s="10">
        <v>6870</v>
      </c>
      <c r="H7234" s="9">
        <v>48935</v>
      </c>
      <c r="I7234" s="14">
        <f>DATE(2012,12,31)-1089</f>
        <v>40185</v>
      </c>
      <c r="J7234" s="15" t="s">
        <v>25</v>
      </c>
      <c r="K7234" s="9">
        <v>21</v>
      </c>
      <c r="L7234" s="16" t="s">
        <v>26</v>
      </c>
      <c r="M7234" s="16">
        <f t="shared" si="675"/>
        <v>-0.31572297923858361</v>
      </c>
      <c r="N7234">
        <f t="shared" si="676"/>
        <v>0</v>
      </c>
      <c r="O7234">
        <f t="shared" si="677"/>
        <v>0</v>
      </c>
      <c r="P7234">
        <f t="shared" si="674"/>
        <v>4450</v>
      </c>
      <c r="Q7234">
        <f t="shared" si="678"/>
        <v>4450</v>
      </c>
      <c r="T7234" s="16">
        <f t="shared" si="679"/>
        <v>-0.315722979238584</v>
      </c>
    </row>
    <row r="7235" spans="7:20" ht="14.4" x14ac:dyDescent="0.25">
      <c r="G7235" s="10">
        <v>6877</v>
      </c>
      <c r="H7235" s="9">
        <v>49026</v>
      </c>
      <c r="I7235" s="14">
        <f>DATE(2012,12,31)-665</f>
        <v>40609</v>
      </c>
      <c r="J7235" s="15" t="s">
        <v>25</v>
      </c>
      <c r="K7235" s="9">
        <v>36</v>
      </c>
      <c r="L7235" s="16" t="s">
        <v>26</v>
      </c>
      <c r="M7235" s="16">
        <f t="shared" si="675"/>
        <v>0.72017367004973787</v>
      </c>
      <c r="N7235">
        <f t="shared" si="676"/>
        <v>0</v>
      </c>
      <c r="O7235">
        <f t="shared" si="677"/>
        <v>0</v>
      </c>
      <c r="P7235">
        <f t="shared" si="674"/>
        <v>5200</v>
      </c>
      <c r="Q7235">
        <f t="shared" si="678"/>
        <v>5200</v>
      </c>
      <c r="T7235" s="16">
        <f t="shared" si="679"/>
        <v>0.72017367004973754</v>
      </c>
    </row>
    <row r="7236" spans="7:20" ht="14.4" x14ac:dyDescent="0.25">
      <c r="G7236" s="10">
        <v>6987</v>
      </c>
      <c r="H7236" s="9">
        <v>49925</v>
      </c>
      <c r="I7236" s="14">
        <f>DATE(2012,12,31)-1074</f>
        <v>40200</v>
      </c>
      <c r="J7236" s="15" t="s">
        <v>17</v>
      </c>
      <c r="K7236" s="9">
        <v>1</v>
      </c>
      <c r="L7236" s="16" t="s">
        <v>26</v>
      </c>
      <c r="M7236" s="16">
        <f t="shared" si="675"/>
        <v>-1.6969185116230123</v>
      </c>
      <c r="N7236">
        <f t="shared" si="676"/>
        <v>0</v>
      </c>
      <c r="O7236">
        <f t="shared" si="677"/>
        <v>0</v>
      </c>
      <c r="P7236">
        <f t="shared" si="674"/>
        <v>3450</v>
      </c>
      <c r="Q7236">
        <f t="shared" si="678"/>
        <v>3450</v>
      </c>
      <c r="T7236" s="16">
        <f t="shared" si="679"/>
        <v>-1.6969185116230128</v>
      </c>
    </row>
    <row r="7237" spans="7:20" ht="14.4" x14ac:dyDescent="0.25">
      <c r="G7237" s="10">
        <v>7055</v>
      </c>
      <c r="H7237" s="9">
        <v>50337</v>
      </c>
      <c r="I7237" s="14">
        <f>DATE(2012,12,31)-1355</f>
        <v>39919</v>
      </c>
      <c r="J7237" s="15" t="s">
        <v>28</v>
      </c>
      <c r="K7237" s="9">
        <v>37</v>
      </c>
      <c r="L7237" s="16" t="s">
        <v>26</v>
      </c>
      <c r="M7237" s="16">
        <f t="shared" si="675"/>
        <v>0.78923344666895934</v>
      </c>
      <c r="N7237">
        <f t="shared" si="676"/>
        <v>0</v>
      </c>
      <c r="O7237">
        <f t="shared" si="677"/>
        <v>0</v>
      </c>
      <c r="P7237">
        <f t="shared" si="674"/>
        <v>5250</v>
      </c>
      <c r="Q7237">
        <f t="shared" si="678"/>
        <v>5250</v>
      </c>
      <c r="T7237" s="16">
        <f t="shared" si="679"/>
        <v>0.789233446668959</v>
      </c>
    </row>
    <row r="7238" spans="7:20" ht="14.4" x14ac:dyDescent="0.25">
      <c r="G7238" s="10">
        <v>7056</v>
      </c>
      <c r="H7238" s="9">
        <v>50337</v>
      </c>
      <c r="I7238" s="14">
        <f>DATE(2012,12,31)-1355</f>
        <v>39919</v>
      </c>
      <c r="J7238" s="15" t="s">
        <v>28</v>
      </c>
      <c r="K7238" s="9">
        <v>6</v>
      </c>
      <c r="L7238" s="16" t="s">
        <v>27</v>
      </c>
      <c r="M7238" s="16">
        <f t="shared" si="675"/>
        <v>-1.3516196285269051</v>
      </c>
      <c r="N7238">
        <f t="shared" si="676"/>
        <v>0</v>
      </c>
      <c r="O7238">
        <f t="shared" si="677"/>
        <v>0</v>
      </c>
      <c r="P7238">
        <f t="shared" si="674"/>
        <v>3700</v>
      </c>
      <c r="Q7238">
        <f t="shared" si="678"/>
        <v>3700</v>
      </c>
      <c r="T7238" s="16">
        <f t="shared" si="679"/>
        <v>-1.3516196285269055</v>
      </c>
    </row>
    <row r="7239" spans="7:20" ht="14.4" x14ac:dyDescent="0.25">
      <c r="G7239" s="10">
        <v>7062</v>
      </c>
      <c r="H7239" s="9">
        <v>50403</v>
      </c>
      <c r="I7239" s="14">
        <f>DATE(2012,12,31)-233</f>
        <v>41041</v>
      </c>
      <c r="J7239" s="15" t="s">
        <v>28</v>
      </c>
      <c r="K7239" s="9">
        <v>38</v>
      </c>
      <c r="L7239" s="16" t="s">
        <v>26</v>
      </c>
      <c r="M7239" s="16">
        <f t="shared" si="675"/>
        <v>0.85829322328818081</v>
      </c>
      <c r="N7239">
        <f t="shared" si="676"/>
        <v>0</v>
      </c>
      <c r="O7239">
        <f t="shared" si="677"/>
        <v>0</v>
      </c>
      <c r="P7239">
        <f t="shared" si="674"/>
        <v>5300</v>
      </c>
      <c r="Q7239">
        <f t="shared" si="678"/>
        <v>5300</v>
      </c>
      <c r="T7239" s="16">
        <f t="shared" si="679"/>
        <v>0.85829322328818036</v>
      </c>
    </row>
    <row r="7240" spans="7:20" ht="14.4" x14ac:dyDescent="0.25">
      <c r="G7240" s="10">
        <v>7095</v>
      </c>
      <c r="H7240" s="9">
        <v>50656</v>
      </c>
      <c r="I7240" s="14">
        <f>DATE(2012,12,31)-1163</f>
        <v>40111</v>
      </c>
      <c r="J7240" s="15" t="s">
        <v>30</v>
      </c>
      <c r="K7240" s="9">
        <v>42</v>
      </c>
      <c r="L7240" s="16" t="s">
        <v>26</v>
      </c>
      <c r="M7240" s="16">
        <f t="shared" si="675"/>
        <v>1.1345323297650665</v>
      </c>
      <c r="N7240">
        <f t="shared" si="676"/>
        <v>0</v>
      </c>
      <c r="O7240">
        <f t="shared" si="677"/>
        <v>0</v>
      </c>
      <c r="P7240">
        <f t="shared" si="674"/>
        <v>5500</v>
      </c>
      <c r="Q7240">
        <f t="shared" si="678"/>
        <v>5500</v>
      </c>
      <c r="T7240" s="16">
        <f t="shared" si="679"/>
        <v>1.1345323297650662</v>
      </c>
    </row>
    <row r="7241" spans="7:20" ht="14.4" x14ac:dyDescent="0.25">
      <c r="G7241" s="10">
        <v>7096</v>
      </c>
      <c r="H7241" s="9">
        <v>50656</v>
      </c>
      <c r="I7241" s="14">
        <f>DATE(2012,12,31)-1163</f>
        <v>40111</v>
      </c>
      <c r="J7241" s="15" t="s">
        <v>30</v>
      </c>
      <c r="K7241" s="9">
        <v>31</v>
      </c>
      <c r="L7241" s="16" t="s">
        <v>29</v>
      </c>
      <c r="M7241" s="16">
        <f t="shared" si="675"/>
        <v>0.37487478695363075</v>
      </c>
      <c r="N7241">
        <f t="shared" si="676"/>
        <v>0</v>
      </c>
      <c r="O7241">
        <f t="shared" si="677"/>
        <v>0</v>
      </c>
      <c r="P7241">
        <f t="shared" si="674"/>
        <v>4950</v>
      </c>
      <c r="Q7241">
        <f t="shared" si="678"/>
        <v>4950</v>
      </c>
      <c r="T7241" s="16">
        <f t="shared" si="679"/>
        <v>0.37487478695363036</v>
      </c>
    </row>
    <row r="7242" spans="7:20" ht="14.4" x14ac:dyDescent="0.25">
      <c r="G7242" s="10">
        <v>7097</v>
      </c>
      <c r="H7242" s="9">
        <v>50656</v>
      </c>
      <c r="I7242" s="14">
        <f>DATE(2012,12,31)-1163</f>
        <v>40111</v>
      </c>
      <c r="J7242" s="15" t="s">
        <v>30</v>
      </c>
      <c r="K7242" s="9">
        <v>39</v>
      </c>
      <c r="L7242" s="16" t="s">
        <v>29</v>
      </c>
      <c r="M7242" s="16">
        <f t="shared" si="675"/>
        <v>0.92735299990740228</v>
      </c>
      <c r="N7242">
        <f t="shared" si="676"/>
        <v>0</v>
      </c>
      <c r="O7242">
        <f t="shared" si="677"/>
        <v>0</v>
      </c>
      <c r="P7242">
        <f t="shared" si="674"/>
        <v>5350</v>
      </c>
      <c r="Q7242">
        <f t="shared" si="678"/>
        <v>5350</v>
      </c>
      <c r="T7242" s="16">
        <f t="shared" si="679"/>
        <v>0.92735299990740183</v>
      </c>
    </row>
    <row r="7243" spans="7:20" ht="14.4" x14ac:dyDescent="0.25">
      <c r="G7243" s="10">
        <v>7098</v>
      </c>
      <c r="H7243" s="9">
        <v>50656</v>
      </c>
      <c r="I7243" s="14">
        <f>DATE(2012,12,31)-1163</f>
        <v>40111</v>
      </c>
      <c r="J7243" s="15" t="s">
        <v>30</v>
      </c>
      <c r="K7243" s="9">
        <v>15</v>
      </c>
      <c r="L7243" s="16" t="s">
        <v>29</v>
      </c>
      <c r="M7243" s="16">
        <f t="shared" si="675"/>
        <v>-0.7300816389539122</v>
      </c>
      <c r="N7243">
        <f t="shared" si="676"/>
        <v>0</v>
      </c>
      <c r="O7243">
        <f t="shared" si="677"/>
        <v>0</v>
      </c>
      <c r="P7243">
        <f t="shared" si="674"/>
        <v>4150</v>
      </c>
      <c r="Q7243">
        <f t="shared" si="678"/>
        <v>4150</v>
      </c>
      <c r="T7243" s="16">
        <f t="shared" si="679"/>
        <v>-0.73008163895391265</v>
      </c>
    </row>
    <row r="7244" spans="7:20" ht="14.4" x14ac:dyDescent="0.25">
      <c r="G7244" s="10">
        <v>7141</v>
      </c>
      <c r="H7244" s="9">
        <v>50950</v>
      </c>
      <c r="I7244" s="14">
        <f>DATE(2012,12,31)-1</f>
        <v>41273</v>
      </c>
      <c r="J7244" s="15" t="s">
        <v>28</v>
      </c>
      <c r="K7244" s="9">
        <v>6</v>
      </c>
      <c r="L7244" s="16" t="s">
        <v>29</v>
      </c>
      <c r="M7244" s="16">
        <f t="shared" si="675"/>
        <v>-1.3516196285269051</v>
      </c>
      <c r="N7244">
        <f t="shared" si="676"/>
        <v>0</v>
      </c>
      <c r="O7244">
        <f t="shared" si="677"/>
        <v>0</v>
      </c>
      <c r="P7244">
        <f t="shared" ref="P7244:P7307" si="680">50*K7244+$P$10</f>
        <v>3700</v>
      </c>
      <c r="Q7244">
        <f t="shared" si="678"/>
        <v>3700</v>
      </c>
      <c r="T7244" s="16">
        <f t="shared" si="679"/>
        <v>-1.3516196285269055</v>
      </c>
    </row>
    <row r="7245" spans="7:20" ht="14.4" x14ac:dyDescent="0.25">
      <c r="G7245" s="10">
        <v>7142</v>
      </c>
      <c r="H7245" s="9">
        <v>50950</v>
      </c>
      <c r="I7245" s="14">
        <f>DATE(2012,12,31)-1</f>
        <v>41273</v>
      </c>
      <c r="J7245" s="15" t="s">
        <v>28</v>
      </c>
      <c r="K7245" s="9">
        <v>35</v>
      </c>
      <c r="L7245" s="16" t="s">
        <v>26</v>
      </c>
      <c r="M7245" s="16">
        <f t="shared" ref="M7245:M7308" si="681">(K7245-$K$4)/$K$7</f>
        <v>0.65111389343051651</v>
      </c>
      <c r="N7245">
        <f t="shared" ref="N7245:N7308" si="682">IF(MOD($B$20+G7245,1000)=0,1,0)</f>
        <v>0</v>
      </c>
      <c r="O7245">
        <f t="shared" ref="O7245:O7308" si="683">+ROUND(N7245*(IF(K7245&lt;$K$4,-4.5,10.5)*$P$5),-2)</f>
        <v>0</v>
      </c>
      <c r="P7245">
        <f t="shared" si="680"/>
        <v>5150</v>
      </c>
      <c r="Q7245">
        <f t="shared" ref="Q7245:Q7308" si="684">P7245+O7245</f>
        <v>5150</v>
      </c>
      <c r="T7245" s="16">
        <f t="shared" ref="T7245:T7308" si="685">(Q7245-$P$4)/$P$5</f>
        <v>0.65111389343051607</v>
      </c>
    </row>
    <row r="7246" spans="7:20" ht="14.4" x14ac:dyDescent="0.25">
      <c r="G7246" s="10">
        <v>7143</v>
      </c>
      <c r="H7246" s="9">
        <v>50977</v>
      </c>
      <c r="I7246" s="14">
        <f>DATE(2012,12,31)-203</f>
        <v>41071</v>
      </c>
      <c r="J7246" s="15" t="s">
        <v>25</v>
      </c>
      <c r="K7246" s="9">
        <v>1</v>
      </c>
      <c r="L7246" s="16" t="s">
        <v>26</v>
      </c>
      <c r="M7246" s="16">
        <f t="shared" si="681"/>
        <v>-1.6969185116230123</v>
      </c>
      <c r="N7246">
        <f t="shared" si="682"/>
        <v>0</v>
      </c>
      <c r="O7246">
        <f t="shared" si="683"/>
        <v>0</v>
      </c>
      <c r="P7246">
        <f t="shared" si="680"/>
        <v>3450</v>
      </c>
      <c r="Q7246">
        <f t="shared" si="684"/>
        <v>3450</v>
      </c>
      <c r="T7246" s="16">
        <f t="shared" si="685"/>
        <v>-1.6969185116230128</v>
      </c>
    </row>
    <row r="7247" spans="7:20" ht="14.4" x14ac:dyDescent="0.25">
      <c r="G7247" s="10">
        <v>7151</v>
      </c>
      <c r="H7247" s="9">
        <v>51011</v>
      </c>
      <c r="I7247" s="14">
        <f>DATE(2012,12,31)-939</f>
        <v>40335</v>
      </c>
      <c r="J7247" s="15" t="s">
        <v>25</v>
      </c>
      <c r="K7247" s="9">
        <v>41</v>
      </c>
      <c r="L7247" s="16" t="s">
        <v>27</v>
      </c>
      <c r="M7247" s="16">
        <f t="shared" si="681"/>
        <v>1.0654725531458451</v>
      </c>
      <c r="N7247">
        <f t="shared" si="682"/>
        <v>0</v>
      </c>
      <c r="O7247">
        <f t="shared" si="683"/>
        <v>0</v>
      </c>
      <c r="P7247">
        <f t="shared" si="680"/>
        <v>5450</v>
      </c>
      <c r="Q7247">
        <f t="shared" si="684"/>
        <v>5450</v>
      </c>
      <c r="T7247" s="16">
        <f t="shared" si="685"/>
        <v>1.0654725531458447</v>
      </c>
    </row>
    <row r="7248" spans="7:20" ht="14.4" x14ac:dyDescent="0.25">
      <c r="G7248" s="10">
        <v>7169</v>
      </c>
      <c r="H7248" s="9">
        <v>51171</v>
      </c>
      <c r="I7248" s="14">
        <f>DATE(2012,12,31)-924</f>
        <v>40350</v>
      </c>
      <c r="J7248" s="15" t="s">
        <v>17</v>
      </c>
      <c r="K7248" s="9">
        <v>34</v>
      </c>
      <c r="L7248" s="16" t="s">
        <v>26</v>
      </c>
      <c r="M7248" s="16">
        <f t="shared" si="681"/>
        <v>0.58205411681129504</v>
      </c>
      <c r="N7248">
        <f t="shared" si="682"/>
        <v>0</v>
      </c>
      <c r="O7248">
        <f t="shared" si="683"/>
        <v>0</v>
      </c>
      <c r="P7248">
        <f t="shared" si="680"/>
        <v>5100</v>
      </c>
      <c r="Q7248">
        <f t="shared" si="684"/>
        <v>5100</v>
      </c>
      <c r="T7248" s="16">
        <f t="shared" si="685"/>
        <v>0.58205411681129471</v>
      </c>
    </row>
    <row r="7249" spans="7:20" ht="14.4" x14ac:dyDescent="0.25">
      <c r="G7249" s="10">
        <v>7186</v>
      </c>
      <c r="H7249" s="9">
        <v>51267</v>
      </c>
      <c r="I7249" s="14">
        <f>DATE(2012,12,31)-242</f>
        <v>41032</v>
      </c>
      <c r="J7249" s="15" t="s">
        <v>25</v>
      </c>
      <c r="K7249" s="9">
        <v>46</v>
      </c>
      <c r="L7249" s="16" t="s">
        <v>29</v>
      </c>
      <c r="M7249" s="16">
        <f t="shared" si="681"/>
        <v>1.4107714362419523</v>
      </c>
      <c r="N7249">
        <f t="shared" si="682"/>
        <v>0</v>
      </c>
      <c r="O7249">
        <f t="shared" si="683"/>
        <v>0</v>
      </c>
      <c r="P7249">
        <f t="shared" si="680"/>
        <v>5700</v>
      </c>
      <c r="Q7249">
        <f t="shared" si="684"/>
        <v>5700</v>
      </c>
      <c r="T7249" s="16">
        <f t="shared" si="685"/>
        <v>1.4107714362419519</v>
      </c>
    </row>
    <row r="7250" spans="7:20" ht="14.4" x14ac:dyDescent="0.25">
      <c r="G7250" s="10">
        <v>7200</v>
      </c>
      <c r="H7250" s="9">
        <v>51362</v>
      </c>
      <c r="I7250" s="14">
        <f>DATE(2012,12,31)-1043</f>
        <v>40231</v>
      </c>
      <c r="J7250" s="15" t="s">
        <v>16</v>
      </c>
      <c r="K7250" s="9">
        <v>47</v>
      </c>
      <c r="L7250" s="16" t="s">
        <v>27</v>
      </c>
      <c r="M7250" s="16">
        <f t="shared" si="681"/>
        <v>1.4798312128611737</v>
      </c>
      <c r="N7250">
        <f t="shared" si="682"/>
        <v>0</v>
      </c>
      <c r="O7250">
        <f t="shared" si="683"/>
        <v>0</v>
      </c>
      <c r="P7250">
        <f t="shared" si="680"/>
        <v>5750</v>
      </c>
      <c r="Q7250">
        <f t="shared" si="684"/>
        <v>5750</v>
      </c>
      <c r="T7250" s="16">
        <f t="shared" si="685"/>
        <v>1.4798312128611733</v>
      </c>
    </row>
    <row r="7251" spans="7:20" ht="14.4" x14ac:dyDescent="0.25">
      <c r="G7251" s="10">
        <v>7214</v>
      </c>
      <c r="H7251" s="9">
        <v>51489</v>
      </c>
      <c r="I7251" s="14">
        <f>DATE(2012,12,31)-303</f>
        <v>40971</v>
      </c>
      <c r="J7251" s="15" t="s">
        <v>30</v>
      </c>
      <c r="K7251" s="9">
        <v>42</v>
      </c>
      <c r="L7251" s="16" t="s">
        <v>29</v>
      </c>
      <c r="M7251" s="16">
        <f t="shared" si="681"/>
        <v>1.1345323297650665</v>
      </c>
      <c r="N7251">
        <f t="shared" si="682"/>
        <v>0</v>
      </c>
      <c r="O7251">
        <f t="shared" si="683"/>
        <v>0</v>
      </c>
      <c r="P7251">
        <f t="shared" si="680"/>
        <v>5500</v>
      </c>
      <c r="Q7251">
        <f t="shared" si="684"/>
        <v>5500</v>
      </c>
      <c r="T7251" s="16">
        <f t="shared" si="685"/>
        <v>1.1345323297650662</v>
      </c>
    </row>
    <row r="7252" spans="7:20" ht="14.4" x14ac:dyDescent="0.25">
      <c r="G7252" s="10">
        <v>7215</v>
      </c>
      <c r="H7252" s="9">
        <v>51489</v>
      </c>
      <c r="I7252" s="14">
        <f>DATE(2012,12,31)-303</f>
        <v>40971</v>
      </c>
      <c r="J7252" s="15" t="s">
        <v>30</v>
      </c>
      <c r="K7252" s="9">
        <v>5</v>
      </c>
      <c r="L7252" s="16" t="s">
        <v>26</v>
      </c>
      <c r="M7252" s="16">
        <f t="shared" si="681"/>
        <v>-1.4206794051461267</v>
      </c>
      <c r="N7252">
        <f t="shared" si="682"/>
        <v>0</v>
      </c>
      <c r="O7252">
        <f t="shared" si="683"/>
        <v>0</v>
      </c>
      <c r="P7252">
        <f t="shared" si="680"/>
        <v>3650</v>
      </c>
      <c r="Q7252">
        <f t="shared" si="684"/>
        <v>3650</v>
      </c>
      <c r="T7252" s="16">
        <f t="shared" si="685"/>
        <v>-1.4206794051461269</v>
      </c>
    </row>
    <row r="7253" spans="7:20" ht="14.4" x14ac:dyDescent="0.25">
      <c r="G7253" s="10">
        <v>7216</v>
      </c>
      <c r="H7253" s="9">
        <v>51489</v>
      </c>
      <c r="I7253" s="14">
        <f>DATE(2012,12,31)-303</f>
        <v>40971</v>
      </c>
      <c r="J7253" s="15" t="s">
        <v>30</v>
      </c>
      <c r="K7253" s="9">
        <v>22</v>
      </c>
      <c r="L7253" s="16" t="s">
        <v>26</v>
      </c>
      <c r="M7253" s="16">
        <f t="shared" si="681"/>
        <v>-0.24666320261936217</v>
      </c>
      <c r="N7253">
        <f t="shared" si="682"/>
        <v>0</v>
      </c>
      <c r="O7253">
        <f t="shared" si="683"/>
        <v>0</v>
      </c>
      <c r="P7253">
        <f t="shared" si="680"/>
        <v>4500</v>
      </c>
      <c r="Q7253">
        <f t="shared" si="684"/>
        <v>4500</v>
      </c>
      <c r="T7253" s="16">
        <f t="shared" si="685"/>
        <v>-0.24666320261936256</v>
      </c>
    </row>
    <row r="7254" spans="7:20" ht="14.4" x14ac:dyDescent="0.25">
      <c r="G7254" s="10">
        <v>7217</v>
      </c>
      <c r="H7254" s="9">
        <v>51493</v>
      </c>
      <c r="I7254" s="14">
        <f>DATE(2012,12,31)-544</f>
        <v>40730</v>
      </c>
      <c r="J7254" s="15" t="s">
        <v>25</v>
      </c>
      <c r="K7254" s="9">
        <v>31</v>
      </c>
      <c r="L7254" s="16" t="s">
        <v>26</v>
      </c>
      <c r="M7254" s="16">
        <f t="shared" si="681"/>
        <v>0.37487478695363075</v>
      </c>
      <c r="N7254">
        <f t="shared" si="682"/>
        <v>0</v>
      </c>
      <c r="O7254">
        <f t="shared" si="683"/>
        <v>0</v>
      </c>
      <c r="P7254">
        <f t="shared" si="680"/>
        <v>4950</v>
      </c>
      <c r="Q7254">
        <f t="shared" si="684"/>
        <v>4950</v>
      </c>
      <c r="T7254" s="16">
        <f t="shared" si="685"/>
        <v>0.37487478695363036</v>
      </c>
    </row>
    <row r="7255" spans="7:20" ht="14.4" x14ac:dyDescent="0.25">
      <c r="G7255" s="10">
        <v>7283</v>
      </c>
      <c r="H7255" s="9">
        <v>51969</v>
      </c>
      <c r="I7255" s="14">
        <f>DATE(2012,12,31)-484</f>
        <v>40790</v>
      </c>
      <c r="J7255" s="15" t="s">
        <v>17</v>
      </c>
      <c r="K7255" s="9">
        <v>16</v>
      </c>
      <c r="L7255" s="16" t="s">
        <v>26</v>
      </c>
      <c r="M7255" s="16">
        <f t="shared" si="681"/>
        <v>-0.66102186233469074</v>
      </c>
      <c r="N7255">
        <f t="shared" si="682"/>
        <v>0</v>
      </c>
      <c r="O7255">
        <f t="shared" si="683"/>
        <v>0</v>
      </c>
      <c r="P7255">
        <f t="shared" si="680"/>
        <v>4200</v>
      </c>
      <c r="Q7255">
        <f t="shared" si="684"/>
        <v>4200</v>
      </c>
      <c r="T7255" s="16">
        <f t="shared" si="685"/>
        <v>-0.66102186233469118</v>
      </c>
    </row>
    <row r="7256" spans="7:20" ht="14.4" x14ac:dyDescent="0.25">
      <c r="G7256" s="10">
        <v>7284</v>
      </c>
      <c r="H7256" s="9">
        <v>51969</v>
      </c>
      <c r="I7256" s="14">
        <f>DATE(2012,12,31)-484</f>
        <v>40790</v>
      </c>
      <c r="J7256" s="15" t="s">
        <v>17</v>
      </c>
      <c r="K7256" s="9">
        <v>33</v>
      </c>
      <c r="L7256" s="16" t="s">
        <v>27</v>
      </c>
      <c r="M7256" s="16">
        <f t="shared" si="681"/>
        <v>0.51299434019207357</v>
      </c>
      <c r="N7256">
        <f t="shared" si="682"/>
        <v>0</v>
      </c>
      <c r="O7256">
        <f t="shared" si="683"/>
        <v>0</v>
      </c>
      <c r="P7256">
        <f t="shared" si="680"/>
        <v>5050</v>
      </c>
      <c r="Q7256">
        <f t="shared" si="684"/>
        <v>5050</v>
      </c>
      <c r="T7256" s="16">
        <f t="shared" si="685"/>
        <v>0.51299434019207324</v>
      </c>
    </row>
    <row r="7257" spans="7:20" ht="14.4" x14ac:dyDescent="0.25">
      <c r="G7257" s="10">
        <v>7292</v>
      </c>
      <c r="H7257" s="9">
        <v>52003</v>
      </c>
      <c r="I7257" s="14">
        <f>DATE(2012,12,31)-317</f>
        <v>40957</v>
      </c>
      <c r="J7257" s="15" t="s">
        <v>25</v>
      </c>
      <c r="K7257" s="9">
        <v>11</v>
      </c>
      <c r="L7257" s="16" t="s">
        <v>29</v>
      </c>
      <c r="M7257" s="16">
        <f t="shared" si="681"/>
        <v>-1.0063207454307979</v>
      </c>
      <c r="N7257">
        <f t="shared" si="682"/>
        <v>0</v>
      </c>
      <c r="O7257">
        <f t="shared" si="683"/>
        <v>0</v>
      </c>
      <c r="P7257">
        <f t="shared" si="680"/>
        <v>3950</v>
      </c>
      <c r="Q7257">
        <f t="shared" si="684"/>
        <v>3950</v>
      </c>
      <c r="T7257" s="16">
        <f t="shared" si="685"/>
        <v>-1.0063207454307983</v>
      </c>
    </row>
    <row r="7258" spans="7:20" ht="14.4" x14ac:dyDescent="0.25">
      <c r="G7258" s="10">
        <v>7293</v>
      </c>
      <c r="H7258" s="9">
        <v>52003</v>
      </c>
      <c r="I7258" s="14">
        <f>DATE(2012,12,31)-317</f>
        <v>40957</v>
      </c>
      <c r="J7258" s="15" t="s">
        <v>25</v>
      </c>
      <c r="K7258" s="9">
        <v>2</v>
      </c>
      <c r="L7258" s="16" t="s">
        <v>27</v>
      </c>
      <c r="M7258" s="16">
        <f t="shared" si="681"/>
        <v>-1.627858735003791</v>
      </c>
      <c r="N7258">
        <f t="shared" si="682"/>
        <v>0</v>
      </c>
      <c r="O7258">
        <f t="shared" si="683"/>
        <v>0</v>
      </c>
      <c r="P7258">
        <f t="shared" si="680"/>
        <v>3500</v>
      </c>
      <c r="Q7258">
        <f t="shared" si="684"/>
        <v>3500</v>
      </c>
      <c r="T7258" s="16">
        <f t="shared" si="685"/>
        <v>-1.6278587350037912</v>
      </c>
    </row>
    <row r="7259" spans="7:20" ht="14.4" x14ac:dyDescent="0.25">
      <c r="G7259" s="10">
        <v>7323</v>
      </c>
      <c r="H7259" s="9">
        <v>52196</v>
      </c>
      <c r="I7259" s="14">
        <f>DATE(2012,12,31)-1066</f>
        <v>40208</v>
      </c>
      <c r="J7259" s="15" t="s">
        <v>28</v>
      </c>
      <c r="K7259" s="9">
        <v>1</v>
      </c>
      <c r="L7259" s="16" t="s">
        <v>26</v>
      </c>
      <c r="M7259" s="16">
        <f t="shared" si="681"/>
        <v>-1.6969185116230123</v>
      </c>
      <c r="N7259">
        <f t="shared" si="682"/>
        <v>0</v>
      </c>
      <c r="O7259">
        <f t="shared" si="683"/>
        <v>0</v>
      </c>
      <c r="P7259">
        <f t="shared" si="680"/>
        <v>3450</v>
      </c>
      <c r="Q7259">
        <f t="shared" si="684"/>
        <v>3450</v>
      </c>
      <c r="T7259" s="16">
        <f t="shared" si="685"/>
        <v>-1.6969185116230128</v>
      </c>
    </row>
    <row r="7260" spans="7:20" ht="14.4" x14ac:dyDescent="0.25">
      <c r="G7260" s="10">
        <v>7324</v>
      </c>
      <c r="H7260" s="9">
        <v>52196</v>
      </c>
      <c r="I7260" s="14">
        <f>DATE(2012,12,31)-1066</f>
        <v>40208</v>
      </c>
      <c r="J7260" s="15" t="s">
        <v>28</v>
      </c>
      <c r="K7260" s="9">
        <v>10</v>
      </c>
      <c r="L7260" s="16" t="s">
        <v>27</v>
      </c>
      <c r="M7260" s="16">
        <f t="shared" si="681"/>
        <v>-1.0753805220500194</v>
      </c>
      <c r="N7260">
        <f t="shared" si="682"/>
        <v>0</v>
      </c>
      <c r="O7260">
        <f t="shared" si="683"/>
        <v>0</v>
      </c>
      <c r="P7260">
        <f t="shared" si="680"/>
        <v>3900</v>
      </c>
      <c r="Q7260">
        <f t="shared" si="684"/>
        <v>3900</v>
      </c>
      <c r="T7260" s="16">
        <f t="shared" si="685"/>
        <v>-1.0753805220500199</v>
      </c>
    </row>
    <row r="7261" spans="7:20" ht="14.4" x14ac:dyDescent="0.25">
      <c r="G7261" s="10">
        <v>7340</v>
      </c>
      <c r="H7261" s="9">
        <v>52292</v>
      </c>
      <c r="I7261" s="14">
        <f>DATE(2012,12,31)-820</f>
        <v>40454</v>
      </c>
      <c r="J7261" s="15" t="s">
        <v>28</v>
      </c>
      <c r="K7261" s="9">
        <v>18</v>
      </c>
      <c r="L7261" s="16" t="s">
        <v>29</v>
      </c>
      <c r="M7261" s="16">
        <f t="shared" si="681"/>
        <v>-0.52290230909624791</v>
      </c>
      <c r="N7261">
        <f t="shared" si="682"/>
        <v>0</v>
      </c>
      <c r="O7261">
        <f t="shared" si="683"/>
        <v>0</v>
      </c>
      <c r="P7261">
        <f t="shared" si="680"/>
        <v>4300</v>
      </c>
      <c r="Q7261">
        <f t="shared" si="684"/>
        <v>4300</v>
      </c>
      <c r="T7261" s="16">
        <f t="shared" si="685"/>
        <v>-0.52290230909624835</v>
      </c>
    </row>
    <row r="7262" spans="7:20" ht="14.4" x14ac:dyDescent="0.25">
      <c r="G7262" s="10">
        <v>7359</v>
      </c>
      <c r="H7262" s="9">
        <v>52423</v>
      </c>
      <c r="I7262" s="14">
        <f>DATE(2012,12,31)-630</f>
        <v>40644</v>
      </c>
      <c r="J7262" s="15" t="s">
        <v>30</v>
      </c>
      <c r="K7262" s="9">
        <v>49</v>
      </c>
      <c r="L7262" s="16" t="s">
        <v>27</v>
      </c>
      <c r="M7262" s="16">
        <f t="shared" si="681"/>
        <v>1.6179507660996166</v>
      </c>
      <c r="N7262">
        <f t="shared" si="682"/>
        <v>0</v>
      </c>
      <c r="O7262">
        <f t="shared" si="683"/>
        <v>0</v>
      </c>
      <c r="P7262">
        <f t="shared" si="680"/>
        <v>5850</v>
      </c>
      <c r="Q7262">
        <f t="shared" si="684"/>
        <v>5850</v>
      </c>
      <c r="T7262" s="16">
        <f t="shared" si="685"/>
        <v>1.6179507660996162</v>
      </c>
    </row>
    <row r="7263" spans="7:20" ht="14.4" x14ac:dyDescent="0.25">
      <c r="G7263" s="10">
        <v>7360</v>
      </c>
      <c r="H7263" s="9">
        <v>52423</v>
      </c>
      <c r="I7263" s="14">
        <f>DATE(2012,12,31)-630</f>
        <v>40644</v>
      </c>
      <c r="J7263" s="15" t="s">
        <v>30</v>
      </c>
      <c r="K7263" s="9">
        <v>25</v>
      </c>
      <c r="L7263" s="16" t="s">
        <v>26</v>
      </c>
      <c r="M7263" s="16">
        <f t="shared" si="681"/>
        <v>-3.9483872761697868E-2</v>
      </c>
      <c r="N7263">
        <f t="shared" si="682"/>
        <v>0</v>
      </c>
      <c r="O7263">
        <f t="shared" si="683"/>
        <v>0</v>
      </c>
      <c r="P7263">
        <f t="shared" si="680"/>
        <v>4650</v>
      </c>
      <c r="Q7263">
        <f t="shared" si="684"/>
        <v>4650</v>
      </c>
      <c r="T7263" s="16">
        <f t="shared" si="685"/>
        <v>-3.9483872761698249E-2</v>
      </c>
    </row>
    <row r="7264" spans="7:20" ht="14.4" x14ac:dyDescent="0.25">
      <c r="G7264" s="10">
        <v>7361</v>
      </c>
      <c r="H7264" s="9">
        <v>52448</v>
      </c>
      <c r="I7264" s="14">
        <f>DATE(2012,12,31)-843</f>
        <v>40431</v>
      </c>
      <c r="J7264" s="15" t="s">
        <v>28</v>
      </c>
      <c r="K7264" s="9">
        <v>22</v>
      </c>
      <c r="L7264" s="16" t="s">
        <v>29</v>
      </c>
      <c r="M7264" s="16">
        <f t="shared" si="681"/>
        <v>-0.24666320261936217</v>
      </c>
      <c r="N7264">
        <f t="shared" si="682"/>
        <v>0</v>
      </c>
      <c r="O7264">
        <f t="shared" si="683"/>
        <v>0</v>
      </c>
      <c r="P7264">
        <f t="shared" si="680"/>
        <v>4500</v>
      </c>
      <c r="Q7264">
        <f t="shared" si="684"/>
        <v>4500</v>
      </c>
      <c r="T7264" s="16">
        <f t="shared" si="685"/>
        <v>-0.24666320261936256</v>
      </c>
    </row>
    <row r="7265" spans="7:20" ht="14.4" x14ac:dyDescent="0.25">
      <c r="G7265" s="10">
        <v>7376</v>
      </c>
      <c r="H7265" s="9">
        <v>52580</v>
      </c>
      <c r="I7265" s="14">
        <f>DATE(2012,12,31)-125</f>
        <v>41149</v>
      </c>
      <c r="J7265" s="15" t="s">
        <v>17</v>
      </c>
      <c r="K7265" s="9">
        <v>16</v>
      </c>
      <c r="L7265" s="16" t="s">
        <v>27</v>
      </c>
      <c r="M7265" s="16">
        <f t="shared" si="681"/>
        <v>-0.66102186233469074</v>
      </c>
      <c r="N7265">
        <f t="shared" si="682"/>
        <v>0</v>
      </c>
      <c r="O7265">
        <f t="shared" si="683"/>
        <v>0</v>
      </c>
      <c r="P7265">
        <f t="shared" si="680"/>
        <v>4200</v>
      </c>
      <c r="Q7265">
        <f t="shared" si="684"/>
        <v>4200</v>
      </c>
      <c r="T7265" s="16">
        <f t="shared" si="685"/>
        <v>-0.66102186233469118</v>
      </c>
    </row>
    <row r="7266" spans="7:20" ht="14.4" x14ac:dyDescent="0.25">
      <c r="G7266" s="10">
        <v>7377</v>
      </c>
      <c r="H7266" s="9">
        <v>52580</v>
      </c>
      <c r="I7266" s="14">
        <f>DATE(2012,12,31)-125</f>
        <v>41149</v>
      </c>
      <c r="J7266" s="15" t="s">
        <v>17</v>
      </c>
      <c r="K7266" s="9">
        <v>23</v>
      </c>
      <c r="L7266" s="16" t="s">
        <v>26</v>
      </c>
      <c r="M7266" s="16">
        <f t="shared" si="681"/>
        <v>-0.17760342600014073</v>
      </c>
      <c r="N7266">
        <f t="shared" si="682"/>
        <v>0</v>
      </c>
      <c r="O7266">
        <f t="shared" si="683"/>
        <v>0</v>
      </c>
      <c r="P7266">
        <f t="shared" si="680"/>
        <v>4550</v>
      </c>
      <c r="Q7266">
        <f t="shared" si="684"/>
        <v>4550</v>
      </c>
      <c r="T7266" s="16">
        <f t="shared" si="685"/>
        <v>-0.17760342600014112</v>
      </c>
    </row>
    <row r="7267" spans="7:20" ht="14.4" x14ac:dyDescent="0.25">
      <c r="G7267" s="10">
        <v>7441</v>
      </c>
      <c r="H7267" s="9">
        <v>53056</v>
      </c>
      <c r="I7267" s="14">
        <f>DATE(2012,12,31)-424</f>
        <v>40850</v>
      </c>
      <c r="J7267" s="15" t="s">
        <v>30</v>
      </c>
      <c r="K7267" s="9">
        <v>13</v>
      </c>
      <c r="L7267" s="16" t="s">
        <v>27</v>
      </c>
      <c r="M7267" s="16">
        <f t="shared" si="681"/>
        <v>-0.86820119219235514</v>
      </c>
      <c r="N7267">
        <f t="shared" si="682"/>
        <v>0</v>
      </c>
      <c r="O7267">
        <f t="shared" si="683"/>
        <v>0</v>
      </c>
      <c r="P7267">
        <f t="shared" si="680"/>
        <v>4050</v>
      </c>
      <c r="Q7267">
        <f t="shared" si="684"/>
        <v>4050</v>
      </c>
      <c r="T7267" s="16">
        <f t="shared" si="685"/>
        <v>-0.86820119219235548</v>
      </c>
    </row>
    <row r="7268" spans="7:20" ht="14.4" x14ac:dyDescent="0.25">
      <c r="G7268" s="10">
        <v>7442</v>
      </c>
      <c r="H7268" s="9">
        <v>53060</v>
      </c>
      <c r="I7268" s="14">
        <f>DATE(2012,12,31)-1015</f>
        <v>40259</v>
      </c>
      <c r="J7268" s="15" t="s">
        <v>30</v>
      </c>
      <c r="K7268" s="9">
        <v>36</v>
      </c>
      <c r="L7268" s="16" t="s">
        <v>27</v>
      </c>
      <c r="M7268" s="16">
        <f t="shared" si="681"/>
        <v>0.72017367004973787</v>
      </c>
      <c r="N7268">
        <f t="shared" si="682"/>
        <v>0</v>
      </c>
      <c r="O7268">
        <f t="shared" si="683"/>
        <v>0</v>
      </c>
      <c r="P7268">
        <f t="shared" si="680"/>
        <v>5200</v>
      </c>
      <c r="Q7268">
        <f t="shared" si="684"/>
        <v>5200</v>
      </c>
      <c r="T7268" s="16">
        <f t="shared" si="685"/>
        <v>0.72017367004973754</v>
      </c>
    </row>
    <row r="7269" spans="7:20" ht="14.4" x14ac:dyDescent="0.25">
      <c r="G7269" s="10">
        <v>7443</v>
      </c>
      <c r="H7269" s="9">
        <v>53060</v>
      </c>
      <c r="I7269" s="14">
        <f>DATE(2012,12,31)-1015</f>
        <v>40259</v>
      </c>
      <c r="J7269" s="15" t="s">
        <v>30</v>
      </c>
      <c r="K7269" s="9">
        <v>4</v>
      </c>
      <c r="L7269" s="16" t="s">
        <v>26</v>
      </c>
      <c r="M7269" s="16">
        <f t="shared" si="681"/>
        <v>-1.489739181765348</v>
      </c>
      <c r="N7269">
        <f t="shared" si="682"/>
        <v>0</v>
      </c>
      <c r="O7269">
        <f t="shared" si="683"/>
        <v>0</v>
      </c>
      <c r="P7269">
        <f t="shared" si="680"/>
        <v>3600</v>
      </c>
      <c r="Q7269">
        <f t="shared" si="684"/>
        <v>3600</v>
      </c>
      <c r="T7269" s="16">
        <f t="shared" si="685"/>
        <v>-1.4897391817653485</v>
      </c>
    </row>
    <row r="7270" spans="7:20" ht="14.4" x14ac:dyDescent="0.25">
      <c r="G7270" s="10">
        <v>7465</v>
      </c>
      <c r="H7270" s="9">
        <v>53283</v>
      </c>
      <c r="I7270" s="14">
        <f>DATE(2012,12,31)-430</f>
        <v>40844</v>
      </c>
      <c r="J7270" s="15" t="s">
        <v>17</v>
      </c>
      <c r="K7270" s="9">
        <v>2</v>
      </c>
      <c r="L7270" s="16" t="s">
        <v>27</v>
      </c>
      <c r="M7270" s="16">
        <f t="shared" si="681"/>
        <v>-1.627858735003791</v>
      </c>
      <c r="N7270">
        <f t="shared" si="682"/>
        <v>0</v>
      </c>
      <c r="O7270">
        <f t="shared" si="683"/>
        <v>0</v>
      </c>
      <c r="P7270">
        <f t="shared" si="680"/>
        <v>3500</v>
      </c>
      <c r="Q7270">
        <f t="shared" si="684"/>
        <v>3500</v>
      </c>
      <c r="T7270" s="16">
        <f t="shared" si="685"/>
        <v>-1.6278587350037912</v>
      </c>
    </row>
    <row r="7271" spans="7:20" ht="14.4" x14ac:dyDescent="0.25">
      <c r="G7271" s="10">
        <v>7471</v>
      </c>
      <c r="H7271" s="9">
        <v>53344</v>
      </c>
      <c r="I7271" s="14">
        <f>DATE(2012,12,31)-1041</f>
        <v>40233</v>
      </c>
      <c r="J7271" s="15" t="s">
        <v>17</v>
      </c>
      <c r="K7271" s="9">
        <v>36</v>
      </c>
      <c r="L7271" s="16" t="s">
        <v>26</v>
      </c>
      <c r="M7271" s="16">
        <f t="shared" si="681"/>
        <v>0.72017367004973787</v>
      </c>
      <c r="N7271">
        <f t="shared" si="682"/>
        <v>0</v>
      </c>
      <c r="O7271">
        <f t="shared" si="683"/>
        <v>0</v>
      </c>
      <c r="P7271">
        <f t="shared" si="680"/>
        <v>5200</v>
      </c>
      <c r="Q7271">
        <f t="shared" si="684"/>
        <v>5200</v>
      </c>
      <c r="T7271" s="16">
        <f t="shared" si="685"/>
        <v>0.72017367004973754</v>
      </c>
    </row>
    <row r="7272" spans="7:20" ht="14.4" x14ac:dyDescent="0.25">
      <c r="G7272" s="10">
        <v>7477</v>
      </c>
      <c r="H7272" s="9">
        <v>53381</v>
      </c>
      <c r="I7272" s="14">
        <f>DATE(2012,12,31)-827</f>
        <v>40447</v>
      </c>
      <c r="J7272" s="15" t="s">
        <v>30</v>
      </c>
      <c r="K7272" s="9">
        <v>26</v>
      </c>
      <c r="L7272" s="16" t="s">
        <v>26</v>
      </c>
      <c r="M7272" s="16">
        <f t="shared" si="681"/>
        <v>2.9575903857523567E-2</v>
      </c>
      <c r="N7272">
        <f t="shared" si="682"/>
        <v>0</v>
      </c>
      <c r="O7272">
        <f t="shared" si="683"/>
        <v>0</v>
      </c>
      <c r="P7272">
        <f t="shared" si="680"/>
        <v>4700</v>
      </c>
      <c r="Q7272">
        <f t="shared" si="684"/>
        <v>4700</v>
      </c>
      <c r="T7272" s="16">
        <f t="shared" si="685"/>
        <v>2.9575903857523185E-2</v>
      </c>
    </row>
    <row r="7273" spans="7:20" ht="14.4" x14ac:dyDescent="0.25">
      <c r="G7273" s="10">
        <v>7505</v>
      </c>
      <c r="H7273" s="9">
        <v>53571</v>
      </c>
      <c r="I7273" s="14">
        <f>DATE(2012,12,31)-291</f>
        <v>40983</v>
      </c>
      <c r="J7273" s="15" t="s">
        <v>28</v>
      </c>
      <c r="K7273" s="9">
        <v>21</v>
      </c>
      <c r="L7273" s="16" t="s">
        <v>26</v>
      </c>
      <c r="M7273" s="16">
        <f t="shared" si="681"/>
        <v>-0.31572297923858361</v>
      </c>
      <c r="N7273">
        <f t="shared" si="682"/>
        <v>0</v>
      </c>
      <c r="O7273">
        <f t="shared" si="683"/>
        <v>0</v>
      </c>
      <c r="P7273">
        <f t="shared" si="680"/>
        <v>4450</v>
      </c>
      <c r="Q7273">
        <f t="shared" si="684"/>
        <v>4450</v>
      </c>
      <c r="T7273" s="16">
        <f t="shared" si="685"/>
        <v>-0.315722979238584</v>
      </c>
    </row>
    <row r="7274" spans="7:20" ht="14.4" x14ac:dyDescent="0.25">
      <c r="G7274" s="10">
        <v>7513</v>
      </c>
      <c r="H7274" s="9">
        <v>53635</v>
      </c>
      <c r="I7274" s="14">
        <f>DATE(2012,12,31)-166</f>
        <v>41108</v>
      </c>
      <c r="J7274" s="15" t="s">
        <v>28</v>
      </c>
      <c r="K7274" s="9">
        <v>33</v>
      </c>
      <c r="L7274" s="16" t="s">
        <v>26</v>
      </c>
      <c r="M7274" s="16">
        <f t="shared" si="681"/>
        <v>0.51299434019207357</v>
      </c>
      <c r="N7274">
        <f t="shared" si="682"/>
        <v>0</v>
      </c>
      <c r="O7274">
        <f t="shared" si="683"/>
        <v>0</v>
      </c>
      <c r="P7274">
        <f t="shared" si="680"/>
        <v>5050</v>
      </c>
      <c r="Q7274">
        <f t="shared" si="684"/>
        <v>5050</v>
      </c>
      <c r="T7274" s="16">
        <f t="shared" si="685"/>
        <v>0.51299434019207324</v>
      </c>
    </row>
    <row r="7275" spans="7:20" ht="14.4" x14ac:dyDescent="0.25">
      <c r="G7275" s="10">
        <v>7525</v>
      </c>
      <c r="H7275" s="9">
        <v>53762</v>
      </c>
      <c r="I7275" s="14">
        <f>DATE(2012,12,31)-213</f>
        <v>41061</v>
      </c>
      <c r="J7275" s="15" t="s">
        <v>30</v>
      </c>
      <c r="K7275" s="9">
        <v>28</v>
      </c>
      <c r="L7275" s="16" t="s">
        <v>26</v>
      </c>
      <c r="M7275" s="16">
        <f t="shared" si="681"/>
        <v>0.16769545709596645</v>
      </c>
      <c r="N7275">
        <f t="shared" si="682"/>
        <v>0</v>
      </c>
      <c r="O7275">
        <f t="shared" si="683"/>
        <v>0</v>
      </c>
      <c r="P7275">
        <f t="shared" si="680"/>
        <v>4800</v>
      </c>
      <c r="Q7275">
        <f t="shared" si="684"/>
        <v>4800</v>
      </c>
      <c r="T7275" s="16">
        <f t="shared" si="685"/>
        <v>0.16769545709596606</v>
      </c>
    </row>
    <row r="7276" spans="7:20" ht="14.4" x14ac:dyDescent="0.25">
      <c r="G7276" s="10">
        <v>7561</v>
      </c>
      <c r="H7276" s="9">
        <v>54086</v>
      </c>
      <c r="I7276" s="14">
        <f>DATE(2012,12,31)-116</f>
        <v>41158</v>
      </c>
      <c r="J7276" s="15" t="s">
        <v>25</v>
      </c>
      <c r="K7276" s="9">
        <v>23</v>
      </c>
      <c r="L7276" s="16" t="s">
        <v>27</v>
      </c>
      <c r="M7276" s="16">
        <f t="shared" si="681"/>
        <v>-0.17760342600014073</v>
      </c>
      <c r="N7276">
        <f t="shared" si="682"/>
        <v>0</v>
      </c>
      <c r="O7276">
        <f t="shared" si="683"/>
        <v>0</v>
      </c>
      <c r="P7276">
        <f t="shared" si="680"/>
        <v>4550</v>
      </c>
      <c r="Q7276">
        <f t="shared" si="684"/>
        <v>4550</v>
      </c>
      <c r="T7276" s="16">
        <f t="shared" si="685"/>
        <v>-0.17760342600014112</v>
      </c>
    </row>
    <row r="7277" spans="7:20" ht="14.4" x14ac:dyDescent="0.25">
      <c r="G7277" s="10">
        <v>7575</v>
      </c>
      <c r="H7277" s="9">
        <v>54180</v>
      </c>
      <c r="I7277" s="14">
        <f>DATE(2012,12,31)-70</f>
        <v>41204</v>
      </c>
      <c r="J7277" s="15" t="s">
        <v>30</v>
      </c>
      <c r="K7277" s="9">
        <v>43</v>
      </c>
      <c r="L7277" s="16" t="s">
        <v>26</v>
      </c>
      <c r="M7277" s="16">
        <f t="shared" si="681"/>
        <v>1.203592106384288</v>
      </c>
      <c r="N7277">
        <f t="shared" si="682"/>
        <v>0</v>
      </c>
      <c r="O7277">
        <f t="shared" si="683"/>
        <v>0</v>
      </c>
      <c r="P7277">
        <f t="shared" si="680"/>
        <v>5550</v>
      </c>
      <c r="Q7277">
        <f t="shared" si="684"/>
        <v>5550</v>
      </c>
      <c r="T7277" s="16">
        <f t="shared" si="685"/>
        <v>1.2035921063842876</v>
      </c>
    </row>
    <row r="7278" spans="7:20" ht="14.4" x14ac:dyDescent="0.25">
      <c r="G7278" s="10">
        <v>7581</v>
      </c>
      <c r="H7278" s="9">
        <v>54215</v>
      </c>
      <c r="I7278" s="14">
        <f>DATE(2012,12,31)-437</f>
        <v>40837</v>
      </c>
      <c r="J7278" s="15" t="s">
        <v>17</v>
      </c>
      <c r="K7278" s="9">
        <v>14</v>
      </c>
      <c r="L7278" s="16" t="s">
        <v>27</v>
      </c>
      <c r="M7278" s="16">
        <f t="shared" si="681"/>
        <v>-0.79914141557313367</v>
      </c>
      <c r="N7278">
        <f t="shared" si="682"/>
        <v>0</v>
      </c>
      <c r="O7278">
        <f t="shared" si="683"/>
        <v>0</v>
      </c>
      <c r="P7278">
        <f t="shared" si="680"/>
        <v>4100</v>
      </c>
      <c r="Q7278">
        <f t="shared" si="684"/>
        <v>4100</v>
      </c>
      <c r="T7278" s="16">
        <f t="shared" si="685"/>
        <v>-0.79914141557313401</v>
      </c>
    </row>
    <row r="7279" spans="7:20" ht="14.4" x14ac:dyDescent="0.25">
      <c r="G7279" s="10">
        <v>7591</v>
      </c>
      <c r="H7279" s="9">
        <v>54336</v>
      </c>
      <c r="I7279" s="14">
        <f>DATE(2012,12,31)-991</f>
        <v>40283</v>
      </c>
      <c r="J7279" s="15" t="s">
        <v>16</v>
      </c>
      <c r="K7279" s="9">
        <v>50</v>
      </c>
      <c r="L7279" s="16" t="s">
        <v>29</v>
      </c>
      <c r="M7279" s="16">
        <f t="shared" si="681"/>
        <v>1.687010542718838</v>
      </c>
      <c r="N7279">
        <f t="shared" si="682"/>
        <v>0</v>
      </c>
      <c r="O7279">
        <f t="shared" si="683"/>
        <v>0</v>
      </c>
      <c r="P7279">
        <f t="shared" si="680"/>
        <v>5900</v>
      </c>
      <c r="Q7279">
        <f t="shared" si="684"/>
        <v>5900</v>
      </c>
      <c r="T7279" s="16">
        <f t="shared" si="685"/>
        <v>1.6870105427188375</v>
      </c>
    </row>
    <row r="7280" spans="7:20" ht="14.4" x14ac:dyDescent="0.25">
      <c r="G7280" s="10">
        <v>7610</v>
      </c>
      <c r="H7280" s="9">
        <v>54467</v>
      </c>
      <c r="I7280" s="14">
        <f>DATE(2012,12,31)-805</f>
        <v>40469</v>
      </c>
      <c r="J7280" s="15" t="s">
        <v>25</v>
      </c>
      <c r="K7280" s="9">
        <v>37</v>
      </c>
      <c r="L7280" s="16" t="s">
        <v>26</v>
      </c>
      <c r="M7280" s="16">
        <f t="shared" si="681"/>
        <v>0.78923344666895934</v>
      </c>
      <c r="N7280">
        <f t="shared" si="682"/>
        <v>0</v>
      </c>
      <c r="O7280">
        <f t="shared" si="683"/>
        <v>0</v>
      </c>
      <c r="P7280">
        <f t="shared" si="680"/>
        <v>5250</v>
      </c>
      <c r="Q7280">
        <f t="shared" si="684"/>
        <v>5250</v>
      </c>
      <c r="T7280" s="16">
        <f t="shared" si="685"/>
        <v>0.789233446668959</v>
      </c>
    </row>
    <row r="7281" spans="7:20" ht="14.4" x14ac:dyDescent="0.25">
      <c r="G7281" s="10">
        <v>7611</v>
      </c>
      <c r="H7281" s="9">
        <v>54467</v>
      </c>
      <c r="I7281" s="14">
        <f>DATE(2012,12,31)-805</f>
        <v>40469</v>
      </c>
      <c r="J7281" s="15" t="s">
        <v>25</v>
      </c>
      <c r="K7281" s="9">
        <v>30</v>
      </c>
      <c r="L7281" s="16" t="s">
        <v>29</v>
      </c>
      <c r="M7281" s="16">
        <f t="shared" si="681"/>
        <v>0.30581501033440933</v>
      </c>
      <c r="N7281">
        <f t="shared" si="682"/>
        <v>0</v>
      </c>
      <c r="O7281">
        <f t="shared" si="683"/>
        <v>0</v>
      </c>
      <c r="P7281">
        <f t="shared" si="680"/>
        <v>4900</v>
      </c>
      <c r="Q7281">
        <f t="shared" si="684"/>
        <v>4900</v>
      </c>
      <c r="T7281" s="16">
        <f t="shared" si="685"/>
        <v>0.30581501033440894</v>
      </c>
    </row>
    <row r="7282" spans="7:20" ht="14.4" x14ac:dyDescent="0.25">
      <c r="G7282" s="10">
        <v>7612</v>
      </c>
      <c r="H7282" s="9">
        <v>54467</v>
      </c>
      <c r="I7282" s="14">
        <f>DATE(2012,12,31)-805</f>
        <v>40469</v>
      </c>
      <c r="J7282" s="15" t="s">
        <v>25</v>
      </c>
      <c r="K7282" s="9">
        <v>17</v>
      </c>
      <c r="L7282" s="16" t="s">
        <v>26</v>
      </c>
      <c r="M7282" s="16">
        <f t="shared" si="681"/>
        <v>-0.59196208571546938</v>
      </c>
      <c r="N7282">
        <f t="shared" si="682"/>
        <v>0</v>
      </c>
      <c r="O7282">
        <f t="shared" si="683"/>
        <v>0</v>
      </c>
      <c r="P7282">
        <f t="shared" si="680"/>
        <v>4250</v>
      </c>
      <c r="Q7282">
        <f t="shared" si="684"/>
        <v>4250</v>
      </c>
      <c r="T7282" s="16">
        <f t="shared" si="685"/>
        <v>-0.59196208571546971</v>
      </c>
    </row>
    <row r="7283" spans="7:20" ht="14.4" x14ac:dyDescent="0.25">
      <c r="G7283" s="10">
        <v>7623</v>
      </c>
      <c r="H7283" s="9">
        <v>54534</v>
      </c>
      <c r="I7283" s="14">
        <f>DATE(2012,12,31)-287</f>
        <v>40987</v>
      </c>
      <c r="J7283" s="15" t="s">
        <v>28</v>
      </c>
      <c r="K7283" s="9">
        <v>16</v>
      </c>
      <c r="L7283" s="16" t="s">
        <v>26</v>
      </c>
      <c r="M7283" s="16">
        <f t="shared" si="681"/>
        <v>-0.66102186233469074</v>
      </c>
      <c r="N7283">
        <f t="shared" si="682"/>
        <v>0</v>
      </c>
      <c r="O7283">
        <f t="shared" si="683"/>
        <v>0</v>
      </c>
      <c r="P7283">
        <f t="shared" si="680"/>
        <v>4200</v>
      </c>
      <c r="Q7283">
        <f t="shared" si="684"/>
        <v>4200</v>
      </c>
      <c r="T7283" s="16">
        <f t="shared" si="685"/>
        <v>-0.66102186233469118</v>
      </c>
    </row>
    <row r="7284" spans="7:20" ht="14.4" x14ac:dyDescent="0.25">
      <c r="G7284" s="10">
        <v>7627</v>
      </c>
      <c r="H7284" s="9">
        <v>54564</v>
      </c>
      <c r="I7284" s="14">
        <f>DATE(2012,12,31)-756</f>
        <v>40518</v>
      </c>
      <c r="J7284" s="15" t="s">
        <v>17</v>
      </c>
      <c r="K7284" s="9">
        <v>27</v>
      </c>
      <c r="L7284" s="16" t="s">
        <v>27</v>
      </c>
      <c r="M7284" s="16">
        <f t="shared" si="681"/>
        <v>9.8635680476745008E-2</v>
      </c>
      <c r="N7284">
        <f t="shared" si="682"/>
        <v>0</v>
      </c>
      <c r="O7284">
        <f t="shared" si="683"/>
        <v>0</v>
      </c>
      <c r="P7284">
        <f t="shared" si="680"/>
        <v>4750</v>
      </c>
      <c r="Q7284">
        <f t="shared" si="684"/>
        <v>4750</v>
      </c>
      <c r="T7284" s="16">
        <f t="shared" si="685"/>
        <v>9.8635680476744619E-2</v>
      </c>
    </row>
    <row r="7285" spans="7:20" ht="14.4" x14ac:dyDescent="0.25">
      <c r="G7285" s="10">
        <v>7637</v>
      </c>
      <c r="H7285" s="9">
        <v>54692</v>
      </c>
      <c r="I7285" s="14">
        <f>DATE(2012,12,31)-1032</f>
        <v>40242</v>
      </c>
      <c r="J7285" s="15" t="s">
        <v>16</v>
      </c>
      <c r="K7285" s="9">
        <v>16</v>
      </c>
      <c r="L7285" s="16" t="s">
        <v>26</v>
      </c>
      <c r="M7285" s="16">
        <f t="shared" si="681"/>
        <v>-0.66102186233469074</v>
      </c>
      <c r="N7285">
        <f t="shared" si="682"/>
        <v>0</v>
      </c>
      <c r="O7285">
        <f t="shared" si="683"/>
        <v>0</v>
      </c>
      <c r="P7285">
        <f t="shared" si="680"/>
        <v>4200</v>
      </c>
      <c r="Q7285">
        <f t="shared" si="684"/>
        <v>4200</v>
      </c>
      <c r="T7285" s="16">
        <f t="shared" si="685"/>
        <v>-0.66102186233469118</v>
      </c>
    </row>
    <row r="7286" spans="7:20" ht="14.4" x14ac:dyDescent="0.25">
      <c r="G7286" s="10">
        <v>7638</v>
      </c>
      <c r="H7286" s="9">
        <v>54692</v>
      </c>
      <c r="I7286" s="14">
        <f>DATE(2012,12,31)-1032</f>
        <v>40242</v>
      </c>
      <c r="J7286" s="15" t="s">
        <v>16</v>
      </c>
      <c r="K7286" s="9">
        <v>27</v>
      </c>
      <c r="L7286" s="16" t="s">
        <v>27</v>
      </c>
      <c r="M7286" s="16">
        <f t="shared" si="681"/>
        <v>9.8635680476745008E-2</v>
      </c>
      <c r="N7286">
        <f t="shared" si="682"/>
        <v>0</v>
      </c>
      <c r="O7286">
        <f t="shared" si="683"/>
        <v>0</v>
      </c>
      <c r="P7286">
        <f t="shared" si="680"/>
        <v>4750</v>
      </c>
      <c r="Q7286">
        <f t="shared" si="684"/>
        <v>4750</v>
      </c>
      <c r="T7286" s="16">
        <f t="shared" si="685"/>
        <v>9.8635680476744619E-2</v>
      </c>
    </row>
    <row r="7287" spans="7:20" ht="14.4" x14ac:dyDescent="0.25">
      <c r="G7287" s="10">
        <v>7641</v>
      </c>
      <c r="H7287" s="9">
        <v>54727</v>
      </c>
      <c r="I7287" s="14">
        <f>DATE(2012,12,31)-749</f>
        <v>40525</v>
      </c>
      <c r="J7287" s="15" t="s">
        <v>16</v>
      </c>
      <c r="K7287" s="9">
        <v>29</v>
      </c>
      <c r="L7287" s="16" t="s">
        <v>26</v>
      </c>
      <c r="M7287" s="16">
        <f t="shared" si="681"/>
        <v>0.23675523371518786</v>
      </c>
      <c r="N7287">
        <f t="shared" si="682"/>
        <v>0</v>
      </c>
      <c r="O7287">
        <f t="shared" si="683"/>
        <v>0</v>
      </c>
      <c r="P7287">
        <f t="shared" si="680"/>
        <v>4850</v>
      </c>
      <c r="Q7287">
        <f t="shared" si="684"/>
        <v>4850</v>
      </c>
      <c r="T7287" s="16">
        <f t="shared" si="685"/>
        <v>0.2367552337151875</v>
      </c>
    </row>
    <row r="7288" spans="7:20" ht="14.4" x14ac:dyDescent="0.25">
      <c r="G7288" s="10">
        <v>7656</v>
      </c>
      <c r="H7288" s="9">
        <v>54886</v>
      </c>
      <c r="I7288" s="14">
        <f>DATE(2012,12,31)-149</f>
        <v>41125</v>
      </c>
      <c r="J7288" s="15" t="s">
        <v>30</v>
      </c>
      <c r="K7288" s="9">
        <v>39</v>
      </c>
      <c r="L7288" s="16" t="s">
        <v>29</v>
      </c>
      <c r="M7288" s="16">
        <f t="shared" si="681"/>
        <v>0.92735299990740228</v>
      </c>
      <c r="N7288">
        <f t="shared" si="682"/>
        <v>0</v>
      </c>
      <c r="O7288">
        <f t="shared" si="683"/>
        <v>0</v>
      </c>
      <c r="P7288">
        <f t="shared" si="680"/>
        <v>5350</v>
      </c>
      <c r="Q7288">
        <f t="shared" si="684"/>
        <v>5350</v>
      </c>
      <c r="T7288" s="16">
        <f t="shared" si="685"/>
        <v>0.92735299990740183</v>
      </c>
    </row>
    <row r="7289" spans="7:20" ht="14.4" x14ac:dyDescent="0.25">
      <c r="G7289" s="10">
        <v>7668</v>
      </c>
      <c r="H7289" s="9">
        <v>54977</v>
      </c>
      <c r="I7289" s="14">
        <f>DATE(2012,12,31)-540</f>
        <v>40734</v>
      </c>
      <c r="J7289" s="15" t="s">
        <v>25</v>
      </c>
      <c r="K7289" s="9">
        <v>24</v>
      </c>
      <c r="L7289" s="16" t="s">
        <v>26</v>
      </c>
      <c r="M7289" s="16">
        <f t="shared" si="681"/>
        <v>-0.1085436493809193</v>
      </c>
      <c r="N7289">
        <f t="shared" si="682"/>
        <v>0</v>
      </c>
      <c r="O7289">
        <f t="shared" si="683"/>
        <v>0</v>
      </c>
      <c r="P7289">
        <f t="shared" si="680"/>
        <v>4600</v>
      </c>
      <c r="Q7289">
        <f t="shared" si="684"/>
        <v>4600</v>
      </c>
      <c r="T7289" s="16">
        <f t="shared" si="685"/>
        <v>-0.10854364938091969</v>
      </c>
    </row>
    <row r="7290" spans="7:20" ht="14.4" x14ac:dyDescent="0.25">
      <c r="G7290" s="10">
        <v>7669</v>
      </c>
      <c r="H7290" s="9">
        <v>54977</v>
      </c>
      <c r="I7290" s="14">
        <f>DATE(2012,12,31)-540</f>
        <v>40734</v>
      </c>
      <c r="J7290" s="15" t="s">
        <v>25</v>
      </c>
      <c r="K7290" s="9">
        <v>12</v>
      </c>
      <c r="L7290" s="16" t="s">
        <v>26</v>
      </c>
      <c r="M7290" s="16">
        <f t="shared" si="681"/>
        <v>-0.9372609688115765</v>
      </c>
      <c r="N7290">
        <f t="shared" si="682"/>
        <v>0</v>
      </c>
      <c r="O7290">
        <f t="shared" si="683"/>
        <v>0</v>
      </c>
      <c r="P7290">
        <f t="shared" si="680"/>
        <v>4000</v>
      </c>
      <c r="Q7290">
        <f t="shared" si="684"/>
        <v>4000</v>
      </c>
      <c r="T7290" s="16">
        <f t="shared" si="685"/>
        <v>-0.93726096881157694</v>
      </c>
    </row>
    <row r="7291" spans="7:20" ht="14.4" x14ac:dyDescent="0.25">
      <c r="G7291" s="10">
        <v>7676</v>
      </c>
      <c r="H7291" s="9">
        <v>55040</v>
      </c>
      <c r="I7291" s="14">
        <f>DATE(2012,12,31)-1359</f>
        <v>39915</v>
      </c>
      <c r="J7291" s="15" t="s">
        <v>17</v>
      </c>
      <c r="K7291" s="9">
        <v>8</v>
      </c>
      <c r="L7291" s="16" t="s">
        <v>26</v>
      </c>
      <c r="M7291" s="16">
        <f t="shared" si="681"/>
        <v>-1.2135000752884624</v>
      </c>
      <c r="N7291">
        <f t="shared" si="682"/>
        <v>0</v>
      </c>
      <c r="O7291">
        <f t="shared" si="683"/>
        <v>0</v>
      </c>
      <c r="P7291">
        <f t="shared" si="680"/>
        <v>3800</v>
      </c>
      <c r="Q7291">
        <f t="shared" si="684"/>
        <v>3800</v>
      </c>
      <c r="T7291" s="16">
        <f t="shared" si="685"/>
        <v>-1.2135000752884626</v>
      </c>
    </row>
    <row r="7292" spans="7:20" ht="14.4" x14ac:dyDescent="0.25">
      <c r="G7292" s="10">
        <v>7677</v>
      </c>
      <c r="H7292" s="9">
        <v>55040</v>
      </c>
      <c r="I7292" s="14">
        <f>DATE(2012,12,31)-1359</f>
        <v>39915</v>
      </c>
      <c r="J7292" s="15" t="s">
        <v>17</v>
      </c>
      <c r="K7292" s="9">
        <v>24</v>
      </c>
      <c r="L7292" s="16" t="s">
        <v>26</v>
      </c>
      <c r="M7292" s="16">
        <f t="shared" si="681"/>
        <v>-0.1085436493809193</v>
      </c>
      <c r="N7292">
        <f t="shared" si="682"/>
        <v>0</v>
      </c>
      <c r="O7292">
        <f t="shared" si="683"/>
        <v>0</v>
      </c>
      <c r="P7292">
        <f t="shared" si="680"/>
        <v>4600</v>
      </c>
      <c r="Q7292">
        <f t="shared" si="684"/>
        <v>4600</v>
      </c>
      <c r="T7292" s="16">
        <f t="shared" si="685"/>
        <v>-0.10854364938091969</v>
      </c>
    </row>
    <row r="7293" spans="7:20" ht="14.4" x14ac:dyDescent="0.25">
      <c r="G7293" s="10">
        <v>7678</v>
      </c>
      <c r="H7293" s="9">
        <v>55040</v>
      </c>
      <c r="I7293" s="14">
        <f>DATE(2012,12,31)-1359</f>
        <v>39915</v>
      </c>
      <c r="J7293" s="15" t="s">
        <v>17</v>
      </c>
      <c r="K7293" s="9">
        <v>34</v>
      </c>
      <c r="L7293" s="16" t="s">
        <v>26</v>
      </c>
      <c r="M7293" s="16">
        <f t="shared" si="681"/>
        <v>0.58205411681129504</v>
      </c>
      <c r="N7293">
        <f t="shared" si="682"/>
        <v>0</v>
      </c>
      <c r="O7293">
        <f t="shared" si="683"/>
        <v>0</v>
      </c>
      <c r="P7293">
        <f t="shared" si="680"/>
        <v>5100</v>
      </c>
      <c r="Q7293">
        <f t="shared" si="684"/>
        <v>5100</v>
      </c>
      <c r="T7293" s="16">
        <f t="shared" si="685"/>
        <v>0.58205411681129471</v>
      </c>
    </row>
    <row r="7294" spans="7:20" ht="14.4" x14ac:dyDescent="0.25">
      <c r="G7294" s="10">
        <v>7679</v>
      </c>
      <c r="H7294" s="9">
        <v>55040</v>
      </c>
      <c r="I7294" s="14">
        <f>DATE(2012,12,31)-1359</f>
        <v>39915</v>
      </c>
      <c r="J7294" s="15" t="s">
        <v>17</v>
      </c>
      <c r="K7294" s="9">
        <v>2</v>
      </c>
      <c r="L7294" s="16" t="s">
        <v>27</v>
      </c>
      <c r="M7294" s="16">
        <f t="shared" si="681"/>
        <v>-1.627858735003791</v>
      </c>
      <c r="N7294">
        <f t="shared" si="682"/>
        <v>0</v>
      </c>
      <c r="O7294">
        <f t="shared" si="683"/>
        <v>0</v>
      </c>
      <c r="P7294">
        <f t="shared" si="680"/>
        <v>3500</v>
      </c>
      <c r="Q7294">
        <f t="shared" si="684"/>
        <v>3500</v>
      </c>
      <c r="T7294" s="16">
        <f t="shared" si="685"/>
        <v>-1.6278587350037912</v>
      </c>
    </row>
    <row r="7295" spans="7:20" ht="14.4" x14ac:dyDescent="0.25">
      <c r="G7295" s="10">
        <v>7692</v>
      </c>
      <c r="H7295" s="9">
        <v>55139</v>
      </c>
      <c r="I7295" s="14">
        <f>DATE(2012,12,31)-1079</f>
        <v>40195</v>
      </c>
      <c r="J7295" s="15" t="s">
        <v>28</v>
      </c>
      <c r="K7295" s="9">
        <v>41</v>
      </c>
      <c r="L7295" s="16" t="s">
        <v>26</v>
      </c>
      <c r="M7295" s="16">
        <f t="shared" si="681"/>
        <v>1.0654725531458451</v>
      </c>
      <c r="N7295">
        <f t="shared" si="682"/>
        <v>0</v>
      </c>
      <c r="O7295">
        <f t="shared" si="683"/>
        <v>0</v>
      </c>
      <c r="P7295">
        <f t="shared" si="680"/>
        <v>5450</v>
      </c>
      <c r="Q7295">
        <f t="shared" si="684"/>
        <v>5450</v>
      </c>
      <c r="T7295" s="16">
        <f t="shared" si="685"/>
        <v>1.0654725531458447</v>
      </c>
    </row>
    <row r="7296" spans="7:20" ht="14.4" x14ac:dyDescent="0.25">
      <c r="G7296" s="10">
        <v>7702</v>
      </c>
      <c r="H7296" s="9">
        <v>55203</v>
      </c>
      <c r="I7296" s="14">
        <f>DATE(2012,12,31)-995</f>
        <v>40279</v>
      </c>
      <c r="J7296" s="15" t="s">
        <v>25</v>
      </c>
      <c r="K7296" s="9">
        <v>18</v>
      </c>
      <c r="L7296" s="16" t="s">
        <v>27</v>
      </c>
      <c r="M7296" s="16">
        <f t="shared" si="681"/>
        <v>-0.52290230909624791</v>
      </c>
      <c r="N7296">
        <f t="shared" si="682"/>
        <v>0</v>
      </c>
      <c r="O7296">
        <f t="shared" si="683"/>
        <v>0</v>
      </c>
      <c r="P7296">
        <f t="shared" si="680"/>
        <v>4300</v>
      </c>
      <c r="Q7296">
        <f t="shared" si="684"/>
        <v>4300</v>
      </c>
      <c r="T7296" s="16">
        <f t="shared" si="685"/>
        <v>-0.52290230909624835</v>
      </c>
    </row>
    <row r="7297" spans="7:20" ht="14.4" x14ac:dyDescent="0.25">
      <c r="G7297" s="10">
        <v>7721</v>
      </c>
      <c r="H7297" s="9">
        <v>55330</v>
      </c>
      <c r="I7297" s="14">
        <f>DATE(2012,12,31)-1237</f>
        <v>40037</v>
      </c>
      <c r="J7297" s="15" t="s">
        <v>16</v>
      </c>
      <c r="K7297" s="9">
        <v>49</v>
      </c>
      <c r="L7297" s="16" t="s">
        <v>29</v>
      </c>
      <c r="M7297" s="16">
        <f t="shared" si="681"/>
        <v>1.6179507660996166</v>
      </c>
      <c r="N7297">
        <f t="shared" si="682"/>
        <v>0</v>
      </c>
      <c r="O7297">
        <f t="shared" si="683"/>
        <v>0</v>
      </c>
      <c r="P7297">
        <f t="shared" si="680"/>
        <v>5850</v>
      </c>
      <c r="Q7297">
        <f t="shared" si="684"/>
        <v>5850</v>
      </c>
      <c r="T7297" s="16">
        <f t="shared" si="685"/>
        <v>1.6179507660996162</v>
      </c>
    </row>
    <row r="7298" spans="7:20" ht="14.4" x14ac:dyDescent="0.25">
      <c r="G7298" s="10">
        <v>7744</v>
      </c>
      <c r="H7298" s="9">
        <v>55431</v>
      </c>
      <c r="I7298" s="14">
        <f>DATE(2012,12,31)-206</f>
        <v>41068</v>
      </c>
      <c r="J7298" s="15" t="s">
        <v>28</v>
      </c>
      <c r="K7298" s="9">
        <v>39</v>
      </c>
      <c r="L7298" s="16" t="s">
        <v>26</v>
      </c>
      <c r="M7298" s="16">
        <f t="shared" si="681"/>
        <v>0.92735299990740228</v>
      </c>
      <c r="N7298">
        <f t="shared" si="682"/>
        <v>0</v>
      </c>
      <c r="O7298">
        <f t="shared" si="683"/>
        <v>0</v>
      </c>
      <c r="P7298">
        <f t="shared" si="680"/>
        <v>5350</v>
      </c>
      <c r="Q7298">
        <f t="shared" si="684"/>
        <v>5350</v>
      </c>
      <c r="T7298" s="16">
        <f t="shared" si="685"/>
        <v>0.92735299990740183</v>
      </c>
    </row>
    <row r="7299" spans="7:20" ht="14.4" x14ac:dyDescent="0.25">
      <c r="G7299" s="10">
        <v>7756</v>
      </c>
      <c r="H7299" s="9">
        <v>55494</v>
      </c>
      <c r="I7299" s="14">
        <f>DATE(2012,12,31)-189</f>
        <v>41085</v>
      </c>
      <c r="J7299" s="15" t="s">
        <v>28</v>
      </c>
      <c r="K7299" s="9">
        <v>4</v>
      </c>
      <c r="L7299" s="16" t="s">
        <v>26</v>
      </c>
      <c r="M7299" s="16">
        <f t="shared" si="681"/>
        <v>-1.489739181765348</v>
      </c>
      <c r="N7299">
        <f t="shared" si="682"/>
        <v>0</v>
      </c>
      <c r="O7299">
        <f t="shared" si="683"/>
        <v>0</v>
      </c>
      <c r="P7299">
        <f t="shared" si="680"/>
        <v>3600</v>
      </c>
      <c r="Q7299">
        <f t="shared" si="684"/>
        <v>3600</v>
      </c>
      <c r="T7299" s="16">
        <f t="shared" si="685"/>
        <v>-1.4897391817653485</v>
      </c>
    </row>
    <row r="7300" spans="7:20" ht="14.4" x14ac:dyDescent="0.25">
      <c r="G7300" s="10">
        <v>7757</v>
      </c>
      <c r="H7300" s="9">
        <v>55494</v>
      </c>
      <c r="I7300" s="14">
        <f>DATE(2012,12,31)-189</f>
        <v>41085</v>
      </c>
      <c r="J7300" s="15" t="s">
        <v>28</v>
      </c>
      <c r="K7300" s="9">
        <v>49</v>
      </c>
      <c r="L7300" s="16" t="s">
        <v>26</v>
      </c>
      <c r="M7300" s="16">
        <f t="shared" si="681"/>
        <v>1.6179507660996166</v>
      </c>
      <c r="N7300">
        <f t="shared" si="682"/>
        <v>0</v>
      </c>
      <c r="O7300">
        <f t="shared" si="683"/>
        <v>0</v>
      </c>
      <c r="P7300">
        <f t="shared" si="680"/>
        <v>5850</v>
      </c>
      <c r="Q7300">
        <f t="shared" si="684"/>
        <v>5850</v>
      </c>
      <c r="T7300" s="16">
        <f t="shared" si="685"/>
        <v>1.6179507660996162</v>
      </c>
    </row>
    <row r="7301" spans="7:20" ht="14.4" x14ac:dyDescent="0.25">
      <c r="G7301" s="10">
        <v>7762</v>
      </c>
      <c r="H7301" s="9">
        <v>55554</v>
      </c>
      <c r="I7301" s="14">
        <f>DATE(2012,12,31)-1141</f>
        <v>40133</v>
      </c>
      <c r="J7301" s="15" t="s">
        <v>30</v>
      </c>
      <c r="K7301" s="9">
        <v>6</v>
      </c>
      <c r="L7301" s="16" t="s">
        <v>26</v>
      </c>
      <c r="M7301" s="16">
        <f t="shared" si="681"/>
        <v>-1.3516196285269051</v>
      </c>
      <c r="N7301">
        <f t="shared" si="682"/>
        <v>0</v>
      </c>
      <c r="O7301">
        <f t="shared" si="683"/>
        <v>0</v>
      </c>
      <c r="P7301">
        <f t="shared" si="680"/>
        <v>3700</v>
      </c>
      <c r="Q7301">
        <f t="shared" si="684"/>
        <v>3700</v>
      </c>
      <c r="T7301" s="16">
        <f t="shared" si="685"/>
        <v>-1.3516196285269055</v>
      </c>
    </row>
    <row r="7302" spans="7:20" ht="14.4" x14ac:dyDescent="0.25">
      <c r="G7302" s="10">
        <v>7763</v>
      </c>
      <c r="H7302" s="9">
        <v>55554</v>
      </c>
      <c r="I7302" s="14">
        <f>DATE(2012,12,31)-1141</f>
        <v>40133</v>
      </c>
      <c r="J7302" s="15" t="s">
        <v>30</v>
      </c>
      <c r="K7302" s="9">
        <v>49</v>
      </c>
      <c r="L7302" s="16" t="s">
        <v>26</v>
      </c>
      <c r="M7302" s="16">
        <f t="shared" si="681"/>
        <v>1.6179507660996166</v>
      </c>
      <c r="N7302">
        <f t="shared" si="682"/>
        <v>0</v>
      </c>
      <c r="O7302">
        <f t="shared" si="683"/>
        <v>0</v>
      </c>
      <c r="P7302">
        <f t="shared" si="680"/>
        <v>5850</v>
      </c>
      <c r="Q7302">
        <f t="shared" si="684"/>
        <v>5850</v>
      </c>
      <c r="T7302" s="16">
        <f t="shared" si="685"/>
        <v>1.6179507660996162</v>
      </c>
    </row>
    <row r="7303" spans="7:20" ht="14.4" x14ac:dyDescent="0.25">
      <c r="G7303" s="10">
        <v>7764</v>
      </c>
      <c r="H7303" s="9">
        <v>55554</v>
      </c>
      <c r="I7303" s="14">
        <f>DATE(2012,12,31)-1141</f>
        <v>40133</v>
      </c>
      <c r="J7303" s="15" t="s">
        <v>30</v>
      </c>
      <c r="K7303" s="9">
        <v>9</v>
      </c>
      <c r="L7303" s="16" t="s">
        <v>26</v>
      </c>
      <c r="M7303" s="16">
        <f t="shared" si="681"/>
        <v>-1.1444402986692408</v>
      </c>
      <c r="N7303">
        <f t="shared" si="682"/>
        <v>0</v>
      </c>
      <c r="O7303">
        <f t="shared" si="683"/>
        <v>0</v>
      </c>
      <c r="P7303">
        <f t="shared" si="680"/>
        <v>3850</v>
      </c>
      <c r="Q7303">
        <f t="shared" si="684"/>
        <v>3850</v>
      </c>
      <c r="T7303" s="16">
        <f t="shared" si="685"/>
        <v>-1.1444402986692412</v>
      </c>
    </row>
    <row r="7304" spans="7:20" ht="14.4" x14ac:dyDescent="0.25">
      <c r="G7304" s="10">
        <v>7775</v>
      </c>
      <c r="H7304" s="9">
        <v>55651</v>
      </c>
      <c r="I7304" s="14">
        <f>DATE(2012,12,31)-299</f>
        <v>40975</v>
      </c>
      <c r="J7304" s="15" t="s">
        <v>16</v>
      </c>
      <c r="K7304" s="9">
        <v>11</v>
      </c>
      <c r="L7304" s="16" t="s">
        <v>27</v>
      </c>
      <c r="M7304" s="16">
        <f t="shared" si="681"/>
        <v>-1.0063207454307979</v>
      </c>
      <c r="N7304">
        <f t="shared" si="682"/>
        <v>0</v>
      </c>
      <c r="O7304">
        <f t="shared" si="683"/>
        <v>0</v>
      </c>
      <c r="P7304">
        <f t="shared" si="680"/>
        <v>3950</v>
      </c>
      <c r="Q7304">
        <f t="shared" si="684"/>
        <v>3950</v>
      </c>
      <c r="T7304" s="16">
        <f t="shared" si="685"/>
        <v>-1.0063207454307983</v>
      </c>
    </row>
    <row r="7305" spans="7:20" ht="14.4" x14ac:dyDescent="0.25">
      <c r="G7305" s="10">
        <v>7836</v>
      </c>
      <c r="H7305" s="9">
        <v>56006</v>
      </c>
      <c r="I7305" s="14">
        <f>DATE(2012,12,31)-457</f>
        <v>40817</v>
      </c>
      <c r="J7305" s="15" t="s">
        <v>30</v>
      </c>
      <c r="K7305" s="9">
        <v>16</v>
      </c>
      <c r="L7305" s="16" t="s">
        <v>26</v>
      </c>
      <c r="M7305" s="16">
        <f t="shared" si="681"/>
        <v>-0.66102186233469074</v>
      </c>
      <c r="N7305">
        <f t="shared" si="682"/>
        <v>0</v>
      </c>
      <c r="O7305">
        <f t="shared" si="683"/>
        <v>0</v>
      </c>
      <c r="P7305">
        <f t="shared" si="680"/>
        <v>4200</v>
      </c>
      <c r="Q7305">
        <f t="shared" si="684"/>
        <v>4200</v>
      </c>
      <c r="T7305" s="16">
        <f t="shared" si="685"/>
        <v>-0.66102186233469118</v>
      </c>
    </row>
    <row r="7306" spans="7:20" ht="14.4" x14ac:dyDescent="0.25">
      <c r="G7306" s="10">
        <v>7837</v>
      </c>
      <c r="H7306" s="9">
        <v>56006</v>
      </c>
      <c r="I7306" s="14">
        <f>DATE(2012,12,31)-457</f>
        <v>40817</v>
      </c>
      <c r="J7306" s="15" t="s">
        <v>30</v>
      </c>
      <c r="K7306" s="9">
        <v>20</v>
      </c>
      <c r="L7306" s="16" t="s">
        <v>27</v>
      </c>
      <c r="M7306" s="16">
        <f t="shared" si="681"/>
        <v>-0.38478275585780503</v>
      </c>
      <c r="N7306">
        <f t="shared" si="682"/>
        <v>0</v>
      </c>
      <c r="O7306">
        <f t="shared" si="683"/>
        <v>0</v>
      </c>
      <c r="P7306">
        <f t="shared" si="680"/>
        <v>4400</v>
      </c>
      <c r="Q7306">
        <f t="shared" si="684"/>
        <v>4400</v>
      </c>
      <c r="T7306" s="16">
        <f t="shared" si="685"/>
        <v>-0.38478275585780541</v>
      </c>
    </row>
    <row r="7307" spans="7:20" ht="14.4" x14ac:dyDescent="0.25">
      <c r="G7307" s="10">
        <v>7850</v>
      </c>
      <c r="H7307" s="9">
        <v>56130</v>
      </c>
      <c r="I7307" s="14">
        <f>DATE(2012,12,31)-398</f>
        <v>40876</v>
      </c>
      <c r="J7307" s="15" t="s">
        <v>16</v>
      </c>
      <c r="K7307" s="9">
        <v>13</v>
      </c>
      <c r="L7307" s="16" t="s">
        <v>29</v>
      </c>
      <c r="M7307" s="16">
        <f t="shared" si="681"/>
        <v>-0.86820119219235514</v>
      </c>
      <c r="N7307">
        <f t="shared" si="682"/>
        <v>0</v>
      </c>
      <c r="O7307">
        <f t="shared" si="683"/>
        <v>0</v>
      </c>
      <c r="P7307">
        <f t="shared" si="680"/>
        <v>4050</v>
      </c>
      <c r="Q7307">
        <f t="shared" si="684"/>
        <v>4050</v>
      </c>
      <c r="T7307" s="16">
        <f t="shared" si="685"/>
        <v>-0.86820119219235548</v>
      </c>
    </row>
    <row r="7308" spans="7:20" ht="14.4" x14ac:dyDescent="0.25">
      <c r="G7308" s="10">
        <v>7851</v>
      </c>
      <c r="H7308" s="9">
        <v>56130</v>
      </c>
      <c r="I7308" s="14">
        <f>DATE(2012,12,31)-398</f>
        <v>40876</v>
      </c>
      <c r="J7308" s="15" t="s">
        <v>16</v>
      </c>
      <c r="K7308" s="9">
        <v>25</v>
      </c>
      <c r="L7308" s="16" t="s">
        <v>26</v>
      </c>
      <c r="M7308" s="16">
        <f t="shared" si="681"/>
        <v>-3.9483872761697868E-2</v>
      </c>
      <c r="N7308">
        <f t="shared" si="682"/>
        <v>0</v>
      </c>
      <c r="O7308">
        <f t="shared" si="683"/>
        <v>0</v>
      </c>
      <c r="P7308">
        <f t="shared" ref="P7308:P7371" si="686">50*K7308+$P$10</f>
        <v>4650</v>
      </c>
      <c r="Q7308">
        <f t="shared" si="684"/>
        <v>4650</v>
      </c>
      <c r="T7308" s="16">
        <f t="shared" si="685"/>
        <v>-3.9483872761698249E-2</v>
      </c>
    </row>
    <row r="7309" spans="7:20" ht="14.4" x14ac:dyDescent="0.25">
      <c r="G7309" s="10">
        <v>7855</v>
      </c>
      <c r="H7309" s="9">
        <v>56162</v>
      </c>
      <c r="I7309" s="14">
        <f>DATE(2012,12,31)-616</f>
        <v>40658</v>
      </c>
      <c r="J7309" s="15" t="s">
        <v>28</v>
      </c>
      <c r="K7309" s="9">
        <v>30</v>
      </c>
      <c r="L7309" s="16" t="s">
        <v>29</v>
      </c>
      <c r="M7309" s="16">
        <f t="shared" ref="M7309:M7372" si="687">(K7309-$K$4)/$K$7</f>
        <v>0.30581501033440933</v>
      </c>
      <c r="N7309">
        <f t="shared" ref="N7309:N7372" si="688">IF(MOD($B$20+G7309,1000)=0,1,0)</f>
        <v>0</v>
      </c>
      <c r="O7309">
        <f t="shared" ref="O7309:O7372" si="689">+ROUND(N7309*(IF(K7309&lt;$K$4,-4.5,10.5)*$P$5),-2)</f>
        <v>0</v>
      </c>
      <c r="P7309">
        <f t="shared" si="686"/>
        <v>4900</v>
      </c>
      <c r="Q7309">
        <f t="shared" ref="Q7309:Q7372" si="690">P7309+O7309</f>
        <v>4900</v>
      </c>
      <c r="T7309" s="16">
        <f t="shared" ref="T7309:T7372" si="691">(Q7309-$P$4)/$P$5</f>
        <v>0.30581501033440894</v>
      </c>
    </row>
    <row r="7310" spans="7:20" ht="14.4" x14ac:dyDescent="0.25">
      <c r="G7310" s="10">
        <v>7867</v>
      </c>
      <c r="H7310" s="9">
        <v>56261</v>
      </c>
      <c r="I7310" s="14">
        <f>DATE(2012,12,31)-308</f>
        <v>40966</v>
      </c>
      <c r="J7310" s="15" t="s">
        <v>30</v>
      </c>
      <c r="K7310" s="9">
        <v>43</v>
      </c>
      <c r="L7310" s="16" t="s">
        <v>29</v>
      </c>
      <c r="M7310" s="16">
        <f t="shared" si="687"/>
        <v>1.203592106384288</v>
      </c>
      <c r="N7310">
        <f t="shared" si="688"/>
        <v>0</v>
      </c>
      <c r="O7310">
        <f t="shared" si="689"/>
        <v>0</v>
      </c>
      <c r="P7310">
        <f t="shared" si="686"/>
        <v>5550</v>
      </c>
      <c r="Q7310">
        <f t="shared" si="690"/>
        <v>5550</v>
      </c>
      <c r="T7310" s="16">
        <f t="shared" si="691"/>
        <v>1.2035921063842876</v>
      </c>
    </row>
    <row r="7311" spans="7:20" ht="14.4" x14ac:dyDescent="0.25">
      <c r="G7311" s="10">
        <v>7881</v>
      </c>
      <c r="H7311" s="9">
        <v>56358</v>
      </c>
      <c r="I7311" s="14">
        <f>DATE(2012,12,31)-305</f>
        <v>40969</v>
      </c>
      <c r="J7311" s="15" t="s">
        <v>28</v>
      </c>
      <c r="K7311" s="9">
        <v>1</v>
      </c>
      <c r="L7311" s="16" t="s">
        <v>29</v>
      </c>
      <c r="M7311" s="16">
        <f t="shared" si="687"/>
        <v>-1.6969185116230123</v>
      </c>
      <c r="N7311">
        <f t="shared" si="688"/>
        <v>0</v>
      </c>
      <c r="O7311">
        <f t="shared" si="689"/>
        <v>0</v>
      </c>
      <c r="P7311">
        <f t="shared" si="686"/>
        <v>3450</v>
      </c>
      <c r="Q7311">
        <f t="shared" si="690"/>
        <v>3450</v>
      </c>
      <c r="T7311" s="16">
        <f t="shared" si="691"/>
        <v>-1.6969185116230128</v>
      </c>
    </row>
    <row r="7312" spans="7:20" ht="14.4" x14ac:dyDescent="0.25">
      <c r="G7312" s="10">
        <v>7893</v>
      </c>
      <c r="H7312" s="9">
        <v>56452</v>
      </c>
      <c r="I7312" s="14">
        <f>DATE(2012,12,31)-1416</f>
        <v>39858</v>
      </c>
      <c r="J7312" s="15" t="s">
        <v>28</v>
      </c>
      <c r="K7312" s="9">
        <v>34</v>
      </c>
      <c r="L7312" s="16" t="s">
        <v>29</v>
      </c>
      <c r="M7312" s="16">
        <f t="shared" si="687"/>
        <v>0.58205411681129504</v>
      </c>
      <c r="N7312">
        <f t="shared" si="688"/>
        <v>0</v>
      </c>
      <c r="O7312">
        <f t="shared" si="689"/>
        <v>0</v>
      </c>
      <c r="P7312">
        <f t="shared" si="686"/>
        <v>5100</v>
      </c>
      <c r="Q7312">
        <f t="shared" si="690"/>
        <v>5100</v>
      </c>
      <c r="T7312" s="16">
        <f t="shared" si="691"/>
        <v>0.58205411681129471</v>
      </c>
    </row>
    <row r="7313" spans="7:20" ht="14.4" x14ac:dyDescent="0.25">
      <c r="G7313" s="10">
        <v>7895</v>
      </c>
      <c r="H7313" s="9">
        <v>56483</v>
      </c>
      <c r="I7313" s="14">
        <f>DATE(2012,12,31)-1411</f>
        <v>39863</v>
      </c>
      <c r="J7313" s="15" t="s">
        <v>17</v>
      </c>
      <c r="K7313" s="9">
        <v>37</v>
      </c>
      <c r="L7313" s="16" t="s">
        <v>26</v>
      </c>
      <c r="M7313" s="16">
        <f t="shared" si="687"/>
        <v>0.78923344666895934</v>
      </c>
      <c r="N7313">
        <f t="shared" si="688"/>
        <v>0</v>
      </c>
      <c r="O7313">
        <f t="shared" si="689"/>
        <v>0</v>
      </c>
      <c r="P7313">
        <f t="shared" si="686"/>
        <v>5250</v>
      </c>
      <c r="Q7313">
        <f t="shared" si="690"/>
        <v>5250</v>
      </c>
      <c r="T7313" s="16">
        <f t="shared" si="691"/>
        <v>0.789233446668959</v>
      </c>
    </row>
    <row r="7314" spans="7:20" ht="14.4" x14ac:dyDescent="0.25">
      <c r="G7314" s="10">
        <v>7896</v>
      </c>
      <c r="H7314" s="9">
        <v>56484</v>
      </c>
      <c r="I7314" s="14">
        <f>DATE(2012,12,31)-406</f>
        <v>40868</v>
      </c>
      <c r="J7314" s="15" t="s">
        <v>28</v>
      </c>
      <c r="K7314" s="9">
        <v>6</v>
      </c>
      <c r="L7314" s="16" t="s">
        <v>26</v>
      </c>
      <c r="M7314" s="16">
        <f t="shared" si="687"/>
        <v>-1.3516196285269051</v>
      </c>
      <c r="N7314">
        <f t="shared" si="688"/>
        <v>0</v>
      </c>
      <c r="O7314">
        <f t="shared" si="689"/>
        <v>0</v>
      </c>
      <c r="P7314">
        <f t="shared" si="686"/>
        <v>3700</v>
      </c>
      <c r="Q7314">
        <f t="shared" si="690"/>
        <v>3700</v>
      </c>
      <c r="T7314" s="16">
        <f t="shared" si="691"/>
        <v>-1.3516196285269055</v>
      </c>
    </row>
    <row r="7315" spans="7:20" ht="14.4" x14ac:dyDescent="0.25">
      <c r="G7315" s="10">
        <v>7897</v>
      </c>
      <c r="H7315" s="9">
        <v>56484</v>
      </c>
      <c r="I7315" s="14">
        <f>DATE(2012,12,31)-406</f>
        <v>40868</v>
      </c>
      <c r="J7315" s="15" t="s">
        <v>28</v>
      </c>
      <c r="K7315" s="9">
        <v>15</v>
      </c>
      <c r="L7315" s="16" t="s">
        <v>27</v>
      </c>
      <c r="M7315" s="16">
        <f t="shared" si="687"/>
        <v>-0.7300816389539122</v>
      </c>
      <c r="N7315">
        <f t="shared" si="688"/>
        <v>0</v>
      </c>
      <c r="O7315">
        <f t="shared" si="689"/>
        <v>0</v>
      </c>
      <c r="P7315">
        <f t="shared" si="686"/>
        <v>4150</v>
      </c>
      <c r="Q7315">
        <f t="shared" si="690"/>
        <v>4150</v>
      </c>
      <c r="T7315" s="16">
        <f t="shared" si="691"/>
        <v>-0.73008163895391265</v>
      </c>
    </row>
    <row r="7316" spans="7:20" ht="14.4" x14ac:dyDescent="0.25">
      <c r="G7316" s="10">
        <v>7931</v>
      </c>
      <c r="H7316" s="9">
        <v>56676</v>
      </c>
      <c r="I7316" s="14">
        <f>DATE(2012,12,31)-67</f>
        <v>41207</v>
      </c>
      <c r="J7316" s="15" t="s">
        <v>30</v>
      </c>
      <c r="K7316" s="9">
        <v>39</v>
      </c>
      <c r="L7316" s="16" t="s">
        <v>26</v>
      </c>
      <c r="M7316" s="16">
        <f t="shared" si="687"/>
        <v>0.92735299990740228</v>
      </c>
      <c r="N7316">
        <f t="shared" si="688"/>
        <v>0</v>
      </c>
      <c r="O7316">
        <f t="shared" si="689"/>
        <v>0</v>
      </c>
      <c r="P7316">
        <f t="shared" si="686"/>
        <v>5350</v>
      </c>
      <c r="Q7316">
        <f t="shared" si="690"/>
        <v>5350</v>
      </c>
      <c r="T7316" s="16">
        <f t="shared" si="691"/>
        <v>0.92735299990740183</v>
      </c>
    </row>
    <row r="7317" spans="7:20" ht="14.4" x14ac:dyDescent="0.25">
      <c r="G7317" s="10">
        <v>7941</v>
      </c>
      <c r="H7317" s="9">
        <v>56740</v>
      </c>
      <c r="I7317" s="14">
        <f>DATE(2012,12,31)-76</f>
        <v>41198</v>
      </c>
      <c r="J7317" s="15" t="s">
        <v>25</v>
      </c>
      <c r="K7317" s="9">
        <v>6</v>
      </c>
      <c r="L7317" s="16" t="s">
        <v>26</v>
      </c>
      <c r="M7317" s="16">
        <f t="shared" si="687"/>
        <v>-1.3516196285269051</v>
      </c>
      <c r="N7317">
        <f t="shared" si="688"/>
        <v>0</v>
      </c>
      <c r="O7317">
        <f t="shared" si="689"/>
        <v>0</v>
      </c>
      <c r="P7317">
        <f t="shared" si="686"/>
        <v>3700</v>
      </c>
      <c r="Q7317">
        <f t="shared" si="690"/>
        <v>3700</v>
      </c>
      <c r="T7317" s="16">
        <f t="shared" si="691"/>
        <v>-1.3516196285269055</v>
      </c>
    </row>
    <row r="7318" spans="7:20" ht="14.4" x14ac:dyDescent="0.25">
      <c r="G7318" s="10">
        <v>7942</v>
      </c>
      <c r="H7318" s="9">
        <v>56740</v>
      </c>
      <c r="I7318" s="14">
        <f>DATE(2012,12,31)-76</f>
        <v>41198</v>
      </c>
      <c r="J7318" s="15" t="s">
        <v>25</v>
      </c>
      <c r="K7318" s="9">
        <v>29</v>
      </c>
      <c r="L7318" s="16" t="s">
        <v>26</v>
      </c>
      <c r="M7318" s="16">
        <f t="shared" si="687"/>
        <v>0.23675523371518786</v>
      </c>
      <c r="N7318">
        <f t="shared" si="688"/>
        <v>0</v>
      </c>
      <c r="O7318">
        <f t="shared" si="689"/>
        <v>0</v>
      </c>
      <c r="P7318">
        <f t="shared" si="686"/>
        <v>4850</v>
      </c>
      <c r="Q7318">
        <f t="shared" si="690"/>
        <v>4850</v>
      </c>
      <c r="T7318" s="16">
        <f t="shared" si="691"/>
        <v>0.2367552337151875</v>
      </c>
    </row>
    <row r="7319" spans="7:20" ht="14.4" x14ac:dyDescent="0.25">
      <c r="G7319" s="10">
        <v>7948</v>
      </c>
      <c r="H7319" s="9">
        <v>56802</v>
      </c>
      <c r="I7319" s="14">
        <f>DATE(2012,12,31)-216</f>
        <v>41058</v>
      </c>
      <c r="J7319" s="15" t="s">
        <v>17</v>
      </c>
      <c r="K7319" s="9">
        <v>50</v>
      </c>
      <c r="L7319" s="16" t="s">
        <v>26</v>
      </c>
      <c r="M7319" s="16">
        <f t="shared" si="687"/>
        <v>1.687010542718838</v>
      </c>
      <c r="N7319">
        <f t="shared" si="688"/>
        <v>0</v>
      </c>
      <c r="O7319">
        <f t="shared" si="689"/>
        <v>0</v>
      </c>
      <c r="P7319">
        <f t="shared" si="686"/>
        <v>5900</v>
      </c>
      <c r="Q7319">
        <f t="shared" si="690"/>
        <v>5900</v>
      </c>
      <c r="T7319" s="16">
        <f t="shared" si="691"/>
        <v>1.6870105427188375</v>
      </c>
    </row>
    <row r="7320" spans="7:20" ht="14.4" x14ac:dyDescent="0.25">
      <c r="G7320" s="10">
        <v>7959</v>
      </c>
      <c r="H7320" s="9">
        <v>56868</v>
      </c>
      <c r="I7320" s="14">
        <f>DATE(2012,12,31)-394</f>
        <v>40880</v>
      </c>
      <c r="J7320" s="15" t="s">
        <v>25</v>
      </c>
      <c r="K7320" s="9">
        <v>34</v>
      </c>
      <c r="L7320" s="16" t="s">
        <v>27</v>
      </c>
      <c r="M7320" s="16">
        <f t="shared" si="687"/>
        <v>0.58205411681129504</v>
      </c>
      <c r="N7320">
        <f t="shared" si="688"/>
        <v>0</v>
      </c>
      <c r="O7320">
        <f t="shared" si="689"/>
        <v>0</v>
      </c>
      <c r="P7320">
        <f t="shared" si="686"/>
        <v>5100</v>
      </c>
      <c r="Q7320">
        <f t="shared" si="690"/>
        <v>5100</v>
      </c>
      <c r="T7320" s="16">
        <f t="shared" si="691"/>
        <v>0.58205411681129471</v>
      </c>
    </row>
    <row r="7321" spans="7:20" ht="14.4" x14ac:dyDescent="0.25">
      <c r="G7321" s="10">
        <v>7960</v>
      </c>
      <c r="H7321" s="9">
        <v>56869</v>
      </c>
      <c r="I7321" s="14">
        <f>DATE(2012,12,31)-892</f>
        <v>40382</v>
      </c>
      <c r="J7321" s="15" t="s">
        <v>25</v>
      </c>
      <c r="K7321" s="9">
        <v>10</v>
      </c>
      <c r="L7321" s="16" t="s">
        <v>26</v>
      </c>
      <c r="M7321" s="16">
        <f t="shared" si="687"/>
        <v>-1.0753805220500194</v>
      </c>
      <c r="N7321">
        <f t="shared" si="688"/>
        <v>0</v>
      </c>
      <c r="O7321">
        <f t="shared" si="689"/>
        <v>0</v>
      </c>
      <c r="P7321">
        <f t="shared" si="686"/>
        <v>3900</v>
      </c>
      <c r="Q7321">
        <f t="shared" si="690"/>
        <v>3900</v>
      </c>
      <c r="T7321" s="16">
        <f t="shared" si="691"/>
        <v>-1.0753805220500199</v>
      </c>
    </row>
    <row r="7322" spans="7:20" ht="14.4" x14ac:dyDescent="0.25">
      <c r="G7322" s="10">
        <v>8004</v>
      </c>
      <c r="H7322" s="9">
        <v>57190</v>
      </c>
      <c r="I7322" s="14">
        <f>DATE(2012,12,31)-948</f>
        <v>40326</v>
      </c>
      <c r="J7322" s="15" t="s">
        <v>16</v>
      </c>
      <c r="K7322" s="9">
        <v>48</v>
      </c>
      <c r="L7322" s="16" t="s">
        <v>27</v>
      </c>
      <c r="M7322" s="16">
        <f t="shared" si="687"/>
        <v>1.5488909894803951</v>
      </c>
      <c r="N7322">
        <f t="shared" si="688"/>
        <v>0</v>
      </c>
      <c r="O7322">
        <f t="shared" si="689"/>
        <v>0</v>
      </c>
      <c r="P7322">
        <f t="shared" si="686"/>
        <v>5800</v>
      </c>
      <c r="Q7322">
        <f t="shared" si="690"/>
        <v>5800</v>
      </c>
      <c r="T7322" s="16">
        <f t="shared" si="691"/>
        <v>1.5488909894803948</v>
      </c>
    </row>
    <row r="7323" spans="7:20" ht="14.4" x14ac:dyDescent="0.25">
      <c r="G7323" s="10">
        <v>8005</v>
      </c>
      <c r="H7323" s="9">
        <v>57190</v>
      </c>
      <c r="I7323" s="14">
        <f>DATE(2012,12,31)-948</f>
        <v>40326</v>
      </c>
      <c r="J7323" s="15" t="s">
        <v>16</v>
      </c>
      <c r="K7323" s="9">
        <v>36</v>
      </c>
      <c r="L7323" s="16" t="s">
        <v>27</v>
      </c>
      <c r="M7323" s="16">
        <f t="shared" si="687"/>
        <v>0.72017367004973787</v>
      </c>
      <c r="N7323">
        <f t="shared" si="688"/>
        <v>0</v>
      </c>
      <c r="O7323">
        <f t="shared" si="689"/>
        <v>0</v>
      </c>
      <c r="P7323">
        <f t="shared" si="686"/>
        <v>5200</v>
      </c>
      <c r="Q7323">
        <f t="shared" si="690"/>
        <v>5200</v>
      </c>
      <c r="T7323" s="16">
        <f t="shared" si="691"/>
        <v>0.72017367004973754</v>
      </c>
    </row>
    <row r="7324" spans="7:20" ht="14.4" x14ac:dyDescent="0.25">
      <c r="G7324" s="10">
        <v>8009</v>
      </c>
      <c r="H7324" s="9">
        <v>57248</v>
      </c>
      <c r="I7324" s="14">
        <f>DATE(2012,12,31)-1173</f>
        <v>40101</v>
      </c>
      <c r="J7324" s="15" t="s">
        <v>30</v>
      </c>
      <c r="K7324" s="9">
        <v>34</v>
      </c>
      <c r="L7324" s="16" t="s">
        <v>26</v>
      </c>
      <c r="M7324" s="16">
        <f t="shared" si="687"/>
        <v>0.58205411681129504</v>
      </c>
      <c r="N7324">
        <f t="shared" si="688"/>
        <v>0</v>
      </c>
      <c r="O7324">
        <f t="shared" si="689"/>
        <v>0</v>
      </c>
      <c r="P7324">
        <f t="shared" si="686"/>
        <v>5100</v>
      </c>
      <c r="Q7324">
        <f t="shared" si="690"/>
        <v>5100</v>
      </c>
      <c r="T7324" s="16">
        <f t="shared" si="691"/>
        <v>0.58205411681129471</v>
      </c>
    </row>
    <row r="7325" spans="7:20" ht="14.4" x14ac:dyDescent="0.25">
      <c r="G7325" s="10">
        <v>8022</v>
      </c>
      <c r="H7325" s="9">
        <v>57318</v>
      </c>
      <c r="I7325" s="14">
        <f>DATE(2012,12,31)-1086</f>
        <v>40188</v>
      </c>
      <c r="J7325" s="15" t="s">
        <v>16</v>
      </c>
      <c r="K7325" s="9">
        <v>33</v>
      </c>
      <c r="L7325" s="16" t="s">
        <v>26</v>
      </c>
      <c r="M7325" s="16">
        <f t="shared" si="687"/>
        <v>0.51299434019207357</v>
      </c>
      <c r="N7325">
        <f t="shared" si="688"/>
        <v>0</v>
      </c>
      <c r="O7325">
        <f t="shared" si="689"/>
        <v>0</v>
      </c>
      <c r="P7325">
        <f t="shared" si="686"/>
        <v>5050</v>
      </c>
      <c r="Q7325">
        <f t="shared" si="690"/>
        <v>5050</v>
      </c>
      <c r="T7325" s="16">
        <f t="shared" si="691"/>
        <v>0.51299434019207324</v>
      </c>
    </row>
    <row r="7326" spans="7:20" ht="14.4" x14ac:dyDescent="0.25">
      <c r="G7326" s="10">
        <v>8023</v>
      </c>
      <c r="H7326" s="9">
        <v>57318</v>
      </c>
      <c r="I7326" s="14">
        <f>DATE(2012,12,31)-1086</f>
        <v>40188</v>
      </c>
      <c r="J7326" s="15" t="s">
        <v>16</v>
      </c>
      <c r="K7326" s="9">
        <v>12</v>
      </c>
      <c r="L7326" s="16" t="s">
        <v>26</v>
      </c>
      <c r="M7326" s="16">
        <f t="shared" si="687"/>
        <v>-0.9372609688115765</v>
      </c>
      <c r="N7326">
        <f t="shared" si="688"/>
        <v>0</v>
      </c>
      <c r="O7326">
        <f t="shared" si="689"/>
        <v>0</v>
      </c>
      <c r="P7326">
        <f t="shared" si="686"/>
        <v>4000</v>
      </c>
      <c r="Q7326">
        <f t="shared" si="690"/>
        <v>4000</v>
      </c>
      <c r="T7326" s="16">
        <f t="shared" si="691"/>
        <v>-0.93726096881157694</v>
      </c>
    </row>
    <row r="7327" spans="7:20" ht="14.4" x14ac:dyDescent="0.25">
      <c r="G7327" s="10">
        <v>8025</v>
      </c>
      <c r="H7327" s="9">
        <v>57350</v>
      </c>
      <c r="I7327" s="14">
        <f>DATE(2012,12,31)-586</f>
        <v>40688</v>
      </c>
      <c r="J7327" s="15" t="s">
        <v>17</v>
      </c>
      <c r="K7327" s="9">
        <v>33</v>
      </c>
      <c r="L7327" s="16" t="s">
        <v>26</v>
      </c>
      <c r="M7327" s="16">
        <f t="shared" si="687"/>
        <v>0.51299434019207357</v>
      </c>
      <c r="N7327">
        <f t="shared" si="688"/>
        <v>0</v>
      </c>
      <c r="O7327">
        <f t="shared" si="689"/>
        <v>0</v>
      </c>
      <c r="P7327">
        <f t="shared" si="686"/>
        <v>5050</v>
      </c>
      <c r="Q7327">
        <f t="shared" si="690"/>
        <v>5050</v>
      </c>
      <c r="T7327" s="16">
        <f t="shared" si="691"/>
        <v>0.51299434019207324</v>
      </c>
    </row>
    <row r="7328" spans="7:20" ht="14.4" x14ac:dyDescent="0.25">
      <c r="G7328" s="10">
        <v>8026</v>
      </c>
      <c r="H7328" s="9">
        <v>57350</v>
      </c>
      <c r="I7328" s="14">
        <f>DATE(2012,12,31)-586</f>
        <v>40688</v>
      </c>
      <c r="J7328" s="15" t="s">
        <v>17</v>
      </c>
      <c r="K7328" s="9">
        <v>50</v>
      </c>
      <c r="L7328" s="16" t="s">
        <v>27</v>
      </c>
      <c r="M7328" s="16">
        <f t="shared" si="687"/>
        <v>1.687010542718838</v>
      </c>
      <c r="N7328">
        <f t="shared" si="688"/>
        <v>0</v>
      </c>
      <c r="O7328">
        <f t="shared" si="689"/>
        <v>0</v>
      </c>
      <c r="P7328">
        <f t="shared" si="686"/>
        <v>5900</v>
      </c>
      <c r="Q7328">
        <f t="shared" si="690"/>
        <v>5900</v>
      </c>
      <c r="T7328" s="16">
        <f t="shared" si="691"/>
        <v>1.6870105427188375</v>
      </c>
    </row>
    <row r="7329" spans="7:20" ht="14.4" x14ac:dyDescent="0.25">
      <c r="G7329" s="10">
        <v>8032</v>
      </c>
      <c r="H7329" s="9">
        <v>57381</v>
      </c>
      <c r="I7329" s="14">
        <f>DATE(2012,12,31)-1242</f>
        <v>40032</v>
      </c>
      <c r="J7329" s="15" t="s">
        <v>17</v>
      </c>
      <c r="K7329" s="9">
        <v>13</v>
      </c>
      <c r="L7329" s="16" t="s">
        <v>26</v>
      </c>
      <c r="M7329" s="16">
        <f t="shared" si="687"/>
        <v>-0.86820119219235514</v>
      </c>
      <c r="N7329">
        <f t="shared" si="688"/>
        <v>0</v>
      </c>
      <c r="O7329">
        <f t="shared" si="689"/>
        <v>0</v>
      </c>
      <c r="P7329">
        <f t="shared" si="686"/>
        <v>4050</v>
      </c>
      <c r="Q7329">
        <f t="shared" si="690"/>
        <v>4050</v>
      </c>
      <c r="T7329" s="16">
        <f t="shared" si="691"/>
        <v>-0.86820119219235548</v>
      </c>
    </row>
    <row r="7330" spans="7:20" ht="14.4" x14ac:dyDescent="0.25">
      <c r="G7330" s="10">
        <v>8033</v>
      </c>
      <c r="H7330" s="9">
        <v>57381</v>
      </c>
      <c r="I7330" s="14">
        <f>DATE(2012,12,31)-1242</f>
        <v>40032</v>
      </c>
      <c r="J7330" s="15" t="s">
        <v>17</v>
      </c>
      <c r="K7330" s="9">
        <v>22</v>
      </c>
      <c r="L7330" s="16" t="s">
        <v>26</v>
      </c>
      <c r="M7330" s="16">
        <f t="shared" si="687"/>
        <v>-0.24666320261936217</v>
      </c>
      <c r="N7330">
        <f t="shared" si="688"/>
        <v>0</v>
      </c>
      <c r="O7330">
        <f t="shared" si="689"/>
        <v>0</v>
      </c>
      <c r="P7330">
        <f t="shared" si="686"/>
        <v>4500</v>
      </c>
      <c r="Q7330">
        <f t="shared" si="690"/>
        <v>4500</v>
      </c>
      <c r="T7330" s="16">
        <f t="shared" si="691"/>
        <v>-0.24666320261936256</v>
      </c>
    </row>
    <row r="7331" spans="7:20" ht="14.4" x14ac:dyDescent="0.25">
      <c r="G7331" s="10">
        <v>8041</v>
      </c>
      <c r="H7331" s="9">
        <v>57444</v>
      </c>
      <c r="I7331" s="14">
        <f>DATE(2012,12,31)-597</f>
        <v>40677</v>
      </c>
      <c r="J7331" s="15" t="s">
        <v>30</v>
      </c>
      <c r="K7331" s="9">
        <v>24</v>
      </c>
      <c r="L7331" s="16" t="s">
        <v>26</v>
      </c>
      <c r="M7331" s="16">
        <f t="shared" si="687"/>
        <v>-0.1085436493809193</v>
      </c>
      <c r="N7331">
        <f t="shared" si="688"/>
        <v>0</v>
      </c>
      <c r="O7331">
        <f t="shared" si="689"/>
        <v>0</v>
      </c>
      <c r="P7331">
        <f t="shared" si="686"/>
        <v>4600</v>
      </c>
      <c r="Q7331">
        <f t="shared" si="690"/>
        <v>4600</v>
      </c>
      <c r="T7331" s="16">
        <f t="shared" si="691"/>
        <v>-0.10854364938091969</v>
      </c>
    </row>
    <row r="7332" spans="7:20" ht="14.4" x14ac:dyDescent="0.25">
      <c r="G7332" s="10">
        <v>8048</v>
      </c>
      <c r="H7332" s="9">
        <v>57476</v>
      </c>
      <c r="I7332" s="14">
        <f>DATE(2012,12,31)-1386</f>
        <v>39888</v>
      </c>
      <c r="J7332" s="15" t="s">
        <v>17</v>
      </c>
      <c r="K7332" s="9">
        <v>20</v>
      </c>
      <c r="L7332" s="16" t="s">
        <v>26</v>
      </c>
      <c r="M7332" s="16">
        <f t="shared" si="687"/>
        <v>-0.38478275585780503</v>
      </c>
      <c r="N7332">
        <f t="shared" si="688"/>
        <v>0</v>
      </c>
      <c r="O7332">
        <f t="shared" si="689"/>
        <v>0</v>
      </c>
      <c r="P7332">
        <f t="shared" si="686"/>
        <v>4400</v>
      </c>
      <c r="Q7332">
        <f t="shared" si="690"/>
        <v>4400</v>
      </c>
      <c r="T7332" s="16">
        <f t="shared" si="691"/>
        <v>-0.38478275585780541</v>
      </c>
    </row>
    <row r="7333" spans="7:20" ht="14.4" x14ac:dyDescent="0.25">
      <c r="G7333" s="10">
        <v>8049</v>
      </c>
      <c r="H7333" s="9">
        <v>57476</v>
      </c>
      <c r="I7333" s="14">
        <f>DATE(2012,12,31)-1386</f>
        <v>39888</v>
      </c>
      <c r="J7333" s="15" t="s">
        <v>17</v>
      </c>
      <c r="K7333" s="9">
        <v>17</v>
      </c>
      <c r="L7333" s="16" t="s">
        <v>26</v>
      </c>
      <c r="M7333" s="16">
        <f t="shared" si="687"/>
        <v>-0.59196208571546938</v>
      </c>
      <c r="N7333">
        <f t="shared" si="688"/>
        <v>0</v>
      </c>
      <c r="O7333">
        <f t="shared" si="689"/>
        <v>0</v>
      </c>
      <c r="P7333">
        <f t="shared" si="686"/>
        <v>4250</v>
      </c>
      <c r="Q7333">
        <f t="shared" si="690"/>
        <v>4250</v>
      </c>
      <c r="T7333" s="16">
        <f t="shared" si="691"/>
        <v>-0.59196208571546971</v>
      </c>
    </row>
    <row r="7334" spans="7:20" ht="14.4" x14ac:dyDescent="0.25">
      <c r="G7334" s="10">
        <v>8078</v>
      </c>
      <c r="H7334" s="9">
        <v>57633</v>
      </c>
      <c r="I7334" s="14">
        <f>DATE(2012,12,31)-694</f>
        <v>40580</v>
      </c>
      <c r="J7334" s="15" t="s">
        <v>17</v>
      </c>
      <c r="K7334" s="9">
        <v>12</v>
      </c>
      <c r="L7334" s="16" t="s">
        <v>29</v>
      </c>
      <c r="M7334" s="16">
        <f t="shared" si="687"/>
        <v>-0.9372609688115765</v>
      </c>
      <c r="N7334">
        <f t="shared" si="688"/>
        <v>0</v>
      </c>
      <c r="O7334">
        <f t="shared" si="689"/>
        <v>0</v>
      </c>
      <c r="P7334">
        <f t="shared" si="686"/>
        <v>4000</v>
      </c>
      <c r="Q7334">
        <f t="shared" si="690"/>
        <v>4000</v>
      </c>
      <c r="T7334" s="16">
        <f t="shared" si="691"/>
        <v>-0.93726096881157694</v>
      </c>
    </row>
    <row r="7335" spans="7:20" ht="14.4" x14ac:dyDescent="0.25">
      <c r="G7335" s="10">
        <v>8085</v>
      </c>
      <c r="H7335" s="9">
        <v>57669</v>
      </c>
      <c r="I7335" s="14">
        <f>DATE(2012,12,31)-876</f>
        <v>40398</v>
      </c>
      <c r="J7335" s="15" t="s">
        <v>30</v>
      </c>
      <c r="K7335" s="9">
        <v>41</v>
      </c>
      <c r="L7335" s="16" t="s">
        <v>26</v>
      </c>
      <c r="M7335" s="16">
        <f t="shared" si="687"/>
        <v>1.0654725531458451</v>
      </c>
      <c r="N7335">
        <f t="shared" si="688"/>
        <v>0</v>
      </c>
      <c r="O7335">
        <f t="shared" si="689"/>
        <v>0</v>
      </c>
      <c r="P7335">
        <f t="shared" si="686"/>
        <v>5450</v>
      </c>
      <c r="Q7335">
        <f t="shared" si="690"/>
        <v>5450</v>
      </c>
      <c r="T7335" s="16">
        <f t="shared" si="691"/>
        <v>1.0654725531458447</v>
      </c>
    </row>
    <row r="7336" spans="7:20" ht="14.4" x14ac:dyDescent="0.25">
      <c r="G7336" s="10">
        <v>8093</v>
      </c>
      <c r="H7336" s="9">
        <v>57734</v>
      </c>
      <c r="I7336" s="14">
        <f>DATE(2012,12,31)-1202</f>
        <v>40072</v>
      </c>
      <c r="J7336" s="15" t="s">
        <v>17</v>
      </c>
      <c r="K7336" s="9">
        <v>26</v>
      </c>
      <c r="L7336" s="16" t="s">
        <v>26</v>
      </c>
      <c r="M7336" s="16">
        <f t="shared" si="687"/>
        <v>2.9575903857523567E-2</v>
      </c>
      <c r="N7336">
        <f t="shared" si="688"/>
        <v>0</v>
      </c>
      <c r="O7336">
        <f t="shared" si="689"/>
        <v>0</v>
      </c>
      <c r="P7336">
        <f t="shared" si="686"/>
        <v>4700</v>
      </c>
      <c r="Q7336">
        <f t="shared" si="690"/>
        <v>4700</v>
      </c>
      <c r="T7336" s="16">
        <f t="shared" si="691"/>
        <v>2.9575903857523185E-2</v>
      </c>
    </row>
    <row r="7337" spans="7:20" ht="14.4" x14ac:dyDescent="0.25">
      <c r="G7337" s="10">
        <v>8094</v>
      </c>
      <c r="H7337" s="9">
        <v>57734</v>
      </c>
      <c r="I7337" s="14">
        <f>DATE(2012,12,31)-1202</f>
        <v>40072</v>
      </c>
      <c r="J7337" s="15" t="s">
        <v>17</v>
      </c>
      <c r="K7337" s="9">
        <v>27</v>
      </c>
      <c r="L7337" s="16" t="s">
        <v>26</v>
      </c>
      <c r="M7337" s="16">
        <f t="shared" si="687"/>
        <v>9.8635680476745008E-2</v>
      </c>
      <c r="N7337">
        <f t="shared" si="688"/>
        <v>0</v>
      </c>
      <c r="O7337">
        <f t="shared" si="689"/>
        <v>0</v>
      </c>
      <c r="P7337">
        <f t="shared" si="686"/>
        <v>4750</v>
      </c>
      <c r="Q7337">
        <f t="shared" si="690"/>
        <v>4750</v>
      </c>
      <c r="T7337" s="16">
        <f t="shared" si="691"/>
        <v>9.8635680476744619E-2</v>
      </c>
    </row>
    <row r="7338" spans="7:20" ht="14.4" x14ac:dyDescent="0.25">
      <c r="G7338" s="10">
        <v>8095</v>
      </c>
      <c r="H7338" s="9">
        <v>57760</v>
      </c>
      <c r="I7338" s="14">
        <f>DATE(2012,12,31)-538</f>
        <v>40736</v>
      </c>
      <c r="J7338" s="15" t="s">
        <v>28</v>
      </c>
      <c r="K7338" s="9">
        <v>38</v>
      </c>
      <c r="L7338" s="16" t="s">
        <v>29</v>
      </c>
      <c r="M7338" s="16">
        <f t="shared" si="687"/>
        <v>0.85829322328818081</v>
      </c>
      <c r="N7338">
        <f t="shared" si="688"/>
        <v>0</v>
      </c>
      <c r="O7338">
        <f t="shared" si="689"/>
        <v>0</v>
      </c>
      <c r="P7338">
        <f t="shared" si="686"/>
        <v>5300</v>
      </c>
      <c r="Q7338">
        <f t="shared" si="690"/>
        <v>5300</v>
      </c>
      <c r="T7338" s="16">
        <f t="shared" si="691"/>
        <v>0.85829322328818036</v>
      </c>
    </row>
    <row r="7339" spans="7:20" ht="14.4" x14ac:dyDescent="0.25">
      <c r="G7339" s="10">
        <v>8096</v>
      </c>
      <c r="H7339" s="9">
        <v>57760</v>
      </c>
      <c r="I7339" s="14">
        <f>DATE(2012,12,31)-538</f>
        <v>40736</v>
      </c>
      <c r="J7339" s="15" t="s">
        <v>28</v>
      </c>
      <c r="K7339" s="9">
        <v>34</v>
      </c>
      <c r="L7339" s="16" t="s">
        <v>26</v>
      </c>
      <c r="M7339" s="16">
        <f t="shared" si="687"/>
        <v>0.58205411681129504</v>
      </c>
      <c r="N7339">
        <f t="shared" si="688"/>
        <v>0</v>
      </c>
      <c r="O7339">
        <f t="shared" si="689"/>
        <v>0</v>
      </c>
      <c r="P7339">
        <f t="shared" si="686"/>
        <v>5100</v>
      </c>
      <c r="Q7339">
        <f t="shared" si="690"/>
        <v>5100</v>
      </c>
      <c r="T7339" s="16">
        <f t="shared" si="691"/>
        <v>0.58205411681129471</v>
      </c>
    </row>
    <row r="7340" spans="7:20" ht="14.4" x14ac:dyDescent="0.25">
      <c r="G7340" s="10">
        <v>8110</v>
      </c>
      <c r="H7340" s="9">
        <v>57891</v>
      </c>
      <c r="I7340" s="14">
        <f>DATE(2012,12,31)-745</f>
        <v>40529</v>
      </c>
      <c r="J7340" s="15" t="s">
        <v>16</v>
      </c>
      <c r="K7340" s="9">
        <v>17</v>
      </c>
      <c r="L7340" s="16" t="s">
        <v>27</v>
      </c>
      <c r="M7340" s="16">
        <f t="shared" si="687"/>
        <v>-0.59196208571546938</v>
      </c>
      <c r="N7340">
        <f t="shared" si="688"/>
        <v>0</v>
      </c>
      <c r="O7340">
        <f t="shared" si="689"/>
        <v>0</v>
      </c>
      <c r="P7340">
        <f t="shared" si="686"/>
        <v>4250</v>
      </c>
      <c r="Q7340">
        <f t="shared" si="690"/>
        <v>4250</v>
      </c>
      <c r="T7340" s="16">
        <f t="shared" si="691"/>
        <v>-0.59196208571546971</v>
      </c>
    </row>
    <row r="7341" spans="7:20" ht="14.4" x14ac:dyDescent="0.25">
      <c r="G7341" s="10">
        <v>8125</v>
      </c>
      <c r="H7341" s="9">
        <v>58084</v>
      </c>
      <c r="I7341" s="14">
        <f>DATE(2012,12,31)-134</f>
        <v>41140</v>
      </c>
      <c r="J7341" s="15" t="s">
        <v>16</v>
      </c>
      <c r="K7341" s="9">
        <v>3</v>
      </c>
      <c r="L7341" s="16" t="s">
        <v>26</v>
      </c>
      <c r="M7341" s="16">
        <f t="shared" si="687"/>
        <v>-1.5587989583845694</v>
      </c>
      <c r="N7341">
        <f t="shared" si="688"/>
        <v>0</v>
      </c>
      <c r="O7341">
        <f t="shared" si="689"/>
        <v>0</v>
      </c>
      <c r="P7341">
        <f t="shared" si="686"/>
        <v>3550</v>
      </c>
      <c r="Q7341">
        <f t="shared" si="690"/>
        <v>3550</v>
      </c>
      <c r="T7341" s="16">
        <f t="shared" si="691"/>
        <v>-1.5587989583845698</v>
      </c>
    </row>
    <row r="7342" spans="7:20" ht="14.4" x14ac:dyDescent="0.25">
      <c r="G7342" s="10">
        <v>8126</v>
      </c>
      <c r="H7342" s="9">
        <v>58084</v>
      </c>
      <c r="I7342" s="14">
        <f>DATE(2012,12,31)-134</f>
        <v>41140</v>
      </c>
      <c r="J7342" s="15" t="s">
        <v>16</v>
      </c>
      <c r="K7342" s="9">
        <v>36</v>
      </c>
      <c r="L7342" s="16" t="s">
        <v>26</v>
      </c>
      <c r="M7342" s="16">
        <f t="shared" si="687"/>
        <v>0.72017367004973787</v>
      </c>
      <c r="N7342">
        <f t="shared" si="688"/>
        <v>0</v>
      </c>
      <c r="O7342">
        <f t="shared" si="689"/>
        <v>0</v>
      </c>
      <c r="P7342">
        <f t="shared" si="686"/>
        <v>5200</v>
      </c>
      <c r="Q7342">
        <f t="shared" si="690"/>
        <v>5200</v>
      </c>
      <c r="T7342" s="16">
        <f t="shared" si="691"/>
        <v>0.72017367004973754</v>
      </c>
    </row>
    <row r="7343" spans="7:20" ht="14.4" x14ac:dyDescent="0.25">
      <c r="G7343" s="10">
        <v>8139</v>
      </c>
      <c r="H7343" s="9">
        <v>58179</v>
      </c>
      <c r="I7343" s="14">
        <f>DATE(2012,12,31)-483</f>
        <v>40791</v>
      </c>
      <c r="J7343" s="15" t="s">
        <v>16</v>
      </c>
      <c r="K7343" s="9">
        <v>3</v>
      </c>
      <c r="L7343" s="16" t="s">
        <v>26</v>
      </c>
      <c r="M7343" s="16">
        <f t="shared" si="687"/>
        <v>-1.5587989583845694</v>
      </c>
      <c r="N7343">
        <f t="shared" si="688"/>
        <v>0</v>
      </c>
      <c r="O7343">
        <f t="shared" si="689"/>
        <v>0</v>
      </c>
      <c r="P7343">
        <f t="shared" si="686"/>
        <v>3550</v>
      </c>
      <c r="Q7343">
        <f t="shared" si="690"/>
        <v>3550</v>
      </c>
      <c r="T7343" s="16">
        <f t="shared" si="691"/>
        <v>-1.5587989583845698</v>
      </c>
    </row>
    <row r="7344" spans="7:20" ht="14.4" x14ac:dyDescent="0.25">
      <c r="G7344" s="10">
        <v>8151</v>
      </c>
      <c r="H7344" s="9">
        <v>58279</v>
      </c>
      <c r="I7344" s="14">
        <f>DATE(2012,12,31)-1360</f>
        <v>39914</v>
      </c>
      <c r="J7344" s="15" t="s">
        <v>16</v>
      </c>
      <c r="K7344" s="9">
        <v>44</v>
      </c>
      <c r="L7344" s="16" t="s">
        <v>26</v>
      </c>
      <c r="M7344" s="16">
        <f t="shared" si="687"/>
        <v>1.2726518830035094</v>
      </c>
      <c r="N7344">
        <f t="shared" si="688"/>
        <v>0</v>
      </c>
      <c r="O7344">
        <f t="shared" si="689"/>
        <v>0</v>
      </c>
      <c r="P7344">
        <f t="shared" si="686"/>
        <v>5600</v>
      </c>
      <c r="Q7344">
        <f t="shared" si="690"/>
        <v>5600</v>
      </c>
      <c r="T7344" s="16">
        <f t="shared" si="691"/>
        <v>1.272651883003509</v>
      </c>
    </row>
    <row r="7345" spans="7:20" ht="14.4" x14ac:dyDescent="0.25">
      <c r="G7345" s="10">
        <v>8165</v>
      </c>
      <c r="H7345" s="9">
        <v>58369</v>
      </c>
      <c r="I7345" s="14">
        <f>DATE(2012,12,31)-123</f>
        <v>41151</v>
      </c>
      <c r="J7345" s="15" t="s">
        <v>17</v>
      </c>
      <c r="K7345" s="9">
        <v>46</v>
      </c>
      <c r="L7345" s="16" t="s">
        <v>26</v>
      </c>
      <c r="M7345" s="16">
        <f t="shared" si="687"/>
        <v>1.4107714362419523</v>
      </c>
      <c r="N7345">
        <f t="shared" si="688"/>
        <v>0</v>
      </c>
      <c r="O7345">
        <f t="shared" si="689"/>
        <v>0</v>
      </c>
      <c r="P7345">
        <f t="shared" si="686"/>
        <v>5700</v>
      </c>
      <c r="Q7345">
        <f t="shared" si="690"/>
        <v>5700</v>
      </c>
      <c r="T7345" s="16">
        <f t="shared" si="691"/>
        <v>1.4107714362419519</v>
      </c>
    </row>
    <row r="7346" spans="7:20" ht="14.4" x14ac:dyDescent="0.25">
      <c r="G7346" s="10">
        <v>8166</v>
      </c>
      <c r="H7346" s="9">
        <v>58369</v>
      </c>
      <c r="I7346" s="14">
        <f>DATE(2012,12,31)-123</f>
        <v>41151</v>
      </c>
      <c r="J7346" s="15" t="s">
        <v>17</v>
      </c>
      <c r="K7346" s="9">
        <v>16</v>
      </c>
      <c r="L7346" s="16" t="s">
        <v>27</v>
      </c>
      <c r="M7346" s="16">
        <f t="shared" si="687"/>
        <v>-0.66102186233469074</v>
      </c>
      <c r="N7346">
        <f t="shared" si="688"/>
        <v>0</v>
      </c>
      <c r="O7346">
        <f t="shared" si="689"/>
        <v>0</v>
      </c>
      <c r="P7346">
        <f t="shared" si="686"/>
        <v>4200</v>
      </c>
      <c r="Q7346">
        <f t="shared" si="690"/>
        <v>4200</v>
      </c>
      <c r="T7346" s="16">
        <f t="shared" si="691"/>
        <v>-0.66102186233469118</v>
      </c>
    </row>
    <row r="7347" spans="7:20" ht="14.4" x14ac:dyDescent="0.25">
      <c r="G7347" s="10">
        <v>8167</v>
      </c>
      <c r="H7347" s="9">
        <v>58371</v>
      </c>
      <c r="I7347" s="14">
        <f>DATE(2012,12,31)-965</f>
        <v>40309</v>
      </c>
      <c r="J7347" s="15" t="s">
        <v>16</v>
      </c>
      <c r="K7347" s="9">
        <v>5</v>
      </c>
      <c r="L7347" s="16" t="s">
        <v>26</v>
      </c>
      <c r="M7347" s="16">
        <f t="shared" si="687"/>
        <v>-1.4206794051461267</v>
      </c>
      <c r="N7347">
        <f t="shared" si="688"/>
        <v>0</v>
      </c>
      <c r="O7347">
        <f t="shared" si="689"/>
        <v>0</v>
      </c>
      <c r="P7347">
        <f t="shared" si="686"/>
        <v>3650</v>
      </c>
      <c r="Q7347">
        <f t="shared" si="690"/>
        <v>3650</v>
      </c>
      <c r="T7347" s="16">
        <f t="shared" si="691"/>
        <v>-1.4206794051461269</v>
      </c>
    </row>
    <row r="7348" spans="7:20" ht="14.4" x14ac:dyDescent="0.25">
      <c r="G7348" s="10">
        <v>8168</v>
      </c>
      <c r="H7348" s="9">
        <v>58371</v>
      </c>
      <c r="I7348" s="14">
        <f>DATE(2012,12,31)-965</f>
        <v>40309</v>
      </c>
      <c r="J7348" s="15" t="s">
        <v>16</v>
      </c>
      <c r="K7348" s="9">
        <v>44</v>
      </c>
      <c r="L7348" s="16" t="s">
        <v>26</v>
      </c>
      <c r="M7348" s="16">
        <f t="shared" si="687"/>
        <v>1.2726518830035094</v>
      </c>
      <c r="N7348">
        <f t="shared" si="688"/>
        <v>0</v>
      </c>
      <c r="O7348">
        <f t="shared" si="689"/>
        <v>0</v>
      </c>
      <c r="P7348">
        <f t="shared" si="686"/>
        <v>5600</v>
      </c>
      <c r="Q7348">
        <f t="shared" si="690"/>
        <v>5600</v>
      </c>
      <c r="T7348" s="16">
        <f t="shared" si="691"/>
        <v>1.272651883003509</v>
      </c>
    </row>
    <row r="7349" spans="7:20" ht="14.4" x14ac:dyDescent="0.25">
      <c r="G7349" s="10">
        <v>8169</v>
      </c>
      <c r="H7349" s="9">
        <v>58371</v>
      </c>
      <c r="I7349" s="14">
        <f>DATE(2012,12,31)-965</f>
        <v>40309</v>
      </c>
      <c r="J7349" s="15" t="s">
        <v>16</v>
      </c>
      <c r="K7349" s="9">
        <v>48</v>
      </c>
      <c r="L7349" s="16" t="s">
        <v>26</v>
      </c>
      <c r="M7349" s="16">
        <f t="shared" si="687"/>
        <v>1.5488909894803951</v>
      </c>
      <c r="N7349">
        <f t="shared" si="688"/>
        <v>0</v>
      </c>
      <c r="O7349">
        <f t="shared" si="689"/>
        <v>0</v>
      </c>
      <c r="P7349">
        <f t="shared" si="686"/>
        <v>5800</v>
      </c>
      <c r="Q7349">
        <f t="shared" si="690"/>
        <v>5800</v>
      </c>
      <c r="T7349" s="16">
        <f t="shared" si="691"/>
        <v>1.5488909894803948</v>
      </c>
    </row>
    <row r="7350" spans="7:20" ht="14.4" x14ac:dyDescent="0.25">
      <c r="G7350" s="10">
        <v>8173</v>
      </c>
      <c r="H7350" s="9">
        <v>58433</v>
      </c>
      <c r="I7350" s="14">
        <f>DATE(2012,12,31)-549</f>
        <v>40725</v>
      </c>
      <c r="J7350" s="15" t="s">
        <v>17</v>
      </c>
      <c r="K7350" s="9">
        <v>11</v>
      </c>
      <c r="L7350" s="16" t="s">
        <v>29</v>
      </c>
      <c r="M7350" s="16">
        <f t="shared" si="687"/>
        <v>-1.0063207454307979</v>
      </c>
      <c r="N7350">
        <f t="shared" si="688"/>
        <v>0</v>
      </c>
      <c r="O7350">
        <f t="shared" si="689"/>
        <v>0</v>
      </c>
      <c r="P7350">
        <f t="shared" si="686"/>
        <v>3950</v>
      </c>
      <c r="Q7350">
        <f t="shared" si="690"/>
        <v>3950</v>
      </c>
      <c r="T7350" s="16">
        <f t="shared" si="691"/>
        <v>-1.0063207454307983</v>
      </c>
    </row>
    <row r="7351" spans="7:20" ht="14.4" x14ac:dyDescent="0.25">
      <c r="G7351" s="10">
        <v>8174</v>
      </c>
      <c r="H7351" s="9">
        <v>58433</v>
      </c>
      <c r="I7351" s="14">
        <f>DATE(2012,12,31)-549</f>
        <v>40725</v>
      </c>
      <c r="J7351" s="15" t="s">
        <v>17</v>
      </c>
      <c r="K7351" s="9">
        <v>30</v>
      </c>
      <c r="L7351" s="16" t="s">
        <v>26</v>
      </c>
      <c r="M7351" s="16">
        <f t="shared" si="687"/>
        <v>0.30581501033440933</v>
      </c>
      <c r="N7351">
        <f t="shared" si="688"/>
        <v>0</v>
      </c>
      <c r="O7351">
        <f t="shared" si="689"/>
        <v>0</v>
      </c>
      <c r="P7351">
        <f t="shared" si="686"/>
        <v>4900</v>
      </c>
      <c r="Q7351">
        <f t="shared" si="690"/>
        <v>4900</v>
      </c>
      <c r="T7351" s="16">
        <f t="shared" si="691"/>
        <v>0.30581501033440894</v>
      </c>
    </row>
    <row r="7352" spans="7:20" ht="14.4" x14ac:dyDescent="0.25">
      <c r="G7352" s="10">
        <v>8175</v>
      </c>
      <c r="H7352" s="9">
        <v>58433</v>
      </c>
      <c r="I7352" s="14">
        <f>DATE(2012,12,31)-549</f>
        <v>40725</v>
      </c>
      <c r="J7352" s="15" t="s">
        <v>17</v>
      </c>
      <c r="K7352" s="9">
        <v>20</v>
      </c>
      <c r="L7352" s="16" t="s">
        <v>29</v>
      </c>
      <c r="M7352" s="16">
        <f t="shared" si="687"/>
        <v>-0.38478275585780503</v>
      </c>
      <c r="N7352">
        <f t="shared" si="688"/>
        <v>0</v>
      </c>
      <c r="O7352">
        <f t="shared" si="689"/>
        <v>0</v>
      </c>
      <c r="P7352">
        <f t="shared" si="686"/>
        <v>4400</v>
      </c>
      <c r="Q7352">
        <f t="shared" si="690"/>
        <v>4400</v>
      </c>
      <c r="T7352" s="16">
        <f t="shared" si="691"/>
        <v>-0.38478275585780541</v>
      </c>
    </row>
    <row r="7353" spans="7:20" ht="14.4" x14ac:dyDescent="0.25">
      <c r="G7353" s="10">
        <v>8236</v>
      </c>
      <c r="H7353" s="9">
        <v>58855</v>
      </c>
      <c r="I7353" s="14">
        <f>DATE(2012,12,31)-792</f>
        <v>40482</v>
      </c>
      <c r="J7353" s="15" t="s">
        <v>16</v>
      </c>
      <c r="K7353" s="9">
        <v>38</v>
      </c>
      <c r="L7353" s="16" t="s">
        <v>29</v>
      </c>
      <c r="M7353" s="16">
        <f t="shared" si="687"/>
        <v>0.85829322328818081</v>
      </c>
      <c r="N7353">
        <f t="shared" si="688"/>
        <v>0</v>
      </c>
      <c r="O7353">
        <f t="shared" si="689"/>
        <v>0</v>
      </c>
      <c r="P7353">
        <f t="shared" si="686"/>
        <v>5300</v>
      </c>
      <c r="Q7353">
        <f t="shared" si="690"/>
        <v>5300</v>
      </c>
      <c r="T7353" s="16">
        <f t="shared" si="691"/>
        <v>0.85829322328818036</v>
      </c>
    </row>
    <row r="7354" spans="7:20" ht="14.4" x14ac:dyDescent="0.25">
      <c r="G7354" s="10">
        <v>8278</v>
      </c>
      <c r="H7354" s="9">
        <v>59173</v>
      </c>
      <c r="I7354" s="14">
        <f>DATE(2012,12,31)-742</f>
        <v>40532</v>
      </c>
      <c r="J7354" s="15" t="s">
        <v>17</v>
      </c>
      <c r="K7354" s="9">
        <v>27</v>
      </c>
      <c r="L7354" s="16" t="s">
        <v>29</v>
      </c>
      <c r="M7354" s="16">
        <f t="shared" si="687"/>
        <v>9.8635680476745008E-2</v>
      </c>
      <c r="N7354">
        <f t="shared" si="688"/>
        <v>0</v>
      </c>
      <c r="O7354">
        <f t="shared" si="689"/>
        <v>0</v>
      </c>
      <c r="P7354">
        <f t="shared" si="686"/>
        <v>4750</v>
      </c>
      <c r="Q7354">
        <f t="shared" si="690"/>
        <v>4750</v>
      </c>
      <c r="T7354" s="16">
        <f t="shared" si="691"/>
        <v>9.8635680476744619E-2</v>
      </c>
    </row>
    <row r="7355" spans="7:20" ht="14.4" x14ac:dyDescent="0.25">
      <c r="G7355" s="10">
        <v>8284</v>
      </c>
      <c r="H7355" s="9">
        <v>59204</v>
      </c>
      <c r="I7355" s="14">
        <f>DATE(2012,12,31)-306</f>
        <v>40968</v>
      </c>
      <c r="J7355" s="15" t="s">
        <v>16</v>
      </c>
      <c r="K7355" s="9">
        <v>8</v>
      </c>
      <c r="L7355" s="16" t="s">
        <v>26</v>
      </c>
      <c r="M7355" s="16">
        <f t="shared" si="687"/>
        <v>-1.2135000752884624</v>
      </c>
      <c r="N7355">
        <f t="shared" si="688"/>
        <v>0</v>
      </c>
      <c r="O7355">
        <f t="shared" si="689"/>
        <v>0</v>
      </c>
      <c r="P7355">
        <f t="shared" si="686"/>
        <v>3800</v>
      </c>
      <c r="Q7355">
        <f t="shared" si="690"/>
        <v>3800</v>
      </c>
      <c r="T7355" s="16">
        <f t="shared" si="691"/>
        <v>-1.2135000752884626</v>
      </c>
    </row>
    <row r="7356" spans="7:20" ht="14.4" x14ac:dyDescent="0.25">
      <c r="G7356" s="10">
        <v>8285</v>
      </c>
      <c r="H7356" s="9">
        <v>59204</v>
      </c>
      <c r="I7356" s="14">
        <f>DATE(2012,12,31)-306</f>
        <v>40968</v>
      </c>
      <c r="J7356" s="15" t="s">
        <v>16</v>
      </c>
      <c r="K7356" s="9">
        <v>7</v>
      </c>
      <c r="L7356" s="16" t="s">
        <v>26</v>
      </c>
      <c r="M7356" s="16">
        <f t="shared" si="687"/>
        <v>-1.2825598519076837</v>
      </c>
      <c r="N7356">
        <f t="shared" si="688"/>
        <v>0</v>
      </c>
      <c r="O7356">
        <f t="shared" si="689"/>
        <v>0</v>
      </c>
      <c r="P7356">
        <f t="shared" si="686"/>
        <v>3750</v>
      </c>
      <c r="Q7356">
        <f t="shared" si="690"/>
        <v>3750</v>
      </c>
      <c r="T7356" s="16">
        <f t="shared" si="691"/>
        <v>-1.2825598519076842</v>
      </c>
    </row>
    <row r="7357" spans="7:20" ht="14.4" x14ac:dyDescent="0.25">
      <c r="G7357" s="10">
        <v>8309</v>
      </c>
      <c r="H7357" s="9">
        <v>59363</v>
      </c>
      <c r="I7357" s="14">
        <f>DATE(2012,12,31)-1339</f>
        <v>39935</v>
      </c>
      <c r="J7357" s="15" t="s">
        <v>17</v>
      </c>
      <c r="K7357" s="9">
        <v>24</v>
      </c>
      <c r="L7357" s="16" t="s">
        <v>26</v>
      </c>
      <c r="M7357" s="16">
        <f t="shared" si="687"/>
        <v>-0.1085436493809193</v>
      </c>
      <c r="N7357">
        <f t="shared" si="688"/>
        <v>0</v>
      </c>
      <c r="O7357">
        <f t="shared" si="689"/>
        <v>0</v>
      </c>
      <c r="P7357">
        <f t="shared" si="686"/>
        <v>4600</v>
      </c>
      <c r="Q7357">
        <f t="shared" si="690"/>
        <v>4600</v>
      </c>
      <c r="T7357" s="16">
        <f t="shared" si="691"/>
        <v>-0.10854364938091969</v>
      </c>
    </row>
    <row r="7358" spans="7:20" ht="14.4" x14ac:dyDescent="0.25">
      <c r="G7358" s="10">
        <v>8328</v>
      </c>
      <c r="H7358" s="9">
        <v>59553</v>
      </c>
      <c r="I7358" s="14">
        <f>DATE(2012,12,31)-780</f>
        <v>40494</v>
      </c>
      <c r="J7358" s="15" t="s">
        <v>28</v>
      </c>
      <c r="K7358" s="9">
        <v>15</v>
      </c>
      <c r="L7358" s="16" t="s">
        <v>26</v>
      </c>
      <c r="M7358" s="16">
        <f t="shared" si="687"/>
        <v>-0.7300816389539122</v>
      </c>
      <c r="N7358">
        <f t="shared" si="688"/>
        <v>0</v>
      </c>
      <c r="O7358">
        <f t="shared" si="689"/>
        <v>0</v>
      </c>
      <c r="P7358">
        <f t="shared" si="686"/>
        <v>4150</v>
      </c>
      <c r="Q7358">
        <f t="shared" si="690"/>
        <v>4150</v>
      </c>
      <c r="T7358" s="16">
        <f t="shared" si="691"/>
        <v>-0.73008163895391265</v>
      </c>
    </row>
    <row r="7359" spans="7:20" ht="14.4" x14ac:dyDescent="0.25">
      <c r="G7359" s="10">
        <v>8329</v>
      </c>
      <c r="H7359" s="9">
        <v>59553</v>
      </c>
      <c r="I7359" s="14">
        <f>DATE(2012,12,31)-780</f>
        <v>40494</v>
      </c>
      <c r="J7359" s="15" t="s">
        <v>28</v>
      </c>
      <c r="K7359" s="9">
        <v>42</v>
      </c>
      <c r="L7359" s="16" t="s">
        <v>27</v>
      </c>
      <c r="M7359" s="16">
        <f t="shared" si="687"/>
        <v>1.1345323297650665</v>
      </c>
      <c r="N7359">
        <f t="shared" si="688"/>
        <v>0</v>
      </c>
      <c r="O7359">
        <f t="shared" si="689"/>
        <v>0</v>
      </c>
      <c r="P7359">
        <f t="shared" si="686"/>
        <v>5500</v>
      </c>
      <c r="Q7359">
        <f t="shared" si="690"/>
        <v>5500</v>
      </c>
      <c r="T7359" s="16">
        <f t="shared" si="691"/>
        <v>1.1345323297650662</v>
      </c>
    </row>
    <row r="7360" spans="7:20" ht="14.4" x14ac:dyDescent="0.25">
      <c r="G7360" s="10">
        <v>8348</v>
      </c>
      <c r="H7360" s="9">
        <v>59681</v>
      </c>
      <c r="I7360" s="14">
        <f>DATE(2012,12,31)-1299</f>
        <v>39975</v>
      </c>
      <c r="J7360" s="15" t="s">
        <v>30</v>
      </c>
      <c r="K7360" s="9">
        <v>23</v>
      </c>
      <c r="L7360" s="16" t="s">
        <v>26</v>
      </c>
      <c r="M7360" s="16">
        <f t="shared" si="687"/>
        <v>-0.17760342600014073</v>
      </c>
      <c r="N7360">
        <f t="shared" si="688"/>
        <v>0</v>
      </c>
      <c r="O7360">
        <f t="shared" si="689"/>
        <v>0</v>
      </c>
      <c r="P7360">
        <f t="shared" si="686"/>
        <v>4550</v>
      </c>
      <c r="Q7360">
        <f t="shared" si="690"/>
        <v>4550</v>
      </c>
      <c r="T7360" s="16">
        <f t="shared" si="691"/>
        <v>-0.17760342600014112</v>
      </c>
    </row>
    <row r="7361" spans="7:20" ht="14.4" x14ac:dyDescent="0.25">
      <c r="G7361" s="10">
        <v>8369</v>
      </c>
      <c r="H7361" s="9">
        <v>59781</v>
      </c>
      <c r="I7361" s="14">
        <f>DATE(2012,12,31)-19</f>
        <v>41255</v>
      </c>
      <c r="J7361" s="15" t="s">
        <v>28</v>
      </c>
      <c r="K7361" s="9">
        <v>43</v>
      </c>
      <c r="L7361" s="16" t="s">
        <v>26</v>
      </c>
      <c r="M7361" s="16">
        <f t="shared" si="687"/>
        <v>1.203592106384288</v>
      </c>
      <c r="N7361">
        <f t="shared" si="688"/>
        <v>0</v>
      </c>
      <c r="O7361">
        <f t="shared" si="689"/>
        <v>0</v>
      </c>
      <c r="P7361">
        <f t="shared" si="686"/>
        <v>5550</v>
      </c>
      <c r="Q7361">
        <f t="shared" si="690"/>
        <v>5550</v>
      </c>
      <c r="T7361" s="16">
        <f t="shared" si="691"/>
        <v>1.2035921063842876</v>
      </c>
    </row>
    <row r="7362" spans="7:20" ht="14.4" x14ac:dyDescent="0.25">
      <c r="G7362" s="10">
        <v>8370</v>
      </c>
      <c r="H7362" s="9">
        <v>59781</v>
      </c>
      <c r="I7362" s="14">
        <f>DATE(2012,12,31)-19</f>
        <v>41255</v>
      </c>
      <c r="J7362" s="15" t="s">
        <v>28</v>
      </c>
      <c r="K7362" s="9">
        <v>24</v>
      </c>
      <c r="L7362" s="16" t="s">
        <v>26</v>
      </c>
      <c r="M7362" s="16">
        <f t="shared" si="687"/>
        <v>-0.1085436493809193</v>
      </c>
      <c r="N7362">
        <f t="shared" si="688"/>
        <v>0</v>
      </c>
      <c r="O7362">
        <f t="shared" si="689"/>
        <v>0</v>
      </c>
      <c r="P7362">
        <f t="shared" si="686"/>
        <v>4600</v>
      </c>
      <c r="Q7362">
        <f t="shared" si="690"/>
        <v>4600</v>
      </c>
      <c r="T7362" s="16">
        <f t="shared" si="691"/>
        <v>-0.10854364938091969</v>
      </c>
    </row>
    <row r="7363" spans="7:20" ht="14.4" x14ac:dyDescent="0.25">
      <c r="G7363" s="10">
        <v>8374</v>
      </c>
      <c r="H7363" s="9">
        <v>59812</v>
      </c>
      <c r="I7363" s="14">
        <f>DATE(2012,12,31)-558</f>
        <v>40716</v>
      </c>
      <c r="J7363" s="15" t="s">
        <v>16</v>
      </c>
      <c r="K7363" s="9">
        <v>46</v>
      </c>
      <c r="L7363" s="16" t="s">
        <v>26</v>
      </c>
      <c r="M7363" s="16">
        <f t="shared" si="687"/>
        <v>1.4107714362419523</v>
      </c>
      <c r="N7363">
        <f t="shared" si="688"/>
        <v>0</v>
      </c>
      <c r="O7363">
        <f t="shared" si="689"/>
        <v>0</v>
      </c>
      <c r="P7363">
        <f t="shared" si="686"/>
        <v>5700</v>
      </c>
      <c r="Q7363">
        <f t="shared" si="690"/>
        <v>5700</v>
      </c>
      <c r="T7363" s="16">
        <f t="shared" si="691"/>
        <v>1.4107714362419519</v>
      </c>
    </row>
    <row r="7364" spans="7:20" ht="14.4" x14ac:dyDescent="0.25">
      <c r="G7364" s="10">
        <v>8375</v>
      </c>
      <c r="H7364" s="9">
        <v>59812</v>
      </c>
      <c r="I7364" s="14">
        <f>DATE(2012,12,31)-558</f>
        <v>40716</v>
      </c>
      <c r="J7364" s="15" t="s">
        <v>16</v>
      </c>
      <c r="K7364" s="9">
        <v>2</v>
      </c>
      <c r="L7364" s="16" t="s">
        <v>29</v>
      </c>
      <c r="M7364" s="16">
        <f t="shared" si="687"/>
        <v>-1.627858735003791</v>
      </c>
      <c r="N7364">
        <f t="shared" si="688"/>
        <v>0</v>
      </c>
      <c r="O7364">
        <f t="shared" si="689"/>
        <v>0</v>
      </c>
      <c r="P7364">
        <f t="shared" si="686"/>
        <v>3500</v>
      </c>
      <c r="Q7364">
        <f t="shared" si="690"/>
        <v>3500</v>
      </c>
      <c r="T7364" s="16">
        <f t="shared" si="691"/>
        <v>-1.6278587350037912</v>
      </c>
    </row>
    <row r="7365" spans="7:20" ht="14.4" x14ac:dyDescent="0.25">
      <c r="G7365" s="10">
        <v>8376</v>
      </c>
      <c r="H7365" s="9">
        <v>59815</v>
      </c>
      <c r="I7365" s="14">
        <f>DATE(2012,12,31)-747</f>
        <v>40527</v>
      </c>
      <c r="J7365" s="15" t="s">
        <v>28</v>
      </c>
      <c r="K7365" s="9">
        <v>14</v>
      </c>
      <c r="L7365" s="16" t="s">
        <v>26</v>
      </c>
      <c r="M7365" s="16">
        <f t="shared" si="687"/>
        <v>-0.79914141557313367</v>
      </c>
      <c r="N7365">
        <f t="shared" si="688"/>
        <v>0</v>
      </c>
      <c r="O7365">
        <f t="shared" si="689"/>
        <v>0</v>
      </c>
      <c r="P7365">
        <f t="shared" si="686"/>
        <v>4100</v>
      </c>
      <c r="Q7365">
        <f t="shared" si="690"/>
        <v>4100</v>
      </c>
      <c r="T7365" s="16">
        <f t="shared" si="691"/>
        <v>-0.79914141557313401</v>
      </c>
    </row>
    <row r="7366" spans="7:20" ht="14.4" x14ac:dyDescent="0.25">
      <c r="G7366" s="10">
        <v>8395</v>
      </c>
      <c r="H7366" s="9">
        <v>59971</v>
      </c>
      <c r="I7366" s="14">
        <f>DATE(2012,12,31)-580</f>
        <v>40694</v>
      </c>
      <c r="J7366" s="15" t="s">
        <v>30</v>
      </c>
      <c r="K7366" s="9">
        <v>26</v>
      </c>
      <c r="L7366" s="16" t="s">
        <v>27</v>
      </c>
      <c r="M7366" s="16">
        <f t="shared" si="687"/>
        <v>2.9575903857523567E-2</v>
      </c>
      <c r="N7366">
        <f t="shared" si="688"/>
        <v>0</v>
      </c>
      <c r="O7366">
        <f t="shared" si="689"/>
        <v>0</v>
      </c>
      <c r="P7366">
        <f t="shared" si="686"/>
        <v>4700</v>
      </c>
      <c r="Q7366">
        <f t="shared" si="690"/>
        <v>4700</v>
      </c>
      <c r="T7366" s="16">
        <f t="shared" si="691"/>
        <v>2.9575903857523185E-2</v>
      </c>
    </row>
    <row r="7367" spans="7:20" ht="14.4" x14ac:dyDescent="0.25">
      <c r="G7367" s="10">
        <v>8396</v>
      </c>
      <c r="H7367" s="9">
        <v>59971</v>
      </c>
      <c r="I7367" s="14">
        <f>DATE(2012,12,31)-580</f>
        <v>40694</v>
      </c>
      <c r="J7367" s="15" t="s">
        <v>30</v>
      </c>
      <c r="K7367" s="9">
        <v>45</v>
      </c>
      <c r="L7367" s="16" t="s">
        <v>26</v>
      </c>
      <c r="M7367" s="16">
        <f t="shared" si="687"/>
        <v>1.3417116596227308</v>
      </c>
      <c r="N7367">
        <f t="shared" si="688"/>
        <v>0</v>
      </c>
      <c r="O7367">
        <f t="shared" si="689"/>
        <v>0</v>
      </c>
      <c r="P7367">
        <f t="shared" si="686"/>
        <v>5650</v>
      </c>
      <c r="Q7367">
        <f t="shared" si="690"/>
        <v>5650</v>
      </c>
      <c r="T7367" s="16">
        <f t="shared" si="691"/>
        <v>1.3417116596227305</v>
      </c>
    </row>
    <row r="7368" spans="7:20" ht="14.4" x14ac:dyDescent="0.25">
      <c r="G7368" s="10">
        <v>8397</v>
      </c>
      <c r="H7368" s="9">
        <v>59971</v>
      </c>
      <c r="I7368" s="14">
        <f>DATE(2012,12,31)-580</f>
        <v>40694</v>
      </c>
      <c r="J7368" s="15" t="s">
        <v>30</v>
      </c>
      <c r="K7368" s="9">
        <v>12</v>
      </c>
      <c r="L7368" s="16" t="s">
        <v>26</v>
      </c>
      <c r="M7368" s="16">
        <f t="shared" si="687"/>
        <v>-0.9372609688115765</v>
      </c>
      <c r="N7368">
        <f t="shared" si="688"/>
        <v>0</v>
      </c>
      <c r="O7368">
        <f t="shared" si="689"/>
        <v>0</v>
      </c>
      <c r="P7368">
        <f t="shared" si="686"/>
        <v>4000</v>
      </c>
      <c r="Q7368">
        <f t="shared" si="690"/>
        <v>4000</v>
      </c>
      <c r="T7368" s="16">
        <f t="shared" si="691"/>
        <v>-0.93726096881157694</v>
      </c>
    </row>
    <row r="7369" spans="7:20" ht="14.4" x14ac:dyDescent="0.25">
      <c r="G7369" s="10">
        <v>79</v>
      </c>
      <c r="H7369" s="9">
        <v>481</v>
      </c>
      <c r="I7369" s="14">
        <f>DATE(2012,12,31)-85</f>
        <v>41189</v>
      </c>
      <c r="J7369" s="15" t="s">
        <v>17</v>
      </c>
      <c r="K7369" s="9">
        <v>44</v>
      </c>
      <c r="L7369" s="16" t="s">
        <v>27</v>
      </c>
      <c r="M7369" s="16">
        <f t="shared" si="687"/>
        <v>1.2726518830035094</v>
      </c>
      <c r="N7369">
        <f t="shared" si="688"/>
        <v>0</v>
      </c>
      <c r="O7369">
        <f t="shared" si="689"/>
        <v>0</v>
      </c>
      <c r="P7369">
        <f t="shared" si="686"/>
        <v>5600</v>
      </c>
      <c r="Q7369">
        <f t="shared" si="690"/>
        <v>5600</v>
      </c>
      <c r="T7369" s="16">
        <f t="shared" si="691"/>
        <v>1.272651883003509</v>
      </c>
    </row>
    <row r="7370" spans="7:20" ht="14.4" x14ac:dyDescent="0.25">
      <c r="G7370" s="10">
        <v>131</v>
      </c>
      <c r="H7370" s="9">
        <v>834</v>
      </c>
      <c r="I7370" s="14">
        <f>DATE(2012,12,31)-1319</f>
        <v>39955</v>
      </c>
      <c r="J7370" s="15" t="s">
        <v>16</v>
      </c>
      <c r="K7370" s="9">
        <v>15</v>
      </c>
      <c r="L7370" s="16" t="s">
        <v>27</v>
      </c>
      <c r="M7370" s="16">
        <f t="shared" si="687"/>
        <v>-0.7300816389539122</v>
      </c>
      <c r="N7370">
        <f t="shared" si="688"/>
        <v>0</v>
      </c>
      <c r="O7370">
        <f t="shared" si="689"/>
        <v>0</v>
      </c>
      <c r="P7370">
        <f t="shared" si="686"/>
        <v>4150</v>
      </c>
      <c r="Q7370">
        <f t="shared" si="690"/>
        <v>4150</v>
      </c>
      <c r="T7370" s="16">
        <f t="shared" si="691"/>
        <v>-0.73008163895391265</v>
      </c>
    </row>
    <row r="7371" spans="7:20" ht="14.4" x14ac:dyDescent="0.25">
      <c r="G7371" s="10">
        <v>215</v>
      </c>
      <c r="H7371" s="9">
        <v>1414</v>
      </c>
      <c r="I7371" s="14">
        <f>DATE(2012,12,31)-504</f>
        <v>40770</v>
      </c>
      <c r="J7371" s="15" t="s">
        <v>30</v>
      </c>
      <c r="K7371" s="9">
        <v>44</v>
      </c>
      <c r="L7371" s="16" t="s">
        <v>29</v>
      </c>
      <c r="M7371" s="16">
        <f t="shared" si="687"/>
        <v>1.2726518830035094</v>
      </c>
      <c r="N7371">
        <f t="shared" si="688"/>
        <v>0</v>
      </c>
      <c r="O7371">
        <f t="shared" si="689"/>
        <v>0</v>
      </c>
      <c r="P7371">
        <f t="shared" si="686"/>
        <v>5600</v>
      </c>
      <c r="Q7371">
        <f t="shared" si="690"/>
        <v>5600</v>
      </c>
      <c r="T7371" s="16">
        <f t="shared" si="691"/>
        <v>1.272651883003509</v>
      </c>
    </row>
    <row r="7372" spans="7:20" ht="14.4" x14ac:dyDescent="0.25">
      <c r="G7372" s="10">
        <v>335</v>
      </c>
      <c r="H7372" s="9">
        <v>2305</v>
      </c>
      <c r="I7372" s="14">
        <f>DATE(2012,12,31)-1071</f>
        <v>40203</v>
      </c>
      <c r="J7372" s="15" t="s">
        <v>17</v>
      </c>
      <c r="K7372" s="9">
        <v>33</v>
      </c>
      <c r="L7372" s="16" t="s">
        <v>29</v>
      </c>
      <c r="M7372" s="16">
        <f t="shared" si="687"/>
        <v>0.51299434019207357</v>
      </c>
      <c r="N7372">
        <f t="shared" si="688"/>
        <v>0</v>
      </c>
      <c r="O7372">
        <f t="shared" si="689"/>
        <v>0</v>
      </c>
      <c r="P7372">
        <f t="shared" ref="P7372:P7435" si="692">50*K7372+$P$10</f>
        <v>5050</v>
      </c>
      <c r="Q7372">
        <f t="shared" si="690"/>
        <v>5050</v>
      </c>
      <c r="T7372" s="16">
        <f t="shared" si="691"/>
        <v>0.51299434019207324</v>
      </c>
    </row>
    <row r="7373" spans="7:20" ht="14.4" x14ac:dyDescent="0.25">
      <c r="G7373" s="10">
        <v>336</v>
      </c>
      <c r="H7373" s="9">
        <v>2305</v>
      </c>
      <c r="I7373" s="14">
        <f>DATE(2012,12,31)-1071</f>
        <v>40203</v>
      </c>
      <c r="J7373" s="15" t="s">
        <v>17</v>
      </c>
      <c r="K7373" s="9">
        <v>1</v>
      </c>
      <c r="L7373" s="16" t="s">
        <v>26</v>
      </c>
      <c r="M7373" s="16">
        <f t="shared" ref="M7373:M7436" si="693">(K7373-$K$4)/$K$7</f>
        <v>-1.6969185116230123</v>
      </c>
      <c r="N7373">
        <f t="shared" ref="N7373:N7436" si="694">IF(MOD($B$20+G7373,1000)=0,1,0)</f>
        <v>0</v>
      </c>
      <c r="O7373">
        <f t="shared" ref="O7373:O7436" si="695">+ROUND(N7373*(IF(K7373&lt;$K$4,-4.5,10.5)*$P$5),-2)</f>
        <v>0</v>
      </c>
      <c r="P7373">
        <f t="shared" si="692"/>
        <v>3450</v>
      </c>
      <c r="Q7373">
        <f t="shared" ref="Q7373:Q7436" si="696">P7373+O7373</f>
        <v>3450</v>
      </c>
      <c r="T7373" s="16">
        <f t="shared" ref="T7373:T7436" si="697">(Q7373-$P$4)/$P$5</f>
        <v>-1.6969185116230128</v>
      </c>
    </row>
    <row r="7374" spans="7:20" ht="14.4" x14ac:dyDescent="0.25">
      <c r="G7374" s="10">
        <v>341</v>
      </c>
      <c r="H7374" s="9">
        <v>2311</v>
      </c>
      <c r="I7374" s="14">
        <f>DATE(2012,12,31)-610</f>
        <v>40664</v>
      </c>
      <c r="J7374" s="15" t="s">
        <v>17</v>
      </c>
      <c r="K7374" s="9">
        <v>31</v>
      </c>
      <c r="L7374" s="16" t="s">
        <v>29</v>
      </c>
      <c r="M7374" s="16">
        <f t="shared" si="693"/>
        <v>0.37487478695363075</v>
      </c>
      <c r="N7374">
        <f t="shared" si="694"/>
        <v>0</v>
      </c>
      <c r="O7374">
        <f t="shared" si="695"/>
        <v>0</v>
      </c>
      <c r="P7374">
        <f t="shared" si="692"/>
        <v>4950</v>
      </c>
      <c r="Q7374">
        <f t="shared" si="696"/>
        <v>4950</v>
      </c>
      <c r="T7374" s="16">
        <f t="shared" si="697"/>
        <v>0.37487478695363036</v>
      </c>
    </row>
    <row r="7375" spans="7:20" ht="14.4" x14ac:dyDescent="0.25">
      <c r="G7375" s="10">
        <v>351</v>
      </c>
      <c r="H7375" s="9">
        <v>2438</v>
      </c>
      <c r="I7375" s="14">
        <f>DATE(2012,12,31)-901</f>
        <v>40373</v>
      </c>
      <c r="J7375" s="15" t="s">
        <v>17</v>
      </c>
      <c r="K7375" s="9">
        <v>20</v>
      </c>
      <c r="L7375" s="16" t="s">
        <v>26</v>
      </c>
      <c r="M7375" s="16">
        <f t="shared" si="693"/>
        <v>-0.38478275585780503</v>
      </c>
      <c r="N7375">
        <f t="shared" si="694"/>
        <v>0</v>
      </c>
      <c r="O7375">
        <f t="shared" si="695"/>
        <v>0</v>
      </c>
      <c r="P7375">
        <f t="shared" si="692"/>
        <v>4400</v>
      </c>
      <c r="Q7375">
        <f t="shared" si="696"/>
        <v>4400</v>
      </c>
      <c r="T7375" s="16">
        <f t="shared" si="697"/>
        <v>-0.38478275585780541</v>
      </c>
    </row>
    <row r="7376" spans="7:20" ht="14.4" x14ac:dyDescent="0.25">
      <c r="G7376" s="10">
        <v>352</v>
      </c>
      <c r="H7376" s="9">
        <v>2438</v>
      </c>
      <c r="I7376" s="14">
        <f>DATE(2012,12,31)-901</f>
        <v>40373</v>
      </c>
      <c r="J7376" s="15" t="s">
        <v>17</v>
      </c>
      <c r="K7376" s="9">
        <v>23</v>
      </c>
      <c r="L7376" s="16" t="s">
        <v>27</v>
      </c>
      <c r="M7376" s="16">
        <f t="shared" si="693"/>
        <v>-0.17760342600014073</v>
      </c>
      <c r="N7376">
        <f t="shared" si="694"/>
        <v>0</v>
      </c>
      <c r="O7376">
        <f t="shared" si="695"/>
        <v>0</v>
      </c>
      <c r="P7376">
        <f t="shared" si="692"/>
        <v>4550</v>
      </c>
      <c r="Q7376">
        <f t="shared" si="696"/>
        <v>4550</v>
      </c>
      <c r="T7376" s="16">
        <f t="shared" si="697"/>
        <v>-0.17760342600014112</v>
      </c>
    </row>
    <row r="7377" spans="7:20" ht="14.4" x14ac:dyDescent="0.25">
      <c r="G7377" s="10">
        <v>374</v>
      </c>
      <c r="H7377" s="9">
        <v>2595</v>
      </c>
      <c r="I7377" s="14">
        <f>DATE(2012,12,31)-384</f>
        <v>40890</v>
      </c>
      <c r="J7377" s="15" t="s">
        <v>28</v>
      </c>
      <c r="K7377" s="9">
        <v>13</v>
      </c>
      <c r="L7377" s="16" t="s">
        <v>29</v>
      </c>
      <c r="M7377" s="16">
        <f t="shared" si="693"/>
        <v>-0.86820119219235514</v>
      </c>
      <c r="N7377">
        <f t="shared" si="694"/>
        <v>0</v>
      </c>
      <c r="O7377">
        <f t="shared" si="695"/>
        <v>0</v>
      </c>
      <c r="P7377">
        <f t="shared" si="692"/>
        <v>4050</v>
      </c>
      <c r="Q7377">
        <f t="shared" si="696"/>
        <v>4050</v>
      </c>
      <c r="T7377" s="16">
        <f t="shared" si="697"/>
        <v>-0.86820119219235548</v>
      </c>
    </row>
    <row r="7378" spans="7:20" ht="14.4" x14ac:dyDescent="0.25">
      <c r="G7378" s="10">
        <v>375</v>
      </c>
      <c r="H7378" s="9">
        <v>2595</v>
      </c>
      <c r="I7378" s="14">
        <f>DATE(2012,12,31)-384</f>
        <v>40890</v>
      </c>
      <c r="J7378" s="15" t="s">
        <v>28</v>
      </c>
      <c r="K7378" s="9">
        <v>4</v>
      </c>
      <c r="L7378" s="16" t="s">
        <v>29</v>
      </c>
      <c r="M7378" s="16">
        <f t="shared" si="693"/>
        <v>-1.489739181765348</v>
      </c>
      <c r="N7378">
        <f t="shared" si="694"/>
        <v>0</v>
      </c>
      <c r="O7378">
        <f t="shared" si="695"/>
        <v>0</v>
      </c>
      <c r="P7378">
        <f t="shared" si="692"/>
        <v>3600</v>
      </c>
      <c r="Q7378">
        <f t="shared" si="696"/>
        <v>3600</v>
      </c>
      <c r="T7378" s="16">
        <f t="shared" si="697"/>
        <v>-1.4897391817653485</v>
      </c>
    </row>
    <row r="7379" spans="7:20" ht="14.4" x14ac:dyDescent="0.25">
      <c r="G7379" s="10">
        <v>376</v>
      </c>
      <c r="H7379" s="9">
        <v>2595</v>
      </c>
      <c r="I7379" s="14">
        <f>DATE(2012,12,31)-384</f>
        <v>40890</v>
      </c>
      <c r="J7379" s="15" t="s">
        <v>28</v>
      </c>
      <c r="K7379" s="9">
        <v>29</v>
      </c>
      <c r="L7379" s="16" t="s">
        <v>26</v>
      </c>
      <c r="M7379" s="16">
        <f t="shared" si="693"/>
        <v>0.23675523371518786</v>
      </c>
      <c r="N7379">
        <f t="shared" si="694"/>
        <v>0</v>
      </c>
      <c r="O7379">
        <f t="shared" si="695"/>
        <v>0</v>
      </c>
      <c r="P7379">
        <f t="shared" si="692"/>
        <v>4850</v>
      </c>
      <c r="Q7379">
        <f t="shared" si="696"/>
        <v>4850</v>
      </c>
      <c r="T7379" s="16">
        <f t="shared" si="697"/>
        <v>0.2367552337151875</v>
      </c>
    </row>
    <row r="7380" spans="7:20" ht="14.4" x14ac:dyDescent="0.25">
      <c r="G7380" s="10">
        <v>409</v>
      </c>
      <c r="H7380" s="9">
        <v>2790</v>
      </c>
      <c r="I7380" s="14">
        <f>DATE(2012,12,31)-1231</f>
        <v>40043</v>
      </c>
      <c r="J7380" s="15" t="s">
        <v>17</v>
      </c>
      <c r="K7380" s="9">
        <v>7</v>
      </c>
      <c r="L7380" s="16" t="s">
        <v>26</v>
      </c>
      <c r="M7380" s="16">
        <f t="shared" si="693"/>
        <v>-1.2825598519076837</v>
      </c>
      <c r="N7380">
        <f t="shared" si="694"/>
        <v>0</v>
      </c>
      <c r="O7380">
        <f t="shared" si="695"/>
        <v>0</v>
      </c>
      <c r="P7380">
        <f t="shared" si="692"/>
        <v>3750</v>
      </c>
      <c r="Q7380">
        <f t="shared" si="696"/>
        <v>3750</v>
      </c>
      <c r="T7380" s="16">
        <f t="shared" si="697"/>
        <v>-1.2825598519076842</v>
      </c>
    </row>
    <row r="7381" spans="7:20" ht="14.4" x14ac:dyDescent="0.25">
      <c r="G7381" s="10">
        <v>410</v>
      </c>
      <c r="H7381" s="9">
        <v>2790</v>
      </c>
      <c r="I7381" s="14">
        <f>DATE(2012,12,31)-1231</f>
        <v>40043</v>
      </c>
      <c r="J7381" s="15" t="s">
        <v>17</v>
      </c>
      <c r="K7381" s="9">
        <v>41</v>
      </c>
      <c r="L7381" s="16" t="s">
        <v>27</v>
      </c>
      <c r="M7381" s="16">
        <f t="shared" si="693"/>
        <v>1.0654725531458451</v>
      </c>
      <c r="N7381">
        <f t="shared" si="694"/>
        <v>0</v>
      </c>
      <c r="O7381">
        <f t="shared" si="695"/>
        <v>0</v>
      </c>
      <c r="P7381">
        <f t="shared" si="692"/>
        <v>5450</v>
      </c>
      <c r="Q7381">
        <f t="shared" si="696"/>
        <v>5450</v>
      </c>
      <c r="T7381" s="16">
        <f t="shared" si="697"/>
        <v>1.0654725531458447</v>
      </c>
    </row>
    <row r="7382" spans="7:20" ht="14.4" x14ac:dyDescent="0.25">
      <c r="G7382" s="10">
        <v>411</v>
      </c>
      <c r="H7382" s="9">
        <v>2790</v>
      </c>
      <c r="I7382" s="14">
        <f>DATE(2012,12,31)-1231</f>
        <v>40043</v>
      </c>
      <c r="J7382" s="15" t="s">
        <v>17</v>
      </c>
      <c r="K7382" s="9">
        <v>15</v>
      </c>
      <c r="L7382" s="16" t="s">
        <v>26</v>
      </c>
      <c r="M7382" s="16">
        <f t="shared" si="693"/>
        <v>-0.7300816389539122</v>
      </c>
      <c r="N7382">
        <f t="shared" si="694"/>
        <v>0</v>
      </c>
      <c r="O7382">
        <f t="shared" si="695"/>
        <v>0</v>
      </c>
      <c r="P7382">
        <f t="shared" si="692"/>
        <v>4150</v>
      </c>
      <c r="Q7382">
        <f t="shared" si="696"/>
        <v>4150</v>
      </c>
      <c r="T7382" s="16">
        <f t="shared" si="697"/>
        <v>-0.73008163895391265</v>
      </c>
    </row>
    <row r="7383" spans="7:20" ht="14.4" x14ac:dyDescent="0.25">
      <c r="G7383" s="10">
        <v>412</v>
      </c>
      <c r="H7383" s="9">
        <v>2790</v>
      </c>
      <c r="I7383" s="14">
        <f>DATE(2012,12,31)-1231</f>
        <v>40043</v>
      </c>
      <c r="J7383" s="15" t="s">
        <v>17</v>
      </c>
      <c r="K7383" s="9">
        <v>15</v>
      </c>
      <c r="L7383" s="16" t="s">
        <v>26</v>
      </c>
      <c r="M7383" s="16">
        <f t="shared" si="693"/>
        <v>-0.7300816389539122</v>
      </c>
      <c r="N7383">
        <f t="shared" si="694"/>
        <v>0</v>
      </c>
      <c r="O7383">
        <f t="shared" si="695"/>
        <v>0</v>
      </c>
      <c r="P7383">
        <f t="shared" si="692"/>
        <v>4150</v>
      </c>
      <c r="Q7383">
        <f t="shared" si="696"/>
        <v>4150</v>
      </c>
      <c r="T7383" s="16">
        <f t="shared" si="697"/>
        <v>-0.73008163895391265</v>
      </c>
    </row>
    <row r="7384" spans="7:20" ht="14.4" x14ac:dyDescent="0.25">
      <c r="G7384" s="10">
        <v>490</v>
      </c>
      <c r="H7384" s="9">
        <v>3395</v>
      </c>
      <c r="I7384" s="14">
        <f>DATE(2012,12,31)-1159</f>
        <v>40115</v>
      </c>
      <c r="J7384" s="15" t="s">
        <v>28</v>
      </c>
      <c r="K7384" s="9">
        <v>31</v>
      </c>
      <c r="L7384" s="16" t="s">
        <v>26</v>
      </c>
      <c r="M7384" s="16">
        <f t="shared" si="693"/>
        <v>0.37487478695363075</v>
      </c>
      <c r="N7384">
        <f t="shared" si="694"/>
        <v>0</v>
      </c>
      <c r="O7384">
        <f t="shared" si="695"/>
        <v>0</v>
      </c>
      <c r="P7384">
        <f t="shared" si="692"/>
        <v>4950</v>
      </c>
      <c r="Q7384">
        <f t="shared" si="696"/>
        <v>4950</v>
      </c>
      <c r="T7384" s="16">
        <f t="shared" si="697"/>
        <v>0.37487478695363036</v>
      </c>
    </row>
    <row r="7385" spans="7:20" ht="14.4" x14ac:dyDescent="0.25">
      <c r="G7385" s="10">
        <v>491</v>
      </c>
      <c r="H7385" s="9">
        <v>3395</v>
      </c>
      <c r="I7385" s="14">
        <f>DATE(2012,12,31)-1159</f>
        <v>40115</v>
      </c>
      <c r="J7385" s="15" t="s">
        <v>28</v>
      </c>
      <c r="K7385" s="9">
        <v>1</v>
      </c>
      <c r="L7385" s="16" t="s">
        <v>26</v>
      </c>
      <c r="M7385" s="16">
        <f t="shared" si="693"/>
        <v>-1.6969185116230123</v>
      </c>
      <c r="N7385">
        <f t="shared" si="694"/>
        <v>0</v>
      </c>
      <c r="O7385">
        <f t="shared" si="695"/>
        <v>0</v>
      </c>
      <c r="P7385">
        <f t="shared" si="692"/>
        <v>3450</v>
      </c>
      <c r="Q7385">
        <f t="shared" si="696"/>
        <v>3450</v>
      </c>
      <c r="T7385" s="16">
        <f t="shared" si="697"/>
        <v>-1.6969185116230128</v>
      </c>
    </row>
    <row r="7386" spans="7:20" ht="14.4" x14ac:dyDescent="0.25">
      <c r="G7386" s="10">
        <v>492</v>
      </c>
      <c r="H7386" s="9">
        <v>3395</v>
      </c>
      <c r="I7386" s="14">
        <f>DATE(2012,12,31)-1159</f>
        <v>40115</v>
      </c>
      <c r="J7386" s="15" t="s">
        <v>28</v>
      </c>
      <c r="K7386" s="9">
        <v>7</v>
      </c>
      <c r="L7386" s="16" t="s">
        <v>26</v>
      </c>
      <c r="M7386" s="16">
        <f t="shared" si="693"/>
        <v>-1.2825598519076837</v>
      </c>
      <c r="N7386">
        <f t="shared" si="694"/>
        <v>0</v>
      </c>
      <c r="O7386">
        <f t="shared" si="695"/>
        <v>0</v>
      </c>
      <c r="P7386">
        <f t="shared" si="692"/>
        <v>3750</v>
      </c>
      <c r="Q7386">
        <f t="shared" si="696"/>
        <v>3750</v>
      </c>
      <c r="T7386" s="16">
        <f t="shared" si="697"/>
        <v>-1.2825598519076842</v>
      </c>
    </row>
    <row r="7387" spans="7:20" ht="14.4" x14ac:dyDescent="0.25">
      <c r="G7387" s="10">
        <v>493</v>
      </c>
      <c r="H7387" s="9">
        <v>3395</v>
      </c>
      <c r="I7387" s="14">
        <f>DATE(2012,12,31)-1159</f>
        <v>40115</v>
      </c>
      <c r="J7387" s="15" t="s">
        <v>28</v>
      </c>
      <c r="K7387" s="9">
        <v>29</v>
      </c>
      <c r="L7387" s="16" t="s">
        <v>26</v>
      </c>
      <c r="M7387" s="16">
        <f t="shared" si="693"/>
        <v>0.23675523371518786</v>
      </c>
      <c r="N7387">
        <f t="shared" si="694"/>
        <v>0</v>
      </c>
      <c r="O7387">
        <f t="shared" si="695"/>
        <v>0</v>
      </c>
      <c r="P7387">
        <f t="shared" si="692"/>
        <v>4850</v>
      </c>
      <c r="Q7387">
        <f t="shared" si="696"/>
        <v>4850</v>
      </c>
      <c r="T7387" s="16">
        <f t="shared" si="697"/>
        <v>0.2367552337151875</v>
      </c>
    </row>
    <row r="7388" spans="7:20" ht="14.4" x14ac:dyDescent="0.25">
      <c r="G7388" s="10">
        <v>575</v>
      </c>
      <c r="H7388" s="9">
        <v>3907</v>
      </c>
      <c r="I7388" s="14">
        <f>DATE(2012,12,31)-135</f>
        <v>41139</v>
      </c>
      <c r="J7388" s="15" t="s">
        <v>16</v>
      </c>
      <c r="K7388" s="9">
        <v>34</v>
      </c>
      <c r="L7388" s="16" t="s">
        <v>26</v>
      </c>
      <c r="M7388" s="16">
        <f t="shared" si="693"/>
        <v>0.58205411681129504</v>
      </c>
      <c r="N7388">
        <f t="shared" si="694"/>
        <v>0</v>
      </c>
      <c r="O7388">
        <f t="shared" si="695"/>
        <v>0</v>
      </c>
      <c r="P7388">
        <f t="shared" si="692"/>
        <v>5100</v>
      </c>
      <c r="Q7388">
        <f t="shared" si="696"/>
        <v>5100</v>
      </c>
      <c r="T7388" s="16">
        <f t="shared" si="697"/>
        <v>0.58205411681129471</v>
      </c>
    </row>
    <row r="7389" spans="7:20" ht="14.4" x14ac:dyDescent="0.25">
      <c r="G7389" s="10">
        <v>576</v>
      </c>
      <c r="H7389" s="9">
        <v>3907</v>
      </c>
      <c r="I7389" s="14">
        <f>DATE(2012,12,31)-135</f>
        <v>41139</v>
      </c>
      <c r="J7389" s="15" t="s">
        <v>16</v>
      </c>
      <c r="K7389" s="9">
        <v>36</v>
      </c>
      <c r="L7389" s="16" t="s">
        <v>27</v>
      </c>
      <c r="M7389" s="16">
        <f t="shared" si="693"/>
        <v>0.72017367004973787</v>
      </c>
      <c r="N7389">
        <f t="shared" si="694"/>
        <v>0</v>
      </c>
      <c r="O7389">
        <f t="shared" si="695"/>
        <v>0</v>
      </c>
      <c r="P7389">
        <f t="shared" si="692"/>
        <v>5200</v>
      </c>
      <c r="Q7389">
        <f t="shared" si="696"/>
        <v>5200</v>
      </c>
      <c r="T7389" s="16">
        <f t="shared" si="697"/>
        <v>0.72017367004973754</v>
      </c>
    </row>
    <row r="7390" spans="7:20" ht="14.4" x14ac:dyDescent="0.25">
      <c r="G7390" s="10">
        <v>613</v>
      </c>
      <c r="H7390" s="9">
        <v>4195</v>
      </c>
      <c r="I7390" s="14">
        <f>DATE(2012,12,31)-948</f>
        <v>40326</v>
      </c>
      <c r="J7390" s="15" t="s">
        <v>28</v>
      </c>
      <c r="K7390" s="9">
        <v>30</v>
      </c>
      <c r="L7390" s="16" t="s">
        <v>27</v>
      </c>
      <c r="M7390" s="16">
        <f t="shared" si="693"/>
        <v>0.30581501033440933</v>
      </c>
      <c r="N7390">
        <f t="shared" si="694"/>
        <v>0</v>
      </c>
      <c r="O7390">
        <f t="shared" si="695"/>
        <v>0</v>
      </c>
      <c r="P7390">
        <f t="shared" si="692"/>
        <v>4900</v>
      </c>
      <c r="Q7390">
        <f t="shared" si="696"/>
        <v>4900</v>
      </c>
      <c r="T7390" s="16">
        <f t="shared" si="697"/>
        <v>0.30581501033440894</v>
      </c>
    </row>
    <row r="7391" spans="7:20" ht="14.4" x14ac:dyDescent="0.25">
      <c r="G7391" s="10">
        <v>631</v>
      </c>
      <c r="H7391" s="9">
        <v>4391</v>
      </c>
      <c r="I7391" s="14">
        <f>DATE(2012,12,31)-318</f>
        <v>40956</v>
      </c>
      <c r="J7391" s="15" t="s">
        <v>17</v>
      </c>
      <c r="K7391" s="9">
        <v>20</v>
      </c>
      <c r="L7391" s="16" t="s">
        <v>27</v>
      </c>
      <c r="M7391" s="16">
        <f t="shared" si="693"/>
        <v>-0.38478275585780503</v>
      </c>
      <c r="N7391">
        <f t="shared" si="694"/>
        <v>0</v>
      </c>
      <c r="O7391">
        <f t="shared" si="695"/>
        <v>0</v>
      </c>
      <c r="P7391">
        <f t="shared" si="692"/>
        <v>4400</v>
      </c>
      <c r="Q7391">
        <f t="shared" si="696"/>
        <v>4400</v>
      </c>
      <c r="T7391" s="16">
        <f t="shared" si="697"/>
        <v>-0.38478275585780541</v>
      </c>
    </row>
    <row r="7392" spans="7:20" ht="14.4" x14ac:dyDescent="0.25">
      <c r="G7392" s="10">
        <v>633</v>
      </c>
      <c r="H7392" s="9">
        <v>4422</v>
      </c>
      <c r="I7392" s="14">
        <f>DATE(2012,12,31)-590</f>
        <v>40684</v>
      </c>
      <c r="J7392" s="15" t="s">
        <v>16</v>
      </c>
      <c r="K7392" s="9">
        <v>12</v>
      </c>
      <c r="L7392" s="16" t="s">
        <v>29</v>
      </c>
      <c r="M7392" s="16">
        <f t="shared" si="693"/>
        <v>-0.9372609688115765</v>
      </c>
      <c r="N7392">
        <f t="shared" si="694"/>
        <v>0</v>
      </c>
      <c r="O7392">
        <f t="shared" si="695"/>
        <v>0</v>
      </c>
      <c r="P7392">
        <f t="shared" si="692"/>
        <v>4000</v>
      </c>
      <c r="Q7392">
        <f t="shared" si="696"/>
        <v>4000</v>
      </c>
      <c r="T7392" s="16">
        <f t="shared" si="697"/>
        <v>-0.93726096881157694</v>
      </c>
    </row>
    <row r="7393" spans="7:20" ht="14.4" x14ac:dyDescent="0.25">
      <c r="G7393" s="10">
        <v>634</v>
      </c>
      <c r="H7393" s="9">
        <v>4422</v>
      </c>
      <c r="I7393" s="14">
        <f>DATE(2012,12,31)-590</f>
        <v>40684</v>
      </c>
      <c r="J7393" s="15" t="s">
        <v>16</v>
      </c>
      <c r="K7393" s="9">
        <v>17</v>
      </c>
      <c r="L7393" s="16" t="s">
        <v>26</v>
      </c>
      <c r="M7393" s="16">
        <f t="shared" si="693"/>
        <v>-0.59196208571546938</v>
      </c>
      <c r="N7393">
        <f t="shared" si="694"/>
        <v>0</v>
      </c>
      <c r="O7393">
        <f t="shared" si="695"/>
        <v>0</v>
      </c>
      <c r="P7393">
        <f t="shared" si="692"/>
        <v>4250</v>
      </c>
      <c r="Q7393">
        <f t="shared" si="696"/>
        <v>4250</v>
      </c>
      <c r="T7393" s="16">
        <f t="shared" si="697"/>
        <v>-0.59196208571546971</v>
      </c>
    </row>
    <row r="7394" spans="7:20" ht="14.4" x14ac:dyDescent="0.25">
      <c r="G7394" s="10">
        <v>679</v>
      </c>
      <c r="H7394" s="9">
        <v>4741</v>
      </c>
      <c r="I7394" s="14">
        <f>DATE(2012,12,31)-178</f>
        <v>41096</v>
      </c>
      <c r="J7394" s="15" t="s">
        <v>28</v>
      </c>
      <c r="K7394" s="9">
        <v>40</v>
      </c>
      <c r="L7394" s="16" t="s">
        <v>29</v>
      </c>
      <c r="M7394" s="16">
        <f t="shared" si="693"/>
        <v>0.99641277652662363</v>
      </c>
      <c r="N7394">
        <f t="shared" si="694"/>
        <v>0</v>
      </c>
      <c r="O7394">
        <f t="shared" si="695"/>
        <v>0</v>
      </c>
      <c r="P7394">
        <f t="shared" si="692"/>
        <v>5400</v>
      </c>
      <c r="Q7394">
        <f t="shared" si="696"/>
        <v>5400</v>
      </c>
      <c r="T7394" s="16">
        <f t="shared" si="697"/>
        <v>0.9964127765266233</v>
      </c>
    </row>
    <row r="7395" spans="7:20" ht="14.4" x14ac:dyDescent="0.25">
      <c r="G7395" s="10">
        <v>693</v>
      </c>
      <c r="H7395" s="9">
        <v>4835</v>
      </c>
      <c r="I7395" s="14">
        <f>DATE(2012,12,31)-1164</f>
        <v>40110</v>
      </c>
      <c r="J7395" s="15" t="s">
        <v>30</v>
      </c>
      <c r="K7395" s="9">
        <v>3</v>
      </c>
      <c r="L7395" s="16" t="s">
        <v>26</v>
      </c>
      <c r="M7395" s="16">
        <f t="shared" si="693"/>
        <v>-1.5587989583845694</v>
      </c>
      <c r="N7395">
        <f t="shared" si="694"/>
        <v>0</v>
      </c>
      <c r="O7395">
        <f t="shared" si="695"/>
        <v>0</v>
      </c>
      <c r="P7395">
        <f t="shared" si="692"/>
        <v>3550</v>
      </c>
      <c r="Q7395">
        <f t="shared" si="696"/>
        <v>3550</v>
      </c>
      <c r="T7395" s="16">
        <f t="shared" si="697"/>
        <v>-1.5587989583845698</v>
      </c>
    </row>
    <row r="7396" spans="7:20" ht="14.4" x14ac:dyDescent="0.25">
      <c r="G7396" s="10">
        <v>711</v>
      </c>
      <c r="H7396" s="9">
        <v>5028</v>
      </c>
      <c r="I7396" s="14">
        <f>DATE(2012,12,31)-259</f>
        <v>41015</v>
      </c>
      <c r="J7396" s="15" t="s">
        <v>17</v>
      </c>
      <c r="K7396" s="9">
        <v>10</v>
      </c>
      <c r="L7396" s="16" t="s">
        <v>29</v>
      </c>
      <c r="M7396" s="16">
        <f t="shared" si="693"/>
        <v>-1.0753805220500194</v>
      </c>
      <c r="N7396">
        <f t="shared" si="694"/>
        <v>0</v>
      </c>
      <c r="O7396">
        <f t="shared" si="695"/>
        <v>0</v>
      </c>
      <c r="P7396">
        <f t="shared" si="692"/>
        <v>3900</v>
      </c>
      <c r="Q7396">
        <f t="shared" si="696"/>
        <v>3900</v>
      </c>
      <c r="T7396" s="16">
        <f t="shared" si="697"/>
        <v>-1.0753805220500199</v>
      </c>
    </row>
    <row r="7397" spans="7:20" ht="14.4" x14ac:dyDescent="0.25">
      <c r="G7397" s="10">
        <v>717</v>
      </c>
      <c r="H7397" s="9">
        <v>5095</v>
      </c>
      <c r="I7397" s="14">
        <f>DATE(2012,12,31)-254</f>
        <v>41020</v>
      </c>
      <c r="J7397" s="15" t="s">
        <v>17</v>
      </c>
      <c r="K7397" s="9">
        <v>7</v>
      </c>
      <c r="L7397" s="16" t="s">
        <v>27</v>
      </c>
      <c r="M7397" s="16">
        <f t="shared" si="693"/>
        <v>-1.2825598519076837</v>
      </c>
      <c r="N7397">
        <f t="shared" si="694"/>
        <v>0</v>
      </c>
      <c r="O7397">
        <f t="shared" si="695"/>
        <v>0</v>
      </c>
      <c r="P7397">
        <f t="shared" si="692"/>
        <v>3750</v>
      </c>
      <c r="Q7397">
        <f t="shared" si="696"/>
        <v>3750</v>
      </c>
      <c r="T7397" s="16">
        <f t="shared" si="697"/>
        <v>-1.2825598519076842</v>
      </c>
    </row>
    <row r="7398" spans="7:20" ht="14.4" x14ac:dyDescent="0.25">
      <c r="G7398" s="10">
        <v>736</v>
      </c>
      <c r="H7398" s="9">
        <v>5317</v>
      </c>
      <c r="I7398" s="14">
        <f>DATE(2012,12,31)-1210</f>
        <v>40064</v>
      </c>
      <c r="J7398" s="15" t="s">
        <v>25</v>
      </c>
      <c r="K7398" s="9">
        <v>38</v>
      </c>
      <c r="L7398" s="16" t="s">
        <v>26</v>
      </c>
      <c r="M7398" s="16">
        <f t="shared" si="693"/>
        <v>0.85829322328818081</v>
      </c>
      <c r="N7398">
        <f t="shared" si="694"/>
        <v>0</v>
      </c>
      <c r="O7398">
        <f t="shared" si="695"/>
        <v>0</v>
      </c>
      <c r="P7398">
        <f t="shared" si="692"/>
        <v>5300</v>
      </c>
      <c r="Q7398">
        <f t="shared" si="696"/>
        <v>5300</v>
      </c>
      <c r="T7398" s="16">
        <f t="shared" si="697"/>
        <v>0.85829322328818036</v>
      </c>
    </row>
    <row r="7399" spans="7:20" ht="14.4" x14ac:dyDescent="0.25">
      <c r="G7399" s="10">
        <v>737</v>
      </c>
      <c r="H7399" s="9">
        <v>5317</v>
      </c>
      <c r="I7399" s="14">
        <f>DATE(2012,12,31)-1210</f>
        <v>40064</v>
      </c>
      <c r="J7399" s="15" t="s">
        <v>25</v>
      </c>
      <c r="K7399" s="9">
        <v>10</v>
      </c>
      <c r="L7399" s="16" t="s">
        <v>29</v>
      </c>
      <c r="M7399" s="16">
        <f t="shared" si="693"/>
        <v>-1.0753805220500194</v>
      </c>
      <c r="N7399">
        <f t="shared" si="694"/>
        <v>0</v>
      </c>
      <c r="O7399">
        <f t="shared" si="695"/>
        <v>0</v>
      </c>
      <c r="P7399">
        <f t="shared" si="692"/>
        <v>3900</v>
      </c>
      <c r="Q7399">
        <f t="shared" si="696"/>
        <v>3900</v>
      </c>
      <c r="T7399" s="16">
        <f t="shared" si="697"/>
        <v>-1.0753805220500199</v>
      </c>
    </row>
    <row r="7400" spans="7:20" ht="14.4" x14ac:dyDescent="0.25">
      <c r="G7400" s="10">
        <v>738</v>
      </c>
      <c r="H7400" s="9">
        <v>5317</v>
      </c>
      <c r="I7400" s="14">
        <f>DATE(2012,12,31)-1210</f>
        <v>40064</v>
      </c>
      <c r="J7400" s="15" t="s">
        <v>25</v>
      </c>
      <c r="K7400" s="9">
        <v>25</v>
      </c>
      <c r="L7400" s="16" t="s">
        <v>27</v>
      </c>
      <c r="M7400" s="16">
        <f t="shared" si="693"/>
        <v>-3.9483872761697868E-2</v>
      </c>
      <c r="N7400">
        <f t="shared" si="694"/>
        <v>0</v>
      </c>
      <c r="O7400">
        <f t="shared" si="695"/>
        <v>0</v>
      </c>
      <c r="P7400">
        <f t="shared" si="692"/>
        <v>4650</v>
      </c>
      <c r="Q7400">
        <f t="shared" si="696"/>
        <v>4650</v>
      </c>
      <c r="T7400" s="16">
        <f t="shared" si="697"/>
        <v>-3.9483872761698249E-2</v>
      </c>
    </row>
    <row r="7401" spans="7:20" ht="14.4" x14ac:dyDescent="0.25">
      <c r="G7401" s="10">
        <v>801</v>
      </c>
      <c r="H7401" s="9">
        <v>5735</v>
      </c>
      <c r="I7401" s="14">
        <f>DATE(2012,12,31)-1117</f>
        <v>40157</v>
      </c>
      <c r="J7401" s="15" t="s">
        <v>16</v>
      </c>
      <c r="K7401" s="9">
        <v>10</v>
      </c>
      <c r="L7401" s="16" t="s">
        <v>29</v>
      </c>
      <c r="M7401" s="16">
        <f t="shared" si="693"/>
        <v>-1.0753805220500194</v>
      </c>
      <c r="N7401">
        <f t="shared" si="694"/>
        <v>0</v>
      </c>
      <c r="O7401">
        <f t="shared" si="695"/>
        <v>0</v>
      </c>
      <c r="P7401">
        <f t="shared" si="692"/>
        <v>3900</v>
      </c>
      <c r="Q7401">
        <f t="shared" si="696"/>
        <v>3900</v>
      </c>
      <c r="T7401" s="16">
        <f t="shared" si="697"/>
        <v>-1.0753805220500199</v>
      </c>
    </row>
    <row r="7402" spans="7:20" ht="14.4" x14ac:dyDescent="0.25">
      <c r="G7402" s="10">
        <v>810</v>
      </c>
      <c r="H7402" s="9">
        <v>5856</v>
      </c>
      <c r="I7402" s="14">
        <f>DATE(2012,12,31)-1152</f>
        <v>40122</v>
      </c>
      <c r="J7402" s="15" t="s">
        <v>17</v>
      </c>
      <c r="K7402" s="9">
        <v>42</v>
      </c>
      <c r="L7402" s="16" t="s">
        <v>29</v>
      </c>
      <c r="M7402" s="16">
        <f t="shared" si="693"/>
        <v>1.1345323297650665</v>
      </c>
      <c r="N7402">
        <f t="shared" si="694"/>
        <v>0</v>
      </c>
      <c r="O7402">
        <f t="shared" si="695"/>
        <v>0</v>
      </c>
      <c r="P7402">
        <f t="shared" si="692"/>
        <v>5500</v>
      </c>
      <c r="Q7402">
        <f t="shared" si="696"/>
        <v>5500</v>
      </c>
      <c r="T7402" s="16">
        <f t="shared" si="697"/>
        <v>1.1345323297650662</v>
      </c>
    </row>
    <row r="7403" spans="7:20" ht="14.4" x14ac:dyDescent="0.25">
      <c r="G7403" s="10">
        <v>816</v>
      </c>
      <c r="H7403" s="9">
        <v>5891</v>
      </c>
      <c r="I7403" s="14">
        <f>DATE(2012,12,31)-3</f>
        <v>41271</v>
      </c>
      <c r="J7403" s="15" t="s">
        <v>16</v>
      </c>
      <c r="K7403" s="9">
        <v>2</v>
      </c>
      <c r="L7403" s="16" t="s">
        <v>26</v>
      </c>
      <c r="M7403" s="16">
        <f t="shared" si="693"/>
        <v>-1.627858735003791</v>
      </c>
      <c r="N7403">
        <f t="shared" si="694"/>
        <v>0</v>
      </c>
      <c r="O7403">
        <f t="shared" si="695"/>
        <v>0</v>
      </c>
      <c r="P7403">
        <f t="shared" si="692"/>
        <v>3500</v>
      </c>
      <c r="Q7403">
        <f t="shared" si="696"/>
        <v>3500</v>
      </c>
      <c r="T7403" s="16">
        <f t="shared" si="697"/>
        <v>-1.6278587350037912</v>
      </c>
    </row>
    <row r="7404" spans="7:20" ht="14.4" x14ac:dyDescent="0.25">
      <c r="G7404" s="10">
        <v>875</v>
      </c>
      <c r="H7404" s="9">
        <v>6274</v>
      </c>
      <c r="I7404" s="14">
        <f>DATE(2012,12,31)-536</f>
        <v>40738</v>
      </c>
      <c r="J7404" s="15" t="s">
        <v>28</v>
      </c>
      <c r="K7404" s="9">
        <v>22</v>
      </c>
      <c r="L7404" s="16" t="s">
        <v>29</v>
      </c>
      <c r="M7404" s="16">
        <f t="shared" si="693"/>
        <v>-0.24666320261936217</v>
      </c>
      <c r="N7404">
        <f t="shared" si="694"/>
        <v>0</v>
      </c>
      <c r="O7404">
        <f t="shared" si="695"/>
        <v>0</v>
      </c>
      <c r="P7404">
        <f t="shared" si="692"/>
        <v>4500</v>
      </c>
      <c r="Q7404">
        <f t="shared" si="696"/>
        <v>4500</v>
      </c>
      <c r="T7404" s="16">
        <f t="shared" si="697"/>
        <v>-0.24666320261936256</v>
      </c>
    </row>
    <row r="7405" spans="7:20" ht="14.4" x14ac:dyDescent="0.25">
      <c r="G7405" s="10">
        <v>878</v>
      </c>
      <c r="H7405" s="9">
        <v>6309</v>
      </c>
      <c r="I7405" s="14">
        <f>DATE(2012,12,31)-936</f>
        <v>40338</v>
      </c>
      <c r="J7405" s="15" t="s">
        <v>16</v>
      </c>
      <c r="K7405" s="9">
        <v>10</v>
      </c>
      <c r="L7405" s="16" t="s">
        <v>26</v>
      </c>
      <c r="M7405" s="16">
        <f t="shared" si="693"/>
        <v>-1.0753805220500194</v>
      </c>
      <c r="N7405">
        <f t="shared" si="694"/>
        <v>0</v>
      </c>
      <c r="O7405">
        <f t="shared" si="695"/>
        <v>0</v>
      </c>
      <c r="P7405">
        <f t="shared" si="692"/>
        <v>3900</v>
      </c>
      <c r="Q7405">
        <f t="shared" si="696"/>
        <v>3900</v>
      </c>
      <c r="T7405" s="16">
        <f t="shared" si="697"/>
        <v>-1.0753805220500199</v>
      </c>
    </row>
    <row r="7406" spans="7:20" ht="14.4" x14ac:dyDescent="0.25">
      <c r="G7406" s="10">
        <v>885</v>
      </c>
      <c r="H7406" s="9">
        <v>6368</v>
      </c>
      <c r="I7406" s="14">
        <f>DATE(2012,12,31)-1408</f>
        <v>39866</v>
      </c>
      <c r="J7406" s="15" t="s">
        <v>28</v>
      </c>
      <c r="K7406" s="9">
        <v>40</v>
      </c>
      <c r="L7406" s="16" t="s">
        <v>27</v>
      </c>
      <c r="M7406" s="16">
        <f t="shared" si="693"/>
        <v>0.99641277652662363</v>
      </c>
      <c r="N7406">
        <f t="shared" si="694"/>
        <v>0</v>
      </c>
      <c r="O7406">
        <f t="shared" si="695"/>
        <v>0</v>
      </c>
      <c r="P7406">
        <f t="shared" si="692"/>
        <v>5400</v>
      </c>
      <c r="Q7406">
        <f t="shared" si="696"/>
        <v>5400</v>
      </c>
      <c r="T7406" s="16">
        <f t="shared" si="697"/>
        <v>0.9964127765266233</v>
      </c>
    </row>
    <row r="7407" spans="7:20" ht="14.4" x14ac:dyDescent="0.25">
      <c r="G7407" s="10">
        <v>961</v>
      </c>
      <c r="H7407" s="9">
        <v>6978</v>
      </c>
      <c r="I7407" s="14">
        <f>DATE(2012,12,31)-753</f>
        <v>40521</v>
      </c>
      <c r="J7407" s="15" t="s">
        <v>17</v>
      </c>
      <c r="K7407" s="9">
        <v>47</v>
      </c>
      <c r="L7407" s="16" t="s">
        <v>27</v>
      </c>
      <c r="M7407" s="16">
        <f t="shared" si="693"/>
        <v>1.4798312128611737</v>
      </c>
      <c r="N7407">
        <f t="shared" si="694"/>
        <v>0</v>
      </c>
      <c r="O7407">
        <f t="shared" si="695"/>
        <v>0</v>
      </c>
      <c r="P7407">
        <f t="shared" si="692"/>
        <v>5750</v>
      </c>
      <c r="Q7407">
        <f t="shared" si="696"/>
        <v>5750</v>
      </c>
      <c r="T7407" s="16">
        <f t="shared" si="697"/>
        <v>1.4798312128611733</v>
      </c>
    </row>
    <row r="7408" spans="7:20" ht="14.4" x14ac:dyDescent="0.25">
      <c r="G7408" s="10">
        <v>1024</v>
      </c>
      <c r="H7408" s="9">
        <v>7461</v>
      </c>
      <c r="I7408" s="14">
        <f>DATE(2012,12,31)-1449</f>
        <v>39825</v>
      </c>
      <c r="J7408" s="15" t="s">
        <v>25</v>
      </c>
      <c r="K7408" s="9">
        <v>12</v>
      </c>
      <c r="L7408" s="16" t="s">
        <v>29</v>
      </c>
      <c r="M7408" s="16">
        <f t="shared" si="693"/>
        <v>-0.9372609688115765</v>
      </c>
      <c r="N7408">
        <f t="shared" si="694"/>
        <v>0</v>
      </c>
      <c r="O7408">
        <f t="shared" si="695"/>
        <v>0</v>
      </c>
      <c r="P7408">
        <f t="shared" si="692"/>
        <v>4000</v>
      </c>
      <c r="Q7408">
        <f t="shared" si="696"/>
        <v>4000</v>
      </c>
      <c r="T7408" s="16">
        <f t="shared" si="697"/>
        <v>-0.93726096881157694</v>
      </c>
    </row>
    <row r="7409" spans="7:20" ht="14.4" x14ac:dyDescent="0.25">
      <c r="G7409" s="10">
        <v>1025</v>
      </c>
      <c r="H7409" s="9">
        <v>7461</v>
      </c>
      <c r="I7409" s="14">
        <f>DATE(2012,12,31)-1449</f>
        <v>39825</v>
      </c>
      <c r="J7409" s="15" t="s">
        <v>25</v>
      </c>
      <c r="K7409" s="9">
        <v>28</v>
      </c>
      <c r="L7409" s="16" t="s">
        <v>26</v>
      </c>
      <c r="M7409" s="16">
        <f t="shared" si="693"/>
        <v>0.16769545709596645</v>
      </c>
      <c r="N7409">
        <f t="shared" si="694"/>
        <v>0</v>
      </c>
      <c r="O7409">
        <f t="shared" si="695"/>
        <v>0</v>
      </c>
      <c r="P7409">
        <f t="shared" si="692"/>
        <v>4800</v>
      </c>
      <c r="Q7409">
        <f t="shared" si="696"/>
        <v>4800</v>
      </c>
      <c r="T7409" s="16">
        <f t="shared" si="697"/>
        <v>0.16769545709596606</v>
      </c>
    </row>
    <row r="7410" spans="7:20" ht="14.4" x14ac:dyDescent="0.25">
      <c r="G7410" s="10">
        <v>1026</v>
      </c>
      <c r="H7410" s="9">
        <v>7461</v>
      </c>
      <c r="I7410" s="14">
        <f>DATE(2012,12,31)-1449</f>
        <v>39825</v>
      </c>
      <c r="J7410" s="15" t="s">
        <v>25</v>
      </c>
      <c r="K7410" s="9">
        <v>44</v>
      </c>
      <c r="L7410" s="16" t="s">
        <v>26</v>
      </c>
      <c r="M7410" s="16">
        <f t="shared" si="693"/>
        <v>1.2726518830035094</v>
      </c>
      <c r="N7410">
        <f t="shared" si="694"/>
        <v>0</v>
      </c>
      <c r="O7410">
        <f t="shared" si="695"/>
        <v>0</v>
      </c>
      <c r="P7410">
        <f t="shared" si="692"/>
        <v>5600</v>
      </c>
      <c r="Q7410">
        <f t="shared" si="696"/>
        <v>5600</v>
      </c>
      <c r="T7410" s="16">
        <f t="shared" si="697"/>
        <v>1.272651883003509</v>
      </c>
    </row>
    <row r="7411" spans="7:20" ht="14.4" x14ac:dyDescent="0.25">
      <c r="G7411" s="10">
        <v>1297</v>
      </c>
      <c r="H7411" s="9">
        <v>9505</v>
      </c>
      <c r="I7411" s="14">
        <f>DATE(2012,12,31)-207</f>
        <v>41067</v>
      </c>
      <c r="J7411" s="15" t="s">
        <v>17</v>
      </c>
      <c r="K7411" s="9">
        <v>2</v>
      </c>
      <c r="L7411" s="16" t="s">
        <v>27</v>
      </c>
      <c r="M7411" s="16">
        <f t="shared" si="693"/>
        <v>-1.627858735003791</v>
      </c>
      <c r="N7411">
        <f t="shared" si="694"/>
        <v>0</v>
      </c>
      <c r="O7411">
        <f t="shared" si="695"/>
        <v>0</v>
      </c>
      <c r="P7411">
        <f t="shared" si="692"/>
        <v>3500</v>
      </c>
      <c r="Q7411">
        <f t="shared" si="696"/>
        <v>3500</v>
      </c>
      <c r="T7411" s="16">
        <f t="shared" si="697"/>
        <v>-1.6278587350037912</v>
      </c>
    </row>
    <row r="7412" spans="7:20" ht="14.4" x14ac:dyDescent="0.25">
      <c r="G7412" s="10">
        <v>1298</v>
      </c>
      <c r="H7412" s="9">
        <v>9505</v>
      </c>
      <c r="I7412" s="14">
        <f>DATE(2012,12,31)-207</f>
        <v>41067</v>
      </c>
      <c r="J7412" s="15" t="s">
        <v>17</v>
      </c>
      <c r="K7412" s="9">
        <v>5</v>
      </c>
      <c r="L7412" s="16" t="s">
        <v>27</v>
      </c>
      <c r="M7412" s="16">
        <f t="shared" si="693"/>
        <v>-1.4206794051461267</v>
      </c>
      <c r="N7412">
        <f t="shared" si="694"/>
        <v>0</v>
      </c>
      <c r="O7412">
        <f t="shared" si="695"/>
        <v>0</v>
      </c>
      <c r="P7412">
        <f t="shared" si="692"/>
        <v>3650</v>
      </c>
      <c r="Q7412">
        <f t="shared" si="696"/>
        <v>3650</v>
      </c>
      <c r="T7412" s="16">
        <f t="shared" si="697"/>
        <v>-1.4206794051461269</v>
      </c>
    </row>
    <row r="7413" spans="7:20" ht="14.4" x14ac:dyDescent="0.25">
      <c r="G7413" s="10">
        <v>1340</v>
      </c>
      <c r="H7413" s="9">
        <v>9794</v>
      </c>
      <c r="I7413" s="14">
        <f>DATE(2012,12,31)-282</f>
        <v>40992</v>
      </c>
      <c r="J7413" s="15" t="s">
        <v>28</v>
      </c>
      <c r="K7413" s="9">
        <v>25</v>
      </c>
      <c r="L7413" s="16" t="s">
        <v>26</v>
      </c>
      <c r="M7413" s="16">
        <f t="shared" si="693"/>
        <v>-3.9483872761697868E-2</v>
      </c>
      <c r="N7413">
        <f t="shared" si="694"/>
        <v>0</v>
      </c>
      <c r="O7413">
        <f t="shared" si="695"/>
        <v>0</v>
      </c>
      <c r="P7413">
        <f t="shared" si="692"/>
        <v>4650</v>
      </c>
      <c r="Q7413">
        <f t="shared" si="696"/>
        <v>4650</v>
      </c>
      <c r="T7413" s="16">
        <f t="shared" si="697"/>
        <v>-3.9483872761698249E-2</v>
      </c>
    </row>
    <row r="7414" spans="7:20" ht="14.4" x14ac:dyDescent="0.25">
      <c r="G7414" s="10">
        <v>1400</v>
      </c>
      <c r="H7414" s="9">
        <v>10148</v>
      </c>
      <c r="I7414" s="14">
        <f>DATE(2012,12,31)-1377</f>
        <v>39897</v>
      </c>
      <c r="J7414" s="15" t="s">
        <v>25</v>
      </c>
      <c r="K7414" s="9">
        <v>27</v>
      </c>
      <c r="L7414" s="16" t="s">
        <v>29</v>
      </c>
      <c r="M7414" s="16">
        <f t="shared" si="693"/>
        <v>9.8635680476745008E-2</v>
      </c>
      <c r="N7414">
        <f t="shared" si="694"/>
        <v>0</v>
      </c>
      <c r="O7414">
        <f t="shared" si="695"/>
        <v>0</v>
      </c>
      <c r="P7414">
        <f t="shared" si="692"/>
        <v>4750</v>
      </c>
      <c r="Q7414">
        <f t="shared" si="696"/>
        <v>4750</v>
      </c>
      <c r="T7414" s="16">
        <f t="shared" si="697"/>
        <v>9.8635680476744619E-2</v>
      </c>
    </row>
    <row r="7415" spans="7:20" ht="14.4" x14ac:dyDescent="0.25">
      <c r="G7415" s="10">
        <v>1534</v>
      </c>
      <c r="H7415" s="9">
        <v>11045</v>
      </c>
      <c r="I7415" s="14">
        <f>DATE(2012,12,31)-281</f>
        <v>40993</v>
      </c>
      <c r="J7415" s="15" t="s">
        <v>16</v>
      </c>
      <c r="K7415" s="9">
        <v>35</v>
      </c>
      <c r="L7415" s="16" t="s">
        <v>26</v>
      </c>
      <c r="M7415" s="16">
        <f t="shared" si="693"/>
        <v>0.65111389343051651</v>
      </c>
      <c r="N7415">
        <f t="shared" si="694"/>
        <v>0</v>
      </c>
      <c r="O7415">
        <f t="shared" si="695"/>
        <v>0</v>
      </c>
      <c r="P7415">
        <f t="shared" si="692"/>
        <v>5150</v>
      </c>
      <c r="Q7415">
        <f t="shared" si="696"/>
        <v>5150</v>
      </c>
      <c r="T7415" s="16">
        <f t="shared" si="697"/>
        <v>0.65111389343051607</v>
      </c>
    </row>
    <row r="7416" spans="7:20" ht="14.4" x14ac:dyDescent="0.25">
      <c r="G7416" s="10">
        <v>1537</v>
      </c>
      <c r="H7416" s="9">
        <v>11074</v>
      </c>
      <c r="I7416" s="14">
        <f>DATE(2012,12,31)-571</f>
        <v>40703</v>
      </c>
      <c r="J7416" s="15" t="s">
        <v>17</v>
      </c>
      <c r="K7416" s="9">
        <v>21</v>
      </c>
      <c r="L7416" s="16" t="s">
        <v>26</v>
      </c>
      <c r="M7416" s="16">
        <f t="shared" si="693"/>
        <v>-0.31572297923858361</v>
      </c>
      <c r="N7416">
        <f t="shared" si="694"/>
        <v>0</v>
      </c>
      <c r="O7416">
        <f t="shared" si="695"/>
        <v>0</v>
      </c>
      <c r="P7416">
        <f t="shared" si="692"/>
        <v>4450</v>
      </c>
      <c r="Q7416">
        <f t="shared" si="696"/>
        <v>4450</v>
      </c>
      <c r="T7416" s="16">
        <f t="shared" si="697"/>
        <v>-0.315722979238584</v>
      </c>
    </row>
    <row r="7417" spans="7:20" ht="14.4" x14ac:dyDescent="0.25">
      <c r="G7417" s="10">
        <v>1538</v>
      </c>
      <c r="H7417" s="9">
        <v>11074</v>
      </c>
      <c r="I7417" s="14">
        <f>DATE(2012,12,31)-571</f>
        <v>40703</v>
      </c>
      <c r="J7417" s="15" t="s">
        <v>17</v>
      </c>
      <c r="K7417" s="9">
        <v>44</v>
      </c>
      <c r="L7417" s="16" t="s">
        <v>27</v>
      </c>
      <c r="M7417" s="16">
        <f t="shared" si="693"/>
        <v>1.2726518830035094</v>
      </c>
      <c r="N7417">
        <f t="shared" si="694"/>
        <v>0</v>
      </c>
      <c r="O7417">
        <f t="shared" si="695"/>
        <v>0</v>
      </c>
      <c r="P7417">
        <f t="shared" si="692"/>
        <v>5600</v>
      </c>
      <c r="Q7417">
        <f t="shared" si="696"/>
        <v>5600</v>
      </c>
      <c r="T7417" s="16">
        <f t="shared" si="697"/>
        <v>1.272651883003509</v>
      </c>
    </row>
    <row r="7418" spans="7:20" ht="14.4" x14ac:dyDescent="0.25">
      <c r="G7418" s="10">
        <v>1732</v>
      </c>
      <c r="H7418" s="9">
        <v>12449</v>
      </c>
      <c r="I7418" s="14">
        <f>DATE(2012,12,31)-1065</f>
        <v>40209</v>
      </c>
      <c r="J7418" s="15" t="s">
        <v>16</v>
      </c>
      <c r="K7418" s="9">
        <v>36</v>
      </c>
      <c r="L7418" s="16" t="s">
        <v>27</v>
      </c>
      <c r="M7418" s="16">
        <f t="shared" si="693"/>
        <v>0.72017367004973787</v>
      </c>
      <c r="N7418">
        <f t="shared" si="694"/>
        <v>0</v>
      </c>
      <c r="O7418">
        <f t="shared" si="695"/>
        <v>0</v>
      </c>
      <c r="P7418">
        <f t="shared" si="692"/>
        <v>5200</v>
      </c>
      <c r="Q7418">
        <f t="shared" si="696"/>
        <v>5200</v>
      </c>
      <c r="T7418" s="16">
        <f t="shared" si="697"/>
        <v>0.72017367004973754</v>
      </c>
    </row>
    <row r="7419" spans="7:20" ht="14.4" x14ac:dyDescent="0.25">
      <c r="G7419" s="10">
        <v>2051</v>
      </c>
      <c r="H7419" s="9">
        <v>14661</v>
      </c>
      <c r="I7419" s="14">
        <f>DATE(2012,12,31)-1072</f>
        <v>40202</v>
      </c>
      <c r="J7419" s="15" t="s">
        <v>28</v>
      </c>
      <c r="K7419" s="9">
        <v>38</v>
      </c>
      <c r="L7419" s="16" t="s">
        <v>27</v>
      </c>
      <c r="M7419" s="16">
        <f t="shared" si="693"/>
        <v>0.85829322328818081</v>
      </c>
      <c r="N7419">
        <f t="shared" si="694"/>
        <v>0</v>
      </c>
      <c r="O7419">
        <f t="shared" si="695"/>
        <v>0</v>
      </c>
      <c r="P7419">
        <f t="shared" si="692"/>
        <v>5300</v>
      </c>
      <c r="Q7419">
        <f t="shared" si="696"/>
        <v>5300</v>
      </c>
      <c r="T7419" s="16">
        <f t="shared" si="697"/>
        <v>0.85829322328818036</v>
      </c>
    </row>
    <row r="7420" spans="7:20" ht="14.4" x14ac:dyDescent="0.25">
      <c r="G7420" s="10">
        <v>2143</v>
      </c>
      <c r="H7420" s="9">
        <v>15303</v>
      </c>
      <c r="I7420" s="14">
        <f>DATE(2012,12,31)-840</f>
        <v>40434</v>
      </c>
      <c r="J7420" s="15" t="s">
        <v>30</v>
      </c>
      <c r="K7420" s="9">
        <v>21</v>
      </c>
      <c r="L7420" s="16" t="s">
        <v>26</v>
      </c>
      <c r="M7420" s="16">
        <f t="shared" si="693"/>
        <v>-0.31572297923858361</v>
      </c>
      <c r="N7420">
        <f t="shared" si="694"/>
        <v>0</v>
      </c>
      <c r="O7420">
        <f t="shared" si="695"/>
        <v>0</v>
      </c>
      <c r="P7420">
        <f t="shared" si="692"/>
        <v>4450</v>
      </c>
      <c r="Q7420">
        <f t="shared" si="696"/>
        <v>4450</v>
      </c>
      <c r="T7420" s="16">
        <f t="shared" si="697"/>
        <v>-0.315722979238584</v>
      </c>
    </row>
    <row r="7421" spans="7:20" ht="14.4" x14ac:dyDescent="0.25">
      <c r="G7421" s="10">
        <v>2144</v>
      </c>
      <c r="H7421" s="9">
        <v>15303</v>
      </c>
      <c r="I7421" s="14">
        <f>DATE(2012,12,31)-840</f>
        <v>40434</v>
      </c>
      <c r="J7421" s="15" t="s">
        <v>30</v>
      </c>
      <c r="K7421" s="9">
        <v>18</v>
      </c>
      <c r="L7421" s="16" t="s">
        <v>27</v>
      </c>
      <c r="M7421" s="16">
        <f t="shared" si="693"/>
        <v>-0.52290230909624791</v>
      </c>
      <c r="N7421">
        <f t="shared" si="694"/>
        <v>0</v>
      </c>
      <c r="O7421">
        <f t="shared" si="695"/>
        <v>0</v>
      </c>
      <c r="P7421">
        <f t="shared" si="692"/>
        <v>4300</v>
      </c>
      <c r="Q7421">
        <f t="shared" si="696"/>
        <v>4300</v>
      </c>
      <c r="T7421" s="16">
        <f t="shared" si="697"/>
        <v>-0.52290230909624835</v>
      </c>
    </row>
    <row r="7422" spans="7:20" ht="14.4" x14ac:dyDescent="0.25">
      <c r="G7422" s="10">
        <v>2171</v>
      </c>
      <c r="H7422" s="9">
        <v>15622</v>
      </c>
      <c r="I7422" s="14">
        <f>DATE(2012,12,31)-494</f>
        <v>40780</v>
      </c>
      <c r="J7422" s="15" t="s">
        <v>17</v>
      </c>
      <c r="K7422" s="9">
        <v>34</v>
      </c>
      <c r="L7422" s="16" t="s">
        <v>29</v>
      </c>
      <c r="M7422" s="16">
        <f t="shared" si="693"/>
        <v>0.58205411681129504</v>
      </c>
      <c r="N7422">
        <f t="shared" si="694"/>
        <v>0</v>
      </c>
      <c r="O7422">
        <f t="shared" si="695"/>
        <v>0</v>
      </c>
      <c r="P7422">
        <f t="shared" si="692"/>
        <v>5100</v>
      </c>
      <c r="Q7422">
        <f t="shared" si="696"/>
        <v>5100</v>
      </c>
      <c r="T7422" s="16">
        <f t="shared" si="697"/>
        <v>0.58205411681129471</v>
      </c>
    </row>
    <row r="7423" spans="7:20" ht="14.4" x14ac:dyDescent="0.25">
      <c r="G7423" s="10">
        <v>2172</v>
      </c>
      <c r="H7423" s="9">
        <v>15622</v>
      </c>
      <c r="I7423" s="14">
        <f>DATE(2012,12,31)-494</f>
        <v>40780</v>
      </c>
      <c r="J7423" s="15" t="s">
        <v>17</v>
      </c>
      <c r="K7423" s="9">
        <v>21</v>
      </c>
      <c r="L7423" s="16" t="s">
        <v>26</v>
      </c>
      <c r="M7423" s="16">
        <f t="shared" si="693"/>
        <v>-0.31572297923858361</v>
      </c>
      <c r="N7423">
        <f t="shared" si="694"/>
        <v>0</v>
      </c>
      <c r="O7423">
        <f t="shared" si="695"/>
        <v>0</v>
      </c>
      <c r="P7423">
        <f t="shared" si="692"/>
        <v>4450</v>
      </c>
      <c r="Q7423">
        <f t="shared" si="696"/>
        <v>4450</v>
      </c>
      <c r="T7423" s="16">
        <f t="shared" si="697"/>
        <v>-0.315722979238584</v>
      </c>
    </row>
    <row r="7424" spans="7:20" ht="14.4" x14ac:dyDescent="0.25">
      <c r="G7424" s="10">
        <v>2189</v>
      </c>
      <c r="H7424" s="9">
        <v>15778</v>
      </c>
      <c r="I7424" s="14">
        <f>DATE(2012,12,31)-970</f>
        <v>40304</v>
      </c>
      <c r="J7424" s="15" t="s">
        <v>17</v>
      </c>
      <c r="K7424" s="9">
        <v>9</v>
      </c>
      <c r="L7424" s="16" t="s">
        <v>26</v>
      </c>
      <c r="M7424" s="16">
        <f t="shared" si="693"/>
        <v>-1.1444402986692408</v>
      </c>
      <c r="N7424">
        <f t="shared" si="694"/>
        <v>0</v>
      </c>
      <c r="O7424">
        <f t="shared" si="695"/>
        <v>0</v>
      </c>
      <c r="P7424">
        <f t="shared" si="692"/>
        <v>3850</v>
      </c>
      <c r="Q7424">
        <f t="shared" si="696"/>
        <v>3850</v>
      </c>
      <c r="T7424" s="16">
        <f t="shared" si="697"/>
        <v>-1.1444402986692412</v>
      </c>
    </row>
    <row r="7425" spans="7:20" ht="14.4" x14ac:dyDescent="0.25">
      <c r="G7425" s="10">
        <v>2239</v>
      </c>
      <c r="H7425" s="9">
        <v>16164</v>
      </c>
      <c r="I7425" s="14">
        <f>DATE(2012,12,31)-363</f>
        <v>40911</v>
      </c>
      <c r="J7425" s="15" t="s">
        <v>25</v>
      </c>
      <c r="K7425" s="9">
        <v>22</v>
      </c>
      <c r="L7425" s="16" t="s">
        <v>26</v>
      </c>
      <c r="M7425" s="16">
        <f t="shared" si="693"/>
        <v>-0.24666320261936217</v>
      </c>
      <c r="N7425">
        <f t="shared" si="694"/>
        <v>0</v>
      </c>
      <c r="O7425">
        <f t="shared" si="695"/>
        <v>0</v>
      </c>
      <c r="P7425">
        <f t="shared" si="692"/>
        <v>4500</v>
      </c>
      <c r="Q7425">
        <f t="shared" si="696"/>
        <v>4500</v>
      </c>
      <c r="T7425" s="16">
        <f t="shared" si="697"/>
        <v>-0.24666320261936256</v>
      </c>
    </row>
    <row r="7426" spans="7:20" ht="14.4" x14ac:dyDescent="0.25">
      <c r="G7426" s="10">
        <v>2240</v>
      </c>
      <c r="H7426" s="9">
        <v>16164</v>
      </c>
      <c r="I7426" s="14">
        <f>DATE(2012,12,31)-363</f>
        <v>40911</v>
      </c>
      <c r="J7426" s="15" t="s">
        <v>25</v>
      </c>
      <c r="K7426" s="9">
        <v>26</v>
      </c>
      <c r="L7426" s="16" t="s">
        <v>26</v>
      </c>
      <c r="M7426" s="16">
        <f t="shared" si="693"/>
        <v>2.9575903857523567E-2</v>
      </c>
      <c r="N7426">
        <f t="shared" si="694"/>
        <v>0</v>
      </c>
      <c r="O7426">
        <f t="shared" si="695"/>
        <v>0</v>
      </c>
      <c r="P7426">
        <f t="shared" si="692"/>
        <v>4700</v>
      </c>
      <c r="Q7426">
        <f t="shared" si="696"/>
        <v>4700</v>
      </c>
      <c r="T7426" s="16">
        <f t="shared" si="697"/>
        <v>2.9575903857523185E-2</v>
      </c>
    </row>
    <row r="7427" spans="7:20" ht="14.4" x14ac:dyDescent="0.25">
      <c r="G7427" s="10">
        <v>2245</v>
      </c>
      <c r="H7427" s="9">
        <v>16166</v>
      </c>
      <c r="I7427" s="14">
        <f>DATE(2012,12,31)-1065</f>
        <v>40209</v>
      </c>
      <c r="J7427" s="15" t="s">
        <v>30</v>
      </c>
      <c r="K7427" s="9">
        <v>36</v>
      </c>
      <c r="L7427" s="16" t="s">
        <v>26</v>
      </c>
      <c r="M7427" s="16">
        <f t="shared" si="693"/>
        <v>0.72017367004973787</v>
      </c>
      <c r="N7427">
        <f t="shared" si="694"/>
        <v>0</v>
      </c>
      <c r="O7427">
        <f t="shared" si="695"/>
        <v>0</v>
      </c>
      <c r="P7427">
        <f t="shared" si="692"/>
        <v>5200</v>
      </c>
      <c r="Q7427">
        <f t="shared" si="696"/>
        <v>5200</v>
      </c>
      <c r="T7427" s="16">
        <f t="shared" si="697"/>
        <v>0.72017367004973754</v>
      </c>
    </row>
    <row r="7428" spans="7:20" ht="14.4" x14ac:dyDescent="0.25">
      <c r="G7428" s="10">
        <v>2324</v>
      </c>
      <c r="H7428" s="9">
        <v>16768</v>
      </c>
      <c r="I7428" s="14">
        <f>DATE(2012,12,31)-1255</f>
        <v>40019</v>
      </c>
      <c r="J7428" s="15" t="s">
        <v>17</v>
      </c>
      <c r="K7428" s="9">
        <v>9</v>
      </c>
      <c r="L7428" s="16" t="s">
        <v>26</v>
      </c>
      <c r="M7428" s="16">
        <f t="shared" si="693"/>
        <v>-1.1444402986692408</v>
      </c>
      <c r="N7428">
        <f t="shared" si="694"/>
        <v>0</v>
      </c>
      <c r="O7428">
        <f t="shared" si="695"/>
        <v>0</v>
      </c>
      <c r="P7428">
        <f t="shared" si="692"/>
        <v>3850</v>
      </c>
      <c r="Q7428">
        <f t="shared" si="696"/>
        <v>3850</v>
      </c>
      <c r="T7428" s="16">
        <f t="shared" si="697"/>
        <v>-1.1444402986692412</v>
      </c>
    </row>
    <row r="7429" spans="7:20" ht="14.4" x14ac:dyDescent="0.25">
      <c r="G7429" s="10">
        <v>2390</v>
      </c>
      <c r="H7429" s="9">
        <v>17313</v>
      </c>
      <c r="I7429" s="14">
        <f>DATE(2012,12,31)-1334</f>
        <v>39940</v>
      </c>
      <c r="J7429" s="15" t="s">
        <v>17</v>
      </c>
      <c r="K7429" s="9">
        <v>27</v>
      </c>
      <c r="L7429" s="16" t="s">
        <v>26</v>
      </c>
      <c r="M7429" s="16">
        <f t="shared" si="693"/>
        <v>9.8635680476745008E-2</v>
      </c>
      <c r="N7429">
        <f t="shared" si="694"/>
        <v>0</v>
      </c>
      <c r="O7429">
        <f t="shared" si="695"/>
        <v>0</v>
      </c>
      <c r="P7429">
        <f t="shared" si="692"/>
        <v>4750</v>
      </c>
      <c r="Q7429">
        <f t="shared" si="696"/>
        <v>4750</v>
      </c>
      <c r="T7429" s="16">
        <f t="shared" si="697"/>
        <v>9.8635680476744619E-2</v>
      </c>
    </row>
    <row r="7430" spans="7:20" ht="14.4" x14ac:dyDescent="0.25">
      <c r="G7430" s="10">
        <v>2409</v>
      </c>
      <c r="H7430" s="9">
        <v>17447</v>
      </c>
      <c r="I7430" s="14">
        <f>DATE(2012,12,31)-227</f>
        <v>41047</v>
      </c>
      <c r="J7430" s="15" t="s">
        <v>25</v>
      </c>
      <c r="K7430" s="9">
        <v>42</v>
      </c>
      <c r="L7430" s="16" t="s">
        <v>26</v>
      </c>
      <c r="M7430" s="16">
        <f t="shared" si="693"/>
        <v>1.1345323297650665</v>
      </c>
      <c r="N7430">
        <f t="shared" si="694"/>
        <v>0</v>
      </c>
      <c r="O7430">
        <f t="shared" si="695"/>
        <v>0</v>
      </c>
      <c r="P7430">
        <f t="shared" si="692"/>
        <v>5500</v>
      </c>
      <c r="Q7430">
        <f t="shared" si="696"/>
        <v>5500</v>
      </c>
      <c r="T7430" s="16">
        <f t="shared" si="697"/>
        <v>1.1345323297650662</v>
      </c>
    </row>
    <row r="7431" spans="7:20" ht="14.4" x14ac:dyDescent="0.25">
      <c r="G7431" s="10">
        <v>2493</v>
      </c>
      <c r="H7431" s="9">
        <v>18145</v>
      </c>
      <c r="I7431" s="14">
        <f>DATE(2012,12,31)-849</f>
        <v>40425</v>
      </c>
      <c r="J7431" s="15" t="s">
        <v>16</v>
      </c>
      <c r="K7431" s="9">
        <v>21</v>
      </c>
      <c r="L7431" s="16" t="s">
        <v>27</v>
      </c>
      <c r="M7431" s="16">
        <f t="shared" si="693"/>
        <v>-0.31572297923858361</v>
      </c>
      <c r="N7431">
        <f t="shared" si="694"/>
        <v>0</v>
      </c>
      <c r="O7431">
        <f t="shared" si="695"/>
        <v>0</v>
      </c>
      <c r="P7431">
        <f t="shared" si="692"/>
        <v>4450</v>
      </c>
      <c r="Q7431">
        <f t="shared" si="696"/>
        <v>4450</v>
      </c>
      <c r="T7431" s="16">
        <f t="shared" si="697"/>
        <v>-0.315722979238584</v>
      </c>
    </row>
    <row r="7432" spans="7:20" ht="14.4" x14ac:dyDescent="0.25">
      <c r="G7432" s="10">
        <v>2509</v>
      </c>
      <c r="H7432" s="9">
        <v>18215</v>
      </c>
      <c r="I7432" s="14">
        <f>DATE(2012,12,31)-834</f>
        <v>40440</v>
      </c>
      <c r="J7432" s="15" t="s">
        <v>16</v>
      </c>
      <c r="K7432" s="9">
        <v>29</v>
      </c>
      <c r="L7432" s="16" t="s">
        <v>27</v>
      </c>
      <c r="M7432" s="16">
        <f t="shared" si="693"/>
        <v>0.23675523371518786</v>
      </c>
      <c r="N7432">
        <f t="shared" si="694"/>
        <v>0</v>
      </c>
      <c r="O7432">
        <f t="shared" si="695"/>
        <v>0</v>
      </c>
      <c r="P7432">
        <f t="shared" si="692"/>
        <v>4850</v>
      </c>
      <c r="Q7432">
        <f t="shared" si="696"/>
        <v>4850</v>
      </c>
      <c r="T7432" s="16">
        <f t="shared" si="697"/>
        <v>0.2367552337151875</v>
      </c>
    </row>
    <row r="7433" spans="7:20" ht="14.4" x14ac:dyDescent="0.25">
      <c r="G7433" s="10">
        <v>2581</v>
      </c>
      <c r="H7433" s="9">
        <v>18598</v>
      </c>
      <c r="I7433" s="14">
        <f>DATE(2012,12,31)-878</f>
        <v>40396</v>
      </c>
      <c r="J7433" s="15" t="s">
        <v>30</v>
      </c>
      <c r="K7433" s="9">
        <v>24</v>
      </c>
      <c r="L7433" s="16" t="s">
        <v>26</v>
      </c>
      <c r="M7433" s="16">
        <f t="shared" si="693"/>
        <v>-0.1085436493809193</v>
      </c>
      <c r="N7433">
        <f t="shared" si="694"/>
        <v>0</v>
      </c>
      <c r="O7433">
        <f t="shared" si="695"/>
        <v>0</v>
      </c>
      <c r="P7433">
        <f t="shared" si="692"/>
        <v>4600</v>
      </c>
      <c r="Q7433">
        <f t="shared" si="696"/>
        <v>4600</v>
      </c>
      <c r="T7433" s="16">
        <f t="shared" si="697"/>
        <v>-0.10854364938091969</v>
      </c>
    </row>
    <row r="7434" spans="7:20" ht="14.4" x14ac:dyDescent="0.25">
      <c r="G7434" s="10">
        <v>2582</v>
      </c>
      <c r="H7434" s="9">
        <v>18598</v>
      </c>
      <c r="I7434" s="14">
        <f>DATE(2012,12,31)-878</f>
        <v>40396</v>
      </c>
      <c r="J7434" s="15" t="s">
        <v>30</v>
      </c>
      <c r="K7434" s="9">
        <v>46</v>
      </c>
      <c r="L7434" s="16" t="s">
        <v>29</v>
      </c>
      <c r="M7434" s="16">
        <f t="shared" si="693"/>
        <v>1.4107714362419523</v>
      </c>
      <c r="N7434">
        <f t="shared" si="694"/>
        <v>0</v>
      </c>
      <c r="O7434">
        <f t="shared" si="695"/>
        <v>0</v>
      </c>
      <c r="P7434">
        <f t="shared" si="692"/>
        <v>5700</v>
      </c>
      <c r="Q7434">
        <f t="shared" si="696"/>
        <v>5700</v>
      </c>
      <c r="T7434" s="16">
        <f t="shared" si="697"/>
        <v>1.4107714362419519</v>
      </c>
    </row>
    <row r="7435" spans="7:20" ht="14.4" x14ac:dyDescent="0.25">
      <c r="G7435" s="10">
        <v>2664</v>
      </c>
      <c r="H7435" s="9">
        <v>19234</v>
      </c>
      <c r="I7435" s="14">
        <f>DATE(2012,12,31)-1437</f>
        <v>39837</v>
      </c>
      <c r="J7435" s="15" t="s">
        <v>17</v>
      </c>
      <c r="K7435" s="9">
        <v>24</v>
      </c>
      <c r="L7435" s="16" t="s">
        <v>26</v>
      </c>
      <c r="M7435" s="16">
        <f t="shared" si="693"/>
        <v>-0.1085436493809193</v>
      </c>
      <c r="N7435">
        <f t="shared" si="694"/>
        <v>0</v>
      </c>
      <c r="O7435">
        <f t="shared" si="695"/>
        <v>0</v>
      </c>
      <c r="P7435">
        <f t="shared" si="692"/>
        <v>4600</v>
      </c>
      <c r="Q7435">
        <f t="shared" si="696"/>
        <v>4600</v>
      </c>
      <c r="T7435" s="16">
        <f t="shared" si="697"/>
        <v>-0.10854364938091969</v>
      </c>
    </row>
    <row r="7436" spans="7:20" ht="14.4" x14ac:dyDescent="0.25">
      <c r="G7436" s="10">
        <v>2701</v>
      </c>
      <c r="H7436" s="9">
        <v>19555</v>
      </c>
      <c r="I7436" s="14">
        <f>DATE(2012,12,31)-1054</f>
        <v>40220</v>
      </c>
      <c r="J7436" s="15" t="s">
        <v>25</v>
      </c>
      <c r="K7436" s="9">
        <v>36</v>
      </c>
      <c r="L7436" s="16" t="s">
        <v>26</v>
      </c>
      <c r="M7436" s="16">
        <f t="shared" si="693"/>
        <v>0.72017367004973787</v>
      </c>
      <c r="N7436">
        <f t="shared" si="694"/>
        <v>0</v>
      </c>
      <c r="O7436">
        <f t="shared" si="695"/>
        <v>0</v>
      </c>
      <c r="P7436">
        <f t="shared" ref="P7436:P7499" si="698">50*K7436+$P$10</f>
        <v>5200</v>
      </c>
      <c r="Q7436">
        <f t="shared" si="696"/>
        <v>5200</v>
      </c>
      <c r="T7436" s="16">
        <f t="shared" si="697"/>
        <v>0.72017367004973754</v>
      </c>
    </row>
    <row r="7437" spans="7:20" ht="14.4" x14ac:dyDescent="0.25">
      <c r="G7437" s="10">
        <v>2702</v>
      </c>
      <c r="H7437" s="9">
        <v>19555</v>
      </c>
      <c r="I7437" s="14">
        <f>DATE(2012,12,31)-1054</f>
        <v>40220</v>
      </c>
      <c r="J7437" s="15" t="s">
        <v>25</v>
      </c>
      <c r="K7437" s="9">
        <v>8</v>
      </c>
      <c r="L7437" s="16" t="s">
        <v>26</v>
      </c>
      <c r="M7437" s="16">
        <f t="shared" ref="M7437:M7500" si="699">(K7437-$K$4)/$K$7</f>
        <v>-1.2135000752884624</v>
      </c>
      <c r="N7437">
        <f t="shared" ref="N7437:N7500" si="700">IF(MOD($B$20+G7437,1000)=0,1,0)</f>
        <v>0</v>
      </c>
      <c r="O7437">
        <f t="shared" ref="O7437:O7500" si="701">+ROUND(N7437*(IF(K7437&lt;$K$4,-4.5,10.5)*$P$5),-2)</f>
        <v>0</v>
      </c>
      <c r="P7437">
        <f t="shared" si="698"/>
        <v>3800</v>
      </c>
      <c r="Q7437">
        <f t="shared" ref="Q7437:Q7500" si="702">P7437+O7437</f>
        <v>3800</v>
      </c>
      <c r="T7437" s="16">
        <f t="shared" ref="T7437:T7500" si="703">(Q7437-$P$4)/$P$5</f>
        <v>-1.2135000752884626</v>
      </c>
    </row>
    <row r="7438" spans="7:20" ht="14.4" x14ac:dyDescent="0.25">
      <c r="G7438" s="10">
        <v>2751</v>
      </c>
      <c r="H7438" s="9">
        <v>19843</v>
      </c>
      <c r="I7438" s="14">
        <f>DATE(2012,12,31)-886</f>
        <v>40388</v>
      </c>
      <c r="J7438" s="15" t="s">
        <v>16</v>
      </c>
      <c r="K7438" s="9">
        <v>33</v>
      </c>
      <c r="L7438" s="16" t="s">
        <v>27</v>
      </c>
      <c r="M7438" s="16">
        <f t="shared" si="699"/>
        <v>0.51299434019207357</v>
      </c>
      <c r="N7438">
        <f t="shared" si="700"/>
        <v>0</v>
      </c>
      <c r="O7438">
        <f t="shared" si="701"/>
        <v>0</v>
      </c>
      <c r="P7438">
        <f t="shared" si="698"/>
        <v>5050</v>
      </c>
      <c r="Q7438">
        <f t="shared" si="702"/>
        <v>5050</v>
      </c>
      <c r="T7438" s="16">
        <f t="shared" si="703"/>
        <v>0.51299434019207324</v>
      </c>
    </row>
    <row r="7439" spans="7:20" ht="14.4" x14ac:dyDescent="0.25">
      <c r="G7439" s="10">
        <v>2862</v>
      </c>
      <c r="H7439" s="9">
        <v>20646</v>
      </c>
      <c r="I7439" s="14">
        <f>DATE(2012,12,31)-642</f>
        <v>40632</v>
      </c>
      <c r="J7439" s="15" t="s">
        <v>16</v>
      </c>
      <c r="K7439" s="9">
        <v>41</v>
      </c>
      <c r="L7439" s="16" t="s">
        <v>27</v>
      </c>
      <c r="M7439" s="16">
        <f t="shared" si="699"/>
        <v>1.0654725531458451</v>
      </c>
      <c r="N7439">
        <f t="shared" si="700"/>
        <v>0</v>
      </c>
      <c r="O7439">
        <f t="shared" si="701"/>
        <v>0</v>
      </c>
      <c r="P7439">
        <f t="shared" si="698"/>
        <v>5450</v>
      </c>
      <c r="Q7439">
        <f t="shared" si="702"/>
        <v>5450</v>
      </c>
      <c r="T7439" s="16">
        <f t="shared" si="703"/>
        <v>1.0654725531458447</v>
      </c>
    </row>
    <row r="7440" spans="7:20" ht="14.4" x14ac:dyDescent="0.25">
      <c r="G7440" s="10">
        <v>2928</v>
      </c>
      <c r="H7440" s="9">
        <v>21222</v>
      </c>
      <c r="I7440" s="14">
        <f>DATE(2012,12,31)-1427</f>
        <v>39847</v>
      </c>
      <c r="J7440" s="15" t="s">
        <v>28</v>
      </c>
      <c r="K7440" s="9">
        <v>36</v>
      </c>
      <c r="L7440" s="16" t="s">
        <v>29</v>
      </c>
      <c r="M7440" s="16">
        <f t="shared" si="699"/>
        <v>0.72017367004973787</v>
      </c>
      <c r="N7440">
        <f t="shared" si="700"/>
        <v>0</v>
      </c>
      <c r="O7440">
        <f t="shared" si="701"/>
        <v>0</v>
      </c>
      <c r="P7440">
        <f t="shared" si="698"/>
        <v>5200</v>
      </c>
      <c r="Q7440">
        <f t="shared" si="702"/>
        <v>5200</v>
      </c>
      <c r="T7440" s="16">
        <f t="shared" si="703"/>
        <v>0.72017367004973754</v>
      </c>
    </row>
    <row r="7441" spans="7:20" ht="14.4" x14ac:dyDescent="0.25">
      <c r="G7441" s="10">
        <v>2929</v>
      </c>
      <c r="H7441" s="9">
        <v>21222</v>
      </c>
      <c r="I7441" s="14">
        <f>DATE(2012,12,31)-1427</f>
        <v>39847</v>
      </c>
      <c r="J7441" s="15" t="s">
        <v>28</v>
      </c>
      <c r="K7441" s="9">
        <v>26</v>
      </c>
      <c r="L7441" s="16" t="s">
        <v>27</v>
      </c>
      <c r="M7441" s="16">
        <f t="shared" si="699"/>
        <v>2.9575903857523567E-2</v>
      </c>
      <c r="N7441">
        <f t="shared" si="700"/>
        <v>0</v>
      </c>
      <c r="O7441">
        <f t="shared" si="701"/>
        <v>0</v>
      </c>
      <c r="P7441">
        <f t="shared" si="698"/>
        <v>4700</v>
      </c>
      <c r="Q7441">
        <f t="shared" si="702"/>
        <v>4700</v>
      </c>
      <c r="T7441" s="16">
        <f t="shared" si="703"/>
        <v>2.9575903857523185E-2</v>
      </c>
    </row>
    <row r="7442" spans="7:20" ht="14.4" x14ac:dyDescent="0.25">
      <c r="G7442" s="10">
        <v>3166</v>
      </c>
      <c r="H7442" s="9">
        <v>22755</v>
      </c>
      <c r="I7442" s="14">
        <f>DATE(2012,12,31)-1372</f>
        <v>39902</v>
      </c>
      <c r="J7442" s="15" t="s">
        <v>16</v>
      </c>
      <c r="K7442" s="9">
        <v>35</v>
      </c>
      <c r="L7442" s="16" t="s">
        <v>26</v>
      </c>
      <c r="M7442" s="16">
        <f t="shared" si="699"/>
        <v>0.65111389343051651</v>
      </c>
      <c r="N7442">
        <f t="shared" si="700"/>
        <v>0</v>
      </c>
      <c r="O7442">
        <f t="shared" si="701"/>
        <v>0</v>
      </c>
      <c r="P7442">
        <f t="shared" si="698"/>
        <v>5150</v>
      </c>
      <c r="Q7442">
        <f t="shared" si="702"/>
        <v>5150</v>
      </c>
      <c r="T7442" s="16">
        <f t="shared" si="703"/>
        <v>0.65111389343051607</v>
      </c>
    </row>
    <row r="7443" spans="7:20" ht="14.4" x14ac:dyDescent="0.25">
      <c r="G7443" s="10">
        <v>3167</v>
      </c>
      <c r="H7443" s="9">
        <v>22755</v>
      </c>
      <c r="I7443" s="14">
        <f>DATE(2012,12,31)-1372</f>
        <v>39902</v>
      </c>
      <c r="J7443" s="15" t="s">
        <v>16</v>
      </c>
      <c r="K7443" s="9">
        <v>45</v>
      </c>
      <c r="L7443" s="16" t="s">
        <v>26</v>
      </c>
      <c r="M7443" s="16">
        <f t="shared" si="699"/>
        <v>1.3417116596227308</v>
      </c>
      <c r="N7443">
        <f t="shared" si="700"/>
        <v>0</v>
      </c>
      <c r="O7443">
        <f t="shared" si="701"/>
        <v>0</v>
      </c>
      <c r="P7443">
        <f t="shared" si="698"/>
        <v>5650</v>
      </c>
      <c r="Q7443">
        <f t="shared" si="702"/>
        <v>5650</v>
      </c>
      <c r="T7443" s="16">
        <f t="shared" si="703"/>
        <v>1.3417116596227305</v>
      </c>
    </row>
    <row r="7444" spans="7:20" ht="14.4" x14ac:dyDescent="0.25">
      <c r="G7444" s="10">
        <v>3168</v>
      </c>
      <c r="H7444" s="9">
        <v>22755</v>
      </c>
      <c r="I7444" s="14">
        <f>DATE(2012,12,31)-1372</f>
        <v>39902</v>
      </c>
      <c r="J7444" s="15" t="s">
        <v>16</v>
      </c>
      <c r="K7444" s="9">
        <v>5</v>
      </c>
      <c r="L7444" s="16" t="s">
        <v>27</v>
      </c>
      <c r="M7444" s="16">
        <f t="shared" si="699"/>
        <v>-1.4206794051461267</v>
      </c>
      <c r="N7444">
        <f t="shared" si="700"/>
        <v>0</v>
      </c>
      <c r="O7444">
        <f t="shared" si="701"/>
        <v>0</v>
      </c>
      <c r="P7444">
        <f t="shared" si="698"/>
        <v>3650</v>
      </c>
      <c r="Q7444">
        <f t="shared" si="702"/>
        <v>3650</v>
      </c>
      <c r="T7444" s="16">
        <f t="shared" si="703"/>
        <v>-1.4206794051461269</v>
      </c>
    </row>
    <row r="7445" spans="7:20" ht="14.4" x14ac:dyDescent="0.25">
      <c r="G7445" s="10">
        <v>3222</v>
      </c>
      <c r="H7445" s="9">
        <v>23136</v>
      </c>
      <c r="I7445" s="14">
        <f>DATE(2012,12,31)-1193</f>
        <v>40081</v>
      </c>
      <c r="J7445" s="15" t="s">
        <v>28</v>
      </c>
      <c r="K7445" s="9">
        <v>41</v>
      </c>
      <c r="L7445" s="16" t="s">
        <v>29</v>
      </c>
      <c r="M7445" s="16">
        <f t="shared" si="699"/>
        <v>1.0654725531458451</v>
      </c>
      <c r="N7445">
        <f t="shared" si="700"/>
        <v>0</v>
      </c>
      <c r="O7445">
        <f t="shared" si="701"/>
        <v>0</v>
      </c>
      <c r="P7445">
        <f t="shared" si="698"/>
        <v>5450</v>
      </c>
      <c r="Q7445">
        <f t="shared" si="702"/>
        <v>5450</v>
      </c>
      <c r="T7445" s="16">
        <f t="shared" si="703"/>
        <v>1.0654725531458447</v>
      </c>
    </row>
    <row r="7446" spans="7:20" ht="14.4" x14ac:dyDescent="0.25">
      <c r="G7446" s="10">
        <v>3223</v>
      </c>
      <c r="H7446" s="9">
        <v>23136</v>
      </c>
      <c r="I7446" s="14">
        <f>DATE(2012,12,31)-1193</f>
        <v>40081</v>
      </c>
      <c r="J7446" s="15" t="s">
        <v>28</v>
      </c>
      <c r="K7446" s="9">
        <v>43</v>
      </c>
      <c r="L7446" s="16" t="s">
        <v>27</v>
      </c>
      <c r="M7446" s="16">
        <f t="shared" si="699"/>
        <v>1.203592106384288</v>
      </c>
      <c r="N7446">
        <f t="shared" si="700"/>
        <v>0</v>
      </c>
      <c r="O7446">
        <f t="shared" si="701"/>
        <v>0</v>
      </c>
      <c r="P7446">
        <f t="shared" si="698"/>
        <v>5550</v>
      </c>
      <c r="Q7446">
        <f t="shared" si="702"/>
        <v>5550</v>
      </c>
      <c r="T7446" s="16">
        <f t="shared" si="703"/>
        <v>1.2035921063842876</v>
      </c>
    </row>
    <row r="7447" spans="7:20" ht="14.4" x14ac:dyDescent="0.25">
      <c r="G7447" s="10">
        <v>3316</v>
      </c>
      <c r="H7447" s="9">
        <v>23685</v>
      </c>
      <c r="I7447" s="14">
        <f>DATE(2012,12,31)-185</f>
        <v>41089</v>
      </c>
      <c r="J7447" s="15" t="s">
        <v>28</v>
      </c>
      <c r="K7447" s="9">
        <v>46</v>
      </c>
      <c r="L7447" s="16" t="s">
        <v>27</v>
      </c>
      <c r="M7447" s="16">
        <f t="shared" si="699"/>
        <v>1.4107714362419523</v>
      </c>
      <c r="N7447">
        <f t="shared" si="700"/>
        <v>0</v>
      </c>
      <c r="O7447">
        <f t="shared" si="701"/>
        <v>0</v>
      </c>
      <c r="P7447">
        <f t="shared" si="698"/>
        <v>5700</v>
      </c>
      <c r="Q7447">
        <f t="shared" si="702"/>
        <v>5700</v>
      </c>
      <c r="T7447" s="16">
        <f t="shared" si="703"/>
        <v>1.4107714362419519</v>
      </c>
    </row>
    <row r="7448" spans="7:20" ht="14.4" x14ac:dyDescent="0.25">
      <c r="G7448" s="10">
        <v>3319</v>
      </c>
      <c r="H7448" s="9">
        <v>23745</v>
      </c>
      <c r="I7448" s="14">
        <f>DATE(2012,12,31)-26</f>
        <v>41248</v>
      </c>
      <c r="J7448" s="15" t="s">
        <v>25</v>
      </c>
      <c r="K7448" s="9">
        <v>12</v>
      </c>
      <c r="L7448" s="16" t="s">
        <v>29</v>
      </c>
      <c r="M7448" s="16">
        <f t="shared" si="699"/>
        <v>-0.9372609688115765</v>
      </c>
      <c r="N7448">
        <f t="shared" si="700"/>
        <v>0</v>
      </c>
      <c r="O7448">
        <f t="shared" si="701"/>
        <v>0</v>
      </c>
      <c r="P7448">
        <f t="shared" si="698"/>
        <v>4000</v>
      </c>
      <c r="Q7448">
        <f t="shared" si="702"/>
        <v>4000</v>
      </c>
      <c r="T7448" s="16">
        <f t="shared" si="703"/>
        <v>-0.93726096881157694</v>
      </c>
    </row>
    <row r="7449" spans="7:20" ht="14.4" x14ac:dyDescent="0.25">
      <c r="G7449" s="10">
        <v>3320</v>
      </c>
      <c r="H7449" s="9">
        <v>23745</v>
      </c>
      <c r="I7449" s="14">
        <f>DATE(2012,12,31)-26</f>
        <v>41248</v>
      </c>
      <c r="J7449" s="15" t="s">
        <v>25</v>
      </c>
      <c r="K7449" s="9">
        <v>47</v>
      </c>
      <c r="L7449" s="16" t="s">
        <v>29</v>
      </c>
      <c r="M7449" s="16">
        <f t="shared" si="699"/>
        <v>1.4798312128611737</v>
      </c>
      <c r="N7449">
        <f t="shared" si="700"/>
        <v>0</v>
      </c>
      <c r="O7449">
        <f t="shared" si="701"/>
        <v>0</v>
      </c>
      <c r="P7449">
        <f t="shared" si="698"/>
        <v>5750</v>
      </c>
      <c r="Q7449">
        <f t="shared" si="702"/>
        <v>5750</v>
      </c>
      <c r="T7449" s="16">
        <f t="shared" si="703"/>
        <v>1.4798312128611733</v>
      </c>
    </row>
    <row r="7450" spans="7:20" ht="14.4" x14ac:dyDescent="0.25">
      <c r="G7450" s="10">
        <v>3585</v>
      </c>
      <c r="H7450" s="9">
        <v>25571</v>
      </c>
      <c r="I7450" s="14">
        <f>DATE(2012,12,31)-135</f>
        <v>41139</v>
      </c>
      <c r="J7450" s="15" t="s">
        <v>30</v>
      </c>
      <c r="K7450" s="9">
        <v>42</v>
      </c>
      <c r="L7450" s="16" t="s">
        <v>26</v>
      </c>
      <c r="M7450" s="16">
        <f t="shared" si="699"/>
        <v>1.1345323297650665</v>
      </c>
      <c r="N7450">
        <f t="shared" si="700"/>
        <v>0</v>
      </c>
      <c r="O7450">
        <f t="shared" si="701"/>
        <v>0</v>
      </c>
      <c r="P7450">
        <f t="shared" si="698"/>
        <v>5500</v>
      </c>
      <c r="Q7450">
        <f t="shared" si="702"/>
        <v>5500</v>
      </c>
      <c r="T7450" s="16">
        <f t="shared" si="703"/>
        <v>1.1345323297650662</v>
      </c>
    </row>
    <row r="7451" spans="7:20" ht="14.4" x14ac:dyDescent="0.25">
      <c r="G7451" s="10">
        <v>3645</v>
      </c>
      <c r="H7451" s="9">
        <v>26053</v>
      </c>
      <c r="I7451" s="14">
        <f>DATE(2012,12,31)-342</f>
        <v>40932</v>
      </c>
      <c r="J7451" s="15" t="s">
        <v>25</v>
      </c>
      <c r="K7451" s="9">
        <v>48</v>
      </c>
      <c r="L7451" s="16" t="s">
        <v>26</v>
      </c>
      <c r="M7451" s="16">
        <f t="shared" si="699"/>
        <v>1.5488909894803951</v>
      </c>
      <c r="N7451">
        <f t="shared" si="700"/>
        <v>0</v>
      </c>
      <c r="O7451">
        <f t="shared" si="701"/>
        <v>0</v>
      </c>
      <c r="P7451">
        <f t="shared" si="698"/>
        <v>5800</v>
      </c>
      <c r="Q7451">
        <f t="shared" si="702"/>
        <v>5800</v>
      </c>
      <c r="T7451" s="16">
        <f t="shared" si="703"/>
        <v>1.5488909894803948</v>
      </c>
    </row>
    <row r="7452" spans="7:20" ht="14.4" x14ac:dyDescent="0.25">
      <c r="G7452" s="10">
        <v>3670</v>
      </c>
      <c r="H7452" s="9">
        <v>26277</v>
      </c>
      <c r="I7452" s="14">
        <f>DATE(2012,12,31)-553</f>
        <v>40721</v>
      </c>
      <c r="J7452" s="15" t="s">
        <v>16</v>
      </c>
      <c r="K7452" s="9">
        <v>17</v>
      </c>
      <c r="L7452" s="16" t="s">
        <v>27</v>
      </c>
      <c r="M7452" s="16">
        <f t="shared" si="699"/>
        <v>-0.59196208571546938</v>
      </c>
      <c r="N7452">
        <f t="shared" si="700"/>
        <v>0</v>
      </c>
      <c r="O7452">
        <f t="shared" si="701"/>
        <v>0</v>
      </c>
      <c r="P7452">
        <f t="shared" si="698"/>
        <v>4250</v>
      </c>
      <c r="Q7452">
        <f t="shared" si="702"/>
        <v>4250</v>
      </c>
      <c r="T7452" s="16">
        <f t="shared" si="703"/>
        <v>-0.59196208571546971</v>
      </c>
    </row>
    <row r="7453" spans="7:20" ht="14.4" x14ac:dyDescent="0.25">
      <c r="G7453" s="10">
        <v>3692</v>
      </c>
      <c r="H7453" s="9">
        <v>26374</v>
      </c>
      <c r="I7453" s="14">
        <f>DATE(2012,12,31)-1152</f>
        <v>40122</v>
      </c>
      <c r="J7453" s="15" t="s">
        <v>28</v>
      </c>
      <c r="K7453" s="9">
        <v>5</v>
      </c>
      <c r="L7453" s="16" t="s">
        <v>27</v>
      </c>
      <c r="M7453" s="16">
        <f t="shared" si="699"/>
        <v>-1.4206794051461267</v>
      </c>
      <c r="N7453">
        <f t="shared" si="700"/>
        <v>0</v>
      </c>
      <c r="O7453">
        <f t="shared" si="701"/>
        <v>0</v>
      </c>
      <c r="P7453">
        <f t="shared" si="698"/>
        <v>3650</v>
      </c>
      <c r="Q7453">
        <f t="shared" si="702"/>
        <v>3650</v>
      </c>
      <c r="T7453" s="16">
        <f t="shared" si="703"/>
        <v>-1.4206794051461269</v>
      </c>
    </row>
    <row r="7454" spans="7:20" ht="14.4" x14ac:dyDescent="0.25">
      <c r="G7454" s="10">
        <v>3771</v>
      </c>
      <c r="H7454" s="9">
        <v>26944</v>
      </c>
      <c r="I7454" s="14">
        <f>DATE(2012,12,31)-1150</f>
        <v>40124</v>
      </c>
      <c r="J7454" s="15" t="s">
        <v>30</v>
      </c>
      <c r="K7454" s="9">
        <v>6</v>
      </c>
      <c r="L7454" s="16" t="s">
        <v>27</v>
      </c>
      <c r="M7454" s="16">
        <f t="shared" si="699"/>
        <v>-1.3516196285269051</v>
      </c>
      <c r="N7454">
        <f t="shared" si="700"/>
        <v>0</v>
      </c>
      <c r="O7454">
        <f t="shared" si="701"/>
        <v>0</v>
      </c>
      <c r="P7454">
        <f t="shared" si="698"/>
        <v>3700</v>
      </c>
      <c r="Q7454">
        <f t="shared" si="702"/>
        <v>3700</v>
      </c>
      <c r="T7454" s="16">
        <f t="shared" si="703"/>
        <v>-1.3516196285269055</v>
      </c>
    </row>
    <row r="7455" spans="7:20" ht="14.4" x14ac:dyDescent="0.25">
      <c r="G7455" s="10">
        <v>3791</v>
      </c>
      <c r="H7455" s="9">
        <v>27013</v>
      </c>
      <c r="I7455" s="14">
        <f>DATE(2012,12,31)-1275</f>
        <v>39999</v>
      </c>
      <c r="J7455" s="15" t="s">
        <v>25</v>
      </c>
      <c r="K7455" s="9">
        <v>28</v>
      </c>
      <c r="L7455" s="16" t="s">
        <v>26</v>
      </c>
      <c r="M7455" s="16">
        <f t="shared" si="699"/>
        <v>0.16769545709596645</v>
      </c>
      <c r="N7455">
        <f t="shared" si="700"/>
        <v>0</v>
      </c>
      <c r="O7455">
        <f t="shared" si="701"/>
        <v>0</v>
      </c>
      <c r="P7455">
        <f t="shared" si="698"/>
        <v>4800</v>
      </c>
      <c r="Q7455">
        <f t="shared" si="702"/>
        <v>4800</v>
      </c>
      <c r="T7455" s="16">
        <f t="shared" si="703"/>
        <v>0.16769545709596606</v>
      </c>
    </row>
    <row r="7456" spans="7:20" ht="14.4" x14ac:dyDescent="0.25">
      <c r="G7456" s="10">
        <v>3792</v>
      </c>
      <c r="H7456" s="9">
        <v>27013</v>
      </c>
      <c r="I7456" s="14">
        <f>DATE(2012,12,31)-1275</f>
        <v>39999</v>
      </c>
      <c r="J7456" s="15" t="s">
        <v>25</v>
      </c>
      <c r="K7456" s="9">
        <v>26</v>
      </c>
      <c r="L7456" s="16" t="s">
        <v>26</v>
      </c>
      <c r="M7456" s="16">
        <f t="shared" si="699"/>
        <v>2.9575903857523567E-2</v>
      </c>
      <c r="N7456">
        <f t="shared" si="700"/>
        <v>0</v>
      </c>
      <c r="O7456">
        <f t="shared" si="701"/>
        <v>0</v>
      </c>
      <c r="P7456">
        <f t="shared" si="698"/>
        <v>4700</v>
      </c>
      <c r="Q7456">
        <f t="shared" si="702"/>
        <v>4700</v>
      </c>
      <c r="T7456" s="16">
        <f t="shared" si="703"/>
        <v>2.9575903857523185E-2</v>
      </c>
    </row>
    <row r="7457" spans="7:20" ht="14.4" x14ac:dyDescent="0.25">
      <c r="G7457" s="10">
        <v>3913</v>
      </c>
      <c r="H7457" s="9">
        <v>27904</v>
      </c>
      <c r="I7457" s="14">
        <f>DATE(2012,12,31)-485</f>
        <v>40789</v>
      </c>
      <c r="J7457" s="15" t="s">
        <v>17</v>
      </c>
      <c r="K7457" s="9">
        <v>8</v>
      </c>
      <c r="L7457" s="16" t="s">
        <v>27</v>
      </c>
      <c r="M7457" s="16">
        <f t="shared" si="699"/>
        <v>-1.2135000752884624</v>
      </c>
      <c r="N7457">
        <f t="shared" si="700"/>
        <v>0</v>
      </c>
      <c r="O7457">
        <f t="shared" si="701"/>
        <v>0</v>
      </c>
      <c r="P7457">
        <f t="shared" si="698"/>
        <v>3800</v>
      </c>
      <c r="Q7457">
        <f t="shared" si="702"/>
        <v>3800</v>
      </c>
      <c r="T7457" s="16">
        <f t="shared" si="703"/>
        <v>-1.2135000752884626</v>
      </c>
    </row>
    <row r="7458" spans="7:20" ht="14.4" x14ac:dyDescent="0.25">
      <c r="G7458" s="10">
        <v>3925</v>
      </c>
      <c r="H7458" s="9">
        <v>27974</v>
      </c>
      <c r="I7458" s="14">
        <f>DATE(2012,12,31)-816</f>
        <v>40458</v>
      </c>
      <c r="J7458" s="15" t="s">
        <v>17</v>
      </c>
      <c r="K7458" s="9">
        <v>31</v>
      </c>
      <c r="L7458" s="16" t="s">
        <v>27</v>
      </c>
      <c r="M7458" s="16">
        <f t="shared" si="699"/>
        <v>0.37487478695363075</v>
      </c>
      <c r="N7458">
        <f t="shared" si="700"/>
        <v>0</v>
      </c>
      <c r="O7458">
        <f t="shared" si="701"/>
        <v>0</v>
      </c>
      <c r="P7458">
        <f t="shared" si="698"/>
        <v>4950</v>
      </c>
      <c r="Q7458">
        <f t="shared" si="702"/>
        <v>4950</v>
      </c>
      <c r="T7458" s="16">
        <f t="shared" si="703"/>
        <v>0.37487478695363036</v>
      </c>
    </row>
    <row r="7459" spans="7:20" ht="14.4" x14ac:dyDescent="0.25">
      <c r="G7459" s="10">
        <v>4192</v>
      </c>
      <c r="H7459" s="9">
        <v>29767</v>
      </c>
      <c r="I7459" s="14">
        <f>DATE(2012,12,31)-695</f>
        <v>40579</v>
      </c>
      <c r="J7459" s="15" t="s">
        <v>17</v>
      </c>
      <c r="K7459" s="9">
        <v>48</v>
      </c>
      <c r="L7459" s="16" t="s">
        <v>26</v>
      </c>
      <c r="M7459" s="16">
        <f t="shared" si="699"/>
        <v>1.5488909894803951</v>
      </c>
      <c r="N7459">
        <f t="shared" si="700"/>
        <v>0</v>
      </c>
      <c r="O7459">
        <f t="shared" si="701"/>
        <v>0</v>
      </c>
      <c r="P7459">
        <f t="shared" si="698"/>
        <v>5800</v>
      </c>
      <c r="Q7459">
        <f t="shared" si="702"/>
        <v>5800</v>
      </c>
      <c r="T7459" s="16">
        <f t="shared" si="703"/>
        <v>1.5488909894803948</v>
      </c>
    </row>
    <row r="7460" spans="7:20" ht="14.4" x14ac:dyDescent="0.25">
      <c r="G7460" s="10">
        <v>4196</v>
      </c>
      <c r="H7460" s="9">
        <v>29826</v>
      </c>
      <c r="I7460" s="14">
        <f>DATE(2012,12,31)-1194</f>
        <v>40080</v>
      </c>
      <c r="J7460" s="15" t="s">
        <v>30</v>
      </c>
      <c r="K7460" s="9">
        <v>9</v>
      </c>
      <c r="L7460" s="16" t="s">
        <v>27</v>
      </c>
      <c r="M7460" s="16">
        <f t="shared" si="699"/>
        <v>-1.1444402986692408</v>
      </c>
      <c r="N7460">
        <f t="shared" si="700"/>
        <v>0</v>
      </c>
      <c r="O7460">
        <f t="shared" si="701"/>
        <v>0</v>
      </c>
      <c r="P7460">
        <f t="shared" si="698"/>
        <v>3850</v>
      </c>
      <c r="Q7460">
        <f t="shared" si="702"/>
        <v>3850</v>
      </c>
      <c r="T7460" s="16">
        <f t="shared" si="703"/>
        <v>-1.1444402986692412</v>
      </c>
    </row>
    <row r="7461" spans="7:20" ht="14.4" x14ac:dyDescent="0.25">
      <c r="G7461" s="10">
        <v>4290</v>
      </c>
      <c r="H7461" s="9">
        <v>30566</v>
      </c>
      <c r="I7461" s="14">
        <f>DATE(2012,12,31)-549</f>
        <v>40725</v>
      </c>
      <c r="J7461" s="15" t="s">
        <v>25</v>
      </c>
      <c r="K7461" s="9">
        <v>34</v>
      </c>
      <c r="L7461" s="16" t="s">
        <v>26</v>
      </c>
      <c r="M7461" s="16">
        <f t="shared" si="699"/>
        <v>0.58205411681129504</v>
      </c>
      <c r="N7461">
        <f t="shared" si="700"/>
        <v>0</v>
      </c>
      <c r="O7461">
        <f t="shared" si="701"/>
        <v>0</v>
      </c>
      <c r="P7461">
        <f t="shared" si="698"/>
        <v>5100</v>
      </c>
      <c r="Q7461">
        <f t="shared" si="702"/>
        <v>5100</v>
      </c>
      <c r="T7461" s="16">
        <f t="shared" si="703"/>
        <v>0.58205411681129471</v>
      </c>
    </row>
    <row r="7462" spans="7:20" ht="14.4" x14ac:dyDescent="0.25">
      <c r="G7462" s="10">
        <v>4329</v>
      </c>
      <c r="H7462" s="9">
        <v>30852</v>
      </c>
      <c r="I7462" s="14">
        <f>DATE(2012,12,31)-1327</f>
        <v>39947</v>
      </c>
      <c r="J7462" s="15" t="s">
        <v>30</v>
      </c>
      <c r="K7462" s="9">
        <v>35</v>
      </c>
      <c r="L7462" s="16" t="s">
        <v>27</v>
      </c>
      <c r="M7462" s="16">
        <f t="shared" si="699"/>
        <v>0.65111389343051651</v>
      </c>
      <c r="N7462">
        <f t="shared" si="700"/>
        <v>0</v>
      </c>
      <c r="O7462">
        <f t="shared" si="701"/>
        <v>0</v>
      </c>
      <c r="P7462">
        <f t="shared" si="698"/>
        <v>5150</v>
      </c>
      <c r="Q7462">
        <f t="shared" si="702"/>
        <v>5150</v>
      </c>
      <c r="T7462" s="16">
        <f t="shared" si="703"/>
        <v>0.65111389343051607</v>
      </c>
    </row>
    <row r="7463" spans="7:20" ht="14.4" x14ac:dyDescent="0.25">
      <c r="G7463" s="10">
        <v>4379</v>
      </c>
      <c r="H7463" s="9">
        <v>31204</v>
      </c>
      <c r="I7463" s="14">
        <f>DATE(2012,12,31)-863</f>
        <v>40411</v>
      </c>
      <c r="J7463" s="15" t="s">
        <v>25</v>
      </c>
      <c r="K7463" s="9">
        <v>14</v>
      </c>
      <c r="L7463" s="16" t="s">
        <v>29</v>
      </c>
      <c r="M7463" s="16">
        <f t="shared" si="699"/>
        <v>-0.79914141557313367</v>
      </c>
      <c r="N7463">
        <f t="shared" si="700"/>
        <v>0</v>
      </c>
      <c r="O7463">
        <f t="shared" si="701"/>
        <v>0</v>
      </c>
      <c r="P7463">
        <f t="shared" si="698"/>
        <v>4100</v>
      </c>
      <c r="Q7463">
        <f t="shared" si="702"/>
        <v>4100</v>
      </c>
      <c r="T7463" s="16">
        <f t="shared" si="703"/>
        <v>-0.79914141557313401</v>
      </c>
    </row>
    <row r="7464" spans="7:20" ht="14.4" x14ac:dyDescent="0.25">
      <c r="G7464" s="10">
        <v>4380</v>
      </c>
      <c r="H7464" s="9">
        <v>31204</v>
      </c>
      <c r="I7464" s="14">
        <f>DATE(2012,12,31)-863</f>
        <v>40411</v>
      </c>
      <c r="J7464" s="15" t="s">
        <v>25</v>
      </c>
      <c r="K7464" s="9">
        <v>8</v>
      </c>
      <c r="L7464" s="16" t="s">
        <v>26</v>
      </c>
      <c r="M7464" s="16">
        <f t="shared" si="699"/>
        <v>-1.2135000752884624</v>
      </c>
      <c r="N7464">
        <f t="shared" si="700"/>
        <v>0</v>
      </c>
      <c r="O7464">
        <f t="shared" si="701"/>
        <v>0</v>
      </c>
      <c r="P7464">
        <f t="shared" si="698"/>
        <v>3800</v>
      </c>
      <c r="Q7464">
        <f t="shared" si="702"/>
        <v>3800</v>
      </c>
      <c r="T7464" s="16">
        <f t="shared" si="703"/>
        <v>-1.2135000752884626</v>
      </c>
    </row>
    <row r="7465" spans="7:20" ht="14.4" x14ac:dyDescent="0.25">
      <c r="G7465" s="10">
        <v>4567</v>
      </c>
      <c r="H7465" s="9">
        <v>32513</v>
      </c>
      <c r="I7465" s="14">
        <f>DATE(2012,12,31)-333</f>
        <v>40941</v>
      </c>
      <c r="J7465" s="15" t="s">
        <v>25</v>
      </c>
      <c r="K7465" s="9">
        <v>23</v>
      </c>
      <c r="L7465" s="16" t="s">
        <v>26</v>
      </c>
      <c r="M7465" s="16">
        <f t="shared" si="699"/>
        <v>-0.17760342600014073</v>
      </c>
      <c r="N7465">
        <f t="shared" si="700"/>
        <v>0</v>
      </c>
      <c r="O7465">
        <f t="shared" si="701"/>
        <v>0</v>
      </c>
      <c r="P7465">
        <f t="shared" si="698"/>
        <v>4550</v>
      </c>
      <c r="Q7465">
        <f t="shared" si="702"/>
        <v>4550</v>
      </c>
      <c r="T7465" s="16">
        <f t="shared" si="703"/>
        <v>-0.17760342600014112</v>
      </c>
    </row>
    <row r="7466" spans="7:20" ht="14.4" x14ac:dyDescent="0.25">
      <c r="G7466" s="10">
        <v>4568</v>
      </c>
      <c r="H7466" s="9">
        <v>32513</v>
      </c>
      <c r="I7466" s="14">
        <f>DATE(2012,12,31)-333</f>
        <v>40941</v>
      </c>
      <c r="J7466" s="15" t="s">
        <v>25</v>
      </c>
      <c r="K7466" s="9">
        <v>40</v>
      </c>
      <c r="L7466" s="16" t="s">
        <v>26</v>
      </c>
      <c r="M7466" s="16">
        <f t="shared" si="699"/>
        <v>0.99641277652662363</v>
      </c>
      <c r="N7466">
        <f t="shared" si="700"/>
        <v>0</v>
      </c>
      <c r="O7466">
        <f t="shared" si="701"/>
        <v>0</v>
      </c>
      <c r="P7466">
        <f t="shared" si="698"/>
        <v>5400</v>
      </c>
      <c r="Q7466">
        <f t="shared" si="702"/>
        <v>5400</v>
      </c>
      <c r="T7466" s="16">
        <f t="shared" si="703"/>
        <v>0.9964127765266233</v>
      </c>
    </row>
    <row r="7467" spans="7:20" ht="14.4" x14ac:dyDescent="0.25">
      <c r="G7467" s="10">
        <v>4589</v>
      </c>
      <c r="H7467" s="9">
        <v>32641</v>
      </c>
      <c r="I7467" s="14">
        <f>DATE(2012,12,31)-1016</f>
        <v>40258</v>
      </c>
      <c r="J7467" s="15" t="s">
        <v>17</v>
      </c>
      <c r="K7467" s="9">
        <v>18</v>
      </c>
      <c r="L7467" s="16" t="s">
        <v>26</v>
      </c>
      <c r="M7467" s="16">
        <f t="shared" si="699"/>
        <v>-0.52290230909624791</v>
      </c>
      <c r="N7467">
        <f t="shared" si="700"/>
        <v>0</v>
      </c>
      <c r="O7467">
        <f t="shared" si="701"/>
        <v>0</v>
      </c>
      <c r="P7467">
        <f t="shared" si="698"/>
        <v>4300</v>
      </c>
      <c r="Q7467">
        <f t="shared" si="702"/>
        <v>4300</v>
      </c>
      <c r="T7467" s="16">
        <f t="shared" si="703"/>
        <v>-0.52290230909624835</v>
      </c>
    </row>
    <row r="7468" spans="7:20" ht="14.4" x14ac:dyDescent="0.25">
      <c r="G7468" s="10">
        <v>4741</v>
      </c>
      <c r="H7468" s="9">
        <v>33729</v>
      </c>
      <c r="I7468" s="14">
        <f>DATE(2012,12,31)-103</f>
        <v>41171</v>
      </c>
      <c r="J7468" s="15" t="s">
        <v>28</v>
      </c>
      <c r="K7468" s="9">
        <v>26</v>
      </c>
      <c r="L7468" s="16" t="s">
        <v>26</v>
      </c>
      <c r="M7468" s="16">
        <f t="shared" si="699"/>
        <v>2.9575903857523567E-2</v>
      </c>
      <c r="N7468">
        <f t="shared" si="700"/>
        <v>0</v>
      </c>
      <c r="O7468">
        <f t="shared" si="701"/>
        <v>0</v>
      </c>
      <c r="P7468">
        <f t="shared" si="698"/>
        <v>4700</v>
      </c>
      <c r="Q7468">
        <f t="shared" si="702"/>
        <v>4700</v>
      </c>
      <c r="T7468" s="16">
        <f t="shared" si="703"/>
        <v>2.9575903857523185E-2</v>
      </c>
    </row>
    <row r="7469" spans="7:20" ht="14.4" x14ac:dyDescent="0.25">
      <c r="G7469" s="10">
        <v>4796</v>
      </c>
      <c r="H7469" s="9">
        <v>34083</v>
      </c>
      <c r="I7469" s="14">
        <f>DATE(2012,12,31)-330</f>
        <v>40944</v>
      </c>
      <c r="J7469" s="15" t="s">
        <v>28</v>
      </c>
      <c r="K7469" s="9">
        <v>29</v>
      </c>
      <c r="L7469" s="16" t="s">
        <v>27</v>
      </c>
      <c r="M7469" s="16">
        <f t="shared" si="699"/>
        <v>0.23675523371518786</v>
      </c>
      <c r="N7469">
        <f t="shared" si="700"/>
        <v>0</v>
      </c>
      <c r="O7469">
        <f t="shared" si="701"/>
        <v>0</v>
      </c>
      <c r="P7469">
        <f t="shared" si="698"/>
        <v>4850</v>
      </c>
      <c r="Q7469">
        <f t="shared" si="702"/>
        <v>4850</v>
      </c>
      <c r="T7469" s="16">
        <f t="shared" si="703"/>
        <v>0.2367552337151875</v>
      </c>
    </row>
    <row r="7470" spans="7:20" ht="14.4" x14ac:dyDescent="0.25">
      <c r="G7470" s="10">
        <v>4824</v>
      </c>
      <c r="H7470" s="9">
        <v>34275</v>
      </c>
      <c r="I7470" s="14">
        <f>DATE(2012,12,31)-1279</f>
        <v>39995</v>
      </c>
      <c r="J7470" s="15" t="s">
        <v>25</v>
      </c>
      <c r="K7470" s="9">
        <v>3</v>
      </c>
      <c r="L7470" s="16" t="s">
        <v>27</v>
      </c>
      <c r="M7470" s="16">
        <f t="shared" si="699"/>
        <v>-1.5587989583845694</v>
      </c>
      <c r="N7470">
        <f t="shared" si="700"/>
        <v>0</v>
      </c>
      <c r="O7470">
        <f t="shared" si="701"/>
        <v>0</v>
      </c>
      <c r="P7470">
        <f t="shared" si="698"/>
        <v>3550</v>
      </c>
      <c r="Q7470">
        <f t="shared" si="702"/>
        <v>3550</v>
      </c>
      <c r="T7470" s="16">
        <f t="shared" si="703"/>
        <v>-1.5587989583845698</v>
      </c>
    </row>
    <row r="7471" spans="7:20" ht="14.4" x14ac:dyDescent="0.25">
      <c r="G7471" s="10">
        <v>4854</v>
      </c>
      <c r="H7471" s="9">
        <v>34532</v>
      </c>
      <c r="I7471" s="14">
        <f>DATE(2012,12,31)-20</f>
        <v>41254</v>
      </c>
      <c r="J7471" s="15" t="s">
        <v>25</v>
      </c>
      <c r="K7471" s="9">
        <v>41</v>
      </c>
      <c r="L7471" s="16" t="s">
        <v>26</v>
      </c>
      <c r="M7471" s="16">
        <f t="shared" si="699"/>
        <v>1.0654725531458451</v>
      </c>
      <c r="N7471">
        <f t="shared" si="700"/>
        <v>0</v>
      </c>
      <c r="O7471">
        <f t="shared" si="701"/>
        <v>0</v>
      </c>
      <c r="P7471">
        <f t="shared" si="698"/>
        <v>5450</v>
      </c>
      <c r="Q7471">
        <f t="shared" si="702"/>
        <v>5450</v>
      </c>
      <c r="T7471" s="16">
        <f t="shared" si="703"/>
        <v>1.0654725531458447</v>
      </c>
    </row>
    <row r="7472" spans="7:20" ht="14.4" x14ac:dyDescent="0.25">
      <c r="G7472" s="10">
        <v>4942</v>
      </c>
      <c r="H7472" s="9">
        <v>35139</v>
      </c>
      <c r="I7472" s="14">
        <f>DATE(2012,12,31)-1078</f>
        <v>40196</v>
      </c>
      <c r="J7472" s="15" t="s">
        <v>17</v>
      </c>
      <c r="K7472" s="9">
        <v>3</v>
      </c>
      <c r="L7472" s="16" t="s">
        <v>27</v>
      </c>
      <c r="M7472" s="16">
        <f t="shared" si="699"/>
        <v>-1.5587989583845694</v>
      </c>
      <c r="N7472">
        <f t="shared" si="700"/>
        <v>0</v>
      </c>
      <c r="O7472">
        <f t="shared" si="701"/>
        <v>0</v>
      </c>
      <c r="P7472">
        <f t="shared" si="698"/>
        <v>3550</v>
      </c>
      <c r="Q7472">
        <f t="shared" si="702"/>
        <v>3550</v>
      </c>
      <c r="T7472" s="16">
        <f t="shared" si="703"/>
        <v>-1.5587989583845698</v>
      </c>
    </row>
    <row r="7473" spans="7:20" ht="14.4" x14ac:dyDescent="0.25">
      <c r="G7473" s="10">
        <v>4943</v>
      </c>
      <c r="H7473" s="9">
        <v>35139</v>
      </c>
      <c r="I7473" s="14">
        <f>DATE(2012,12,31)-1078</f>
        <v>40196</v>
      </c>
      <c r="J7473" s="15" t="s">
        <v>17</v>
      </c>
      <c r="K7473" s="9">
        <v>25</v>
      </c>
      <c r="L7473" s="16" t="s">
        <v>26</v>
      </c>
      <c r="M7473" s="16">
        <f t="shared" si="699"/>
        <v>-3.9483872761697868E-2</v>
      </c>
      <c r="N7473">
        <f t="shared" si="700"/>
        <v>0</v>
      </c>
      <c r="O7473">
        <f t="shared" si="701"/>
        <v>0</v>
      </c>
      <c r="P7473">
        <f t="shared" si="698"/>
        <v>4650</v>
      </c>
      <c r="Q7473">
        <f t="shared" si="702"/>
        <v>4650</v>
      </c>
      <c r="T7473" s="16">
        <f t="shared" si="703"/>
        <v>-3.9483872761698249E-2</v>
      </c>
    </row>
    <row r="7474" spans="7:20" ht="14.4" x14ac:dyDescent="0.25">
      <c r="G7474" s="10">
        <v>4944</v>
      </c>
      <c r="H7474" s="9">
        <v>35139</v>
      </c>
      <c r="I7474" s="14">
        <f>DATE(2012,12,31)-1078</f>
        <v>40196</v>
      </c>
      <c r="J7474" s="15" t="s">
        <v>17</v>
      </c>
      <c r="K7474" s="9">
        <v>32</v>
      </c>
      <c r="L7474" s="16" t="s">
        <v>26</v>
      </c>
      <c r="M7474" s="16">
        <f t="shared" si="699"/>
        <v>0.44393456357285216</v>
      </c>
      <c r="N7474">
        <f t="shared" si="700"/>
        <v>0</v>
      </c>
      <c r="O7474">
        <f t="shared" si="701"/>
        <v>0</v>
      </c>
      <c r="P7474">
        <f t="shared" si="698"/>
        <v>5000</v>
      </c>
      <c r="Q7474">
        <f t="shared" si="702"/>
        <v>5000</v>
      </c>
      <c r="T7474" s="16">
        <f t="shared" si="703"/>
        <v>0.44393456357285183</v>
      </c>
    </row>
    <row r="7475" spans="7:20" ht="14.4" x14ac:dyDescent="0.25">
      <c r="G7475" s="10">
        <v>4952</v>
      </c>
      <c r="H7475" s="9">
        <v>35239</v>
      </c>
      <c r="I7475" s="14">
        <f>DATE(2012,12,31)-415</f>
        <v>40859</v>
      </c>
      <c r="J7475" s="15" t="s">
        <v>30</v>
      </c>
      <c r="K7475" s="9">
        <v>21</v>
      </c>
      <c r="L7475" s="16" t="s">
        <v>26</v>
      </c>
      <c r="M7475" s="16">
        <f t="shared" si="699"/>
        <v>-0.31572297923858361</v>
      </c>
      <c r="N7475">
        <f t="shared" si="700"/>
        <v>0</v>
      </c>
      <c r="O7475">
        <f t="shared" si="701"/>
        <v>0</v>
      </c>
      <c r="P7475">
        <f t="shared" si="698"/>
        <v>4450</v>
      </c>
      <c r="Q7475">
        <f t="shared" si="702"/>
        <v>4450</v>
      </c>
      <c r="T7475" s="16">
        <f t="shared" si="703"/>
        <v>-0.315722979238584</v>
      </c>
    </row>
    <row r="7476" spans="7:20" ht="14.4" x14ac:dyDescent="0.25">
      <c r="G7476" s="10">
        <v>4953</v>
      </c>
      <c r="H7476" s="9">
        <v>35239</v>
      </c>
      <c r="I7476" s="14">
        <f>DATE(2012,12,31)-415</f>
        <v>40859</v>
      </c>
      <c r="J7476" s="15" t="s">
        <v>30</v>
      </c>
      <c r="K7476" s="9">
        <v>38</v>
      </c>
      <c r="L7476" s="16" t="s">
        <v>26</v>
      </c>
      <c r="M7476" s="16">
        <f t="shared" si="699"/>
        <v>0.85829322328818081</v>
      </c>
      <c r="N7476">
        <f t="shared" si="700"/>
        <v>0</v>
      </c>
      <c r="O7476">
        <f t="shared" si="701"/>
        <v>0</v>
      </c>
      <c r="P7476">
        <f t="shared" si="698"/>
        <v>5300</v>
      </c>
      <c r="Q7476">
        <f t="shared" si="702"/>
        <v>5300</v>
      </c>
      <c r="T7476" s="16">
        <f t="shared" si="703"/>
        <v>0.85829322328818036</v>
      </c>
    </row>
    <row r="7477" spans="7:20" ht="14.4" x14ac:dyDescent="0.25">
      <c r="G7477" s="10">
        <v>5032</v>
      </c>
      <c r="H7477" s="9">
        <v>35875</v>
      </c>
      <c r="I7477" s="14">
        <f>DATE(2012,12,31)-566</f>
        <v>40708</v>
      </c>
      <c r="J7477" s="15" t="s">
        <v>17</v>
      </c>
      <c r="K7477" s="9">
        <v>31</v>
      </c>
      <c r="L7477" s="16" t="s">
        <v>26</v>
      </c>
      <c r="M7477" s="16">
        <f t="shared" si="699"/>
        <v>0.37487478695363075</v>
      </c>
      <c r="N7477">
        <f t="shared" si="700"/>
        <v>0</v>
      </c>
      <c r="O7477">
        <f t="shared" si="701"/>
        <v>0</v>
      </c>
      <c r="P7477">
        <f t="shared" si="698"/>
        <v>4950</v>
      </c>
      <c r="Q7477">
        <f t="shared" si="702"/>
        <v>4950</v>
      </c>
      <c r="T7477" s="16">
        <f t="shared" si="703"/>
        <v>0.37487478695363036</v>
      </c>
    </row>
    <row r="7478" spans="7:20" ht="14.4" x14ac:dyDescent="0.25">
      <c r="G7478" s="10">
        <v>5217</v>
      </c>
      <c r="H7478" s="9">
        <v>37125</v>
      </c>
      <c r="I7478" s="14">
        <f>DATE(2012,12,31)-1082</f>
        <v>40192</v>
      </c>
      <c r="J7478" s="15" t="s">
        <v>17</v>
      </c>
      <c r="K7478" s="9">
        <v>46</v>
      </c>
      <c r="L7478" s="16" t="s">
        <v>26</v>
      </c>
      <c r="M7478" s="16">
        <f t="shared" si="699"/>
        <v>1.4107714362419523</v>
      </c>
      <c r="N7478">
        <f t="shared" si="700"/>
        <v>0</v>
      </c>
      <c r="O7478">
        <f t="shared" si="701"/>
        <v>0</v>
      </c>
      <c r="P7478">
        <f t="shared" si="698"/>
        <v>5700</v>
      </c>
      <c r="Q7478">
        <f t="shared" si="702"/>
        <v>5700</v>
      </c>
      <c r="T7478" s="16">
        <f t="shared" si="703"/>
        <v>1.4107714362419519</v>
      </c>
    </row>
    <row r="7479" spans="7:20" ht="14.4" x14ac:dyDescent="0.25">
      <c r="G7479" s="10">
        <v>5222</v>
      </c>
      <c r="H7479" s="9">
        <v>37158</v>
      </c>
      <c r="I7479" s="14">
        <f>DATE(2012,12,31)-100</f>
        <v>41174</v>
      </c>
      <c r="J7479" s="15" t="s">
        <v>25</v>
      </c>
      <c r="K7479" s="9">
        <v>25</v>
      </c>
      <c r="L7479" s="16" t="s">
        <v>26</v>
      </c>
      <c r="M7479" s="16">
        <f t="shared" si="699"/>
        <v>-3.9483872761697868E-2</v>
      </c>
      <c r="N7479">
        <f t="shared" si="700"/>
        <v>0</v>
      </c>
      <c r="O7479">
        <f t="shared" si="701"/>
        <v>0</v>
      </c>
      <c r="P7479">
        <f t="shared" si="698"/>
        <v>4650</v>
      </c>
      <c r="Q7479">
        <f t="shared" si="702"/>
        <v>4650</v>
      </c>
      <c r="T7479" s="16">
        <f t="shared" si="703"/>
        <v>-3.9483872761698249E-2</v>
      </c>
    </row>
    <row r="7480" spans="7:20" ht="14.4" x14ac:dyDescent="0.25">
      <c r="G7480" s="10">
        <v>5252</v>
      </c>
      <c r="H7480" s="9">
        <v>37380</v>
      </c>
      <c r="I7480" s="14">
        <f>DATE(2012,12,31)-640</f>
        <v>40634</v>
      </c>
      <c r="J7480" s="15" t="s">
        <v>30</v>
      </c>
      <c r="K7480" s="9">
        <v>29</v>
      </c>
      <c r="L7480" s="16" t="s">
        <v>29</v>
      </c>
      <c r="M7480" s="16">
        <f t="shared" si="699"/>
        <v>0.23675523371518786</v>
      </c>
      <c r="N7480">
        <f t="shared" si="700"/>
        <v>0</v>
      </c>
      <c r="O7480">
        <f t="shared" si="701"/>
        <v>0</v>
      </c>
      <c r="P7480">
        <f t="shared" si="698"/>
        <v>4850</v>
      </c>
      <c r="Q7480">
        <f t="shared" si="702"/>
        <v>4850</v>
      </c>
      <c r="T7480" s="16">
        <f t="shared" si="703"/>
        <v>0.2367552337151875</v>
      </c>
    </row>
    <row r="7481" spans="7:20" ht="14.4" x14ac:dyDescent="0.25">
      <c r="G7481" s="10">
        <v>5253</v>
      </c>
      <c r="H7481" s="9">
        <v>37380</v>
      </c>
      <c r="I7481" s="14">
        <f>DATE(2012,12,31)-640</f>
        <v>40634</v>
      </c>
      <c r="J7481" s="15" t="s">
        <v>30</v>
      </c>
      <c r="K7481" s="9">
        <v>47</v>
      </c>
      <c r="L7481" s="16" t="s">
        <v>26</v>
      </c>
      <c r="M7481" s="16">
        <f t="shared" si="699"/>
        <v>1.4798312128611737</v>
      </c>
      <c r="N7481">
        <f t="shared" si="700"/>
        <v>0</v>
      </c>
      <c r="O7481">
        <f t="shared" si="701"/>
        <v>0</v>
      </c>
      <c r="P7481">
        <f t="shared" si="698"/>
        <v>5750</v>
      </c>
      <c r="Q7481">
        <f t="shared" si="702"/>
        <v>5750</v>
      </c>
      <c r="T7481" s="16">
        <f t="shared" si="703"/>
        <v>1.4798312128611733</v>
      </c>
    </row>
    <row r="7482" spans="7:20" ht="14.4" x14ac:dyDescent="0.25">
      <c r="G7482" s="10">
        <v>5254</v>
      </c>
      <c r="H7482" s="9">
        <v>37380</v>
      </c>
      <c r="I7482" s="14">
        <f>DATE(2012,12,31)-640</f>
        <v>40634</v>
      </c>
      <c r="J7482" s="15" t="s">
        <v>30</v>
      </c>
      <c r="K7482" s="9">
        <v>42</v>
      </c>
      <c r="L7482" s="16" t="s">
        <v>26</v>
      </c>
      <c r="M7482" s="16">
        <f t="shared" si="699"/>
        <v>1.1345323297650665</v>
      </c>
      <c r="N7482">
        <f t="shared" si="700"/>
        <v>0</v>
      </c>
      <c r="O7482">
        <f t="shared" si="701"/>
        <v>0</v>
      </c>
      <c r="P7482">
        <f t="shared" si="698"/>
        <v>5500</v>
      </c>
      <c r="Q7482">
        <f t="shared" si="702"/>
        <v>5500</v>
      </c>
      <c r="T7482" s="16">
        <f t="shared" si="703"/>
        <v>1.1345323297650662</v>
      </c>
    </row>
    <row r="7483" spans="7:20" ht="14.4" x14ac:dyDescent="0.25">
      <c r="G7483" s="10">
        <v>5264</v>
      </c>
      <c r="H7483" s="9">
        <v>37445</v>
      </c>
      <c r="I7483" s="14">
        <f>DATE(2012,12,31)-317</f>
        <v>40957</v>
      </c>
      <c r="J7483" s="15" t="s">
        <v>17</v>
      </c>
      <c r="K7483" s="9">
        <v>37</v>
      </c>
      <c r="L7483" s="16" t="s">
        <v>26</v>
      </c>
      <c r="M7483" s="16">
        <f t="shared" si="699"/>
        <v>0.78923344666895934</v>
      </c>
      <c r="N7483">
        <f t="shared" si="700"/>
        <v>0</v>
      </c>
      <c r="O7483">
        <f t="shared" si="701"/>
        <v>0</v>
      </c>
      <c r="P7483">
        <f t="shared" si="698"/>
        <v>5250</v>
      </c>
      <c r="Q7483">
        <f t="shared" si="702"/>
        <v>5250</v>
      </c>
      <c r="T7483" s="16">
        <f t="shared" si="703"/>
        <v>0.789233446668959</v>
      </c>
    </row>
    <row r="7484" spans="7:20" ht="14.4" x14ac:dyDescent="0.25">
      <c r="G7484" s="10">
        <v>5373</v>
      </c>
      <c r="H7484" s="9">
        <v>38212</v>
      </c>
      <c r="I7484" s="14">
        <f>DATE(2012,12,31)-637</f>
        <v>40637</v>
      </c>
      <c r="J7484" s="15" t="s">
        <v>16</v>
      </c>
      <c r="K7484" s="9">
        <v>24</v>
      </c>
      <c r="L7484" s="16" t="s">
        <v>26</v>
      </c>
      <c r="M7484" s="16">
        <f t="shared" si="699"/>
        <v>-0.1085436493809193</v>
      </c>
      <c r="N7484">
        <f t="shared" si="700"/>
        <v>0</v>
      </c>
      <c r="O7484">
        <f t="shared" si="701"/>
        <v>0</v>
      </c>
      <c r="P7484">
        <f t="shared" si="698"/>
        <v>4600</v>
      </c>
      <c r="Q7484">
        <f t="shared" si="702"/>
        <v>4600</v>
      </c>
      <c r="T7484" s="16">
        <f t="shared" si="703"/>
        <v>-0.10854364938091969</v>
      </c>
    </row>
    <row r="7485" spans="7:20" ht="14.4" x14ac:dyDescent="0.25">
      <c r="G7485" s="10">
        <v>5374</v>
      </c>
      <c r="H7485" s="9">
        <v>38212</v>
      </c>
      <c r="I7485" s="14">
        <f>DATE(2012,12,31)-637</f>
        <v>40637</v>
      </c>
      <c r="J7485" s="15" t="s">
        <v>16</v>
      </c>
      <c r="K7485" s="9">
        <v>46</v>
      </c>
      <c r="L7485" s="16" t="s">
        <v>26</v>
      </c>
      <c r="M7485" s="16">
        <f t="shared" si="699"/>
        <v>1.4107714362419523</v>
      </c>
      <c r="N7485">
        <f t="shared" si="700"/>
        <v>0</v>
      </c>
      <c r="O7485">
        <f t="shared" si="701"/>
        <v>0</v>
      </c>
      <c r="P7485">
        <f t="shared" si="698"/>
        <v>5700</v>
      </c>
      <c r="Q7485">
        <f t="shared" si="702"/>
        <v>5700</v>
      </c>
      <c r="T7485" s="16">
        <f t="shared" si="703"/>
        <v>1.4107714362419519</v>
      </c>
    </row>
    <row r="7486" spans="7:20" ht="14.4" x14ac:dyDescent="0.25">
      <c r="G7486" s="10">
        <v>5375</v>
      </c>
      <c r="H7486" s="9">
        <v>38212</v>
      </c>
      <c r="I7486" s="14">
        <f>DATE(2012,12,31)-637</f>
        <v>40637</v>
      </c>
      <c r="J7486" s="15" t="s">
        <v>16</v>
      </c>
      <c r="K7486" s="9">
        <v>38</v>
      </c>
      <c r="L7486" s="16" t="s">
        <v>27</v>
      </c>
      <c r="M7486" s="16">
        <f t="shared" si="699"/>
        <v>0.85829322328818081</v>
      </c>
      <c r="N7486">
        <f t="shared" si="700"/>
        <v>0</v>
      </c>
      <c r="O7486">
        <f t="shared" si="701"/>
        <v>0</v>
      </c>
      <c r="P7486">
        <f t="shared" si="698"/>
        <v>5300</v>
      </c>
      <c r="Q7486">
        <f t="shared" si="702"/>
        <v>5300</v>
      </c>
      <c r="T7486" s="16">
        <f t="shared" si="703"/>
        <v>0.85829322328818036</v>
      </c>
    </row>
    <row r="7487" spans="7:20" ht="14.4" x14ac:dyDescent="0.25">
      <c r="G7487" s="10">
        <v>5378</v>
      </c>
      <c r="H7487" s="9">
        <v>38240</v>
      </c>
      <c r="I7487" s="14">
        <f>DATE(2012,12,31)-1108</f>
        <v>40166</v>
      </c>
      <c r="J7487" s="15" t="s">
        <v>17</v>
      </c>
      <c r="K7487" s="9">
        <v>42</v>
      </c>
      <c r="L7487" s="16" t="s">
        <v>27</v>
      </c>
      <c r="M7487" s="16">
        <f t="shared" si="699"/>
        <v>1.1345323297650665</v>
      </c>
      <c r="N7487">
        <f t="shared" si="700"/>
        <v>0</v>
      </c>
      <c r="O7487">
        <f t="shared" si="701"/>
        <v>0</v>
      </c>
      <c r="P7487">
        <f t="shared" si="698"/>
        <v>5500</v>
      </c>
      <c r="Q7487">
        <f t="shared" si="702"/>
        <v>5500</v>
      </c>
      <c r="T7487" s="16">
        <f t="shared" si="703"/>
        <v>1.1345323297650662</v>
      </c>
    </row>
    <row r="7488" spans="7:20" ht="14.4" x14ac:dyDescent="0.25">
      <c r="G7488" s="10">
        <v>5447</v>
      </c>
      <c r="H7488" s="9">
        <v>38661</v>
      </c>
      <c r="I7488" s="14">
        <f>DATE(2012,12,31)-323</f>
        <v>40951</v>
      </c>
      <c r="J7488" s="15" t="s">
        <v>17</v>
      </c>
      <c r="K7488" s="9">
        <v>48</v>
      </c>
      <c r="L7488" s="16" t="s">
        <v>26</v>
      </c>
      <c r="M7488" s="16">
        <f t="shared" si="699"/>
        <v>1.5488909894803951</v>
      </c>
      <c r="N7488">
        <f t="shared" si="700"/>
        <v>0</v>
      </c>
      <c r="O7488">
        <f t="shared" si="701"/>
        <v>0</v>
      </c>
      <c r="P7488">
        <f t="shared" si="698"/>
        <v>5800</v>
      </c>
      <c r="Q7488">
        <f t="shared" si="702"/>
        <v>5800</v>
      </c>
      <c r="T7488" s="16">
        <f t="shared" si="703"/>
        <v>1.5488909894803948</v>
      </c>
    </row>
    <row r="7489" spans="7:20" ht="14.4" x14ac:dyDescent="0.25">
      <c r="G7489" s="10">
        <v>5448</v>
      </c>
      <c r="H7489" s="9">
        <v>38661</v>
      </c>
      <c r="I7489" s="14">
        <f>DATE(2012,12,31)-323</f>
        <v>40951</v>
      </c>
      <c r="J7489" s="15" t="s">
        <v>17</v>
      </c>
      <c r="K7489" s="9">
        <v>6</v>
      </c>
      <c r="L7489" s="16" t="s">
        <v>27</v>
      </c>
      <c r="M7489" s="16">
        <f t="shared" si="699"/>
        <v>-1.3516196285269051</v>
      </c>
      <c r="N7489">
        <f t="shared" si="700"/>
        <v>0</v>
      </c>
      <c r="O7489">
        <f t="shared" si="701"/>
        <v>0</v>
      </c>
      <c r="P7489">
        <f t="shared" si="698"/>
        <v>3700</v>
      </c>
      <c r="Q7489">
        <f t="shared" si="702"/>
        <v>3700</v>
      </c>
      <c r="T7489" s="16">
        <f t="shared" si="703"/>
        <v>-1.3516196285269055</v>
      </c>
    </row>
    <row r="7490" spans="7:20" ht="14.4" x14ac:dyDescent="0.25">
      <c r="G7490" s="10">
        <v>5516</v>
      </c>
      <c r="H7490" s="9">
        <v>39110</v>
      </c>
      <c r="I7490" s="14">
        <f>DATE(2012,12,31)-1060</f>
        <v>40214</v>
      </c>
      <c r="J7490" s="15" t="s">
        <v>16</v>
      </c>
      <c r="K7490" s="9">
        <v>14</v>
      </c>
      <c r="L7490" s="16" t="s">
        <v>29</v>
      </c>
      <c r="M7490" s="16">
        <f t="shared" si="699"/>
        <v>-0.79914141557313367</v>
      </c>
      <c r="N7490">
        <f t="shared" si="700"/>
        <v>0</v>
      </c>
      <c r="O7490">
        <f t="shared" si="701"/>
        <v>0</v>
      </c>
      <c r="P7490">
        <f t="shared" si="698"/>
        <v>4100</v>
      </c>
      <c r="Q7490">
        <f t="shared" si="702"/>
        <v>4100</v>
      </c>
      <c r="T7490" s="16">
        <f t="shared" si="703"/>
        <v>-0.79914141557313401</v>
      </c>
    </row>
    <row r="7491" spans="7:20" ht="14.4" x14ac:dyDescent="0.25">
      <c r="G7491" s="10">
        <v>5537</v>
      </c>
      <c r="H7491" s="9">
        <v>39235</v>
      </c>
      <c r="I7491" s="14">
        <f>DATE(2012,12,31)-901</f>
        <v>40373</v>
      </c>
      <c r="J7491" s="15" t="s">
        <v>16</v>
      </c>
      <c r="K7491" s="9">
        <v>34</v>
      </c>
      <c r="L7491" s="16" t="s">
        <v>26</v>
      </c>
      <c r="M7491" s="16">
        <f t="shared" si="699"/>
        <v>0.58205411681129504</v>
      </c>
      <c r="N7491">
        <f t="shared" si="700"/>
        <v>0</v>
      </c>
      <c r="O7491">
        <f t="shared" si="701"/>
        <v>0</v>
      </c>
      <c r="P7491">
        <f t="shared" si="698"/>
        <v>5100</v>
      </c>
      <c r="Q7491">
        <f t="shared" si="702"/>
        <v>5100</v>
      </c>
      <c r="T7491" s="16">
        <f t="shared" si="703"/>
        <v>0.58205411681129471</v>
      </c>
    </row>
    <row r="7492" spans="7:20" ht="14.4" x14ac:dyDescent="0.25">
      <c r="G7492" s="10">
        <v>5548</v>
      </c>
      <c r="H7492" s="9">
        <v>39270</v>
      </c>
      <c r="I7492" s="14">
        <f>DATE(2012,12,31)-694</f>
        <v>40580</v>
      </c>
      <c r="J7492" s="15" t="s">
        <v>17</v>
      </c>
      <c r="K7492" s="9">
        <v>11</v>
      </c>
      <c r="L7492" s="16" t="s">
        <v>26</v>
      </c>
      <c r="M7492" s="16">
        <f t="shared" si="699"/>
        <v>-1.0063207454307979</v>
      </c>
      <c r="N7492">
        <f t="shared" si="700"/>
        <v>0</v>
      </c>
      <c r="O7492">
        <f t="shared" si="701"/>
        <v>0</v>
      </c>
      <c r="P7492">
        <f t="shared" si="698"/>
        <v>3950</v>
      </c>
      <c r="Q7492">
        <f t="shared" si="702"/>
        <v>3950</v>
      </c>
      <c r="T7492" s="16">
        <f t="shared" si="703"/>
        <v>-1.0063207454307983</v>
      </c>
    </row>
    <row r="7493" spans="7:20" ht="14.4" x14ac:dyDescent="0.25">
      <c r="G7493" s="10">
        <v>5582</v>
      </c>
      <c r="H7493" s="9">
        <v>39586</v>
      </c>
      <c r="I7493" s="14">
        <f>DATE(2012,12,31)-592</f>
        <v>40682</v>
      </c>
      <c r="J7493" s="15" t="s">
        <v>28</v>
      </c>
      <c r="K7493" s="9">
        <v>1</v>
      </c>
      <c r="L7493" s="16" t="s">
        <v>26</v>
      </c>
      <c r="M7493" s="16">
        <f t="shared" si="699"/>
        <v>-1.6969185116230123</v>
      </c>
      <c r="N7493">
        <f t="shared" si="700"/>
        <v>0</v>
      </c>
      <c r="O7493">
        <f t="shared" si="701"/>
        <v>0</v>
      </c>
      <c r="P7493">
        <f t="shared" si="698"/>
        <v>3450</v>
      </c>
      <c r="Q7493">
        <f t="shared" si="702"/>
        <v>3450</v>
      </c>
      <c r="T7493" s="16">
        <f t="shared" si="703"/>
        <v>-1.6969185116230128</v>
      </c>
    </row>
    <row r="7494" spans="7:20" ht="14.4" x14ac:dyDescent="0.25">
      <c r="G7494" s="10">
        <v>5620</v>
      </c>
      <c r="H7494" s="9">
        <v>39812</v>
      </c>
      <c r="I7494" s="14">
        <f>DATE(2012,12,31)-1290</f>
        <v>39984</v>
      </c>
      <c r="J7494" s="15" t="s">
        <v>28</v>
      </c>
      <c r="K7494" s="9">
        <v>40</v>
      </c>
      <c r="L7494" s="16" t="s">
        <v>26</v>
      </c>
      <c r="M7494" s="16">
        <f t="shared" si="699"/>
        <v>0.99641277652662363</v>
      </c>
      <c r="N7494">
        <f t="shared" si="700"/>
        <v>0</v>
      </c>
      <c r="O7494">
        <f t="shared" si="701"/>
        <v>0</v>
      </c>
      <c r="P7494">
        <f t="shared" si="698"/>
        <v>5400</v>
      </c>
      <c r="Q7494">
        <f t="shared" si="702"/>
        <v>5400</v>
      </c>
      <c r="T7494" s="16">
        <f t="shared" si="703"/>
        <v>0.9964127765266233</v>
      </c>
    </row>
    <row r="7495" spans="7:20" ht="14.4" x14ac:dyDescent="0.25">
      <c r="G7495" s="10">
        <v>5731</v>
      </c>
      <c r="H7495" s="9">
        <v>40673</v>
      </c>
      <c r="I7495" s="14">
        <f>DATE(2012,12,31)-318</f>
        <v>40956</v>
      </c>
      <c r="J7495" s="15" t="s">
        <v>25</v>
      </c>
      <c r="K7495" s="9">
        <v>14</v>
      </c>
      <c r="L7495" s="16" t="s">
        <v>26</v>
      </c>
      <c r="M7495" s="16">
        <f t="shared" si="699"/>
        <v>-0.79914141557313367</v>
      </c>
      <c r="N7495">
        <f t="shared" si="700"/>
        <v>0</v>
      </c>
      <c r="O7495">
        <f t="shared" si="701"/>
        <v>0</v>
      </c>
      <c r="P7495">
        <f t="shared" si="698"/>
        <v>4100</v>
      </c>
      <c r="Q7495">
        <f t="shared" si="702"/>
        <v>4100</v>
      </c>
      <c r="T7495" s="16">
        <f t="shared" si="703"/>
        <v>-0.79914141557313401</v>
      </c>
    </row>
    <row r="7496" spans="7:20" ht="14.4" x14ac:dyDescent="0.25">
      <c r="G7496" s="10">
        <v>5837</v>
      </c>
      <c r="H7496" s="9">
        <v>41413</v>
      </c>
      <c r="I7496" s="14">
        <f>DATE(2012,12,31)-411</f>
        <v>40863</v>
      </c>
      <c r="J7496" s="15" t="s">
        <v>25</v>
      </c>
      <c r="K7496" s="9">
        <v>17</v>
      </c>
      <c r="L7496" s="16" t="s">
        <v>27</v>
      </c>
      <c r="M7496" s="16">
        <f t="shared" si="699"/>
        <v>-0.59196208571546938</v>
      </c>
      <c r="N7496">
        <f t="shared" si="700"/>
        <v>0</v>
      </c>
      <c r="O7496">
        <f t="shared" si="701"/>
        <v>0</v>
      </c>
      <c r="P7496">
        <f t="shared" si="698"/>
        <v>4250</v>
      </c>
      <c r="Q7496">
        <f t="shared" si="702"/>
        <v>4250</v>
      </c>
      <c r="T7496" s="16">
        <f t="shared" si="703"/>
        <v>-0.59196208571546971</v>
      </c>
    </row>
    <row r="7497" spans="7:20" ht="14.4" x14ac:dyDescent="0.25">
      <c r="G7497" s="10">
        <v>5838</v>
      </c>
      <c r="H7497" s="9">
        <v>41413</v>
      </c>
      <c r="I7497" s="14">
        <f>DATE(2012,12,31)-411</f>
        <v>40863</v>
      </c>
      <c r="J7497" s="15" t="s">
        <v>25</v>
      </c>
      <c r="K7497" s="9">
        <v>46</v>
      </c>
      <c r="L7497" s="16" t="s">
        <v>29</v>
      </c>
      <c r="M7497" s="16">
        <f t="shared" si="699"/>
        <v>1.4107714362419523</v>
      </c>
      <c r="N7497">
        <f t="shared" si="700"/>
        <v>0</v>
      </c>
      <c r="O7497">
        <f t="shared" si="701"/>
        <v>0</v>
      </c>
      <c r="P7497">
        <f t="shared" si="698"/>
        <v>5700</v>
      </c>
      <c r="Q7497">
        <f t="shared" si="702"/>
        <v>5700</v>
      </c>
      <c r="T7497" s="16">
        <f t="shared" si="703"/>
        <v>1.4107714362419519</v>
      </c>
    </row>
    <row r="7498" spans="7:20" ht="14.4" x14ac:dyDescent="0.25">
      <c r="G7498" s="10">
        <v>5839</v>
      </c>
      <c r="H7498" s="9">
        <v>41413</v>
      </c>
      <c r="I7498" s="14">
        <f>DATE(2012,12,31)-411</f>
        <v>40863</v>
      </c>
      <c r="J7498" s="15" t="s">
        <v>25</v>
      </c>
      <c r="K7498" s="9">
        <v>23</v>
      </c>
      <c r="L7498" s="16" t="s">
        <v>26</v>
      </c>
      <c r="M7498" s="16">
        <f t="shared" si="699"/>
        <v>-0.17760342600014073</v>
      </c>
      <c r="N7498">
        <f t="shared" si="700"/>
        <v>0</v>
      </c>
      <c r="O7498">
        <f t="shared" si="701"/>
        <v>0</v>
      </c>
      <c r="P7498">
        <f t="shared" si="698"/>
        <v>4550</v>
      </c>
      <c r="Q7498">
        <f t="shared" si="702"/>
        <v>4550</v>
      </c>
      <c r="T7498" s="16">
        <f t="shared" si="703"/>
        <v>-0.17760342600014112</v>
      </c>
    </row>
    <row r="7499" spans="7:20" ht="14.4" x14ac:dyDescent="0.25">
      <c r="G7499" s="10">
        <v>5895</v>
      </c>
      <c r="H7499" s="9">
        <v>41824</v>
      </c>
      <c r="I7499" s="14">
        <f>DATE(2012,12,31)-911</f>
        <v>40363</v>
      </c>
      <c r="J7499" s="15" t="s">
        <v>28</v>
      </c>
      <c r="K7499" s="9">
        <v>8</v>
      </c>
      <c r="L7499" s="16" t="s">
        <v>26</v>
      </c>
      <c r="M7499" s="16">
        <f t="shared" si="699"/>
        <v>-1.2135000752884624</v>
      </c>
      <c r="N7499">
        <f t="shared" si="700"/>
        <v>0</v>
      </c>
      <c r="O7499">
        <f t="shared" si="701"/>
        <v>0</v>
      </c>
      <c r="P7499">
        <f t="shared" si="698"/>
        <v>3800</v>
      </c>
      <c r="Q7499">
        <f t="shared" si="702"/>
        <v>3800</v>
      </c>
      <c r="T7499" s="16">
        <f t="shared" si="703"/>
        <v>-1.2135000752884626</v>
      </c>
    </row>
    <row r="7500" spans="7:20" ht="14.4" x14ac:dyDescent="0.25">
      <c r="G7500" s="10">
        <v>5896</v>
      </c>
      <c r="H7500" s="9">
        <v>41824</v>
      </c>
      <c r="I7500" s="14">
        <f>DATE(2012,12,31)-911</f>
        <v>40363</v>
      </c>
      <c r="J7500" s="15" t="s">
        <v>28</v>
      </c>
      <c r="K7500" s="9">
        <v>33</v>
      </c>
      <c r="L7500" s="16" t="s">
        <v>26</v>
      </c>
      <c r="M7500" s="16">
        <f t="shared" si="699"/>
        <v>0.51299434019207357</v>
      </c>
      <c r="N7500">
        <f t="shared" si="700"/>
        <v>0</v>
      </c>
      <c r="O7500">
        <f t="shared" si="701"/>
        <v>0</v>
      </c>
      <c r="P7500">
        <f t="shared" ref="P7500:P7563" si="704">50*K7500+$P$10</f>
        <v>5050</v>
      </c>
      <c r="Q7500">
        <f t="shared" si="702"/>
        <v>5050</v>
      </c>
      <c r="T7500" s="16">
        <f t="shared" si="703"/>
        <v>0.51299434019207324</v>
      </c>
    </row>
    <row r="7501" spans="7:20" ht="14.4" x14ac:dyDescent="0.25">
      <c r="G7501" s="10">
        <v>6015</v>
      </c>
      <c r="H7501" s="9">
        <v>42628</v>
      </c>
      <c r="I7501" s="14">
        <f>DATE(2012,12,31)-606</f>
        <v>40668</v>
      </c>
      <c r="J7501" s="15" t="s">
        <v>28</v>
      </c>
      <c r="K7501" s="9">
        <v>4</v>
      </c>
      <c r="L7501" s="16" t="s">
        <v>29</v>
      </c>
      <c r="M7501" s="16">
        <f t="shared" ref="M7501:M7564" si="705">(K7501-$K$4)/$K$7</f>
        <v>-1.489739181765348</v>
      </c>
      <c r="N7501">
        <f t="shared" ref="N7501:N7564" si="706">IF(MOD($B$20+G7501,1000)=0,1,0)</f>
        <v>0</v>
      </c>
      <c r="O7501">
        <f t="shared" ref="O7501:O7564" si="707">+ROUND(N7501*(IF(K7501&lt;$K$4,-4.5,10.5)*$P$5),-2)</f>
        <v>0</v>
      </c>
      <c r="P7501">
        <f t="shared" si="704"/>
        <v>3600</v>
      </c>
      <c r="Q7501">
        <f t="shared" ref="Q7501:Q7564" si="708">P7501+O7501</f>
        <v>3600</v>
      </c>
      <c r="T7501" s="16">
        <f t="shared" ref="T7501:T7564" si="709">(Q7501-$P$4)/$P$5</f>
        <v>-1.4897391817653485</v>
      </c>
    </row>
    <row r="7502" spans="7:20" ht="14.4" x14ac:dyDescent="0.25">
      <c r="G7502" s="10">
        <v>6030</v>
      </c>
      <c r="H7502" s="9">
        <v>42722</v>
      </c>
      <c r="I7502" s="14">
        <f>DATE(2012,12,31)-85</f>
        <v>41189</v>
      </c>
      <c r="J7502" s="15" t="s">
        <v>28</v>
      </c>
      <c r="K7502" s="9">
        <v>23</v>
      </c>
      <c r="L7502" s="16" t="s">
        <v>26</v>
      </c>
      <c r="M7502" s="16">
        <f t="shared" si="705"/>
        <v>-0.17760342600014073</v>
      </c>
      <c r="N7502">
        <f t="shared" si="706"/>
        <v>0</v>
      </c>
      <c r="O7502">
        <f t="shared" si="707"/>
        <v>0</v>
      </c>
      <c r="P7502">
        <f t="shared" si="704"/>
        <v>4550</v>
      </c>
      <c r="Q7502">
        <f t="shared" si="708"/>
        <v>4550</v>
      </c>
      <c r="T7502" s="16">
        <f t="shared" si="709"/>
        <v>-0.17760342600014112</v>
      </c>
    </row>
    <row r="7503" spans="7:20" ht="14.4" x14ac:dyDescent="0.25">
      <c r="G7503" s="10">
        <v>6031</v>
      </c>
      <c r="H7503" s="9">
        <v>42722</v>
      </c>
      <c r="I7503" s="14">
        <f>DATE(2012,12,31)-85</f>
        <v>41189</v>
      </c>
      <c r="J7503" s="15" t="s">
        <v>28</v>
      </c>
      <c r="K7503" s="9">
        <v>2</v>
      </c>
      <c r="L7503" s="16" t="s">
        <v>29</v>
      </c>
      <c r="M7503" s="16">
        <f t="shared" si="705"/>
        <v>-1.627858735003791</v>
      </c>
      <c r="N7503">
        <f t="shared" si="706"/>
        <v>0</v>
      </c>
      <c r="O7503">
        <f t="shared" si="707"/>
        <v>0</v>
      </c>
      <c r="P7503">
        <f t="shared" si="704"/>
        <v>3500</v>
      </c>
      <c r="Q7503">
        <f t="shared" si="708"/>
        <v>3500</v>
      </c>
      <c r="T7503" s="16">
        <f t="shared" si="709"/>
        <v>-1.6278587350037912</v>
      </c>
    </row>
    <row r="7504" spans="7:20" ht="14.4" x14ac:dyDescent="0.25">
      <c r="G7504" s="10">
        <v>6035</v>
      </c>
      <c r="H7504" s="9">
        <v>42753</v>
      </c>
      <c r="I7504" s="14">
        <f>DATE(2012,12,31)-348</f>
        <v>40926</v>
      </c>
      <c r="J7504" s="15" t="s">
        <v>16</v>
      </c>
      <c r="K7504" s="9">
        <v>45</v>
      </c>
      <c r="L7504" s="16" t="s">
        <v>27</v>
      </c>
      <c r="M7504" s="16">
        <f t="shared" si="705"/>
        <v>1.3417116596227308</v>
      </c>
      <c r="N7504">
        <f t="shared" si="706"/>
        <v>0</v>
      </c>
      <c r="O7504">
        <f t="shared" si="707"/>
        <v>0</v>
      </c>
      <c r="P7504">
        <f t="shared" si="704"/>
        <v>5650</v>
      </c>
      <c r="Q7504">
        <f t="shared" si="708"/>
        <v>5650</v>
      </c>
      <c r="T7504" s="16">
        <f t="shared" si="709"/>
        <v>1.3417116596227305</v>
      </c>
    </row>
    <row r="7505" spans="7:20" ht="14.4" x14ac:dyDescent="0.25">
      <c r="G7505" s="10">
        <v>6073</v>
      </c>
      <c r="H7505" s="9">
        <v>43013</v>
      </c>
      <c r="I7505" s="14">
        <f>DATE(2012,12,31)-619</f>
        <v>40655</v>
      </c>
      <c r="J7505" s="15" t="s">
        <v>25</v>
      </c>
      <c r="K7505" s="9">
        <v>43</v>
      </c>
      <c r="L7505" s="16" t="s">
        <v>26</v>
      </c>
      <c r="M7505" s="16">
        <f t="shared" si="705"/>
        <v>1.203592106384288</v>
      </c>
      <c r="N7505">
        <f t="shared" si="706"/>
        <v>0</v>
      </c>
      <c r="O7505">
        <f t="shared" si="707"/>
        <v>0</v>
      </c>
      <c r="P7505">
        <f t="shared" si="704"/>
        <v>5550</v>
      </c>
      <c r="Q7505">
        <f t="shared" si="708"/>
        <v>5550</v>
      </c>
      <c r="T7505" s="16">
        <f t="shared" si="709"/>
        <v>1.2035921063842876</v>
      </c>
    </row>
    <row r="7506" spans="7:20" ht="14.4" x14ac:dyDescent="0.25">
      <c r="G7506" s="10">
        <v>6238</v>
      </c>
      <c r="H7506" s="9">
        <v>44198</v>
      </c>
      <c r="I7506" s="14">
        <f>DATE(2012,12,31)-727</f>
        <v>40547</v>
      </c>
      <c r="J7506" s="15" t="s">
        <v>30</v>
      </c>
      <c r="K7506" s="9">
        <v>35</v>
      </c>
      <c r="L7506" s="16" t="s">
        <v>27</v>
      </c>
      <c r="M7506" s="16">
        <f t="shared" si="705"/>
        <v>0.65111389343051651</v>
      </c>
      <c r="N7506">
        <f t="shared" si="706"/>
        <v>0</v>
      </c>
      <c r="O7506">
        <f t="shared" si="707"/>
        <v>0</v>
      </c>
      <c r="P7506">
        <f t="shared" si="704"/>
        <v>5150</v>
      </c>
      <c r="Q7506">
        <f t="shared" si="708"/>
        <v>5150</v>
      </c>
      <c r="T7506" s="16">
        <f t="shared" si="709"/>
        <v>0.65111389343051607</v>
      </c>
    </row>
    <row r="7507" spans="7:20" ht="14.4" x14ac:dyDescent="0.25">
      <c r="G7507" s="10">
        <v>6281</v>
      </c>
      <c r="H7507" s="9">
        <v>44451</v>
      </c>
      <c r="I7507" s="14">
        <f>DATE(2012,12,31)-477</f>
        <v>40797</v>
      </c>
      <c r="J7507" s="15" t="s">
        <v>25</v>
      </c>
      <c r="K7507" s="9">
        <v>4</v>
      </c>
      <c r="L7507" s="16" t="s">
        <v>26</v>
      </c>
      <c r="M7507" s="16">
        <f t="shared" si="705"/>
        <v>-1.489739181765348</v>
      </c>
      <c r="N7507">
        <f t="shared" si="706"/>
        <v>0</v>
      </c>
      <c r="O7507">
        <f t="shared" si="707"/>
        <v>0</v>
      </c>
      <c r="P7507">
        <f t="shared" si="704"/>
        <v>3600</v>
      </c>
      <c r="Q7507">
        <f t="shared" si="708"/>
        <v>3600</v>
      </c>
      <c r="T7507" s="16">
        <f t="shared" si="709"/>
        <v>-1.4897391817653485</v>
      </c>
    </row>
    <row r="7508" spans="7:20" ht="14.4" x14ac:dyDescent="0.25">
      <c r="G7508" s="10">
        <v>6296</v>
      </c>
      <c r="H7508" s="9">
        <v>44576</v>
      </c>
      <c r="I7508" s="14">
        <f>DATE(2012,12,31)-1102</f>
        <v>40172</v>
      </c>
      <c r="J7508" s="15" t="s">
        <v>28</v>
      </c>
      <c r="K7508" s="9">
        <v>30</v>
      </c>
      <c r="L7508" s="16" t="s">
        <v>27</v>
      </c>
      <c r="M7508" s="16">
        <f t="shared" si="705"/>
        <v>0.30581501033440933</v>
      </c>
      <c r="N7508">
        <f t="shared" si="706"/>
        <v>0</v>
      </c>
      <c r="O7508">
        <f t="shared" si="707"/>
        <v>0</v>
      </c>
      <c r="P7508">
        <f t="shared" si="704"/>
        <v>4900</v>
      </c>
      <c r="Q7508">
        <f t="shared" si="708"/>
        <v>4900</v>
      </c>
      <c r="T7508" s="16">
        <f t="shared" si="709"/>
        <v>0.30581501033440894</v>
      </c>
    </row>
    <row r="7509" spans="7:20" ht="14.4" x14ac:dyDescent="0.25">
      <c r="G7509" s="10">
        <v>6327</v>
      </c>
      <c r="H7509" s="9">
        <v>44834</v>
      </c>
      <c r="I7509" s="14">
        <f>DATE(2012,12,31)-1351</f>
        <v>39923</v>
      </c>
      <c r="J7509" s="15" t="s">
        <v>16</v>
      </c>
      <c r="K7509" s="9">
        <v>13</v>
      </c>
      <c r="L7509" s="16" t="s">
        <v>26</v>
      </c>
      <c r="M7509" s="16">
        <f t="shared" si="705"/>
        <v>-0.86820119219235514</v>
      </c>
      <c r="N7509">
        <f t="shared" si="706"/>
        <v>0</v>
      </c>
      <c r="O7509">
        <f t="shared" si="707"/>
        <v>0</v>
      </c>
      <c r="P7509">
        <f t="shared" si="704"/>
        <v>4050</v>
      </c>
      <c r="Q7509">
        <f t="shared" si="708"/>
        <v>4050</v>
      </c>
      <c r="T7509" s="16">
        <f t="shared" si="709"/>
        <v>-0.86820119219235548</v>
      </c>
    </row>
    <row r="7510" spans="7:20" ht="14.4" x14ac:dyDescent="0.25">
      <c r="G7510" s="10">
        <v>6328</v>
      </c>
      <c r="H7510" s="9">
        <v>44834</v>
      </c>
      <c r="I7510" s="14">
        <f>DATE(2012,12,31)-1351</f>
        <v>39923</v>
      </c>
      <c r="J7510" s="15" t="s">
        <v>16</v>
      </c>
      <c r="K7510" s="9">
        <v>43</v>
      </c>
      <c r="L7510" s="16" t="s">
        <v>29</v>
      </c>
      <c r="M7510" s="16">
        <f t="shared" si="705"/>
        <v>1.203592106384288</v>
      </c>
      <c r="N7510">
        <f t="shared" si="706"/>
        <v>0</v>
      </c>
      <c r="O7510">
        <f t="shared" si="707"/>
        <v>0</v>
      </c>
      <c r="P7510">
        <f t="shared" si="704"/>
        <v>5550</v>
      </c>
      <c r="Q7510">
        <f t="shared" si="708"/>
        <v>5550</v>
      </c>
      <c r="T7510" s="16">
        <f t="shared" si="709"/>
        <v>1.2035921063842876</v>
      </c>
    </row>
    <row r="7511" spans="7:20" ht="14.4" x14ac:dyDescent="0.25">
      <c r="G7511" s="10">
        <v>6473</v>
      </c>
      <c r="H7511" s="9">
        <v>46053</v>
      </c>
      <c r="I7511" s="14">
        <f>DATE(2012,12,31)-109</f>
        <v>41165</v>
      </c>
      <c r="J7511" s="15" t="s">
        <v>17</v>
      </c>
      <c r="K7511" s="9">
        <v>31</v>
      </c>
      <c r="L7511" s="16" t="s">
        <v>27</v>
      </c>
      <c r="M7511" s="16">
        <f t="shared" si="705"/>
        <v>0.37487478695363075</v>
      </c>
      <c r="N7511">
        <f t="shared" si="706"/>
        <v>0</v>
      </c>
      <c r="O7511">
        <f t="shared" si="707"/>
        <v>0</v>
      </c>
      <c r="P7511">
        <f t="shared" si="704"/>
        <v>4950</v>
      </c>
      <c r="Q7511">
        <f t="shared" si="708"/>
        <v>4950</v>
      </c>
      <c r="T7511" s="16">
        <f t="shared" si="709"/>
        <v>0.37487478695363036</v>
      </c>
    </row>
    <row r="7512" spans="7:20" ht="14.4" x14ac:dyDescent="0.25">
      <c r="G7512" s="10">
        <v>6654</v>
      </c>
      <c r="H7512" s="9">
        <v>47329</v>
      </c>
      <c r="I7512" s="14">
        <f>DATE(2012,12,31)-1055</f>
        <v>40219</v>
      </c>
      <c r="J7512" s="15" t="s">
        <v>25</v>
      </c>
      <c r="K7512" s="9">
        <v>2</v>
      </c>
      <c r="L7512" s="16" t="s">
        <v>26</v>
      </c>
      <c r="M7512" s="16">
        <f t="shared" si="705"/>
        <v>-1.627858735003791</v>
      </c>
      <c r="N7512">
        <f t="shared" si="706"/>
        <v>0</v>
      </c>
      <c r="O7512">
        <f t="shared" si="707"/>
        <v>0</v>
      </c>
      <c r="P7512">
        <f t="shared" si="704"/>
        <v>3500</v>
      </c>
      <c r="Q7512">
        <f t="shared" si="708"/>
        <v>3500</v>
      </c>
      <c r="T7512" s="16">
        <f t="shared" si="709"/>
        <v>-1.6278587350037912</v>
      </c>
    </row>
    <row r="7513" spans="7:20" ht="14.4" x14ac:dyDescent="0.25">
      <c r="G7513" s="10">
        <v>6655</v>
      </c>
      <c r="H7513" s="9">
        <v>47329</v>
      </c>
      <c r="I7513" s="14">
        <f>DATE(2012,12,31)-1055</f>
        <v>40219</v>
      </c>
      <c r="J7513" s="15" t="s">
        <v>25</v>
      </c>
      <c r="K7513" s="9">
        <v>16</v>
      </c>
      <c r="L7513" s="16" t="s">
        <v>26</v>
      </c>
      <c r="M7513" s="16">
        <f t="shared" si="705"/>
        <v>-0.66102186233469074</v>
      </c>
      <c r="N7513">
        <f t="shared" si="706"/>
        <v>0</v>
      </c>
      <c r="O7513">
        <f t="shared" si="707"/>
        <v>0</v>
      </c>
      <c r="P7513">
        <f t="shared" si="704"/>
        <v>4200</v>
      </c>
      <c r="Q7513">
        <f t="shared" si="708"/>
        <v>4200</v>
      </c>
      <c r="T7513" s="16">
        <f t="shared" si="709"/>
        <v>-0.66102186233469118</v>
      </c>
    </row>
    <row r="7514" spans="7:20" ht="14.4" x14ac:dyDescent="0.25">
      <c r="G7514" s="10">
        <v>6666</v>
      </c>
      <c r="H7514" s="9">
        <v>47461</v>
      </c>
      <c r="I7514" s="14">
        <f>DATE(2012,12,31)-981</f>
        <v>40293</v>
      </c>
      <c r="J7514" s="15" t="s">
        <v>17</v>
      </c>
      <c r="K7514" s="9">
        <v>39</v>
      </c>
      <c r="L7514" s="16" t="s">
        <v>26</v>
      </c>
      <c r="M7514" s="16">
        <f t="shared" si="705"/>
        <v>0.92735299990740228</v>
      </c>
      <c r="N7514">
        <f t="shared" si="706"/>
        <v>0</v>
      </c>
      <c r="O7514">
        <f t="shared" si="707"/>
        <v>0</v>
      </c>
      <c r="P7514">
        <f t="shared" si="704"/>
        <v>5350</v>
      </c>
      <c r="Q7514">
        <f t="shared" si="708"/>
        <v>5350</v>
      </c>
      <c r="T7514" s="16">
        <f t="shared" si="709"/>
        <v>0.92735299990740183</v>
      </c>
    </row>
    <row r="7515" spans="7:20" ht="14.4" x14ac:dyDescent="0.25">
      <c r="G7515" s="10">
        <v>6667</v>
      </c>
      <c r="H7515" s="9">
        <v>47461</v>
      </c>
      <c r="I7515" s="14">
        <f>DATE(2012,12,31)-981</f>
        <v>40293</v>
      </c>
      <c r="J7515" s="15" t="s">
        <v>17</v>
      </c>
      <c r="K7515" s="9">
        <v>34</v>
      </c>
      <c r="L7515" s="16" t="s">
        <v>26</v>
      </c>
      <c r="M7515" s="16">
        <f t="shared" si="705"/>
        <v>0.58205411681129504</v>
      </c>
      <c r="N7515">
        <f t="shared" si="706"/>
        <v>0</v>
      </c>
      <c r="O7515">
        <f t="shared" si="707"/>
        <v>0</v>
      </c>
      <c r="P7515">
        <f t="shared" si="704"/>
        <v>5100</v>
      </c>
      <c r="Q7515">
        <f t="shared" si="708"/>
        <v>5100</v>
      </c>
      <c r="T7515" s="16">
        <f t="shared" si="709"/>
        <v>0.58205411681129471</v>
      </c>
    </row>
    <row r="7516" spans="7:20" ht="14.4" x14ac:dyDescent="0.25">
      <c r="G7516" s="10">
        <v>6668</v>
      </c>
      <c r="H7516" s="9">
        <v>47461</v>
      </c>
      <c r="I7516" s="14">
        <f>DATE(2012,12,31)-981</f>
        <v>40293</v>
      </c>
      <c r="J7516" s="15" t="s">
        <v>17</v>
      </c>
      <c r="K7516" s="9">
        <v>45</v>
      </c>
      <c r="L7516" s="16" t="s">
        <v>26</v>
      </c>
      <c r="M7516" s="16">
        <f t="shared" si="705"/>
        <v>1.3417116596227308</v>
      </c>
      <c r="N7516">
        <f t="shared" si="706"/>
        <v>0</v>
      </c>
      <c r="O7516">
        <f t="shared" si="707"/>
        <v>0</v>
      </c>
      <c r="P7516">
        <f t="shared" si="704"/>
        <v>5650</v>
      </c>
      <c r="Q7516">
        <f t="shared" si="708"/>
        <v>5650</v>
      </c>
      <c r="T7516" s="16">
        <f t="shared" si="709"/>
        <v>1.3417116596227305</v>
      </c>
    </row>
    <row r="7517" spans="7:20" ht="14.4" x14ac:dyDescent="0.25">
      <c r="G7517" s="10">
        <v>6682</v>
      </c>
      <c r="H7517" s="9">
        <v>47525</v>
      </c>
      <c r="I7517" s="14">
        <f>DATE(2012,12,31)-669</f>
        <v>40605</v>
      </c>
      <c r="J7517" s="15" t="s">
        <v>16</v>
      </c>
      <c r="K7517" s="9">
        <v>40</v>
      </c>
      <c r="L7517" s="16" t="s">
        <v>27</v>
      </c>
      <c r="M7517" s="16">
        <f t="shared" si="705"/>
        <v>0.99641277652662363</v>
      </c>
      <c r="N7517">
        <f t="shared" si="706"/>
        <v>0</v>
      </c>
      <c r="O7517">
        <f t="shared" si="707"/>
        <v>0</v>
      </c>
      <c r="P7517">
        <f t="shared" si="704"/>
        <v>5400</v>
      </c>
      <c r="Q7517">
        <f t="shared" si="708"/>
        <v>5400</v>
      </c>
      <c r="T7517" s="16">
        <f t="shared" si="709"/>
        <v>0.9964127765266233</v>
      </c>
    </row>
    <row r="7518" spans="7:20" ht="14.4" x14ac:dyDescent="0.25">
      <c r="G7518" s="10">
        <v>6854</v>
      </c>
      <c r="H7518" s="9">
        <v>48803</v>
      </c>
      <c r="I7518" s="14">
        <f>DATE(2012,12,31)-52</f>
        <v>41222</v>
      </c>
      <c r="J7518" s="15" t="s">
        <v>30</v>
      </c>
      <c r="K7518" s="9">
        <v>19</v>
      </c>
      <c r="L7518" s="16" t="s">
        <v>26</v>
      </c>
      <c r="M7518" s="16">
        <f t="shared" si="705"/>
        <v>-0.45384253247702649</v>
      </c>
      <c r="N7518">
        <f t="shared" si="706"/>
        <v>0</v>
      </c>
      <c r="O7518">
        <f t="shared" si="707"/>
        <v>0</v>
      </c>
      <c r="P7518">
        <f t="shared" si="704"/>
        <v>4350</v>
      </c>
      <c r="Q7518">
        <f t="shared" si="708"/>
        <v>4350</v>
      </c>
      <c r="T7518" s="16">
        <f t="shared" si="709"/>
        <v>-0.45384253247702688</v>
      </c>
    </row>
    <row r="7519" spans="7:20" ht="14.4" x14ac:dyDescent="0.25">
      <c r="G7519" s="10">
        <v>6878</v>
      </c>
      <c r="H7519" s="9">
        <v>49027</v>
      </c>
      <c r="I7519" s="14">
        <f>DATE(2012,12,31)-630</f>
        <v>40644</v>
      </c>
      <c r="J7519" s="15" t="s">
        <v>17</v>
      </c>
      <c r="K7519" s="9">
        <v>41</v>
      </c>
      <c r="L7519" s="16" t="s">
        <v>29</v>
      </c>
      <c r="M7519" s="16">
        <f t="shared" si="705"/>
        <v>1.0654725531458451</v>
      </c>
      <c r="N7519">
        <f t="shared" si="706"/>
        <v>0</v>
      </c>
      <c r="O7519">
        <f t="shared" si="707"/>
        <v>0</v>
      </c>
      <c r="P7519">
        <f t="shared" si="704"/>
        <v>5450</v>
      </c>
      <c r="Q7519">
        <f t="shared" si="708"/>
        <v>5450</v>
      </c>
      <c r="T7519" s="16">
        <f t="shared" si="709"/>
        <v>1.0654725531458447</v>
      </c>
    </row>
    <row r="7520" spans="7:20" ht="14.4" x14ac:dyDescent="0.25">
      <c r="G7520" s="10">
        <v>7124</v>
      </c>
      <c r="H7520" s="9">
        <v>50822</v>
      </c>
      <c r="I7520" s="14">
        <f>DATE(2012,12,31)-328</f>
        <v>40946</v>
      </c>
      <c r="J7520" s="15" t="s">
        <v>16</v>
      </c>
      <c r="K7520" s="9">
        <v>6</v>
      </c>
      <c r="L7520" s="16" t="s">
        <v>29</v>
      </c>
      <c r="M7520" s="16">
        <f t="shared" si="705"/>
        <v>-1.3516196285269051</v>
      </c>
      <c r="N7520">
        <f t="shared" si="706"/>
        <v>0</v>
      </c>
      <c r="O7520">
        <f t="shared" si="707"/>
        <v>0</v>
      </c>
      <c r="P7520">
        <f t="shared" si="704"/>
        <v>3700</v>
      </c>
      <c r="Q7520">
        <f t="shared" si="708"/>
        <v>3700</v>
      </c>
      <c r="T7520" s="16">
        <f t="shared" si="709"/>
        <v>-1.3516196285269055</v>
      </c>
    </row>
    <row r="7521" spans="7:20" ht="14.4" x14ac:dyDescent="0.25">
      <c r="G7521" s="10">
        <v>7125</v>
      </c>
      <c r="H7521" s="9">
        <v>50822</v>
      </c>
      <c r="I7521" s="14">
        <f>DATE(2012,12,31)-328</f>
        <v>40946</v>
      </c>
      <c r="J7521" s="15" t="s">
        <v>16</v>
      </c>
      <c r="K7521" s="9">
        <v>37</v>
      </c>
      <c r="L7521" s="16" t="s">
        <v>27</v>
      </c>
      <c r="M7521" s="16">
        <f t="shared" si="705"/>
        <v>0.78923344666895934</v>
      </c>
      <c r="N7521">
        <f t="shared" si="706"/>
        <v>0</v>
      </c>
      <c r="O7521">
        <f t="shared" si="707"/>
        <v>0</v>
      </c>
      <c r="P7521">
        <f t="shared" si="704"/>
        <v>5250</v>
      </c>
      <c r="Q7521">
        <f t="shared" si="708"/>
        <v>5250</v>
      </c>
      <c r="T7521" s="16">
        <f t="shared" si="709"/>
        <v>0.789233446668959</v>
      </c>
    </row>
    <row r="7522" spans="7:20" ht="14.4" x14ac:dyDescent="0.25">
      <c r="G7522" s="10">
        <v>7251</v>
      </c>
      <c r="H7522" s="9">
        <v>51714</v>
      </c>
      <c r="I7522" s="14">
        <f>DATE(2012,12,31)-1213</f>
        <v>40061</v>
      </c>
      <c r="J7522" s="15" t="s">
        <v>28</v>
      </c>
      <c r="K7522" s="9">
        <v>33</v>
      </c>
      <c r="L7522" s="16" t="s">
        <v>26</v>
      </c>
      <c r="M7522" s="16">
        <f t="shared" si="705"/>
        <v>0.51299434019207357</v>
      </c>
      <c r="N7522">
        <f t="shared" si="706"/>
        <v>0</v>
      </c>
      <c r="O7522">
        <f t="shared" si="707"/>
        <v>0</v>
      </c>
      <c r="P7522">
        <f t="shared" si="704"/>
        <v>5050</v>
      </c>
      <c r="Q7522">
        <f t="shared" si="708"/>
        <v>5050</v>
      </c>
      <c r="T7522" s="16">
        <f t="shared" si="709"/>
        <v>0.51299434019207324</v>
      </c>
    </row>
    <row r="7523" spans="7:20" ht="14.4" x14ac:dyDescent="0.25">
      <c r="G7523" s="10">
        <v>7264</v>
      </c>
      <c r="H7523" s="9">
        <v>51815</v>
      </c>
      <c r="I7523" s="14">
        <f>DATE(2012,12,31)-1315</f>
        <v>39959</v>
      </c>
      <c r="J7523" s="15" t="s">
        <v>25</v>
      </c>
      <c r="K7523" s="9">
        <v>37</v>
      </c>
      <c r="L7523" s="16" t="s">
        <v>26</v>
      </c>
      <c r="M7523" s="16">
        <f t="shared" si="705"/>
        <v>0.78923344666895934</v>
      </c>
      <c r="N7523">
        <f t="shared" si="706"/>
        <v>0</v>
      </c>
      <c r="O7523">
        <f t="shared" si="707"/>
        <v>0</v>
      </c>
      <c r="P7523">
        <f t="shared" si="704"/>
        <v>5250</v>
      </c>
      <c r="Q7523">
        <f t="shared" si="708"/>
        <v>5250</v>
      </c>
      <c r="T7523" s="16">
        <f t="shared" si="709"/>
        <v>0.789233446668959</v>
      </c>
    </row>
    <row r="7524" spans="7:20" ht="14.4" x14ac:dyDescent="0.25">
      <c r="G7524" s="10">
        <v>7265</v>
      </c>
      <c r="H7524" s="9">
        <v>51815</v>
      </c>
      <c r="I7524" s="14">
        <f>DATE(2012,12,31)-1315</f>
        <v>39959</v>
      </c>
      <c r="J7524" s="15" t="s">
        <v>25</v>
      </c>
      <c r="K7524" s="9">
        <v>21</v>
      </c>
      <c r="L7524" s="16" t="s">
        <v>27</v>
      </c>
      <c r="M7524" s="16">
        <f t="shared" si="705"/>
        <v>-0.31572297923858361</v>
      </c>
      <c r="N7524">
        <f t="shared" si="706"/>
        <v>0</v>
      </c>
      <c r="O7524">
        <f t="shared" si="707"/>
        <v>0</v>
      </c>
      <c r="P7524">
        <f t="shared" si="704"/>
        <v>4450</v>
      </c>
      <c r="Q7524">
        <f t="shared" si="708"/>
        <v>4450</v>
      </c>
      <c r="T7524" s="16">
        <f t="shared" si="709"/>
        <v>-0.315722979238584</v>
      </c>
    </row>
    <row r="7525" spans="7:20" ht="14.4" x14ac:dyDescent="0.25">
      <c r="G7525" s="10">
        <v>7275</v>
      </c>
      <c r="H7525" s="9">
        <v>51906</v>
      </c>
      <c r="I7525" s="14">
        <f>DATE(2012,12,31)-487</f>
        <v>40787</v>
      </c>
      <c r="J7525" s="15" t="s">
        <v>17</v>
      </c>
      <c r="K7525" s="9">
        <v>24</v>
      </c>
      <c r="L7525" s="16" t="s">
        <v>27</v>
      </c>
      <c r="M7525" s="16">
        <f t="shared" si="705"/>
        <v>-0.1085436493809193</v>
      </c>
      <c r="N7525">
        <f t="shared" si="706"/>
        <v>0</v>
      </c>
      <c r="O7525">
        <f t="shared" si="707"/>
        <v>0</v>
      </c>
      <c r="P7525">
        <f t="shared" si="704"/>
        <v>4600</v>
      </c>
      <c r="Q7525">
        <f t="shared" si="708"/>
        <v>4600</v>
      </c>
      <c r="T7525" s="16">
        <f t="shared" si="709"/>
        <v>-0.10854364938091969</v>
      </c>
    </row>
    <row r="7526" spans="7:20" ht="14.4" x14ac:dyDescent="0.25">
      <c r="G7526" s="10">
        <v>7309</v>
      </c>
      <c r="H7526" s="9">
        <v>52128</v>
      </c>
      <c r="I7526" s="14">
        <f>DATE(2012,12,31)-770</f>
        <v>40504</v>
      </c>
      <c r="J7526" s="15" t="s">
        <v>28</v>
      </c>
      <c r="K7526" s="9">
        <v>11</v>
      </c>
      <c r="L7526" s="16" t="s">
        <v>27</v>
      </c>
      <c r="M7526" s="16">
        <f t="shared" si="705"/>
        <v>-1.0063207454307979</v>
      </c>
      <c r="N7526">
        <f t="shared" si="706"/>
        <v>0</v>
      </c>
      <c r="O7526">
        <f t="shared" si="707"/>
        <v>0</v>
      </c>
      <c r="P7526">
        <f t="shared" si="704"/>
        <v>3950</v>
      </c>
      <c r="Q7526">
        <f t="shared" si="708"/>
        <v>3950</v>
      </c>
      <c r="T7526" s="16">
        <f t="shared" si="709"/>
        <v>-1.0063207454307983</v>
      </c>
    </row>
    <row r="7527" spans="7:20" ht="14.4" x14ac:dyDescent="0.25">
      <c r="G7527" s="10">
        <v>7392</v>
      </c>
      <c r="H7527" s="9">
        <v>52675</v>
      </c>
      <c r="I7527" s="14">
        <f>DATE(2012,12,31)-448</f>
        <v>40826</v>
      </c>
      <c r="J7527" s="15" t="s">
        <v>16</v>
      </c>
      <c r="K7527" s="9">
        <v>4</v>
      </c>
      <c r="L7527" s="16" t="s">
        <v>27</v>
      </c>
      <c r="M7527" s="16">
        <f t="shared" si="705"/>
        <v>-1.489739181765348</v>
      </c>
      <c r="N7527">
        <f t="shared" si="706"/>
        <v>0</v>
      </c>
      <c r="O7527">
        <f t="shared" si="707"/>
        <v>0</v>
      </c>
      <c r="P7527">
        <f t="shared" si="704"/>
        <v>3600</v>
      </c>
      <c r="Q7527">
        <f t="shared" si="708"/>
        <v>3600</v>
      </c>
      <c r="T7527" s="16">
        <f t="shared" si="709"/>
        <v>-1.4897391817653485</v>
      </c>
    </row>
    <row r="7528" spans="7:20" ht="14.4" x14ac:dyDescent="0.25">
      <c r="G7528" s="10">
        <v>7393</v>
      </c>
      <c r="H7528" s="9">
        <v>52675</v>
      </c>
      <c r="I7528" s="14">
        <f>DATE(2012,12,31)-448</f>
        <v>40826</v>
      </c>
      <c r="J7528" s="15" t="s">
        <v>16</v>
      </c>
      <c r="K7528" s="9">
        <v>22</v>
      </c>
      <c r="L7528" s="16" t="s">
        <v>26</v>
      </c>
      <c r="M7528" s="16">
        <f t="shared" si="705"/>
        <v>-0.24666320261936217</v>
      </c>
      <c r="N7528">
        <f t="shared" si="706"/>
        <v>0</v>
      </c>
      <c r="O7528">
        <f t="shared" si="707"/>
        <v>0</v>
      </c>
      <c r="P7528">
        <f t="shared" si="704"/>
        <v>4500</v>
      </c>
      <c r="Q7528">
        <f t="shared" si="708"/>
        <v>4500</v>
      </c>
      <c r="T7528" s="16">
        <f t="shared" si="709"/>
        <v>-0.24666320261936256</v>
      </c>
    </row>
    <row r="7529" spans="7:20" ht="14.4" x14ac:dyDescent="0.25">
      <c r="G7529" s="10">
        <v>7455</v>
      </c>
      <c r="H7529" s="9">
        <v>53189</v>
      </c>
      <c r="I7529" s="14">
        <f>DATE(2012,12,31)-496</f>
        <v>40778</v>
      </c>
      <c r="J7529" s="15" t="s">
        <v>30</v>
      </c>
      <c r="K7529" s="9">
        <v>29</v>
      </c>
      <c r="L7529" s="16" t="s">
        <v>26</v>
      </c>
      <c r="M7529" s="16">
        <f t="shared" si="705"/>
        <v>0.23675523371518786</v>
      </c>
      <c r="N7529">
        <f t="shared" si="706"/>
        <v>0</v>
      </c>
      <c r="O7529">
        <f t="shared" si="707"/>
        <v>0</v>
      </c>
      <c r="P7529">
        <f t="shared" si="704"/>
        <v>4850</v>
      </c>
      <c r="Q7529">
        <f t="shared" si="708"/>
        <v>4850</v>
      </c>
      <c r="T7529" s="16">
        <f t="shared" si="709"/>
        <v>0.2367552337151875</v>
      </c>
    </row>
    <row r="7530" spans="7:20" ht="14.4" x14ac:dyDescent="0.25">
      <c r="G7530" s="10">
        <v>7590</v>
      </c>
      <c r="H7530" s="9">
        <v>54307</v>
      </c>
      <c r="I7530" s="14">
        <f>DATE(2012,12,31)-358</f>
        <v>40916</v>
      </c>
      <c r="J7530" s="15" t="s">
        <v>17</v>
      </c>
      <c r="K7530" s="9">
        <v>41</v>
      </c>
      <c r="L7530" s="16" t="s">
        <v>26</v>
      </c>
      <c r="M7530" s="16">
        <f t="shared" si="705"/>
        <v>1.0654725531458451</v>
      </c>
      <c r="N7530">
        <f t="shared" si="706"/>
        <v>0</v>
      </c>
      <c r="O7530">
        <f t="shared" si="707"/>
        <v>0</v>
      </c>
      <c r="P7530">
        <f t="shared" si="704"/>
        <v>5450</v>
      </c>
      <c r="Q7530">
        <f t="shared" si="708"/>
        <v>5450</v>
      </c>
      <c r="T7530" s="16">
        <f t="shared" si="709"/>
        <v>1.0654725531458447</v>
      </c>
    </row>
    <row r="7531" spans="7:20" ht="14.4" x14ac:dyDescent="0.25">
      <c r="G7531" s="10">
        <v>7661</v>
      </c>
      <c r="H7531" s="9">
        <v>54917</v>
      </c>
      <c r="I7531" s="14">
        <f>DATE(2012,12,31)-997</f>
        <v>40277</v>
      </c>
      <c r="J7531" s="15" t="s">
        <v>17</v>
      </c>
      <c r="K7531" s="9">
        <v>12</v>
      </c>
      <c r="L7531" s="16" t="s">
        <v>27</v>
      </c>
      <c r="M7531" s="16">
        <f t="shared" si="705"/>
        <v>-0.9372609688115765</v>
      </c>
      <c r="N7531">
        <f t="shared" si="706"/>
        <v>0</v>
      </c>
      <c r="O7531">
        <f t="shared" si="707"/>
        <v>0</v>
      </c>
      <c r="P7531">
        <f t="shared" si="704"/>
        <v>4000</v>
      </c>
      <c r="Q7531">
        <f t="shared" si="708"/>
        <v>4000</v>
      </c>
      <c r="T7531" s="16">
        <f t="shared" si="709"/>
        <v>-0.93726096881157694</v>
      </c>
    </row>
    <row r="7532" spans="7:20" ht="14.4" x14ac:dyDescent="0.25">
      <c r="G7532" s="10">
        <v>7965</v>
      </c>
      <c r="H7532" s="9">
        <v>56930</v>
      </c>
      <c r="I7532" s="14">
        <f>DATE(2012,12,31)-136</f>
        <v>41138</v>
      </c>
      <c r="J7532" s="15" t="s">
        <v>25</v>
      </c>
      <c r="K7532" s="9">
        <v>47</v>
      </c>
      <c r="L7532" s="16" t="s">
        <v>26</v>
      </c>
      <c r="M7532" s="16">
        <f t="shared" si="705"/>
        <v>1.4798312128611737</v>
      </c>
      <c r="N7532">
        <f t="shared" si="706"/>
        <v>0</v>
      </c>
      <c r="O7532">
        <f t="shared" si="707"/>
        <v>0</v>
      </c>
      <c r="P7532">
        <f t="shared" si="704"/>
        <v>5750</v>
      </c>
      <c r="Q7532">
        <f t="shared" si="708"/>
        <v>5750</v>
      </c>
      <c r="T7532" s="16">
        <f t="shared" si="709"/>
        <v>1.4798312128611733</v>
      </c>
    </row>
    <row r="7533" spans="7:20" ht="14.4" x14ac:dyDescent="0.25">
      <c r="G7533" s="10">
        <v>8060</v>
      </c>
      <c r="H7533" s="9">
        <v>57511</v>
      </c>
      <c r="I7533" s="14">
        <f>DATE(2012,12,31)-1182</f>
        <v>40092</v>
      </c>
      <c r="J7533" s="15" t="s">
        <v>30</v>
      </c>
      <c r="K7533" s="9">
        <v>32</v>
      </c>
      <c r="L7533" s="16" t="s">
        <v>26</v>
      </c>
      <c r="M7533" s="16">
        <f t="shared" si="705"/>
        <v>0.44393456357285216</v>
      </c>
      <c r="N7533">
        <f t="shared" si="706"/>
        <v>0</v>
      </c>
      <c r="O7533">
        <f t="shared" si="707"/>
        <v>0</v>
      </c>
      <c r="P7533">
        <f t="shared" si="704"/>
        <v>5000</v>
      </c>
      <c r="Q7533">
        <f t="shared" si="708"/>
        <v>5000</v>
      </c>
      <c r="T7533" s="16">
        <f t="shared" si="709"/>
        <v>0.44393456357285183</v>
      </c>
    </row>
    <row r="7534" spans="7:20" ht="14.4" x14ac:dyDescent="0.25">
      <c r="G7534" s="10">
        <v>8061</v>
      </c>
      <c r="H7534" s="9">
        <v>57511</v>
      </c>
      <c r="I7534" s="14">
        <f>DATE(2012,12,31)-1182</f>
        <v>40092</v>
      </c>
      <c r="J7534" s="15" t="s">
        <v>30</v>
      </c>
      <c r="K7534" s="9">
        <v>11</v>
      </c>
      <c r="L7534" s="16" t="s">
        <v>27</v>
      </c>
      <c r="M7534" s="16">
        <f t="shared" si="705"/>
        <v>-1.0063207454307979</v>
      </c>
      <c r="N7534">
        <f t="shared" si="706"/>
        <v>0</v>
      </c>
      <c r="O7534">
        <f t="shared" si="707"/>
        <v>0</v>
      </c>
      <c r="P7534">
        <f t="shared" si="704"/>
        <v>3950</v>
      </c>
      <c r="Q7534">
        <f t="shared" si="708"/>
        <v>3950</v>
      </c>
      <c r="T7534" s="16">
        <f t="shared" si="709"/>
        <v>-1.0063207454307983</v>
      </c>
    </row>
    <row r="7535" spans="7:20" ht="14.4" x14ac:dyDescent="0.25">
      <c r="G7535" s="10">
        <v>8106</v>
      </c>
      <c r="H7535" s="9">
        <v>57857</v>
      </c>
      <c r="I7535" s="14">
        <f>DATE(2012,12,31)-975</f>
        <v>40299</v>
      </c>
      <c r="J7535" s="15" t="s">
        <v>17</v>
      </c>
      <c r="K7535" s="9">
        <v>18</v>
      </c>
      <c r="L7535" s="16" t="s">
        <v>29</v>
      </c>
      <c r="M7535" s="16">
        <f t="shared" si="705"/>
        <v>-0.52290230909624791</v>
      </c>
      <c r="N7535">
        <f t="shared" si="706"/>
        <v>0</v>
      </c>
      <c r="O7535">
        <f t="shared" si="707"/>
        <v>0</v>
      </c>
      <c r="P7535">
        <f t="shared" si="704"/>
        <v>4300</v>
      </c>
      <c r="Q7535">
        <f t="shared" si="708"/>
        <v>4300</v>
      </c>
      <c r="T7535" s="16">
        <f t="shared" si="709"/>
        <v>-0.52290230909624835</v>
      </c>
    </row>
    <row r="7536" spans="7:20" ht="14.4" x14ac:dyDescent="0.25">
      <c r="G7536" s="10">
        <v>8107</v>
      </c>
      <c r="H7536" s="9">
        <v>57861</v>
      </c>
      <c r="I7536" s="14">
        <f>DATE(2012,12,31)-67</f>
        <v>41207</v>
      </c>
      <c r="J7536" s="15" t="s">
        <v>16</v>
      </c>
      <c r="K7536" s="9">
        <v>40</v>
      </c>
      <c r="L7536" s="16" t="s">
        <v>26</v>
      </c>
      <c r="M7536" s="16">
        <f t="shared" si="705"/>
        <v>0.99641277652662363</v>
      </c>
      <c r="N7536">
        <f t="shared" si="706"/>
        <v>0</v>
      </c>
      <c r="O7536">
        <f t="shared" si="707"/>
        <v>0</v>
      </c>
      <c r="P7536">
        <f t="shared" si="704"/>
        <v>5400</v>
      </c>
      <c r="Q7536">
        <f t="shared" si="708"/>
        <v>5400</v>
      </c>
      <c r="T7536" s="16">
        <f t="shared" si="709"/>
        <v>0.9964127765266233</v>
      </c>
    </row>
    <row r="7537" spans="7:20" ht="14.4" x14ac:dyDescent="0.25">
      <c r="G7537" s="10">
        <v>8145</v>
      </c>
      <c r="H7537" s="9">
        <v>58247</v>
      </c>
      <c r="I7537" s="14">
        <f>DATE(2012,12,31)-465</f>
        <v>40809</v>
      </c>
      <c r="J7537" s="15" t="s">
        <v>28</v>
      </c>
      <c r="K7537" s="9">
        <v>8</v>
      </c>
      <c r="L7537" s="16" t="s">
        <v>26</v>
      </c>
      <c r="M7537" s="16">
        <f t="shared" si="705"/>
        <v>-1.2135000752884624</v>
      </c>
      <c r="N7537">
        <f t="shared" si="706"/>
        <v>0</v>
      </c>
      <c r="O7537">
        <f t="shared" si="707"/>
        <v>0</v>
      </c>
      <c r="P7537">
        <f t="shared" si="704"/>
        <v>3800</v>
      </c>
      <c r="Q7537">
        <f t="shared" si="708"/>
        <v>3800</v>
      </c>
      <c r="T7537" s="16">
        <f t="shared" si="709"/>
        <v>-1.2135000752884626</v>
      </c>
    </row>
    <row r="7538" spans="7:20" ht="14.4" x14ac:dyDescent="0.25">
      <c r="G7538" s="10">
        <v>8146</v>
      </c>
      <c r="H7538" s="9">
        <v>58247</v>
      </c>
      <c r="I7538" s="14">
        <f>DATE(2012,12,31)-465</f>
        <v>40809</v>
      </c>
      <c r="J7538" s="15" t="s">
        <v>28</v>
      </c>
      <c r="K7538" s="9">
        <v>14</v>
      </c>
      <c r="L7538" s="16" t="s">
        <v>26</v>
      </c>
      <c r="M7538" s="16">
        <f t="shared" si="705"/>
        <v>-0.79914141557313367</v>
      </c>
      <c r="N7538">
        <f t="shared" si="706"/>
        <v>0</v>
      </c>
      <c r="O7538">
        <f t="shared" si="707"/>
        <v>0</v>
      </c>
      <c r="P7538">
        <f t="shared" si="704"/>
        <v>4100</v>
      </c>
      <c r="Q7538">
        <f t="shared" si="708"/>
        <v>4100</v>
      </c>
      <c r="T7538" s="16">
        <f t="shared" si="709"/>
        <v>-0.79914141557313401</v>
      </c>
    </row>
    <row r="7539" spans="7:20" ht="14.4" x14ac:dyDescent="0.25">
      <c r="G7539" s="10">
        <v>8178</v>
      </c>
      <c r="H7539" s="9">
        <v>58470</v>
      </c>
      <c r="I7539" s="14">
        <f>DATE(2012,12,31)-572</f>
        <v>40702</v>
      </c>
      <c r="J7539" s="15" t="s">
        <v>17</v>
      </c>
      <c r="K7539" s="9">
        <v>24</v>
      </c>
      <c r="L7539" s="16" t="s">
        <v>26</v>
      </c>
      <c r="M7539" s="16">
        <f t="shared" si="705"/>
        <v>-0.1085436493809193</v>
      </c>
      <c r="N7539">
        <f t="shared" si="706"/>
        <v>0</v>
      </c>
      <c r="O7539">
        <f t="shared" si="707"/>
        <v>0</v>
      </c>
      <c r="P7539">
        <f t="shared" si="704"/>
        <v>4600</v>
      </c>
      <c r="Q7539">
        <f t="shared" si="708"/>
        <v>4600</v>
      </c>
      <c r="T7539" s="16">
        <f t="shared" si="709"/>
        <v>-0.10854364938091969</v>
      </c>
    </row>
    <row r="7540" spans="7:20" ht="14.4" x14ac:dyDescent="0.25">
      <c r="G7540" s="10">
        <v>8179</v>
      </c>
      <c r="H7540" s="9">
        <v>58470</v>
      </c>
      <c r="I7540" s="14">
        <f>DATE(2012,12,31)-572</f>
        <v>40702</v>
      </c>
      <c r="J7540" s="15" t="s">
        <v>17</v>
      </c>
      <c r="K7540" s="9">
        <v>13</v>
      </c>
      <c r="L7540" s="16" t="s">
        <v>26</v>
      </c>
      <c r="M7540" s="16">
        <f t="shared" si="705"/>
        <v>-0.86820119219235514</v>
      </c>
      <c r="N7540">
        <f t="shared" si="706"/>
        <v>0</v>
      </c>
      <c r="O7540">
        <f t="shared" si="707"/>
        <v>0</v>
      </c>
      <c r="P7540">
        <f t="shared" si="704"/>
        <v>4050</v>
      </c>
      <c r="Q7540">
        <f t="shared" si="708"/>
        <v>4050</v>
      </c>
      <c r="T7540" s="16">
        <f t="shared" si="709"/>
        <v>-0.86820119219235548</v>
      </c>
    </row>
    <row r="7541" spans="7:20" ht="14.4" x14ac:dyDescent="0.25">
      <c r="G7541" s="10">
        <v>8180</v>
      </c>
      <c r="H7541" s="9">
        <v>58470</v>
      </c>
      <c r="I7541" s="14">
        <f>DATE(2012,12,31)-572</f>
        <v>40702</v>
      </c>
      <c r="J7541" s="15" t="s">
        <v>17</v>
      </c>
      <c r="K7541" s="9">
        <v>36</v>
      </c>
      <c r="L7541" s="16" t="s">
        <v>26</v>
      </c>
      <c r="M7541" s="16">
        <f t="shared" si="705"/>
        <v>0.72017367004973787</v>
      </c>
      <c r="N7541">
        <f t="shared" si="706"/>
        <v>0</v>
      </c>
      <c r="O7541">
        <f t="shared" si="707"/>
        <v>0</v>
      </c>
      <c r="P7541">
        <f t="shared" si="704"/>
        <v>5200</v>
      </c>
      <c r="Q7541">
        <f t="shared" si="708"/>
        <v>5200</v>
      </c>
      <c r="T7541" s="16">
        <f t="shared" si="709"/>
        <v>0.72017367004973754</v>
      </c>
    </row>
    <row r="7542" spans="7:20" ht="14.4" x14ac:dyDescent="0.25">
      <c r="G7542" s="10">
        <v>8181</v>
      </c>
      <c r="H7542" s="9">
        <v>58470</v>
      </c>
      <c r="I7542" s="14">
        <f>DATE(2012,12,31)-572</f>
        <v>40702</v>
      </c>
      <c r="J7542" s="15" t="s">
        <v>17</v>
      </c>
      <c r="K7542" s="9">
        <v>45</v>
      </c>
      <c r="L7542" s="16" t="s">
        <v>26</v>
      </c>
      <c r="M7542" s="16">
        <f t="shared" si="705"/>
        <v>1.3417116596227308</v>
      </c>
      <c r="N7542">
        <f t="shared" si="706"/>
        <v>0</v>
      </c>
      <c r="O7542">
        <f t="shared" si="707"/>
        <v>0</v>
      </c>
      <c r="P7542">
        <f t="shared" si="704"/>
        <v>5650</v>
      </c>
      <c r="Q7542">
        <f t="shared" si="708"/>
        <v>5650</v>
      </c>
      <c r="T7542" s="16">
        <f t="shared" si="709"/>
        <v>1.3417116596227305</v>
      </c>
    </row>
    <row r="7543" spans="7:20" ht="14.4" x14ac:dyDescent="0.25">
      <c r="G7543" s="10">
        <v>8182</v>
      </c>
      <c r="H7543" s="9">
        <v>58470</v>
      </c>
      <c r="I7543" s="14">
        <f>DATE(2012,12,31)-572</f>
        <v>40702</v>
      </c>
      <c r="J7543" s="15" t="s">
        <v>17</v>
      </c>
      <c r="K7543" s="9">
        <v>5</v>
      </c>
      <c r="L7543" s="16" t="s">
        <v>26</v>
      </c>
      <c r="M7543" s="16">
        <f t="shared" si="705"/>
        <v>-1.4206794051461267</v>
      </c>
      <c r="N7543">
        <f t="shared" si="706"/>
        <v>0</v>
      </c>
      <c r="O7543">
        <f t="shared" si="707"/>
        <v>0</v>
      </c>
      <c r="P7543">
        <f t="shared" si="704"/>
        <v>3650</v>
      </c>
      <c r="Q7543">
        <f t="shared" si="708"/>
        <v>3650</v>
      </c>
      <c r="T7543" s="16">
        <f t="shared" si="709"/>
        <v>-1.4206794051461269</v>
      </c>
    </row>
    <row r="7544" spans="7:20" ht="14.4" x14ac:dyDescent="0.25">
      <c r="G7544" s="10">
        <v>8219</v>
      </c>
      <c r="H7544" s="9">
        <v>58759</v>
      </c>
      <c r="I7544" s="14">
        <f>DATE(2012,12,31)-1440</f>
        <v>39834</v>
      </c>
      <c r="J7544" s="15" t="s">
        <v>25</v>
      </c>
      <c r="K7544" s="9">
        <v>4</v>
      </c>
      <c r="L7544" s="16" t="s">
        <v>26</v>
      </c>
      <c r="M7544" s="16">
        <f t="shared" si="705"/>
        <v>-1.489739181765348</v>
      </c>
      <c r="N7544">
        <f t="shared" si="706"/>
        <v>0</v>
      </c>
      <c r="O7544">
        <f t="shared" si="707"/>
        <v>0</v>
      </c>
      <c r="P7544">
        <f t="shared" si="704"/>
        <v>3600</v>
      </c>
      <c r="Q7544">
        <f t="shared" si="708"/>
        <v>3600</v>
      </c>
      <c r="T7544" s="16">
        <f t="shared" si="709"/>
        <v>-1.4897391817653485</v>
      </c>
    </row>
    <row r="7545" spans="7:20" ht="14.4" x14ac:dyDescent="0.25">
      <c r="G7545" s="10">
        <v>8365</v>
      </c>
      <c r="H7545" s="9">
        <v>59780</v>
      </c>
      <c r="I7545" s="14">
        <f>DATE(2012,12,31)-1045</f>
        <v>40229</v>
      </c>
      <c r="J7545" s="15" t="s">
        <v>30</v>
      </c>
      <c r="K7545" s="9">
        <v>21</v>
      </c>
      <c r="L7545" s="16" t="s">
        <v>27</v>
      </c>
      <c r="M7545" s="16">
        <f t="shared" si="705"/>
        <v>-0.31572297923858361</v>
      </c>
      <c r="N7545">
        <f t="shared" si="706"/>
        <v>0</v>
      </c>
      <c r="O7545">
        <f t="shared" si="707"/>
        <v>0</v>
      </c>
      <c r="P7545">
        <f t="shared" si="704"/>
        <v>4450</v>
      </c>
      <c r="Q7545">
        <f t="shared" si="708"/>
        <v>4450</v>
      </c>
      <c r="T7545" s="16">
        <f t="shared" si="709"/>
        <v>-0.315722979238584</v>
      </c>
    </row>
    <row r="7546" spans="7:20" ht="14.4" x14ac:dyDescent="0.25">
      <c r="G7546" s="10">
        <v>62</v>
      </c>
      <c r="H7546" s="9">
        <v>358</v>
      </c>
      <c r="I7546" s="14">
        <f>DATE(2012,12,31)-834</f>
        <v>40440</v>
      </c>
      <c r="J7546" s="15" t="s">
        <v>17</v>
      </c>
      <c r="K7546" s="9">
        <v>33</v>
      </c>
      <c r="L7546" s="16" t="s">
        <v>29</v>
      </c>
      <c r="M7546" s="16">
        <f t="shared" si="705"/>
        <v>0.51299434019207357</v>
      </c>
      <c r="N7546">
        <f t="shared" si="706"/>
        <v>0</v>
      </c>
      <c r="O7546">
        <f t="shared" si="707"/>
        <v>0</v>
      </c>
      <c r="P7546">
        <f t="shared" si="704"/>
        <v>5050</v>
      </c>
      <c r="Q7546">
        <f t="shared" si="708"/>
        <v>5050</v>
      </c>
      <c r="T7546" s="16">
        <f t="shared" si="709"/>
        <v>0.51299434019207324</v>
      </c>
    </row>
    <row r="7547" spans="7:20" ht="14.4" x14ac:dyDescent="0.25">
      <c r="G7547" s="10">
        <v>63</v>
      </c>
      <c r="H7547" s="9">
        <v>358</v>
      </c>
      <c r="I7547" s="14">
        <f>DATE(2012,12,31)-834</f>
        <v>40440</v>
      </c>
      <c r="J7547" s="15" t="s">
        <v>17</v>
      </c>
      <c r="K7547" s="9">
        <v>33</v>
      </c>
      <c r="L7547" s="16" t="s">
        <v>27</v>
      </c>
      <c r="M7547" s="16">
        <f t="shared" si="705"/>
        <v>0.51299434019207357</v>
      </c>
      <c r="N7547">
        <f t="shared" si="706"/>
        <v>0</v>
      </c>
      <c r="O7547">
        <f t="shared" si="707"/>
        <v>0</v>
      </c>
      <c r="P7547">
        <f t="shared" si="704"/>
        <v>5050</v>
      </c>
      <c r="Q7547">
        <f t="shared" si="708"/>
        <v>5050</v>
      </c>
      <c r="T7547" s="16">
        <f t="shared" si="709"/>
        <v>0.51299434019207324</v>
      </c>
    </row>
    <row r="7548" spans="7:20" ht="14.4" x14ac:dyDescent="0.25">
      <c r="G7548" s="10">
        <v>255</v>
      </c>
      <c r="H7548" s="9">
        <v>1767</v>
      </c>
      <c r="I7548" s="14">
        <f>DATE(2012,12,31)-659</f>
        <v>40615</v>
      </c>
      <c r="J7548" s="15" t="s">
        <v>17</v>
      </c>
      <c r="K7548" s="9">
        <v>10</v>
      </c>
      <c r="L7548" s="16" t="s">
        <v>26</v>
      </c>
      <c r="M7548" s="16">
        <f t="shared" si="705"/>
        <v>-1.0753805220500194</v>
      </c>
      <c r="N7548">
        <f t="shared" si="706"/>
        <v>0</v>
      </c>
      <c r="O7548">
        <f t="shared" si="707"/>
        <v>0</v>
      </c>
      <c r="P7548">
        <f t="shared" si="704"/>
        <v>3900</v>
      </c>
      <c r="Q7548">
        <f t="shared" si="708"/>
        <v>3900</v>
      </c>
      <c r="T7548" s="16">
        <f t="shared" si="709"/>
        <v>-1.0753805220500199</v>
      </c>
    </row>
    <row r="7549" spans="7:20" ht="14.4" x14ac:dyDescent="0.25">
      <c r="G7549" s="10">
        <v>271</v>
      </c>
      <c r="H7549" s="9">
        <v>1863</v>
      </c>
      <c r="I7549" s="14">
        <f>DATE(2012,12,31)-831</f>
        <v>40443</v>
      </c>
      <c r="J7549" s="15" t="s">
        <v>28</v>
      </c>
      <c r="K7549" s="9">
        <v>26</v>
      </c>
      <c r="L7549" s="16" t="s">
        <v>29</v>
      </c>
      <c r="M7549" s="16">
        <f t="shared" si="705"/>
        <v>2.9575903857523567E-2</v>
      </c>
      <c r="N7549">
        <f t="shared" si="706"/>
        <v>0</v>
      </c>
      <c r="O7549">
        <f t="shared" si="707"/>
        <v>0</v>
      </c>
      <c r="P7549">
        <f t="shared" si="704"/>
        <v>4700</v>
      </c>
      <c r="Q7549">
        <f t="shared" si="708"/>
        <v>4700</v>
      </c>
      <c r="T7549" s="16">
        <f t="shared" si="709"/>
        <v>2.9575903857523185E-2</v>
      </c>
    </row>
    <row r="7550" spans="7:20" ht="14.4" x14ac:dyDescent="0.25">
      <c r="G7550" s="10">
        <v>437</v>
      </c>
      <c r="H7550" s="9">
        <v>2915</v>
      </c>
      <c r="I7550" s="14">
        <f>DATE(2012,12,31)-1372</f>
        <v>39902</v>
      </c>
      <c r="J7550" s="15" t="s">
        <v>25</v>
      </c>
      <c r="K7550" s="9">
        <v>41</v>
      </c>
      <c r="L7550" s="16" t="s">
        <v>26</v>
      </c>
      <c r="M7550" s="16">
        <f t="shared" si="705"/>
        <v>1.0654725531458451</v>
      </c>
      <c r="N7550">
        <f t="shared" si="706"/>
        <v>0</v>
      </c>
      <c r="O7550">
        <f t="shared" si="707"/>
        <v>0</v>
      </c>
      <c r="P7550">
        <f t="shared" si="704"/>
        <v>5450</v>
      </c>
      <c r="Q7550">
        <f t="shared" si="708"/>
        <v>5450</v>
      </c>
      <c r="T7550" s="16">
        <f t="shared" si="709"/>
        <v>1.0654725531458447</v>
      </c>
    </row>
    <row r="7551" spans="7:20" ht="14.4" x14ac:dyDescent="0.25">
      <c r="G7551" s="10">
        <v>438</v>
      </c>
      <c r="H7551" s="9">
        <v>2915</v>
      </c>
      <c r="I7551" s="14">
        <f>DATE(2012,12,31)-1372</f>
        <v>39902</v>
      </c>
      <c r="J7551" s="15" t="s">
        <v>25</v>
      </c>
      <c r="K7551" s="9">
        <v>23</v>
      </c>
      <c r="L7551" s="16" t="s">
        <v>27</v>
      </c>
      <c r="M7551" s="16">
        <f t="shared" si="705"/>
        <v>-0.17760342600014073</v>
      </c>
      <c r="N7551">
        <f t="shared" si="706"/>
        <v>0</v>
      </c>
      <c r="O7551">
        <f t="shared" si="707"/>
        <v>0</v>
      </c>
      <c r="P7551">
        <f t="shared" si="704"/>
        <v>4550</v>
      </c>
      <c r="Q7551">
        <f t="shared" si="708"/>
        <v>4550</v>
      </c>
      <c r="T7551" s="16">
        <f t="shared" si="709"/>
        <v>-0.17760342600014112</v>
      </c>
    </row>
    <row r="7552" spans="7:20" ht="14.4" x14ac:dyDescent="0.25">
      <c r="G7552" s="10">
        <v>449</v>
      </c>
      <c r="H7552" s="9">
        <v>3046</v>
      </c>
      <c r="I7552" s="14">
        <f>DATE(2012,12,31)-398</f>
        <v>40876</v>
      </c>
      <c r="J7552" s="15" t="s">
        <v>17</v>
      </c>
      <c r="K7552" s="9">
        <v>24</v>
      </c>
      <c r="L7552" s="16" t="s">
        <v>26</v>
      </c>
      <c r="M7552" s="16">
        <f t="shared" si="705"/>
        <v>-0.1085436493809193</v>
      </c>
      <c r="N7552">
        <f t="shared" si="706"/>
        <v>0</v>
      </c>
      <c r="O7552">
        <f t="shared" si="707"/>
        <v>0</v>
      </c>
      <c r="P7552">
        <f t="shared" si="704"/>
        <v>4600</v>
      </c>
      <c r="Q7552">
        <f t="shared" si="708"/>
        <v>4600</v>
      </c>
      <c r="T7552" s="16">
        <f t="shared" si="709"/>
        <v>-0.10854364938091969</v>
      </c>
    </row>
    <row r="7553" spans="7:20" ht="14.4" x14ac:dyDescent="0.25">
      <c r="G7553" s="10">
        <v>628</v>
      </c>
      <c r="H7553" s="9">
        <v>4389</v>
      </c>
      <c r="I7553" s="14">
        <f>DATE(2012,12,31)-1337</f>
        <v>39937</v>
      </c>
      <c r="J7553" s="15" t="s">
        <v>16</v>
      </c>
      <c r="K7553" s="9">
        <v>35</v>
      </c>
      <c r="L7553" s="16" t="s">
        <v>26</v>
      </c>
      <c r="M7553" s="16">
        <f t="shared" si="705"/>
        <v>0.65111389343051651</v>
      </c>
      <c r="N7553">
        <f t="shared" si="706"/>
        <v>0</v>
      </c>
      <c r="O7553">
        <f t="shared" si="707"/>
        <v>0</v>
      </c>
      <c r="P7553">
        <f t="shared" si="704"/>
        <v>5150</v>
      </c>
      <c r="Q7553">
        <f t="shared" si="708"/>
        <v>5150</v>
      </c>
      <c r="T7553" s="16">
        <f t="shared" si="709"/>
        <v>0.65111389343051607</v>
      </c>
    </row>
    <row r="7554" spans="7:20" ht="14.4" x14ac:dyDescent="0.25">
      <c r="G7554" s="10">
        <v>629</v>
      </c>
      <c r="H7554" s="9">
        <v>4389</v>
      </c>
      <c r="I7554" s="14">
        <f>DATE(2012,12,31)-1337</f>
        <v>39937</v>
      </c>
      <c r="J7554" s="15" t="s">
        <v>16</v>
      </c>
      <c r="K7554" s="9">
        <v>49</v>
      </c>
      <c r="L7554" s="16" t="s">
        <v>29</v>
      </c>
      <c r="M7554" s="16">
        <f t="shared" si="705"/>
        <v>1.6179507660996166</v>
      </c>
      <c r="N7554">
        <f t="shared" si="706"/>
        <v>0</v>
      </c>
      <c r="O7554">
        <f t="shared" si="707"/>
        <v>0</v>
      </c>
      <c r="P7554">
        <f t="shared" si="704"/>
        <v>5850</v>
      </c>
      <c r="Q7554">
        <f t="shared" si="708"/>
        <v>5850</v>
      </c>
      <c r="T7554" s="16">
        <f t="shared" si="709"/>
        <v>1.6179507660996162</v>
      </c>
    </row>
    <row r="7555" spans="7:20" ht="14.4" x14ac:dyDescent="0.25">
      <c r="G7555" s="10">
        <v>630</v>
      </c>
      <c r="H7555" s="9">
        <v>4389</v>
      </c>
      <c r="I7555" s="14">
        <f>DATE(2012,12,31)-1337</f>
        <v>39937</v>
      </c>
      <c r="J7555" s="15" t="s">
        <v>16</v>
      </c>
      <c r="K7555" s="9">
        <v>42</v>
      </c>
      <c r="L7555" s="16" t="s">
        <v>27</v>
      </c>
      <c r="M7555" s="16">
        <f t="shared" si="705"/>
        <v>1.1345323297650665</v>
      </c>
      <c r="N7555">
        <f t="shared" si="706"/>
        <v>0</v>
      </c>
      <c r="O7555">
        <f t="shared" si="707"/>
        <v>0</v>
      </c>
      <c r="P7555">
        <f t="shared" si="704"/>
        <v>5500</v>
      </c>
      <c r="Q7555">
        <f t="shared" si="708"/>
        <v>5500</v>
      </c>
      <c r="T7555" s="16">
        <f t="shared" si="709"/>
        <v>1.1345323297650662</v>
      </c>
    </row>
    <row r="7556" spans="7:20" ht="14.4" x14ac:dyDescent="0.25">
      <c r="G7556" s="10">
        <v>862</v>
      </c>
      <c r="H7556" s="9">
        <v>6180</v>
      </c>
      <c r="I7556" s="14">
        <f>DATE(2012,12,31)-630</f>
        <v>40644</v>
      </c>
      <c r="J7556" s="15" t="s">
        <v>16</v>
      </c>
      <c r="K7556" s="9">
        <v>44</v>
      </c>
      <c r="L7556" s="16" t="s">
        <v>27</v>
      </c>
      <c r="M7556" s="16">
        <f t="shared" si="705"/>
        <v>1.2726518830035094</v>
      </c>
      <c r="N7556">
        <f t="shared" si="706"/>
        <v>0</v>
      </c>
      <c r="O7556">
        <f t="shared" si="707"/>
        <v>0</v>
      </c>
      <c r="P7556">
        <f t="shared" si="704"/>
        <v>5600</v>
      </c>
      <c r="Q7556">
        <f t="shared" si="708"/>
        <v>5600</v>
      </c>
      <c r="T7556" s="16">
        <f t="shared" si="709"/>
        <v>1.272651883003509</v>
      </c>
    </row>
    <row r="7557" spans="7:20" ht="14.4" x14ac:dyDescent="0.25">
      <c r="G7557" s="10">
        <v>975</v>
      </c>
      <c r="H7557" s="9">
        <v>7078</v>
      </c>
      <c r="I7557" s="14">
        <f>DATE(2012,12,31)-995</f>
        <v>40279</v>
      </c>
      <c r="J7557" s="15" t="s">
        <v>17</v>
      </c>
      <c r="K7557" s="9">
        <v>9</v>
      </c>
      <c r="L7557" s="16" t="s">
        <v>26</v>
      </c>
      <c r="M7557" s="16">
        <f t="shared" si="705"/>
        <v>-1.1444402986692408</v>
      </c>
      <c r="N7557">
        <f t="shared" si="706"/>
        <v>0</v>
      </c>
      <c r="O7557">
        <f t="shared" si="707"/>
        <v>0</v>
      </c>
      <c r="P7557">
        <f t="shared" si="704"/>
        <v>3850</v>
      </c>
      <c r="Q7557">
        <f t="shared" si="708"/>
        <v>3850</v>
      </c>
      <c r="T7557" s="16">
        <f t="shared" si="709"/>
        <v>-1.1444402986692412</v>
      </c>
    </row>
    <row r="7558" spans="7:20" ht="14.4" x14ac:dyDescent="0.25">
      <c r="G7558" s="10">
        <v>976</v>
      </c>
      <c r="H7558" s="9">
        <v>7078</v>
      </c>
      <c r="I7558" s="14">
        <f>DATE(2012,12,31)-995</f>
        <v>40279</v>
      </c>
      <c r="J7558" s="15" t="s">
        <v>17</v>
      </c>
      <c r="K7558" s="9">
        <v>11</v>
      </c>
      <c r="L7558" s="16" t="s">
        <v>26</v>
      </c>
      <c r="M7558" s="16">
        <f t="shared" si="705"/>
        <v>-1.0063207454307979</v>
      </c>
      <c r="N7558">
        <f t="shared" si="706"/>
        <v>0</v>
      </c>
      <c r="O7558">
        <f t="shared" si="707"/>
        <v>0</v>
      </c>
      <c r="P7558">
        <f t="shared" si="704"/>
        <v>3950</v>
      </c>
      <c r="Q7558">
        <f t="shared" si="708"/>
        <v>3950</v>
      </c>
      <c r="T7558" s="16">
        <f t="shared" si="709"/>
        <v>-1.0063207454307983</v>
      </c>
    </row>
    <row r="7559" spans="7:20" ht="14.4" x14ac:dyDescent="0.25">
      <c r="G7559" s="10">
        <v>977</v>
      </c>
      <c r="H7559" s="9">
        <v>7078</v>
      </c>
      <c r="I7559" s="14">
        <f>DATE(2012,12,31)-995</f>
        <v>40279</v>
      </c>
      <c r="J7559" s="15" t="s">
        <v>17</v>
      </c>
      <c r="K7559" s="9">
        <v>16</v>
      </c>
      <c r="L7559" s="16" t="s">
        <v>29</v>
      </c>
      <c r="M7559" s="16">
        <f t="shared" si="705"/>
        <v>-0.66102186233469074</v>
      </c>
      <c r="N7559">
        <f t="shared" si="706"/>
        <v>0</v>
      </c>
      <c r="O7559">
        <f t="shared" si="707"/>
        <v>0</v>
      </c>
      <c r="P7559">
        <f t="shared" si="704"/>
        <v>4200</v>
      </c>
      <c r="Q7559">
        <f t="shared" si="708"/>
        <v>4200</v>
      </c>
      <c r="T7559" s="16">
        <f t="shared" si="709"/>
        <v>-0.66102186233469118</v>
      </c>
    </row>
    <row r="7560" spans="7:20" ht="14.4" x14ac:dyDescent="0.25">
      <c r="G7560" s="10">
        <v>978</v>
      </c>
      <c r="H7560" s="9">
        <v>7078</v>
      </c>
      <c r="I7560" s="14">
        <f>DATE(2012,12,31)-995</f>
        <v>40279</v>
      </c>
      <c r="J7560" s="15" t="s">
        <v>17</v>
      </c>
      <c r="K7560" s="9">
        <v>29</v>
      </c>
      <c r="L7560" s="16" t="s">
        <v>29</v>
      </c>
      <c r="M7560" s="16">
        <f t="shared" si="705"/>
        <v>0.23675523371518786</v>
      </c>
      <c r="N7560">
        <f t="shared" si="706"/>
        <v>0</v>
      </c>
      <c r="O7560">
        <f t="shared" si="707"/>
        <v>0</v>
      </c>
      <c r="P7560">
        <f t="shared" si="704"/>
        <v>4850</v>
      </c>
      <c r="Q7560">
        <f t="shared" si="708"/>
        <v>4850</v>
      </c>
      <c r="T7560" s="16">
        <f t="shared" si="709"/>
        <v>0.2367552337151875</v>
      </c>
    </row>
    <row r="7561" spans="7:20" ht="14.4" x14ac:dyDescent="0.25">
      <c r="G7561" s="10">
        <v>1045</v>
      </c>
      <c r="H7561" s="9">
        <v>7654</v>
      </c>
      <c r="I7561" s="14">
        <f>DATE(2012,12,31)-1055</f>
        <v>40219</v>
      </c>
      <c r="J7561" s="15" t="s">
        <v>17</v>
      </c>
      <c r="K7561" s="9">
        <v>3</v>
      </c>
      <c r="L7561" s="16" t="s">
        <v>26</v>
      </c>
      <c r="M7561" s="16">
        <f t="shared" si="705"/>
        <v>-1.5587989583845694</v>
      </c>
      <c r="N7561">
        <f t="shared" si="706"/>
        <v>0</v>
      </c>
      <c r="O7561">
        <f t="shared" si="707"/>
        <v>0</v>
      </c>
      <c r="P7561">
        <f t="shared" si="704"/>
        <v>3550</v>
      </c>
      <c r="Q7561">
        <f t="shared" si="708"/>
        <v>3550</v>
      </c>
      <c r="T7561" s="16">
        <f t="shared" si="709"/>
        <v>-1.5587989583845698</v>
      </c>
    </row>
    <row r="7562" spans="7:20" ht="14.4" x14ac:dyDescent="0.25">
      <c r="G7562" s="10">
        <v>1050</v>
      </c>
      <c r="H7562" s="9">
        <v>7746</v>
      </c>
      <c r="I7562" s="14">
        <f>DATE(2012,12,31)-757</f>
        <v>40517</v>
      </c>
      <c r="J7562" s="15" t="s">
        <v>16</v>
      </c>
      <c r="K7562" s="9">
        <v>1</v>
      </c>
      <c r="L7562" s="16" t="s">
        <v>26</v>
      </c>
      <c r="M7562" s="16">
        <f t="shared" si="705"/>
        <v>-1.6969185116230123</v>
      </c>
      <c r="N7562">
        <f t="shared" si="706"/>
        <v>0</v>
      </c>
      <c r="O7562">
        <f t="shared" si="707"/>
        <v>0</v>
      </c>
      <c r="P7562">
        <f t="shared" si="704"/>
        <v>3450</v>
      </c>
      <c r="Q7562">
        <f t="shared" si="708"/>
        <v>3450</v>
      </c>
      <c r="T7562" s="16">
        <f t="shared" si="709"/>
        <v>-1.6969185116230128</v>
      </c>
    </row>
    <row r="7563" spans="7:20" ht="14.4" x14ac:dyDescent="0.25">
      <c r="G7563" s="10">
        <v>1149</v>
      </c>
      <c r="H7563" s="9">
        <v>8387</v>
      </c>
      <c r="I7563" s="14">
        <f>DATE(2012,12,31)-1017</f>
        <v>40257</v>
      </c>
      <c r="J7563" s="15" t="s">
        <v>28</v>
      </c>
      <c r="K7563" s="9">
        <v>35</v>
      </c>
      <c r="L7563" s="16" t="s">
        <v>26</v>
      </c>
      <c r="M7563" s="16">
        <f t="shared" si="705"/>
        <v>0.65111389343051651</v>
      </c>
      <c r="N7563">
        <f t="shared" si="706"/>
        <v>0</v>
      </c>
      <c r="O7563">
        <f t="shared" si="707"/>
        <v>0</v>
      </c>
      <c r="P7563">
        <f t="shared" si="704"/>
        <v>5150</v>
      </c>
      <c r="Q7563">
        <f t="shared" si="708"/>
        <v>5150</v>
      </c>
      <c r="T7563" s="16">
        <f t="shared" si="709"/>
        <v>0.65111389343051607</v>
      </c>
    </row>
    <row r="7564" spans="7:20" ht="14.4" x14ac:dyDescent="0.25">
      <c r="G7564" s="10">
        <v>1195</v>
      </c>
      <c r="H7564" s="9">
        <v>8768</v>
      </c>
      <c r="I7564" s="14">
        <f>DATE(2012,12,31)-501</f>
        <v>40773</v>
      </c>
      <c r="J7564" s="15" t="s">
        <v>17</v>
      </c>
      <c r="K7564" s="9">
        <v>44</v>
      </c>
      <c r="L7564" s="16" t="s">
        <v>27</v>
      </c>
      <c r="M7564" s="16">
        <f t="shared" si="705"/>
        <v>1.2726518830035094</v>
      </c>
      <c r="N7564">
        <f t="shared" si="706"/>
        <v>0</v>
      </c>
      <c r="O7564">
        <f t="shared" si="707"/>
        <v>0</v>
      </c>
      <c r="P7564">
        <f t="shared" ref="P7564:P7627" si="710">50*K7564+$P$10</f>
        <v>5600</v>
      </c>
      <c r="Q7564">
        <f t="shared" si="708"/>
        <v>5600</v>
      </c>
      <c r="T7564" s="16">
        <f t="shared" si="709"/>
        <v>1.272651883003509</v>
      </c>
    </row>
    <row r="7565" spans="7:20" ht="14.4" x14ac:dyDescent="0.25">
      <c r="G7565" s="10">
        <v>1296</v>
      </c>
      <c r="H7565" s="9">
        <v>9504</v>
      </c>
      <c r="I7565" s="14">
        <f>DATE(2012,12,31)-36</f>
        <v>41238</v>
      </c>
      <c r="J7565" s="15" t="s">
        <v>16</v>
      </c>
      <c r="K7565" s="9">
        <v>17</v>
      </c>
      <c r="L7565" s="16" t="s">
        <v>27</v>
      </c>
      <c r="M7565" s="16">
        <f t="shared" ref="M7565:M7628" si="711">(K7565-$K$4)/$K$7</f>
        <v>-0.59196208571546938</v>
      </c>
      <c r="N7565">
        <f t="shared" ref="N7565:N7628" si="712">IF(MOD($B$20+G7565,1000)=0,1,0)</f>
        <v>0</v>
      </c>
      <c r="O7565">
        <f t="shared" ref="O7565:O7628" si="713">+ROUND(N7565*(IF(K7565&lt;$K$4,-4.5,10.5)*$P$5),-2)</f>
        <v>0</v>
      </c>
      <c r="P7565">
        <f t="shared" si="710"/>
        <v>4250</v>
      </c>
      <c r="Q7565">
        <f t="shared" ref="Q7565:Q7628" si="714">P7565+O7565</f>
        <v>4250</v>
      </c>
      <c r="T7565" s="16">
        <f t="shared" ref="T7565:T7628" si="715">(Q7565-$P$4)/$P$5</f>
        <v>-0.59196208571546971</v>
      </c>
    </row>
    <row r="7566" spans="7:20" ht="14.4" x14ac:dyDescent="0.25">
      <c r="G7566" s="10">
        <v>1431</v>
      </c>
      <c r="H7566" s="9">
        <v>10341</v>
      </c>
      <c r="I7566" s="14">
        <f>DATE(2012,12,31)-10</f>
        <v>41264</v>
      </c>
      <c r="J7566" s="15" t="s">
        <v>17</v>
      </c>
      <c r="K7566" s="9">
        <v>17</v>
      </c>
      <c r="L7566" s="16" t="s">
        <v>27</v>
      </c>
      <c r="M7566" s="16">
        <f t="shared" si="711"/>
        <v>-0.59196208571546938</v>
      </c>
      <c r="N7566">
        <f t="shared" si="712"/>
        <v>0</v>
      </c>
      <c r="O7566">
        <f t="shared" si="713"/>
        <v>0</v>
      </c>
      <c r="P7566">
        <f t="shared" si="710"/>
        <v>4250</v>
      </c>
      <c r="Q7566">
        <f t="shared" si="714"/>
        <v>4250</v>
      </c>
      <c r="T7566" s="16">
        <f t="shared" si="715"/>
        <v>-0.59196208571546971</v>
      </c>
    </row>
    <row r="7567" spans="7:20" ht="14.4" x14ac:dyDescent="0.25">
      <c r="G7567" s="10">
        <v>1522</v>
      </c>
      <c r="H7567" s="9">
        <v>10982</v>
      </c>
      <c r="I7567" s="14">
        <f>DATE(2012,12,31)-21</f>
        <v>41253</v>
      </c>
      <c r="J7567" s="15" t="s">
        <v>28</v>
      </c>
      <c r="K7567" s="9">
        <v>29</v>
      </c>
      <c r="L7567" s="16" t="s">
        <v>26</v>
      </c>
      <c r="M7567" s="16">
        <f t="shared" si="711"/>
        <v>0.23675523371518786</v>
      </c>
      <c r="N7567">
        <f t="shared" si="712"/>
        <v>0</v>
      </c>
      <c r="O7567">
        <f t="shared" si="713"/>
        <v>0</v>
      </c>
      <c r="P7567">
        <f t="shared" si="710"/>
        <v>4850</v>
      </c>
      <c r="Q7567">
        <f t="shared" si="714"/>
        <v>4850</v>
      </c>
      <c r="T7567" s="16">
        <f t="shared" si="715"/>
        <v>0.2367552337151875</v>
      </c>
    </row>
    <row r="7568" spans="7:20" ht="14.4" x14ac:dyDescent="0.25">
      <c r="G7568" s="10">
        <v>1523</v>
      </c>
      <c r="H7568" s="9">
        <v>10982</v>
      </c>
      <c r="I7568" s="14">
        <f>DATE(2012,12,31)-21</f>
        <v>41253</v>
      </c>
      <c r="J7568" s="15" t="s">
        <v>28</v>
      </c>
      <c r="K7568" s="9">
        <v>30</v>
      </c>
      <c r="L7568" s="16" t="s">
        <v>26</v>
      </c>
      <c r="M7568" s="16">
        <f t="shared" si="711"/>
        <v>0.30581501033440933</v>
      </c>
      <c r="N7568">
        <f t="shared" si="712"/>
        <v>0</v>
      </c>
      <c r="O7568">
        <f t="shared" si="713"/>
        <v>0</v>
      </c>
      <c r="P7568">
        <f t="shared" si="710"/>
        <v>4900</v>
      </c>
      <c r="Q7568">
        <f t="shared" si="714"/>
        <v>4900</v>
      </c>
      <c r="T7568" s="16">
        <f t="shared" si="715"/>
        <v>0.30581501033440894</v>
      </c>
    </row>
    <row r="7569" spans="7:20" ht="14.4" x14ac:dyDescent="0.25">
      <c r="G7569" s="10">
        <v>1524</v>
      </c>
      <c r="H7569" s="9">
        <v>10982</v>
      </c>
      <c r="I7569" s="14">
        <f>DATE(2012,12,31)-21</f>
        <v>41253</v>
      </c>
      <c r="J7569" s="15" t="s">
        <v>28</v>
      </c>
      <c r="K7569" s="9">
        <v>14</v>
      </c>
      <c r="L7569" s="16" t="s">
        <v>26</v>
      </c>
      <c r="M7569" s="16">
        <f t="shared" si="711"/>
        <v>-0.79914141557313367</v>
      </c>
      <c r="N7569">
        <f t="shared" si="712"/>
        <v>0</v>
      </c>
      <c r="O7569">
        <f t="shared" si="713"/>
        <v>0</v>
      </c>
      <c r="P7569">
        <f t="shared" si="710"/>
        <v>4100</v>
      </c>
      <c r="Q7569">
        <f t="shared" si="714"/>
        <v>4100</v>
      </c>
      <c r="T7569" s="16">
        <f t="shared" si="715"/>
        <v>-0.79914141557313401</v>
      </c>
    </row>
    <row r="7570" spans="7:20" ht="14.4" x14ac:dyDescent="0.25">
      <c r="G7570" s="10">
        <v>1531</v>
      </c>
      <c r="H7570" s="9">
        <v>11014</v>
      </c>
      <c r="I7570" s="14">
        <f>DATE(2012,12,31)-846</f>
        <v>40428</v>
      </c>
      <c r="J7570" s="15" t="s">
        <v>17</v>
      </c>
      <c r="K7570" s="9">
        <v>39</v>
      </c>
      <c r="L7570" s="16" t="s">
        <v>26</v>
      </c>
      <c r="M7570" s="16">
        <f t="shared" si="711"/>
        <v>0.92735299990740228</v>
      </c>
      <c r="N7570">
        <f t="shared" si="712"/>
        <v>0</v>
      </c>
      <c r="O7570">
        <f t="shared" si="713"/>
        <v>0</v>
      </c>
      <c r="P7570">
        <f t="shared" si="710"/>
        <v>5350</v>
      </c>
      <c r="Q7570">
        <f t="shared" si="714"/>
        <v>5350</v>
      </c>
      <c r="T7570" s="16">
        <f t="shared" si="715"/>
        <v>0.92735299990740183</v>
      </c>
    </row>
    <row r="7571" spans="7:20" ht="14.4" x14ac:dyDescent="0.25">
      <c r="G7571" s="10">
        <v>1987</v>
      </c>
      <c r="H7571" s="9">
        <v>14176</v>
      </c>
      <c r="I7571" s="14">
        <f>DATE(2012,12,31)-1390</f>
        <v>39884</v>
      </c>
      <c r="J7571" s="15" t="s">
        <v>25</v>
      </c>
      <c r="K7571" s="9">
        <v>39</v>
      </c>
      <c r="L7571" s="16" t="s">
        <v>27</v>
      </c>
      <c r="M7571" s="16">
        <f t="shared" si="711"/>
        <v>0.92735299990740228</v>
      </c>
      <c r="N7571">
        <f t="shared" si="712"/>
        <v>0</v>
      </c>
      <c r="O7571">
        <f t="shared" si="713"/>
        <v>0</v>
      </c>
      <c r="P7571">
        <f t="shared" si="710"/>
        <v>5350</v>
      </c>
      <c r="Q7571">
        <f t="shared" si="714"/>
        <v>5350</v>
      </c>
      <c r="T7571" s="16">
        <f t="shared" si="715"/>
        <v>0.92735299990740183</v>
      </c>
    </row>
    <row r="7572" spans="7:20" ht="14.4" x14ac:dyDescent="0.25">
      <c r="G7572" s="10">
        <v>2031</v>
      </c>
      <c r="H7572" s="9">
        <v>14497</v>
      </c>
      <c r="I7572" s="14">
        <f>DATE(2012,12,31)-225</f>
        <v>41049</v>
      </c>
      <c r="J7572" s="15" t="s">
        <v>16</v>
      </c>
      <c r="K7572" s="9">
        <v>34</v>
      </c>
      <c r="L7572" s="16" t="s">
        <v>26</v>
      </c>
      <c r="M7572" s="16">
        <f t="shared" si="711"/>
        <v>0.58205411681129504</v>
      </c>
      <c r="N7572">
        <f t="shared" si="712"/>
        <v>0</v>
      </c>
      <c r="O7572">
        <f t="shared" si="713"/>
        <v>0</v>
      </c>
      <c r="P7572">
        <f t="shared" si="710"/>
        <v>5100</v>
      </c>
      <c r="Q7572">
        <f t="shared" si="714"/>
        <v>5100</v>
      </c>
      <c r="T7572" s="16">
        <f t="shared" si="715"/>
        <v>0.58205411681129471</v>
      </c>
    </row>
    <row r="7573" spans="7:20" ht="14.4" x14ac:dyDescent="0.25">
      <c r="G7573" s="10">
        <v>2106</v>
      </c>
      <c r="H7573" s="9">
        <v>15074</v>
      </c>
      <c r="I7573" s="14">
        <f>DATE(2012,12,31)-1129</f>
        <v>40145</v>
      </c>
      <c r="J7573" s="15" t="s">
        <v>28</v>
      </c>
      <c r="K7573" s="9">
        <v>27</v>
      </c>
      <c r="L7573" s="16" t="s">
        <v>26</v>
      </c>
      <c r="M7573" s="16">
        <f t="shared" si="711"/>
        <v>9.8635680476745008E-2</v>
      </c>
      <c r="N7573">
        <f t="shared" si="712"/>
        <v>0</v>
      </c>
      <c r="O7573">
        <f t="shared" si="713"/>
        <v>0</v>
      </c>
      <c r="P7573">
        <f t="shared" si="710"/>
        <v>4750</v>
      </c>
      <c r="Q7573">
        <f t="shared" si="714"/>
        <v>4750</v>
      </c>
      <c r="T7573" s="16">
        <f t="shared" si="715"/>
        <v>9.8635680476744619E-2</v>
      </c>
    </row>
    <row r="7574" spans="7:20" ht="14.4" x14ac:dyDescent="0.25">
      <c r="G7574" s="10">
        <v>2112</v>
      </c>
      <c r="H7574" s="9">
        <v>15104</v>
      </c>
      <c r="I7574" s="14">
        <f>DATE(2012,12,31)-277</f>
        <v>40997</v>
      </c>
      <c r="J7574" s="15" t="s">
        <v>16</v>
      </c>
      <c r="K7574" s="9">
        <v>23</v>
      </c>
      <c r="L7574" s="16" t="s">
        <v>26</v>
      </c>
      <c r="M7574" s="16">
        <f t="shared" si="711"/>
        <v>-0.17760342600014073</v>
      </c>
      <c r="N7574">
        <f t="shared" si="712"/>
        <v>0</v>
      </c>
      <c r="O7574">
        <f t="shared" si="713"/>
        <v>0</v>
      </c>
      <c r="P7574">
        <f t="shared" si="710"/>
        <v>4550</v>
      </c>
      <c r="Q7574">
        <f t="shared" si="714"/>
        <v>4550</v>
      </c>
      <c r="T7574" s="16">
        <f t="shared" si="715"/>
        <v>-0.17760342600014112</v>
      </c>
    </row>
    <row r="7575" spans="7:20" ht="14.4" x14ac:dyDescent="0.25">
      <c r="G7575" s="10">
        <v>2339</v>
      </c>
      <c r="H7575" s="9">
        <v>16834</v>
      </c>
      <c r="I7575" s="14">
        <f>DATE(2012,12,31)-800</f>
        <v>40474</v>
      </c>
      <c r="J7575" s="15" t="s">
        <v>25</v>
      </c>
      <c r="K7575" s="9">
        <v>23</v>
      </c>
      <c r="L7575" s="16" t="s">
        <v>26</v>
      </c>
      <c r="M7575" s="16">
        <f t="shared" si="711"/>
        <v>-0.17760342600014073</v>
      </c>
      <c r="N7575">
        <f t="shared" si="712"/>
        <v>0</v>
      </c>
      <c r="O7575">
        <f t="shared" si="713"/>
        <v>0</v>
      </c>
      <c r="P7575">
        <f t="shared" si="710"/>
        <v>4550</v>
      </c>
      <c r="Q7575">
        <f t="shared" si="714"/>
        <v>4550</v>
      </c>
      <c r="T7575" s="16">
        <f t="shared" si="715"/>
        <v>-0.17760342600014112</v>
      </c>
    </row>
    <row r="7576" spans="7:20" ht="14.4" x14ac:dyDescent="0.25">
      <c r="G7576" s="10">
        <v>2407</v>
      </c>
      <c r="H7576" s="9">
        <v>17445</v>
      </c>
      <c r="I7576" s="14">
        <f>DATE(2012,12,31)-498</f>
        <v>40776</v>
      </c>
      <c r="J7576" s="15" t="s">
        <v>28</v>
      </c>
      <c r="K7576" s="9">
        <v>33</v>
      </c>
      <c r="L7576" s="16" t="s">
        <v>27</v>
      </c>
      <c r="M7576" s="16">
        <f t="shared" si="711"/>
        <v>0.51299434019207357</v>
      </c>
      <c r="N7576">
        <f t="shared" si="712"/>
        <v>0</v>
      </c>
      <c r="O7576">
        <f t="shared" si="713"/>
        <v>0</v>
      </c>
      <c r="P7576">
        <f t="shared" si="710"/>
        <v>5050</v>
      </c>
      <c r="Q7576">
        <f t="shared" si="714"/>
        <v>5050</v>
      </c>
      <c r="T7576" s="16">
        <f t="shared" si="715"/>
        <v>0.51299434019207324</v>
      </c>
    </row>
    <row r="7577" spans="7:20" ht="14.4" x14ac:dyDescent="0.25">
      <c r="G7577" s="10">
        <v>2574</v>
      </c>
      <c r="H7577" s="9">
        <v>18593</v>
      </c>
      <c r="I7577" s="14">
        <f>DATE(2012,12,31)-466</f>
        <v>40808</v>
      </c>
      <c r="J7577" s="15" t="s">
        <v>17</v>
      </c>
      <c r="K7577" s="9">
        <v>23</v>
      </c>
      <c r="L7577" s="16" t="s">
        <v>27</v>
      </c>
      <c r="M7577" s="16">
        <f t="shared" si="711"/>
        <v>-0.17760342600014073</v>
      </c>
      <c r="N7577">
        <f t="shared" si="712"/>
        <v>0</v>
      </c>
      <c r="O7577">
        <f t="shared" si="713"/>
        <v>0</v>
      </c>
      <c r="P7577">
        <f t="shared" si="710"/>
        <v>4550</v>
      </c>
      <c r="Q7577">
        <f t="shared" si="714"/>
        <v>4550</v>
      </c>
      <c r="T7577" s="16">
        <f t="shared" si="715"/>
        <v>-0.17760342600014112</v>
      </c>
    </row>
    <row r="7578" spans="7:20" ht="14.4" x14ac:dyDescent="0.25">
      <c r="G7578" s="10">
        <v>2575</v>
      </c>
      <c r="H7578" s="9">
        <v>18593</v>
      </c>
      <c r="I7578" s="14">
        <f>DATE(2012,12,31)-466</f>
        <v>40808</v>
      </c>
      <c r="J7578" s="15" t="s">
        <v>17</v>
      </c>
      <c r="K7578" s="9">
        <v>19</v>
      </c>
      <c r="L7578" s="16" t="s">
        <v>29</v>
      </c>
      <c r="M7578" s="16">
        <f t="shared" si="711"/>
        <v>-0.45384253247702649</v>
      </c>
      <c r="N7578">
        <f t="shared" si="712"/>
        <v>0</v>
      </c>
      <c r="O7578">
        <f t="shared" si="713"/>
        <v>0</v>
      </c>
      <c r="P7578">
        <f t="shared" si="710"/>
        <v>4350</v>
      </c>
      <c r="Q7578">
        <f t="shared" si="714"/>
        <v>4350</v>
      </c>
      <c r="T7578" s="16">
        <f t="shared" si="715"/>
        <v>-0.45384253247702688</v>
      </c>
    </row>
    <row r="7579" spans="7:20" ht="14.4" x14ac:dyDescent="0.25">
      <c r="G7579" s="10">
        <v>2722</v>
      </c>
      <c r="H7579" s="9">
        <v>19652</v>
      </c>
      <c r="I7579" s="14">
        <f>DATE(2012,12,31)-212</f>
        <v>41062</v>
      </c>
      <c r="J7579" s="15" t="s">
        <v>30</v>
      </c>
      <c r="K7579" s="9">
        <v>28</v>
      </c>
      <c r="L7579" s="16" t="s">
        <v>29</v>
      </c>
      <c r="M7579" s="16">
        <f t="shared" si="711"/>
        <v>0.16769545709596645</v>
      </c>
      <c r="N7579">
        <f t="shared" si="712"/>
        <v>0</v>
      </c>
      <c r="O7579">
        <f t="shared" si="713"/>
        <v>0</v>
      </c>
      <c r="P7579">
        <f t="shared" si="710"/>
        <v>4800</v>
      </c>
      <c r="Q7579">
        <f t="shared" si="714"/>
        <v>4800</v>
      </c>
      <c r="T7579" s="16">
        <f t="shared" si="715"/>
        <v>0.16769545709596606</v>
      </c>
    </row>
    <row r="7580" spans="7:20" ht="14.4" x14ac:dyDescent="0.25">
      <c r="G7580" s="10">
        <v>2723</v>
      </c>
      <c r="H7580" s="9">
        <v>19652</v>
      </c>
      <c r="I7580" s="14">
        <f>DATE(2012,12,31)-212</f>
        <v>41062</v>
      </c>
      <c r="J7580" s="15" t="s">
        <v>30</v>
      </c>
      <c r="K7580" s="9">
        <v>34</v>
      </c>
      <c r="L7580" s="16" t="s">
        <v>27</v>
      </c>
      <c r="M7580" s="16">
        <f t="shared" si="711"/>
        <v>0.58205411681129504</v>
      </c>
      <c r="N7580">
        <f t="shared" si="712"/>
        <v>0</v>
      </c>
      <c r="O7580">
        <f t="shared" si="713"/>
        <v>0</v>
      </c>
      <c r="P7580">
        <f t="shared" si="710"/>
        <v>5100</v>
      </c>
      <c r="Q7580">
        <f t="shared" si="714"/>
        <v>5100</v>
      </c>
      <c r="T7580" s="16">
        <f t="shared" si="715"/>
        <v>0.58205411681129471</v>
      </c>
    </row>
    <row r="7581" spans="7:20" ht="14.4" x14ac:dyDescent="0.25">
      <c r="G7581" s="10">
        <v>2879</v>
      </c>
      <c r="H7581" s="9">
        <v>20743</v>
      </c>
      <c r="I7581" s="14">
        <f>DATE(2012,12,31)-382</f>
        <v>40892</v>
      </c>
      <c r="J7581" s="15" t="s">
        <v>17</v>
      </c>
      <c r="K7581" s="9">
        <v>39</v>
      </c>
      <c r="L7581" s="16" t="s">
        <v>26</v>
      </c>
      <c r="M7581" s="16">
        <f t="shared" si="711"/>
        <v>0.92735299990740228</v>
      </c>
      <c r="N7581">
        <f t="shared" si="712"/>
        <v>0</v>
      </c>
      <c r="O7581">
        <f t="shared" si="713"/>
        <v>0</v>
      </c>
      <c r="P7581">
        <f t="shared" si="710"/>
        <v>5350</v>
      </c>
      <c r="Q7581">
        <f t="shared" si="714"/>
        <v>5350</v>
      </c>
      <c r="T7581" s="16">
        <f t="shared" si="715"/>
        <v>0.92735299990740183</v>
      </c>
    </row>
    <row r="7582" spans="7:20" ht="14.4" x14ac:dyDescent="0.25">
      <c r="G7582" s="10">
        <v>3047</v>
      </c>
      <c r="H7582" s="9">
        <v>21862</v>
      </c>
      <c r="I7582" s="14">
        <f>DATE(2012,12,31)-841</f>
        <v>40433</v>
      </c>
      <c r="J7582" s="15" t="s">
        <v>28</v>
      </c>
      <c r="K7582" s="9">
        <v>1</v>
      </c>
      <c r="L7582" s="16" t="s">
        <v>26</v>
      </c>
      <c r="M7582" s="16">
        <f t="shared" si="711"/>
        <v>-1.6969185116230123</v>
      </c>
      <c r="N7582">
        <f t="shared" si="712"/>
        <v>0</v>
      </c>
      <c r="O7582">
        <f t="shared" si="713"/>
        <v>0</v>
      </c>
      <c r="P7582">
        <f t="shared" si="710"/>
        <v>3450</v>
      </c>
      <c r="Q7582">
        <f t="shared" si="714"/>
        <v>3450</v>
      </c>
      <c r="T7582" s="16">
        <f t="shared" si="715"/>
        <v>-1.6969185116230128</v>
      </c>
    </row>
    <row r="7583" spans="7:20" ht="14.4" x14ac:dyDescent="0.25">
      <c r="G7583" s="10">
        <v>3048</v>
      </c>
      <c r="H7583" s="9">
        <v>21862</v>
      </c>
      <c r="I7583" s="14">
        <f>DATE(2012,12,31)-841</f>
        <v>40433</v>
      </c>
      <c r="J7583" s="15" t="s">
        <v>28</v>
      </c>
      <c r="K7583" s="9">
        <v>4</v>
      </c>
      <c r="L7583" s="16" t="s">
        <v>27</v>
      </c>
      <c r="M7583" s="16">
        <f t="shared" si="711"/>
        <v>-1.489739181765348</v>
      </c>
      <c r="N7583">
        <f t="shared" si="712"/>
        <v>0</v>
      </c>
      <c r="O7583">
        <f t="shared" si="713"/>
        <v>0</v>
      </c>
      <c r="P7583">
        <f t="shared" si="710"/>
        <v>3600</v>
      </c>
      <c r="Q7583">
        <f t="shared" si="714"/>
        <v>3600</v>
      </c>
      <c r="T7583" s="16">
        <f t="shared" si="715"/>
        <v>-1.4897391817653485</v>
      </c>
    </row>
    <row r="7584" spans="7:20" ht="14.4" x14ac:dyDescent="0.25">
      <c r="G7584" s="10">
        <v>3049</v>
      </c>
      <c r="H7584" s="9">
        <v>21862</v>
      </c>
      <c r="I7584" s="14">
        <f>DATE(2012,12,31)-841</f>
        <v>40433</v>
      </c>
      <c r="J7584" s="15" t="s">
        <v>28</v>
      </c>
      <c r="K7584" s="9">
        <v>46</v>
      </c>
      <c r="L7584" s="16" t="s">
        <v>26</v>
      </c>
      <c r="M7584" s="16">
        <f t="shared" si="711"/>
        <v>1.4107714362419523</v>
      </c>
      <c r="N7584">
        <f t="shared" si="712"/>
        <v>0</v>
      </c>
      <c r="O7584">
        <f t="shared" si="713"/>
        <v>0</v>
      </c>
      <c r="P7584">
        <f t="shared" si="710"/>
        <v>5700</v>
      </c>
      <c r="Q7584">
        <f t="shared" si="714"/>
        <v>5700</v>
      </c>
      <c r="T7584" s="16">
        <f t="shared" si="715"/>
        <v>1.4107714362419519</v>
      </c>
    </row>
    <row r="7585" spans="7:20" ht="14.4" x14ac:dyDescent="0.25">
      <c r="G7585" s="10">
        <v>3169</v>
      </c>
      <c r="H7585" s="9">
        <v>22787</v>
      </c>
      <c r="I7585" s="14">
        <f>DATE(2012,12,31)-636</f>
        <v>40638</v>
      </c>
      <c r="J7585" s="15" t="s">
        <v>16</v>
      </c>
      <c r="K7585" s="9">
        <v>35</v>
      </c>
      <c r="L7585" s="16" t="s">
        <v>26</v>
      </c>
      <c r="M7585" s="16">
        <f t="shared" si="711"/>
        <v>0.65111389343051651</v>
      </c>
      <c r="N7585">
        <f t="shared" si="712"/>
        <v>0</v>
      </c>
      <c r="O7585">
        <f t="shared" si="713"/>
        <v>0</v>
      </c>
      <c r="P7585">
        <f t="shared" si="710"/>
        <v>5150</v>
      </c>
      <c r="Q7585">
        <f t="shared" si="714"/>
        <v>5150</v>
      </c>
      <c r="T7585" s="16">
        <f t="shared" si="715"/>
        <v>0.65111389343051607</v>
      </c>
    </row>
    <row r="7586" spans="7:20" ht="14.4" x14ac:dyDescent="0.25">
      <c r="G7586" s="10">
        <v>3229</v>
      </c>
      <c r="H7586" s="9">
        <v>23170</v>
      </c>
      <c r="I7586" s="14">
        <f>DATE(2012,12,31)-1320</f>
        <v>39954</v>
      </c>
      <c r="J7586" s="15" t="s">
        <v>28</v>
      </c>
      <c r="K7586" s="9">
        <v>20</v>
      </c>
      <c r="L7586" s="16" t="s">
        <v>29</v>
      </c>
      <c r="M7586" s="16">
        <f t="shared" si="711"/>
        <v>-0.38478275585780503</v>
      </c>
      <c r="N7586">
        <f t="shared" si="712"/>
        <v>0</v>
      </c>
      <c r="O7586">
        <f t="shared" si="713"/>
        <v>0</v>
      </c>
      <c r="P7586">
        <f t="shared" si="710"/>
        <v>4400</v>
      </c>
      <c r="Q7586">
        <f t="shared" si="714"/>
        <v>4400</v>
      </c>
      <c r="T7586" s="16">
        <f t="shared" si="715"/>
        <v>-0.38478275585780541</v>
      </c>
    </row>
    <row r="7587" spans="7:20" ht="14.4" x14ac:dyDescent="0.25">
      <c r="G7587" s="10">
        <v>3256</v>
      </c>
      <c r="H7587" s="9">
        <v>23328</v>
      </c>
      <c r="I7587" s="14">
        <f>DATE(2012,12,31)-838</f>
        <v>40436</v>
      </c>
      <c r="J7587" s="15" t="s">
        <v>17</v>
      </c>
      <c r="K7587" s="9">
        <v>39</v>
      </c>
      <c r="L7587" s="16" t="s">
        <v>27</v>
      </c>
      <c r="M7587" s="16">
        <f t="shared" si="711"/>
        <v>0.92735299990740228</v>
      </c>
      <c r="N7587">
        <f t="shared" si="712"/>
        <v>0</v>
      </c>
      <c r="O7587">
        <f t="shared" si="713"/>
        <v>0</v>
      </c>
      <c r="P7587">
        <f t="shared" si="710"/>
        <v>5350</v>
      </c>
      <c r="Q7587">
        <f t="shared" si="714"/>
        <v>5350</v>
      </c>
      <c r="T7587" s="16">
        <f t="shared" si="715"/>
        <v>0.92735299990740183</v>
      </c>
    </row>
    <row r="7588" spans="7:20" ht="14.4" x14ac:dyDescent="0.25">
      <c r="G7588" s="10">
        <v>3403</v>
      </c>
      <c r="H7588" s="9">
        <v>24260</v>
      </c>
      <c r="I7588" s="14">
        <f>DATE(2012,12,31)-820</f>
        <v>40454</v>
      </c>
      <c r="J7588" s="15" t="s">
        <v>28</v>
      </c>
      <c r="K7588" s="9">
        <v>48</v>
      </c>
      <c r="L7588" s="16" t="s">
        <v>26</v>
      </c>
      <c r="M7588" s="16">
        <f t="shared" si="711"/>
        <v>1.5488909894803951</v>
      </c>
      <c r="N7588">
        <f t="shared" si="712"/>
        <v>0</v>
      </c>
      <c r="O7588">
        <f t="shared" si="713"/>
        <v>0</v>
      </c>
      <c r="P7588">
        <f t="shared" si="710"/>
        <v>5800</v>
      </c>
      <c r="Q7588">
        <f t="shared" si="714"/>
        <v>5800</v>
      </c>
      <c r="T7588" s="16">
        <f t="shared" si="715"/>
        <v>1.5488909894803948</v>
      </c>
    </row>
    <row r="7589" spans="7:20" ht="14.4" x14ac:dyDescent="0.25">
      <c r="G7589" s="10">
        <v>3404</v>
      </c>
      <c r="H7589" s="9">
        <v>24261</v>
      </c>
      <c r="I7589" s="14">
        <f>DATE(2012,12,31)-105</f>
        <v>41169</v>
      </c>
      <c r="J7589" s="15" t="s">
        <v>30</v>
      </c>
      <c r="K7589" s="9">
        <v>28</v>
      </c>
      <c r="L7589" s="16" t="s">
        <v>26</v>
      </c>
      <c r="M7589" s="16">
        <f t="shared" si="711"/>
        <v>0.16769545709596645</v>
      </c>
      <c r="N7589">
        <f t="shared" si="712"/>
        <v>0</v>
      </c>
      <c r="O7589">
        <f t="shared" si="713"/>
        <v>0</v>
      </c>
      <c r="P7589">
        <f t="shared" si="710"/>
        <v>4800</v>
      </c>
      <c r="Q7589">
        <f t="shared" si="714"/>
        <v>4800</v>
      </c>
      <c r="T7589" s="16">
        <f t="shared" si="715"/>
        <v>0.16769545709596606</v>
      </c>
    </row>
    <row r="7590" spans="7:20" ht="14.4" x14ac:dyDescent="0.25">
      <c r="G7590" s="10">
        <v>3646</v>
      </c>
      <c r="H7590" s="9">
        <v>26054</v>
      </c>
      <c r="I7590" s="14">
        <f>DATE(2012,12,31)-1053</f>
        <v>40221</v>
      </c>
      <c r="J7590" s="15" t="s">
        <v>30</v>
      </c>
      <c r="K7590" s="9">
        <v>47</v>
      </c>
      <c r="L7590" s="16" t="s">
        <v>29</v>
      </c>
      <c r="M7590" s="16">
        <f t="shared" si="711"/>
        <v>1.4798312128611737</v>
      </c>
      <c r="N7590">
        <f t="shared" si="712"/>
        <v>0</v>
      </c>
      <c r="O7590">
        <f t="shared" si="713"/>
        <v>0</v>
      </c>
      <c r="P7590">
        <f t="shared" si="710"/>
        <v>5750</v>
      </c>
      <c r="Q7590">
        <f t="shared" si="714"/>
        <v>5750</v>
      </c>
      <c r="T7590" s="16">
        <f t="shared" si="715"/>
        <v>1.4798312128611733</v>
      </c>
    </row>
    <row r="7591" spans="7:20" ht="14.4" x14ac:dyDescent="0.25">
      <c r="G7591" s="10">
        <v>3887</v>
      </c>
      <c r="H7591" s="9">
        <v>27750</v>
      </c>
      <c r="I7591" s="14">
        <f>DATE(2012,12,31)-73</f>
        <v>41201</v>
      </c>
      <c r="J7591" s="15" t="s">
        <v>25</v>
      </c>
      <c r="K7591" s="9">
        <v>12</v>
      </c>
      <c r="L7591" s="16" t="s">
        <v>29</v>
      </c>
      <c r="M7591" s="16">
        <f t="shared" si="711"/>
        <v>-0.9372609688115765</v>
      </c>
      <c r="N7591">
        <f t="shared" si="712"/>
        <v>0</v>
      </c>
      <c r="O7591">
        <f t="shared" si="713"/>
        <v>0</v>
      </c>
      <c r="P7591">
        <f t="shared" si="710"/>
        <v>4000</v>
      </c>
      <c r="Q7591">
        <f t="shared" si="714"/>
        <v>4000</v>
      </c>
      <c r="T7591" s="16">
        <f t="shared" si="715"/>
        <v>-0.93726096881157694</v>
      </c>
    </row>
    <row r="7592" spans="7:20" ht="14.4" x14ac:dyDescent="0.25">
      <c r="G7592" s="10">
        <v>3888</v>
      </c>
      <c r="H7592" s="9">
        <v>27750</v>
      </c>
      <c r="I7592" s="14">
        <f>DATE(2012,12,31)-73</f>
        <v>41201</v>
      </c>
      <c r="J7592" s="15" t="s">
        <v>25</v>
      </c>
      <c r="K7592" s="9">
        <v>18</v>
      </c>
      <c r="L7592" s="16" t="s">
        <v>27</v>
      </c>
      <c r="M7592" s="16">
        <f t="shared" si="711"/>
        <v>-0.52290230909624791</v>
      </c>
      <c r="N7592">
        <f t="shared" si="712"/>
        <v>0</v>
      </c>
      <c r="O7592">
        <f t="shared" si="713"/>
        <v>0</v>
      </c>
      <c r="P7592">
        <f t="shared" si="710"/>
        <v>4300</v>
      </c>
      <c r="Q7592">
        <f t="shared" si="714"/>
        <v>4300</v>
      </c>
      <c r="T7592" s="16">
        <f t="shared" si="715"/>
        <v>-0.52290230909624835</v>
      </c>
    </row>
    <row r="7593" spans="7:20" ht="14.4" x14ac:dyDescent="0.25">
      <c r="G7593" s="10">
        <v>3908</v>
      </c>
      <c r="H7593" s="9">
        <v>27872</v>
      </c>
      <c r="I7593" s="14">
        <f>DATE(2012,12,31)-445</f>
        <v>40829</v>
      </c>
      <c r="J7593" s="15" t="s">
        <v>28</v>
      </c>
      <c r="K7593" s="9">
        <v>25</v>
      </c>
      <c r="L7593" s="16" t="s">
        <v>26</v>
      </c>
      <c r="M7593" s="16">
        <f t="shared" si="711"/>
        <v>-3.9483872761697868E-2</v>
      </c>
      <c r="N7593">
        <f t="shared" si="712"/>
        <v>0</v>
      </c>
      <c r="O7593">
        <f t="shared" si="713"/>
        <v>0</v>
      </c>
      <c r="P7593">
        <f t="shared" si="710"/>
        <v>4650</v>
      </c>
      <c r="Q7593">
        <f t="shared" si="714"/>
        <v>4650</v>
      </c>
      <c r="T7593" s="16">
        <f t="shared" si="715"/>
        <v>-3.9483872761698249E-2</v>
      </c>
    </row>
    <row r="7594" spans="7:20" ht="14.4" x14ac:dyDescent="0.25">
      <c r="G7594" s="10">
        <v>4368</v>
      </c>
      <c r="H7594" s="9">
        <v>31109</v>
      </c>
      <c r="I7594" s="14">
        <f>DATE(2012,12,31)-430</f>
        <v>40844</v>
      </c>
      <c r="J7594" s="15" t="s">
        <v>25</v>
      </c>
      <c r="K7594" s="9">
        <v>49</v>
      </c>
      <c r="L7594" s="16" t="s">
        <v>26</v>
      </c>
      <c r="M7594" s="16">
        <f t="shared" si="711"/>
        <v>1.6179507660996166</v>
      </c>
      <c r="N7594">
        <f t="shared" si="712"/>
        <v>0</v>
      </c>
      <c r="O7594">
        <f t="shared" si="713"/>
        <v>0</v>
      </c>
      <c r="P7594">
        <f t="shared" si="710"/>
        <v>5850</v>
      </c>
      <c r="Q7594">
        <f t="shared" si="714"/>
        <v>5850</v>
      </c>
      <c r="T7594" s="16">
        <f t="shared" si="715"/>
        <v>1.6179507660996162</v>
      </c>
    </row>
    <row r="7595" spans="7:20" ht="14.4" x14ac:dyDescent="0.25">
      <c r="G7595" s="10">
        <v>4521</v>
      </c>
      <c r="H7595" s="9">
        <v>32165</v>
      </c>
      <c r="I7595" s="14">
        <f>DATE(2012,12,31)-78</f>
        <v>41196</v>
      </c>
      <c r="J7595" s="15" t="s">
        <v>28</v>
      </c>
      <c r="K7595" s="9">
        <v>47</v>
      </c>
      <c r="L7595" s="16" t="s">
        <v>27</v>
      </c>
      <c r="M7595" s="16">
        <f t="shared" si="711"/>
        <v>1.4798312128611737</v>
      </c>
      <c r="N7595">
        <f t="shared" si="712"/>
        <v>0</v>
      </c>
      <c r="O7595">
        <f t="shared" si="713"/>
        <v>0</v>
      </c>
      <c r="P7595">
        <f t="shared" si="710"/>
        <v>5750</v>
      </c>
      <c r="Q7595">
        <f t="shared" si="714"/>
        <v>5750</v>
      </c>
      <c r="T7595" s="16">
        <f t="shared" si="715"/>
        <v>1.4798312128611733</v>
      </c>
    </row>
    <row r="7596" spans="7:20" ht="14.4" x14ac:dyDescent="0.25">
      <c r="G7596" s="10">
        <v>4522</v>
      </c>
      <c r="H7596" s="9">
        <v>32165</v>
      </c>
      <c r="I7596" s="14">
        <f>DATE(2012,12,31)-78</f>
        <v>41196</v>
      </c>
      <c r="J7596" s="15" t="s">
        <v>28</v>
      </c>
      <c r="K7596" s="9">
        <v>38</v>
      </c>
      <c r="L7596" s="16" t="s">
        <v>27</v>
      </c>
      <c r="M7596" s="16">
        <f t="shared" si="711"/>
        <v>0.85829322328818081</v>
      </c>
      <c r="N7596">
        <f t="shared" si="712"/>
        <v>0</v>
      </c>
      <c r="O7596">
        <f t="shared" si="713"/>
        <v>0</v>
      </c>
      <c r="P7596">
        <f t="shared" si="710"/>
        <v>5300</v>
      </c>
      <c r="Q7596">
        <f t="shared" si="714"/>
        <v>5300</v>
      </c>
      <c r="T7596" s="16">
        <f t="shared" si="715"/>
        <v>0.85829322328818036</v>
      </c>
    </row>
    <row r="7597" spans="7:20" ht="14.4" x14ac:dyDescent="0.25">
      <c r="G7597" s="10">
        <v>4544</v>
      </c>
      <c r="H7597" s="9">
        <v>32325</v>
      </c>
      <c r="I7597" s="14">
        <f>DATE(2012,12,31)-60</f>
        <v>41214</v>
      </c>
      <c r="J7597" s="15" t="s">
        <v>30</v>
      </c>
      <c r="K7597" s="9">
        <v>45</v>
      </c>
      <c r="L7597" s="16" t="s">
        <v>29</v>
      </c>
      <c r="M7597" s="16">
        <f t="shared" si="711"/>
        <v>1.3417116596227308</v>
      </c>
      <c r="N7597">
        <f t="shared" si="712"/>
        <v>0</v>
      </c>
      <c r="O7597">
        <f t="shared" si="713"/>
        <v>0</v>
      </c>
      <c r="P7597">
        <f t="shared" si="710"/>
        <v>5650</v>
      </c>
      <c r="Q7597">
        <f t="shared" si="714"/>
        <v>5650</v>
      </c>
      <c r="T7597" s="16">
        <f t="shared" si="715"/>
        <v>1.3417116596227305</v>
      </c>
    </row>
    <row r="7598" spans="7:20" ht="14.4" x14ac:dyDescent="0.25">
      <c r="G7598" s="10">
        <v>4627</v>
      </c>
      <c r="H7598" s="9">
        <v>32931</v>
      </c>
      <c r="I7598" s="14">
        <f>DATE(2012,12,31)-1050</f>
        <v>40224</v>
      </c>
      <c r="J7598" s="15" t="s">
        <v>25</v>
      </c>
      <c r="K7598" s="9">
        <v>31</v>
      </c>
      <c r="L7598" s="16" t="s">
        <v>26</v>
      </c>
      <c r="M7598" s="16">
        <f t="shared" si="711"/>
        <v>0.37487478695363075</v>
      </c>
      <c r="N7598">
        <f t="shared" si="712"/>
        <v>0</v>
      </c>
      <c r="O7598">
        <f t="shared" si="713"/>
        <v>0</v>
      </c>
      <c r="P7598">
        <f t="shared" si="710"/>
        <v>4950</v>
      </c>
      <c r="Q7598">
        <f t="shared" si="714"/>
        <v>4950</v>
      </c>
      <c r="T7598" s="16">
        <f t="shared" si="715"/>
        <v>0.37487478695363036</v>
      </c>
    </row>
    <row r="7599" spans="7:20" ht="14.4" x14ac:dyDescent="0.25">
      <c r="G7599" s="10">
        <v>4628</v>
      </c>
      <c r="H7599" s="9">
        <v>32931</v>
      </c>
      <c r="I7599" s="14">
        <f>DATE(2012,12,31)-1050</f>
        <v>40224</v>
      </c>
      <c r="J7599" s="15" t="s">
        <v>25</v>
      </c>
      <c r="K7599" s="9">
        <v>25</v>
      </c>
      <c r="L7599" s="16" t="s">
        <v>26</v>
      </c>
      <c r="M7599" s="16">
        <f t="shared" si="711"/>
        <v>-3.9483872761697868E-2</v>
      </c>
      <c r="N7599">
        <f t="shared" si="712"/>
        <v>0</v>
      </c>
      <c r="O7599">
        <f t="shared" si="713"/>
        <v>0</v>
      </c>
      <c r="P7599">
        <f t="shared" si="710"/>
        <v>4650</v>
      </c>
      <c r="Q7599">
        <f t="shared" si="714"/>
        <v>4650</v>
      </c>
      <c r="T7599" s="16">
        <f t="shared" si="715"/>
        <v>-3.9483872761698249E-2</v>
      </c>
    </row>
    <row r="7600" spans="7:20" ht="14.4" x14ac:dyDescent="0.25">
      <c r="G7600" s="10">
        <v>4660</v>
      </c>
      <c r="H7600" s="9">
        <v>33189</v>
      </c>
      <c r="I7600" s="14">
        <f>DATE(2012,12,31)-1137</f>
        <v>40137</v>
      </c>
      <c r="J7600" s="15" t="s">
        <v>25</v>
      </c>
      <c r="K7600" s="9">
        <v>3</v>
      </c>
      <c r="L7600" s="16" t="s">
        <v>27</v>
      </c>
      <c r="M7600" s="16">
        <f t="shared" si="711"/>
        <v>-1.5587989583845694</v>
      </c>
      <c r="N7600">
        <f t="shared" si="712"/>
        <v>0</v>
      </c>
      <c r="O7600">
        <f t="shared" si="713"/>
        <v>0</v>
      </c>
      <c r="P7600">
        <f t="shared" si="710"/>
        <v>3550</v>
      </c>
      <c r="Q7600">
        <f t="shared" si="714"/>
        <v>3550</v>
      </c>
      <c r="T7600" s="16">
        <f t="shared" si="715"/>
        <v>-1.5587989583845698</v>
      </c>
    </row>
    <row r="7601" spans="7:20" ht="14.4" x14ac:dyDescent="0.25">
      <c r="G7601" s="10">
        <v>4661</v>
      </c>
      <c r="H7601" s="9">
        <v>33189</v>
      </c>
      <c r="I7601" s="14">
        <f>DATE(2012,12,31)-1137</f>
        <v>40137</v>
      </c>
      <c r="J7601" s="15" t="s">
        <v>25</v>
      </c>
      <c r="K7601" s="9">
        <v>5</v>
      </c>
      <c r="L7601" s="16" t="s">
        <v>26</v>
      </c>
      <c r="M7601" s="16">
        <f t="shared" si="711"/>
        <v>-1.4206794051461267</v>
      </c>
      <c r="N7601">
        <f t="shared" si="712"/>
        <v>0</v>
      </c>
      <c r="O7601">
        <f t="shared" si="713"/>
        <v>0</v>
      </c>
      <c r="P7601">
        <f t="shared" si="710"/>
        <v>3650</v>
      </c>
      <c r="Q7601">
        <f t="shared" si="714"/>
        <v>3650</v>
      </c>
      <c r="T7601" s="16">
        <f t="shared" si="715"/>
        <v>-1.4206794051461269</v>
      </c>
    </row>
    <row r="7602" spans="7:20" ht="14.4" x14ac:dyDescent="0.25">
      <c r="G7602" s="10">
        <v>4699</v>
      </c>
      <c r="H7602" s="9">
        <v>33479</v>
      </c>
      <c r="I7602" s="14">
        <f>DATE(2012,12,31)-104</f>
        <v>41170</v>
      </c>
      <c r="J7602" s="15" t="s">
        <v>30</v>
      </c>
      <c r="K7602" s="9">
        <v>50</v>
      </c>
      <c r="L7602" s="16" t="s">
        <v>26</v>
      </c>
      <c r="M7602" s="16">
        <f t="shared" si="711"/>
        <v>1.687010542718838</v>
      </c>
      <c r="N7602">
        <f t="shared" si="712"/>
        <v>0</v>
      </c>
      <c r="O7602">
        <f t="shared" si="713"/>
        <v>0</v>
      </c>
      <c r="P7602">
        <f t="shared" si="710"/>
        <v>5900</v>
      </c>
      <c r="Q7602">
        <f t="shared" si="714"/>
        <v>5900</v>
      </c>
      <c r="T7602" s="16">
        <f t="shared" si="715"/>
        <v>1.6870105427188375</v>
      </c>
    </row>
    <row r="7603" spans="7:20" ht="14.4" x14ac:dyDescent="0.25">
      <c r="G7603" s="10">
        <v>4700</v>
      </c>
      <c r="H7603" s="9">
        <v>33479</v>
      </c>
      <c r="I7603" s="14">
        <f>DATE(2012,12,31)-104</f>
        <v>41170</v>
      </c>
      <c r="J7603" s="15" t="s">
        <v>30</v>
      </c>
      <c r="K7603" s="9">
        <v>27</v>
      </c>
      <c r="L7603" s="16" t="s">
        <v>26</v>
      </c>
      <c r="M7603" s="16">
        <f t="shared" si="711"/>
        <v>9.8635680476745008E-2</v>
      </c>
      <c r="N7603">
        <f t="shared" si="712"/>
        <v>0</v>
      </c>
      <c r="O7603">
        <f t="shared" si="713"/>
        <v>0</v>
      </c>
      <c r="P7603">
        <f t="shared" si="710"/>
        <v>4750</v>
      </c>
      <c r="Q7603">
        <f t="shared" si="714"/>
        <v>4750</v>
      </c>
      <c r="T7603" s="16">
        <f t="shared" si="715"/>
        <v>9.8635680476744619E-2</v>
      </c>
    </row>
    <row r="7604" spans="7:20" ht="14.4" x14ac:dyDescent="0.25">
      <c r="G7604" s="10">
        <v>4827</v>
      </c>
      <c r="H7604" s="9">
        <v>34311</v>
      </c>
      <c r="I7604" s="14">
        <f>DATE(2012,12,31)-1213</f>
        <v>40061</v>
      </c>
      <c r="J7604" s="15" t="s">
        <v>17</v>
      </c>
      <c r="K7604" s="9">
        <v>39</v>
      </c>
      <c r="L7604" s="16" t="s">
        <v>26</v>
      </c>
      <c r="M7604" s="16">
        <f t="shared" si="711"/>
        <v>0.92735299990740228</v>
      </c>
      <c r="N7604">
        <f t="shared" si="712"/>
        <v>0</v>
      </c>
      <c r="O7604">
        <f t="shared" si="713"/>
        <v>0</v>
      </c>
      <c r="P7604">
        <f t="shared" si="710"/>
        <v>5350</v>
      </c>
      <c r="Q7604">
        <f t="shared" si="714"/>
        <v>5350</v>
      </c>
      <c r="T7604" s="16">
        <f t="shared" si="715"/>
        <v>0.92735299990740183</v>
      </c>
    </row>
    <row r="7605" spans="7:20" ht="14.4" x14ac:dyDescent="0.25">
      <c r="G7605" s="10">
        <v>4828</v>
      </c>
      <c r="H7605" s="9">
        <v>34311</v>
      </c>
      <c r="I7605" s="14">
        <f>DATE(2012,12,31)-1213</f>
        <v>40061</v>
      </c>
      <c r="J7605" s="15" t="s">
        <v>17</v>
      </c>
      <c r="K7605" s="9">
        <v>32</v>
      </c>
      <c r="L7605" s="16" t="s">
        <v>26</v>
      </c>
      <c r="M7605" s="16">
        <f t="shared" si="711"/>
        <v>0.44393456357285216</v>
      </c>
      <c r="N7605">
        <f t="shared" si="712"/>
        <v>0</v>
      </c>
      <c r="O7605">
        <f t="shared" si="713"/>
        <v>0</v>
      </c>
      <c r="P7605">
        <f t="shared" si="710"/>
        <v>5000</v>
      </c>
      <c r="Q7605">
        <f t="shared" si="714"/>
        <v>5000</v>
      </c>
      <c r="T7605" s="16">
        <f t="shared" si="715"/>
        <v>0.44393456357285183</v>
      </c>
    </row>
    <row r="7606" spans="7:20" ht="14.4" x14ac:dyDescent="0.25">
      <c r="G7606" s="10">
        <v>4937</v>
      </c>
      <c r="H7606" s="9">
        <v>35111</v>
      </c>
      <c r="I7606" s="14">
        <f>DATE(2012,12,31)-940</f>
        <v>40334</v>
      </c>
      <c r="J7606" s="15" t="s">
        <v>30</v>
      </c>
      <c r="K7606" s="9">
        <v>39</v>
      </c>
      <c r="L7606" s="16" t="s">
        <v>26</v>
      </c>
      <c r="M7606" s="16">
        <f t="shared" si="711"/>
        <v>0.92735299990740228</v>
      </c>
      <c r="N7606">
        <f t="shared" si="712"/>
        <v>0</v>
      </c>
      <c r="O7606">
        <f t="shared" si="713"/>
        <v>0</v>
      </c>
      <c r="P7606">
        <f t="shared" si="710"/>
        <v>5350</v>
      </c>
      <c r="Q7606">
        <f t="shared" si="714"/>
        <v>5350</v>
      </c>
      <c r="T7606" s="16">
        <f t="shared" si="715"/>
        <v>0.92735299990740183</v>
      </c>
    </row>
    <row r="7607" spans="7:20" ht="14.4" x14ac:dyDescent="0.25">
      <c r="G7607" s="10">
        <v>4947</v>
      </c>
      <c r="H7607" s="9">
        <v>35173</v>
      </c>
      <c r="I7607" s="14">
        <f>DATE(2012,12,31)-293</f>
        <v>40981</v>
      </c>
      <c r="J7607" s="15" t="s">
        <v>28</v>
      </c>
      <c r="K7607" s="9">
        <v>29</v>
      </c>
      <c r="L7607" s="16" t="s">
        <v>29</v>
      </c>
      <c r="M7607" s="16">
        <f t="shared" si="711"/>
        <v>0.23675523371518786</v>
      </c>
      <c r="N7607">
        <f t="shared" si="712"/>
        <v>0</v>
      </c>
      <c r="O7607">
        <f t="shared" si="713"/>
        <v>0</v>
      </c>
      <c r="P7607">
        <f t="shared" si="710"/>
        <v>4850</v>
      </c>
      <c r="Q7607">
        <f t="shared" si="714"/>
        <v>4850</v>
      </c>
      <c r="T7607" s="16">
        <f t="shared" si="715"/>
        <v>0.2367552337151875</v>
      </c>
    </row>
    <row r="7608" spans="7:20" ht="14.4" x14ac:dyDescent="0.25">
      <c r="G7608" s="10">
        <v>4948</v>
      </c>
      <c r="H7608" s="9">
        <v>35173</v>
      </c>
      <c r="I7608" s="14">
        <f>DATE(2012,12,31)-293</f>
        <v>40981</v>
      </c>
      <c r="J7608" s="15" t="s">
        <v>28</v>
      </c>
      <c r="K7608" s="9">
        <v>13</v>
      </c>
      <c r="L7608" s="16" t="s">
        <v>27</v>
      </c>
      <c r="M7608" s="16">
        <f t="shared" si="711"/>
        <v>-0.86820119219235514</v>
      </c>
      <c r="N7608">
        <f t="shared" si="712"/>
        <v>0</v>
      </c>
      <c r="O7608">
        <f t="shared" si="713"/>
        <v>0</v>
      </c>
      <c r="P7608">
        <f t="shared" si="710"/>
        <v>4050</v>
      </c>
      <c r="Q7608">
        <f t="shared" si="714"/>
        <v>4050</v>
      </c>
      <c r="T7608" s="16">
        <f t="shared" si="715"/>
        <v>-0.86820119219235548</v>
      </c>
    </row>
    <row r="7609" spans="7:20" ht="14.4" x14ac:dyDescent="0.25">
      <c r="G7609" s="10">
        <v>5169</v>
      </c>
      <c r="H7609" s="9">
        <v>36773</v>
      </c>
      <c r="I7609" s="14">
        <f>DATE(2012,12,31)-830</f>
        <v>40444</v>
      </c>
      <c r="J7609" s="15" t="s">
        <v>28</v>
      </c>
      <c r="K7609" s="9">
        <v>24</v>
      </c>
      <c r="L7609" s="16" t="s">
        <v>26</v>
      </c>
      <c r="M7609" s="16">
        <f t="shared" si="711"/>
        <v>-0.1085436493809193</v>
      </c>
      <c r="N7609">
        <f t="shared" si="712"/>
        <v>0</v>
      </c>
      <c r="O7609">
        <f t="shared" si="713"/>
        <v>0</v>
      </c>
      <c r="P7609">
        <f t="shared" si="710"/>
        <v>4600</v>
      </c>
      <c r="Q7609">
        <f t="shared" si="714"/>
        <v>4600</v>
      </c>
      <c r="T7609" s="16">
        <f t="shared" si="715"/>
        <v>-0.10854364938091969</v>
      </c>
    </row>
    <row r="7610" spans="7:20" ht="14.4" x14ac:dyDescent="0.25">
      <c r="G7610" s="10">
        <v>5205</v>
      </c>
      <c r="H7610" s="9">
        <v>36997</v>
      </c>
      <c r="I7610" s="14">
        <f>DATE(2012,12,31)-757</f>
        <v>40517</v>
      </c>
      <c r="J7610" s="15" t="s">
        <v>28</v>
      </c>
      <c r="K7610" s="9">
        <v>39</v>
      </c>
      <c r="L7610" s="16" t="s">
        <v>26</v>
      </c>
      <c r="M7610" s="16">
        <f t="shared" si="711"/>
        <v>0.92735299990740228</v>
      </c>
      <c r="N7610">
        <f t="shared" si="712"/>
        <v>0</v>
      </c>
      <c r="O7610">
        <f t="shared" si="713"/>
        <v>0</v>
      </c>
      <c r="P7610">
        <f t="shared" si="710"/>
        <v>5350</v>
      </c>
      <c r="Q7610">
        <f t="shared" si="714"/>
        <v>5350</v>
      </c>
      <c r="T7610" s="16">
        <f t="shared" si="715"/>
        <v>0.92735299990740183</v>
      </c>
    </row>
    <row r="7611" spans="7:20" ht="14.4" x14ac:dyDescent="0.25">
      <c r="G7611" s="10">
        <v>5295</v>
      </c>
      <c r="H7611" s="9">
        <v>37700</v>
      </c>
      <c r="I7611" s="14">
        <f>DATE(2012,12,31)-1119</f>
        <v>40155</v>
      </c>
      <c r="J7611" s="15" t="s">
        <v>30</v>
      </c>
      <c r="K7611" s="9">
        <v>27</v>
      </c>
      <c r="L7611" s="16" t="s">
        <v>26</v>
      </c>
      <c r="M7611" s="16">
        <f t="shared" si="711"/>
        <v>9.8635680476745008E-2</v>
      </c>
      <c r="N7611">
        <f t="shared" si="712"/>
        <v>0</v>
      </c>
      <c r="O7611">
        <f t="shared" si="713"/>
        <v>0</v>
      </c>
      <c r="P7611">
        <f t="shared" si="710"/>
        <v>4750</v>
      </c>
      <c r="Q7611">
        <f t="shared" si="714"/>
        <v>4750</v>
      </c>
      <c r="T7611" s="16">
        <f t="shared" si="715"/>
        <v>9.8635680476744619E-2</v>
      </c>
    </row>
    <row r="7612" spans="7:20" ht="14.4" x14ac:dyDescent="0.25">
      <c r="G7612" s="10">
        <v>5421</v>
      </c>
      <c r="H7612" s="9">
        <v>38529</v>
      </c>
      <c r="I7612" s="14">
        <f>DATE(2012,12,31)-1428</f>
        <v>39846</v>
      </c>
      <c r="J7612" s="15" t="s">
        <v>25</v>
      </c>
      <c r="K7612" s="9">
        <v>38</v>
      </c>
      <c r="L7612" s="16" t="s">
        <v>26</v>
      </c>
      <c r="M7612" s="16">
        <f t="shared" si="711"/>
        <v>0.85829322328818081</v>
      </c>
      <c r="N7612">
        <f t="shared" si="712"/>
        <v>0</v>
      </c>
      <c r="O7612">
        <f t="shared" si="713"/>
        <v>0</v>
      </c>
      <c r="P7612">
        <f t="shared" si="710"/>
        <v>5300</v>
      </c>
      <c r="Q7612">
        <f t="shared" si="714"/>
        <v>5300</v>
      </c>
      <c r="T7612" s="16">
        <f t="shared" si="715"/>
        <v>0.85829322328818036</v>
      </c>
    </row>
    <row r="7613" spans="7:20" ht="14.4" x14ac:dyDescent="0.25">
      <c r="G7613" s="10">
        <v>5682</v>
      </c>
      <c r="H7613" s="9">
        <v>40162</v>
      </c>
      <c r="I7613" s="14">
        <f>DATE(2012,12,31)-1072</f>
        <v>40202</v>
      </c>
      <c r="J7613" s="15" t="s">
        <v>30</v>
      </c>
      <c r="K7613" s="9">
        <v>28</v>
      </c>
      <c r="L7613" s="16" t="s">
        <v>26</v>
      </c>
      <c r="M7613" s="16">
        <f t="shared" si="711"/>
        <v>0.16769545709596645</v>
      </c>
      <c r="N7613">
        <f t="shared" si="712"/>
        <v>0</v>
      </c>
      <c r="O7613">
        <f t="shared" si="713"/>
        <v>0</v>
      </c>
      <c r="P7613">
        <f t="shared" si="710"/>
        <v>4800</v>
      </c>
      <c r="Q7613">
        <f t="shared" si="714"/>
        <v>4800</v>
      </c>
      <c r="T7613" s="16">
        <f t="shared" si="715"/>
        <v>0.16769545709596606</v>
      </c>
    </row>
    <row r="7614" spans="7:20" ht="14.4" x14ac:dyDescent="0.25">
      <c r="G7614" s="10">
        <v>5727</v>
      </c>
      <c r="H7614" s="9">
        <v>40612</v>
      </c>
      <c r="I7614" s="14">
        <f>DATE(2012,12,31)-672</f>
        <v>40602</v>
      </c>
      <c r="J7614" s="15" t="s">
        <v>17</v>
      </c>
      <c r="K7614" s="9">
        <v>9</v>
      </c>
      <c r="L7614" s="16" t="s">
        <v>26</v>
      </c>
      <c r="M7614" s="16">
        <f t="shared" si="711"/>
        <v>-1.1444402986692408</v>
      </c>
      <c r="N7614">
        <f t="shared" si="712"/>
        <v>0</v>
      </c>
      <c r="O7614">
        <f t="shared" si="713"/>
        <v>0</v>
      </c>
      <c r="P7614">
        <f t="shared" si="710"/>
        <v>3850</v>
      </c>
      <c r="Q7614">
        <f t="shared" si="714"/>
        <v>3850</v>
      </c>
      <c r="T7614" s="16">
        <f t="shared" si="715"/>
        <v>-1.1444402986692412</v>
      </c>
    </row>
    <row r="7615" spans="7:20" ht="14.4" x14ac:dyDescent="0.25">
      <c r="G7615" s="10">
        <v>5918</v>
      </c>
      <c r="H7615" s="9">
        <v>41987</v>
      </c>
      <c r="I7615" s="14">
        <f>DATE(2012,12,31)-437</f>
        <v>40837</v>
      </c>
      <c r="J7615" s="15" t="s">
        <v>28</v>
      </c>
      <c r="K7615" s="9">
        <v>25</v>
      </c>
      <c r="L7615" s="16" t="s">
        <v>29</v>
      </c>
      <c r="M7615" s="16">
        <f t="shared" si="711"/>
        <v>-3.9483872761697868E-2</v>
      </c>
      <c r="N7615">
        <f t="shared" si="712"/>
        <v>0</v>
      </c>
      <c r="O7615">
        <f t="shared" si="713"/>
        <v>0</v>
      </c>
      <c r="P7615">
        <f t="shared" si="710"/>
        <v>4650</v>
      </c>
      <c r="Q7615">
        <f t="shared" si="714"/>
        <v>4650</v>
      </c>
      <c r="T7615" s="16">
        <f t="shared" si="715"/>
        <v>-3.9483872761698249E-2</v>
      </c>
    </row>
    <row r="7616" spans="7:20" ht="14.4" x14ac:dyDescent="0.25">
      <c r="G7616" s="10">
        <v>5932</v>
      </c>
      <c r="H7616" s="9">
        <v>42083</v>
      </c>
      <c r="I7616" s="14">
        <f>DATE(2012,12,31)-386</f>
        <v>40888</v>
      </c>
      <c r="J7616" s="15" t="s">
        <v>30</v>
      </c>
      <c r="K7616" s="9">
        <v>38</v>
      </c>
      <c r="L7616" s="16" t="s">
        <v>29</v>
      </c>
      <c r="M7616" s="16">
        <f t="shared" si="711"/>
        <v>0.85829322328818081</v>
      </c>
      <c r="N7616">
        <f t="shared" si="712"/>
        <v>0</v>
      </c>
      <c r="O7616">
        <f t="shared" si="713"/>
        <v>0</v>
      </c>
      <c r="P7616">
        <f t="shared" si="710"/>
        <v>5300</v>
      </c>
      <c r="Q7616">
        <f t="shared" si="714"/>
        <v>5300</v>
      </c>
      <c r="T7616" s="16">
        <f t="shared" si="715"/>
        <v>0.85829322328818036</v>
      </c>
    </row>
    <row r="7617" spans="7:20" ht="14.4" x14ac:dyDescent="0.25">
      <c r="G7617" s="10">
        <v>5933</v>
      </c>
      <c r="H7617" s="9">
        <v>42083</v>
      </c>
      <c r="I7617" s="14">
        <f>DATE(2012,12,31)-386</f>
        <v>40888</v>
      </c>
      <c r="J7617" s="15" t="s">
        <v>30</v>
      </c>
      <c r="K7617" s="9">
        <v>36</v>
      </c>
      <c r="L7617" s="16" t="s">
        <v>26</v>
      </c>
      <c r="M7617" s="16">
        <f t="shared" si="711"/>
        <v>0.72017367004973787</v>
      </c>
      <c r="N7617">
        <f t="shared" si="712"/>
        <v>0</v>
      </c>
      <c r="O7617">
        <f t="shared" si="713"/>
        <v>0</v>
      </c>
      <c r="P7617">
        <f t="shared" si="710"/>
        <v>5200</v>
      </c>
      <c r="Q7617">
        <f t="shared" si="714"/>
        <v>5200</v>
      </c>
      <c r="T7617" s="16">
        <f t="shared" si="715"/>
        <v>0.72017367004973754</v>
      </c>
    </row>
    <row r="7618" spans="7:20" ht="14.4" x14ac:dyDescent="0.25">
      <c r="G7618" s="10">
        <v>5934</v>
      </c>
      <c r="H7618" s="9">
        <v>42083</v>
      </c>
      <c r="I7618" s="14">
        <f>DATE(2012,12,31)-386</f>
        <v>40888</v>
      </c>
      <c r="J7618" s="15" t="s">
        <v>30</v>
      </c>
      <c r="K7618" s="9">
        <v>33</v>
      </c>
      <c r="L7618" s="16" t="s">
        <v>26</v>
      </c>
      <c r="M7618" s="16">
        <f t="shared" si="711"/>
        <v>0.51299434019207357</v>
      </c>
      <c r="N7618">
        <f t="shared" si="712"/>
        <v>0</v>
      </c>
      <c r="O7618">
        <f t="shared" si="713"/>
        <v>0</v>
      </c>
      <c r="P7618">
        <f t="shared" si="710"/>
        <v>5050</v>
      </c>
      <c r="Q7618">
        <f t="shared" si="714"/>
        <v>5050</v>
      </c>
      <c r="T7618" s="16">
        <f t="shared" si="715"/>
        <v>0.51299434019207324</v>
      </c>
    </row>
    <row r="7619" spans="7:20" ht="14.4" x14ac:dyDescent="0.25">
      <c r="G7619" s="10">
        <v>5941</v>
      </c>
      <c r="H7619" s="9">
        <v>42151</v>
      </c>
      <c r="I7619" s="14">
        <f>DATE(2012,12,31)-747</f>
        <v>40527</v>
      </c>
      <c r="J7619" s="15" t="s">
        <v>17</v>
      </c>
      <c r="K7619" s="9">
        <v>35</v>
      </c>
      <c r="L7619" s="16" t="s">
        <v>27</v>
      </c>
      <c r="M7619" s="16">
        <f t="shared" si="711"/>
        <v>0.65111389343051651</v>
      </c>
      <c r="N7619">
        <f t="shared" si="712"/>
        <v>0</v>
      </c>
      <c r="O7619">
        <f t="shared" si="713"/>
        <v>0</v>
      </c>
      <c r="P7619">
        <f t="shared" si="710"/>
        <v>5150</v>
      </c>
      <c r="Q7619">
        <f t="shared" si="714"/>
        <v>5150</v>
      </c>
      <c r="T7619" s="16">
        <f t="shared" si="715"/>
        <v>0.65111389343051607</v>
      </c>
    </row>
    <row r="7620" spans="7:20" ht="14.4" x14ac:dyDescent="0.25">
      <c r="G7620" s="10">
        <v>6021</v>
      </c>
      <c r="H7620" s="9">
        <v>42658</v>
      </c>
      <c r="I7620" s="14">
        <f>DATE(2012,12,31)-930</f>
        <v>40344</v>
      </c>
      <c r="J7620" s="15" t="s">
        <v>16</v>
      </c>
      <c r="K7620" s="9">
        <v>29</v>
      </c>
      <c r="L7620" s="16" t="s">
        <v>26</v>
      </c>
      <c r="M7620" s="16">
        <f t="shared" si="711"/>
        <v>0.23675523371518786</v>
      </c>
      <c r="N7620">
        <f t="shared" si="712"/>
        <v>0</v>
      </c>
      <c r="O7620">
        <f t="shared" si="713"/>
        <v>0</v>
      </c>
      <c r="P7620">
        <f t="shared" si="710"/>
        <v>4850</v>
      </c>
      <c r="Q7620">
        <f t="shared" si="714"/>
        <v>4850</v>
      </c>
      <c r="T7620" s="16">
        <f t="shared" si="715"/>
        <v>0.2367552337151875</v>
      </c>
    </row>
    <row r="7621" spans="7:20" ht="14.4" x14ac:dyDescent="0.25">
      <c r="G7621" s="10">
        <v>6200</v>
      </c>
      <c r="H7621" s="9">
        <v>43911</v>
      </c>
      <c r="I7621" s="14">
        <f>DATE(2012,12,31)-1447</f>
        <v>39827</v>
      </c>
      <c r="J7621" s="15" t="s">
        <v>16</v>
      </c>
      <c r="K7621" s="9">
        <v>29</v>
      </c>
      <c r="L7621" s="16" t="s">
        <v>29</v>
      </c>
      <c r="M7621" s="16">
        <f t="shared" si="711"/>
        <v>0.23675523371518786</v>
      </c>
      <c r="N7621">
        <f t="shared" si="712"/>
        <v>0</v>
      </c>
      <c r="O7621">
        <f t="shared" si="713"/>
        <v>0</v>
      </c>
      <c r="P7621">
        <f t="shared" si="710"/>
        <v>4850</v>
      </c>
      <c r="Q7621">
        <f t="shared" si="714"/>
        <v>4850</v>
      </c>
      <c r="T7621" s="16">
        <f t="shared" si="715"/>
        <v>0.2367552337151875</v>
      </c>
    </row>
    <row r="7622" spans="7:20" ht="14.4" x14ac:dyDescent="0.25">
      <c r="G7622" s="10">
        <v>6201</v>
      </c>
      <c r="H7622" s="9">
        <v>43911</v>
      </c>
      <c r="I7622" s="14">
        <f>DATE(2012,12,31)-1447</f>
        <v>39827</v>
      </c>
      <c r="J7622" s="15" t="s">
        <v>16</v>
      </c>
      <c r="K7622" s="9">
        <v>36</v>
      </c>
      <c r="L7622" s="16" t="s">
        <v>27</v>
      </c>
      <c r="M7622" s="16">
        <f t="shared" si="711"/>
        <v>0.72017367004973787</v>
      </c>
      <c r="N7622">
        <f t="shared" si="712"/>
        <v>0</v>
      </c>
      <c r="O7622">
        <f t="shared" si="713"/>
        <v>0</v>
      </c>
      <c r="P7622">
        <f t="shared" si="710"/>
        <v>5200</v>
      </c>
      <c r="Q7622">
        <f t="shared" si="714"/>
        <v>5200</v>
      </c>
      <c r="T7622" s="16">
        <f t="shared" si="715"/>
        <v>0.72017367004973754</v>
      </c>
    </row>
    <row r="7623" spans="7:20" ht="14.4" x14ac:dyDescent="0.25">
      <c r="G7623" s="10">
        <v>6202</v>
      </c>
      <c r="H7623" s="9">
        <v>43911</v>
      </c>
      <c r="I7623" s="14">
        <f>DATE(2012,12,31)-1447</f>
        <v>39827</v>
      </c>
      <c r="J7623" s="15" t="s">
        <v>16</v>
      </c>
      <c r="K7623" s="9">
        <v>23</v>
      </c>
      <c r="L7623" s="16" t="s">
        <v>29</v>
      </c>
      <c r="M7623" s="16">
        <f t="shared" si="711"/>
        <v>-0.17760342600014073</v>
      </c>
      <c r="N7623">
        <f t="shared" si="712"/>
        <v>0</v>
      </c>
      <c r="O7623">
        <f t="shared" si="713"/>
        <v>0</v>
      </c>
      <c r="P7623">
        <f t="shared" si="710"/>
        <v>4550</v>
      </c>
      <c r="Q7623">
        <f t="shared" si="714"/>
        <v>4550</v>
      </c>
      <c r="T7623" s="16">
        <f t="shared" si="715"/>
        <v>-0.17760342600014112</v>
      </c>
    </row>
    <row r="7624" spans="7:20" ht="14.4" x14ac:dyDescent="0.25">
      <c r="G7624" s="10">
        <v>6215</v>
      </c>
      <c r="H7624" s="9">
        <v>44005</v>
      </c>
      <c r="I7624" s="14">
        <f>DATE(2012,12,31)-850</f>
        <v>40424</v>
      </c>
      <c r="J7624" s="15" t="s">
        <v>16</v>
      </c>
      <c r="K7624" s="9">
        <v>7</v>
      </c>
      <c r="L7624" s="16" t="s">
        <v>27</v>
      </c>
      <c r="M7624" s="16">
        <f t="shared" si="711"/>
        <v>-1.2825598519076837</v>
      </c>
      <c r="N7624">
        <f t="shared" si="712"/>
        <v>0</v>
      </c>
      <c r="O7624">
        <f t="shared" si="713"/>
        <v>0</v>
      </c>
      <c r="P7624">
        <f t="shared" si="710"/>
        <v>3750</v>
      </c>
      <c r="Q7624">
        <f t="shared" si="714"/>
        <v>3750</v>
      </c>
      <c r="T7624" s="16">
        <f t="shared" si="715"/>
        <v>-1.2825598519076842</v>
      </c>
    </row>
    <row r="7625" spans="7:20" ht="14.4" x14ac:dyDescent="0.25">
      <c r="G7625" s="10">
        <v>6285</v>
      </c>
      <c r="H7625" s="9">
        <v>44486</v>
      </c>
      <c r="I7625" s="14">
        <f>DATE(2012,12,31)-175</f>
        <v>41099</v>
      </c>
      <c r="J7625" s="15" t="s">
        <v>30</v>
      </c>
      <c r="K7625" s="9">
        <v>36</v>
      </c>
      <c r="L7625" s="16" t="s">
        <v>26</v>
      </c>
      <c r="M7625" s="16">
        <f t="shared" si="711"/>
        <v>0.72017367004973787</v>
      </c>
      <c r="N7625">
        <f t="shared" si="712"/>
        <v>0</v>
      </c>
      <c r="O7625">
        <f t="shared" si="713"/>
        <v>0</v>
      </c>
      <c r="P7625">
        <f t="shared" si="710"/>
        <v>5200</v>
      </c>
      <c r="Q7625">
        <f t="shared" si="714"/>
        <v>5200</v>
      </c>
      <c r="T7625" s="16">
        <f t="shared" si="715"/>
        <v>0.72017367004973754</v>
      </c>
    </row>
    <row r="7626" spans="7:20" ht="14.4" x14ac:dyDescent="0.25">
      <c r="G7626" s="10">
        <v>6378</v>
      </c>
      <c r="H7626" s="9">
        <v>45284</v>
      </c>
      <c r="I7626" s="14">
        <f>DATE(2012,12,31)-359</f>
        <v>40915</v>
      </c>
      <c r="J7626" s="15" t="s">
        <v>17</v>
      </c>
      <c r="K7626" s="9">
        <v>7</v>
      </c>
      <c r="L7626" s="16" t="s">
        <v>26</v>
      </c>
      <c r="M7626" s="16">
        <f t="shared" si="711"/>
        <v>-1.2825598519076837</v>
      </c>
      <c r="N7626">
        <f t="shared" si="712"/>
        <v>0</v>
      </c>
      <c r="O7626">
        <f t="shared" si="713"/>
        <v>0</v>
      </c>
      <c r="P7626">
        <f t="shared" si="710"/>
        <v>3750</v>
      </c>
      <c r="Q7626">
        <f t="shared" si="714"/>
        <v>3750</v>
      </c>
      <c r="T7626" s="16">
        <f t="shared" si="715"/>
        <v>-1.2825598519076842</v>
      </c>
    </row>
    <row r="7627" spans="7:20" ht="14.4" x14ac:dyDescent="0.25">
      <c r="G7627" s="10">
        <v>6424</v>
      </c>
      <c r="H7627" s="9">
        <v>45668</v>
      </c>
      <c r="I7627" s="14">
        <f>DATE(2012,12,31)-750</f>
        <v>40524</v>
      </c>
      <c r="J7627" s="15" t="s">
        <v>28</v>
      </c>
      <c r="K7627" s="9">
        <v>8</v>
      </c>
      <c r="L7627" s="16" t="s">
        <v>29</v>
      </c>
      <c r="M7627" s="16">
        <f t="shared" si="711"/>
        <v>-1.2135000752884624</v>
      </c>
      <c r="N7627">
        <f t="shared" si="712"/>
        <v>0</v>
      </c>
      <c r="O7627">
        <f t="shared" si="713"/>
        <v>0</v>
      </c>
      <c r="P7627">
        <f t="shared" si="710"/>
        <v>3800</v>
      </c>
      <c r="Q7627">
        <f t="shared" si="714"/>
        <v>3800</v>
      </c>
      <c r="T7627" s="16">
        <f t="shared" si="715"/>
        <v>-1.2135000752884626</v>
      </c>
    </row>
    <row r="7628" spans="7:20" ht="14.4" x14ac:dyDescent="0.25">
      <c r="G7628" s="10">
        <v>6465</v>
      </c>
      <c r="H7628" s="9">
        <v>46023</v>
      </c>
      <c r="I7628" s="14">
        <f>DATE(2012,12,31)-282</f>
        <v>40992</v>
      </c>
      <c r="J7628" s="15" t="s">
        <v>28</v>
      </c>
      <c r="K7628" s="9">
        <v>50</v>
      </c>
      <c r="L7628" s="16" t="s">
        <v>26</v>
      </c>
      <c r="M7628" s="16">
        <f t="shared" si="711"/>
        <v>1.687010542718838</v>
      </c>
      <c r="N7628">
        <f t="shared" si="712"/>
        <v>0</v>
      </c>
      <c r="O7628">
        <f t="shared" si="713"/>
        <v>0</v>
      </c>
      <c r="P7628">
        <f t="shared" ref="P7628:P7691" si="716">50*K7628+$P$10</f>
        <v>5900</v>
      </c>
      <c r="Q7628">
        <f t="shared" si="714"/>
        <v>5900</v>
      </c>
      <c r="T7628" s="16">
        <f t="shared" si="715"/>
        <v>1.6870105427188375</v>
      </c>
    </row>
    <row r="7629" spans="7:20" ht="14.4" x14ac:dyDescent="0.25">
      <c r="G7629" s="10">
        <v>6544</v>
      </c>
      <c r="H7629" s="9">
        <v>46533</v>
      </c>
      <c r="I7629" s="14">
        <f>DATE(2012,12,31)-1181</f>
        <v>40093</v>
      </c>
      <c r="J7629" s="15" t="s">
        <v>17</v>
      </c>
      <c r="K7629" s="9">
        <v>3</v>
      </c>
      <c r="L7629" s="16" t="s">
        <v>29</v>
      </c>
      <c r="M7629" s="16">
        <f t="shared" ref="M7629:M7692" si="717">(K7629-$K$4)/$K$7</f>
        <v>-1.5587989583845694</v>
      </c>
      <c r="N7629">
        <f t="shared" ref="N7629:N7692" si="718">IF(MOD($B$20+G7629,1000)=0,1,0)</f>
        <v>0</v>
      </c>
      <c r="O7629">
        <f t="shared" ref="O7629:O7692" si="719">+ROUND(N7629*(IF(K7629&lt;$K$4,-4.5,10.5)*$P$5),-2)</f>
        <v>0</v>
      </c>
      <c r="P7629">
        <f t="shared" si="716"/>
        <v>3550</v>
      </c>
      <c r="Q7629">
        <f t="shared" ref="Q7629:Q7692" si="720">P7629+O7629</f>
        <v>3550</v>
      </c>
      <c r="T7629" s="16">
        <f t="shared" ref="T7629:T7692" si="721">(Q7629-$P$4)/$P$5</f>
        <v>-1.5587989583845698</v>
      </c>
    </row>
    <row r="7630" spans="7:20" ht="14.4" x14ac:dyDescent="0.25">
      <c r="G7630" s="10">
        <v>6545</v>
      </c>
      <c r="H7630" s="9">
        <v>46533</v>
      </c>
      <c r="I7630" s="14">
        <f>DATE(2012,12,31)-1181</f>
        <v>40093</v>
      </c>
      <c r="J7630" s="15" t="s">
        <v>17</v>
      </c>
      <c r="K7630" s="9">
        <v>12</v>
      </c>
      <c r="L7630" s="16" t="s">
        <v>27</v>
      </c>
      <c r="M7630" s="16">
        <f t="shared" si="717"/>
        <v>-0.9372609688115765</v>
      </c>
      <c r="N7630">
        <f t="shared" si="718"/>
        <v>0</v>
      </c>
      <c r="O7630">
        <f t="shared" si="719"/>
        <v>0</v>
      </c>
      <c r="P7630">
        <f t="shared" si="716"/>
        <v>4000</v>
      </c>
      <c r="Q7630">
        <f t="shared" si="720"/>
        <v>4000</v>
      </c>
      <c r="T7630" s="16">
        <f t="shared" si="721"/>
        <v>-0.93726096881157694</v>
      </c>
    </row>
    <row r="7631" spans="7:20" ht="14.4" x14ac:dyDescent="0.25">
      <c r="G7631" s="10">
        <v>6784</v>
      </c>
      <c r="H7631" s="9">
        <v>48321</v>
      </c>
      <c r="I7631" s="14">
        <f>DATE(2012,12,31)-886</f>
        <v>40388</v>
      </c>
      <c r="J7631" s="15" t="s">
        <v>17</v>
      </c>
      <c r="K7631" s="9">
        <v>31</v>
      </c>
      <c r="L7631" s="16" t="s">
        <v>26</v>
      </c>
      <c r="M7631" s="16">
        <f t="shared" si="717"/>
        <v>0.37487478695363075</v>
      </c>
      <c r="N7631">
        <f t="shared" si="718"/>
        <v>0</v>
      </c>
      <c r="O7631">
        <f t="shared" si="719"/>
        <v>0</v>
      </c>
      <c r="P7631">
        <f t="shared" si="716"/>
        <v>4950</v>
      </c>
      <c r="Q7631">
        <f t="shared" si="720"/>
        <v>4950</v>
      </c>
      <c r="T7631" s="16">
        <f t="shared" si="721"/>
        <v>0.37487478695363036</v>
      </c>
    </row>
    <row r="7632" spans="7:20" ht="14.4" x14ac:dyDescent="0.25">
      <c r="G7632" s="10">
        <v>6837</v>
      </c>
      <c r="H7632" s="9">
        <v>48673</v>
      </c>
      <c r="I7632" s="14">
        <f>DATE(2012,12,31)-249</f>
        <v>41025</v>
      </c>
      <c r="J7632" s="15" t="s">
        <v>28</v>
      </c>
      <c r="K7632" s="9">
        <v>36</v>
      </c>
      <c r="L7632" s="16" t="s">
        <v>26</v>
      </c>
      <c r="M7632" s="16">
        <f t="shared" si="717"/>
        <v>0.72017367004973787</v>
      </c>
      <c r="N7632">
        <f t="shared" si="718"/>
        <v>0</v>
      </c>
      <c r="O7632">
        <f t="shared" si="719"/>
        <v>0</v>
      </c>
      <c r="P7632">
        <f t="shared" si="716"/>
        <v>5200</v>
      </c>
      <c r="Q7632">
        <f t="shared" si="720"/>
        <v>5200</v>
      </c>
      <c r="T7632" s="16">
        <f t="shared" si="721"/>
        <v>0.72017367004973754</v>
      </c>
    </row>
    <row r="7633" spans="7:20" ht="14.4" x14ac:dyDescent="0.25">
      <c r="G7633" s="10">
        <v>6843</v>
      </c>
      <c r="H7633" s="9">
        <v>48742</v>
      </c>
      <c r="I7633" s="14">
        <f>DATE(2012,12,31)-258</f>
        <v>41016</v>
      </c>
      <c r="J7633" s="15" t="s">
        <v>28</v>
      </c>
      <c r="K7633" s="9">
        <v>42</v>
      </c>
      <c r="L7633" s="16" t="s">
        <v>26</v>
      </c>
      <c r="M7633" s="16">
        <f t="shared" si="717"/>
        <v>1.1345323297650665</v>
      </c>
      <c r="N7633">
        <f t="shared" si="718"/>
        <v>0</v>
      </c>
      <c r="O7633">
        <f t="shared" si="719"/>
        <v>0</v>
      </c>
      <c r="P7633">
        <f t="shared" si="716"/>
        <v>5500</v>
      </c>
      <c r="Q7633">
        <f t="shared" si="720"/>
        <v>5500</v>
      </c>
      <c r="T7633" s="16">
        <f t="shared" si="721"/>
        <v>1.1345323297650662</v>
      </c>
    </row>
    <row r="7634" spans="7:20" ht="14.4" x14ac:dyDescent="0.25">
      <c r="G7634" s="10">
        <v>6876</v>
      </c>
      <c r="H7634" s="9">
        <v>48998</v>
      </c>
      <c r="I7634" s="14">
        <f>DATE(2012,12,31)-1414</f>
        <v>39860</v>
      </c>
      <c r="J7634" s="15" t="s">
        <v>25</v>
      </c>
      <c r="K7634" s="9">
        <v>15</v>
      </c>
      <c r="L7634" s="16" t="s">
        <v>26</v>
      </c>
      <c r="M7634" s="16">
        <f t="shared" si="717"/>
        <v>-0.7300816389539122</v>
      </c>
      <c r="N7634">
        <f t="shared" si="718"/>
        <v>0</v>
      </c>
      <c r="O7634">
        <f t="shared" si="719"/>
        <v>0</v>
      </c>
      <c r="P7634">
        <f t="shared" si="716"/>
        <v>4150</v>
      </c>
      <c r="Q7634">
        <f t="shared" si="720"/>
        <v>4150</v>
      </c>
      <c r="T7634" s="16">
        <f t="shared" si="721"/>
        <v>-0.73008163895391265</v>
      </c>
    </row>
    <row r="7635" spans="7:20" ht="14.4" x14ac:dyDescent="0.25">
      <c r="G7635" s="10">
        <v>7038</v>
      </c>
      <c r="H7635" s="9">
        <v>50246</v>
      </c>
      <c r="I7635" s="14">
        <f>DATE(2012,12,31)-866</f>
        <v>40408</v>
      </c>
      <c r="J7635" s="15" t="s">
        <v>16</v>
      </c>
      <c r="K7635" s="9">
        <v>14</v>
      </c>
      <c r="L7635" s="16" t="s">
        <v>26</v>
      </c>
      <c r="M7635" s="16">
        <f t="shared" si="717"/>
        <v>-0.79914141557313367</v>
      </c>
      <c r="N7635">
        <f t="shared" si="718"/>
        <v>0</v>
      </c>
      <c r="O7635">
        <f t="shared" si="719"/>
        <v>0</v>
      </c>
      <c r="P7635">
        <f t="shared" si="716"/>
        <v>4100</v>
      </c>
      <c r="Q7635">
        <f t="shared" si="720"/>
        <v>4100</v>
      </c>
      <c r="T7635" s="16">
        <f t="shared" si="721"/>
        <v>-0.79914141557313401</v>
      </c>
    </row>
    <row r="7636" spans="7:20" ht="14.4" x14ac:dyDescent="0.25">
      <c r="G7636" s="10">
        <v>7172</v>
      </c>
      <c r="H7636" s="9">
        <v>51200</v>
      </c>
      <c r="I7636" s="14">
        <f>DATE(2012,12,31)-409</f>
        <v>40865</v>
      </c>
      <c r="J7636" s="15" t="s">
        <v>16</v>
      </c>
      <c r="K7636" s="9">
        <v>29</v>
      </c>
      <c r="L7636" s="16" t="s">
        <v>27</v>
      </c>
      <c r="M7636" s="16">
        <f t="shared" si="717"/>
        <v>0.23675523371518786</v>
      </c>
      <c r="N7636">
        <f t="shared" si="718"/>
        <v>0</v>
      </c>
      <c r="O7636">
        <f t="shared" si="719"/>
        <v>0</v>
      </c>
      <c r="P7636">
        <f t="shared" si="716"/>
        <v>4850</v>
      </c>
      <c r="Q7636">
        <f t="shared" si="720"/>
        <v>4850</v>
      </c>
      <c r="T7636" s="16">
        <f t="shared" si="721"/>
        <v>0.2367552337151875</v>
      </c>
    </row>
    <row r="7637" spans="7:20" ht="14.4" x14ac:dyDescent="0.25">
      <c r="G7637" s="10">
        <v>7189</v>
      </c>
      <c r="H7637" s="9">
        <v>51271</v>
      </c>
      <c r="I7637" s="14">
        <f>DATE(2012,12,31)-798</f>
        <v>40476</v>
      </c>
      <c r="J7637" s="15" t="s">
        <v>17</v>
      </c>
      <c r="K7637" s="9">
        <v>31</v>
      </c>
      <c r="L7637" s="16" t="s">
        <v>29</v>
      </c>
      <c r="M7637" s="16">
        <f t="shared" si="717"/>
        <v>0.37487478695363075</v>
      </c>
      <c r="N7637">
        <f t="shared" si="718"/>
        <v>0</v>
      </c>
      <c r="O7637">
        <f t="shared" si="719"/>
        <v>0</v>
      </c>
      <c r="P7637">
        <f t="shared" si="716"/>
        <v>4950</v>
      </c>
      <c r="Q7637">
        <f t="shared" si="720"/>
        <v>4950</v>
      </c>
      <c r="T7637" s="16">
        <f t="shared" si="721"/>
        <v>0.37487478695363036</v>
      </c>
    </row>
    <row r="7638" spans="7:20" ht="14.4" x14ac:dyDescent="0.25">
      <c r="G7638" s="10">
        <v>7190</v>
      </c>
      <c r="H7638" s="9">
        <v>51271</v>
      </c>
      <c r="I7638" s="14">
        <f>DATE(2012,12,31)-798</f>
        <v>40476</v>
      </c>
      <c r="J7638" s="15" t="s">
        <v>17</v>
      </c>
      <c r="K7638" s="9">
        <v>16</v>
      </c>
      <c r="L7638" s="16" t="s">
        <v>27</v>
      </c>
      <c r="M7638" s="16">
        <f t="shared" si="717"/>
        <v>-0.66102186233469074</v>
      </c>
      <c r="N7638">
        <f t="shared" si="718"/>
        <v>0</v>
      </c>
      <c r="O7638">
        <f t="shared" si="719"/>
        <v>0</v>
      </c>
      <c r="P7638">
        <f t="shared" si="716"/>
        <v>4200</v>
      </c>
      <c r="Q7638">
        <f t="shared" si="720"/>
        <v>4200</v>
      </c>
      <c r="T7638" s="16">
        <f t="shared" si="721"/>
        <v>-0.66102186233469118</v>
      </c>
    </row>
    <row r="7639" spans="7:20" ht="14.4" x14ac:dyDescent="0.25">
      <c r="G7639" s="10">
        <v>7191</v>
      </c>
      <c r="H7639" s="9">
        <v>51297</v>
      </c>
      <c r="I7639" s="14">
        <f>DATE(2012,12,31)-50</f>
        <v>41224</v>
      </c>
      <c r="J7639" s="15" t="s">
        <v>25</v>
      </c>
      <c r="K7639" s="9">
        <v>41</v>
      </c>
      <c r="L7639" s="16" t="s">
        <v>26</v>
      </c>
      <c r="M7639" s="16">
        <f t="shared" si="717"/>
        <v>1.0654725531458451</v>
      </c>
      <c r="N7639">
        <f t="shared" si="718"/>
        <v>0</v>
      </c>
      <c r="O7639">
        <f t="shared" si="719"/>
        <v>0</v>
      </c>
      <c r="P7639">
        <f t="shared" si="716"/>
        <v>5450</v>
      </c>
      <c r="Q7639">
        <f t="shared" si="720"/>
        <v>5450</v>
      </c>
      <c r="T7639" s="16">
        <f t="shared" si="721"/>
        <v>1.0654725531458447</v>
      </c>
    </row>
    <row r="7640" spans="7:20" ht="14.4" x14ac:dyDescent="0.25">
      <c r="G7640" s="10">
        <v>7266</v>
      </c>
      <c r="H7640" s="9">
        <v>51842</v>
      </c>
      <c r="I7640" s="14">
        <f>DATE(2012,12,31)-399</f>
        <v>40875</v>
      </c>
      <c r="J7640" s="15" t="s">
        <v>25</v>
      </c>
      <c r="K7640" s="9">
        <v>1</v>
      </c>
      <c r="L7640" s="16" t="s">
        <v>26</v>
      </c>
      <c r="M7640" s="16">
        <f t="shared" si="717"/>
        <v>-1.6969185116230123</v>
      </c>
      <c r="N7640">
        <f t="shared" si="718"/>
        <v>0</v>
      </c>
      <c r="O7640">
        <f t="shared" si="719"/>
        <v>0</v>
      </c>
      <c r="P7640">
        <f t="shared" si="716"/>
        <v>3450</v>
      </c>
      <c r="Q7640">
        <f t="shared" si="720"/>
        <v>3450</v>
      </c>
      <c r="T7640" s="16">
        <f t="shared" si="721"/>
        <v>-1.6969185116230128</v>
      </c>
    </row>
    <row r="7641" spans="7:20" ht="14.4" x14ac:dyDescent="0.25">
      <c r="G7641" s="10">
        <v>7267</v>
      </c>
      <c r="H7641" s="9">
        <v>51842</v>
      </c>
      <c r="I7641" s="14">
        <f>DATE(2012,12,31)-399</f>
        <v>40875</v>
      </c>
      <c r="J7641" s="15" t="s">
        <v>25</v>
      </c>
      <c r="K7641" s="9">
        <v>4</v>
      </c>
      <c r="L7641" s="16" t="s">
        <v>26</v>
      </c>
      <c r="M7641" s="16">
        <f t="shared" si="717"/>
        <v>-1.489739181765348</v>
      </c>
      <c r="N7641">
        <f t="shared" si="718"/>
        <v>0</v>
      </c>
      <c r="O7641">
        <f t="shared" si="719"/>
        <v>0</v>
      </c>
      <c r="P7641">
        <f t="shared" si="716"/>
        <v>3600</v>
      </c>
      <c r="Q7641">
        <f t="shared" si="720"/>
        <v>3600</v>
      </c>
      <c r="T7641" s="16">
        <f t="shared" si="721"/>
        <v>-1.4897391817653485</v>
      </c>
    </row>
    <row r="7642" spans="7:20" ht="14.4" x14ac:dyDescent="0.25">
      <c r="G7642" s="10">
        <v>7282</v>
      </c>
      <c r="H7642" s="9">
        <v>51968</v>
      </c>
      <c r="I7642" s="14">
        <f>DATE(2012,12,31)-1213</f>
        <v>40061</v>
      </c>
      <c r="J7642" s="15" t="s">
        <v>16</v>
      </c>
      <c r="K7642" s="9">
        <v>43</v>
      </c>
      <c r="L7642" s="16" t="s">
        <v>27</v>
      </c>
      <c r="M7642" s="16">
        <f t="shared" si="717"/>
        <v>1.203592106384288</v>
      </c>
      <c r="N7642">
        <f t="shared" si="718"/>
        <v>0</v>
      </c>
      <c r="O7642">
        <f t="shared" si="719"/>
        <v>0</v>
      </c>
      <c r="P7642">
        <f t="shared" si="716"/>
        <v>5550</v>
      </c>
      <c r="Q7642">
        <f t="shared" si="720"/>
        <v>5550</v>
      </c>
      <c r="T7642" s="16">
        <f t="shared" si="721"/>
        <v>1.2035921063842876</v>
      </c>
    </row>
    <row r="7643" spans="7:20" ht="14.4" x14ac:dyDescent="0.25">
      <c r="G7643" s="10">
        <v>7374</v>
      </c>
      <c r="H7643" s="9">
        <v>52578</v>
      </c>
      <c r="I7643" s="14">
        <f>DATE(2012,12,31)-665</f>
        <v>40609</v>
      </c>
      <c r="J7643" s="15" t="s">
        <v>30</v>
      </c>
      <c r="K7643" s="9">
        <v>38</v>
      </c>
      <c r="L7643" s="16" t="s">
        <v>29</v>
      </c>
      <c r="M7643" s="16">
        <f t="shared" si="717"/>
        <v>0.85829322328818081</v>
      </c>
      <c r="N7643">
        <f t="shared" si="718"/>
        <v>0</v>
      </c>
      <c r="O7643">
        <f t="shared" si="719"/>
        <v>0</v>
      </c>
      <c r="P7643">
        <f t="shared" si="716"/>
        <v>5300</v>
      </c>
      <c r="Q7643">
        <f t="shared" si="720"/>
        <v>5300</v>
      </c>
      <c r="T7643" s="16">
        <f t="shared" si="721"/>
        <v>0.85829322328818036</v>
      </c>
    </row>
    <row r="7644" spans="7:20" ht="14.4" x14ac:dyDescent="0.25">
      <c r="G7644" s="10">
        <v>7375</v>
      </c>
      <c r="H7644" s="9">
        <v>52578</v>
      </c>
      <c r="I7644" s="14">
        <f>DATE(2012,12,31)-665</f>
        <v>40609</v>
      </c>
      <c r="J7644" s="15" t="s">
        <v>30</v>
      </c>
      <c r="K7644" s="9">
        <v>8</v>
      </c>
      <c r="L7644" s="16" t="s">
        <v>29</v>
      </c>
      <c r="M7644" s="16">
        <f t="shared" si="717"/>
        <v>-1.2135000752884624</v>
      </c>
      <c r="N7644">
        <f t="shared" si="718"/>
        <v>0</v>
      </c>
      <c r="O7644">
        <f t="shared" si="719"/>
        <v>0</v>
      </c>
      <c r="P7644">
        <f t="shared" si="716"/>
        <v>3800</v>
      </c>
      <c r="Q7644">
        <f t="shared" si="720"/>
        <v>3800</v>
      </c>
      <c r="T7644" s="16">
        <f t="shared" si="721"/>
        <v>-1.2135000752884626</v>
      </c>
    </row>
    <row r="7645" spans="7:20" ht="14.4" x14ac:dyDescent="0.25">
      <c r="G7645" s="10">
        <v>7439</v>
      </c>
      <c r="H7645" s="9">
        <v>53027</v>
      </c>
      <c r="I7645" s="14">
        <f>DATE(2012,12,31)-797</f>
        <v>40477</v>
      </c>
      <c r="J7645" s="15" t="s">
        <v>25</v>
      </c>
      <c r="K7645" s="9">
        <v>38</v>
      </c>
      <c r="L7645" s="16" t="s">
        <v>26</v>
      </c>
      <c r="M7645" s="16">
        <f t="shared" si="717"/>
        <v>0.85829322328818081</v>
      </c>
      <c r="N7645">
        <f t="shared" si="718"/>
        <v>0</v>
      </c>
      <c r="O7645">
        <f t="shared" si="719"/>
        <v>0</v>
      </c>
      <c r="P7645">
        <f t="shared" si="716"/>
        <v>5300</v>
      </c>
      <c r="Q7645">
        <f t="shared" si="720"/>
        <v>5300</v>
      </c>
      <c r="T7645" s="16">
        <f t="shared" si="721"/>
        <v>0.85829322328818036</v>
      </c>
    </row>
    <row r="7646" spans="7:20" ht="14.4" x14ac:dyDescent="0.25">
      <c r="G7646" s="10">
        <v>7580</v>
      </c>
      <c r="H7646" s="9">
        <v>54214</v>
      </c>
      <c r="I7646" s="14">
        <f>DATE(2012,12,31)-364</f>
        <v>40910</v>
      </c>
      <c r="J7646" s="15" t="s">
        <v>16</v>
      </c>
      <c r="K7646" s="9">
        <v>38</v>
      </c>
      <c r="L7646" s="16" t="s">
        <v>27</v>
      </c>
      <c r="M7646" s="16">
        <f t="shared" si="717"/>
        <v>0.85829322328818081</v>
      </c>
      <c r="N7646">
        <f t="shared" si="718"/>
        <v>0</v>
      </c>
      <c r="O7646">
        <f t="shared" si="719"/>
        <v>0</v>
      </c>
      <c r="P7646">
        <f t="shared" si="716"/>
        <v>5300</v>
      </c>
      <c r="Q7646">
        <f t="shared" si="720"/>
        <v>5300</v>
      </c>
      <c r="T7646" s="16">
        <f t="shared" si="721"/>
        <v>0.85829322328818036</v>
      </c>
    </row>
    <row r="7647" spans="7:20" ht="14.4" x14ac:dyDescent="0.25">
      <c r="G7647" s="10">
        <v>7594</v>
      </c>
      <c r="H7647" s="9">
        <v>54342</v>
      </c>
      <c r="I7647" s="14">
        <f>DATE(2012,12,31)-1302</f>
        <v>39972</v>
      </c>
      <c r="J7647" s="15" t="s">
        <v>25</v>
      </c>
      <c r="K7647" s="9">
        <v>35</v>
      </c>
      <c r="L7647" s="16" t="s">
        <v>27</v>
      </c>
      <c r="M7647" s="16">
        <f t="shared" si="717"/>
        <v>0.65111389343051651</v>
      </c>
      <c r="N7647">
        <f t="shared" si="718"/>
        <v>0</v>
      </c>
      <c r="O7647">
        <f t="shared" si="719"/>
        <v>0</v>
      </c>
      <c r="P7647">
        <f t="shared" si="716"/>
        <v>5150</v>
      </c>
      <c r="Q7647">
        <f t="shared" si="720"/>
        <v>5150</v>
      </c>
      <c r="T7647" s="16">
        <f t="shared" si="721"/>
        <v>0.65111389343051607</v>
      </c>
    </row>
    <row r="7648" spans="7:20" ht="14.4" x14ac:dyDescent="0.25">
      <c r="G7648" s="10">
        <v>7595</v>
      </c>
      <c r="H7648" s="9">
        <v>54342</v>
      </c>
      <c r="I7648" s="14">
        <f>DATE(2012,12,31)-1302</f>
        <v>39972</v>
      </c>
      <c r="J7648" s="15" t="s">
        <v>25</v>
      </c>
      <c r="K7648" s="9">
        <v>2</v>
      </c>
      <c r="L7648" s="16" t="s">
        <v>26</v>
      </c>
      <c r="M7648" s="16">
        <f t="shared" si="717"/>
        <v>-1.627858735003791</v>
      </c>
      <c r="N7648">
        <f t="shared" si="718"/>
        <v>0</v>
      </c>
      <c r="O7648">
        <f t="shared" si="719"/>
        <v>0</v>
      </c>
      <c r="P7648">
        <f t="shared" si="716"/>
        <v>3500</v>
      </c>
      <c r="Q7648">
        <f t="shared" si="720"/>
        <v>3500</v>
      </c>
      <c r="T7648" s="16">
        <f t="shared" si="721"/>
        <v>-1.6278587350037912</v>
      </c>
    </row>
    <row r="7649" spans="7:20" ht="14.4" x14ac:dyDescent="0.25">
      <c r="G7649" s="10">
        <v>7635</v>
      </c>
      <c r="H7649" s="9">
        <v>54656</v>
      </c>
      <c r="I7649" s="14">
        <f>DATE(2012,12,31)-42</f>
        <v>41232</v>
      </c>
      <c r="J7649" s="15" t="s">
        <v>17</v>
      </c>
      <c r="K7649" s="9">
        <v>22</v>
      </c>
      <c r="L7649" s="16" t="s">
        <v>26</v>
      </c>
      <c r="M7649" s="16">
        <f t="shared" si="717"/>
        <v>-0.24666320261936217</v>
      </c>
      <c r="N7649">
        <f t="shared" si="718"/>
        <v>0</v>
      </c>
      <c r="O7649">
        <f t="shared" si="719"/>
        <v>0</v>
      </c>
      <c r="P7649">
        <f t="shared" si="716"/>
        <v>4500</v>
      </c>
      <c r="Q7649">
        <f t="shared" si="720"/>
        <v>4500</v>
      </c>
      <c r="T7649" s="16">
        <f t="shared" si="721"/>
        <v>-0.24666320261936256</v>
      </c>
    </row>
    <row r="7650" spans="7:20" ht="14.4" x14ac:dyDescent="0.25">
      <c r="G7650" s="10">
        <v>7664</v>
      </c>
      <c r="H7650" s="9">
        <v>54949</v>
      </c>
      <c r="I7650" s="14">
        <f>DATE(2012,12,31)-1239</f>
        <v>40035</v>
      </c>
      <c r="J7650" s="15" t="s">
        <v>25</v>
      </c>
      <c r="K7650" s="9">
        <v>32</v>
      </c>
      <c r="L7650" s="16" t="s">
        <v>26</v>
      </c>
      <c r="M7650" s="16">
        <f t="shared" si="717"/>
        <v>0.44393456357285216</v>
      </c>
      <c r="N7650">
        <f t="shared" si="718"/>
        <v>0</v>
      </c>
      <c r="O7650">
        <f t="shared" si="719"/>
        <v>0</v>
      </c>
      <c r="P7650">
        <f t="shared" si="716"/>
        <v>5000</v>
      </c>
      <c r="Q7650">
        <f t="shared" si="720"/>
        <v>5000</v>
      </c>
      <c r="T7650" s="16">
        <f t="shared" si="721"/>
        <v>0.44393456357285183</v>
      </c>
    </row>
    <row r="7651" spans="7:20" ht="14.4" x14ac:dyDescent="0.25">
      <c r="G7651" s="10">
        <v>7665</v>
      </c>
      <c r="H7651" s="9">
        <v>54949</v>
      </c>
      <c r="I7651" s="14">
        <f>DATE(2012,12,31)-1239</f>
        <v>40035</v>
      </c>
      <c r="J7651" s="15" t="s">
        <v>25</v>
      </c>
      <c r="K7651" s="9">
        <v>7</v>
      </c>
      <c r="L7651" s="16" t="s">
        <v>26</v>
      </c>
      <c r="M7651" s="16">
        <f t="shared" si="717"/>
        <v>-1.2825598519076837</v>
      </c>
      <c r="N7651">
        <f t="shared" si="718"/>
        <v>0</v>
      </c>
      <c r="O7651">
        <f t="shared" si="719"/>
        <v>0</v>
      </c>
      <c r="P7651">
        <f t="shared" si="716"/>
        <v>3750</v>
      </c>
      <c r="Q7651">
        <f t="shared" si="720"/>
        <v>3750</v>
      </c>
      <c r="T7651" s="16">
        <f t="shared" si="721"/>
        <v>-1.2825598519076842</v>
      </c>
    </row>
    <row r="7652" spans="7:20" ht="14.4" x14ac:dyDescent="0.25">
      <c r="G7652" s="10">
        <v>7802</v>
      </c>
      <c r="H7652" s="9">
        <v>55813</v>
      </c>
      <c r="I7652" s="14">
        <f>DATE(2012,12,31)-156</f>
        <v>41118</v>
      </c>
      <c r="J7652" s="15" t="s">
        <v>25</v>
      </c>
      <c r="K7652" s="9">
        <v>39</v>
      </c>
      <c r="L7652" s="16" t="s">
        <v>29</v>
      </c>
      <c r="M7652" s="16">
        <f t="shared" si="717"/>
        <v>0.92735299990740228</v>
      </c>
      <c r="N7652">
        <f t="shared" si="718"/>
        <v>0</v>
      </c>
      <c r="O7652">
        <f t="shared" si="719"/>
        <v>0</v>
      </c>
      <c r="P7652">
        <f t="shared" si="716"/>
        <v>5350</v>
      </c>
      <c r="Q7652">
        <f t="shared" si="720"/>
        <v>5350</v>
      </c>
      <c r="T7652" s="16">
        <f t="shared" si="721"/>
        <v>0.92735299990740183</v>
      </c>
    </row>
    <row r="7653" spans="7:20" ht="14.4" x14ac:dyDescent="0.25">
      <c r="G7653" s="10">
        <v>7910</v>
      </c>
      <c r="H7653" s="9">
        <v>56577</v>
      </c>
      <c r="I7653" s="14">
        <f>DATE(2012,12,31)-425</f>
        <v>40849</v>
      </c>
      <c r="J7653" s="15" t="s">
        <v>30</v>
      </c>
      <c r="K7653" s="9">
        <v>19</v>
      </c>
      <c r="L7653" s="16" t="s">
        <v>29</v>
      </c>
      <c r="M7653" s="16">
        <f t="shared" si="717"/>
        <v>-0.45384253247702649</v>
      </c>
      <c r="N7653">
        <f t="shared" si="718"/>
        <v>0</v>
      </c>
      <c r="O7653">
        <f t="shared" si="719"/>
        <v>0</v>
      </c>
      <c r="P7653">
        <f t="shared" si="716"/>
        <v>4350</v>
      </c>
      <c r="Q7653">
        <f t="shared" si="720"/>
        <v>4350</v>
      </c>
      <c r="T7653" s="16">
        <f t="shared" si="721"/>
        <v>-0.45384253247702688</v>
      </c>
    </row>
    <row r="7654" spans="7:20" ht="14.4" x14ac:dyDescent="0.25">
      <c r="G7654" s="10">
        <v>7954</v>
      </c>
      <c r="H7654" s="9">
        <v>56834</v>
      </c>
      <c r="I7654" s="14">
        <f>DATE(2012,12,31)-610</f>
        <v>40664</v>
      </c>
      <c r="J7654" s="15" t="s">
        <v>17</v>
      </c>
      <c r="K7654" s="9">
        <v>22</v>
      </c>
      <c r="L7654" s="16" t="s">
        <v>27</v>
      </c>
      <c r="M7654" s="16">
        <f t="shared" si="717"/>
        <v>-0.24666320261936217</v>
      </c>
      <c r="N7654">
        <f t="shared" si="718"/>
        <v>0</v>
      </c>
      <c r="O7654">
        <f t="shared" si="719"/>
        <v>0</v>
      </c>
      <c r="P7654">
        <f t="shared" si="716"/>
        <v>4500</v>
      </c>
      <c r="Q7654">
        <f t="shared" si="720"/>
        <v>4500</v>
      </c>
      <c r="T7654" s="16">
        <f t="shared" si="721"/>
        <v>-0.24666320261936256</v>
      </c>
    </row>
    <row r="7655" spans="7:20" ht="14.4" x14ac:dyDescent="0.25">
      <c r="G7655" s="10">
        <v>7955</v>
      </c>
      <c r="H7655" s="9">
        <v>56834</v>
      </c>
      <c r="I7655" s="14">
        <f>DATE(2012,12,31)-610</f>
        <v>40664</v>
      </c>
      <c r="J7655" s="15" t="s">
        <v>17</v>
      </c>
      <c r="K7655" s="9">
        <v>33</v>
      </c>
      <c r="L7655" s="16" t="s">
        <v>26</v>
      </c>
      <c r="M7655" s="16">
        <f t="shared" si="717"/>
        <v>0.51299434019207357</v>
      </c>
      <c r="N7655">
        <f t="shared" si="718"/>
        <v>0</v>
      </c>
      <c r="O7655">
        <f t="shared" si="719"/>
        <v>0</v>
      </c>
      <c r="P7655">
        <f t="shared" si="716"/>
        <v>5050</v>
      </c>
      <c r="Q7655">
        <f t="shared" si="720"/>
        <v>5050</v>
      </c>
      <c r="T7655" s="16">
        <f t="shared" si="721"/>
        <v>0.51299434019207324</v>
      </c>
    </row>
    <row r="7656" spans="7:20" ht="14.4" x14ac:dyDescent="0.25">
      <c r="G7656" s="10">
        <v>8031</v>
      </c>
      <c r="H7656" s="9">
        <v>57380</v>
      </c>
      <c r="I7656" s="14">
        <f>DATE(2012,12,31)-438</f>
        <v>40836</v>
      </c>
      <c r="J7656" s="15" t="s">
        <v>25</v>
      </c>
      <c r="K7656" s="9">
        <v>3</v>
      </c>
      <c r="L7656" s="16" t="s">
        <v>29</v>
      </c>
      <c r="M7656" s="16">
        <f t="shared" si="717"/>
        <v>-1.5587989583845694</v>
      </c>
      <c r="N7656">
        <f t="shared" si="718"/>
        <v>0</v>
      </c>
      <c r="O7656">
        <f t="shared" si="719"/>
        <v>0</v>
      </c>
      <c r="P7656">
        <f t="shared" si="716"/>
        <v>3550</v>
      </c>
      <c r="Q7656">
        <f t="shared" si="720"/>
        <v>3550</v>
      </c>
      <c r="T7656" s="16">
        <f t="shared" si="721"/>
        <v>-1.5587989583845698</v>
      </c>
    </row>
    <row r="7657" spans="7:20" ht="14.4" x14ac:dyDescent="0.25">
      <c r="G7657" s="10">
        <v>8213</v>
      </c>
      <c r="H7657" s="9">
        <v>58722</v>
      </c>
      <c r="I7657" s="14">
        <f>DATE(2012,12,31)-81</f>
        <v>41193</v>
      </c>
      <c r="J7657" s="15" t="s">
        <v>30</v>
      </c>
      <c r="K7657" s="9">
        <v>45</v>
      </c>
      <c r="L7657" s="16" t="s">
        <v>29</v>
      </c>
      <c r="M7657" s="16">
        <f t="shared" si="717"/>
        <v>1.3417116596227308</v>
      </c>
      <c r="N7657">
        <f t="shared" si="718"/>
        <v>0</v>
      </c>
      <c r="O7657">
        <f t="shared" si="719"/>
        <v>0</v>
      </c>
      <c r="P7657">
        <f t="shared" si="716"/>
        <v>5650</v>
      </c>
      <c r="Q7657">
        <f t="shared" si="720"/>
        <v>5650</v>
      </c>
      <c r="T7657" s="16">
        <f t="shared" si="721"/>
        <v>1.3417116596227305</v>
      </c>
    </row>
    <row r="7658" spans="7:20" ht="14.4" x14ac:dyDescent="0.25">
      <c r="G7658" s="10">
        <v>8249</v>
      </c>
      <c r="H7658" s="9">
        <v>58981</v>
      </c>
      <c r="I7658" s="14">
        <f>DATE(2012,12,31)-700</f>
        <v>40574</v>
      </c>
      <c r="J7658" s="15" t="s">
        <v>17</v>
      </c>
      <c r="K7658" s="9">
        <v>28</v>
      </c>
      <c r="L7658" s="16" t="s">
        <v>26</v>
      </c>
      <c r="M7658" s="16">
        <f t="shared" si="717"/>
        <v>0.16769545709596645</v>
      </c>
      <c r="N7658">
        <f t="shared" si="718"/>
        <v>0</v>
      </c>
      <c r="O7658">
        <f t="shared" si="719"/>
        <v>0</v>
      </c>
      <c r="P7658">
        <f t="shared" si="716"/>
        <v>4800</v>
      </c>
      <c r="Q7658">
        <f t="shared" si="720"/>
        <v>4800</v>
      </c>
      <c r="T7658" s="16">
        <f t="shared" si="721"/>
        <v>0.16769545709596606</v>
      </c>
    </row>
    <row r="7659" spans="7:20" ht="14.4" x14ac:dyDescent="0.25">
      <c r="G7659" s="10">
        <v>8356</v>
      </c>
      <c r="H7659" s="9">
        <v>59686</v>
      </c>
      <c r="I7659" s="14">
        <f>DATE(2012,12,31)-664</f>
        <v>40610</v>
      </c>
      <c r="J7659" s="15" t="s">
        <v>25</v>
      </c>
      <c r="K7659" s="9">
        <v>41</v>
      </c>
      <c r="L7659" s="16" t="s">
        <v>26</v>
      </c>
      <c r="M7659" s="16">
        <f t="shared" si="717"/>
        <v>1.0654725531458451</v>
      </c>
      <c r="N7659">
        <f t="shared" si="718"/>
        <v>0</v>
      </c>
      <c r="O7659">
        <f t="shared" si="719"/>
        <v>0</v>
      </c>
      <c r="P7659">
        <f t="shared" si="716"/>
        <v>5450</v>
      </c>
      <c r="Q7659">
        <f t="shared" si="720"/>
        <v>5450</v>
      </c>
      <c r="T7659" s="16">
        <f t="shared" si="721"/>
        <v>1.0654725531458447</v>
      </c>
    </row>
    <row r="7660" spans="7:20" ht="14.4" x14ac:dyDescent="0.25">
      <c r="G7660" s="10">
        <v>939</v>
      </c>
      <c r="H7660" s="9">
        <v>6791</v>
      </c>
      <c r="I7660" s="14">
        <f>DATE(2012,12,31)-699</f>
        <v>40575</v>
      </c>
      <c r="J7660" s="15" t="s">
        <v>16</v>
      </c>
      <c r="K7660" s="9">
        <v>14</v>
      </c>
      <c r="L7660" s="16" t="s">
        <v>27</v>
      </c>
      <c r="M7660" s="16">
        <f t="shared" si="717"/>
        <v>-0.79914141557313367</v>
      </c>
      <c r="N7660">
        <f t="shared" si="718"/>
        <v>0</v>
      </c>
      <c r="O7660">
        <f t="shared" si="719"/>
        <v>0</v>
      </c>
      <c r="P7660">
        <f t="shared" si="716"/>
        <v>4100</v>
      </c>
      <c r="Q7660">
        <f t="shared" si="720"/>
        <v>4100</v>
      </c>
      <c r="T7660" s="16">
        <f t="shared" si="721"/>
        <v>-0.79914141557313401</v>
      </c>
    </row>
    <row r="7661" spans="7:20" ht="14.4" x14ac:dyDescent="0.25">
      <c r="G7661" s="10">
        <v>1359</v>
      </c>
      <c r="H7661" s="9">
        <v>9895</v>
      </c>
      <c r="I7661" s="14">
        <f>DATE(2012,12,31)-986</f>
        <v>40288</v>
      </c>
      <c r="J7661" s="15" t="s">
        <v>25</v>
      </c>
      <c r="K7661" s="9">
        <v>9</v>
      </c>
      <c r="L7661" s="16" t="s">
        <v>26</v>
      </c>
      <c r="M7661" s="16">
        <f t="shared" si="717"/>
        <v>-1.1444402986692408</v>
      </c>
      <c r="N7661">
        <f t="shared" si="718"/>
        <v>0</v>
      </c>
      <c r="O7661">
        <f t="shared" si="719"/>
        <v>0</v>
      </c>
      <c r="P7661">
        <f t="shared" si="716"/>
        <v>3850</v>
      </c>
      <c r="Q7661">
        <f t="shared" si="720"/>
        <v>3850</v>
      </c>
      <c r="T7661" s="16">
        <f t="shared" si="721"/>
        <v>-1.1444402986692412</v>
      </c>
    </row>
    <row r="7662" spans="7:20" ht="14.4" x14ac:dyDescent="0.25">
      <c r="G7662" s="10">
        <v>1640</v>
      </c>
      <c r="H7662" s="9">
        <v>11846</v>
      </c>
      <c r="I7662" s="14">
        <f>DATE(2012,12,31)-986</f>
        <v>40288</v>
      </c>
      <c r="J7662" s="15" t="s">
        <v>25</v>
      </c>
      <c r="K7662" s="9">
        <v>49</v>
      </c>
      <c r="L7662" s="16" t="s">
        <v>27</v>
      </c>
      <c r="M7662" s="16">
        <f t="shared" si="717"/>
        <v>1.6179507660996166</v>
      </c>
      <c r="N7662">
        <f t="shared" si="718"/>
        <v>0</v>
      </c>
      <c r="O7662">
        <f t="shared" si="719"/>
        <v>0</v>
      </c>
      <c r="P7662">
        <f t="shared" si="716"/>
        <v>5850</v>
      </c>
      <c r="Q7662">
        <f t="shared" si="720"/>
        <v>5850</v>
      </c>
      <c r="T7662" s="16">
        <f t="shared" si="721"/>
        <v>1.6179507660996162</v>
      </c>
    </row>
    <row r="7663" spans="7:20" ht="14.4" x14ac:dyDescent="0.25">
      <c r="G7663" s="10">
        <v>1641</v>
      </c>
      <c r="H7663" s="9">
        <v>11846</v>
      </c>
      <c r="I7663" s="14">
        <f>DATE(2012,12,31)-986</f>
        <v>40288</v>
      </c>
      <c r="J7663" s="15" t="s">
        <v>25</v>
      </c>
      <c r="K7663" s="9">
        <v>28</v>
      </c>
      <c r="L7663" s="16" t="s">
        <v>26</v>
      </c>
      <c r="M7663" s="16">
        <f t="shared" si="717"/>
        <v>0.16769545709596645</v>
      </c>
      <c r="N7663">
        <f t="shared" si="718"/>
        <v>0</v>
      </c>
      <c r="O7663">
        <f t="shared" si="719"/>
        <v>0</v>
      </c>
      <c r="P7663">
        <f t="shared" si="716"/>
        <v>4800</v>
      </c>
      <c r="Q7663">
        <f t="shared" si="720"/>
        <v>4800</v>
      </c>
      <c r="T7663" s="16">
        <f t="shared" si="721"/>
        <v>0.16769545709596606</v>
      </c>
    </row>
    <row r="7664" spans="7:20" ht="14.4" x14ac:dyDescent="0.25">
      <c r="G7664" s="10">
        <v>1733</v>
      </c>
      <c r="H7664" s="9">
        <v>12450</v>
      </c>
      <c r="I7664" s="14">
        <f>DATE(2012,12,31)-1390</f>
        <v>39884</v>
      </c>
      <c r="J7664" s="15" t="s">
        <v>28</v>
      </c>
      <c r="K7664" s="9">
        <v>15</v>
      </c>
      <c r="L7664" s="16" t="s">
        <v>27</v>
      </c>
      <c r="M7664" s="16">
        <f t="shared" si="717"/>
        <v>-0.7300816389539122</v>
      </c>
      <c r="N7664">
        <f t="shared" si="718"/>
        <v>0</v>
      </c>
      <c r="O7664">
        <f t="shared" si="719"/>
        <v>0</v>
      </c>
      <c r="P7664">
        <f t="shared" si="716"/>
        <v>4150</v>
      </c>
      <c r="Q7664">
        <f t="shared" si="720"/>
        <v>4150</v>
      </c>
      <c r="T7664" s="16">
        <f t="shared" si="721"/>
        <v>-0.73008163895391265</v>
      </c>
    </row>
    <row r="7665" spans="7:20" ht="14.4" x14ac:dyDescent="0.25">
      <c r="G7665" s="10">
        <v>2290</v>
      </c>
      <c r="H7665" s="9">
        <v>16518</v>
      </c>
      <c r="I7665" s="14">
        <f>DATE(2012,12,31)-93</f>
        <v>41181</v>
      </c>
      <c r="J7665" s="15" t="s">
        <v>30</v>
      </c>
      <c r="K7665" s="9">
        <v>4</v>
      </c>
      <c r="L7665" s="16" t="s">
        <v>26</v>
      </c>
      <c r="M7665" s="16">
        <f t="shared" si="717"/>
        <v>-1.489739181765348</v>
      </c>
      <c r="N7665">
        <f t="shared" si="718"/>
        <v>0</v>
      </c>
      <c r="O7665">
        <f t="shared" si="719"/>
        <v>0</v>
      </c>
      <c r="P7665">
        <f t="shared" si="716"/>
        <v>3600</v>
      </c>
      <c r="Q7665">
        <f t="shared" si="720"/>
        <v>3600</v>
      </c>
      <c r="T7665" s="16">
        <f t="shared" si="721"/>
        <v>-1.4897391817653485</v>
      </c>
    </row>
    <row r="7666" spans="7:20" ht="14.4" x14ac:dyDescent="0.25">
      <c r="G7666" s="10">
        <v>2291</v>
      </c>
      <c r="H7666" s="9">
        <v>16518</v>
      </c>
      <c r="I7666" s="14">
        <f>DATE(2012,12,31)-93</f>
        <v>41181</v>
      </c>
      <c r="J7666" s="15" t="s">
        <v>30</v>
      </c>
      <c r="K7666" s="9">
        <v>36</v>
      </c>
      <c r="L7666" s="16" t="s">
        <v>27</v>
      </c>
      <c r="M7666" s="16">
        <f t="shared" si="717"/>
        <v>0.72017367004973787</v>
      </c>
      <c r="N7666">
        <f t="shared" si="718"/>
        <v>0</v>
      </c>
      <c r="O7666">
        <f t="shared" si="719"/>
        <v>0</v>
      </c>
      <c r="P7666">
        <f t="shared" si="716"/>
        <v>5200</v>
      </c>
      <c r="Q7666">
        <f t="shared" si="720"/>
        <v>5200</v>
      </c>
      <c r="T7666" s="16">
        <f t="shared" si="721"/>
        <v>0.72017367004973754</v>
      </c>
    </row>
    <row r="7667" spans="7:20" ht="14.4" x14ac:dyDescent="0.25">
      <c r="G7667" s="10">
        <v>2459</v>
      </c>
      <c r="H7667" s="9">
        <v>17860</v>
      </c>
      <c r="I7667" s="14">
        <f>DATE(2012,12,31)-635</f>
        <v>40639</v>
      </c>
      <c r="J7667" s="15" t="s">
        <v>30</v>
      </c>
      <c r="K7667" s="9">
        <v>16</v>
      </c>
      <c r="L7667" s="16" t="s">
        <v>26</v>
      </c>
      <c r="M7667" s="16">
        <f t="shared" si="717"/>
        <v>-0.66102186233469074</v>
      </c>
      <c r="N7667">
        <f t="shared" si="718"/>
        <v>0</v>
      </c>
      <c r="O7667">
        <f t="shared" si="719"/>
        <v>0</v>
      </c>
      <c r="P7667">
        <f t="shared" si="716"/>
        <v>4200</v>
      </c>
      <c r="Q7667">
        <f t="shared" si="720"/>
        <v>4200</v>
      </c>
      <c r="T7667" s="16">
        <f t="shared" si="721"/>
        <v>-0.66102186233469118</v>
      </c>
    </row>
    <row r="7668" spans="7:20" ht="14.4" x14ac:dyDescent="0.25">
      <c r="G7668" s="10">
        <v>2465</v>
      </c>
      <c r="H7668" s="9">
        <v>17952</v>
      </c>
      <c r="I7668" s="14">
        <f>DATE(2012,12,31)-812</f>
        <v>40462</v>
      </c>
      <c r="J7668" s="15" t="s">
        <v>16</v>
      </c>
      <c r="K7668" s="9">
        <v>28</v>
      </c>
      <c r="L7668" s="16" t="s">
        <v>26</v>
      </c>
      <c r="M7668" s="16">
        <f t="shared" si="717"/>
        <v>0.16769545709596645</v>
      </c>
      <c r="N7668">
        <f t="shared" si="718"/>
        <v>0</v>
      </c>
      <c r="O7668">
        <f t="shared" si="719"/>
        <v>0</v>
      </c>
      <c r="P7668">
        <f t="shared" si="716"/>
        <v>4800</v>
      </c>
      <c r="Q7668">
        <f t="shared" si="720"/>
        <v>4800</v>
      </c>
      <c r="T7668" s="16">
        <f t="shared" si="721"/>
        <v>0.16769545709596606</v>
      </c>
    </row>
    <row r="7669" spans="7:20" ht="14.4" x14ac:dyDescent="0.25">
      <c r="G7669" s="10">
        <v>2578</v>
      </c>
      <c r="H7669" s="9">
        <v>18596</v>
      </c>
      <c r="I7669" s="14">
        <f>DATE(2012,12,31)-90</f>
        <v>41184</v>
      </c>
      <c r="J7669" s="15" t="s">
        <v>25</v>
      </c>
      <c r="K7669" s="9">
        <v>42</v>
      </c>
      <c r="L7669" s="16" t="s">
        <v>29</v>
      </c>
      <c r="M7669" s="16">
        <f t="shared" si="717"/>
        <v>1.1345323297650665</v>
      </c>
      <c r="N7669">
        <f t="shared" si="718"/>
        <v>0</v>
      </c>
      <c r="O7669">
        <f t="shared" si="719"/>
        <v>0</v>
      </c>
      <c r="P7669">
        <f t="shared" si="716"/>
        <v>5500</v>
      </c>
      <c r="Q7669">
        <f t="shared" si="720"/>
        <v>5500</v>
      </c>
      <c r="T7669" s="16">
        <f t="shared" si="721"/>
        <v>1.1345323297650662</v>
      </c>
    </row>
    <row r="7670" spans="7:20" ht="14.4" x14ac:dyDescent="0.25">
      <c r="G7670" s="10">
        <v>2579</v>
      </c>
      <c r="H7670" s="9">
        <v>18596</v>
      </c>
      <c r="I7670" s="14">
        <f>DATE(2012,12,31)-90</f>
        <v>41184</v>
      </c>
      <c r="J7670" s="15" t="s">
        <v>25</v>
      </c>
      <c r="K7670" s="9">
        <v>32</v>
      </c>
      <c r="L7670" s="16" t="s">
        <v>26</v>
      </c>
      <c r="M7670" s="16">
        <f t="shared" si="717"/>
        <v>0.44393456357285216</v>
      </c>
      <c r="N7670">
        <f t="shared" si="718"/>
        <v>0</v>
      </c>
      <c r="O7670">
        <f t="shared" si="719"/>
        <v>0</v>
      </c>
      <c r="P7670">
        <f t="shared" si="716"/>
        <v>5000</v>
      </c>
      <c r="Q7670">
        <f t="shared" si="720"/>
        <v>5000</v>
      </c>
      <c r="T7670" s="16">
        <f t="shared" si="721"/>
        <v>0.44393456357285183</v>
      </c>
    </row>
    <row r="7671" spans="7:20" ht="14.4" x14ac:dyDescent="0.25">
      <c r="G7671" s="10">
        <v>2957</v>
      </c>
      <c r="H7671" s="9">
        <v>21410</v>
      </c>
      <c r="I7671" s="14">
        <f>DATE(2012,12,31)-244</f>
        <v>41030</v>
      </c>
      <c r="J7671" s="15" t="s">
        <v>30</v>
      </c>
      <c r="K7671" s="9">
        <v>16</v>
      </c>
      <c r="L7671" s="16" t="s">
        <v>26</v>
      </c>
      <c r="M7671" s="16">
        <f t="shared" si="717"/>
        <v>-0.66102186233469074</v>
      </c>
      <c r="N7671">
        <f t="shared" si="718"/>
        <v>0</v>
      </c>
      <c r="O7671">
        <f t="shared" si="719"/>
        <v>0</v>
      </c>
      <c r="P7671">
        <f t="shared" si="716"/>
        <v>4200</v>
      </c>
      <c r="Q7671">
        <f t="shared" si="720"/>
        <v>4200</v>
      </c>
      <c r="T7671" s="16">
        <f t="shared" si="721"/>
        <v>-0.66102186233469118</v>
      </c>
    </row>
    <row r="7672" spans="7:20" ht="14.4" x14ac:dyDescent="0.25">
      <c r="G7672" s="10">
        <v>3148</v>
      </c>
      <c r="H7672" s="9">
        <v>22563</v>
      </c>
      <c r="I7672" s="14">
        <f>DATE(2012,12,31)-225</f>
        <v>41049</v>
      </c>
      <c r="J7672" s="15" t="s">
        <v>30</v>
      </c>
      <c r="K7672" s="9">
        <v>32</v>
      </c>
      <c r="L7672" s="16" t="s">
        <v>29</v>
      </c>
      <c r="M7672" s="16">
        <f t="shared" si="717"/>
        <v>0.44393456357285216</v>
      </c>
      <c r="N7672">
        <f t="shared" si="718"/>
        <v>0</v>
      </c>
      <c r="O7672">
        <f t="shared" si="719"/>
        <v>0</v>
      </c>
      <c r="P7672">
        <f t="shared" si="716"/>
        <v>5000</v>
      </c>
      <c r="Q7672">
        <f t="shared" si="720"/>
        <v>5000</v>
      </c>
      <c r="T7672" s="16">
        <f t="shared" si="721"/>
        <v>0.44393456357285183</v>
      </c>
    </row>
    <row r="7673" spans="7:20" ht="14.4" x14ac:dyDescent="0.25">
      <c r="G7673" s="10">
        <v>3553</v>
      </c>
      <c r="H7673" s="9">
        <v>25318</v>
      </c>
      <c r="I7673" s="14">
        <f>DATE(2012,12,31)-408</f>
        <v>40866</v>
      </c>
      <c r="J7673" s="15" t="s">
        <v>30</v>
      </c>
      <c r="K7673" s="9">
        <v>1</v>
      </c>
      <c r="L7673" s="16" t="s">
        <v>26</v>
      </c>
      <c r="M7673" s="16">
        <f t="shared" si="717"/>
        <v>-1.6969185116230123</v>
      </c>
      <c r="N7673">
        <f t="shared" si="718"/>
        <v>0</v>
      </c>
      <c r="O7673">
        <f t="shared" si="719"/>
        <v>0</v>
      </c>
      <c r="P7673">
        <f t="shared" si="716"/>
        <v>3450</v>
      </c>
      <c r="Q7673">
        <f t="shared" si="720"/>
        <v>3450</v>
      </c>
      <c r="T7673" s="16">
        <f t="shared" si="721"/>
        <v>-1.6969185116230128</v>
      </c>
    </row>
    <row r="7674" spans="7:20" ht="14.4" x14ac:dyDescent="0.25">
      <c r="G7674" s="10">
        <v>3732</v>
      </c>
      <c r="H7674" s="9">
        <v>26688</v>
      </c>
      <c r="I7674" s="14">
        <f>DATE(2012,12,31)-866</f>
        <v>40408</v>
      </c>
      <c r="J7674" s="15" t="s">
        <v>16</v>
      </c>
      <c r="K7674" s="9">
        <v>21</v>
      </c>
      <c r="L7674" s="16" t="s">
        <v>26</v>
      </c>
      <c r="M7674" s="16">
        <f t="shared" si="717"/>
        <v>-0.31572297923858361</v>
      </c>
      <c r="N7674">
        <f t="shared" si="718"/>
        <v>0</v>
      </c>
      <c r="O7674">
        <f t="shared" si="719"/>
        <v>0</v>
      </c>
      <c r="P7674">
        <f t="shared" si="716"/>
        <v>4450</v>
      </c>
      <c r="Q7674">
        <f t="shared" si="720"/>
        <v>4450</v>
      </c>
      <c r="T7674" s="16">
        <f t="shared" si="721"/>
        <v>-0.315722979238584</v>
      </c>
    </row>
    <row r="7675" spans="7:20" ht="14.4" x14ac:dyDescent="0.25">
      <c r="G7675" s="10">
        <v>3733</v>
      </c>
      <c r="H7675" s="9">
        <v>26688</v>
      </c>
      <c r="I7675" s="14">
        <f>DATE(2012,12,31)-866</f>
        <v>40408</v>
      </c>
      <c r="J7675" s="15" t="s">
        <v>16</v>
      </c>
      <c r="K7675" s="9">
        <v>7</v>
      </c>
      <c r="L7675" s="16" t="s">
        <v>26</v>
      </c>
      <c r="M7675" s="16">
        <f t="shared" si="717"/>
        <v>-1.2825598519076837</v>
      </c>
      <c r="N7675">
        <f t="shared" si="718"/>
        <v>0</v>
      </c>
      <c r="O7675">
        <f t="shared" si="719"/>
        <v>0</v>
      </c>
      <c r="P7675">
        <f t="shared" si="716"/>
        <v>3750</v>
      </c>
      <c r="Q7675">
        <f t="shared" si="720"/>
        <v>3750</v>
      </c>
      <c r="T7675" s="16">
        <f t="shared" si="721"/>
        <v>-1.2825598519076842</v>
      </c>
    </row>
    <row r="7676" spans="7:20" ht="14.4" x14ac:dyDescent="0.25">
      <c r="G7676" s="10">
        <v>3762</v>
      </c>
      <c r="H7676" s="9">
        <v>26881</v>
      </c>
      <c r="I7676" s="14">
        <f>DATE(2012,12,31)-1248</f>
        <v>40026</v>
      </c>
      <c r="J7676" s="15" t="s">
        <v>25</v>
      </c>
      <c r="K7676" s="9">
        <v>26</v>
      </c>
      <c r="L7676" s="16" t="s">
        <v>29</v>
      </c>
      <c r="M7676" s="16">
        <f t="shared" si="717"/>
        <v>2.9575903857523567E-2</v>
      </c>
      <c r="N7676">
        <f t="shared" si="718"/>
        <v>0</v>
      </c>
      <c r="O7676">
        <f t="shared" si="719"/>
        <v>0</v>
      </c>
      <c r="P7676">
        <f t="shared" si="716"/>
        <v>4700</v>
      </c>
      <c r="Q7676">
        <f t="shared" si="720"/>
        <v>4700</v>
      </c>
      <c r="T7676" s="16">
        <f t="shared" si="721"/>
        <v>2.9575903857523185E-2</v>
      </c>
    </row>
    <row r="7677" spans="7:20" ht="14.4" x14ac:dyDescent="0.25">
      <c r="G7677" s="10">
        <v>3763</v>
      </c>
      <c r="H7677" s="9">
        <v>26887</v>
      </c>
      <c r="I7677" s="14">
        <f>DATE(2012,12,31)-596</f>
        <v>40678</v>
      </c>
      <c r="J7677" s="15" t="s">
        <v>30</v>
      </c>
      <c r="K7677" s="9">
        <v>38</v>
      </c>
      <c r="L7677" s="16" t="s">
        <v>26</v>
      </c>
      <c r="M7677" s="16">
        <f t="shared" si="717"/>
        <v>0.85829322328818081</v>
      </c>
      <c r="N7677">
        <f t="shared" si="718"/>
        <v>0</v>
      </c>
      <c r="O7677">
        <f t="shared" si="719"/>
        <v>0</v>
      </c>
      <c r="P7677">
        <f t="shared" si="716"/>
        <v>5300</v>
      </c>
      <c r="Q7677">
        <f t="shared" si="720"/>
        <v>5300</v>
      </c>
      <c r="T7677" s="16">
        <f t="shared" si="721"/>
        <v>0.85829322328818036</v>
      </c>
    </row>
    <row r="7678" spans="7:20" ht="14.4" x14ac:dyDescent="0.25">
      <c r="G7678" s="10">
        <v>3764</v>
      </c>
      <c r="H7678" s="9">
        <v>26887</v>
      </c>
      <c r="I7678" s="14">
        <f>DATE(2012,12,31)-596</f>
        <v>40678</v>
      </c>
      <c r="J7678" s="15" t="s">
        <v>30</v>
      </c>
      <c r="K7678" s="9">
        <v>23</v>
      </c>
      <c r="L7678" s="16" t="s">
        <v>26</v>
      </c>
      <c r="M7678" s="16">
        <f t="shared" si="717"/>
        <v>-0.17760342600014073</v>
      </c>
      <c r="N7678">
        <f t="shared" si="718"/>
        <v>0</v>
      </c>
      <c r="O7678">
        <f t="shared" si="719"/>
        <v>0</v>
      </c>
      <c r="P7678">
        <f t="shared" si="716"/>
        <v>4550</v>
      </c>
      <c r="Q7678">
        <f t="shared" si="720"/>
        <v>4550</v>
      </c>
      <c r="T7678" s="16">
        <f t="shared" si="721"/>
        <v>-0.17760342600014112</v>
      </c>
    </row>
    <row r="7679" spans="7:20" ht="14.4" x14ac:dyDescent="0.25">
      <c r="G7679" s="10">
        <v>4184</v>
      </c>
      <c r="H7679" s="9">
        <v>29761</v>
      </c>
      <c r="I7679" s="14">
        <f>DATE(2012,12,31)-181</f>
        <v>41093</v>
      </c>
      <c r="J7679" s="15" t="s">
        <v>16</v>
      </c>
      <c r="K7679" s="9">
        <v>48</v>
      </c>
      <c r="L7679" s="16" t="s">
        <v>27</v>
      </c>
      <c r="M7679" s="16">
        <f t="shared" si="717"/>
        <v>1.5488909894803951</v>
      </c>
      <c r="N7679">
        <f t="shared" si="718"/>
        <v>0</v>
      </c>
      <c r="O7679">
        <f t="shared" si="719"/>
        <v>0</v>
      </c>
      <c r="P7679">
        <f t="shared" si="716"/>
        <v>5800</v>
      </c>
      <c r="Q7679">
        <f t="shared" si="720"/>
        <v>5800</v>
      </c>
      <c r="T7679" s="16">
        <f t="shared" si="721"/>
        <v>1.5488909894803948</v>
      </c>
    </row>
    <row r="7680" spans="7:20" ht="14.4" x14ac:dyDescent="0.25">
      <c r="G7680" s="10">
        <v>4185</v>
      </c>
      <c r="H7680" s="9">
        <v>29761</v>
      </c>
      <c r="I7680" s="14">
        <f>DATE(2012,12,31)-181</f>
        <v>41093</v>
      </c>
      <c r="J7680" s="15" t="s">
        <v>16</v>
      </c>
      <c r="K7680" s="9">
        <v>42</v>
      </c>
      <c r="L7680" s="16" t="s">
        <v>26</v>
      </c>
      <c r="M7680" s="16">
        <f t="shared" si="717"/>
        <v>1.1345323297650665</v>
      </c>
      <c r="N7680">
        <f t="shared" si="718"/>
        <v>0</v>
      </c>
      <c r="O7680">
        <f t="shared" si="719"/>
        <v>0</v>
      </c>
      <c r="P7680">
        <f t="shared" si="716"/>
        <v>5500</v>
      </c>
      <c r="Q7680">
        <f t="shared" si="720"/>
        <v>5500</v>
      </c>
      <c r="T7680" s="16">
        <f t="shared" si="721"/>
        <v>1.1345323297650662</v>
      </c>
    </row>
    <row r="7681" spans="7:20" ht="14.4" x14ac:dyDescent="0.25">
      <c r="G7681" s="10">
        <v>4186</v>
      </c>
      <c r="H7681" s="9">
        <v>29761</v>
      </c>
      <c r="I7681" s="14">
        <f>DATE(2012,12,31)-181</f>
        <v>41093</v>
      </c>
      <c r="J7681" s="15" t="s">
        <v>16</v>
      </c>
      <c r="K7681" s="9">
        <v>19</v>
      </c>
      <c r="L7681" s="16" t="s">
        <v>29</v>
      </c>
      <c r="M7681" s="16">
        <f t="shared" si="717"/>
        <v>-0.45384253247702649</v>
      </c>
      <c r="N7681">
        <f t="shared" si="718"/>
        <v>0</v>
      </c>
      <c r="O7681">
        <f t="shared" si="719"/>
        <v>0</v>
      </c>
      <c r="P7681">
        <f t="shared" si="716"/>
        <v>4350</v>
      </c>
      <c r="Q7681">
        <f t="shared" si="720"/>
        <v>4350</v>
      </c>
      <c r="T7681" s="16">
        <f t="shared" si="721"/>
        <v>-0.45384253247702688</v>
      </c>
    </row>
    <row r="7682" spans="7:20" ht="14.4" x14ac:dyDescent="0.25">
      <c r="G7682" s="10">
        <v>4462</v>
      </c>
      <c r="H7682" s="9">
        <v>31810</v>
      </c>
      <c r="I7682" s="14">
        <f>DATE(2012,12,31)-1320</f>
        <v>39954</v>
      </c>
      <c r="J7682" s="15" t="s">
        <v>30</v>
      </c>
      <c r="K7682" s="9">
        <v>46</v>
      </c>
      <c r="L7682" s="16" t="s">
        <v>29</v>
      </c>
      <c r="M7682" s="16">
        <f t="shared" si="717"/>
        <v>1.4107714362419523</v>
      </c>
      <c r="N7682">
        <f t="shared" si="718"/>
        <v>0</v>
      </c>
      <c r="O7682">
        <f t="shared" si="719"/>
        <v>0</v>
      </c>
      <c r="P7682">
        <f t="shared" si="716"/>
        <v>5700</v>
      </c>
      <c r="Q7682">
        <f t="shared" si="720"/>
        <v>5700</v>
      </c>
      <c r="T7682" s="16">
        <f t="shared" si="721"/>
        <v>1.4107714362419519</v>
      </c>
    </row>
    <row r="7683" spans="7:20" ht="14.4" x14ac:dyDescent="0.25">
      <c r="G7683" s="10">
        <v>5131</v>
      </c>
      <c r="H7683" s="9">
        <v>36548</v>
      </c>
      <c r="I7683" s="14">
        <f>DATE(2012,12,31)-793</f>
        <v>40481</v>
      </c>
      <c r="J7683" s="15" t="s">
        <v>25</v>
      </c>
      <c r="K7683" s="9">
        <v>8</v>
      </c>
      <c r="L7683" s="16" t="s">
        <v>26</v>
      </c>
      <c r="M7683" s="16">
        <f t="shared" si="717"/>
        <v>-1.2135000752884624</v>
      </c>
      <c r="N7683">
        <f t="shared" si="718"/>
        <v>0</v>
      </c>
      <c r="O7683">
        <f t="shared" si="719"/>
        <v>0</v>
      </c>
      <c r="P7683">
        <f t="shared" si="716"/>
        <v>3800</v>
      </c>
      <c r="Q7683">
        <f t="shared" si="720"/>
        <v>3800</v>
      </c>
      <c r="T7683" s="16">
        <f t="shared" si="721"/>
        <v>-1.2135000752884626</v>
      </c>
    </row>
    <row r="7684" spans="7:20" ht="14.4" x14ac:dyDescent="0.25">
      <c r="G7684" s="10">
        <v>5581</v>
      </c>
      <c r="H7684" s="9">
        <v>39585</v>
      </c>
      <c r="I7684" s="14">
        <f>DATE(2012,12,31)-368</f>
        <v>40906</v>
      </c>
      <c r="J7684" s="15" t="s">
        <v>28</v>
      </c>
      <c r="K7684" s="9">
        <v>32</v>
      </c>
      <c r="L7684" s="16" t="s">
        <v>29</v>
      </c>
      <c r="M7684" s="16">
        <f t="shared" si="717"/>
        <v>0.44393456357285216</v>
      </c>
      <c r="N7684">
        <f t="shared" si="718"/>
        <v>0</v>
      </c>
      <c r="O7684">
        <f t="shared" si="719"/>
        <v>0</v>
      </c>
      <c r="P7684">
        <f t="shared" si="716"/>
        <v>5000</v>
      </c>
      <c r="Q7684">
        <f t="shared" si="720"/>
        <v>5000</v>
      </c>
      <c r="T7684" s="16">
        <f t="shared" si="721"/>
        <v>0.44393456357285183</v>
      </c>
    </row>
    <row r="7685" spans="7:20" ht="14.4" x14ac:dyDescent="0.25">
      <c r="G7685" s="10">
        <v>5890</v>
      </c>
      <c r="H7685" s="9">
        <v>41793</v>
      </c>
      <c r="I7685" s="14">
        <f>DATE(2012,12,31)-1326</f>
        <v>39948</v>
      </c>
      <c r="J7685" s="15" t="s">
        <v>17</v>
      </c>
      <c r="K7685" s="9">
        <v>48</v>
      </c>
      <c r="L7685" s="16" t="s">
        <v>29</v>
      </c>
      <c r="M7685" s="16">
        <f t="shared" si="717"/>
        <v>1.5488909894803951</v>
      </c>
      <c r="N7685">
        <f t="shared" si="718"/>
        <v>0</v>
      </c>
      <c r="O7685">
        <f t="shared" si="719"/>
        <v>0</v>
      </c>
      <c r="P7685">
        <f t="shared" si="716"/>
        <v>5800</v>
      </c>
      <c r="Q7685">
        <f t="shared" si="720"/>
        <v>5800</v>
      </c>
      <c r="T7685" s="16">
        <f t="shared" si="721"/>
        <v>1.5488909894803948</v>
      </c>
    </row>
    <row r="7686" spans="7:20" ht="14.4" x14ac:dyDescent="0.25">
      <c r="G7686" s="10">
        <v>6062</v>
      </c>
      <c r="H7686" s="9">
        <v>42949</v>
      </c>
      <c r="I7686" s="14">
        <f>DATE(2012,12,31)-1320</f>
        <v>39954</v>
      </c>
      <c r="J7686" s="15" t="s">
        <v>28</v>
      </c>
      <c r="K7686" s="9">
        <v>40</v>
      </c>
      <c r="L7686" s="16" t="s">
        <v>26</v>
      </c>
      <c r="M7686" s="16">
        <f t="shared" si="717"/>
        <v>0.99641277652662363</v>
      </c>
      <c r="N7686">
        <f t="shared" si="718"/>
        <v>0</v>
      </c>
      <c r="O7686">
        <f t="shared" si="719"/>
        <v>0</v>
      </c>
      <c r="P7686">
        <f t="shared" si="716"/>
        <v>5400</v>
      </c>
      <c r="Q7686">
        <f t="shared" si="720"/>
        <v>5400</v>
      </c>
      <c r="T7686" s="16">
        <f t="shared" si="721"/>
        <v>0.9964127765266233</v>
      </c>
    </row>
    <row r="7687" spans="7:20" ht="14.4" x14ac:dyDescent="0.25">
      <c r="G7687" s="10">
        <v>6063</v>
      </c>
      <c r="H7687" s="9">
        <v>42949</v>
      </c>
      <c r="I7687" s="14">
        <f>DATE(2012,12,31)-1320</f>
        <v>39954</v>
      </c>
      <c r="J7687" s="15" t="s">
        <v>28</v>
      </c>
      <c r="K7687" s="9">
        <v>49</v>
      </c>
      <c r="L7687" s="16" t="s">
        <v>27</v>
      </c>
      <c r="M7687" s="16">
        <f t="shared" si="717"/>
        <v>1.6179507660996166</v>
      </c>
      <c r="N7687">
        <f t="shared" si="718"/>
        <v>0</v>
      </c>
      <c r="O7687">
        <f t="shared" si="719"/>
        <v>0</v>
      </c>
      <c r="P7687">
        <f t="shared" si="716"/>
        <v>5850</v>
      </c>
      <c r="Q7687">
        <f t="shared" si="720"/>
        <v>5850</v>
      </c>
      <c r="T7687" s="16">
        <f t="shared" si="721"/>
        <v>1.6179507660996162</v>
      </c>
    </row>
    <row r="7688" spans="7:20" ht="14.4" x14ac:dyDescent="0.25">
      <c r="G7688" s="10">
        <v>6075</v>
      </c>
      <c r="H7688" s="9">
        <v>43044</v>
      </c>
      <c r="I7688" s="14">
        <f>DATE(2012,12,31)-1171</f>
        <v>40103</v>
      </c>
      <c r="J7688" s="15" t="s">
        <v>16</v>
      </c>
      <c r="K7688" s="9">
        <v>23</v>
      </c>
      <c r="L7688" s="16" t="s">
        <v>26</v>
      </c>
      <c r="M7688" s="16">
        <f t="shared" si="717"/>
        <v>-0.17760342600014073</v>
      </c>
      <c r="N7688">
        <f t="shared" si="718"/>
        <v>0</v>
      </c>
      <c r="O7688">
        <f t="shared" si="719"/>
        <v>0</v>
      </c>
      <c r="P7688">
        <f t="shared" si="716"/>
        <v>4550</v>
      </c>
      <c r="Q7688">
        <f t="shared" si="720"/>
        <v>4550</v>
      </c>
      <c r="T7688" s="16">
        <f t="shared" si="721"/>
        <v>-0.17760342600014112</v>
      </c>
    </row>
    <row r="7689" spans="7:20" ht="14.4" x14ac:dyDescent="0.25">
      <c r="G7689" s="10">
        <v>6076</v>
      </c>
      <c r="H7689" s="9">
        <v>43044</v>
      </c>
      <c r="I7689" s="14">
        <f>DATE(2012,12,31)-1171</f>
        <v>40103</v>
      </c>
      <c r="J7689" s="15" t="s">
        <v>16</v>
      </c>
      <c r="K7689" s="9">
        <v>3</v>
      </c>
      <c r="L7689" s="16" t="s">
        <v>27</v>
      </c>
      <c r="M7689" s="16">
        <f t="shared" si="717"/>
        <v>-1.5587989583845694</v>
      </c>
      <c r="N7689">
        <f t="shared" si="718"/>
        <v>0</v>
      </c>
      <c r="O7689">
        <f t="shared" si="719"/>
        <v>0</v>
      </c>
      <c r="P7689">
        <f t="shared" si="716"/>
        <v>3550</v>
      </c>
      <c r="Q7689">
        <f t="shared" si="720"/>
        <v>3550</v>
      </c>
      <c r="T7689" s="16">
        <f t="shared" si="721"/>
        <v>-1.5587989583845698</v>
      </c>
    </row>
    <row r="7690" spans="7:20" ht="14.4" x14ac:dyDescent="0.25">
      <c r="G7690" s="10">
        <v>6466</v>
      </c>
      <c r="H7690" s="9">
        <v>46048</v>
      </c>
      <c r="I7690" s="14">
        <f>DATE(2012,12,31)-20</f>
        <v>41254</v>
      </c>
      <c r="J7690" s="15" t="s">
        <v>16</v>
      </c>
      <c r="K7690" s="9">
        <v>10</v>
      </c>
      <c r="L7690" s="16" t="s">
        <v>26</v>
      </c>
      <c r="M7690" s="16">
        <f t="shared" si="717"/>
        <v>-1.0753805220500194</v>
      </c>
      <c r="N7690">
        <f t="shared" si="718"/>
        <v>0</v>
      </c>
      <c r="O7690">
        <f t="shared" si="719"/>
        <v>0</v>
      </c>
      <c r="P7690">
        <f t="shared" si="716"/>
        <v>3900</v>
      </c>
      <c r="Q7690">
        <f t="shared" si="720"/>
        <v>3900</v>
      </c>
      <c r="T7690" s="16">
        <f t="shared" si="721"/>
        <v>-1.0753805220500199</v>
      </c>
    </row>
    <row r="7691" spans="7:20" ht="14.4" x14ac:dyDescent="0.25">
      <c r="G7691" s="10">
        <v>6467</v>
      </c>
      <c r="H7691" s="9">
        <v>46048</v>
      </c>
      <c r="I7691" s="14">
        <f>DATE(2012,12,31)-20</f>
        <v>41254</v>
      </c>
      <c r="J7691" s="15" t="s">
        <v>16</v>
      </c>
      <c r="K7691" s="9">
        <v>35</v>
      </c>
      <c r="L7691" s="16" t="s">
        <v>26</v>
      </c>
      <c r="M7691" s="16">
        <f t="shared" si="717"/>
        <v>0.65111389343051651</v>
      </c>
      <c r="N7691">
        <f t="shared" si="718"/>
        <v>0</v>
      </c>
      <c r="O7691">
        <f t="shared" si="719"/>
        <v>0</v>
      </c>
      <c r="P7691">
        <f t="shared" si="716"/>
        <v>5150</v>
      </c>
      <c r="Q7691">
        <f t="shared" si="720"/>
        <v>5150</v>
      </c>
      <c r="T7691" s="16">
        <f t="shared" si="721"/>
        <v>0.65111389343051607</v>
      </c>
    </row>
    <row r="7692" spans="7:20" ht="14.4" x14ac:dyDescent="0.25">
      <c r="G7692" s="10">
        <v>6788</v>
      </c>
      <c r="H7692" s="9">
        <v>48354</v>
      </c>
      <c r="I7692" s="14">
        <f>DATE(2012,12,31)-621</f>
        <v>40653</v>
      </c>
      <c r="J7692" s="15" t="s">
        <v>16</v>
      </c>
      <c r="K7692" s="9">
        <v>25</v>
      </c>
      <c r="L7692" s="16" t="s">
        <v>26</v>
      </c>
      <c r="M7692" s="16">
        <f t="shared" si="717"/>
        <v>-3.9483872761697868E-2</v>
      </c>
      <c r="N7692">
        <f t="shared" si="718"/>
        <v>0</v>
      </c>
      <c r="O7692">
        <f t="shared" si="719"/>
        <v>0</v>
      </c>
      <c r="P7692">
        <f t="shared" ref="P7692:P7755" si="722">50*K7692+$P$10</f>
        <v>4650</v>
      </c>
      <c r="Q7692">
        <f t="shared" si="720"/>
        <v>4650</v>
      </c>
      <c r="T7692" s="16">
        <f t="shared" si="721"/>
        <v>-3.9483872761698249E-2</v>
      </c>
    </row>
    <row r="7693" spans="7:20" ht="14.4" x14ac:dyDescent="0.25">
      <c r="G7693" s="10">
        <v>6793</v>
      </c>
      <c r="H7693" s="9">
        <v>48416</v>
      </c>
      <c r="I7693" s="14">
        <f>DATE(2012,12,31)-1274</f>
        <v>40000</v>
      </c>
      <c r="J7693" s="15" t="s">
        <v>28</v>
      </c>
      <c r="K7693" s="9">
        <v>23</v>
      </c>
      <c r="L7693" s="16" t="s">
        <v>26</v>
      </c>
      <c r="M7693" s="16">
        <f t="shared" ref="M7693:M7756" si="723">(K7693-$K$4)/$K$7</f>
        <v>-0.17760342600014073</v>
      </c>
      <c r="N7693">
        <f t="shared" ref="N7693:N7756" si="724">IF(MOD($B$20+G7693,1000)=0,1,0)</f>
        <v>0</v>
      </c>
      <c r="O7693">
        <f t="shared" ref="O7693:O7756" si="725">+ROUND(N7693*(IF(K7693&lt;$K$4,-4.5,10.5)*$P$5),-2)</f>
        <v>0</v>
      </c>
      <c r="P7693">
        <f t="shared" si="722"/>
        <v>4550</v>
      </c>
      <c r="Q7693">
        <f t="shared" ref="Q7693:Q7756" si="726">P7693+O7693</f>
        <v>4550</v>
      </c>
      <c r="T7693" s="16">
        <f t="shared" ref="T7693:T7756" si="727">(Q7693-$P$4)/$P$5</f>
        <v>-0.17760342600014112</v>
      </c>
    </row>
    <row r="7694" spans="7:20" ht="14.4" x14ac:dyDescent="0.25">
      <c r="G7694" s="10">
        <v>6968</v>
      </c>
      <c r="H7694" s="9">
        <v>49798</v>
      </c>
      <c r="I7694" s="14">
        <f>DATE(2012,12,31)-23</f>
        <v>41251</v>
      </c>
      <c r="J7694" s="15" t="s">
        <v>30</v>
      </c>
      <c r="K7694" s="9">
        <v>5</v>
      </c>
      <c r="L7694" s="16" t="s">
        <v>29</v>
      </c>
      <c r="M7694" s="16">
        <f t="shared" si="723"/>
        <v>-1.4206794051461267</v>
      </c>
      <c r="N7694">
        <f t="shared" si="724"/>
        <v>0</v>
      </c>
      <c r="O7694">
        <f t="shared" si="725"/>
        <v>0</v>
      </c>
      <c r="P7694">
        <f t="shared" si="722"/>
        <v>3650</v>
      </c>
      <c r="Q7694">
        <f t="shared" si="726"/>
        <v>3650</v>
      </c>
      <c r="T7694" s="16">
        <f t="shared" si="727"/>
        <v>-1.4206794051461269</v>
      </c>
    </row>
    <row r="7695" spans="7:20" ht="14.4" x14ac:dyDescent="0.25">
      <c r="G7695" s="10">
        <v>6969</v>
      </c>
      <c r="H7695" s="9">
        <v>49798</v>
      </c>
      <c r="I7695" s="14">
        <f>DATE(2012,12,31)-23</f>
        <v>41251</v>
      </c>
      <c r="J7695" s="15" t="s">
        <v>30</v>
      </c>
      <c r="K7695" s="9">
        <v>29</v>
      </c>
      <c r="L7695" s="16" t="s">
        <v>26</v>
      </c>
      <c r="M7695" s="16">
        <f t="shared" si="723"/>
        <v>0.23675523371518786</v>
      </c>
      <c r="N7695">
        <f t="shared" si="724"/>
        <v>0</v>
      </c>
      <c r="O7695">
        <f t="shared" si="725"/>
        <v>0</v>
      </c>
      <c r="P7695">
        <f t="shared" si="722"/>
        <v>4850</v>
      </c>
      <c r="Q7695">
        <f t="shared" si="726"/>
        <v>4850</v>
      </c>
      <c r="T7695" s="16">
        <f t="shared" si="727"/>
        <v>0.2367552337151875</v>
      </c>
    </row>
    <row r="7696" spans="7:20" ht="14.4" x14ac:dyDescent="0.25">
      <c r="G7696" s="10">
        <v>7073</v>
      </c>
      <c r="H7696" s="9">
        <v>50470</v>
      </c>
      <c r="I7696" s="14">
        <f>DATE(2012,12,31)-861</f>
        <v>40413</v>
      </c>
      <c r="J7696" s="15" t="s">
        <v>25</v>
      </c>
      <c r="K7696" s="9">
        <v>38</v>
      </c>
      <c r="L7696" s="16" t="s">
        <v>26</v>
      </c>
      <c r="M7696" s="16">
        <f t="shared" si="723"/>
        <v>0.85829322328818081</v>
      </c>
      <c r="N7696">
        <f t="shared" si="724"/>
        <v>0</v>
      </c>
      <c r="O7696">
        <f t="shared" si="725"/>
        <v>0</v>
      </c>
      <c r="P7696">
        <f t="shared" si="722"/>
        <v>5300</v>
      </c>
      <c r="Q7696">
        <f t="shared" si="726"/>
        <v>5300</v>
      </c>
      <c r="T7696" s="16">
        <f t="shared" si="727"/>
        <v>0.85829322328818036</v>
      </c>
    </row>
    <row r="7697" spans="7:20" ht="14.4" x14ac:dyDescent="0.25">
      <c r="G7697" s="10">
        <v>7418</v>
      </c>
      <c r="H7697" s="9">
        <v>52900</v>
      </c>
      <c r="I7697" s="14">
        <f>DATE(2012,12,31)-591</f>
        <v>40683</v>
      </c>
      <c r="J7697" s="15" t="s">
        <v>17</v>
      </c>
      <c r="K7697" s="9">
        <v>16</v>
      </c>
      <c r="L7697" s="16" t="s">
        <v>26</v>
      </c>
      <c r="M7697" s="16">
        <f t="shared" si="723"/>
        <v>-0.66102186233469074</v>
      </c>
      <c r="N7697">
        <f t="shared" si="724"/>
        <v>0</v>
      </c>
      <c r="O7697">
        <f t="shared" si="725"/>
        <v>0</v>
      </c>
      <c r="P7697">
        <f t="shared" si="722"/>
        <v>4200</v>
      </c>
      <c r="Q7697">
        <f t="shared" si="726"/>
        <v>4200</v>
      </c>
      <c r="T7697" s="16">
        <f t="shared" si="727"/>
        <v>-0.66102186233469118</v>
      </c>
    </row>
    <row r="7698" spans="7:20" ht="14.4" x14ac:dyDescent="0.25">
      <c r="G7698" s="10">
        <v>8070</v>
      </c>
      <c r="H7698" s="9">
        <v>57572</v>
      </c>
      <c r="I7698" s="14">
        <f>DATE(2012,12,31)-538</f>
        <v>40736</v>
      </c>
      <c r="J7698" s="15" t="s">
        <v>16</v>
      </c>
      <c r="K7698" s="9">
        <v>30</v>
      </c>
      <c r="L7698" s="16" t="s">
        <v>27</v>
      </c>
      <c r="M7698" s="16">
        <f t="shared" si="723"/>
        <v>0.30581501033440933</v>
      </c>
      <c r="N7698">
        <f t="shared" si="724"/>
        <v>0</v>
      </c>
      <c r="O7698">
        <f t="shared" si="725"/>
        <v>0</v>
      </c>
      <c r="P7698">
        <f t="shared" si="722"/>
        <v>4900</v>
      </c>
      <c r="Q7698">
        <f t="shared" si="726"/>
        <v>4900</v>
      </c>
      <c r="T7698" s="16">
        <f t="shared" si="727"/>
        <v>0.30581501033440894</v>
      </c>
    </row>
    <row r="7699" spans="7:20" ht="14.4" x14ac:dyDescent="0.25">
      <c r="G7699" s="10">
        <v>8071</v>
      </c>
      <c r="H7699" s="9">
        <v>57572</v>
      </c>
      <c r="I7699" s="14">
        <f>DATE(2012,12,31)-538</f>
        <v>40736</v>
      </c>
      <c r="J7699" s="15" t="s">
        <v>16</v>
      </c>
      <c r="K7699" s="9">
        <v>9</v>
      </c>
      <c r="L7699" s="16" t="s">
        <v>26</v>
      </c>
      <c r="M7699" s="16">
        <f t="shared" si="723"/>
        <v>-1.1444402986692408</v>
      </c>
      <c r="N7699">
        <f t="shared" si="724"/>
        <v>0</v>
      </c>
      <c r="O7699">
        <f t="shared" si="725"/>
        <v>0</v>
      </c>
      <c r="P7699">
        <f t="shared" si="722"/>
        <v>3850</v>
      </c>
      <c r="Q7699">
        <f t="shared" si="726"/>
        <v>3850</v>
      </c>
      <c r="T7699" s="16">
        <f t="shared" si="727"/>
        <v>-1.1444402986692412</v>
      </c>
    </row>
    <row r="7700" spans="7:20" ht="14.4" x14ac:dyDescent="0.25">
      <c r="G7700" s="10">
        <v>8097</v>
      </c>
      <c r="H7700" s="9">
        <v>57766</v>
      </c>
      <c r="I7700" s="14">
        <f>DATE(2012,12,31)-976</f>
        <v>40298</v>
      </c>
      <c r="J7700" s="15" t="s">
        <v>17</v>
      </c>
      <c r="K7700" s="9">
        <v>17</v>
      </c>
      <c r="L7700" s="16" t="s">
        <v>26</v>
      </c>
      <c r="M7700" s="16">
        <f t="shared" si="723"/>
        <v>-0.59196208571546938</v>
      </c>
      <c r="N7700">
        <f t="shared" si="724"/>
        <v>0</v>
      </c>
      <c r="O7700">
        <f t="shared" si="725"/>
        <v>0</v>
      </c>
      <c r="P7700">
        <f t="shared" si="722"/>
        <v>4250</v>
      </c>
      <c r="Q7700">
        <f t="shared" si="726"/>
        <v>4250</v>
      </c>
      <c r="T7700" s="16">
        <f t="shared" si="727"/>
        <v>-0.59196208571546971</v>
      </c>
    </row>
    <row r="7701" spans="7:20" ht="14.4" x14ac:dyDescent="0.25">
      <c r="G7701" s="10">
        <v>8189</v>
      </c>
      <c r="H7701" s="9">
        <v>58566</v>
      </c>
      <c r="I7701" s="14">
        <f>DATE(2012,12,31)-496</f>
        <v>40778</v>
      </c>
      <c r="J7701" s="15" t="s">
        <v>28</v>
      </c>
      <c r="K7701" s="9">
        <v>45</v>
      </c>
      <c r="L7701" s="16" t="s">
        <v>29</v>
      </c>
      <c r="M7701" s="16">
        <f t="shared" si="723"/>
        <v>1.3417116596227308</v>
      </c>
      <c r="N7701">
        <f t="shared" si="724"/>
        <v>0</v>
      </c>
      <c r="O7701">
        <f t="shared" si="725"/>
        <v>0</v>
      </c>
      <c r="P7701">
        <f t="shared" si="722"/>
        <v>5650</v>
      </c>
      <c r="Q7701">
        <f t="shared" si="726"/>
        <v>5650</v>
      </c>
      <c r="T7701" s="16">
        <f t="shared" si="727"/>
        <v>1.3417116596227305</v>
      </c>
    </row>
    <row r="7702" spans="7:20" ht="14.4" x14ac:dyDescent="0.25">
      <c r="G7702" s="10">
        <v>8190</v>
      </c>
      <c r="H7702" s="9">
        <v>58566</v>
      </c>
      <c r="I7702" s="14">
        <f>DATE(2012,12,31)-496</f>
        <v>40778</v>
      </c>
      <c r="J7702" s="15" t="s">
        <v>28</v>
      </c>
      <c r="K7702" s="9">
        <v>42</v>
      </c>
      <c r="L7702" s="16" t="s">
        <v>27</v>
      </c>
      <c r="M7702" s="16">
        <f t="shared" si="723"/>
        <v>1.1345323297650665</v>
      </c>
      <c r="N7702">
        <f t="shared" si="724"/>
        <v>0</v>
      </c>
      <c r="O7702">
        <f t="shared" si="725"/>
        <v>0</v>
      </c>
      <c r="P7702">
        <f t="shared" si="722"/>
        <v>5500</v>
      </c>
      <c r="Q7702">
        <f t="shared" si="726"/>
        <v>5500</v>
      </c>
      <c r="T7702" s="16">
        <f t="shared" si="727"/>
        <v>1.1345323297650662</v>
      </c>
    </row>
    <row r="7703" spans="7:20" ht="14.4" x14ac:dyDescent="0.25">
      <c r="G7703" s="10">
        <v>8204</v>
      </c>
      <c r="H7703" s="9">
        <v>58658</v>
      </c>
      <c r="I7703" s="14">
        <f>DATE(2012,12,31)-203</f>
        <v>41071</v>
      </c>
      <c r="J7703" s="15" t="s">
        <v>16</v>
      </c>
      <c r="K7703" s="9">
        <v>7</v>
      </c>
      <c r="L7703" s="16" t="s">
        <v>29</v>
      </c>
      <c r="M7703" s="16">
        <f t="shared" si="723"/>
        <v>-1.2825598519076837</v>
      </c>
      <c r="N7703">
        <f t="shared" si="724"/>
        <v>0</v>
      </c>
      <c r="O7703">
        <f t="shared" si="725"/>
        <v>0</v>
      </c>
      <c r="P7703">
        <f t="shared" si="722"/>
        <v>3750</v>
      </c>
      <c r="Q7703">
        <f t="shared" si="726"/>
        <v>3750</v>
      </c>
      <c r="T7703" s="16">
        <f t="shared" si="727"/>
        <v>-1.2825598519076842</v>
      </c>
    </row>
    <row r="7704" spans="7:20" ht="14.4" x14ac:dyDescent="0.25">
      <c r="G7704" s="10">
        <v>8205</v>
      </c>
      <c r="H7704" s="9">
        <v>58658</v>
      </c>
      <c r="I7704" s="14">
        <f>DATE(2012,12,31)-203</f>
        <v>41071</v>
      </c>
      <c r="J7704" s="15" t="s">
        <v>16</v>
      </c>
      <c r="K7704" s="9">
        <v>41</v>
      </c>
      <c r="L7704" s="16" t="s">
        <v>27</v>
      </c>
      <c r="M7704" s="16">
        <f t="shared" si="723"/>
        <v>1.0654725531458451</v>
      </c>
      <c r="N7704">
        <f t="shared" si="724"/>
        <v>0</v>
      </c>
      <c r="O7704">
        <f t="shared" si="725"/>
        <v>0</v>
      </c>
      <c r="P7704">
        <f t="shared" si="722"/>
        <v>5450</v>
      </c>
      <c r="Q7704">
        <f t="shared" si="726"/>
        <v>5450</v>
      </c>
      <c r="T7704" s="16">
        <f t="shared" si="727"/>
        <v>1.0654725531458447</v>
      </c>
    </row>
    <row r="7705" spans="7:20" ht="14.4" x14ac:dyDescent="0.25">
      <c r="G7705" s="10">
        <v>8206</v>
      </c>
      <c r="H7705" s="9">
        <v>58658</v>
      </c>
      <c r="I7705" s="14">
        <f>DATE(2012,12,31)-203</f>
        <v>41071</v>
      </c>
      <c r="J7705" s="15" t="s">
        <v>16</v>
      </c>
      <c r="K7705" s="9">
        <v>46</v>
      </c>
      <c r="L7705" s="16" t="s">
        <v>27</v>
      </c>
      <c r="M7705" s="16">
        <f t="shared" si="723"/>
        <v>1.4107714362419523</v>
      </c>
      <c r="N7705">
        <f t="shared" si="724"/>
        <v>0</v>
      </c>
      <c r="O7705">
        <f t="shared" si="725"/>
        <v>0</v>
      </c>
      <c r="P7705">
        <f t="shared" si="722"/>
        <v>5700</v>
      </c>
      <c r="Q7705">
        <f t="shared" si="726"/>
        <v>5700</v>
      </c>
      <c r="T7705" s="16">
        <f t="shared" si="727"/>
        <v>1.4107714362419519</v>
      </c>
    </row>
    <row r="7706" spans="7:20" ht="14.4" x14ac:dyDescent="0.25">
      <c r="G7706" s="10">
        <v>8271</v>
      </c>
      <c r="H7706" s="9">
        <v>59139</v>
      </c>
      <c r="I7706" s="14">
        <f>DATE(2012,12,31)-702</f>
        <v>40572</v>
      </c>
      <c r="J7706" s="15" t="s">
        <v>30</v>
      </c>
      <c r="K7706" s="9">
        <v>12</v>
      </c>
      <c r="L7706" s="16" t="s">
        <v>26</v>
      </c>
      <c r="M7706" s="16">
        <f t="shared" si="723"/>
        <v>-0.9372609688115765</v>
      </c>
      <c r="N7706">
        <f t="shared" si="724"/>
        <v>0</v>
      </c>
      <c r="O7706">
        <f t="shared" si="725"/>
        <v>0</v>
      </c>
      <c r="P7706">
        <f t="shared" si="722"/>
        <v>4000</v>
      </c>
      <c r="Q7706">
        <f t="shared" si="726"/>
        <v>4000</v>
      </c>
      <c r="T7706" s="16">
        <f t="shared" si="727"/>
        <v>-0.93726096881157694</v>
      </c>
    </row>
    <row r="7707" spans="7:20" ht="14.4" x14ac:dyDescent="0.25">
      <c r="G7707" s="10">
        <v>8272</v>
      </c>
      <c r="H7707" s="9">
        <v>59139</v>
      </c>
      <c r="I7707" s="14">
        <f>DATE(2012,12,31)-702</f>
        <v>40572</v>
      </c>
      <c r="J7707" s="15" t="s">
        <v>30</v>
      </c>
      <c r="K7707" s="9">
        <v>38</v>
      </c>
      <c r="L7707" s="16" t="s">
        <v>26</v>
      </c>
      <c r="M7707" s="16">
        <f t="shared" si="723"/>
        <v>0.85829322328818081</v>
      </c>
      <c r="N7707">
        <f t="shared" si="724"/>
        <v>0</v>
      </c>
      <c r="O7707">
        <f t="shared" si="725"/>
        <v>0</v>
      </c>
      <c r="P7707">
        <f t="shared" si="722"/>
        <v>5300</v>
      </c>
      <c r="Q7707">
        <f t="shared" si="726"/>
        <v>5300</v>
      </c>
      <c r="T7707" s="16">
        <f t="shared" si="727"/>
        <v>0.85829322328818036</v>
      </c>
    </row>
    <row r="7708" spans="7:20" ht="14.4" x14ac:dyDescent="0.25">
      <c r="G7708" s="10">
        <v>8391</v>
      </c>
      <c r="H7708" s="9">
        <v>59942</v>
      </c>
      <c r="I7708" s="14">
        <f>DATE(2012,12,31)-1422</f>
        <v>39852</v>
      </c>
      <c r="J7708" s="15" t="s">
        <v>16</v>
      </c>
      <c r="K7708" s="9">
        <v>47</v>
      </c>
      <c r="L7708" s="16" t="s">
        <v>27</v>
      </c>
      <c r="M7708" s="16">
        <f t="shared" si="723"/>
        <v>1.4798312128611737</v>
      </c>
      <c r="N7708">
        <f t="shared" si="724"/>
        <v>0</v>
      </c>
      <c r="O7708">
        <f t="shared" si="725"/>
        <v>0</v>
      </c>
      <c r="P7708">
        <f t="shared" si="722"/>
        <v>5750</v>
      </c>
      <c r="Q7708">
        <f t="shared" si="726"/>
        <v>5750</v>
      </c>
      <c r="T7708" s="16">
        <f t="shared" si="727"/>
        <v>1.4798312128611733</v>
      </c>
    </row>
    <row r="7709" spans="7:20" ht="14.4" x14ac:dyDescent="0.25">
      <c r="G7709" s="10">
        <v>747</v>
      </c>
      <c r="H7709" s="9">
        <v>5350</v>
      </c>
      <c r="I7709" s="14">
        <f>DATE(2012,12,31)-814</f>
        <v>40460</v>
      </c>
      <c r="J7709" s="15" t="s">
        <v>25</v>
      </c>
      <c r="K7709" s="9">
        <v>39</v>
      </c>
      <c r="L7709" s="16" t="s">
        <v>26</v>
      </c>
      <c r="M7709" s="16">
        <f t="shared" si="723"/>
        <v>0.92735299990740228</v>
      </c>
      <c r="N7709">
        <f t="shared" si="724"/>
        <v>0</v>
      </c>
      <c r="O7709">
        <f t="shared" si="725"/>
        <v>0</v>
      </c>
      <c r="P7709">
        <f t="shared" si="722"/>
        <v>5350</v>
      </c>
      <c r="Q7709">
        <f t="shared" si="726"/>
        <v>5350</v>
      </c>
      <c r="T7709" s="16">
        <f t="shared" si="727"/>
        <v>0.92735299990740183</v>
      </c>
    </row>
    <row r="7710" spans="7:20" ht="14.4" x14ac:dyDescent="0.25">
      <c r="G7710" s="10">
        <v>943</v>
      </c>
      <c r="H7710" s="9">
        <v>6850</v>
      </c>
      <c r="I7710" s="14">
        <f>DATE(2012,12,31)-1054</f>
        <v>40220</v>
      </c>
      <c r="J7710" s="15" t="s">
        <v>17</v>
      </c>
      <c r="K7710" s="9">
        <v>8</v>
      </c>
      <c r="L7710" s="16" t="s">
        <v>27</v>
      </c>
      <c r="M7710" s="16">
        <f t="shared" si="723"/>
        <v>-1.2135000752884624</v>
      </c>
      <c r="N7710">
        <f t="shared" si="724"/>
        <v>0</v>
      </c>
      <c r="O7710">
        <f t="shared" si="725"/>
        <v>0</v>
      </c>
      <c r="P7710">
        <f t="shared" si="722"/>
        <v>3800</v>
      </c>
      <c r="Q7710">
        <f t="shared" si="726"/>
        <v>3800</v>
      </c>
      <c r="T7710" s="16">
        <f t="shared" si="727"/>
        <v>-1.2135000752884626</v>
      </c>
    </row>
    <row r="7711" spans="7:20" ht="14.4" x14ac:dyDescent="0.25">
      <c r="G7711" s="10">
        <v>944</v>
      </c>
      <c r="H7711" s="9">
        <v>6850</v>
      </c>
      <c r="I7711" s="14">
        <f>DATE(2012,12,31)-1054</f>
        <v>40220</v>
      </c>
      <c r="J7711" s="15" t="s">
        <v>17</v>
      </c>
      <c r="K7711" s="9">
        <v>41</v>
      </c>
      <c r="L7711" s="16" t="s">
        <v>27</v>
      </c>
      <c r="M7711" s="16">
        <f t="shared" si="723"/>
        <v>1.0654725531458451</v>
      </c>
      <c r="N7711">
        <f t="shared" si="724"/>
        <v>0</v>
      </c>
      <c r="O7711">
        <f t="shared" si="725"/>
        <v>0</v>
      </c>
      <c r="P7711">
        <f t="shared" si="722"/>
        <v>5450</v>
      </c>
      <c r="Q7711">
        <f t="shared" si="726"/>
        <v>5450</v>
      </c>
      <c r="T7711" s="16">
        <f t="shared" si="727"/>
        <v>1.0654725531458447</v>
      </c>
    </row>
    <row r="7712" spans="7:20" ht="14.4" x14ac:dyDescent="0.25">
      <c r="G7712" s="10">
        <v>945</v>
      </c>
      <c r="H7712" s="9">
        <v>6850</v>
      </c>
      <c r="I7712" s="14">
        <f>DATE(2012,12,31)-1054</f>
        <v>40220</v>
      </c>
      <c r="J7712" s="15" t="s">
        <v>17</v>
      </c>
      <c r="K7712" s="9">
        <v>34</v>
      </c>
      <c r="L7712" s="16" t="s">
        <v>26</v>
      </c>
      <c r="M7712" s="16">
        <f t="shared" si="723"/>
        <v>0.58205411681129504</v>
      </c>
      <c r="N7712">
        <f t="shared" si="724"/>
        <v>0</v>
      </c>
      <c r="O7712">
        <f t="shared" si="725"/>
        <v>0</v>
      </c>
      <c r="P7712">
        <f t="shared" si="722"/>
        <v>5100</v>
      </c>
      <c r="Q7712">
        <f t="shared" si="726"/>
        <v>5100</v>
      </c>
      <c r="T7712" s="16">
        <f t="shared" si="727"/>
        <v>0.58205411681129471</v>
      </c>
    </row>
    <row r="7713" spans="7:20" ht="14.4" x14ac:dyDescent="0.25">
      <c r="G7713" s="10">
        <v>946</v>
      </c>
      <c r="H7713" s="9">
        <v>6850</v>
      </c>
      <c r="I7713" s="14">
        <f>DATE(2012,12,31)-1054</f>
        <v>40220</v>
      </c>
      <c r="J7713" s="15" t="s">
        <v>17</v>
      </c>
      <c r="K7713" s="9">
        <v>26</v>
      </c>
      <c r="L7713" s="16" t="s">
        <v>29</v>
      </c>
      <c r="M7713" s="16">
        <f t="shared" si="723"/>
        <v>2.9575903857523567E-2</v>
      </c>
      <c r="N7713">
        <f t="shared" si="724"/>
        <v>0</v>
      </c>
      <c r="O7713">
        <f t="shared" si="725"/>
        <v>0</v>
      </c>
      <c r="P7713">
        <f t="shared" si="722"/>
        <v>4700</v>
      </c>
      <c r="Q7713">
        <f t="shared" si="726"/>
        <v>4700</v>
      </c>
      <c r="T7713" s="16">
        <f t="shared" si="727"/>
        <v>2.9575903857523185E-2</v>
      </c>
    </row>
    <row r="7714" spans="7:20" ht="14.4" x14ac:dyDescent="0.25">
      <c r="G7714" s="10">
        <v>1028</v>
      </c>
      <c r="H7714" s="9">
        <v>7488</v>
      </c>
      <c r="I7714" s="14">
        <f>DATE(2012,12,31)-242</f>
        <v>41032</v>
      </c>
      <c r="J7714" s="15" t="s">
        <v>30</v>
      </c>
      <c r="K7714" s="9">
        <v>9</v>
      </c>
      <c r="L7714" s="16" t="s">
        <v>26</v>
      </c>
      <c r="M7714" s="16">
        <f t="shared" si="723"/>
        <v>-1.1444402986692408</v>
      </c>
      <c r="N7714">
        <f t="shared" si="724"/>
        <v>0</v>
      </c>
      <c r="O7714">
        <f t="shared" si="725"/>
        <v>0</v>
      </c>
      <c r="P7714">
        <f t="shared" si="722"/>
        <v>3850</v>
      </c>
      <c r="Q7714">
        <f t="shared" si="726"/>
        <v>3850</v>
      </c>
      <c r="T7714" s="16">
        <f t="shared" si="727"/>
        <v>-1.1444402986692412</v>
      </c>
    </row>
    <row r="7715" spans="7:20" ht="14.4" x14ac:dyDescent="0.25">
      <c r="G7715" s="10">
        <v>1033</v>
      </c>
      <c r="H7715" s="9">
        <v>7552</v>
      </c>
      <c r="I7715" s="14">
        <f>DATE(2012,12,31)-112</f>
        <v>41162</v>
      </c>
      <c r="J7715" s="15" t="s">
        <v>30</v>
      </c>
      <c r="K7715" s="9">
        <v>47</v>
      </c>
      <c r="L7715" s="16" t="s">
        <v>26</v>
      </c>
      <c r="M7715" s="16">
        <f t="shared" si="723"/>
        <v>1.4798312128611737</v>
      </c>
      <c r="N7715">
        <f t="shared" si="724"/>
        <v>0</v>
      </c>
      <c r="O7715">
        <f t="shared" si="725"/>
        <v>0</v>
      </c>
      <c r="P7715">
        <f t="shared" si="722"/>
        <v>5750</v>
      </c>
      <c r="Q7715">
        <f t="shared" si="726"/>
        <v>5750</v>
      </c>
      <c r="T7715" s="16">
        <f t="shared" si="727"/>
        <v>1.4798312128611733</v>
      </c>
    </row>
    <row r="7716" spans="7:20" ht="14.4" x14ac:dyDescent="0.25">
      <c r="G7716" s="10">
        <v>1034</v>
      </c>
      <c r="H7716" s="9">
        <v>7552</v>
      </c>
      <c r="I7716" s="14">
        <f>DATE(2012,12,31)-112</f>
        <v>41162</v>
      </c>
      <c r="J7716" s="15" t="s">
        <v>30</v>
      </c>
      <c r="K7716" s="9">
        <v>49</v>
      </c>
      <c r="L7716" s="16" t="s">
        <v>26</v>
      </c>
      <c r="M7716" s="16">
        <f t="shared" si="723"/>
        <v>1.6179507660996166</v>
      </c>
      <c r="N7716">
        <f t="shared" si="724"/>
        <v>0</v>
      </c>
      <c r="O7716">
        <f t="shared" si="725"/>
        <v>0</v>
      </c>
      <c r="P7716">
        <f t="shared" si="722"/>
        <v>5850</v>
      </c>
      <c r="Q7716">
        <f t="shared" si="726"/>
        <v>5850</v>
      </c>
      <c r="T7716" s="16">
        <f t="shared" si="727"/>
        <v>1.6179507660996162</v>
      </c>
    </row>
    <row r="7717" spans="7:20" ht="14.4" x14ac:dyDescent="0.25">
      <c r="G7717" s="10">
        <v>1039</v>
      </c>
      <c r="H7717" s="9">
        <v>7585</v>
      </c>
      <c r="I7717" s="14">
        <f>DATE(2012,12,31)-592</f>
        <v>40682</v>
      </c>
      <c r="J7717" s="15" t="s">
        <v>17</v>
      </c>
      <c r="K7717" s="9">
        <v>34</v>
      </c>
      <c r="L7717" s="16" t="s">
        <v>27</v>
      </c>
      <c r="M7717" s="16">
        <f t="shared" si="723"/>
        <v>0.58205411681129504</v>
      </c>
      <c r="N7717">
        <f t="shared" si="724"/>
        <v>0</v>
      </c>
      <c r="O7717">
        <f t="shared" si="725"/>
        <v>0</v>
      </c>
      <c r="P7717">
        <f t="shared" si="722"/>
        <v>5100</v>
      </c>
      <c r="Q7717">
        <f t="shared" si="726"/>
        <v>5100</v>
      </c>
      <c r="T7717" s="16">
        <f t="shared" si="727"/>
        <v>0.58205411681129471</v>
      </c>
    </row>
    <row r="7718" spans="7:20" ht="14.4" x14ac:dyDescent="0.25">
      <c r="G7718" s="10">
        <v>1133</v>
      </c>
      <c r="H7718" s="9">
        <v>8289</v>
      </c>
      <c r="I7718" s="14">
        <f>DATE(2012,12,31)-64</f>
        <v>41210</v>
      </c>
      <c r="J7718" s="15" t="s">
        <v>25</v>
      </c>
      <c r="K7718" s="9">
        <v>38</v>
      </c>
      <c r="L7718" s="16" t="s">
        <v>26</v>
      </c>
      <c r="M7718" s="16">
        <f t="shared" si="723"/>
        <v>0.85829322328818081</v>
      </c>
      <c r="N7718">
        <f t="shared" si="724"/>
        <v>0</v>
      </c>
      <c r="O7718">
        <f t="shared" si="725"/>
        <v>0</v>
      </c>
      <c r="P7718">
        <f t="shared" si="722"/>
        <v>5300</v>
      </c>
      <c r="Q7718">
        <f t="shared" si="726"/>
        <v>5300</v>
      </c>
      <c r="T7718" s="16">
        <f t="shared" si="727"/>
        <v>0.85829322328818036</v>
      </c>
    </row>
    <row r="7719" spans="7:20" ht="14.4" x14ac:dyDescent="0.25">
      <c r="G7719" s="10">
        <v>1188</v>
      </c>
      <c r="H7719" s="9">
        <v>8679</v>
      </c>
      <c r="I7719" s="14">
        <f>DATE(2012,12,31)-239</f>
        <v>41035</v>
      </c>
      <c r="J7719" s="15" t="s">
        <v>16</v>
      </c>
      <c r="K7719" s="9">
        <v>46</v>
      </c>
      <c r="L7719" s="16" t="s">
        <v>26</v>
      </c>
      <c r="M7719" s="16">
        <f t="shared" si="723"/>
        <v>1.4107714362419523</v>
      </c>
      <c r="N7719">
        <f t="shared" si="724"/>
        <v>0</v>
      </c>
      <c r="O7719">
        <f t="shared" si="725"/>
        <v>0</v>
      </c>
      <c r="P7719">
        <f t="shared" si="722"/>
        <v>5700</v>
      </c>
      <c r="Q7719">
        <f t="shared" si="726"/>
        <v>5700</v>
      </c>
      <c r="T7719" s="16">
        <f t="shared" si="727"/>
        <v>1.4107714362419519</v>
      </c>
    </row>
    <row r="7720" spans="7:20" ht="14.4" x14ac:dyDescent="0.25">
      <c r="G7720" s="10">
        <v>1740</v>
      </c>
      <c r="H7720" s="9">
        <v>12481</v>
      </c>
      <c r="I7720" s="14">
        <f>DATE(2012,12,31)-540</f>
        <v>40734</v>
      </c>
      <c r="J7720" s="15" t="s">
        <v>30</v>
      </c>
      <c r="K7720" s="9">
        <v>37</v>
      </c>
      <c r="L7720" s="16" t="s">
        <v>27</v>
      </c>
      <c r="M7720" s="16">
        <f t="shared" si="723"/>
        <v>0.78923344666895934</v>
      </c>
      <c r="N7720">
        <f t="shared" si="724"/>
        <v>0</v>
      </c>
      <c r="O7720">
        <f t="shared" si="725"/>
        <v>0</v>
      </c>
      <c r="P7720">
        <f t="shared" si="722"/>
        <v>5250</v>
      </c>
      <c r="Q7720">
        <f t="shared" si="726"/>
        <v>5250</v>
      </c>
      <c r="T7720" s="16">
        <f t="shared" si="727"/>
        <v>0.789233446668959</v>
      </c>
    </row>
    <row r="7721" spans="7:20" ht="14.4" x14ac:dyDescent="0.25">
      <c r="G7721" s="10">
        <v>1741</v>
      </c>
      <c r="H7721" s="9">
        <v>12481</v>
      </c>
      <c r="I7721" s="14">
        <f>DATE(2012,12,31)-540</f>
        <v>40734</v>
      </c>
      <c r="J7721" s="15" t="s">
        <v>30</v>
      </c>
      <c r="K7721" s="9">
        <v>12</v>
      </c>
      <c r="L7721" s="16" t="s">
        <v>27</v>
      </c>
      <c r="M7721" s="16">
        <f t="shared" si="723"/>
        <v>-0.9372609688115765</v>
      </c>
      <c r="N7721">
        <f t="shared" si="724"/>
        <v>0</v>
      </c>
      <c r="O7721">
        <f t="shared" si="725"/>
        <v>0</v>
      </c>
      <c r="P7721">
        <f t="shared" si="722"/>
        <v>4000</v>
      </c>
      <c r="Q7721">
        <f t="shared" si="726"/>
        <v>4000</v>
      </c>
      <c r="T7721" s="16">
        <f t="shared" si="727"/>
        <v>-0.93726096881157694</v>
      </c>
    </row>
    <row r="7722" spans="7:20" ht="14.4" x14ac:dyDescent="0.25">
      <c r="G7722" s="10">
        <v>1804</v>
      </c>
      <c r="H7722" s="9">
        <v>12902</v>
      </c>
      <c r="I7722" s="14">
        <f>DATE(2012,12,31)-794</f>
        <v>40480</v>
      </c>
      <c r="J7722" s="15" t="s">
        <v>28</v>
      </c>
      <c r="K7722" s="9">
        <v>30</v>
      </c>
      <c r="L7722" s="16" t="s">
        <v>29</v>
      </c>
      <c r="M7722" s="16">
        <f t="shared" si="723"/>
        <v>0.30581501033440933</v>
      </c>
      <c r="N7722">
        <f t="shared" si="724"/>
        <v>0</v>
      </c>
      <c r="O7722">
        <f t="shared" si="725"/>
        <v>0</v>
      </c>
      <c r="P7722">
        <f t="shared" si="722"/>
        <v>4900</v>
      </c>
      <c r="Q7722">
        <f t="shared" si="726"/>
        <v>4900</v>
      </c>
      <c r="T7722" s="16">
        <f t="shared" si="727"/>
        <v>0.30581501033440894</v>
      </c>
    </row>
    <row r="7723" spans="7:20" ht="14.4" x14ac:dyDescent="0.25">
      <c r="G7723" s="10">
        <v>2789</v>
      </c>
      <c r="H7723" s="9">
        <v>20128</v>
      </c>
      <c r="I7723" s="14">
        <f>DATE(2012,12,31)-1218</f>
        <v>40056</v>
      </c>
      <c r="J7723" s="15" t="s">
        <v>28</v>
      </c>
      <c r="K7723" s="9">
        <v>32</v>
      </c>
      <c r="L7723" s="16" t="s">
        <v>27</v>
      </c>
      <c r="M7723" s="16">
        <f t="shared" si="723"/>
        <v>0.44393456357285216</v>
      </c>
      <c r="N7723">
        <f t="shared" si="724"/>
        <v>0</v>
      </c>
      <c r="O7723">
        <f t="shared" si="725"/>
        <v>0</v>
      </c>
      <c r="P7723">
        <f t="shared" si="722"/>
        <v>5000</v>
      </c>
      <c r="Q7723">
        <f t="shared" si="726"/>
        <v>5000</v>
      </c>
      <c r="T7723" s="16">
        <f t="shared" si="727"/>
        <v>0.44393456357285183</v>
      </c>
    </row>
    <row r="7724" spans="7:20" ht="14.4" x14ac:dyDescent="0.25">
      <c r="G7724" s="10">
        <v>2790</v>
      </c>
      <c r="H7724" s="9">
        <v>20128</v>
      </c>
      <c r="I7724" s="14">
        <f>DATE(2012,12,31)-1218</f>
        <v>40056</v>
      </c>
      <c r="J7724" s="15" t="s">
        <v>28</v>
      </c>
      <c r="K7724" s="9">
        <v>5</v>
      </c>
      <c r="L7724" s="16" t="s">
        <v>26</v>
      </c>
      <c r="M7724" s="16">
        <f t="shared" si="723"/>
        <v>-1.4206794051461267</v>
      </c>
      <c r="N7724">
        <f t="shared" si="724"/>
        <v>0</v>
      </c>
      <c r="O7724">
        <f t="shared" si="725"/>
        <v>0</v>
      </c>
      <c r="P7724">
        <f t="shared" si="722"/>
        <v>3650</v>
      </c>
      <c r="Q7724">
        <f t="shared" si="726"/>
        <v>3650</v>
      </c>
      <c r="T7724" s="16">
        <f t="shared" si="727"/>
        <v>-1.4206794051461269</v>
      </c>
    </row>
    <row r="7725" spans="7:20" ht="14.4" x14ac:dyDescent="0.25">
      <c r="G7725" s="10">
        <v>2861</v>
      </c>
      <c r="H7725" s="9">
        <v>20642</v>
      </c>
      <c r="I7725" s="14">
        <f>DATE(2012,12,31)-226</f>
        <v>41048</v>
      </c>
      <c r="J7725" s="15" t="s">
        <v>17</v>
      </c>
      <c r="K7725" s="9">
        <v>47</v>
      </c>
      <c r="L7725" s="16" t="s">
        <v>26</v>
      </c>
      <c r="M7725" s="16">
        <f t="shared" si="723"/>
        <v>1.4798312128611737</v>
      </c>
      <c r="N7725">
        <f t="shared" si="724"/>
        <v>0</v>
      </c>
      <c r="O7725">
        <f t="shared" si="725"/>
        <v>0</v>
      </c>
      <c r="P7725">
        <f t="shared" si="722"/>
        <v>5750</v>
      </c>
      <c r="Q7725">
        <f t="shared" si="726"/>
        <v>5750</v>
      </c>
      <c r="T7725" s="16">
        <f t="shared" si="727"/>
        <v>1.4798312128611733</v>
      </c>
    </row>
    <row r="7726" spans="7:20" ht="14.4" x14ac:dyDescent="0.25">
      <c r="G7726" s="10">
        <v>3486</v>
      </c>
      <c r="H7726" s="9">
        <v>24804</v>
      </c>
      <c r="I7726" s="14">
        <f>DATE(2012,12,31)-584</f>
        <v>40690</v>
      </c>
      <c r="J7726" s="15" t="s">
        <v>28</v>
      </c>
      <c r="K7726" s="9">
        <v>20</v>
      </c>
      <c r="L7726" s="16" t="s">
        <v>26</v>
      </c>
      <c r="M7726" s="16">
        <f t="shared" si="723"/>
        <v>-0.38478275585780503</v>
      </c>
      <c r="N7726">
        <f t="shared" si="724"/>
        <v>0</v>
      </c>
      <c r="O7726">
        <f t="shared" si="725"/>
        <v>0</v>
      </c>
      <c r="P7726">
        <f t="shared" si="722"/>
        <v>4400</v>
      </c>
      <c r="Q7726">
        <f t="shared" si="726"/>
        <v>4400</v>
      </c>
      <c r="T7726" s="16">
        <f t="shared" si="727"/>
        <v>-0.38478275585780541</v>
      </c>
    </row>
    <row r="7727" spans="7:20" ht="14.4" x14ac:dyDescent="0.25">
      <c r="G7727" s="10">
        <v>3971</v>
      </c>
      <c r="H7727" s="9">
        <v>28357</v>
      </c>
      <c r="I7727" s="14">
        <f>DATE(2012,12,31)-955</f>
        <v>40319</v>
      </c>
      <c r="J7727" s="15" t="s">
        <v>28</v>
      </c>
      <c r="K7727" s="9">
        <v>50</v>
      </c>
      <c r="L7727" s="16" t="s">
        <v>26</v>
      </c>
      <c r="M7727" s="16">
        <f t="shared" si="723"/>
        <v>1.687010542718838</v>
      </c>
      <c r="N7727">
        <f t="shared" si="724"/>
        <v>0</v>
      </c>
      <c r="O7727">
        <f t="shared" si="725"/>
        <v>0</v>
      </c>
      <c r="P7727">
        <f t="shared" si="722"/>
        <v>5900</v>
      </c>
      <c r="Q7727">
        <f t="shared" si="726"/>
        <v>5900</v>
      </c>
      <c r="T7727" s="16">
        <f t="shared" si="727"/>
        <v>1.6870105427188375</v>
      </c>
    </row>
    <row r="7728" spans="7:20" ht="14.4" x14ac:dyDescent="0.25">
      <c r="G7728" s="10">
        <v>3972</v>
      </c>
      <c r="H7728" s="9">
        <v>28357</v>
      </c>
      <c r="I7728" s="14">
        <f>DATE(2012,12,31)-955</f>
        <v>40319</v>
      </c>
      <c r="J7728" s="15" t="s">
        <v>28</v>
      </c>
      <c r="K7728" s="9">
        <v>43</v>
      </c>
      <c r="L7728" s="16" t="s">
        <v>26</v>
      </c>
      <c r="M7728" s="16">
        <f t="shared" si="723"/>
        <v>1.203592106384288</v>
      </c>
      <c r="N7728">
        <f t="shared" si="724"/>
        <v>0</v>
      </c>
      <c r="O7728">
        <f t="shared" si="725"/>
        <v>0</v>
      </c>
      <c r="P7728">
        <f t="shared" si="722"/>
        <v>5550</v>
      </c>
      <c r="Q7728">
        <f t="shared" si="726"/>
        <v>5550</v>
      </c>
      <c r="T7728" s="16">
        <f t="shared" si="727"/>
        <v>1.2035921063842876</v>
      </c>
    </row>
    <row r="7729" spans="7:20" ht="14.4" x14ac:dyDescent="0.25">
      <c r="G7729" s="10">
        <v>4355</v>
      </c>
      <c r="H7729" s="9">
        <v>31043</v>
      </c>
      <c r="I7729" s="14">
        <f>DATE(2012,12,31)-1265</f>
        <v>40009</v>
      </c>
      <c r="J7729" s="15" t="s">
        <v>17</v>
      </c>
      <c r="K7729" s="9">
        <v>49</v>
      </c>
      <c r="L7729" s="16" t="s">
        <v>27</v>
      </c>
      <c r="M7729" s="16">
        <f t="shared" si="723"/>
        <v>1.6179507660996166</v>
      </c>
      <c r="N7729">
        <f t="shared" si="724"/>
        <v>0</v>
      </c>
      <c r="O7729">
        <f t="shared" si="725"/>
        <v>0</v>
      </c>
      <c r="P7729">
        <f t="shared" si="722"/>
        <v>5850</v>
      </c>
      <c r="Q7729">
        <f t="shared" si="726"/>
        <v>5850</v>
      </c>
      <c r="T7729" s="16">
        <f t="shared" si="727"/>
        <v>1.6179507660996162</v>
      </c>
    </row>
    <row r="7730" spans="7:20" ht="14.4" x14ac:dyDescent="0.25">
      <c r="G7730" s="10">
        <v>4356</v>
      </c>
      <c r="H7730" s="9">
        <v>31043</v>
      </c>
      <c r="I7730" s="14">
        <f>DATE(2012,12,31)-1265</f>
        <v>40009</v>
      </c>
      <c r="J7730" s="15" t="s">
        <v>17</v>
      </c>
      <c r="K7730" s="9">
        <v>3</v>
      </c>
      <c r="L7730" s="16" t="s">
        <v>27</v>
      </c>
      <c r="M7730" s="16">
        <f t="shared" si="723"/>
        <v>-1.5587989583845694</v>
      </c>
      <c r="N7730">
        <f t="shared" si="724"/>
        <v>0</v>
      </c>
      <c r="O7730">
        <f t="shared" si="725"/>
        <v>0</v>
      </c>
      <c r="P7730">
        <f t="shared" si="722"/>
        <v>3550</v>
      </c>
      <c r="Q7730">
        <f t="shared" si="726"/>
        <v>3550</v>
      </c>
      <c r="T7730" s="16">
        <f t="shared" si="727"/>
        <v>-1.5587989583845698</v>
      </c>
    </row>
    <row r="7731" spans="7:20" ht="14.4" x14ac:dyDescent="0.25">
      <c r="G7731" s="10">
        <v>4547</v>
      </c>
      <c r="H7731" s="9">
        <v>32355</v>
      </c>
      <c r="I7731" s="14">
        <f>DATE(2012,12,31)-1321</f>
        <v>39953</v>
      </c>
      <c r="J7731" s="15" t="s">
        <v>28</v>
      </c>
      <c r="K7731" s="9">
        <v>34</v>
      </c>
      <c r="L7731" s="16" t="s">
        <v>26</v>
      </c>
      <c r="M7731" s="16">
        <f t="shared" si="723"/>
        <v>0.58205411681129504</v>
      </c>
      <c r="N7731">
        <f t="shared" si="724"/>
        <v>0</v>
      </c>
      <c r="O7731">
        <f t="shared" si="725"/>
        <v>0</v>
      </c>
      <c r="P7731">
        <f t="shared" si="722"/>
        <v>5100</v>
      </c>
      <c r="Q7731">
        <f t="shared" si="726"/>
        <v>5100</v>
      </c>
      <c r="T7731" s="16">
        <f t="shared" si="727"/>
        <v>0.58205411681129471</v>
      </c>
    </row>
    <row r="7732" spans="7:20" ht="14.4" x14ac:dyDescent="0.25">
      <c r="G7732" s="10">
        <v>4548</v>
      </c>
      <c r="H7732" s="9">
        <v>32355</v>
      </c>
      <c r="I7732" s="14">
        <f>DATE(2012,12,31)-1321</f>
        <v>39953</v>
      </c>
      <c r="J7732" s="15" t="s">
        <v>28</v>
      </c>
      <c r="K7732" s="9">
        <v>50</v>
      </c>
      <c r="L7732" s="16" t="s">
        <v>26</v>
      </c>
      <c r="M7732" s="16">
        <f t="shared" si="723"/>
        <v>1.687010542718838</v>
      </c>
      <c r="N7732">
        <f t="shared" si="724"/>
        <v>0</v>
      </c>
      <c r="O7732">
        <f t="shared" si="725"/>
        <v>0</v>
      </c>
      <c r="P7732">
        <f t="shared" si="722"/>
        <v>5900</v>
      </c>
      <c r="Q7732">
        <f t="shared" si="726"/>
        <v>5900</v>
      </c>
      <c r="T7732" s="16">
        <f t="shared" si="727"/>
        <v>1.6870105427188375</v>
      </c>
    </row>
    <row r="7733" spans="7:20" ht="14.4" x14ac:dyDescent="0.25">
      <c r="G7733" s="10">
        <v>4735</v>
      </c>
      <c r="H7733" s="9">
        <v>33700</v>
      </c>
      <c r="I7733" s="14">
        <f>DATE(2012,12,31)-634</f>
        <v>40640</v>
      </c>
      <c r="J7733" s="15" t="s">
        <v>25</v>
      </c>
      <c r="K7733" s="9">
        <v>36</v>
      </c>
      <c r="L7733" s="16" t="s">
        <v>26</v>
      </c>
      <c r="M7733" s="16">
        <f t="shared" si="723"/>
        <v>0.72017367004973787</v>
      </c>
      <c r="N7733">
        <f t="shared" si="724"/>
        <v>0</v>
      </c>
      <c r="O7733">
        <f t="shared" si="725"/>
        <v>0</v>
      </c>
      <c r="P7733">
        <f t="shared" si="722"/>
        <v>5200</v>
      </c>
      <c r="Q7733">
        <f t="shared" si="726"/>
        <v>5200</v>
      </c>
      <c r="T7733" s="16">
        <f t="shared" si="727"/>
        <v>0.72017367004973754</v>
      </c>
    </row>
    <row r="7734" spans="7:20" ht="14.4" x14ac:dyDescent="0.25">
      <c r="G7734" s="10">
        <v>5017</v>
      </c>
      <c r="H7734" s="9">
        <v>35811</v>
      </c>
      <c r="I7734" s="14">
        <f>DATE(2012,12,31)-363</f>
        <v>40911</v>
      </c>
      <c r="J7734" s="15" t="s">
        <v>30</v>
      </c>
      <c r="K7734" s="9">
        <v>49</v>
      </c>
      <c r="L7734" s="16" t="s">
        <v>26</v>
      </c>
      <c r="M7734" s="16">
        <f t="shared" si="723"/>
        <v>1.6179507660996166</v>
      </c>
      <c r="N7734">
        <f t="shared" si="724"/>
        <v>0</v>
      </c>
      <c r="O7734">
        <f t="shared" si="725"/>
        <v>0</v>
      </c>
      <c r="P7734">
        <f t="shared" si="722"/>
        <v>5850</v>
      </c>
      <c r="Q7734">
        <f t="shared" si="726"/>
        <v>5850</v>
      </c>
      <c r="T7734" s="16">
        <f t="shared" si="727"/>
        <v>1.6179507660996162</v>
      </c>
    </row>
    <row r="7735" spans="7:20" ht="14.4" x14ac:dyDescent="0.25">
      <c r="G7735" s="10">
        <v>5018</v>
      </c>
      <c r="H7735" s="9">
        <v>35811</v>
      </c>
      <c r="I7735" s="14">
        <f>DATE(2012,12,31)-363</f>
        <v>40911</v>
      </c>
      <c r="J7735" s="15" t="s">
        <v>30</v>
      </c>
      <c r="K7735" s="9">
        <v>6</v>
      </c>
      <c r="L7735" s="16" t="s">
        <v>26</v>
      </c>
      <c r="M7735" s="16">
        <f t="shared" si="723"/>
        <v>-1.3516196285269051</v>
      </c>
      <c r="N7735">
        <f t="shared" si="724"/>
        <v>0</v>
      </c>
      <c r="O7735">
        <f t="shared" si="725"/>
        <v>0</v>
      </c>
      <c r="P7735">
        <f t="shared" si="722"/>
        <v>3700</v>
      </c>
      <c r="Q7735">
        <f t="shared" si="726"/>
        <v>3700</v>
      </c>
      <c r="T7735" s="16">
        <f t="shared" si="727"/>
        <v>-1.3516196285269055</v>
      </c>
    </row>
    <row r="7736" spans="7:20" ht="14.4" x14ac:dyDescent="0.25">
      <c r="G7736" s="10">
        <v>5433</v>
      </c>
      <c r="H7736" s="9">
        <v>38598</v>
      </c>
      <c r="I7736" s="14">
        <f>DATE(2012,12,31)-1234</f>
        <v>40040</v>
      </c>
      <c r="J7736" s="15" t="s">
        <v>25</v>
      </c>
      <c r="K7736" s="9">
        <v>17</v>
      </c>
      <c r="L7736" s="16" t="s">
        <v>29</v>
      </c>
      <c r="M7736" s="16">
        <f t="shared" si="723"/>
        <v>-0.59196208571546938</v>
      </c>
      <c r="N7736">
        <f t="shared" si="724"/>
        <v>0</v>
      </c>
      <c r="O7736">
        <f t="shared" si="725"/>
        <v>0</v>
      </c>
      <c r="P7736">
        <f t="shared" si="722"/>
        <v>4250</v>
      </c>
      <c r="Q7736">
        <f t="shared" si="726"/>
        <v>4250</v>
      </c>
      <c r="T7736" s="16">
        <f t="shared" si="727"/>
        <v>-0.59196208571546971</v>
      </c>
    </row>
    <row r="7737" spans="7:20" ht="14.4" x14ac:dyDescent="0.25">
      <c r="G7737" s="10">
        <v>5434</v>
      </c>
      <c r="H7737" s="9">
        <v>38598</v>
      </c>
      <c r="I7737" s="14">
        <f>DATE(2012,12,31)-1234</f>
        <v>40040</v>
      </c>
      <c r="J7737" s="15" t="s">
        <v>25</v>
      </c>
      <c r="K7737" s="9">
        <v>24</v>
      </c>
      <c r="L7737" s="16" t="s">
        <v>29</v>
      </c>
      <c r="M7737" s="16">
        <f t="shared" si="723"/>
        <v>-0.1085436493809193</v>
      </c>
      <c r="N7737">
        <f t="shared" si="724"/>
        <v>0</v>
      </c>
      <c r="O7737">
        <f t="shared" si="725"/>
        <v>0</v>
      </c>
      <c r="P7737">
        <f t="shared" si="722"/>
        <v>4600</v>
      </c>
      <c r="Q7737">
        <f t="shared" si="726"/>
        <v>4600</v>
      </c>
      <c r="T7737" s="16">
        <f t="shared" si="727"/>
        <v>-0.10854364938091969</v>
      </c>
    </row>
    <row r="7738" spans="7:20" ht="14.4" x14ac:dyDescent="0.25">
      <c r="G7738" s="10">
        <v>5435</v>
      </c>
      <c r="H7738" s="9">
        <v>38598</v>
      </c>
      <c r="I7738" s="14">
        <f>DATE(2012,12,31)-1234</f>
        <v>40040</v>
      </c>
      <c r="J7738" s="15" t="s">
        <v>25</v>
      </c>
      <c r="K7738" s="9">
        <v>27</v>
      </c>
      <c r="L7738" s="16" t="s">
        <v>27</v>
      </c>
      <c r="M7738" s="16">
        <f t="shared" si="723"/>
        <v>9.8635680476745008E-2</v>
      </c>
      <c r="N7738">
        <f t="shared" si="724"/>
        <v>0</v>
      </c>
      <c r="O7738">
        <f t="shared" si="725"/>
        <v>0</v>
      </c>
      <c r="P7738">
        <f t="shared" si="722"/>
        <v>4750</v>
      </c>
      <c r="Q7738">
        <f t="shared" si="726"/>
        <v>4750</v>
      </c>
      <c r="T7738" s="16">
        <f t="shared" si="727"/>
        <v>9.8635680476744619E-2</v>
      </c>
    </row>
    <row r="7739" spans="7:20" ht="14.4" x14ac:dyDescent="0.25">
      <c r="G7739" s="10">
        <v>5732</v>
      </c>
      <c r="H7739" s="9">
        <v>40678</v>
      </c>
      <c r="I7739" s="14">
        <f>DATE(2012,12,31)-978</f>
        <v>40296</v>
      </c>
      <c r="J7739" s="15" t="s">
        <v>25</v>
      </c>
      <c r="K7739" s="9">
        <v>42</v>
      </c>
      <c r="L7739" s="16" t="s">
        <v>26</v>
      </c>
      <c r="M7739" s="16">
        <f t="shared" si="723"/>
        <v>1.1345323297650665</v>
      </c>
      <c r="N7739">
        <f t="shared" si="724"/>
        <v>0</v>
      </c>
      <c r="O7739">
        <f t="shared" si="725"/>
        <v>0</v>
      </c>
      <c r="P7739">
        <f t="shared" si="722"/>
        <v>5500</v>
      </c>
      <c r="Q7739">
        <f t="shared" si="726"/>
        <v>5500</v>
      </c>
      <c r="T7739" s="16">
        <f t="shared" si="727"/>
        <v>1.1345323297650662</v>
      </c>
    </row>
    <row r="7740" spans="7:20" ht="14.4" x14ac:dyDescent="0.25">
      <c r="G7740" s="10">
        <v>5803</v>
      </c>
      <c r="H7740" s="9">
        <v>41154</v>
      </c>
      <c r="I7740" s="14">
        <f>DATE(2012,12,31)-1341</f>
        <v>39933</v>
      </c>
      <c r="J7740" s="15" t="s">
        <v>25</v>
      </c>
      <c r="K7740" s="9">
        <v>43</v>
      </c>
      <c r="L7740" s="16" t="s">
        <v>26</v>
      </c>
      <c r="M7740" s="16">
        <f t="shared" si="723"/>
        <v>1.203592106384288</v>
      </c>
      <c r="N7740">
        <f t="shared" si="724"/>
        <v>0</v>
      </c>
      <c r="O7740">
        <f t="shared" si="725"/>
        <v>0</v>
      </c>
      <c r="P7740">
        <f t="shared" si="722"/>
        <v>5550</v>
      </c>
      <c r="Q7740">
        <f t="shared" si="726"/>
        <v>5550</v>
      </c>
      <c r="T7740" s="16">
        <f t="shared" si="727"/>
        <v>1.2035921063842876</v>
      </c>
    </row>
    <row r="7741" spans="7:20" ht="14.4" x14ac:dyDescent="0.25">
      <c r="G7741" s="10">
        <v>6199</v>
      </c>
      <c r="H7741" s="9">
        <v>43909</v>
      </c>
      <c r="I7741" s="14">
        <f>DATE(2012,12,31)-1454</f>
        <v>39820</v>
      </c>
      <c r="J7741" s="15" t="s">
        <v>17</v>
      </c>
      <c r="K7741" s="9">
        <v>46</v>
      </c>
      <c r="L7741" s="16" t="s">
        <v>26</v>
      </c>
      <c r="M7741" s="16">
        <f t="shared" si="723"/>
        <v>1.4107714362419523</v>
      </c>
      <c r="N7741">
        <f t="shared" si="724"/>
        <v>0</v>
      </c>
      <c r="O7741">
        <f t="shared" si="725"/>
        <v>0</v>
      </c>
      <c r="P7741">
        <f t="shared" si="722"/>
        <v>5700</v>
      </c>
      <c r="Q7741">
        <f t="shared" si="726"/>
        <v>5700</v>
      </c>
      <c r="T7741" s="16">
        <f t="shared" si="727"/>
        <v>1.4107714362419519</v>
      </c>
    </row>
    <row r="7742" spans="7:20" ht="14.4" x14ac:dyDescent="0.25">
      <c r="G7742" s="10">
        <v>6382</v>
      </c>
      <c r="H7742" s="9">
        <v>45346</v>
      </c>
      <c r="I7742" s="14">
        <f>DATE(2012,12,31)-46</f>
        <v>41228</v>
      </c>
      <c r="J7742" s="15" t="s">
        <v>17</v>
      </c>
      <c r="K7742" s="9">
        <v>37</v>
      </c>
      <c r="L7742" s="16" t="s">
        <v>26</v>
      </c>
      <c r="M7742" s="16">
        <f t="shared" si="723"/>
        <v>0.78923344666895934</v>
      </c>
      <c r="N7742">
        <f t="shared" si="724"/>
        <v>0</v>
      </c>
      <c r="O7742">
        <f t="shared" si="725"/>
        <v>0</v>
      </c>
      <c r="P7742">
        <f t="shared" si="722"/>
        <v>5250</v>
      </c>
      <c r="Q7742">
        <f t="shared" si="726"/>
        <v>5250</v>
      </c>
      <c r="T7742" s="16">
        <f t="shared" si="727"/>
        <v>0.789233446668959</v>
      </c>
    </row>
    <row r="7743" spans="7:20" ht="14.4" x14ac:dyDescent="0.25">
      <c r="G7743" s="10">
        <v>6510</v>
      </c>
      <c r="H7743" s="9">
        <v>46336</v>
      </c>
      <c r="I7743" s="14">
        <f>DATE(2012,12,31)-521</f>
        <v>40753</v>
      </c>
      <c r="J7743" s="15" t="s">
        <v>17</v>
      </c>
      <c r="K7743" s="9">
        <v>31</v>
      </c>
      <c r="L7743" s="16" t="s">
        <v>26</v>
      </c>
      <c r="M7743" s="16">
        <f t="shared" si="723"/>
        <v>0.37487478695363075</v>
      </c>
      <c r="N7743">
        <f t="shared" si="724"/>
        <v>0</v>
      </c>
      <c r="O7743">
        <f t="shared" si="725"/>
        <v>0</v>
      </c>
      <c r="P7743">
        <f t="shared" si="722"/>
        <v>4950</v>
      </c>
      <c r="Q7743">
        <f t="shared" si="726"/>
        <v>4950</v>
      </c>
      <c r="T7743" s="16">
        <f t="shared" si="727"/>
        <v>0.37487478695363036</v>
      </c>
    </row>
    <row r="7744" spans="7:20" ht="14.4" x14ac:dyDescent="0.25">
      <c r="G7744" s="10">
        <v>7342</v>
      </c>
      <c r="H7744" s="9">
        <v>52320</v>
      </c>
      <c r="I7744" s="14">
        <f>DATE(2012,12,31)-98</f>
        <v>41176</v>
      </c>
      <c r="J7744" s="15" t="s">
        <v>25</v>
      </c>
      <c r="K7744" s="9">
        <v>41</v>
      </c>
      <c r="L7744" s="16" t="s">
        <v>26</v>
      </c>
      <c r="M7744" s="16">
        <f t="shared" si="723"/>
        <v>1.0654725531458451</v>
      </c>
      <c r="N7744">
        <f t="shared" si="724"/>
        <v>0</v>
      </c>
      <c r="O7744">
        <f t="shared" si="725"/>
        <v>0</v>
      </c>
      <c r="P7744">
        <f t="shared" si="722"/>
        <v>5450</v>
      </c>
      <c r="Q7744">
        <f t="shared" si="726"/>
        <v>5450</v>
      </c>
      <c r="T7744" s="16">
        <f t="shared" si="727"/>
        <v>1.0654725531458447</v>
      </c>
    </row>
    <row r="7745" spans="7:20" ht="14.4" x14ac:dyDescent="0.25">
      <c r="G7745" s="10">
        <v>7351</v>
      </c>
      <c r="H7745" s="9">
        <v>52357</v>
      </c>
      <c r="I7745" s="14">
        <f>DATE(2012,12,31)-1215</f>
        <v>40059</v>
      </c>
      <c r="J7745" s="15" t="s">
        <v>28</v>
      </c>
      <c r="K7745" s="9">
        <v>49</v>
      </c>
      <c r="L7745" s="16" t="s">
        <v>26</v>
      </c>
      <c r="M7745" s="16">
        <f t="shared" si="723"/>
        <v>1.6179507660996166</v>
      </c>
      <c r="N7745">
        <f t="shared" si="724"/>
        <v>0</v>
      </c>
      <c r="O7745">
        <f t="shared" si="725"/>
        <v>0</v>
      </c>
      <c r="P7745">
        <f t="shared" si="722"/>
        <v>5850</v>
      </c>
      <c r="Q7745">
        <f t="shared" si="726"/>
        <v>5850</v>
      </c>
      <c r="T7745" s="16">
        <f t="shared" si="727"/>
        <v>1.6179507660996162</v>
      </c>
    </row>
    <row r="7746" spans="7:20" ht="14.4" x14ac:dyDescent="0.25">
      <c r="G7746" s="10">
        <v>7507</v>
      </c>
      <c r="H7746" s="9">
        <v>53573</v>
      </c>
      <c r="I7746" s="14">
        <f>DATE(2012,12,31)-1387</f>
        <v>39887</v>
      </c>
      <c r="J7746" s="15" t="s">
        <v>28</v>
      </c>
      <c r="K7746" s="9">
        <v>6</v>
      </c>
      <c r="L7746" s="16" t="s">
        <v>29</v>
      </c>
      <c r="M7746" s="16">
        <f t="shared" si="723"/>
        <v>-1.3516196285269051</v>
      </c>
      <c r="N7746">
        <f t="shared" si="724"/>
        <v>0</v>
      </c>
      <c r="O7746">
        <f t="shared" si="725"/>
        <v>0</v>
      </c>
      <c r="P7746">
        <f t="shared" si="722"/>
        <v>3700</v>
      </c>
      <c r="Q7746">
        <f t="shared" si="726"/>
        <v>3700</v>
      </c>
      <c r="T7746" s="16">
        <f t="shared" si="727"/>
        <v>-1.3516196285269055</v>
      </c>
    </row>
    <row r="7747" spans="7:20" ht="14.4" x14ac:dyDescent="0.25">
      <c r="G7747" s="10">
        <v>7887</v>
      </c>
      <c r="H7747" s="9">
        <v>56420</v>
      </c>
      <c r="I7747" s="14">
        <f>DATE(2012,12,31)-526</f>
        <v>40748</v>
      </c>
      <c r="J7747" s="15" t="s">
        <v>25</v>
      </c>
      <c r="K7747" s="9">
        <v>16</v>
      </c>
      <c r="L7747" s="16" t="s">
        <v>26</v>
      </c>
      <c r="M7747" s="16">
        <f t="shared" si="723"/>
        <v>-0.66102186233469074</v>
      </c>
      <c r="N7747">
        <f t="shared" si="724"/>
        <v>0</v>
      </c>
      <c r="O7747">
        <f t="shared" si="725"/>
        <v>0</v>
      </c>
      <c r="P7747">
        <f t="shared" si="722"/>
        <v>4200</v>
      </c>
      <c r="Q7747">
        <f t="shared" si="726"/>
        <v>4200</v>
      </c>
      <c r="T7747" s="16">
        <f t="shared" si="727"/>
        <v>-0.66102186233469118</v>
      </c>
    </row>
    <row r="7748" spans="7:20" ht="14.4" x14ac:dyDescent="0.25">
      <c r="G7748" s="10">
        <v>7888</v>
      </c>
      <c r="H7748" s="9">
        <v>56420</v>
      </c>
      <c r="I7748" s="14">
        <f>DATE(2012,12,31)-526</f>
        <v>40748</v>
      </c>
      <c r="J7748" s="15" t="s">
        <v>25</v>
      </c>
      <c r="K7748" s="9">
        <v>26</v>
      </c>
      <c r="L7748" s="16" t="s">
        <v>29</v>
      </c>
      <c r="M7748" s="16">
        <f t="shared" si="723"/>
        <v>2.9575903857523567E-2</v>
      </c>
      <c r="N7748">
        <f t="shared" si="724"/>
        <v>0</v>
      </c>
      <c r="O7748">
        <f t="shared" si="725"/>
        <v>0</v>
      </c>
      <c r="P7748">
        <f t="shared" si="722"/>
        <v>4700</v>
      </c>
      <c r="Q7748">
        <f t="shared" si="726"/>
        <v>4700</v>
      </c>
      <c r="T7748" s="16">
        <f t="shared" si="727"/>
        <v>2.9575903857523185E-2</v>
      </c>
    </row>
    <row r="7749" spans="7:20" ht="14.4" x14ac:dyDescent="0.25">
      <c r="G7749" s="10">
        <v>7889</v>
      </c>
      <c r="H7749" s="9">
        <v>56420</v>
      </c>
      <c r="I7749" s="14">
        <f>DATE(2012,12,31)-526</f>
        <v>40748</v>
      </c>
      <c r="J7749" s="15" t="s">
        <v>25</v>
      </c>
      <c r="K7749" s="9">
        <v>22</v>
      </c>
      <c r="L7749" s="16" t="s">
        <v>27</v>
      </c>
      <c r="M7749" s="16">
        <f t="shared" si="723"/>
        <v>-0.24666320261936217</v>
      </c>
      <c r="N7749">
        <f t="shared" si="724"/>
        <v>0</v>
      </c>
      <c r="O7749">
        <f t="shared" si="725"/>
        <v>0</v>
      </c>
      <c r="P7749">
        <f t="shared" si="722"/>
        <v>4500</v>
      </c>
      <c r="Q7749">
        <f t="shared" si="726"/>
        <v>4500</v>
      </c>
      <c r="T7749" s="16">
        <f t="shared" si="727"/>
        <v>-0.24666320261936256</v>
      </c>
    </row>
    <row r="7750" spans="7:20" ht="14.4" x14ac:dyDescent="0.25">
      <c r="G7750" s="10">
        <v>7890</v>
      </c>
      <c r="H7750" s="9">
        <v>56420</v>
      </c>
      <c r="I7750" s="14">
        <f>DATE(2012,12,31)-526</f>
        <v>40748</v>
      </c>
      <c r="J7750" s="15" t="s">
        <v>25</v>
      </c>
      <c r="K7750" s="9">
        <v>48</v>
      </c>
      <c r="L7750" s="16" t="s">
        <v>27</v>
      </c>
      <c r="M7750" s="16">
        <f t="shared" si="723"/>
        <v>1.5488909894803951</v>
      </c>
      <c r="N7750">
        <f t="shared" si="724"/>
        <v>0</v>
      </c>
      <c r="O7750">
        <f t="shared" si="725"/>
        <v>0</v>
      </c>
      <c r="P7750">
        <f t="shared" si="722"/>
        <v>5800</v>
      </c>
      <c r="Q7750">
        <f t="shared" si="726"/>
        <v>5800</v>
      </c>
      <c r="T7750" s="16">
        <f t="shared" si="727"/>
        <v>1.5488909894803948</v>
      </c>
    </row>
    <row r="7751" spans="7:20" ht="14.4" x14ac:dyDescent="0.25">
      <c r="G7751" s="10">
        <v>8038</v>
      </c>
      <c r="H7751" s="9">
        <v>57412</v>
      </c>
      <c r="I7751" s="14">
        <f>DATE(2012,12,31)-1267</f>
        <v>40007</v>
      </c>
      <c r="J7751" s="15" t="s">
        <v>25</v>
      </c>
      <c r="K7751" s="9">
        <v>34</v>
      </c>
      <c r="L7751" s="16" t="s">
        <v>27</v>
      </c>
      <c r="M7751" s="16">
        <f t="shared" si="723"/>
        <v>0.58205411681129504</v>
      </c>
      <c r="N7751">
        <f t="shared" si="724"/>
        <v>0</v>
      </c>
      <c r="O7751">
        <f t="shared" si="725"/>
        <v>0</v>
      </c>
      <c r="P7751">
        <f t="shared" si="722"/>
        <v>5100</v>
      </c>
      <c r="Q7751">
        <f t="shared" si="726"/>
        <v>5100</v>
      </c>
      <c r="T7751" s="16">
        <f t="shared" si="727"/>
        <v>0.58205411681129471</v>
      </c>
    </row>
    <row r="7752" spans="7:20" ht="14.4" x14ac:dyDescent="0.25">
      <c r="G7752" s="10">
        <v>11</v>
      </c>
      <c r="H7752" s="9">
        <v>66</v>
      </c>
      <c r="I7752" s="14">
        <f>DATE(2012,12,31)-1442</f>
        <v>39832</v>
      </c>
      <c r="J7752" s="15" t="s">
        <v>25</v>
      </c>
      <c r="K7752" s="9">
        <v>41</v>
      </c>
      <c r="L7752" s="16" t="s">
        <v>26</v>
      </c>
      <c r="M7752" s="16">
        <f t="shared" si="723"/>
        <v>1.0654725531458451</v>
      </c>
      <c r="N7752">
        <f t="shared" si="724"/>
        <v>0</v>
      </c>
      <c r="O7752">
        <f t="shared" si="725"/>
        <v>0</v>
      </c>
      <c r="P7752">
        <f t="shared" si="722"/>
        <v>5450</v>
      </c>
      <c r="Q7752">
        <f t="shared" si="726"/>
        <v>5450</v>
      </c>
      <c r="T7752" s="16">
        <f t="shared" si="727"/>
        <v>1.0654725531458447</v>
      </c>
    </row>
    <row r="7753" spans="7:20" ht="14.4" x14ac:dyDescent="0.25">
      <c r="G7753" s="10">
        <v>251</v>
      </c>
      <c r="H7753" s="9">
        <v>1762</v>
      </c>
      <c r="I7753" s="14">
        <f>DATE(2012,12,31)-1230</f>
        <v>40044</v>
      </c>
      <c r="J7753" s="15" t="s">
        <v>28</v>
      </c>
      <c r="K7753" s="9">
        <v>29</v>
      </c>
      <c r="L7753" s="16" t="s">
        <v>27</v>
      </c>
      <c r="M7753" s="16">
        <f t="shared" si="723"/>
        <v>0.23675523371518786</v>
      </c>
      <c r="N7753">
        <f t="shared" si="724"/>
        <v>0</v>
      </c>
      <c r="O7753">
        <f t="shared" si="725"/>
        <v>0</v>
      </c>
      <c r="P7753">
        <f t="shared" si="722"/>
        <v>4850</v>
      </c>
      <c r="Q7753">
        <f t="shared" si="726"/>
        <v>4850</v>
      </c>
      <c r="T7753" s="16">
        <f t="shared" si="727"/>
        <v>0.2367552337151875</v>
      </c>
    </row>
    <row r="7754" spans="7:20" ht="14.4" x14ac:dyDescent="0.25">
      <c r="G7754" s="10">
        <v>252</v>
      </c>
      <c r="H7754" s="9">
        <v>1762</v>
      </c>
      <c r="I7754" s="14">
        <f>DATE(2012,12,31)-1230</f>
        <v>40044</v>
      </c>
      <c r="J7754" s="15" t="s">
        <v>28</v>
      </c>
      <c r="K7754" s="9">
        <v>11</v>
      </c>
      <c r="L7754" s="16" t="s">
        <v>26</v>
      </c>
      <c r="M7754" s="16">
        <f t="shared" si="723"/>
        <v>-1.0063207454307979</v>
      </c>
      <c r="N7754">
        <f t="shared" si="724"/>
        <v>0</v>
      </c>
      <c r="O7754">
        <f t="shared" si="725"/>
        <v>0</v>
      </c>
      <c r="P7754">
        <f t="shared" si="722"/>
        <v>3950</v>
      </c>
      <c r="Q7754">
        <f t="shared" si="726"/>
        <v>3950</v>
      </c>
      <c r="T7754" s="16">
        <f t="shared" si="727"/>
        <v>-1.0063207454307983</v>
      </c>
    </row>
    <row r="7755" spans="7:20" ht="14.4" x14ac:dyDescent="0.25">
      <c r="G7755" s="10">
        <v>253</v>
      </c>
      <c r="H7755" s="9">
        <v>1762</v>
      </c>
      <c r="I7755" s="14">
        <f>DATE(2012,12,31)-1230</f>
        <v>40044</v>
      </c>
      <c r="J7755" s="15" t="s">
        <v>28</v>
      </c>
      <c r="K7755" s="9">
        <v>43</v>
      </c>
      <c r="L7755" s="16" t="s">
        <v>27</v>
      </c>
      <c r="M7755" s="16">
        <f t="shared" si="723"/>
        <v>1.203592106384288</v>
      </c>
      <c r="N7755">
        <f t="shared" si="724"/>
        <v>0</v>
      </c>
      <c r="O7755">
        <f t="shared" si="725"/>
        <v>0</v>
      </c>
      <c r="P7755">
        <f t="shared" si="722"/>
        <v>5550</v>
      </c>
      <c r="Q7755">
        <f t="shared" si="726"/>
        <v>5550</v>
      </c>
      <c r="T7755" s="16">
        <f t="shared" si="727"/>
        <v>1.2035921063842876</v>
      </c>
    </row>
    <row r="7756" spans="7:20" ht="14.4" x14ac:dyDescent="0.25">
      <c r="G7756" s="10">
        <v>859</v>
      </c>
      <c r="H7756" s="9">
        <v>6150</v>
      </c>
      <c r="I7756" s="14">
        <f>DATE(2012,12,31)-91</f>
        <v>41183</v>
      </c>
      <c r="J7756" s="15" t="s">
        <v>30</v>
      </c>
      <c r="K7756" s="9">
        <v>38</v>
      </c>
      <c r="L7756" s="16" t="s">
        <v>26</v>
      </c>
      <c r="M7756" s="16">
        <f t="shared" si="723"/>
        <v>0.85829322328818081</v>
      </c>
      <c r="N7756">
        <f t="shared" si="724"/>
        <v>0</v>
      </c>
      <c r="O7756">
        <f t="shared" si="725"/>
        <v>0</v>
      </c>
      <c r="P7756">
        <f t="shared" ref="P7756:P7819" si="728">50*K7756+$P$10</f>
        <v>5300</v>
      </c>
      <c r="Q7756">
        <f t="shared" si="726"/>
        <v>5300</v>
      </c>
      <c r="T7756" s="16">
        <f t="shared" si="727"/>
        <v>0.85829322328818036</v>
      </c>
    </row>
    <row r="7757" spans="7:20" ht="14.4" x14ac:dyDescent="0.25">
      <c r="G7757" s="10">
        <v>879</v>
      </c>
      <c r="H7757" s="9">
        <v>6310</v>
      </c>
      <c r="I7757" s="14">
        <f>DATE(2012,12,31)-1338</f>
        <v>39936</v>
      </c>
      <c r="J7757" s="15" t="s">
        <v>28</v>
      </c>
      <c r="K7757" s="9">
        <v>27</v>
      </c>
      <c r="L7757" s="16" t="s">
        <v>29</v>
      </c>
      <c r="M7757" s="16">
        <f t="shared" ref="M7757:M7820" si="729">(K7757-$K$4)/$K$7</f>
        <v>9.8635680476745008E-2</v>
      </c>
      <c r="N7757">
        <f t="shared" ref="N7757:N7820" si="730">IF(MOD($B$20+G7757,1000)=0,1,0)</f>
        <v>0</v>
      </c>
      <c r="O7757">
        <f t="shared" ref="O7757:O7820" si="731">+ROUND(N7757*(IF(K7757&lt;$K$4,-4.5,10.5)*$P$5),-2)</f>
        <v>0</v>
      </c>
      <c r="P7757">
        <f t="shared" si="728"/>
        <v>4750</v>
      </c>
      <c r="Q7757">
        <f t="shared" ref="Q7757:Q7820" si="732">P7757+O7757</f>
        <v>4750</v>
      </c>
      <c r="T7757" s="16">
        <f t="shared" ref="T7757:T7820" si="733">(Q7757-$P$4)/$P$5</f>
        <v>9.8635680476744619E-2</v>
      </c>
    </row>
    <row r="7758" spans="7:20" ht="14.4" x14ac:dyDescent="0.25">
      <c r="G7758" s="10">
        <v>1321</v>
      </c>
      <c r="H7758" s="9">
        <v>9664</v>
      </c>
      <c r="I7758" s="14">
        <f>DATE(2012,12,31)-999</f>
        <v>40275</v>
      </c>
      <c r="J7758" s="15" t="s">
        <v>17</v>
      </c>
      <c r="K7758" s="9">
        <v>13</v>
      </c>
      <c r="L7758" s="16" t="s">
        <v>26</v>
      </c>
      <c r="M7758" s="16">
        <f t="shared" si="729"/>
        <v>-0.86820119219235514</v>
      </c>
      <c r="N7758">
        <f t="shared" si="730"/>
        <v>0</v>
      </c>
      <c r="O7758">
        <f t="shared" si="731"/>
        <v>0</v>
      </c>
      <c r="P7758">
        <f t="shared" si="728"/>
        <v>4050</v>
      </c>
      <c r="Q7758">
        <f t="shared" si="732"/>
        <v>4050</v>
      </c>
      <c r="T7758" s="16">
        <f t="shared" si="733"/>
        <v>-0.86820119219235548</v>
      </c>
    </row>
    <row r="7759" spans="7:20" ht="14.4" x14ac:dyDescent="0.25">
      <c r="G7759" s="10">
        <v>1545</v>
      </c>
      <c r="H7759" s="9">
        <v>11168</v>
      </c>
      <c r="I7759" s="14">
        <f>DATE(2012,12,31)-71</f>
        <v>41203</v>
      </c>
      <c r="J7759" s="15" t="s">
        <v>30</v>
      </c>
      <c r="K7759" s="9">
        <v>35</v>
      </c>
      <c r="L7759" s="16" t="s">
        <v>29</v>
      </c>
      <c r="M7759" s="16">
        <f t="shared" si="729"/>
        <v>0.65111389343051651</v>
      </c>
      <c r="N7759">
        <f t="shared" si="730"/>
        <v>0</v>
      </c>
      <c r="O7759">
        <f t="shared" si="731"/>
        <v>0</v>
      </c>
      <c r="P7759">
        <f t="shared" si="728"/>
        <v>5150</v>
      </c>
      <c r="Q7759">
        <f t="shared" si="732"/>
        <v>5150</v>
      </c>
      <c r="T7759" s="16">
        <f t="shared" si="733"/>
        <v>0.65111389343051607</v>
      </c>
    </row>
    <row r="7760" spans="7:20" ht="14.4" x14ac:dyDescent="0.25">
      <c r="G7760" s="10">
        <v>1725</v>
      </c>
      <c r="H7760" s="9">
        <v>12417</v>
      </c>
      <c r="I7760" s="14">
        <f>DATE(2012,12,31)-799</f>
        <v>40475</v>
      </c>
      <c r="J7760" s="15" t="s">
        <v>30</v>
      </c>
      <c r="K7760" s="9">
        <v>19</v>
      </c>
      <c r="L7760" s="16" t="s">
        <v>26</v>
      </c>
      <c r="M7760" s="16">
        <f t="shared" si="729"/>
        <v>-0.45384253247702649</v>
      </c>
      <c r="N7760">
        <f t="shared" si="730"/>
        <v>0</v>
      </c>
      <c r="O7760">
        <f t="shared" si="731"/>
        <v>0</v>
      </c>
      <c r="P7760">
        <f t="shared" si="728"/>
        <v>4350</v>
      </c>
      <c r="Q7760">
        <f t="shared" si="732"/>
        <v>4350</v>
      </c>
      <c r="T7760" s="16">
        <f t="shared" si="733"/>
        <v>-0.45384253247702688</v>
      </c>
    </row>
    <row r="7761" spans="7:20" ht="14.4" x14ac:dyDescent="0.25">
      <c r="G7761" s="10">
        <v>1899</v>
      </c>
      <c r="H7761" s="9">
        <v>13607</v>
      </c>
      <c r="I7761" s="14">
        <f>DATE(2012,12,31)-774</f>
        <v>40500</v>
      </c>
      <c r="J7761" s="15" t="s">
        <v>30</v>
      </c>
      <c r="K7761" s="9">
        <v>12</v>
      </c>
      <c r="L7761" s="16" t="s">
        <v>27</v>
      </c>
      <c r="M7761" s="16">
        <f t="shared" si="729"/>
        <v>-0.9372609688115765</v>
      </c>
      <c r="N7761">
        <f t="shared" si="730"/>
        <v>0</v>
      </c>
      <c r="O7761">
        <f t="shared" si="731"/>
        <v>0</v>
      </c>
      <c r="P7761">
        <f t="shared" si="728"/>
        <v>4000</v>
      </c>
      <c r="Q7761">
        <f t="shared" si="732"/>
        <v>4000</v>
      </c>
      <c r="T7761" s="16">
        <f t="shared" si="733"/>
        <v>-0.93726096881157694</v>
      </c>
    </row>
    <row r="7762" spans="7:20" ht="14.4" x14ac:dyDescent="0.25">
      <c r="G7762" s="10">
        <v>1900</v>
      </c>
      <c r="H7762" s="9">
        <v>13607</v>
      </c>
      <c r="I7762" s="14">
        <f>DATE(2012,12,31)-774</f>
        <v>40500</v>
      </c>
      <c r="J7762" s="15" t="s">
        <v>30</v>
      </c>
      <c r="K7762" s="9">
        <v>37</v>
      </c>
      <c r="L7762" s="16" t="s">
        <v>26</v>
      </c>
      <c r="M7762" s="16">
        <f t="shared" si="729"/>
        <v>0.78923344666895934</v>
      </c>
      <c r="N7762">
        <f t="shared" si="730"/>
        <v>0</v>
      </c>
      <c r="O7762">
        <f t="shared" si="731"/>
        <v>0</v>
      </c>
      <c r="P7762">
        <f t="shared" si="728"/>
        <v>5250</v>
      </c>
      <c r="Q7762">
        <f t="shared" si="732"/>
        <v>5250</v>
      </c>
      <c r="T7762" s="16">
        <f t="shared" si="733"/>
        <v>0.789233446668959</v>
      </c>
    </row>
    <row r="7763" spans="7:20" ht="14.4" x14ac:dyDescent="0.25">
      <c r="G7763" s="10">
        <v>1901</v>
      </c>
      <c r="H7763" s="9">
        <v>13607</v>
      </c>
      <c r="I7763" s="14">
        <f>DATE(2012,12,31)-774</f>
        <v>40500</v>
      </c>
      <c r="J7763" s="15" t="s">
        <v>30</v>
      </c>
      <c r="K7763" s="9">
        <v>13</v>
      </c>
      <c r="L7763" s="16" t="s">
        <v>26</v>
      </c>
      <c r="M7763" s="16">
        <f t="shared" si="729"/>
        <v>-0.86820119219235514</v>
      </c>
      <c r="N7763">
        <f t="shared" si="730"/>
        <v>0</v>
      </c>
      <c r="O7763">
        <f t="shared" si="731"/>
        <v>0</v>
      </c>
      <c r="P7763">
        <f t="shared" si="728"/>
        <v>4050</v>
      </c>
      <c r="Q7763">
        <f t="shared" si="732"/>
        <v>4050</v>
      </c>
      <c r="T7763" s="16">
        <f t="shared" si="733"/>
        <v>-0.86820119219235548</v>
      </c>
    </row>
    <row r="7764" spans="7:20" ht="14.4" x14ac:dyDescent="0.25">
      <c r="G7764" s="10">
        <v>2047</v>
      </c>
      <c r="H7764" s="9">
        <v>14597</v>
      </c>
      <c r="I7764" s="14">
        <f>DATE(2012,12,31)-854</f>
        <v>40420</v>
      </c>
      <c r="J7764" s="15" t="s">
        <v>30</v>
      </c>
      <c r="K7764" s="9">
        <v>41</v>
      </c>
      <c r="L7764" s="16" t="s">
        <v>26</v>
      </c>
      <c r="M7764" s="16">
        <f t="shared" si="729"/>
        <v>1.0654725531458451</v>
      </c>
      <c r="N7764">
        <f t="shared" si="730"/>
        <v>0</v>
      </c>
      <c r="O7764">
        <f t="shared" si="731"/>
        <v>0</v>
      </c>
      <c r="P7764">
        <f t="shared" si="728"/>
        <v>5450</v>
      </c>
      <c r="Q7764">
        <f t="shared" si="732"/>
        <v>5450</v>
      </c>
      <c r="T7764" s="16">
        <f t="shared" si="733"/>
        <v>1.0654725531458447</v>
      </c>
    </row>
    <row r="7765" spans="7:20" ht="14.4" x14ac:dyDescent="0.25">
      <c r="G7765" s="10">
        <v>2048</v>
      </c>
      <c r="H7765" s="9">
        <v>14597</v>
      </c>
      <c r="I7765" s="14">
        <f>DATE(2012,12,31)-854</f>
        <v>40420</v>
      </c>
      <c r="J7765" s="15" t="s">
        <v>30</v>
      </c>
      <c r="K7765" s="9">
        <v>35</v>
      </c>
      <c r="L7765" s="16" t="s">
        <v>29</v>
      </c>
      <c r="M7765" s="16">
        <f t="shared" si="729"/>
        <v>0.65111389343051651</v>
      </c>
      <c r="N7765">
        <f t="shared" si="730"/>
        <v>0</v>
      </c>
      <c r="O7765">
        <f t="shared" si="731"/>
        <v>0</v>
      </c>
      <c r="P7765">
        <f t="shared" si="728"/>
        <v>5150</v>
      </c>
      <c r="Q7765">
        <f t="shared" si="732"/>
        <v>5150</v>
      </c>
      <c r="T7765" s="16">
        <f t="shared" si="733"/>
        <v>0.65111389343051607</v>
      </c>
    </row>
    <row r="7766" spans="7:20" ht="14.4" x14ac:dyDescent="0.25">
      <c r="G7766" s="10">
        <v>2102</v>
      </c>
      <c r="H7766" s="9">
        <v>15015</v>
      </c>
      <c r="I7766" s="14">
        <f>DATE(2012,12,31)-767</f>
        <v>40507</v>
      </c>
      <c r="J7766" s="15" t="s">
        <v>17</v>
      </c>
      <c r="K7766" s="9">
        <v>47</v>
      </c>
      <c r="L7766" s="16" t="s">
        <v>29</v>
      </c>
      <c r="M7766" s="16">
        <f t="shared" si="729"/>
        <v>1.4798312128611737</v>
      </c>
      <c r="N7766">
        <f t="shared" si="730"/>
        <v>0</v>
      </c>
      <c r="O7766">
        <f t="shared" si="731"/>
        <v>0</v>
      </c>
      <c r="P7766">
        <f t="shared" si="728"/>
        <v>5750</v>
      </c>
      <c r="Q7766">
        <f t="shared" si="732"/>
        <v>5750</v>
      </c>
      <c r="T7766" s="16">
        <f t="shared" si="733"/>
        <v>1.4798312128611733</v>
      </c>
    </row>
    <row r="7767" spans="7:20" ht="14.4" x14ac:dyDescent="0.25">
      <c r="G7767" s="10">
        <v>2415</v>
      </c>
      <c r="H7767" s="9">
        <v>17539</v>
      </c>
      <c r="I7767" s="14">
        <f>DATE(2012,12,31)-473</f>
        <v>40801</v>
      </c>
      <c r="J7767" s="15" t="s">
        <v>28</v>
      </c>
      <c r="K7767" s="9">
        <v>28</v>
      </c>
      <c r="L7767" s="16" t="s">
        <v>29</v>
      </c>
      <c r="M7767" s="16">
        <f t="shared" si="729"/>
        <v>0.16769545709596645</v>
      </c>
      <c r="N7767">
        <f t="shared" si="730"/>
        <v>0</v>
      </c>
      <c r="O7767">
        <f t="shared" si="731"/>
        <v>0</v>
      </c>
      <c r="P7767">
        <f t="shared" si="728"/>
        <v>4800</v>
      </c>
      <c r="Q7767">
        <f t="shared" si="732"/>
        <v>4800</v>
      </c>
      <c r="T7767" s="16">
        <f t="shared" si="733"/>
        <v>0.16769545709596606</v>
      </c>
    </row>
    <row r="7768" spans="7:20" ht="14.4" x14ac:dyDescent="0.25">
      <c r="G7768" s="10">
        <v>2416</v>
      </c>
      <c r="H7768" s="9">
        <v>17539</v>
      </c>
      <c r="I7768" s="14">
        <f>DATE(2012,12,31)-473</f>
        <v>40801</v>
      </c>
      <c r="J7768" s="15" t="s">
        <v>28</v>
      </c>
      <c r="K7768" s="9">
        <v>10</v>
      </c>
      <c r="L7768" s="16" t="s">
        <v>27</v>
      </c>
      <c r="M7768" s="16">
        <f t="shared" si="729"/>
        <v>-1.0753805220500194</v>
      </c>
      <c r="N7768">
        <f t="shared" si="730"/>
        <v>0</v>
      </c>
      <c r="O7768">
        <f t="shared" si="731"/>
        <v>0</v>
      </c>
      <c r="P7768">
        <f t="shared" si="728"/>
        <v>3900</v>
      </c>
      <c r="Q7768">
        <f t="shared" si="732"/>
        <v>3900</v>
      </c>
      <c r="T7768" s="16">
        <f t="shared" si="733"/>
        <v>-1.0753805220500199</v>
      </c>
    </row>
    <row r="7769" spans="7:20" ht="14.4" x14ac:dyDescent="0.25">
      <c r="G7769" s="10">
        <v>2492</v>
      </c>
      <c r="H7769" s="9">
        <v>18145</v>
      </c>
      <c r="I7769" s="14">
        <f>DATE(2012,12,31)-849</f>
        <v>40425</v>
      </c>
      <c r="J7769" s="15" t="s">
        <v>16</v>
      </c>
      <c r="K7769" s="9">
        <v>47</v>
      </c>
      <c r="L7769" s="16" t="s">
        <v>26</v>
      </c>
      <c r="M7769" s="16">
        <f t="shared" si="729"/>
        <v>1.4798312128611737</v>
      </c>
      <c r="N7769">
        <f t="shared" si="730"/>
        <v>0</v>
      </c>
      <c r="O7769">
        <f t="shared" si="731"/>
        <v>0</v>
      </c>
      <c r="P7769">
        <f t="shared" si="728"/>
        <v>5750</v>
      </c>
      <c r="Q7769">
        <f t="shared" si="732"/>
        <v>5750</v>
      </c>
      <c r="T7769" s="16">
        <f t="shared" si="733"/>
        <v>1.4798312128611733</v>
      </c>
    </row>
    <row r="7770" spans="7:20" ht="14.4" x14ac:dyDescent="0.25">
      <c r="G7770" s="10">
        <v>2709</v>
      </c>
      <c r="H7770" s="9">
        <v>19559</v>
      </c>
      <c r="I7770" s="14">
        <f>DATE(2012,12,31)-991</f>
        <v>40283</v>
      </c>
      <c r="J7770" s="15" t="s">
        <v>17</v>
      </c>
      <c r="K7770" s="9">
        <v>31</v>
      </c>
      <c r="L7770" s="16" t="s">
        <v>26</v>
      </c>
      <c r="M7770" s="16">
        <f t="shared" si="729"/>
        <v>0.37487478695363075</v>
      </c>
      <c r="N7770">
        <f t="shared" si="730"/>
        <v>0</v>
      </c>
      <c r="O7770">
        <f t="shared" si="731"/>
        <v>0</v>
      </c>
      <c r="P7770">
        <f t="shared" si="728"/>
        <v>4950</v>
      </c>
      <c r="Q7770">
        <f t="shared" si="732"/>
        <v>4950</v>
      </c>
      <c r="T7770" s="16">
        <f t="shared" si="733"/>
        <v>0.37487478695363036</v>
      </c>
    </row>
    <row r="7771" spans="7:20" ht="14.4" x14ac:dyDescent="0.25">
      <c r="G7771" s="10">
        <v>2710</v>
      </c>
      <c r="H7771" s="9">
        <v>19559</v>
      </c>
      <c r="I7771" s="14">
        <f>DATE(2012,12,31)-991</f>
        <v>40283</v>
      </c>
      <c r="J7771" s="15" t="s">
        <v>17</v>
      </c>
      <c r="K7771" s="9">
        <v>18</v>
      </c>
      <c r="L7771" s="16" t="s">
        <v>27</v>
      </c>
      <c r="M7771" s="16">
        <f t="shared" si="729"/>
        <v>-0.52290230909624791</v>
      </c>
      <c r="N7771">
        <f t="shared" si="730"/>
        <v>0</v>
      </c>
      <c r="O7771">
        <f t="shared" si="731"/>
        <v>0</v>
      </c>
      <c r="P7771">
        <f t="shared" si="728"/>
        <v>4300</v>
      </c>
      <c r="Q7771">
        <f t="shared" si="732"/>
        <v>4300</v>
      </c>
      <c r="T7771" s="16">
        <f t="shared" si="733"/>
        <v>-0.52290230909624835</v>
      </c>
    </row>
    <row r="7772" spans="7:20" ht="14.4" x14ac:dyDescent="0.25">
      <c r="G7772" s="10">
        <v>2711</v>
      </c>
      <c r="H7772" s="9">
        <v>19559</v>
      </c>
      <c r="I7772" s="14">
        <f>DATE(2012,12,31)-991</f>
        <v>40283</v>
      </c>
      <c r="J7772" s="15" t="s">
        <v>17</v>
      </c>
      <c r="K7772" s="9">
        <v>14</v>
      </c>
      <c r="L7772" s="16" t="s">
        <v>27</v>
      </c>
      <c r="M7772" s="16">
        <f t="shared" si="729"/>
        <v>-0.79914141557313367</v>
      </c>
      <c r="N7772">
        <f t="shared" si="730"/>
        <v>0</v>
      </c>
      <c r="O7772">
        <f t="shared" si="731"/>
        <v>0</v>
      </c>
      <c r="P7772">
        <f t="shared" si="728"/>
        <v>4100</v>
      </c>
      <c r="Q7772">
        <f t="shared" si="732"/>
        <v>4100</v>
      </c>
      <c r="T7772" s="16">
        <f t="shared" si="733"/>
        <v>-0.79914141557313401</v>
      </c>
    </row>
    <row r="7773" spans="7:20" ht="14.4" x14ac:dyDescent="0.25">
      <c r="G7773" s="10">
        <v>2924</v>
      </c>
      <c r="H7773" s="9">
        <v>21188</v>
      </c>
      <c r="I7773" s="14">
        <f>DATE(2012,12,31)-467</f>
        <v>40807</v>
      </c>
      <c r="J7773" s="15" t="s">
        <v>30</v>
      </c>
      <c r="K7773" s="9">
        <v>29</v>
      </c>
      <c r="L7773" s="16" t="s">
        <v>27</v>
      </c>
      <c r="M7773" s="16">
        <f t="shared" si="729"/>
        <v>0.23675523371518786</v>
      </c>
      <c r="N7773">
        <f t="shared" si="730"/>
        <v>0</v>
      </c>
      <c r="O7773">
        <f t="shared" si="731"/>
        <v>0</v>
      </c>
      <c r="P7773">
        <f t="shared" si="728"/>
        <v>4850</v>
      </c>
      <c r="Q7773">
        <f t="shared" si="732"/>
        <v>4850</v>
      </c>
      <c r="T7773" s="16">
        <f t="shared" si="733"/>
        <v>0.2367552337151875</v>
      </c>
    </row>
    <row r="7774" spans="7:20" ht="14.4" x14ac:dyDescent="0.25">
      <c r="G7774" s="10">
        <v>2941</v>
      </c>
      <c r="H7774" s="9">
        <v>21318</v>
      </c>
      <c r="I7774" s="14">
        <f>DATE(2012,12,31)-911</f>
        <v>40363</v>
      </c>
      <c r="J7774" s="15" t="s">
        <v>17</v>
      </c>
      <c r="K7774" s="9">
        <v>40</v>
      </c>
      <c r="L7774" s="16" t="s">
        <v>26</v>
      </c>
      <c r="M7774" s="16">
        <f t="shared" si="729"/>
        <v>0.99641277652662363</v>
      </c>
      <c r="N7774">
        <f t="shared" si="730"/>
        <v>0</v>
      </c>
      <c r="O7774">
        <f t="shared" si="731"/>
        <v>0</v>
      </c>
      <c r="P7774">
        <f t="shared" si="728"/>
        <v>5400</v>
      </c>
      <c r="Q7774">
        <f t="shared" si="732"/>
        <v>5400</v>
      </c>
      <c r="T7774" s="16">
        <f t="shared" si="733"/>
        <v>0.9964127765266233</v>
      </c>
    </row>
    <row r="7775" spans="7:20" ht="14.4" x14ac:dyDescent="0.25">
      <c r="G7775" s="10">
        <v>3029</v>
      </c>
      <c r="H7775" s="9">
        <v>21792</v>
      </c>
      <c r="I7775" s="14">
        <f>DATE(2012,12,31)-97</f>
        <v>41177</v>
      </c>
      <c r="J7775" s="15" t="s">
        <v>28</v>
      </c>
      <c r="K7775" s="9">
        <v>26</v>
      </c>
      <c r="L7775" s="16" t="s">
        <v>26</v>
      </c>
      <c r="M7775" s="16">
        <f t="shared" si="729"/>
        <v>2.9575903857523567E-2</v>
      </c>
      <c r="N7775">
        <f t="shared" si="730"/>
        <v>0</v>
      </c>
      <c r="O7775">
        <f t="shared" si="731"/>
        <v>0</v>
      </c>
      <c r="P7775">
        <f t="shared" si="728"/>
        <v>4700</v>
      </c>
      <c r="Q7775">
        <f t="shared" si="732"/>
        <v>4700</v>
      </c>
      <c r="T7775" s="16">
        <f t="shared" si="733"/>
        <v>2.9575903857523185E-2</v>
      </c>
    </row>
    <row r="7776" spans="7:20" ht="14.4" x14ac:dyDescent="0.25">
      <c r="G7776" s="10">
        <v>3041</v>
      </c>
      <c r="H7776" s="9">
        <v>21831</v>
      </c>
      <c r="I7776" s="14">
        <f>DATE(2012,12,31)-1199</f>
        <v>40075</v>
      </c>
      <c r="J7776" s="15" t="s">
        <v>28</v>
      </c>
      <c r="K7776" s="9">
        <v>6</v>
      </c>
      <c r="L7776" s="16" t="s">
        <v>26</v>
      </c>
      <c r="M7776" s="16">
        <f t="shared" si="729"/>
        <v>-1.3516196285269051</v>
      </c>
      <c r="N7776">
        <f t="shared" si="730"/>
        <v>0</v>
      </c>
      <c r="O7776">
        <f t="shared" si="731"/>
        <v>0</v>
      </c>
      <c r="P7776">
        <f t="shared" si="728"/>
        <v>3700</v>
      </c>
      <c r="Q7776">
        <f t="shared" si="732"/>
        <v>3700</v>
      </c>
      <c r="T7776" s="16">
        <f t="shared" si="733"/>
        <v>-1.3516196285269055</v>
      </c>
    </row>
    <row r="7777" spans="7:20" ht="14.4" x14ac:dyDescent="0.25">
      <c r="G7777" s="10">
        <v>3171</v>
      </c>
      <c r="H7777" s="9">
        <v>22818</v>
      </c>
      <c r="I7777" s="14">
        <f>DATE(2012,12,31)-1319</f>
        <v>39955</v>
      </c>
      <c r="J7777" s="15" t="s">
        <v>30</v>
      </c>
      <c r="K7777" s="9">
        <v>50</v>
      </c>
      <c r="L7777" s="16" t="s">
        <v>29</v>
      </c>
      <c r="M7777" s="16">
        <f t="shared" si="729"/>
        <v>1.687010542718838</v>
      </c>
      <c r="N7777">
        <f t="shared" si="730"/>
        <v>0</v>
      </c>
      <c r="O7777">
        <f t="shared" si="731"/>
        <v>0</v>
      </c>
      <c r="P7777">
        <f t="shared" si="728"/>
        <v>5900</v>
      </c>
      <c r="Q7777">
        <f t="shared" si="732"/>
        <v>5900</v>
      </c>
      <c r="T7777" s="16">
        <f t="shared" si="733"/>
        <v>1.6870105427188375</v>
      </c>
    </row>
    <row r="7778" spans="7:20" ht="14.4" x14ac:dyDescent="0.25">
      <c r="G7778" s="10">
        <v>3172</v>
      </c>
      <c r="H7778" s="9">
        <v>22818</v>
      </c>
      <c r="I7778" s="14">
        <f>DATE(2012,12,31)-1319</f>
        <v>39955</v>
      </c>
      <c r="J7778" s="15" t="s">
        <v>25</v>
      </c>
      <c r="K7778" s="9">
        <v>19</v>
      </c>
      <c r="L7778" s="16" t="s">
        <v>27</v>
      </c>
      <c r="M7778" s="16">
        <f t="shared" si="729"/>
        <v>-0.45384253247702649</v>
      </c>
      <c r="N7778">
        <f t="shared" si="730"/>
        <v>0</v>
      </c>
      <c r="O7778">
        <f t="shared" si="731"/>
        <v>0</v>
      </c>
      <c r="P7778">
        <f t="shared" si="728"/>
        <v>4350</v>
      </c>
      <c r="Q7778">
        <f t="shared" si="732"/>
        <v>4350</v>
      </c>
      <c r="T7778" s="16">
        <f t="shared" si="733"/>
        <v>-0.45384253247702688</v>
      </c>
    </row>
    <row r="7779" spans="7:20" ht="14.4" x14ac:dyDescent="0.25">
      <c r="G7779" s="10">
        <v>3482</v>
      </c>
      <c r="H7779" s="9">
        <v>24801</v>
      </c>
      <c r="I7779" s="14">
        <f>DATE(2012,12,31)-46</f>
        <v>41228</v>
      </c>
      <c r="J7779" s="15" t="s">
        <v>17</v>
      </c>
      <c r="K7779" s="9">
        <v>3</v>
      </c>
      <c r="L7779" s="16" t="s">
        <v>26</v>
      </c>
      <c r="M7779" s="16">
        <f t="shared" si="729"/>
        <v>-1.5587989583845694</v>
      </c>
      <c r="N7779">
        <f t="shared" si="730"/>
        <v>0</v>
      </c>
      <c r="O7779">
        <f t="shared" si="731"/>
        <v>0</v>
      </c>
      <c r="P7779">
        <f t="shared" si="728"/>
        <v>3550</v>
      </c>
      <c r="Q7779">
        <f t="shared" si="732"/>
        <v>3550</v>
      </c>
      <c r="T7779" s="16">
        <f t="shared" si="733"/>
        <v>-1.5587989583845698</v>
      </c>
    </row>
    <row r="7780" spans="7:20" ht="14.4" x14ac:dyDescent="0.25">
      <c r="G7780" s="10">
        <v>3483</v>
      </c>
      <c r="H7780" s="9">
        <v>24801</v>
      </c>
      <c r="I7780" s="14">
        <f>DATE(2012,12,31)-46</f>
        <v>41228</v>
      </c>
      <c r="J7780" s="15" t="s">
        <v>17</v>
      </c>
      <c r="K7780" s="9">
        <v>7</v>
      </c>
      <c r="L7780" s="16" t="s">
        <v>29</v>
      </c>
      <c r="M7780" s="16">
        <f t="shared" si="729"/>
        <v>-1.2825598519076837</v>
      </c>
      <c r="N7780">
        <f t="shared" si="730"/>
        <v>0</v>
      </c>
      <c r="O7780">
        <f t="shared" si="731"/>
        <v>0</v>
      </c>
      <c r="P7780">
        <f t="shared" si="728"/>
        <v>3750</v>
      </c>
      <c r="Q7780">
        <f t="shared" si="732"/>
        <v>3750</v>
      </c>
      <c r="T7780" s="16">
        <f t="shared" si="733"/>
        <v>-1.2825598519076842</v>
      </c>
    </row>
    <row r="7781" spans="7:20" ht="14.4" x14ac:dyDescent="0.25">
      <c r="G7781" s="10">
        <v>3484</v>
      </c>
      <c r="H7781" s="9">
        <v>24801</v>
      </c>
      <c r="I7781" s="14">
        <f>DATE(2012,12,31)-46</f>
        <v>41228</v>
      </c>
      <c r="J7781" s="15" t="s">
        <v>17</v>
      </c>
      <c r="K7781" s="9">
        <v>10</v>
      </c>
      <c r="L7781" s="16" t="s">
        <v>27</v>
      </c>
      <c r="M7781" s="16">
        <f t="shared" si="729"/>
        <v>-1.0753805220500194</v>
      </c>
      <c r="N7781">
        <f t="shared" si="730"/>
        <v>0</v>
      </c>
      <c r="O7781">
        <f t="shared" si="731"/>
        <v>0</v>
      </c>
      <c r="P7781">
        <f t="shared" si="728"/>
        <v>3900</v>
      </c>
      <c r="Q7781">
        <f t="shared" si="732"/>
        <v>3900</v>
      </c>
      <c r="T7781" s="16">
        <f t="shared" si="733"/>
        <v>-1.0753805220500199</v>
      </c>
    </row>
    <row r="7782" spans="7:20" ht="14.4" x14ac:dyDescent="0.25">
      <c r="G7782" s="10">
        <v>3714</v>
      </c>
      <c r="H7782" s="9">
        <v>26529</v>
      </c>
      <c r="I7782" s="14">
        <f>DATE(2012,12,31)-703</f>
        <v>40571</v>
      </c>
      <c r="J7782" s="15" t="s">
        <v>25</v>
      </c>
      <c r="K7782" s="9">
        <v>17</v>
      </c>
      <c r="L7782" s="16" t="s">
        <v>26</v>
      </c>
      <c r="M7782" s="16">
        <f t="shared" si="729"/>
        <v>-0.59196208571546938</v>
      </c>
      <c r="N7782">
        <f t="shared" si="730"/>
        <v>0</v>
      </c>
      <c r="O7782">
        <f t="shared" si="731"/>
        <v>0</v>
      </c>
      <c r="P7782">
        <f t="shared" si="728"/>
        <v>4250</v>
      </c>
      <c r="Q7782">
        <f t="shared" si="732"/>
        <v>4250</v>
      </c>
      <c r="T7782" s="16">
        <f t="shared" si="733"/>
        <v>-0.59196208571546971</v>
      </c>
    </row>
    <row r="7783" spans="7:20" ht="14.4" x14ac:dyDescent="0.25">
      <c r="G7783" s="10">
        <v>3893</v>
      </c>
      <c r="H7783" s="9">
        <v>27780</v>
      </c>
      <c r="I7783" s="14">
        <f>DATE(2012,12,31)-72</f>
        <v>41202</v>
      </c>
      <c r="J7783" s="15" t="s">
        <v>30</v>
      </c>
      <c r="K7783" s="9">
        <v>18</v>
      </c>
      <c r="L7783" s="16" t="s">
        <v>26</v>
      </c>
      <c r="M7783" s="16">
        <f t="shared" si="729"/>
        <v>-0.52290230909624791</v>
      </c>
      <c r="N7783">
        <f t="shared" si="730"/>
        <v>0</v>
      </c>
      <c r="O7783">
        <f t="shared" si="731"/>
        <v>0</v>
      </c>
      <c r="P7783">
        <f t="shared" si="728"/>
        <v>4300</v>
      </c>
      <c r="Q7783">
        <f t="shared" si="732"/>
        <v>4300</v>
      </c>
      <c r="T7783" s="16">
        <f t="shared" si="733"/>
        <v>-0.52290230909624835</v>
      </c>
    </row>
    <row r="7784" spans="7:20" ht="14.4" x14ac:dyDescent="0.25">
      <c r="G7784" s="10">
        <v>3894</v>
      </c>
      <c r="H7784" s="9">
        <v>27780</v>
      </c>
      <c r="I7784" s="14">
        <f>DATE(2012,12,31)-72</f>
        <v>41202</v>
      </c>
      <c r="J7784" s="15" t="s">
        <v>30</v>
      </c>
      <c r="K7784" s="9">
        <v>39</v>
      </c>
      <c r="L7784" s="16" t="s">
        <v>26</v>
      </c>
      <c r="M7784" s="16">
        <f t="shared" si="729"/>
        <v>0.92735299990740228</v>
      </c>
      <c r="N7784">
        <f t="shared" si="730"/>
        <v>0</v>
      </c>
      <c r="O7784">
        <f t="shared" si="731"/>
        <v>0</v>
      </c>
      <c r="P7784">
        <f t="shared" si="728"/>
        <v>5350</v>
      </c>
      <c r="Q7784">
        <f t="shared" si="732"/>
        <v>5350</v>
      </c>
      <c r="T7784" s="16">
        <f t="shared" si="733"/>
        <v>0.92735299990740183</v>
      </c>
    </row>
    <row r="7785" spans="7:20" ht="14.4" x14ac:dyDescent="0.25">
      <c r="G7785" s="10">
        <v>3895</v>
      </c>
      <c r="H7785" s="9">
        <v>27780</v>
      </c>
      <c r="I7785" s="14">
        <f>DATE(2012,12,31)-72</f>
        <v>41202</v>
      </c>
      <c r="J7785" s="15" t="s">
        <v>30</v>
      </c>
      <c r="K7785" s="9">
        <v>39</v>
      </c>
      <c r="L7785" s="16" t="s">
        <v>27</v>
      </c>
      <c r="M7785" s="16">
        <f t="shared" si="729"/>
        <v>0.92735299990740228</v>
      </c>
      <c r="N7785">
        <f t="shared" si="730"/>
        <v>0</v>
      </c>
      <c r="O7785">
        <f t="shared" si="731"/>
        <v>0</v>
      </c>
      <c r="P7785">
        <f t="shared" si="728"/>
        <v>5350</v>
      </c>
      <c r="Q7785">
        <f t="shared" si="732"/>
        <v>5350</v>
      </c>
      <c r="T7785" s="16">
        <f t="shared" si="733"/>
        <v>0.92735299990740183</v>
      </c>
    </row>
    <row r="7786" spans="7:20" ht="14.4" x14ac:dyDescent="0.25">
      <c r="G7786" s="10">
        <v>3904</v>
      </c>
      <c r="H7786" s="9">
        <v>27843</v>
      </c>
      <c r="I7786" s="14">
        <f>DATE(2012,12,31)-848</f>
        <v>40426</v>
      </c>
      <c r="J7786" s="15" t="s">
        <v>16</v>
      </c>
      <c r="K7786" s="9">
        <v>26</v>
      </c>
      <c r="L7786" s="16" t="s">
        <v>27</v>
      </c>
      <c r="M7786" s="16">
        <f t="shared" si="729"/>
        <v>2.9575903857523567E-2</v>
      </c>
      <c r="N7786">
        <f t="shared" si="730"/>
        <v>0</v>
      </c>
      <c r="O7786">
        <f t="shared" si="731"/>
        <v>0</v>
      </c>
      <c r="P7786">
        <f t="shared" si="728"/>
        <v>4700</v>
      </c>
      <c r="Q7786">
        <f t="shared" si="732"/>
        <v>4700</v>
      </c>
      <c r="T7786" s="16">
        <f t="shared" si="733"/>
        <v>2.9575903857523185E-2</v>
      </c>
    </row>
    <row r="7787" spans="7:20" ht="14.4" x14ac:dyDescent="0.25">
      <c r="G7787" s="10">
        <v>4030</v>
      </c>
      <c r="H7787" s="9">
        <v>28773</v>
      </c>
      <c r="I7787" s="14">
        <f>DATE(2012,12,31)-690</f>
        <v>40584</v>
      </c>
      <c r="J7787" s="15" t="s">
        <v>25</v>
      </c>
      <c r="K7787" s="9">
        <v>48</v>
      </c>
      <c r="L7787" s="16" t="s">
        <v>27</v>
      </c>
      <c r="M7787" s="16">
        <f t="shared" si="729"/>
        <v>1.5488909894803951</v>
      </c>
      <c r="N7787">
        <f t="shared" si="730"/>
        <v>0</v>
      </c>
      <c r="O7787">
        <f t="shared" si="731"/>
        <v>0</v>
      </c>
      <c r="P7787">
        <f t="shared" si="728"/>
        <v>5800</v>
      </c>
      <c r="Q7787">
        <f t="shared" si="732"/>
        <v>5800</v>
      </c>
      <c r="T7787" s="16">
        <f t="shared" si="733"/>
        <v>1.5488909894803948</v>
      </c>
    </row>
    <row r="7788" spans="7:20" ht="14.4" x14ac:dyDescent="0.25">
      <c r="G7788" s="10">
        <v>4323</v>
      </c>
      <c r="H7788" s="9">
        <v>30786</v>
      </c>
      <c r="I7788" s="14">
        <f>DATE(2012,12,31)-168</f>
        <v>41106</v>
      </c>
      <c r="J7788" s="15" t="s">
        <v>16</v>
      </c>
      <c r="K7788" s="9">
        <v>23</v>
      </c>
      <c r="L7788" s="16" t="s">
        <v>26</v>
      </c>
      <c r="M7788" s="16">
        <f t="shared" si="729"/>
        <v>-0.17760342600014073</v>
      </c>
      <c r="N7788">
        <f t="shared" si="730"/>
        <v>0</v>
      </c>
      <c r="O7788">
        <f t="shared" si="731"/>
        <v>0</v>
      </c>
      <c r="P7788">
        <f t="shared" si="728"/>
        <v>4550</v>
      </c>
      <c r="Q7788">
        <f t="shared" si="732"/>
        <v>4550</v>
      </c>
      <c r="T7788" s="16">
        <f t="shared" si="733"/>
        <v>-0.17760342600014112</v>
      </c>
    </row>
    <row r="7789" spans="7:20" ht="14.4" x14ac:dyDescent="0.25">
      <c r="G7789" s="10">
        <v>4324</v>
      </c>
      <c r="H7789" s="9">
        <v>30786</v>
      </c>
      <c r="I7789" s="14">
        <f>DATE(2012,12,31)-168</f>
        <v>41106</v>
      </c>
      <c r="J7789" s="15" t="s">
        <v>16</v>
      </c>
      <c r="K7789" s="9">
        <v>4</v>
      </c>
      <c r="L7789" s="16" t="s">
        <v>26</v>
      </c>
      <c r="M7789" s="16">
        <f t="shared" si="729"/>
        <v>-1.489739181765348</v>
      </c>
      <c r="N7789">
        <f t="shared" si="730"/>
        <v>0</v>
      </c>
      <c r="O7789">
        <f t="shared" si="731"/>
        <v>0</v>
      </c>
      <c r="P7789">
        <f t="shared" si="728"/>
        <v>3600</v>
      </c>
      <c r="Q7789">
        <f t="shared" si="732"/>
        <v>3600</v>
      </c>
      <c r="T7789" s="16">
        <f t="shared" si="733"/>
        <v>-1.4897391817653485</v>
      </c>
    </row>
    <row r="7790" spans="7:20" ht="14.4" x14ac:dyDescent="0.25">
      <c r="G7790" s="10">
        <v>4461</v>
      </c>
      <c r="H7790" s="9">
        <v>31809</v>
      </c>
      <c r="I7790" s="14">
        <f>DATE(2012,12,31)-887</f>
        <v>40387</v>
      </c>
      <c r="J7790" s="15" t="s">
        <v>17</v>
      </c>
      <c r="K7790" s="9">
        <v>1</v>
      </c>
      <c r="L7790" s="16" t="s">
        <v>26</v>
      </c>
      <c r="M7790" s="16">
        <f t="shared" si="729"/>
        <v>-1.6969185116230123</v>
      </c>
      <c r="N7790">
        <f t="shared" si="730"/>
        <v>0</v>
      </c>
      <c r="O7790">
        <f t="shared" si="731"/>
        <v>0</v>
      </c>
      <c r="P7790">
        <f t="shared" si="728"/>
        <v>3450</v>
      </c>
      <c r="Q7790">
        <f t="shared" si="732"/>
        <v>3450</v>
      </c>
      <c r="T7790" s="16">
        <f t="shared" si="733"/>
        <v>-1.6969185116230128</v>
      </c>
    </row>
    <row r="7791" spans="7:20" ht="14.4" x14ac:dyDescent="0.25">
      <c r="G7791" s="10">
        <v>4481</v>
      </c>
      <c r="H7791" s="9">
        <v>31878</v>
      </c>
      <c r="I7791" s="14">
        <f>DATE(2012,12,31)-379</f>
        <v>40895</v>
      </c>
      <c r="J7791" s="15" t="s">
        <v>16</v>
      </c>
      <c r="K7791" s="9">
        <v>14</v>
      </c>
      <c r="L7791" s="16" t="s">
        <v>26</v>
      </c>
      <c r="M7791" s="16">
        <f t="shared" si="729"/>
        <v>-0.79914141557313367</v>
      </c>
      <c r="N7791">
        <f t="shared" si="730"/>
        <v>0</v>
      </c>
      <c r="O7791">
        <f t="shared" si="731"/>
        <v>0</v>
      </c>
      <c r="P7791">
        <f t="shared" si="728"/>
        <v>4100</v>
      </c>
      <c r="Q7791">
        <f t="shared" si="732"/>
        <v>4100</v>
      </c>
      <c r="T7791" s="16">
        <f t="shared" si="733"/>
        <v>-0.79914141557313401</v>
      </c>
    </row>
    <row r="7792" spans="7:20" ht="14.4" x14ac:dyDescent="0.25">
      <c r="G7792" s="10">
        <v>4482</v>
      </c>
      <c r="H7792" s="9">
        <v>31878</v>
      </c>
      <c r="I7792" s="14">
        <f>DATE(2012,12,31)-379</f>
        <v>40895</v>
      </c>
      <c r="J7792" s="15" t="s">
        <v>16</v>
      </c>
      <c r="K7792" s="9">
        <v>42</v>
      </c>
      <c r="L7792" s="16" t="s">
        <v>27</v>
      </c>
      <c r="M7792" s="16">
        <f t="shared" si="729"/>
        <v>1.1345323297650665</v>
      </c>
      <c r="N7792">
        <f t="shared" si="730"/>
        <v>0</v>
      </c>
      <c r="O7792">
        <f t="shared" si="731"/>
        <v>0</v>
      </c>
      <c r="P7792">
        <f t="shared" si="728"/>
        <v>5500</v>
      </c>
      <c r="Q7792">
        <f t="shared" si="732"/>
        <v>5500</v>
      </c>
      <c r="T7792" s="16">
        <f t="shared" si="733"/>
        <v>1.1345323297650662</v>
      </c>
    </row>
    <row r="7793" spans="7:20" ht="14.4" x14ac:dyDescent="0.25">
      <c r="G7793" s="10">
        <v>4910</v>
      </c>
      <c r="H7793" s="9">
        <v>34976</v>
      </c>
      <c r="I7793" s="14">
        <f>DATE(2012,12,31)-37</f>
        <v>41237</v>
      </c>
      <c r="J7793" s="15" t="s">
        <v>16</v>
      </c>
      <c r="K7793" s="9">
        <v>45</v>
      </c>
      <c r="L7793" s="16" t="s">
        <v>29</v>
      </c>
      <c r="M7793" s="16">
        <f t="shared" si="729"/>
        <v>1.3417116596227308</v>
      </c>
      <c r="N7793">
        <f t="shared" si="730"/>
        <v>0</v>
      </c>
      <c r="O7793">
        <f t="shared" si="731"/>
        <v>0</v>
      </c>
      <c r="P7793">
        <f t="shared" si="728"/>
        <v>5650</v>
      </c>
      <c r="Q7793">
        <f t="shared" si="732"/>
        <v>5650</v>
      </c>
      <c r="T7793" s="16">
        <f t="shared" si="733"/>
        <v>1.3417116596227305</v>
      </c>
    </row>
    <row r="7794" spans="7:20" ht="14.4" x14ac:dyDescent="0.25">
      <c r="G7794" s="10">
        <v>4911</v>
      </c>
      <c r="H7794" s="9">
        <v>34976</v>
      </c>
      <c r="I7794" s="14">
        <f>DATE(2012,12,31)-37</f>
        <v>41237</v>
      </c>
      <c r="J7794" s="15" t="s">
        <v>16</v>
      </c>
      <c r="K7794" s="9">
        <v>29</v>
      </c>
      <c r="L7794" s="16" t="s">
        <v>26</v>
      </c>
      <c r="M7794" s="16">
        <f t="shared" si="729"/>
        <v>0.23675523371518786</v>
      </c>
      <c r="N7794">
        <f t="shared" si="730"/>
        <v>0</v>
      </c>
      <c r="O7794">
        <f t="shared" si="731"/>
        <v>0</v>
      </c>
      <c r="P7794">
        <f t="shared" si="728"/>
        <v>4850</v>
      </c>
      <c r="Q7794">
        <f t="shared" si="732"/>
        <v>4850</v>
      </c>
      <c r="T7794" s="16">
        <f t="shared" si="733"/>
        <v>0.2367552337151875</v>
      </c>
    </row>
    <row r="7795" spans="7:20" ht="14.4" x14ac:dyDescent="0.25">
      <c r="G7795" s="10">
        <v>4913</v>
      </c>
      <c r="H7795" s="9">
        <v>34979</v>
      </c>
      <c r="I7795" s="14">
        <f>DATE(2012,12,31)-825</f>
        <v>40449</v>
      </c>
      <c r="J7795" s="15" t="s">
        <v>30</v>
      </c>
      <c r="K7795" s="9">
        <v>15</v>
      </c>
      <c r="L7795" s="16" t="s">
        <v>27</v>
      </c>
      <c r="M7795" s="16">
        <f t="shared" si="729"/>
        <v>-0.7300816389539122</v>
      </c>
      <c r="N7795">
        <f t="shared" si="730"/>
        <v>0</v>
      </c>
      <c r="O7795">
        <f t="shared" si="731"/>
        <v>0</v>
      </c>
      <c r="P7795">
        <f t="shared" si="728"/>
        <v>4150</v>
      </c>
      <c r="Q7795">
        <f t="shared" si="732"/>
        <v>4150</v>
      </c>
      <c r="T7795" s="16">
        <f t="shared" si="733"/>
        <v>-0.73008163895391265</v>
      </c>
    </row>
    <row r="7796" spans="7:20" ht="14.4" x14ac:dyDescent="0.25">
      <c r="G7796" s="10">
        <v>4941</v>
      </c>
      <c r="H7796" s="9">
        <v>35139</v>
      </c>
      <c r="I7796" s="14">
        <f>DATE(2012,12,31)-1078</f>
        <v>40196</v>
      </c>
      <c r="J7796" s="15" t="s">
        <v>17</v>
      </c>
      <c r="K7796" s="9">
        <v>29</v>
      </c>
      <c r="L7796" s="16" t="s">
        <v>26</v>
      </c>
      <c r="M7796" s="16">
        <f t="shared" si="729"/>
        <v>0.23675523371518786</v>
      </c>
      <c r="N7796">
        <f t="shared" si="730"/>
        <v>0</v>
      </c>
      <c r="O7796">
        <f t="shared" si="731"/>
        <v>0</v>
      </c>
      <c r="P7796">
        <f t="shared" si="728"/>
        <v>4850</v>
      </c>
      <c r="Q7796">
        <f t="shared" si="732"/>
        <v>4850</v>
      </c>
      <c r="T7796" s="16">
        <f t="shared" si="733"/>
        <v>0.2367552337151875</v>
      </c>
    </row>
    <row r="7797" spans="7:20" ht="14.4" x14ac:dyDescent="0.25">
      <c r="G7797" s="10">
        <v>5132</v>
      </c>
      <c r="H7797" s="9">
        <v>36608</v>
      </c>
      <c r="I7797" s="14">
        <f>DATE(2012,12,31)-460</f>
        <v>40814</v>
      </c>
      <c r="J7797" s="15" t="s">
        <v>25</v>
      </c>
      <c r="K7797" s="9">
        <v>40</v>
      </c>
      <c r="L7797" s="16" t="s">
        <v>26</v>
      </c>
      <c r="M7797" s="16">
        <f t="shared" si="729"/>
        <v>0.99641277652662363</v>
      </c>
      <c r="N7797">
        <f t="shared" si="730"/>
        <v>0</v>
      </c>
      <c r="O7797">
        <f t="shared" si="731"/>
        <v>0</v>
      </c>
      <c r="P7797">
        <f t="shared" si="728"/>
        <v>5400</v>
      </c>
      <c r="Q7797">
        <f t="shared" si="732"/>
        <v>5400</v>
      </c>
      <c r="T7797" s="16">
        <f t="shared" si="733"/>
        <v>0.9964127765266233</v>
      </c>
    </row>
    <row r="7798" spans="7:20" ht="14.4" x14ac:dyDescent="0.25">
      <c r="G7798" s="10">
        <v>5133</v>
      </c>
      <c r="H7798" s="9">
        <v>36608</v>
      </c>
      <c r="I7798" s="14">
        <f>DATE(2012,12,31)-460</f>
        <v>40814</v>
      </c>
      <c r="J7798" s="15" t="s">
        <v>25</v>
      </c>
      <c r="K7798" s="9">
        <v>49</v>
      </c>
      <c r="L7798" s="16" t="s">
        <v>26</v>
      </c>
      <c r="M7798" s="16">
        <f t="shared" si="729"/>
        <v>1.6179507660996166</v>
      </c>
      <c r="N7798">
        <f t="shared" si="730"/>
        <v>0</v>
      </c>
      <c r="O7798">
        <f t="shared" si="731"/>
        <v>0</v>
      </c>
      <c r="P7798">
        <f t="shared" si="728"/>
        <v>5850</v>
      </c>
      <c r="Q7798">
        <f t="shared" si="732"/>
        <v>5850</v>
      </c>
      <c r="T7798" s="16">
        <f t="shared" si="733"/>
        <v>1.6179507660996162</v>
      </c>
    </row>
    <row r="7799" spans="7:20" ht="14.4" x14ac:dyDescent="0.25">
      <c r="G7799" s="10">
        <v>5204</v>
      </c>
      <c r="H7799" s="9">
        <v>36994</v>
      </c>
      <c r="I7799" s="14">
        <f>DATE(2012,12,31)-563</f>
        <v>40711</v>
      </c>
      <c r="J7799" s="15" t="s">
        <v>30</v>
      </c>
      <c r="K7799" s="9">
        <v>40</v>
      </c>
      <c r="L7799" s="16" t="s">
        <v>29</v>
      </c>
      <c r="M7799" s="16">
        <f t="shared" si="729"/>
        <v>0.99641277652662363</v>
      </c>
      <c r="N7799">
        <f t="shared" si="730"/>
        <v>0</v>
      </c>
      <c r="O7799">
        <f t="shared" si="731"/>
        <v>0</v>
      </c>
      <c r="P7799">
        <f t="shared" si="728"/>
        <v>5400</v>
      </c>
      <c r="Q7799">
        <f t="shared" si="732"/>
        <v>5400</v>
      </c>
      <c r="T7799" s="16">
        <f t="shared" si="733"/>
        <v>0.9964127765266233</v>
      </c>
    </row>
    <row r="7800" spans="7:20" ht="14.4" x14ac:dyDescent="0.25">
      <c r="G7800" s="10">
        <v>5484</v>
      </c>
      <c r="H7800" s="9">
        <v>38944</v>
      </c>
      <c r="I7800" s="14">
        <f>DATE(2012,12,31)-986</f>
        <v>40288</v>
      </c>
      <c r="J7800" s="15" t="s">
        <v>16</v>
      </c>
      <c r="K7800" s="9">
        <v>17</v>
      </c>
      <c r="L7800" s="16" t="s">
        <v>27</v>
      </c>
      <c r="M7800" s="16">
        <f t="shared" si="729"/>
        <v>-0.59196208571546938</v>
      </c>
      <c r="N7800">
        <f t="shared" si="730"/>
        <v>0</v>
      </c>
      <c r="O7800">
        <f t="shared" si="731"/>
        <v>0</v>
      </c>
      <c r="P7800">
        <f t="shared" si="728"/>
        <v>4250</v>
      </c>
      <c r="Q7800">
        <f t="shared" si="732"/>
        <v>4250</v>
      </c>
      <c r="T7800" s="16">
        <f t="shared" si="733"/>
        <v>-0.59196208571546971</v>
      </c>
    </row>
    <row r="7801" spans="7:20" ht="14.4" x14ac:dyDescent="0.25">
      <c r="G7801" s="10">
        <v>5485</v>
      </c>
      <c r="H7801" s="9">
        <v>38944</v>
      </c>
      <c r="I7801" s="14">
        <f>DATE(2012,12,31)-986</f>
        <v>40288</v>
      </c>
      <c r="J7801" s="15" t="s">
        <v>16</v>
      </c>
      <c r="K7801" s="9">
        <v>46</v>
      </c>
      <c r="L7801" s="16" t="s">
        <v>29</v>
      </c>
      <c r="M7801" s="16">
        <f t="shared" si="729"/>
        <v>1.4107714362419523</v>
      </c>
      <c r="N7801">
        <f t="shared" si="730"/>
        <v>0</v>
      </c>
      <c r="O7801">
        <f t="shared" si="731"/>
        <v>0</v>
      </c>
      <c r="P7801">
        <f t="shared" si="728"/>
        <v>5700</v>
      </c>
      <c r="Q7801">
        <f t="shared" si="732"/>
        <v>5700</v>
      </c>
      <c r="T7801" s="16">
        <f t="shared" si="733"/>
        <v>1.4107714362419519</v>
      </c>
    </row>
    <row r="7802" spans="7:20" ht="14.4" x14ac:dyDescent="0.25">
      <c r="G7802" s="10">
        <v>5486</v>
      </c>
      <c r="H7802" s="9">
        <v>38944</v>
      </c>
      <c r="I7802" s="14">
        <f>DATE(2012,12,31)-986</f>
        <v>40288</v>
      </c>
      <c r="J7802" s="15" t="s">
        <v>16</v>
      </c>
      <c r="K7802" s="9">
        <v>32</v>
      </c>
      <c r="L7802" s="16" t="s">
        <v>26</v>
      </c>
      <c r="M7802" s="16">
        <f t="shared" si="729"/>
        <v>0.44393456357285216</v>
      </c>
      <c r="N7802">
        <f t="shared" si="730"/>
        <v>0</v>
      </c>
      <c r="O7802">
        <f t="shared" si="731"/>
        <v>0</v>
      </c>
      <c r="P7802">
        <f t="shared" si="728"/>
        <v>5000</v>
      </c>
      <c r="Q7802">
        <f t="shared" si="732"/>
        <v>5000</v>
      </c>
      <c r="T7802" s="16">
        <f t="shared" si="733"/>
        <v>0.44393456357285183</v>
      </c>
    </row>
    <row r="7803" spans="7:20" ht="14.4" x14ac:dyDescent="0.25">
      <c r="G7803" s="10">
        <v>5510</v>
      </c>
      <c r="H7803" s="9">
        <v>39075</v>
      </c>
      <c r="I7803" s="14">
        <f>DATE(2012,12,31)-316</f>
        <v>40958</v>
      </c>
      <c r="J7803" s="15" t="s">
        <v>28</v>
      </c>
      <c r="K7803" s="9">
        <v>50</v>
      </c>
      <c r="L7803" s="16" t="s">
        <v>26</v>
      </c>
      <c r="M7803" s="16">
        <f t="shared" si="729"/>
        <v>1.687010542718838</v>
      </c>
      <c r="N7803">
        <f t="shared" si="730"/>
        <v>0</v>
      </c>
      <c r="O7803">
        <f t="shared" si="731"/>
        <v>0</v>
      </c>
      <c r="P7803">
        <f t="shared" si="728"/>
        <v>5900</v>
      </c>
      <c r="Q7803">
        <f t="shared" si="732"/>
        <v>5900</v>
      </c>
      <c r="T7803" s="16">
        <f t="shared" si="733"/>
        <v>1.6870105427188375</v>
      </c>
    </row>
    <row r="7804" spans="7:20" ht="14.4" x14ac:dyDescent="0.25">
      <c r="G7804" s="10">
        <v>5566</v>
      </c>
      <c r="H7804" s="9">
        <v>39425</v>
      </c>
      <c r="I7804" s="14">
        <f>DATE(2012,12,31)-137</f>
        <v>41137</v>
      </c>
      <c r="J7804" s="15" t="s">
        <v>30</v>
      </c>
      <c r="K7804" s="9">
        <v>23</v>
      </c>
      <c r="L7804" s="16" t="s">
        <v>27</v>
      </c>
      <c r="M7804" s="16">
        <f t="shared" si="729"/>
        <v>-0.17760342600014073</v>
      </c>
      <c r="N7804">
        <f t="shared" si="730"/>
        <v>0</v>
      </c>
      <c r="O7804">
        <f t="shared" si="731"/>
        <v>0</v>
      </c>
      <c r="P7804">
        <f t="shared" si="728"/>
        <v>4550</v>
      </c>
      <c r="Q7804">
        <f t="shared" si="732"/>
        <v>4550</v>
      </c>
      <c r="T7804" s="16">
        <f t="shared" si="733"/>
        <v>-0.17760342600014112</v>
      </c>
    </row>
    <row r="7805" spans="7:20" ht="14.4" x14ac:dyDescent="0.25">
      <c r="G7805" s="10">
        <v>5911</v>
      </c>
      <c r="H7805" s="9">
        <v>41921</v>
      </c>
      <c r="I7805" s="14">
        <f>DATE(2012,12,31)-312</f>
        <v>40962</v>
      </c>
      <c r="J7805" s="15" t="s">
        <v>16</v>
      </c>
      <c r="K7805" s="9">
        <v>32</v>
      </c>
      <c r="L7805" s="16" t="s">
        <v>29</v>
      </c>
      <c r="M7805" s="16">
        <f t="shared" si="729"/>
        <v>0.44393456357285216</v>
      </c>
      <c r="N7805">
        <f t="shared" si="730"/>
        <v>0</v>
      </c>
      <c r="O7805">
        <f t="shared" si="731"/>
        <v>0</v>
      </c>
      <c r="P7805">
        <f t="shared" si="728"/>
        <v>5000</v>
      </c>
      <c r="Q7805">
        <f t="shared" si="732"/>
        <v>5000</v>
      </c>
      <c r="T7805" s="16">
        <f t="shared" si="733"/>
        <v>0.44393456357285183</v>
      </c>
    </row>
    <row r="7806" spans="7:20" ht="14.4" x14ac:dyDescent="0.25">
      <c r="G7806" s="10">
        <v>5912</v>
      </c>
      <c r="H7806" s="9">
        <v>41921</v>
      </c>
      <c r="I7806" s="14">
        <f>DATE(2012,12,31)-312</f>
        <v>40962</v>
      </c>
      <c r="J7806" s="15" t="s">
        <v>16</v>
      </c>
      <c r="K7806" s="9">
        <v>29</v>
      </c>
      <c r="L7806" s="16" t="s">
        <v>26</v>
      </c>
      <c r="M7806" s="16">
        <f t="shared" si="729"/>
        <v>0.23675523371518786</v>
      </c>
      <c r="N7806">
        <f t="shared" si="730"/>
        <v>0</v>
      </c>
      <c r="O7806">
        <f t="shared" si="731"/>
        <v>0</v>
      </c>
      <c r="P7806">
        <f t="shared" si="728"/>
        <v>4850</v>
      </c>
      <c r="Q7806">
        <f t="shared" si="732"/>
        <v>4850</v>
      </c>
      <c r="T7806" s="16">
        <f t="shared" si="733"/>
        <v>0.2367552337151875</v>
      </c>
    </row>
    <row r="7807" spans="7:20" ht="14.4" x14ac:dyDescent="0.25">
      <c r="G7807" s="10">
        <v>6060</v>
      </c>
      <c r="H7807" s="9">
        <v>42945</v>
      </c>
      <c r="I7807" s="14">
        <f>DATE(2012,12,31)-2</f>
        <v>41272</v>
      </c>
      <c r="J7807" s="15" t="s">
        <v>28</v>
      </c>
      <c r="K7807" s="9">
        <v>45</v>
      </c>
      <c r="L7807" s="16" t="s">
        <v>26</v>
      </c>
      <c r="M7807" s="16">
        <f t="shared" si="729"/>
        <v>1.3417116596227308</v>
      </c>
      <c r="N7807">
        <f t="shared" si="730"/>
        <v>0</v>
      </c>
      <c r="O7807">
        <f t="shared" si="731"/>
        <v>0</v>
      </c>
      <c r="P7807">
        <f t="shared" si="728"/>
        <v>5650</v>
      </c>
      <c r="Q7807">
        <f t="shared" si="732"/>
        <v>5650</v>
      </c>
      <c r="T7807" s="16">
        <f t="shared" si="733"/>
        <v>1.3417116596227305</v>
      </c>
    </row>
    <row r="7808" spans="7:20" ht="14.4" x14ac:dyDescent="0.25">
      <c r="G7808" s="10">
        <v>6072</v>
      </c>
      <c r="H7808" s="9">
        <v>43013</v>
      </c>
      <c r="I7808" s="14">
        <f>DATE(2012,12,31)-619</f>
        <v>40655</v>
      </c>
      <c r="J7808" s="15" t="s">
        <v>25</v>
      </c>
      <c r="K7808" s="9">
        <v>50</v>
      </c>
      <c r="L7808" s="16" t="s">
        <v>29</v>
      </c>
      <c r="M7808" s="16">
        <f t="shared" si="729"/>
        <v>1.687010542718838</v>
      </c>
      <c r="N7808">
        <f t="shared" si="730"/>
        <v>0</v>
      </c>
      <c r="O7808">
        <f t="shared" si="731"/>
        <v>0</v>
      </c>
      <c r="P7808">
        <f t="shared" si="728"/>
        <v>5900</v>
      </c>
      <c r="Q7808">
        <f t="shared" si="732"/>
        <v>5900</v>
      </c>
      <c r="T7808" s="16">
        <f t="shared" si="733"/>
        <v>1.6870105427188375</v>
      </c>
    </row>
    <row r="7809" spans="7:20" ht="14.4" x14ac:dyDescent="0.25">
      <c r="G7809" s="10">
        <v>6081</v>
      </c>
      <c r="H7809" s="9">
        <v>43104</v>
      </c>
      <c r="I7809" s="14">
        <f>DATE(2012,12,31)-64</f>
        <v>41210</v>
      </c>
      <c r="J7809" s="15" t="s">
        <v>17</v>
      </c>
      <c r="K7809" s="9">
        <v>50</v>
      </c>
      <c r="L7809" s="16" t="s">
        <v>27</v>
      </c>
      <c r="M7809" s="16">
        <f t="shared" si="729"/>
        <v>1.687010542718838</v>
      </c>
      <c r="N7809">
        <f t="shared" si="730"/>
        <v>0</v>
      </c>
      <c r="O7809">
        <f t="shared" si="731"/>
        <v>0</v>
      </c>
      <c r="P7809">
        <f t="shared" si="728"/>
        <v>5900</v>
      </c>
      <c r="Q7809">
        <f t="shared" si="732"/>
        <v>5900</v>
      </c>
      <c r="T7809" s="16">
        <f t="shared" si="733"/>
        <v>1.6870105427188375</v>
      </c>
    </row>
    <row r="7810" spans="7:20" ht="14.4" x14ac:dyDescent="0.25">
      <c r="G7810" s="10">
        <v>6113</v>
      </c>
      <c r="H7810" s="9">
        <v>43301</v>
      </c>
      <c r="I7810" s="14">
        <f>DATE(2012,12,31)-1228</f>
        <v>40046</v>
      </c>
      <c r="J7810" s="15" t="s">
        <v>30</v>
      </c>
      <c r="K7810" s="9">
        <v>33</v>
      </c>
      <c r="L7810" s="16" t="s">
        <v>29</v>
      </c>
      <c r="M7810" s="16">
        <f t="shared" si="729"/>
        <v>0.51299434019207357</v>
      </c>
      <c r="N7810">
        <f t="shared" si="730"/>
        <v>0</v>
      </c>
      <c r="O7810">
        <f t="shared" si="731"/>
        <v>0</v>
      </c>
      <c r="P7810">
        <f t="shared" si="728"/>
        <v>5050</v>
      </c>
      <c r="Q7810">
        <f t="shared" si="732"/>
        <v>5050</v>
      </c>
      <c r="T7810" s="16">
        <f t="shared" si="733"/>
        <v>0.51299434019207324</v>
      </c>
    </row>
    <row r="7811" spans="7:20" ht="14.4" x14ac:dyDescent="0.25">
      <c r="G7811" s="10">
        <v>6114</v>
      </c>
      <c r="H7811" s="9">
        <v>43301</v>
      </c>
      <c r="I7811" s="14">
        <f>DATE(2012,12,31)-1228</f>
        <v>40046</v>
      </c>
      <c r="J7811" s="15" t="s">
        <v>30</v>
      </c>
      <c r="K7811" s="9">
        <v>43</v>
      </c>
      <c r="L7811" s="16" t="s">
        <v>26</v>
      </c>
      <c r="M7811" s="16">
        <f t="shared" si="729"/>
        <v>1.203592106384288</v>
      </c>
      <c r="N7811">
        <f t="shared" si="730"/>
        <v>0</v>
      </c>
      <c r="O7811">
        <f t="shared" si="731"/>
        <v>0</v>
      </c>
      <c r="P7811">
        <f t="shared" si="728"/>
        <v>5550</v>
      </c>
      <c r="Q7811">
        <f t="shared" si="732"/>
        <v>5550</v>
      </c>
      <c r="T7811" s="16">
        <f t="shared" si="733"/>
        <v>1.2035921063842876</v>
      </c>
    </row>
    <row r="7812" spans="7:20" ht="14.4" x14ac:dyDescent="0.25">
      <c r="G7812" s="10">
        <v>6337</v>
      </c>
      <c r="H7812" s="9">
        <v>44935</v>
      </c>
      <c r="I7812" s="14">
        <f>DATE(2012,12,31)-775</f>
        <v>40499</v>
      </c>
      <c r="J7812" s="15" t="s">
        <v>17</v>
      </c>
      <c r="K7812" s="9">
        <v>39</v>
      </c>
      <c r="L7812" s="16" t="s">
        <v>26</v>
      </c>
      <c r="M7812" s="16">
        <f t="shared" si="729"/>
        <v>0.92735299990740228</v>
      </c>
      <c r="N7812">
        <f t="shared" si="730"/>
        <v>0</v>
      </c>
      <c r="O7812">
        <f t="shared" si="731"/>
        <v>0</v>
      </c>
      <c r="P7812">
        <f t="shared" si="728"/>
        <v>5350</v>
      </c>
      <c r="Q7812">
        <f t="shared" si="732"/>
        <v>5350</v>
      </c>
      <c r="T7812" s="16">
        <f t="shared" si="733"/>
        <v>0.92735299990740183</v>
      </c>
    </row>
    <row r="7813" spans="7:20" ht="14.4" x14ac:dyDescent="0.25">
      <c r="G7813" s="10">
        <v>6338</v>
      </c>
      <c r="H7813" s="9">
        <v>44935</v>
      </c>
      <c r="I7813" s="14">
        <f>DATE(2012,12,31)-775</f>
        <v>40499</v>
      </c>
      <c r="J7813" s="15" t="s">
        <v>17</v>
      </c>
      <c r="K7813" s="9">
        <v>37</v>
      </c>
      <c r="L7813" s="16" t="s">
        <v>26</v>
      </c>
      <c r="M7813" s="16">
        <f t="shared" si="729"/>
        <v>0.78923344666895934</v>
      </c>
      <c r="N7813">
        <f t="shared" si="730"/>
        <v>0</v>
      </c>
      <c r="O7813">
        <f t="shared" si="731"/>
        <v>0</v>
      </c>
      <c r="P7813">
        <f t="shared" si="728"/>
        <v>5250</v>
      </c>
      <c r="Q7813">
        <f t="shared" si="732"/>
        <v>5250</v>
      </c>
      <c r="T7813" s="16">
        <f t="shared" si="733"/>
        <v>0.789233446668959</v>
      </c>
    </row>
    <row r="7814" spans="7:20" ht="14.4" x14ac:dyDescent="0.25">
      <c r="G7814" s="10">
        <v>6348</v>
      </c>
      <c r="H7814" s="9">
        <v>44995</v>
      </c>
      <c r="I7814" s="14">
        <f>DATE(2012,12,31)-1243</f>
        <v>40031</v>
      </c>
      <c r="J7814" s="15" t="s">
        <v>17</v>
      </c>
      <c r="K7814" s="9">
        <v>46</v>
      </c>
      <c r="L7814" s="16" t="s">
        <v>27</v>
      </c>
      <c r="M7814" s="16">
        <f t="shared" si="729"/>
        <v>1.4107714362419523</v>
      </c>
      <c r="N7814">
        <f t="shared" si="730"/>
        <v>0</v>
      </c>
      <c r="O7814">
        <f t="shared" si="731"/>
        <v>0</v>
      </c>
      <c r="P7814">
        <f t="shared" si="728"/>
        <v>5700</v>
      </c>
      <c r="Q7814">
        <f t="shared" si="732"/>
        <v>5700</v>
      </c>
      <c r="T7814" s="16">
        <f t="shared" si="733"/>
        <v>1.4107714362419519</v>
      </c>
    </row>
    <row r="7815" spans="7:20" ht="14.4" x14ac:dyDescent="0.25">
      <c r="G7815" s="10">
        <v>6460</v>
      </c>
      <c r="H7815" s="9">
        <v>45989</v>
      </c>
      <c r="I7815" s="14">
        <f>DATE(2012,12,31)-861</f>
        <v>40413</v>
      </c>
      <c r="J7815" s="15" t="s">
        <v>17</v>
      </c>
      <c r="K7815" s="9">
        <v>26</v>
      </c>
      <c r="L7815" s="16" t="s">
        <v>26</v>
      </c>
      <c r="M7815" s="16">
        <f t="shared" si="729"/>
        <v>2.9575903857523567E-2</v>
      </c>
      <c r="N7815">
        <f t="shared" si="730"/>
        <v>0</v>
      </c>
      <c r="O7815">
        <f t="shared" si="731"/>
        <v>0</v>
      </c>
      <c r="P7815">
        <f t="shared" si="728"/>
        <v>4700</v>
      </c>
      <c r="Q7815">
        <f t="shared" si="732"/>
        <v>4700</v>
      </c>
      <c r="T7815" s="16">
        <f t="shared" si="733"/>
        <v>2.9575903857523185E-2</v>
      </c>
    </row>
    <row r="7816" spans="7:20" ht="14.4" x14ac:dyDescent="0.25">
      <c r="G7816" s="10">
        <v>6963</v>
      </c>
      <c r="H7816" s="9">
        <v>49767</v>
      </c>
      <c r="I7816" s="14">
        <f>DATE(2012,12,31)-784</f>
        <v>40490</v>
      </c>
      <c r="J7816" s="15" t="s">
        <v>30</v>
      </c>
      <c r="K7816" s="9">
        <v>43</v>
      </c>
      <c r="L7816" s="16" t="s">
        <v>26</v>
      </c>
      <c r="M7816" s="16">
        <f t="shared" si="729"/>
        <v>1.203592106384288</v>
      </c>
      <c r="N7816">
        <f t="shared" si="730"/>
        <v>0</v>
      </c>
      <c r="O7816">
        <f t="shared" si="731"/>
        <v>0</v>
      </c>
      <c r="P7816">
        <f t="shared" si="728"/>
        <v>5550</v>
      </c>
      <c r="Q7816">
        <f t="shared" si="732"/>
        <v>5550</v>
      </c>
      <c r="T7816" s="16">
        <f t="shared" si="733"/>
        <v>1.2035921063842876</v>
      </c>
    </row>
    <row r="7817" spans="7:20" ht="14.4" x14ac:dyDescent="0.25">
      <c r="G7817" s="10">
        <v>6964</v>
      </c>
      <c r="H7817" s="9">
        <v>49767</v>
      </c>
      <c r="I7817" s="14">
        <f>DATE(2012,12,31)-784</f>
        <v>40490</v>
      </c>
      <c r="J7817" s="15" t="s">
        <v>30</v>
      </c>
      <c r="K7817" s="9">
        <v>39</v>
      </c>
      <c r="L7817" s="16" t="s">
        <v>27</v>
      </c>
      <c r="M7817" s="16">
        <f t="shared" si="729"/>
        <v>0.92735299990740228</v>
      </c>
      <c r="N7817">
        <f t="shared" si="730"/>
        <v>0</v>
      </c>
      <c r="O7817">
        <f t="shared" si="731"/>
        <v>0</v>
      </c>
      <c r="P7817">
        <f t="shared" si="728"/>
        <v>5350</v>
      </c>
      <c r="Q7817">
        <f t="shared" si="732"/>
        <v>5350</v>
      </c>
      <c r="T7817" s="16">
        <f t="shared" si="733"/>
        <v>0.92735299990740183</v>
      </c>
    </row>
    <row r="7818" spans="7:20" ht="14.4" x14ac:dyDescent="0.25">
      <c r="G7818" s="10">
        <v>6965</v>
      </c>
      <c r="H7818" s="9">
        <v>49767</v>
      </c>
      <c r="I7818" s="14">
        <f>DATE(2012,12,31)-784</f>
        <v>40490</v>
      </c>
      <c r="J7818" s="15" t="s">
        <v>30</v>
      </c>
      <c r="K7818" s="9">
        <v>7</v>
      </c>
      <c r="L7818" s="16" t="s">
        <v>26</v>
      </c>
      <c r="M7818" s="16">
        <f t="shared" si="729"/>
        <v>-1.2825598519076837</v>
      </c>
      <c r="N7818">
        <f t="shared" si="730"/>
        <v>0</v>
      </c>
      <c r="O7818">
        <f t="shared" si="731"/>
        <v>0</v>
      </c>
      <c r="P7818">
        <f t="shared" si="728"/>
        <v>3750</v>
      </c>
      <c r="Q7818">
        <f t="shared" si="732"/>
        <v>3750</v>
      </c>
      <c r="T7818" s="16">
        <f t="shared" si="733"/>
        <v>-1.2825598519076842</v>
      </c>
    </row>
    <row r="7819" spans="7:20" ht="14.4" x14ac:dyDescent="0.25">
      <c r="G7819" s="10">
        <v>7181</v>
      </c>
      <c r="H7819" s="9">
        <v>51239</v>
      </c>
      <c r="I7819" s="14">
        <f>DATE(2012,12,31)-312</f>
        <v>40962</v>
      </c>
      <c r="J7819" s="15" t="s">
        <v>25</v>
      </c>
      <c r="K7819" s="9">
        <v>48</v>
      </c>
      <c r="L7819" s="16" t="s">
        <v>29</v>
      </c>
      <c r="M7819" s="16">
        <f t="shared" si="729"/>
        <v>1.5488909894803951</v>
      </c>
      <c r="N7819">
        <f t="shared" si="730"/>
        <v>0</v>
      </c>
      <c r="O7819">
        <f t="shared" si="731"/>
        <v>0</v>
      </c>
      <c r="P7819">
        <f t="shared" si="728"/>
        <v>5800</v>
      </c>
      <c r="Q7819">
        <f t="shared" si="732"/>
        <v>5800</v>
      </c>
      <c r="T7819" s="16">
        <f t="shared" si="733"/>
        <v>1.5488909894803948</v>
      </c>
    </row>
    <row r="7820" spans="7:20" ht="14.4" x14ac:dyDescent="0.25">
      <c r="G7820" s="10">
        <v>7187</v>
      </c>
      <c r="H7820" s="9">
        <v>51269</v>
      </c>
      <c r="I7820" s="14">
        <f>DATE(2012,12,31)-354</f>
        <v>40920</v>
      </c>
      <c r="J7820" s="15" t="s">
        <v>17</v>
      </c>
      <c r="K7820" s="9">
        <v>2</v>
      </c>
      <c r="L7820" s="16" t="s">
        <v>26</v>
      </c>
      <c r="M7820" s="16">
        <f t="shared" si="729"/>
        <v>-1.627858735003791</v>
      </c>
      <c r="N7820">
        <f t="shared" si="730"/>
        <v>0</v>
      </c>
      <c r="O7820">
        <f t="shared" si="731"/>
        <v>0</v>
      </c>
      <c r="P7820">
        <f t="shared" ref="P7820:P7883" si="734">50*K7820+$P$10</f>
        <v>3500</v>
      </c>
      <c r="Q7820">
        <f t="shared" si="732"/>
        <v>3500</v>
      </c>
      <c r="T7820" s="16">
        <f t="shared" si="733"/>
        <v>-1.6278587350037912</v>
      </c>
    </row>
    <row r="7821" spans="7:20" ht="14.4" x14ac:dyDescent="0.25">
      <c r="G7821" s="10">
        <v>7188</v>
      </c>
      <c r="H7821" s="9">
        <v>51269</v>
      </c>
      <c r="I7821" s="14">
        <f>DATE(2012,12,31)-354</f>
        <v>40920</v>
      </c>
      <c r="J7821" s="15" t="s">
        <v>30</v>
      </c>
      <c r="K7821" s="9">
        <v>20</v>
      </c>
      <c r="L7821" s="16" t="s">
        <v>29</v>
      </c>
      <c r="M7821" s="16">
        <f t="shared" ref="M7821:M7884" si="735">(K7821-$K$4)/$K$7</f>
        <v>-0.38478275585780503</v>
      </c>
      <c r="N7821">
        <f t="shared" ref="N7821:N7884" si="736">IF(MOD($B$20+G7821,1000)=0,1,0)</f>
        <v>0</v>
      </c>
      <c r="O7821">
        <f t="shared" ref="O7821:O7884" si="737">+ROUND(N7821*(IF(K7821&lt;$K$4,-4.5,10.5)*$P$5),-2)</f>
        <v>0</v>
      </c>
      <c r="P7821">
        <f t="shared" si="734"/>
        <v>4400</v>
      </c>
      <c r="Q7821">
        <f t="shared" ref="Q7821:Q7884" si="738">P7821+O7821</f>
        <v>4400</v>
      </c>
      <c r="T7821" s="16">
        <f t="shared" ref="T7821:T7884" si="739">(Q7821-$P$4)/$P$5</f>
        <v>-0.38478275585780541</v>
      </c>
    </row>
    <row r="7822" spans="7:20" ht="14.4" x14ac:dyDescent="0.25">
      <c r="G7822" s="10">
        <v>7560</v>
      </c>
      <c r="H7822" s="9">
        <v>54084</v>
      </c>
      <c r="I7822" s="14">
        <f>DATE(2012,12,31)-478</f>
        <v>40796</v>
      </c>
      <c r="J7822" s="15" t="s">
        <v>30</v>
      </c>
      <c r="K7822" s="9">
        <v>3</v>
      </c>
      <c r="L7822" s="16" t="s">
        <v>29</v>
      </c>
      <c r="M7822" s="16">
        <f t="shared" si="735"/>
        <v>-1.5587989583845694</v>
      </c>
      <c r="N7822">
        <f t="shared" si="736"/>
        <v>0</v>
      </c>
      <c r="O7822">
        <f t="shared" si="737"/>
        <v>0</v>
      </c>
      <c r="P7822">
        <f t="shared" si="734"/>
        <v>3550</v>
      </c>
      <c r="Q7822">
        <f t="shared" si="738"/>
        <v>3550</v>
      </c>
      <c r="T7822" s="16">
        <f t="shared" si="739"/>
        <v>-1.5587989583845698</v>
      </c>
    </row>
    <row r="7823" spans="7:20" ht="14.4" x14ac:dyDescent="0.25">
      <c r="G7823" s="10">
        <v>7588</v>
      </c>
      <c r="H7823" s="9">
        <v>54307</v>
      </c>
      <c r="I7823" s="14">
        <f>DATE(2012,12,31)-358</f>
        <v>40916</v>
      </c>
      <c r="J7823" s="15" t="s">
        <v>17</v>
      </c>
      <c r="K7823" s="9">
        <v>15</v>
      </c>
      <c r="L7823" s="16" t="s">
        <v>29</v>
      </c>
      <c r="M7823" s="16">
        <f t="shared" si="735"/>
        <v>-0.7300816389539122</v>
      </c>
      <c r="N7823">
        <f t="shared" si="736"/>
        <v>0</v>
      </c>
      <c r="O7823">
        <f t="shared" si="737"/>
        <v>0</v>
      </c>
      <c r="P7823">
        <f t="shared" si="734"/>
        <v>4150</v>
      </c>
      <c r="Q7823">
        <f t="shared" si="738"/>
        <v>4150</v>
      </c>
      <c r="T7823" s="16">
        <f t="shared" si="739"/>
        <v>-0.73008163895391265</v>
      </c>
    </row>
    <row r="7824" spans="7:20" ht="14.4" x14ac:dyDescent="0.25">
      <c r="G7824" s="10">
        <v>7589</v>
      </c>
      <c r="H7824" s="9">
        <v>54307</v>
      </c>
      <c r="I7824" s="14">
        <f>DATE(2012,12,31)-358</f>
        <v>40916</v>
      </c>
      <c r="J7824" s="15" t="s">
        <v>17</v>
      </c>
      <c r="K7824" s="9">
        <v>14</v>
      </c>
      <c r="L7824" s="16" t="s">
        <v>29</v>
      </c>
      <c r="M7824" s="16">
        <f t="shared" si="735"/>
        <v>-0.79914141557313367</v>
      </c>
      <c r="N7824">
        <f t="shared" si="736"/>
        <v>0</v>
      </c>
      <c r="O7824">
        <f t="shared" si="737"/>
        <v>0</v>
      </c>
      <c r="P7824">
        <f t="shared" si="734"/>
        <v>4100</v>
      </c>
      <c r="Q7824">
        <f t="shared" si="738"/>
        <v>4100</v>
      </c>
      <c r="T7824" s="16">
        <f t="shared" si="739"/>
        <v>-0.79914141557313401</v>
      </c>
    </row>
    <row r="7825" spans="7:20" ht="14.4" x14ac:dyDescent="0.25">
      <c r="G7825" s="10">
        <v>7675</v>
      </c>
      <c r="H7825" s="9">
        <v>55014</v>
      </c>
      <c r="I7825" s="14">
        <f>DATE(2012,12,31)-791</f>
        <v>40483</v>
      </c>
      <c r="J7825" s="15" t="s">
        <v>17</v>
      </c>
      <c r="K7825" s="9">
        <v>38</v>
      </c>
      <c r="L7825" s="16" t="s">
        <v>26</v>
      </c>
      <c r="M7825" s="16">
        <f t="shared" si="735"/>
        <v>0.85829322328818081</v>
      </c>
      <c r="N7825">
        <f t="shared" si="736"/>
        <v>0</v>
      </c>
      <c r="O7825">
        <f t="shared" si="737"/>
        <v>0</v>
      </c>
      <c r="P7825">
        <f t="shared" si="734"/>
        <v>5300</v>
      </c>
      <c r="Q7825">
        <f t="shared" si="738"/>
        <v>5300</v>
      </c>
      <c r="T7825" s="16">
        <f t="shared" si="739"/>
        <v>0.85829322328818036</v>
      </c>
    </row>
    <row r="7826" spans="7:20" ht="14.4" x14ac:dyDescent="0.25">
      <c r="G7826" s="10">
        <v>7805</v>
      </c>
      <c r="H7826" s="9">
        <v>55845</v>
      </c>
      <c r="I7826" s="14">
        <f>DATE(2012,12,31)-529</f>
        <v>40745</v>
      </c>
      <c r="J7826" s="15" t="s">
        <v>25</v>
      </c>
      <c r="K7826" s="9">
        <v>29</v>
      </c>
      <c r="L7826" s="16" t="s">
        <v>29</v>
      </c>
      <c r="M7826" s="16">
        <f t="shared" si="735"/>
        <v>0.23675523371518786</v>
      </c>
      <c r="N7826">
        <f t="shared" si="736"/>
        <v>0</v>
      </c>
      <c r="O7826">
        <f t="shared" si="737"/>
        <v>0</v>
      </c>
      <c r="P7826">
        <f t="shared" si="734"/>
        <v>4850</v>
      </c>
      <c r="Q7826">
        <f t="shared" si="738"/>
        <v>4850</v>
      </c>
      <c r="T7826" s="16">
        <f t="shared" si="739"/>
        <v>0.2367552337151875</v>
      </c>
    </row>
    <row r="7827" spans="7:20" ht="14.4" x14ac:dyDescent="0.25">
      <c r="G7827" s="10">
        <v>7806</v>
      </c>
      <c r="H7827" s="9">
        <v>55846</v>
      </c>
      <c r="I7827" s="14">
        <f>DATE(2012,12,31)-1260</f>
        <v>40014</v>
      </c>
      <c r="J7827" s="15" t="s">
        <v>28</v>
      </c>
      <c r="K7827" s="9">
        <v>30</v>
      </c>
      <c r="L7827" s="16" t="s">
        <v>26</v>
      </c>
      <c r="M7827" s="16">
        <f t="shared" si="735"/>
        <v>0.30581501033440933</v>
      </c>
      <c r="N7827">
        <f t="shared" si="736"/>
        <v>0</v>
      </c>
      <c r="O7827">
        <f t="shared" si="737"/>
        <v>0</v>
      </c>
      <c r="P7827">
        <f t="shared" si="734"/>
        <v>4900</v>
      </c>
      <c r="Q7827">
        <f t="shared" si="738"/>
        <v>4900</v>
      </c>
      <c r="T7827" s="16">
        <f t="shared" si="739"/>
        <v>0.30581501033440894</v>
      </c>
    </row>
    <row r="7828" spans="7:20" ht="14.4" x14ac:dyDescent="0.25">
      <c r="G7828" s="10">
        <v>7982</v>
      </c>
      <c r="H7828" s="9">
        <v>57063</v>
      </c>
      <c r="I7828" s="14">
        <f>DATE(2012,12,31)-578</f>
        <v>40696</v>
      </c>
      <c r="J7828" s="15" t="s">
        <v>16</v>
      </c>
      <c r="K7828" s="9">
        <v>26</v>
      </c>
      <c r="L7828" s="16" t="s">
        <v>26</v>
      </c>
      <c r="M7828" s="16">
        <f t="shared" si="735"/>
        <v>2.9575903857523567E-2</v>
      </c>
      <c r="N7828">
        <f t="shared" si="736"/>
        <v>0</v>
      </c>
      <c r="O7828">
        <f t="shared" si="737"/>
        <v>0</v>
      </c>
      <c r="P7828">
        <f t="shared" si="734"/>
        <v>4700</v>
      </c>
      <c r="Q7828">
        <f t="shared" si="738"/>
        <v>4700</v>
      </c>
      <c r="T7828" s="16">
        <f t="shared" si="739"/>
        <v>2.9575903857523185E-2</v>
      </c>
    </row>
    <row r="7829" spans="7:20" ht="14.4" x14ac:dyDescent="0.25">
      <c r="G7829" s="10">
        <v>7983</v>
      </c>
      <c r="H7829" s="9">
        <v>57063</v>
      </c>
      <c r="I7829" s="14">
        <f>DATE(2012,12,31)-578</f>
        <v>40696</v>
      </c>
      <c r="J7829" s="15" t="s">
        <v>16</v>
      </c>
      <c r="K7829" s="9">
        <v>22</v>
      </c>
      <c r="L7829" s="16" t="s">
        <v>26</v>
      </c>
      <c r="M7829" s="16">
        <f t="shared" si="735"/>
        <v>-0.24666320261936217</v>
      </c>
      <c r="N7829">
        <f t="shared" si="736"/>
        <v>0</v>
      </c>
      <c r="O7829">
        <f t="shared" si="737"/>
        <v>0</v>
      </c>
      <c r="P7829">
        <f t="shared" si="734"/>
        <v>4500</v>
      </c>
      <c r="Q7829">
        <f t="shared" si="738"/>
        <v>4500</v>
      </c>
      <c r="T7829" s="16">
        <f t="shared" si="739"/>
        <v>-0.24666320261936256</v>
      </c>
    </row>
    <row r="7830" spans="7:20" ht="14.4" x14ac:dyDescent="0.25">
      <c r="G7830" s="10">
        <v>7986</v>
      </c>
      <c r="H7830" s="9">
        <v>57093</v>
      </c>
      <c r="I7830" s="14">
        <f>DATE(2012,12,31)-243</f>
        <v>41031</v>
      </c>
      <c r="J7830" s="15" t="s">
        <v>25</v>
      </c>
      <c r="K7830" s="9">
        <v>3</v>
      </c>
      <c r="L7830" s="16" t="s">
        <v>26</v>
      </c>
      <c r="M7830" s="16">
        <f t="shared" si="735"/>
        <v>-1.5587989583845694</v>
      </c>
      <c r="N7830">
        <f t="shared" si="736"/>
        <v>0</v>
      </c>
      <c r="O7830">
        <f t="shared" si="737"/>
        <v>0</v>
      </c>
      <c r="P7830">
        <f t="shared" si="734"/>
        <v>3550</v>
      </c>
      <c r="Q7830">
        <f t="shared" si="738"/>
        <v>3550</v>
      </c>
      <c r="T7830" s="16">
        <f t="shared" si="739"/>
        <v>-1.5587989583845698</v>
      </c>
    </row>
    <row r="7831" spans="7:20" ht="14.4" x14ac:dyDescent="0.25">
      <c r="G7831" s="10">
        <v>7987</v>
      </c>
      <c r="H7831" s="9">
        <v>57093</v>
      </c>
      <c r="I7831" s="14">
        <f>DATE(2012,12,31)-243</f>
        <v>41031</v>
      </c>
      <c r="J7831" s="15" t="s">
        <v>25</v>
      </c>
      <c r="K7831" s="9">
        <v>47</v>
      </c>
      <c r="L7831" s="16" t="s">
        <v>26</v>
      </c>
      <c r="M7831" s="16">
        <f t="shared" si="735"/>
        <v>1.4798312128611737</v>
      </c>
      <c r="N7831">
        <f t="shared" si="736"/>
        <v>0</v>
      </c>
      <c r="O7831">
        <f t="shared" si="737"/>
        <v>0</v>
      </c>
      <c r="P7831">
        <f t="shared" si="734"/>
        <v>5750</v>
      </c>
      <c r="Q7831">
        <f t="shared" si="738"/>
        <v>5750</v>
      </c>
      <c r="T7831" s="16">
        <f t="shared" si="739"/>
        <v>1.4798312128611733</v>
      </c>
    </row>
    <row r="7832" spans="7:20" ht="14.4" x14ac:dyDescent="0.25">
      <c r="G7832" s="10">
        <v>8304</v>
      </c>
      <c r="H7832" s="9">
        <v>59329</v>
      </c>
      <c r="I7832" s="14">
        <f>DATE(2012,12,31)-27</f>
        <v>41247</v>
      </c>
      <c r="J7832" s="15" t="s">
        <v>30</v>
      </c>
      <c r="K7832" s="9">
        <v>35</v>
      </c>
      <c r="L7832" s="16" t="s">
        <v>26</v>
      </c>
      <c r="M7832" s="16">
        <f t="shared" si="735"/>
        <v>0.65111389343051651</v>
      </c>
      <c r="N7832">
        <f t="shared" si="736"/>
        <v>0</v>
      </c>
      <c r="O7832">
        <f t="shared" si="737"/>
        <v>0</v>
      </c>
      <c r="P7832">
        <f t="shared" si="734"/>
        <v>5150</v>
      </c>
      <c r="Q7832">
        <f t="shared" si="738"/>
        <v>5150</v>
      </c>
      <c r="T7832" s="16">
        <f t="shared" si="739"/>
        <v>0.65111389343051607</v>
      </c>
    </row>
    <row r="7833" spans="7:20" ht="14.4" x14ac:dyDescent="0.25">
      <c r="G7833" s="10">
        <v>8305</v>
      </c>
      <c r="H7833" s="9">
        <v>59329</v>
      </c>
      <c r="I7833" s="14">
        <f>DATE(2012,12,31)-27</f>
        <v>41247</v>
      </c>
      <c r="J7833" s="15" t="s">
        <v>30</v>
      </c>
      <c r="K7833" s="9">
        <v>25</v>
      </c>
      <c r="L7833" s="16" t="s">
        <v>29</v>
      </c>
      <c r="M7833" s="16">
        <f t="shared" si="735"/>
        <v>-3.9483872761697868E-2</v>
      </c>
      <c r="N7833">
        <f t="shared" si="736"/>
        <v>0</v>
      </c>
      <c r="O7833">
        <f t="shared" si="737"/>
        <v>0</v>
      </c>
      <c r="P7833">
        <f t="shared" si="734"/>
        <v>4650</v>
      </c>
      <c r="Q7833">
        <f t="shared" si="738"/>
        <v>4650</v>
      </c>
      <c r="T7833" s="16">
        <f t="shared" si="739"/>
        <v>-3.9483872761698249E-2</v>
      </c>
    </row>
    <row r="7834" spans="7:20" ht="14.4" x14ac:dyDescent="0.25">
      <c r="G7834" s="10">
        <v>8306</v>
      </c>
      <c r="H7834" s="9">
        <v>59329</v>
      </c>
      <c r="I7834" s="14">
        <f>DATE(2012,12,31)-27</f>
        <v>41247</v>
      </c>
      <c r="J7834" s="15" t="s">
        <v>30</v>
      </c>
      <c r="K7834" s="9">
        <v>41</v>
      </c>
      <c r="L7834" s="16" t="s">
        <v>29</v>
      </c>
      <c r="M7834" s="16">
        <f t="shared" si="735"/>
        <v>1.0654725531458451</v>
      </c>
      <c r="N7834">
        <f t="shared" si="736"/>
        <v>0</v>
      </c>
      <c r="O7834">
        <f t="shared" si="737"/>
        <v>0</v>
      </c>
      <c r="P7834">
        <f t="shared" si="734"/>
        <v>5450</v>
      </c>
      <c r="Q7834">
        <f t="shared" si="738"/>
        <v>5450</v>
      </c>
      <c r="T7834" s="16">
        <f t="shared" si="739"/>
        <v>1.0654725531458447</v>
      </c>
    </row>
    <row r="7835" spans="7:20" ht="14.4" x14ac:dyDescent="0.25">
      <c r="G7835" s="10">
        <v>8307</v>
      </c>
      <c r="H7835" s="9">
        <v>59329</v>
      </c>
      <c r="I7835" s="14">
        <f>DATE(2012,12,31)-27</f>
        <v>41247</v>
      </c>
      <c r="J7835" s="15" t="s">
        <v>30</v>
      </c>
      <c r="K7835" s="9">
        <v>41</v>
      </c>
      <c r="L7835" s="16" t="s">
        <v>26</v>
      </c>
      <c r="M7835" s="16">
        <f t="shared" si="735"/>
        <v>1.0654725531458451</v>
      </c>
      <c r="N7835">
        <f t="shared" si="736"/>
        <v>0</v>
      </c>
      <c r="O7835">
        <f t="shared" si="737"/>
        <v>0</v>
      </c>
      <c r="P7835">
        <f t="shared" si="734"/>
        <v>5450</v>
      </c>
      <c r="Q7835">
        <f t="shared" si="738"/>
        <v>5450</v>
      </c>
      <c r="T7835" s="16">
        <f t="shared" si="739"/>
        <v>1.0654725531458447</v>
      </c>
    </row>
    <row r="7836" spans="7:20" ht="14.4" x14ac:dyDescent="0.25">
      <c r="G7836" s="10">
        <v>9</v>
      </c>
      <c r="H7836" s="9">
        <v>36</v>
      </c>
      <c r="I7836" s="14">
        <f>DATE(2012,12,31)-425</f>
        <v>40849</v>
      </c>
      <c r="J7836" s="15" t="s">
        <v>30</v>
      </c>
      <c r="K7836" s="9">
        <v>46</v>
      </c>
      <c r="L7836" s="16" t="s">
        <v>27</v>
      </c>
      <c r="M7836" s="16">
        <f t="shared" si="735"/>
        <v>1.4107714362419523</v>
      </c>
      <c r="N7836">
        <f t="shared" si="736"/>
        <v>0</v>
      </c>
      <c r="O7836">
        <f t="shared" si="737"/>
        <v>0</v>
      </c>
      <c r="P7836">
        <f t="shared" si="734"/>
        <v>5700</v>
      </c>
      <c r="Q7836">
        <f t="shared" si="738"/>
        <v>5700</v>
      </c>
      <c r="T7836" s="16">
        <f t="shared" si="739"/>
        <v>1.4107714362419519</v>
      </c>
    </row>
    <row r="7837" spans="7:20" ht="14.4" x14ac:dyDescent="0.25">
      <c r="G7837" s="10">
        <v>28</v>
      </c>
      <c r="H7837" s="9">
        <v>194</v>
      </c>
      <c r="I7837" s="14">
        <f>DATE(2012,12,31)-271</f>
        <v>41003</v>
      </c>
      <c r="J7837" s="15" t="s">
        <v>16</v>
      </c>
      <c r="K7837" s="9">
        <v>49</v>
      </c>
      <c r="L7837" s="16" t="s">
        <v>29</v>
      </c>
      <c r="M7837" s="16">
        <f t="shared" si="735"/>
        <v>1.6179507660996166</v>
      </c>
      <c r="N7837">
        <f t="shared" si="736"/>
        <v>0</v>
      </c>
      <c r="O7837">
        <f t="shared" si="737"/>
        <v>0</v>
      </c>
      <c r="P7837">
        <f t="shared" si="734"/>
        <v>5850</v>
      </c>
      <c r="Q7837">
        <f t="shared" si="738"/>
        <v>5850</v>
      </c>
      <c r="T7837" s="16">
        <f t="shared" si="739"/>
        <v>1.6179507660996162</v>
      </c>
    </row>
    <row r="7838" spans="7:20" ht="14.4" x14ac:dyDescent="0.25">
      <c r="G7838" s="10">
        <v>29</v>
      </c>
      <c r="H7838" s="9">
        <v>194</v>
      </c>
      <c r="I7838" s="14">
        <f>DATE(2012,12,31)-271</f>
        <v>41003</v>
      </c>
      <c r="J7838" s="15" t="s">
        <v>16</v>
      </c>
      <c r="K7838" s="9">
        <v>6</v>
      </c>
      <c r="L7838" s="16" t="s">
        <v>26</v>
      </c>
      <c r="M7838" s="16">
        <f t="shared" si="735"/>
        <v>-1.3516196285269051</v>
      </c>
      <c r="N7838">
        <f t="shared" si="736"/>
        <v>0</v>
      </c>
      <c r="O7838">
        <f t="shared" si="737"/>
        <v>0</v>
      </c>
      <c r="P7838">
        <f t="shared" si="734"/>
        <v>3700</v>
      </c>
      <c r="Q7838">
        <f t="shared" si="738"/>
        <v>3700</v>
      </c>
      <c r="T7838" s="16">
        <f t="shared" si="739"/>
        <v>-1.3516196285269055</v>
      </c>
    </row>
    <row r="7839" spans="7:20" ht="14.4" x14ac:dyDescent="0.25">
      <c r="G7839" s="10">
        <v>65</v>
      </c>
      <c r="H7839" s="9">
        <v>384</v>
      </c>
      <c r="I7839" s="14">
        <f>DATE(2012,12,31)-304</f>
        <v>40970</v>
      </c>
      <c r="J7839" s="15" t="s">
        <v>25</v>
      </c>
      <c r="K7839" s="9">
        <v>50</v>
      </c>
      <c r="L7839" s="16" t="s">
        <v>29</v>
      </c>
      <c r="M7839" s="16">
        <f t="shared" si="735"/>
        <v>1.687010542718838</v>
      </c>
      <c r="N7839">
        <f t="shared" si="736"/>
        <v>0</v>
      </c>
      <c r="O7839">
        <f t="shared" si="737"/>
        <v>0</v>
      </c>
      <c r="P7839">
        <f t="shared" si="734"/>
        <v>5900</v>
      </c>
      <c r="Q7839">
        <f t="shared" si="738"/>
        <v>5900</v>
      </c>
      <c r="T7839" s="16">
        <f t="shared" si="739"/>
        <v>1.6870105427188375</v>
      </c>
    </row>
    <row r="7840" spans="7:20" ht="14.4" x14ac:dyDescent="0.25">
      <c r="G7840" s="10">
        <v>120</v>
      </c>
      <c r="H7840" s="9">
        <v>774</v>
      </c>
      <c r="I7840" s="14">
        <f>DATE(2012,12,31)-394</f>
        <v>40880</v>
      </c>
      <c r="J7840" s="15" t="s">
        <v>30</v>
      </c>
      <c r="K7840" s="9">
        <v>17</v>
      </c>
      <c r="L7840" s="16" t="s">
        <v>26</v>
      </c>
      <c r="M7840" s="16">
        <f t="shared" si="735"/>
        <v>-0.59196208571546938</v>
      </c>
      <c r="N7840">
        <f t="shared" si="736"/>
        <v>0</v>
      </c>
      <c r="O7840">
        <f t="shared" si="737"/>
        <v>0</v>
      </c>
      <c r="P7840">
        <f t="shared" si="734"/>
        <v>4250</v>
      </c>
      <c r="Q7840">
        <f t="shared" si="738"/>
        <v>4250</v>
      </c>
      <c r="T7840" s="16">
        <f t="shared" si="739"/>
        <v>-0.59196208571546971</v>
      </c>
    </row>
    <row r="7841" spans="7:20" ht="14.4" x14ac:dyDescent="0.25">
      <c r="G7841" s="10">
        <v>163</v>
      </c>
      <c r="H7841" s="9">
        <v>1027</v>
      </c>
      <c r="I7841" s="14">
        <f>DATE(2012,12,31)-212</f>
        <v>41062</v>
      </c>
      <c r="J7841" s="15" t="s">
        <v>16</v>
      </c>
      <c r="K7841" s="9">
        <v>19</v>
      </c>
      <c r="L7841" s="16" t="s">
        <v>29</v>
      </c>
      <c r="M7841" s="16">
        <f t="shared" si="735"/>
        <v>-0.45384253247702649</v>
      </c>
      <c r="N7841">
        <f t="shared" si="736"/>
        <v>0</v>
      </c>
      <c r="O7841">
        <f t="shared" si="737"/>
        <v>0</v>
      </c>
      <c r="P7841">
        <f t="shared" si="734"/>
        <v>4350</v>
      </c>
      <c r="Q7841">
        <f t="shared" si="738"/>
        <v>4350</v>
      </c>
      <c r="T7841" s="16">
        <f t="shared" si="739"/>
        <v>-0.45384253247702688</v>
      </c>
    </row>
    <row r="7842" spans="7:20" ht="14.4" x14ac:dyDescent="0.25">
      <c r="G7842" s="10">
        <v>171</v>
      </c>
      <c r="H7842" s="9">
        <v>1060</v>
      </c>
      <c r="I7842" s="14">
        <f>DATE(2012,12,31)-1045</f>
        <v>40229</v>
      </c>
      <c r="J7842" s="15" t="s">
        <v>16</v>
      </c>
      <c r="K7842" s="9">
        <v>30</v>
      </c>
      <c r="L7842" s="16" t="s">
        <v>26</v>
      </c>
      <c r="M7842" s="16">
        <f t="shared" si="735"/>
        <v>0.30581501033440933</v>
      </c>
      <c r="N7842">
        <f t="shared" si="736"/>
        <v>0</v>
      </c>
      <c r="O7842">
        <f t="shared" si="737"/>
        <v>0</v>
      </c>
      <c r="P7842">
        <f t="shared" si="734"/>
        <v>4900</v>
      </c>
      <c r="Q7842">
        <f t="shared" si="738"/>
        <v>4900</v>
      </c>
      <c r="T7842" s="16">
        <f t="shared" si="739"/>
        <v>0.30581501033440894</v>
      </c>
    </row>
    <row r="7843" spans="7:20" ht="14.4" x14ac:dyDescent="0.25">
      <c r="G7843" s="10">
        <v>190</v>
      </c>
      <c r="H7843" s="9">
        <v>1280</v>
      </c>
      <c r="I7843" s="14">
        <f>DATE(2012,12,31)-1086</f>
        <v>40188</v>
      </c>
      <c r="J7843" s="15" t="s">
        <v>25</v>
      </c>
      <c r="K7843" s="9">
        <v>40</v>
      </c>
      <c r="L7843" s="16" t="s">
        <v>27</v>
      </c>
      <c r="M7843" s="16">
        <f t="shared" si="735"/>
        <v>0.99641277652662363</v>
      </c>
      <c r="N7843">
        <f t="shared" si="736"/>
        <v>0</v>
      </c>
      <c r="O7843">
        <f t="shared" si="737"/>
        <v>0</v>
      </c>
      <c r="P7843">
        <f t="shared" si="734"/>
        <v>5400</v>
      </c>
      <c r="Q7843">
        <f t="shared" si="738"/>
        <v>5400</v>
      </c>
      <c r="T7843" s="16">
        <f t="shared" si="739"/>
        <v>0.9964127765266233</v>
      </c>
    </row>
    <row r="7844" spans="7:20" ht="14.4" x14ac:dyDescent="0.25">
      <c r="G7844" s="10">
        <v>254</v>
      </c>
      <c r="H7844" s="9">
        <v>1764</v>
      </c>
      <c r="I7844" s="14">
        <f>DATE(2012,12,31)-282</f>
        <v>40992</v>
      </c>
      <c r="J7844" s="15" t="s">
        <v>30</v>
      </c>
      <c r="K7844" s="9">
        <v>7</v>
      </c>
      <c r="L7844" s="16" t="s">
        <v>26</v>
      </c>
      <c r="M7844" s="16">
        <f t="shared" si="735"/>
        <v>-1.2825598519076837</v>
      </c>
      <c r="N7844">
        <f t="shared" si="736"/>
        <v>0</v>
      </c>
      <c r="O7844">
        <f t="shared" si="737"/>
        <v>0</v>
      </c>
      <c r="P7844">
        <f t="shared" si="734"/>
        <v>3750</v>
      </c>
      <c r="Q7844">
        <f t="shared" si="738"/>
        <v>3750</v>
      </c>
      <c r="T7844" s="16">
        <f t="shared" si="739"/>
        <v>-1.2825598519076842</v>
      </c>
    </row>
    <row r="7845" spans="7:20" ht="14.4" x14ac:dyDescent="0.25">
      <c r="G7845" s="10">
        <v>261</v>
      </c>
      <c r="H7845" s="9">
        <v>1824</v>
      </c>
      <c r="I7845" s="14">
        <f>DATE(2012,12,31)-1337</f>
        <v>39937</v>
      </c>
      <c r="J7845" s="15" t="s">
        <v>30</v>
      </c>
      <c r="K7845" s="9">
        <v>39</v>
      </c>
      <c r="L7845" s="16" t="s">
        <v>29</v>
      </c>
      <c r="M7845" s="16">
        <f t="shared" si="735"/>
        <v>0.92735299990740228</v>
      </c>
      <c r="N7845">
        <f t="shared" si="736"/>
        <v>0</v>
      </c>
      <c r="O7845">
        <f t="shared" si="737"/>
        <v>0</v>
      </c>
      <c r="P7845">
        <f t="shared" si="734"/>
        <v>5350</v>
      </c>
      <c r="Q7845">
        <f t="shared" si="738"/>
        <v>5350</v>
      </c>
      <c r="T7845" s="16">
        <f t="shared" si="739"/>
        <v>0.92735299990740183</v>
      </c>
    </row>
    <row r="7846" spans="7:20" ht="14.4" x14ac:dyDescent="0.25">
      <c r="G7846" s="10">
        <v>262</v>
      </c>
      <c r="H7846" s="9">
        <v>1824</v>
      </c>
      <c r="I7846" s="14">
        <f>DATE(2012,12,31)-1337</f>
        <v>39937</v>
      </c>
      <c r="J7846" s="15" t="s">
        <v>30</v>
      </c>
      <c r="K7846" s="9">
        <v>2</v>
      </c>
      <c r="L7846" s="16" t="s">
        <v>29</v>
      </c>
      <c r="M7846" s="16">
        <f t="shared" si="735"/>
        <v>-1.627858735003791</v>
      </c>
      <c r="N7846">
        <f t="shared" si="736"/>
        <v>0</v>
      </c>
      <c r="O7846">
        <f t="shared" si="737"/>
        <v>0</v>
      </c>
      <c r="P7846">
        <f t="shared" si="734"/>
        <v>3500</v>
      </c>
      <c r="Q7846">
        <f t="shared" si="738"/>
        <v>3500</v>
      </c>
      <c r="T7846" s="16">
        <f t="shared" si="739"/>
        <v>-1.6278587350037912</v>
      </c>
    </row>
    <row r="7847" spans="7:20" ht="14.4" x14ac:dyDescent="0.25">
      <c r="G7847" s="10">
        <v>358</v>
      </c>
      <c r="H7847" s="9">
        <v>2503</v>
      </c>
      <c r="I7847" s="14">
        <f>DATE(2012,12,31)-926</f>
        <v>40348</v>
      </c>
      <c r="J7847" s="15" t="s">
        <v>16</v>
      </c>
      <c r="K7847" s="9">
        <v>21</v>
      </c>
      <c r="L7847" s="16" t="s">
        <v>26</v>
      </c>
      <c r="M7847" s="16">
        <f t="shared" si="735"/>
        <v>-0.31572297923858361</v>
      </c>
      <c r="N7847">
        <f t="shared" si="736"/>
        <v>0</v>
      </c>
      <c r="O7847">
        <f t="shared" si="737"/>
        <v>0</v>
      </c>
      <c r="P7847">
        <f t="shared" si="734"/>
        <v>4450</v>
      </c>
      <c r="Q7847">
        <f t="shared" si="738"/>
        <v>4450</v>
      </c>
      <c r="T7847" s="16">
        <f t="shared" si="739"/>
        <v>-0.315722979238584</v>
      </c>
    </row>
    <row r="7848" spans="7:20" ht="14.4" x14ac:dyDescent="0.25">
      <c r="G7848" s="10">
        <v>359</v>
      </c>
      <c r="H7848" s="9">
        <v>2503</v>
      </c>
      <c r="I7848" s="14">
        <f>DATE(2012,12,31)-926</f>
        <v>40348</v>
      </c>
      <c r="J7848" s="15" t="s">
        <v>16</v>
      </c>
      <c r="K7848" s="9">
        <v>46</v>
      </c>
      <c r="L7848" s="16" t="s">
        <v>26</v>
      </c>
      <c r="M7848" s="16">
        <f t="shared" si="735"/>
        <v>1.4107714362419523</v>
      </c>
      <c r="N7848">
        <f t="shared" si="736"/>
        <v>0</v>
      </c>
      <c r="O7848">
        <f t="shared" si="737"/>
        <v>0</v>
      </c>
      <c r="P7848">
        <f t="shared" si="734"/>
        <v>5700</v>
      </c>
      <c r="Q7848">
        <f t="shared" si="738"/>
        <v>5700</v>
      </c>
      <c r="T7848" s="16">
        <f t="shared" si="739"/>
        <v>1.4107714362419519</v>
      </c>
    </row>
    <row r="7849" spans="7:20" ht="14.4" x14ac:dyDescent="0.25">
      <c r="G7849" s="10">
        <v>360</v>
      </c>
      <c r="H7849" s="9">
        <v>2503</v>
      </c>
      <c r="I7849" s="14">
        <f>DATE(2012,12,31)-926</f>
        <v>40348</v>
      </c>
      <c r="J7849" s="15" t="s">
        <v>16</v>
      </c>
      <c r="K7849" s="9">
        <v>9</v>
      </c>
      <c r="L7849" s="16" t="s">
        <v>27</v>
      </c>
      <c r="M7849" s="16">
        <f t="shared" si="735"/>
        <v>-1.1444402986692408</v>
      </c>
      <c r="N7849">
        <f t="shared" si="736"/>
        <v>0</v>
      </c>
      <c r="O7849">
        <f t="shared" si="737"/>
        <v>0</v>
      </c>
      <c r="P7849">
        <f t="shared" si="734"/>
        <v>3850</v>
      </c>
      <c r="Q7849">
        <f t="shared" si="738"/>
        <v>3850</v>
      </c>
      <c r="T7849" s="16">
        <f t="shared" si="739"/>
        <v>-1.1444402986692412</v>
      </c>
    </row>
    <row r="7850" spans="7:20" ht="14.4" x14ac:dyDescent="0.25">
      <c r="G7850" s="10">
        <v>595</v>
      </c>
      <c r="H7850" s="9">
        <v>4069</v>
      </c>
      <c r="I7850" s="14">
        <f>DATE(2012,12,31)-233</f>
        <v>41041</v>
      </c>
      <c r="J7850" s="15" t="s">
        <v>16</v>
      </c>
      <c r="K7850" s="9">
        <v>8</v>
      </c>
      <c r="L7850" s="16" t="s">
        <v>26</v>
      </c>
      <c r="M7850" s="16">
        <f t="shared" si="735"/>
        <v>-1.2135000752884624</v>
      </c>
      <c r="N7850">
        <f t="shared" si="736"/>
        <v>0</v>
      </c>
      <c r="O7850">
        <f t="shared" si="737"/>
        <v>0</v>
      </c>
      <c r="P7850">
        <f t="shared" si="734"/>
        <v>3800</v>
      </c>
      <c r="Q7850">
        <f t="shared" si="738"/>
        <v>3800</v>
      </c>
      <c r="T7850" s="16">
        <f t="shared" si="739"/>
        <v>-1.2135000752884626</v>
      </c>
    </row>
    <row r="7851" spans="7:20" ht="14.4" x14ac:dyDescent="0.25">
      <c r="G7851" s="10">
        <v>596</v>
      </c>
      <c r="H7851" s="9">
        <v>4069</v>
      </c>
      <c r="I7851" s="14">
        <f>DATE(2012,12,31)-233</f>
        <v>41041</v>
      </c>
      <c r="J7851" s="15" t="s">
        <v>16</v>
      </c>
      <c r="K7851" s="9">
        <v>47</v>
      </c>
      <c r="L7851" s="16" t="s">
        <v>26</v>
      </c>
      <c r="M7851" s="16">
        <f t="shared" si="735"/>
        <v>1.4798312128611737</v>
      </c>
      <c r="N7851">
        <f t="shared" si="736"/>
        <v>0</v>
      </c>
      <c r="O7851">
        <f t="shared" si="737"/>
        <v>0</v>
      </c>
      <c r="P7851">
        <f t="shared" si="734"/>
        <v>5750</v>
      </c>
      <c r="Q7851">
        <f t="shared" si="738"/>
        <v>5750</v>
      </c>
      <c r="T7851" s="16">
        <f t="shared" si="739"/>
        <v>1.4798312128611733</v>
      </c>
    </row>
    <row r="7852" spans="7:20" ht="14.4" x14ac:dyDescent="0.25">
      <c r="G7852" s="10">
        <v>597</v>
      </c>
      <c r="H7852" s="9">
        <v>4069</v>
      </c>
      <c r="I7852" s="14">
        <f>DATE(2012,12,31)-233</f>
        <v>41041</v>
      </c>
      <c r="J7852" s="15" t="s">
        <v>16</v>
      </c>
      <c r="K7852" s="9">
        <v>30</v>
      </c>
      <c r="L7852" s="16" t="s">
        <v>26</v>
      </c>
      <c r="M7852" s="16">
        <f t="shared" si="735"/>
        <v>0.30581501033440933</v>
      </c>
      <c r="N7852">
        <f t="shared" si="736"/>
        <v>0</v>
      </c>
      <c r="O7852">
        <f t="shared" si="737"/>
        <v>0</v>
      </c>
      <c r="P7852">
        <f t="shared" si="734"/>
        <v>4900</v>
      </c>
      <c r="Q7852">
        <f t="shared" si="738"/>
        <v>4900</v>
      </c>
      <c r="T7852" s="16">
        <f t="shared" si="739"/>
        <v>0.30581501033440894</v>
      </c>
    </row>
    <row r="7853" spans="7:20" ht="14.4" x14ac:dyDescent="0.25">
      <c r="G7853" s="10">
        <v>659</v>
      </c>
      <c r="H7853" s="9">
        <v>4645</v>
      </c>
      <c r="I7853" s="14">
        <f>DATE(2012,12,31)-1199</f>
        <v>40075</v>
      </c>
      <c r="J7853" s="15" t="s">
        <v>30</v>
      </c>
      <c r="K7853" s="9">
        <v>30</v>
      </c>
      <c r="L7853" s="16" t="s">
        <v>27</v>
      </c>
      <c r="M7853" s="16">
        <f t="shared" si="735"/>
        <v>0.30581501033440933</v>
      </c>
      <c r="N7853">
        <f t="shared" si="736"/>
        <v>0</v>
      </c>
      <c r="O7853">
        <f t="shared" si="737"/>
        <v>0</v>
      </c>
      <c r="P7853">
        <f t="shared" si="734"/>
        <v>4900</v>
      </c>
      <c r="Q7853">
        <f t="shared" si="738"/>
        <v>4900</v>
      </c>
      <c r="T7853" s="16">
        <f t="shared" si="739"/>
        <v>0.30581501033440894</v>
      </c>
    </row>
    <row r="7854" spans="7:20" ht="14.4" x14ac:dyDescent="0.25">
      <c r="G7854" s="10">
        <v>660</v>
      </c>
      <c r="H7854" s="9">
        <v>4645</v>
      </c>
      <c r="I7854" s="14">
        <f>DATE(2012,12,31)-1199</f>
        <v>40075</v>
      </c>
      <c r="J7854" s="15" t="s">
        <v>30</v>
      </c>
      <c r="K7854" s="9">
        <v>7</v>
      </c>
      <c r="L7854" s="16" t="s">
        <v>26</v>
      </c>
      <c r="M7854" s="16">
        <f t="shared" si="735"/>
        <v>-1.2825598519076837</v>
      </c>
      <c r="N7854">
        <f t="shared" si="736"/>
        <v>0</v>
      </c>
      <c r="O7854">
        <f t="shared" si="737"/>
        <v>0</v>
      </c>
      <c r="P7854">
        <f t="shared" si="734"/>
        <v>3750</v>
      </c>
      <c r="Q7854">
        <f t="shared" si="738"/>
        <v>3750</v>
      </c>
      <c r="T7854" s="16">
        <f t="shared" si="739"/>
        <v>-1.2825598519076842</v>
      </c>
    </row>
    <row r="7855" spans="7:20" ht="14.4" x14ac:dyDescent="0.25">
      <c r="G7855" s="10">
        <v>661</v>
      </c>
      <c r="H7855" s="9">
        <v>4645</v>
      </c>
      <c r="I7855" s="14">
        <f>DATE(2012,12,31)-1199</f>
        <v>40075</v>
      </c>
      <c r="J7855" s="15" t="s">
        <v>30</v>
      </c>
      <c r="K7855" s="9">
        <v>11</v>
      </c>
      <c r="L7855" s="16" t="s">
        <v>27</v>
      </c>
      <c r="M7855" s="16">
        <f t="shared" si="735"/>
        <v>-1.0063207454307979</v>
      </c>
      <c r="N7855">
        <f t="shared" si="736"/>
        <v>0</v>
      </c>
      <c r="O7855">
        <f t="shared" si="737"/>
        <v>0</v>
      </c>
      <c r="P7855">
        <f t="shared" si="734"/>
        <v>3950</v>
      </c>
      <c r="Q7855">
        <f t="shared" si="738"/>
        <v>3950</v>
      </c>
      <c r="T7855" s="16">
        <f t="shared" si="739"/>
        <v>-1.0063207454307983</v>
      </c>
    </row>
    <row r="7856" spans="7:20" ht="14.4" x14ac:dyDescent="0.25">
      <c r="G7856" s="10">
        <v>811</v>
      </c>
      <c r="H7856" s="9">
        <v>5858</v>
      </c>
      <c r="I7856" s="14">
        <f>DATE(2012,12,31)-171</f>
        <v>41103</v>
      </c>
      <c r="J7856" s="15" t="s">
        <v>28</v>
      </c>
      <c r="K7856" s="9">
        <v>48</v>
      </c>
      <c r="L7856" s="16" t="s">
        <v>26</v>
      </c>
      <c r="M7856" s="16">
        <f t="shared" si="735"/>
        <v>1.5488909894803951</v>
      </c>
      <c r="N7856">
        <f t="shared" si="736"/>
        <v>0</v>
      </c>
      <c r="O7856">
        <f t="shared" si="737"/>
        <v>0</v>
      </c>
      <c r="P7856">
        <f t="shared" si="734"/>
        <v>5800</v>
      </c>
      <c r="Q7856">
        <f t="shared" si="738"/>
        <v>5800</v>
      </c>
      <c r="T7856" s="16">
        <f t="shared" si="739"/>
        <v>1.5488909894803948</v>
      </c>
    </row>
    <row r="7857" spans="7:20" ht="14.4" x14ac:dyDescent="0.25">
      <c r="G7857" s="10">
        <v>812</v>
      </c>
      <c r="H7857" s="9">
        <v>5858</v>
      </c>
      <c r="I7857" s="14">
        <f>DATE(2012,12,31)-171</f>
        <v>41103</v>
      </c>
      <c r="J7857" s="15" t="s">
        <v>28</v>
      </c>
      <c r="K7857" s="9">
        <v>29</v>
      </c>
      <c r="L7857" s="16" t="s">
        <v>27</v>
      </c>
      <c r="M7857" s="16">
        <f t="shared" si="735"/>
        <v>0.23675523371518786</v>
      </c>
      <c r="N7857">
        <f t="shared" si="736"/>
        <v>0</v>
      </c>
      <c r="O7857">
        <f t="shared" si="737"/>
        <v>0</v>
      </c>
      <c r="P7857">
        <f t="shared" si="734"/>
        <v>4850</v>
      </c>
      <c r="Q7857">
        <f t="shared" si="738"/>
        <v>4850</v>
      </c>
      <c r="T7857" s="16">
        <f t="shared" si="739"/>
        <v>0.2367552337151875</v>
      </c>
    </row>
    <row r="7858" spans="7:20" ht="14.4" x14ac:dyDescent="0.25">
      <c r="G7858" s="10">
        <v>877</v>
      </c>
      <c r="H7858" s="9">
        <v>6304</v>
      </c>
      <c r="I7858" s="14">
        <f>DATE(2012,12,31)-508</f>
        <v>40766</v>
      </c>
      <c r="J7858" s="15" t="s">
        <v>17</v>
      </c>
      <c r="K7858" s="9">
        <v>30</v>
      </c>
      <c r="L7858" s="16" t="s">
        <v>26</v>
      </c>
      <c r="M7858" s="16">
        <f t="shared" si="735"/>
        <v>0.30581501033440933</v>
      </c>
      <c r="N7858">
        <f t="shared" si="736"/>
        <v>0</v>
      </c>
      <c r="O7858">
        <f t="shared" si="737"/>
        <v>0</v>
      </c>
      <c r="P7858">
        <f t="shared" si="734"/>
        <v>4900</v>
      </c>
      <c r="Q7858">
        <f t="shared" si="738"/>
        <v>4900</v>
      </c>
      <c r="T7858" s="16">
        <f t="shared" si="739"/>
        <v>0.30581501033440894</v>
      </c>
    </row>
    <row r="7859" spans="7:20" ht="14.4" x14ac:dyDescent="0.25">
      <c r="G7859" s="10">
        <v>923</v>
      </c>
      <c r="H7859" s="9">
        <v>6661</v>
      </c>
      <c r="I7859" s="14">
        <f>DATE(2012,12,31)-990</f>
        <v>40284</v>
      </c>
      <c r="J7859" s="15" t="s">
        <v>25</v>
      </c>
      <c r="K7859" s="9">
        <v>47</v>
      </c>
      <c r="L7859" s="16" t="s">
        <v>27</v>
      </c>
      <c r="M7859" s="16">
        <f t="shared" si="735"/>
        <v>1.4798312128611737</v>
      </c>
      <c r="N7859">
        <f t="shared" si="736"/>
        <v>0</v>
      </c>
      <c r="O7859">
        <f t="shared" si="737"/>
        <v>0</v>
      </c>
      <c r="P7859">
        <f t="shared" si="734"/>
        <v>5750</v>
      </c>
      <c r="Q7859">
        <f t="shared" si="738"/>
        <v>5750</v>
      </c>
      <c r="T7859" s="16">
        <f t="shared" si="739"/>
        <v>1.4798312128611733</v>
      </c>
    </row>
    <row r="7860" spans="7:20" ht="14.4" x14ac:dyDescent="0.25">
      <c r="G7860" s="10">
        <v>924</v>
      </c>
      <c r="H7860" s="9">
        <v>6661</v>
      </c>
      <c r="I7860" s="14">
        <f>DATE(2012,12,31)-990</f>
        <v>40284</v>
      </c>
      <c r="J7860" s="15" t="s">
        <v>25</v>
      </c>
      <c r="K7860" s="9">
        <v>39</v>
      </c>
      <c r="L7860" s="16" t="s">
        <v>29</v>
      </c>
      <c r="M7860" s="16">
        <f t="shared" si="735"/>
        <v>0.92735299990740228</v>
      </c>
      <c r="N7860">
        <f t="shared" si="736"/>
        <v>0</v>
      </c>
      <c r="O7860">
        <f t="shared" si="737"/>
        <v>0</v>
      </c>
      <c r="P7860">
        <f t="shared" si="734"/>
        <v>5350</v>
      </c>
      <c r="Q7860">
        <f t="shared" si="738"/>
        <v>5350</v>
      </c>
      <c r="T7860" s="16">
        <f t="shared" si="739"/>
        <v>0.92735299990740183</v>
      </c>
    </row>
    <row r="7861" spans="7:20" ht="14.4" x14ac:dyDescent="0.25">
      <c r="G7861" s="10">
        <v>934</v>
      </c>
      <c r="H7861" s="9">
        <v>6757</v>
      </c>
      <c r="I7861" s="14">
        <f>DATE(2012,12,31)-334</f>
        <v>40940</v>
      </c>
      <c r="J7861" s="15" t="s">
        <v>16</v>
      </c>
      <c r="K7861" s="9">
        <v>27</v>
      </c>
      <c r="L7861" s="16" t="s">
        <v>26</v>
      </c>
      <c r="M7861" s="16">
        <f t="shared" si="735"/>
        <v>9.8635680476745008E-2</v>
      </c>
      <c r="N7861">
        <f t="shared" si="736"/>
        <v>0</v>
      </c>
      <c r="O7861">
        <f t="shared" si="737"/>
        <v>0</v>
      </c>
      <c r="P7861">
        <f t="shared" si="734"/>
        <v>4750</v>
      </c>
      <c r="Q7861">
        <f t="shared" si="738"/>
        <v>4750</v>
      </c>
      <c r="T7861" s="16">
        <f t="shared" si="739"/>
        <v>9.8635680476744619E-2</v>
      </c>
    </row>
    <row r="7862" spans="7:20" ht="14.4" x14ac:dyDescent="0.25">
      <c r="G7862" s="10">
        <v>935</v>
      </c>
      <c r="H7862" s="9">
        <v>6757</v>
      </c>
      <c r="I7862" s="14">
        <f>DATE(2012,12,31)-334</f>
        <v>40940</v>
      </c>
      <c r="J7862" s="15" t="s">
        <v>16</v>
      </c>
      <c r="K7862" s="9">
        <v>11</v>
      </c>
      <c r="L7862" s="16" t="s">
        <v>29</v>
      </c>
      <c r="M7862" s="16">
        <f t="shared" si="735"/>
        <v>-1.0063207454307979</v>
      </c>
      <c r="N7862">
        <f t="shared" si="736"/>
        <v>0</v>
      </c>
      <c r="O7862">
        <f t="shared" si="737"/>
        <v>0</v>
      </c>
      <c r="P7862">
        <f t="shared" si="734"/>
        <v>3950</v>
      </c>
      <c r="Q7862">
        <f t="shared" si="738"/>
        <v>3950</v>
      </c>
      <c r="T7862" s="16">
        <f t="shared" si="739"/>
        <v>-1.0063207454307983</v>
      </c>
    </row>
    <row r="7863" spans="7:20" ht="14.4" x14ac:dyDescent="0.25">
      <c r="G7863" s="10">
        <v>1071</v>
      </c>
      <c r="H7863" s="9">
        <v>7904</v>
      </c>
      <c r="I7863" s="14">
        <f>DATE(2012,12,31)-949</f>
        <v>40325</v>
      </c>
      <c r="J7863" s="15" t="s">
        <v>25</v>
      </c>
      <c r="K7863" s="9">
        <v>47</v>
      </c>
      <c r="L7863" s="16" t="s">
        <v>26</v>
      </c>
      <c r="M7863" s="16">
        <f t="shared" si="735"/>
        <v>1.4798312128611737</v>
      </c>
      <c r="N7863">
        <f t="shared" si="736"/>
        <v>0</v>
      </c>
      <c r="O7863">
        <f t="shared" si="737"/>
        <v>0</v>
      </c>
      <c r="P7863">
        <f t="shared" si="734"/>
        <v>5750</v>
      </c>
      <c r="Q7863">
        <f t="shared" si="738"/>
        <v>5750</v>
      </c>
      <c r="T7863" s="16">
        <f t="shared" si="739"/>
        <v>1.4798312128611733</v>
      </c>
    </row>
    <row r="7864" spans="7:20" ht="14.4" x14ac:dyDescent="0.25">
      <c r="G7864" s="10">
        <v>1074</v>
      </c>
      <c r="H7864" s="9">
        <v>7909</v>
      </c>
      <c r="I7864" s="14">
        <f>DATE(2012,12,31)-1458</f>
        <v>39816</v>
      </c>
      <c r="J7864" s="15" t="s">
        <v>17</v>
      </c>
      <c r="K7864" s="9">
        <v>29</v>
      </c>
      <c r="L7864" s="16" t="s">
        <v>26</v>
      </c>
      <c r="M7864" s="16">
        <f t="shared" si="735"/>
        <v>0.23675523371518786</v>
      </c>
      <c r="N7864">
        <f t="shared" si="736"/>
        <v>0</v>
      </c>
      <c r="O7864">
        <f t="shared" si="737"/>
        <v>0</v>
      </c>
      <c r="P7864">
        <f t="shared" si="734"/>
        <v>4850</v>
      </c>
      <c r="Q7864">
        <f t="shared" si="738"/>
        <v>4850</v>
      </c>
      <c r="T7864" s="16">
        <f t="shared" si="739"/>
        <v>0.2367552337151875</v>
      </c>
    </row>
    <row r="7865" spans="7:20" ht="14.4" x14ac:dyDescent="0.25">
      <c r="G7865" s="10">
        <v>1179</v>
      </c>
      <c r="H7865" s="9">
        <v>8614</v>
      </c>
      <c r="I7865" s="14">
        <f>DATE(2012,12,31)-1306</f>
        <v>39968</v>
      </c>
      <c r="J7865" s="15" t="s">
        <v>25</v>
      </c>
      <c r="K7865" s="9">
        <v>13</v>
      </c>
      <c r="L7865" s="16" t="s">
        <v>27</v>
      </c>
      <c r="M7865" s="16">
        <f t="shared" si="735"/>
        <v>-0.86820119219235514</v>
      </c>
      <c r="N7865">
        <f t="shared" si="736"/>
        <v>0</v>
      </c>
      <c r="O7865">
        <f t="shared" si="737"/>
        <v>0</v>
      </c>
      <c r="P7865">
        <f t="shared" si="734"/>
        <v>4050</v>
      </c>
      <c r="Q7865">
        <f t="shared" si="738"/>
        <v>4050</v>
      </c>
      <c r="T7865" s="16">
        <f t="shared" si="739"/>
        <v>-0.86820119219235548</v>
      </c>
    </row>
    <row r="7866" spans="7:20" ht="14.4" x14ac:dyDescent="0.25">
      <c r="G7866" s="10">
        <v>1271</v>
      </c>
      <c r="H7866" s="9">
        <v>9249</v>
      </c>
      <c r="I7866" s="14">
        <f>DATE(2012,12,31)-957</f>
        <v>40317</v>
      </c>
      <c r="J7866" s="15" t="s">
        <v>17</v>
      </c>
      <c r="K7866" s="9">
        <v>46</v>
      </c>
      <c r="L7866" s="16" t="s">
        <v>26</v>
      </c>
      <c r="M7866" s="16">
        <f t="shared" si="735"/>
        <v>1.4107714362419523</v>
      </c>
      <c r="N7866">
        <f t="shared" si="736"/>
        <v>0</v>
      </c>
      <c r="O7866">
        <f t="shared" si="737"/>
        <v>0</v>
      </c>
      <c r="P7866">
        <f t="shared" si="734"/>
        <v>5700</v>
      </c>
      <c r="Q7866">
        <f t="shared" si="738"/>
        <v>5700</v>
      </c>
      <c r="T7866" s="16">
        <f t="shared" si="739"/>
        <v>1.4107714362419519</v>
      </c>
    </row>
    <row r="7867" spans="7:20" ht="14.4" x14ac:dyDescent="0.25">
      <c r="G7867" s="10">
        <v>1272</v>
      </c>
      <c r="H7867" s="9">
        <v>9249</v>
      </c>
      <c r="I7867" s="14">
        <f>DATE(2012,12,31)-957</f>
        <v>40317</v>
      </c>
      <c r="J7867" s="15" t="s">
        <v>17</v>
      </c>
      <c r="K7867" s="9">
        <v>42</v>
      </c>
      <c r="L7867" s="16" t="s">
        <v>26</v>
      </c>
      <c r="M7867" s="16">
        <f t="shared" si="735"/>
        <v>1.1345323297650665</v>
      </c>
      <c r="N7867">
        <f t="shared" si="736"/>
        <v>0</v>
      </c>
      <c r="O7867">
        <f t="shared" si="737"/>
        <v>0</v>
      </c>
      <c r="P7867">
        <f t="shared" si="734"/>
        <v>5500</v>
      </c>
      <c r="Q7867">
        <f t="shared" si="738"/>
        <v>5500</v>
      </c>
      <c r="T7867" s="16">
        <f t="shared" si="739"/>
        <v>1.1345323297650662</v>
      </c>
    </row>
    <row r="7868" spans="7:20" ht="14.4" x14ac:dyDescent="0.25">
      <c r="G7868" s="10">
        <v>1273</v>
      </c>
      <c r="H7868" s="9">
        <v>9249</v>
      </c>
      <c r="I7868" s="14">
        <f>DATE(2012,12,31)-957</f>
        <v>40317</v>
      </c>
      <c r="J7868" s="15" t="s">
        <v>17</v>
      </c>
      <c r="K7868" s="9">
        <v>35</v>
      </c>
      <c r="L7868" s="16" t="s">
        <v>29</v>
      </c>
      <c r="M7868" s="16">
        <f t="shared" si="735"/>
        <v>0.65111389343051651</v>
      </c>
      <c r="N7868">
        <f t="shared" si="736"/>
        <v>0</v>
      </c>
      <c r="O7868">
        <f t="shared" si="737"/>
        <v>0</v>
      </c>
      <c r="P7868">
        <f t="shared" si="734"/>
        <v>5150</v>
      </c>
      <c r="Q7868">
        <f t="shared" si="738"/>
        <v>5150</v>
      </c>
      <c r="T7868" s="16">
        <f t="shared" si="739"/>
        <v>0.65111389343051607</v>
      </c>
    </row>
    <row r="7869" spans="7:20" ht="14.4" x14ac:dyDescent="0.25">
      <c r="G7869" s="10">
        <v>1318</v>
      </c>
      <c r="H7869" s="9">
        <v>9639</v>
      </c>
      <c r="I7869" s="14">
        <f>DATE(2012,12,31)-848</f>
        <v>40426</v>
      </c>
      <c r="J7869" s="15" t="s">
        <v>28</v>
      </c>
      <c r="K7869" s="9">
        <v>47</v>
      </c>
      <c r="L7869" s="16" t="s">
        <v>29</v>
      </c>
      <c r="M7869" s="16">
        <f t="shared" si="735"/>
        <v>1.4798312128611737</v>
      </c>
      <c r="N7869">
        <f t="shared" si="736"/>
        <v>0</v>
      </c>
      <c r="O7869">
        <f t="shared" si="737"/>
        <v>0</v>
      </c>
      <c r="P7869">
        <f t="shared" si="734"/>
        <v>5750</v>
      </c>
      <c r="Q7869">
        <f t="shared" si="738"/>
        <v>5750</v>
      </c>
      <c r="T7869" s="16">
        <f t="shared" si="739"/>
        <v>1.4798312128611733</v>
      </c>
    </row>
    <row r="7870" spans="7:20" ht="14.4" x14ac:dyDescent="0.25">
      <c r="G7870" s="10">
        <v>1319</v>
      </c>
      <c r="H7870" s="9">
        <v>9639</v>
      </c>
      <c r="I7870" s="14">
        <f>DATE(2012,12,31)-848</f>
        <v>40426</v>
      </c>
      <c r="J7870" s="15" t="s">
        <v>28</v>
      </c>
      <c r="K7870" s="9">
        <v>11</v>
      </c>
      <c r="L7870" s="16" t="s">
        <v>26</v>
      </c>
      <c r="M7870" s="16">
        <f t="shared" si="735"/>
        <v>-1.0063207454307979</v>
      </c>
      <c r="N7870">
        <f t="shared" si="736"/>
        <v>0</v>
      </c>
      <c r="O7870">
        <f t="shared" si="737"/>
        <v>0</v>
      </c>
      <c r="P7870">
        <f t="shared" si="734"/>
        <v>3950</v>
      </c>
      <c r="Q7870">
        <f t="shared" si="738"/>
        <v>3950</v>
      </c>
      <c r="T7870" s="16">
        <f t="shared" si="739"/>
        <v>-1.0063207454307983</v>
      </c>
    </row>
    <row r="7871" spans="7:20" ht="14.4" x14ac:dyDescent="0.25">
      <c r="G7871" s="10">
        <v>1320</v>
      </c>
      <c r="H7871" s="9">
        <v>9639</v>
      </c>
      <c r="I7871" s="14">
        <f>DATE(2012,12,31)-848</f>
        <v>40426</v>
      </c>
      <c r="J7871" s="15" t="s">
        <v>28</v>
      </c>
      <c r="K7871" s="9">
        <v>23</v>
      </c>
      <c r="L7871" s="16" t="s">
        <v>27</v>
      </c>
      <c r="M7871" s="16">
        <f t="shared" si="735"/>
        <v>-0.17760342600014073</v>
      </c>
      <c r="N7871">
        <f t="shared" si="736"/>
        <v>0</v>
      </c>
      <c r="O7871">
        <f t="shared" si="737"/>
        <v>0</v>
      </c>
      <c r="P7871">
        <f t="shared" si="734"/>
        <v>4550</v>
      </c>
      <c r="Q7871">
        <f t="shared" si="738"/>
        <v>4550</v>
      </c>
      <c r="T7871" s="16">
        <f t="shared" si="739"/>
        <v>-0.17760342600014112</v>
      </c>
    </row>
    <row r="7872" spans="7:20" ht="14.4" x14ac:dyDescent="0.25">
      <c r="G7872" s="10">
        <v>1328</v>
      </c>
      <c r="H7872" s="9">
        <v>9696</v>
      </c>
      <c r="I7872" s="14">
        <f>DATE(2012,12,31)-681</f>
        <v>40593</v>
      </c>
      <c r="J7872" s="15" t="s">
        <v>28</v>
      </c>
      <c r="K7872" s="9">
        <v>15</v>
      </c>
      <c r="L7872" s="16" t="s">
        <v>26</v>
      </c>
      <c r="M7872" s="16">
        <f t="shared" si="735"/>
        <v>-0.7300816389539122</v>
      </c>
      <c r="N7872">
        <f t="shared" si="736"/>
        <v>0</v>
      </c>
      <c r="O7872">
        <f t="shared" si="737"/>
        <v>0</v>
      </c>
      <c r="P7872">
        <f t="shared" si="734"/>
        <v>4150</v>
      </c>
      <c r="Q7872">
        <f t="shared" si="738"/>
        <v>4150</v>
      </c>
      <c r="T7872" s="16">
        <f t="shared" si="739"/>
        <v>-0.73008163895391265</v>
      </c>
    </row>
    <row r="7873" spans="7:20" ht="14.4" x14ac:dyDescent="0.25">
      <c r="G7873" s="10">
        <v>1329</v>
      </c>
      <c r="H7873" s="9">
        <v>9696</v>
      </c>
      <c r="I7873" s="14">
        <f>DATE(2012,12,31)-681</f>
        <v>40593</v>
      </c>
      <c r="J7873" s="15" t="s">
        <v>28</v>
      </c>
      <c r="K7873" s="9">
        <v>13</v>
      </c>
      <c r="L7873" s="16" t="s">
        <v>29</v>
      </c>
      <c r="M7873" s="16">
        <f t="shared" si="735"/>
        <v>-0.86820119219235514</v>
      </c>
      <c r="N7873">
        <f t="shared" si="736"/>
        <v>0</v>
      </c>
      <c r="O7873">
        <f t="shared" si="737"/>
        <v>0</v>
      </c>
      <c r="P7873">
        <f t="shared" si="734"/>
        <v>4050</v>
      </c>
      <c r="Q7873">
        <f t="shared" si="738"/>
        <v>4050</v>
      </c>
      <c r="T7873" s="16">
        <f t="shared" si="739"/>
        <v>-0.86820119219235548</v>
      </c>
    </row>
    <row r="7874" spans="7:20" ht="14.4" x14ac:dyDescent="0.25">
      <c r="G7874" s="10">
        <v>1355</v>
      </c>
      <c r="H7874" s="9">
        <v>9888</v>
      </c>
      <c r="I7874" s="14">
        <f>DATE(2012,12,31)-1206</f>
        <v>40068</v>
      </c>
      <c r="J7874" s="15" t="s">
        <v>25</v>
      </c>
      <c r="K7874" s="9">
        <v>48</v>
      </c>
      <c r="L7874" s="16" t="s">
        <v>27</v>
      </c>
      <c r="M7874" s="16">
        <f t="shared" si="735"/>
        <v>1.5488909894803951</v>
      </c>
      <c r="N7874">
        <f t="shared" si="736"/>
        <v>0</v>
      </c>
      <c r="O7874">
        <f t="shared" si="737"/>
        <v>0</v>
      </c>
      <c r="P7874">
        <f t="shared" si="734"/>
        <v>5800</v>
      </c>
      <c r="Q7874">
        <f t="shared" si="738"/>
        <v>5800</v>
      </c>
      <c r="T7874" s="16">
        <f t="shared" si="739"/>
        <v>1.5488909894803948</v>
      </c>
    </row>
    <row r="7875" spans="7:20" ht="14.4" x14ac:dyDescent="0.25">
      <c r="G7875" s="10">
        <v>1508</v>
      </c>
      <c r="H7875" s="9">
        <v>10913</v>
      </c>
      <c r="I7875" s="14">
        <f>DATE(2012,12,31)-1059</f>
        <v>40215</v>
      </c>
      <c r="J7875" s="15" t="s">
        <v>25</v>
      </c>
      <c r="K7875" s="9">
        <v>27</v>
      </c>
      <c r="L7875" s="16" t="s">
        <v>29</v>
      </c>
      <c r="M7875" s="16">
        <f t="shared" si="735"/>
        <v>9.8635680476745008E-2</v>
      </c>
      <c r="N7875">
        <f t="shared" si="736"/>
        <v>0</v>
      </c>
      <c r="O7875">
        <f t="shared" si="737"/>
        <v>0</v>
      </c>
      <c r="P7875">
        <f t="shared" si="734"/>
        <v>4750</v>
      </c>
      <c r="Q7875">
        <f t="shared" si="738"/>
        <v>4750</v>
      </c>
      <c r="T7875" s="16">
        <f t="shared" si="739"/>
        <v>9.8635680476744619E-2</v>
      </c>
    </row>
    <row r="7876" spans="7:20" ht="14.4" x14ac:dyDescent="0.25">
      <c r="G7876" s="10">
        <v>1520</v>
      </c>
      <c r="H7876" s="9">
        <v>10981</v>
      </c>
      <c r="I7876" s="14">
        <f>DATE(2012,12,31)-962</f>
        <v>40312</v>
      </c>
      <c r="J7876" s="15" t="s">
        <v>17</v>
      </c>
      <c r="K7876" s="9">
        <v>41</v>
      </c>
      <c r="L7876" s="16" t="s">
        <v>26</v>
      </c>
      <c r="M7876" s="16">
        <f t="shared" si="735"/>
        <v>1.0654725531458451</v>
      </c>
      <c r="N7876">
        <f t="shared" si="736"/>
        <v>0</v>
      </c>
      <c r="O7876">
        <f t="shared" si="737"/>
        <v>0</v>
      </c>
      <c r="P7876">
        <f t="shared" si="734"/>
        <v>5450</v>
      </c>
      <c r="Q7876">
        <f t="shared" si="738"/>
        <v>5450</v>
      </c>
      <c r="T7876" s="16">
        <f t="shared" si="739"/>
        <v>1.0654725531458447</v>
      </c>
    </row>
    <row r="7877" spans="7:20" ht="14.4" x14ac:dyDescent="0.25">
      <c r="G7877" s="10">
        <v>1521</v>
      </c>
      <c r="H7877" s="9">
        <v>10981</v>
      </c>
      <c r="I7877" s="14">
        <f>DATE(2012,12,31)-962</f>
        <v>40312</v>
      </c>
      <c r="J7877" s="15" t="s">
        <v>17</v>
      </c>
      <c r="K7877" s="9">
        <v>33</v>
      </c>
      <c r="L7877" s="16" t="s">
        <v>27</v>
      </c>
      <c r="M7877" s="16">
        <f t="shared" si="735"/>
        <v>0.51299434019207357</v>
      </c>
      <c r="N7877">
        <f t="shared" si="736"/>
        <v>0</v>
      </c>
      <c r="O7877">
        <f t="shared" si="737"/>
        <v>0</v>
      </c>
      <c r="P7877">
        <f t="shared" si="734"/>
        <v>5050</v>
      </c>
      <c r="Q7877">
        <f t="shared" si="738"/>
        <v>5050</v>
      </c>
      <c r="T7877" s="16">
        <f t="shared" si="739"/>
        <v>0.51299434019207324</v>
      </c>
    </row>
    <row r="7878" spans="7:20" ht="14.4" x14ac:dyDescent="0.25">
      <c r="G7878" s="10">
        <v>1773</v>
      </c>
      <c r="H7878" s="9">
        <v>12707</v>
      </c>
      <c r="I7878" s="14">
        <f>DATE(2012,12,31)-947</f>
        <v>40327</v>
      </c>
      <c r="J7878" s="15" t="s">
        <v>17</v>
      </c>
      <c r="K7878" s="9">
        <v>20</v>
      </c>
      <c r="L7878" s="16" t="s">
        <v>29</v>
      </c>
      <c r="M7878" s="16">
        <f t="shared" si="735"/>
        <v>-0.38478275585780503</v>
      </c>
      <c r="N7878">
        <f t="shared" si="736"/>
        <v>0</v>
      </c>
      <c r="O7878">
        <f t="shared" si="737"/>
        <v>0</v>
      </c>
      <c r="P7878">
        <f t="shared" si="734"/>
        <v>4400</v>
      </c>
      <c r="Q7878">
        <f t="shared" si="738"/>
        <v>4400</v>
      </c>
      <c r="T7878" s="16">
        <f t="shared" si="739"/>
        <v>-0.38478275585780541</v>
      </c>
    </row>
    <row r="7879" spans="7:20" ht="14.4" x14ac:dyDescent="0.25">
      <c r="G7879" s="10">
        <v>1931</v>
      </c>
      <c r="H7879" s="9">
        <v>13799</v>
      </c>
      <c r="I7879" s="14">
        <f>DATE(2012,12,31)-761</f>
        <v>40513</v>
      </c>
      <c r="J7879" s="15" t="s">
        <v>30</v>
      </c>
      <c r="K7879" s="9">
        <v>5</v>
      </c>
      <c r="L7879" s="16" t="s">
        <v>29</v>
      </c>
      <c r="M7879" s="16">
        <f t="shared" si="735"/>
        <v>-1.4206794051461267</v>
      </c>
      <c r="N7879">
        <f t="shared" si="736"/>
        <v>0</v>
      </c>
      <c r="O7879">
        <f t="shared" si="737"/>
        <v>0</v>
      </c>
      <c r="P7879">
        <f t="shared" si="734"/>
        <v>3650</v>
      </c>
      <c r="Q7879">
        <f t="shared" si="738"/>
        <v>3650</v>
      </c>
      <c r="T7879" s="16">
        <f t="shared" si="739"/>
        <v>-1.4206794051461269</v>
      </c>
    </row>
    <row r="7880" spans="7:20" ht="14.4" x14ac:dyDescent="0.25">
      <c r="G7880" s="10">
        <v>1950</v>
      </c>
      <c r="H7880" s="9">
        <v>13959</v>
      </c>
      <c r="I7880" s="14">
        <f>DATE(2012,12,31)-1367</f>
        <v>39907</v>
      </c>
      <c r="J7880" s="15" t="s">
        <v>16</v>
      </c>
      <c r="K7880" s="9">
        <v>47</v>
      </c>
      <c r="L7880" s="16" t="s">
        <v>26</v>
      </c>
      <c r="M7880" s="16">
        <f t="shared" si="735"/>
        <v>1.4798312128611737</v>
      </c>
      <c r="N7880">
        <f t="shared" si="736"/>
        <v>0</v>
      </c>
      <c r="O7880">
        <f t="shared" si="737"/>
        <v>0</v>
      </c>
      <c r="P7880">
        <f t="shared" si="734"/>
        <v>5750</v>
      </c>
      <c r="Q7880">
        <f t="shared" si="738"/>
        <v>5750</v>
      </c>
      <c r="T7880" s="16">
        <f t="shared" si="739"/>
        <v>1.4798312128611733</v>
      </c>
    </row>
    <row r="7881" spans="7:20" ht="14.4" x14ac:dyDescent="0.25">
      <c r="G7881" s="10">
        <v>1951</v>
      </c>
      <c r="H7881" s="9">
        <v>13959</v>
      </c>
      <c r="I7881" s="14">
        <f>DATE(2012,12,31)-1367</f>
        <v>39907</v>
      </c>
      <c r="J7881" s="15" t="s">
        <v>16</v>
      </c>
      <c r="K7881" s="9">
        <v>19</v>
      </c>
      <c r="L7881" s="16" t="s">
        <v>26</v>
      </c>
      <c r="M7881" s="16">
        <f t="shared" si="735"/>
        <v>-0.45384253247702649</v>
      </c>
      <c r="N7881">
        <f t="shared" si="736"/>
        <v>0</v>
      </c>
      <c r="O7881">
        <f t="shared" si="737"/>
        <v>0</v>
      </c>
      <c r="P7881">
        <f t="shared" si="734"/>
        <v>4350</v>
      </c>
      <c r="Q7881">
        <f t="shared" si="738"/>
        <v>4350</v>
      </c>
      <c r="T7881" s="16">
        <f t="shared" si="739"/>
        <v>-0.45384253247702688</v>
      </c>
    </row>
    <row r="7882" spans="7:20" ht="14.4" x14ac:dyDescent="0.25">
      <c r="G7882" s="10">
        <v>1959</v>
      </c>
      <c r="H7882" s="9">
        <v>14016</v>
      </c>
      <c r="I7882" s="14">
        <f>DATE(2012,12,31)-173</f>
        <v>41101</v>
      </c>
      <c r="J7882" s="15" t="s">
        <v>25</v>
      </c>
      <c r="K7882" s="9">
        <v>9</v>
      </c>
      <c r="L7882" s="16" t="s">
        <v>29</v>
      </c>
      <c r="M7882" s="16">
        <f t="shared" si="735"/>
        <v>-1.1444402986692408</v>
      </c>
      <c r="N7882">
        <f t="shared" si="736"/>
        <v>0</v>
      </c>
      <c r="O7882">
        <f t="shared" si="737"/>
        <v>0</v>
      </c>
      <c r="P7882">
        <f t="shared" si="734"/>
        <v>3850</v>
      </c>
      <c r="Q7882">
        <f t="shared" si="738"/>
        <v>3850</v>
      </c>
      <c r="T7882" s="16">
        <f t="shared" si="739"/>
        <v>-1.1444402986692412</v>
      </c>
    </row>
    <row r="7883" spans="7:20" ht="14.4" x14ac:dyDescent="0.25">
      <c r="G7883" s="10">
        <v>2044</v>
      </c>
      <c r="H7883" s="9">
        <v>14563</v>
      </c>
      <c r="I7883" s="14">
        <f>DATE(2012,12,31)-395</f>
        <v>40879</v>
      </c>
      <c r="J7883" s="15" t="s">
        <v>30</v>
      </c>
      <c r="K7883" s="9">
        <v>31</v>
      </c>
      <c r="L7883" s="16" t="s">
        <v>27</v>
      </c>
      <c r="M7883" s="16">
        <f t="shared" si="735"/>
        <v>0.37487478695363075</v>
      </c>
      <c r="N7883">
        <f t="shared" si="736"/>
        <v>0</v>
      </c>
      <c r="O7883">
        <f t="shared" si="737"/>
        <v>0</v>
      </c>
      <c r="P7883">
        <f t="shared" si="734"/>
        <v>4950</v>
      </c>
      <c r="Q7883">
        <f t="shared" si="738"/>
        <v>4950</v>
      </c>
      <c r="T7883" s="16">
        <f t="shared" si="739"/>
        <v>0.37487478695363036</v>
      </c>
    </row>
    <row r="7884" spans="7:20" ht="14.4" x14ac:dyDescent="0.25">
      <c r="G7884" s="10">
        <v>2155</v>
      </c>
      <c r="H7884" s="9">
        <v>15428</v>
      </c>
      <c r="I7884" s="14">
        <f>DATE(2012,12,31)-691</f>
        <v>40583</v>
      </c>
      <c r="J7884" s="15" t="s">
        <v>30</v>
      </c>
      <c r="K7884" s="9">
        <v>50</v>
      </c>
      <c r="L7884" s="16" t="s">
        <v>27</v>
      </c>
      <c r="M7884" s="16">
        <f t="shared" si="735"/>
        <v>1.687010542718838</v>
      </c>
      <c r="N7884">
        <f t="shared" si="736"/>
        <v>0</v>
      </c>
      <c r="O7884">
        <f t="shared" si="737"/>
        <v>0</v>
      </c>
      <c r="P7884">
        <f t="shared" ref="P7884:P7947" si="740">50*K7884+$P$10</f>
        <v>5900</v>
      </c>
      <c r="Q7884">
        <f t="shared" si="738"/>
        <v>5900</v>
      </c>
      <c r="T7884" s="16">
        <f t="shared" si="739"/>
        <v>1.6870105427188375</v>
      </c>
    </row>
    <row r="7885" spans="7:20" ht="14.4" x14ac:dyDescent="0.25">
      <c r="G7885" s="10">
        <v>2156</v>
      </c>
      <c r="H7885" s="9">
        <v>15428</v>
      </c>
      <c r="I7885" s="14">
        <f>DATE(2012,12,31)-691</f>
        <v>40583</v>
      </c>
      <c r="J7885" s="15" t="s">
        <v>30</v>
      </c>
      <c r="K7885" s="9">
        <v>10</v>
      </c>
      <c r="L7885" s="16" t="s">
        <v>27</v>
      </c>
      <c r="M7885" s="16">
        <f t="shared" ref="M7885:M7948" si="741">(K7885-$K$4)/$K$7</f>
        <v>-1.0753805220500194</v>
      </c>
      <c r="N7885">
        <f t="shared" ref="N7885:N7948" si="742">IF(MOD($B$20+G7885,1000)=0,1,0)</f>
        <v>0</v>
      </c>
      <c r="O7885">
        <f t="shared" ref="O7885:O7948" si="743">+ROUND(N7885*(IF(K7885&lt;$K$4,-4.5,10.5)*$P$5),-2)</f>
        <v>0</v>
      </c>
      <c r="P7885">
        <f t="shared" si="740"/>
        <v>3900</v>
      </c>
      <c r="Q7885">
        <f t="shared" ref="Q7885:Q7948" si="744">P7885+O7885</f>
        <v>3900</v>
      </c>
      <c r="T7885" s="16">
        <f t="shared" ref="T7885:T7948" si="745">(Q7885-$P$4)/$P$5</f>
        <v>-1.0753805220500199</v>
      </c>
    </row>
    <row r="7886" spans="7:20" ht="14.4" x14ac:dyDescent="0.25">
      <c r="G7886" s="10">
        <v>2327</v>
      </c>
      <c r="H7886" s="9">
        <v>16772</v>
      </c>
      <c r="I7886" s="14">
        <f>DATE(2012,12,31)-5</f>
        <v>41269</v>
      </c>
      <c r="J7886" s="15" t="s">
        <v>17</v>
      </c>
      <c r="K7886" s="9">
        <v>38</v>
      </c>
      <c r="L7886" s="16" t="s">
        <v>26</v>
      </c>
      <c r="M7886" s="16">
        <f t="shared" si="741"/>
        <v>0.85829322328818081</v>
      </c>
      <c r="N7886">
        <f t="shared" si="742"/>
        <v>0</v>
      </c>
      <c r="O7886">
        <f t="shared" si="743"/>
        <v>0</v>
      </c>
      <c r="P7886">
        <f t="shared" si="740"/>
        <v>5300</v>
      </c>
      <c r="Q7886">
        <f t="shared" si="744"/>
        <v>5300</v>
      </c>
      <c r="T7886" s="16">
        <f t="shared" si="745"/>
        <v>0.85829322328818036</v>
      </c>
    </row>
    <row r="7887" spans="7:20" ht="14.4" x14ac:dyDescent="0.25">
      <c r="G7887" s="10">
        <v>2425</v>
      </c>
      <c r="H7887" s="9">
        <v>17573</v>
      </c>
      <c r="I7887" s="14">
        <f>DATE(2012,12,31)-484</f>
        <v>40790</v>
      </c>
      <c r="J7887" s="15" t="s">
        <v>25</v>
      </c>
      <c r="K7887" s="9">
        <v>47</v>
      </c>
      <c r="L7887" s="16" t="s">
        <v>27</v>
      </c>
      <c r="M7887" s="16">
        <f t="shared" si="741"/>
        <v>1.4798312128611737</v>
      </c>
      <c r="N7887">
        <f t="shared" si="742"/>
        <v>0</v>
      </c>
      <c r="O7887">
        <f t="shared" si="743"/>
        <v>0</v>
      </c>
      <c r="P7887">
        <f t="shared" si="740"/>
        <v>5750</v>
      </c>
      <c r="Q7887">
        <f t="shared" si="744"/>
        <v>5750</v>
      </c>
      <c r="T7887" s="16">
        <f t="shared" si="745"/>
        <v>1.4798312128611733</v>
      </c>
    </row>
    <row r="7888" spans="7:20" ht="14.4" x14ac:dyDescent="0.25">
      <c r="G7888" s="10">
        <v>2488</v>
      </c>
      <c r="H7888" s="9">
        <v>18119</v>
      </c>
      <c r="I7888" s="14">
        <f>DATE(2012,12,31)-1286</f>
        <v>39988</v>
      </c>
      <c r="J7888" s="15" t="s">
        <v>25</v>
      </c>
      <c r="K7888" s="9">
        <v>37</v>
      </c>
      <c r="L7888" s="16" t="s">
        <v>26</v>
      </c>
      <c r="M7888" s="16">
        <f t="shared" si="741"/>
        <v>0.78923344666895934</v>
      </c>
      <c r="N7888">
        <f t="shared" si="742"/>
        <v>0</v>
      </c>
      <c r="O7888">
        <f t="shared" si="743"/>
        <v>0</v>
      </c>
      <c r="P7888">
        <f t="shared" si="740"/>
        <v>5250</v>
      </c>
      <c r="Q7888">
        <f t="shared" si="744"/>
        <v>5250</v>
      </c>
      <c r="T7888" s="16">
        <f t="shared" si="745"/>
        <v>0.789233446668959</v>
      </c>
    </row>
    <row r="7889" spans="7:20" ht="14.4" x14ac:dyDescent="0.25">
      <c r="G7889" s="10">
        <v>2527</v>
      </c>
      <c r="H7889" s="9">
        <v>18368</v>
      </c>
      <c r="I7889" s="14">
        <f>DATE(2012,12,31)-31</f>
        <v>41243</v>
      </c>
      <c r="J7889" s="15" t="s">
        <v>28</v>
      </c>
      <c r="K7889" s="9">
        <v>3</v>
      </c>
      <c r="L7889" s="16" t="s">
        <v>26</v>
      </c>
      <c r="M7889" s="16">
        <f t="shared" si="741"/>
        <v>-1.5587989583845694</v>
      </c>
      <c r="N7889">
        <f t="shared" si="742"/>
        <v>0</v>
      </c>
      <c r="O7889">
        <f t="shared" si="743"/>
        <v>0</v>
      </c>
      <c r="P7889">
        <f t="shared" si="740"/>
        <v>3550</v>
      </c>
      <c r="Q7889">
        <f t="shared" si="744"/>
        <v>3550</v>
      </c>
      <c r="T7889" s="16">
        <f t="shared" si="745"/>
        <v>-1.5587989583845698</v>
      </c>
    </row>
    <row r="7890" spans="7:20" ht="14.4" x14ac:dyDescent="0.25">
      <c r="G7890" s="10">
        <v>2528</v>
      </c>
      <c r="H7890" s="9">
        <v>18368</v>
      </c>
      <c r="I7890" s="14">
        <f>DATE(2012,12,31)-31</f>
        <v>41243</v>
      </c>
      <c r="J7890" s="15" t="s">
        <v>28</v>
      </c>
      <c r="K7890" s="9">
        <v>35</v>
      </c>
      <c r="L7890" s="16" t="s">
        <v>26</v>
      </c>
      <c r="M7890" s="16">
        <f t="shared" si="741"/>
        <v>0.65111389343051651</v>
      </c>
      <c r="N7890">
        <f t="shared" si="742"/>
        <v>0</v>
      </c>
      <c r="O7890">
        <f t="shared" si="743"/>
        <v>0</v>
      </c>
      <c r="P7890">
        <f t="shared" si="740"/>
        <v>5150</v>
      </c>
      <c r="Q7890">
        <f t="shared" si="744"/>
        <v>5150</v>
      </c>
      <c r="T7890" s="16">
        <f t="shared" si="745"/>
        <v>0.65111389343051607</v>
      </c>
    </row>
    <row r="7891" spans="7:20" ht="14.4" x14ac:dyDescent="0.25">
      <c r="G7891" s="10">
        <v>2529</v>
      </c>
      <c r="H7891" s="9">
        <v>18368</v>
      </c>
      <c r="I7891" s="14">
        <f>DATE(2012,12,31)-31</f>
        <v>41243</v>
      </c>
      <c r="J7891" s="15" t="s">
        <v>28</v>
      </c>
      <c r="K7891" s="9">
        <v>3</v>
      </c>
      <c r="L7891" s="16" t="s">
        <v>27</v>
      </c>
      <c r="M7891" s="16">
        <f t="shared" si="741"/>
        <v>-1.5587989583845694</v>
      </c>
      <c r="N7891">
        <f t="shared" si="742"/>
        <v>0</v>
      </c>
      <c r="O7891">
        <f t="shared" si="743"/>
        <v>0</v>
      </c>
      <c r="P7891">
        <f t="shared" si="740"/>
        <v>3550</v>
      </c>
      <c r="Q7891">
        <f t="shared" si="744"/>
        <v>3550</v>
      </c>
      <c r="T7891" s="16">
        <f t="shared" si="745"/>
        <v>-1.5587989583845698</v>
      </c>
    </row>
    <row r="7892" spans="7:20" ht="14.4" x14ac:dyDescent="0.25">
      <c r="G7892" s="10">
        <v>2682</v>
      </c>
      <c r="H7892" s="9">
        <v>19424</v>
      </c>
      <c r="I7892" s="14">
        <f>DATE(2012,12,31)-632</f>
        <v>40642</v>
      </c>
      <c r="J7892" s="15" t="s">
        <v>28</v>
      </c>
      <c r="K7892" s="9">
        <v>29</v>
      </c>
      <c r="L7892" s="16" t="s">
        <v>26</v>
      </c>
      <c r="M7892" s="16">
        <f t="shared" si="741"/>
        <v>0.23675523371518786</v>
      </c>
      <c r="N7892">
        <f t="shared" si="742"/>
        <v>0</v>
      </c>
      <c r="O7892">
        <f t="shared" si="743"/>
        <v>0</v>
      </c>
      <c r="P7892">
        <f t="shared" si="740"/>
        <v>4850</v>
      </c>
      <c r="Q7892">
        <f t="shared" si="744"/>
        <v>4850</v>
      </c>
      <c r="T7892" s="16">
        <f t="shared" si="745"/>
        <v>0.2367552337151875</v>
      </c>
    </row>
    <row r="7893" spans="7:20" ht="14.4" x14ac:dyDescent="0.25">
      <c r="G7893" s="10">
        <v>2683</v>
      </c>
      <c r="H7893" s="9">
        <v>19424</v>
      </c>
      <c r="I7893" s="14">
        <f>DATE(2012,12,31)-632</f>
        <v>40642</v>
      </c>
      <c r="J7893" s="15" t="s">
        <v>28</v>
      </c>
      <c r="K7893" s="9">
        <v>37</v>
      </c>
      <c r="L7893" s="16" t="s">
        <v>27</v>
      </c>
      <c r="M7893" s="16">
        <f t="shared" si="741"/>
        <v>0.78923344666895934</v>
      </c>
      <c r="N7893">
        <f t="shared" si="742"/>
        <v>0</v>
      </c>
      <c r="O7893">
        <f t="shared" si="743"/>
        <v>0</v>
      </c>
      <c r="P7893">
        <f t="shared" si="740"/>
        <v>5250</v>
      </c>
      <c r="Q7893">
        <f t="shared" si="744"/>
        <v>5250</v>
      </c>
      <c r="T7893" s="16">
        <f t="shared" si="745"/>
        <v>0.789233446668959</v>
      </c>
    </row>
    <row r="7894" spans="7:20" ht="14.4" x14ac:dyDescent="0.25">
      <c r="G7894" s="10">
        <v>2684</v>
      </c>
      <c r="H7894" s="9">
        <v>19425</v>
      </c>
      <c r="I7894" s="14">
        <f>DATE(2012,12,31)-98</f>
        <v>41176</v>
      </c>
      <c r="J7894" s="15" t="s">
        <v>28</v>
      </c>
      <c r="K7894" s="9">
        <v>34</v>
      </c>
      <c r="L7894" s="16" t="s">
        <v>26</v>
      </c>
      <c r="M7894" s="16">
        <f t="shared" si="741"/>
        <v>0.58205411681129504</v>
      </c>
      <c r="N7894">
        <f t="shared" si="742"/>
        <v>0</v>
      </c>
      <c r="O7894">
        <f t="shared" si="743"/>
        <v>0</v>
      </c>
      <c r="P7894">
        <f t="shared" si="740"/>
        <v>5100</v>
      </c>
      <c r="Q7894">
        <f t="shared" si="744"/>
        <v>5100</v>
      </c>
      <c r="T7894" s="16">
        <f t="shared" si="745"/>
        <v>0.58205411681129471</v>
      </c>
    </row>
    <row r="7895" spans="7:20" ht="14.4" x14ac:dyDescent="0.25">
      <c r="G7895" s="10">
        <v>2744</v>
      </c>
      <c r="H7895" s="9">
        <v>19812</v>
      </c>
      <c r="I7895" s="14">
        <f>DATE(2012,12,31)-1004</f>
        <v>40270</v>
      </c>
      <c r="J7895" s="15" t="s">
        <v>25</v>
      </c>
      <c r="K7895" s="9">
        <v>3</v>
      </c>
      <c r="L7895" s="16" t="s">
        <v>29</v>
      </c>
      <c r="M7895" s="16">
        <f t="shared" si="741"/>
        <v>-1.5587989583845694</v>
      </c>
      <c r="N7895">
        <f t="shared" si="742"/>
        <v>0</v>
      </c>
      <c r="O7895">
        <f t="shared" si="743"/>
        <v>0</v>
      </c>
      <c r="P7895">
        <f t="shared" si="740"/>
        <v>3550</v>
      </c>
      <c r="Q7895">
        <f t="shared" si="744"/>
        <v>3550</v>
      </c>
      <c r="T7895" s="16">
        <f t="shared" si="745"/>
        <v>-1.5587989583845698</v>
      </c>
    </row>
    <row r="7896" spans="7:20" ht="14.4" x14ac:dyDescent="0.25">
      <c r="G7896" s="10">
        <v>2979</v>
      </c>
      <c r="H7896" s="9">
        <v>21510</v>
      </c>
      <c r="I7896" s="14">
        <f>DATE(2012,12,31)-237</f>
        <v>41037</v>
      </c>
      <c r="J7896" s="15" t="s">
        <v>17</v>
      </c>
      <c r="K7896" s="9">
        <v>16</v>
      </c>
      <c r="L7896" s="16" t="s">
        <v>27</v>
      </c>
      <c r="M7896" s="16">
        <f t="shared" si="741"/>
        <v>-0.66102186233469074</v>
      </c>
      <c r="N7896">
        <f t="shared" si="742"/>
        <v>0</v>
      </c>
      <c r="O7896">
        <f t="shared" si="743"/>
        <v>0</v>
      </c>
      <c r="P7896">
        <f t="shared" si="740"/>
        <v>4200</v>
      </c>
      <c r="Q7896">
        <f t="shared" si="744"/>
        <v>4200</v>
      </c>
      <c r="T7896" s="16">
        <f t="shared" si="745"/>
        <v>-0.66102186233469118</v>
      </c>
    </row>
    <row r="7897" spans="7:20" ht="14.4" x14ac:dyDescent="0.25">
      <c r="G7897" s="10">
        <v>3026</v>
      </c>
      <c r="H7897" s="9">
        <v>21763</v>
      </c>
      <c r="I7897" s="14">
        <f>DATE(2012,12,31)-217</f>
        <v>41057</v>
      </c>
      <c r="J7897" s="15" t="s">
        <v>25</v>
      </c>
      <c r="K7897" s="9">
        <v>22</v>
      </c>
      <c r="L7897" s="16" t="s">
        <v>27</v>
      </c>
      <c r="M7897" s="16">
        <f t="shared" si="741"/>
        <v>-0.24666320261936217</v>
      </c>
      <c r="N7897">
        <f t="shared" si="742"/>
        <v>0</v>
      </c>
      <c r="O7897">
        <f t="shared" si="743"/>
        <v>0</v>
      </c>
      <c r="P7897">
        <f t="shared" si="740"/>
        <v>4500</v>
      </c>
      <c r="Q7897">
        <f t="shared" si="744"/>
        <v>4500</v>
      </c>
      <c r="T7897" s="16">
        <f t="shared" si="745"/>
        <v>-0.24666320261936256</v>
      </c>
    </row>
    <row r="7898" spans="7:20" ht="14.4" x14ac:dyDescent="0.25">
      <c r="G7898" s="10">
        <v>3101</v>
      </c>
      <c r="H7898" s="9">
        <v>22212</v>
      </c>
      <c r="I7898" s="14">
        <f>DATE(2012,12,31)-836</f>
        <v>40438</v>
      </c>
      <c r="J7898" s="15" t="s">
        <v>16</v>
      </c>
      <c r="K7898" s="9">
        <v>19</v>
      </c>
      <c r="L7898" s="16" t="s">
        <v>26</v>
      </c>
      <c r="M7898" s="16">
        <f t="shared" si="741"/>
        <v>-0.45384253247702649</v>
      </c>
      <c r="N7898">
        <f t="shared" si="742"/>
        <v>0</v>
      </c>
      <c r="O7898">
        <f t="shared" si="743"/>
        <v>0</v>
      </c>
      <c r="P7898">
        <f t="shared" si="740"/>
        <v>4350</v>
      </c>
      <c r="Q7898">
        <f t="shared" si="744"/>
        <v>4350</v>
      </c>
      <c r="T7898" s="16">
        <f t="shared" si="745"/>
        <v>-0.45384253247702688</v>
      </c>
    </row>
    <row r="7899" spans="7:20" ht="14.4" x14ac:dyDescent="0.25">
      <c r="G7899" s="10">
        <v>3213</v>
      </c>
      <c r="H7899" s="9">
        <v>23046</v>
      </c>
      <c r="I7899" s="14">
        <f>DATE(2012,12,31)-817</f>
        <v>40457</v>
      </c>
      <c r="J7899" s="15" t="s">
        <v>30</v>
      </c>
      <c r="K7899" s="9">
        <v>33</v>
      </c>
      <c r="L7899" s="16" t="s">
        <v>26</v>
      </c>
      <c r="M7899" s="16">
        <f t="shared" si="741"/>
        <v>0.51299434019207357</v>
      </c>
      <c r="N7899">
        <f t="shared" si="742"/>
        <v>0</v>
      </c>
      <c r="O7899">
        <f t="shared" si="743"/>
        <v>0</v>
      </c>
      <c r="P7899">
        <f t="shared" si="740"/>
        <v>5050</v>
      </c>
      <c r="Q7899">
        <f t="shared" si="744"/>
        <v>5050</v>
      </c>
      <c r="T7899" s="16">
        <f t="shared" si="745"/>
        <v>0.51299434019207324</v>
      </c>
    </row>
    <row r="7900" spans="7:20" ht="14.4" x14ac:dyDescent="0.25">
      <c r="G7900" s="10">
        <v>3230</v>
      </c>
      <c r="H7900" s="9">
        <v>23172</v>
      </c>
      <c r="I7900" s="14">
        <f>DATE(2012,12,31)-251</f>
        <v>41023</v>
      </c>
      <c r="J7900" s="15" t="s">
        <v>25</v>
      </c>
      <c r="K7900" s="9">
        <v>13</v>
      </c>
      <c r="L7900" s="16" t="s">
        <v>27</v>
      </c>
      <c r="M7900" s="16">
        <f t="shared" si="741"/>
        <v>-0.86820119219235514</v>
      </c>
      <c r="N7900">
        <f t="shared" si="742"/>
        <v>0</v>
      </c>
      <c r="O7900">
        <f t="shared" si="743"/>
        <v>0</v>
      </c>
      <c r="P7900">
        <f t="shared" si="740"/>
        <v>4050</v>
      </c>
      <c r="Q7900">
        <f t="shared" si="744"/>
        <v>4050</v>
      </c>
      <c r="T7900" s="16">
        <f t="shared" si="745"/>
        <v>-0.86820119219235548</v>
      </c>
    </row>
    <row r="7901" spans="7:20" ht="14.4" x14ac:dyDescent="0.25">
      <c r="G7901" s="10">
        <v>3301</v>
      </c>
      <c r="H7901" s="9">
        <v>23585</v>
      </c>
      <c r="I7901" s="14">
        <f>DATE(2012,12,31)-61</f>
        <v>41213</v>
      </c>
      <c r="J7901" s="15" t="s">
        <v>30</v>
      </c>
      <c r="K7901" s="9">
        <v>44</v>
      </c>
      <c r="L7901" s="16" t="s">
        <v>26</v>
      </c>
      <c r="M7901" s="16">
        <f t="shared" si="741"/>
        <v>1.2726518830035094</v>
      </c>
      <c r="N7901">
        <f t="shared" si="742"/>
        <v>0</v>
      </c>
      <c r="O7901">
        <f t="shared" si="743"/>
        <v>0</v>
      </c>
      <c r="P7901">
        <f t="shared" si="740"/>
        <v>5600</v>
      </c>
      <c r="Q7901">
        <f t="shared" si="744"/>
        <v>5600</v>
      </c>
      <c r="T7901" s="16">
        <f t="shared" si="745"/>
        <v>1.272651883003509</v>
      </c>
    </row>
    <row r="7902" spans="7:20" ht="14.4" x14ac:dyDescent="0.25">
      <c r="G7902" s="10">
        <v>3340</v>
      </c>
      <c r="H7902" s="9">
        <v>23906</v>
      </c>
      <c r="I7902" s="14">
        <f>DATE(2012,12,31)-833</f>
        <v>40441</v>
      </c>
      <c r="J7902" s="15" t="s">
        <v>30</v>
      </c>
      <c r="K7902" s="9">
        <v>37</v>
      </c>
      <c r="L7902" s="16" t="s">
        <v>26</v>
      </c>
      <c r="M7902" s="16">
        <f t="shared" si="741"/>
        <v>0.78923344666895934</v>
      </c>
      <c r="N7902">
        <f t="shared" si="742"/>
        <v>0</v>
      </c>
      <c r="O7902">
        <f t="shared" si="743"/>
        <v>0</v>
      </c>
      <c r="P7902">
        <f t="shared" si="740"/>
        <v>5250</v>
      </c>
      <c r="Q7902">
        <f t="shared" si="744"/>
        <v>5250</v>
      </c>
      <c r="T7902" s="16">
        <f t="shared" si="745"/>
        <v>0.789233446668959</v>
      </c>
    </row>
    <row r="7903" spans="7:20" ht="14.4" x14ac:dyDescent="0.25">
      <c r="G7903" s="10">
        <v>3449</v>
      </c>
      <c r="H7903" s="9">
        <v>24583</v>
      </c>
      <c r="I7903" s="14">
        <f>DATE(2012,12,31)-510</f>
        <v>40764</v>
      </c>
      <c r="J7903" s="15" t="s">
        <v>30</v>
      </c>
      <c r="K7903" s="9">
        <v>17</v>
      </c>
      <c r="L7903" s="16" t="s">
        <v>26</v>
      </c>
      <c r="M7903" s="16">
        <f t="shared" si="741"/>
        <v>-0.59196208571546938</v>
      </c>
      <c r="N7903">
        <f t="shared" si="742"/>
        <v>0</v>
      </c>
      <c r="O7903">
        <f t="shared" si="743"/>
        <v>0</v>
      </c>
      <c r="P7903">
        <f t="shared" si="740"/>
        <v>4250</v>
      </c>
      <c r="Q7903">
        <f t="shared" si="744"/>
        <v>4250</v>
      </c>
      <c r="T7903" s="16">
        <f t="shared" si="745"/>
        <v>-0.59196208571546971</v>
      </c>
    </row>
    <row r="7904" spans="7:20" ht="14.4" x14ac:dyDescent="0.25">
      <c r="G7904" s="10">
        <v>3540</v>
      </c>
      <c r="H7904" s="9">
        <v>25191</v>
      </c>
      <c r="I7904" s="14">
        <f>DATE(2012,12,31)-642</f>
        <v>40632</v>
      </c>
      <c r="J7904" s="15" t="s">
        <v>16</v>
      </c>
      <c r="K7904" s="9">
        <v>42</v>
      </c>
      <c r="L7904" s="16" t="s">
        <v>27</v>
      </c>
      <c r="M7904" s="16">
        <f t="shared" si="741"/>
        <v>1.1345323297650665</v>
      </c>
      <c r="N7904">
        <f t="shared" si="742"/>
        <v>0</v>
      </c>
      <c r="O7904">
        <f t="shared" si="743"/>
        <v>0</v>
      </c>
      <c r="P7904">
        <f t="shared" si="740"/>
        <v>5500</v>
      </c>
      <c r="Q7904">
        <f t="shared" si="744"/>
        <v>5500</v>
      </c>
      <c r="T7904" s="16">
        <f t="shared" si="745"/>
        <v>1.1345323297650662</v>
      </c>
    </row>
    <row r="7905" spans="7:20" ht="14.4" x14ac:dyDescent="0.25">
      <c r="G7905" s="10">
        <v>3589</v>
      </c>
      <c r="H7905" s="9">
        <v>25603</v>
      </c>
      <c r="I7905" s="14">
        <f>DATE(2012,12,31)-667</f>
        <v>40607</v>
      </c>
      <c r="J7905" s="15" t="s">
        <v>25</v>
      </c>
      <c r="K7905" s="9">
        <v>23</v>
      </c>
      <c r="L7905" s="16" t="s">
        <v>26</v>
      </c>
      <c r="M7905" s="16">
        <f t="shared" si="741"/>
        <v>-0.17760342600014073</v>
      </c>
      <c r="N7905">
        <f t="shared" si="742"/>
        <v>0</v>
      </c>
      <c r="O7905">
        <f t="shared" si="743"/>
        <v>0</v>
      </c>
      <c r="P7905">
        <f t="shared" si="740"/>
        <v>4550</v>
      </c>
      <c r="Q7905">
        <f t="shared" si="744"/>
        <v>4550</v>
      </c>
      <c r="T7905" s="16">
        <f t="shared" si="745"/>
        <v>-0.17760342600014112</v>
      </c>
    </row>
    <row r="7906" spans="7:20" ht="14.4" x14ac:dyDescent="0.25">
      <c r="G7906" s="10">
        <v>3623</v>
      </c>
      <c r="H7906" s="9">
        <v>25861</v>
      </c>
      <c r="I7906" s="14">
        <f>DATE(2012,12,31)-146</f>
        <v>41128</v>
      </c>
      <c r="J7906" s="15" t="s">
        <v>17</v>
      </c>
      <c r="K7906" s="9">
        <v>44</v>
      </c>
      <c r="L7906" s="16" t="s">
        <v>27</v>
      </c>
      <c r="M7906" s="16">
        <f t="shared" si="741"/>
        <v>1.2726518830035094</v>
      </c>
      <c r="N7906">
        <f t="shared" si="742"/>
        <v>0</v>
      </c>
      <c r="O7906">
        <f t="shared" si="743"/>
        <v>0</v>
      </c>
      <c r="P7906">
        <f t="shared" si="740"/>
        <v>5600</v>
      </c>
      <c r="Q7906">
        <f t="shared" si="744"/>
        <v>5600</v>
      </c>
      <c r="T7906" s="16">
        <f t="shared" si="745"/>
        <v>1.272651883003509</v>
      </c>
    </row>
    <row r="7907" spans="7:20" ht="14.4" x14ac:dyDescent="0.25">
      <c r="G7907" s="10">
        <v>3785</v>
      </c>
      <c r="H7907" s="9">
        <v>26979</v>
      </c>
      <c r="I7907" s="14">
        <f>DATE(2012,12,31)-278</f>
        <v>40996</v>
      </c>
      <c r="J7907" s="15" t="s">
        <v>16</v>
      </c>
      <c r="K7907" s="9">
        <v>43</v>
      </c>
      <c r="L7907" s="16" t="s">
        <v>26</v>
      </c>
      <c r="M7907" s="16">
        <f t="shared" si="741"/>
        <v>1.203592106384288</v>
      </c>
      <c r="N7907">
        <f t="shared" si="742"/>
        <v>0</v>
      </c>
      <c r="O7907">
        <f t="shared" si="743"/>
        <v>0</v>
      </c>
      <c r="P7907">
        <f t="shared" si="740"/>
        <v>5550</v>
      </c>
      <c r="Q7907">
        <f t="shared" si="744"/>
        <v>5550</v>
      </c>
      <c r="T7907" s="16">
        <f t="shared" si="745"/>
        <v>1.2035921063842876</v>
      </c>
    </row>
    <row r="7908" spans="7:20" ht="14.4" x14ac:dyDescent="0.25">
      <c r="G7908" s="10">
        <v>3786</v>
      </c>
      <c r="H7908" s="9">
        <v>26979</v>
      </c>
      <c r="I7908" s="14">
        <f>DATE(2012,12,31)-278</f>
        <v>40996</v>
      </c>
      <c r="J7908" s="15" t="s">
        <v>16</v>
      </c>
      <c r="K7908" s="9">
        <v>50</v>
      </c>
      <c r="L7908" s="16" t="s">
        <v>27</v>
      </c>
      <c r="M7908" s="16">
        <f t="shared" si="741"/>
        <v>1.687010542718838</v>
      </c>
      <c r="N7908">
        <f t="shared" si="742"/>
        <v>0</v>
      </c>
      <c r="O7908">
        <f t="shared" si="743"/>
        <v>0</v>
      </c>
      <c r="P7908">
        <f t="shared" si="740"/>
        <v>5900</v>
      </c>
      <c r="Q7908">
        <f t="shared" si="744"/>
        <v>5900</v>
      </c>
      <c r="T7908" s="16">
        <f t="shared" si="745"/>
        <v>1.6870105427188375</v>
      </c>
    </row>
    <row r="7909" spans="7:20" ht="14.4" x14ac:dyDescent="0.25">
      <c r="G7909" s="10">
        <v>3884</v>
      </c>
      <c r="H7909" s="9">
        <v>27746</v>
      </c>
      <c r="I7909" s="14">
        <f>DATE(2012,12,31)-758</f>
        <v>40516</v>
      </c>
      <c r="J7909" s="15" t="s">
        <v>30</v>
      </c>
      <c r="K7909" s="9">
        <v>3</v>
      </c>
      <c r="L7909" s="16" t="s">
        <v>29</v>
      </c>
      <c r="M7909" s="16">
        <f t="shared" si="741"/>
        <v>-1.5587989583845694</v>
      </c>
      <c r="N7909">
        <f t="shared" si="742"/>
        <v>0</v>
      </c>
      <c r="O7909">
        <f t="shared" si="743"/>
        <v>0</v>
      </c>
      <c r="P7909">
        <f t="shared" si="740"/>
        <v>3550</v>
      </c>
      <c r="Q7909">
        <f t="shared" si="744"/>
        <v>3550</v>
      </c>
      <c r="T7909" s="16">
        <f t="shared" si="745"/>
        <v>-1.5587989583845698</v>
      </c>
    </row>
    <row r="7910" spans="7:20" ht="14.4" x14ac:dyDescent="0.25">
      <c r="G7910" s="10">
        <v>3885</v>
      </c>
      <c r="H7910" s="9">
        <v>27746</v>
      </c>
      <c r="I7910" s="14">
        <f>DATE(2012,12,31)-758</f>
        <v>40516</v>
      </c>
      <c r="J7910" s="15" t="s">
        <v>30</v>
      </c>
      <c r="K7910" s="9">
        <v>42</v>
      </c>
      <c r="L7910" s="16" t="s">
        <v>26</v>
      </c>
      <c r="M7910" s="16">
        <f t="shared" si="741"/>
        <v>1.1345323297650665</v>
      </c>
      <c r="N7910">
        <f t="shared" si="742"/>
        <v>0</v>
      </c>
      <c r="O7910">
        <f t="shared" si="743"/>
        <v>0</v>
      </c>
      <c r="P7910">
        <f t="shared" si="740"/>
        <v>5500</v>
      </c>
      <c r="Q7910">
        <f t="shared" si="744"/>
        <v>5500</v>
      </c>
      <c r="T7910" s="16">
        <f t="shared" si="745"/>
        <v>1.1345323297650662</v>
      </c>
    </row>
    <row r="7911" spans="7:20" ht="14.4" x14ac:dyDescent="0.25">
      <c r="G7911" s="10">
        <v>3905</v>
      </c>
      <c r="H7911" s="9">
        <v>27844</v>
      </c>
      <c r="I7911" s="14">
        <f>DATE(2012,12,31)-551</f>
        <v>40723</v>
      </c>
      <c r="J7911" s="15" t="s">
        <v>25</v>
      </c>
      <c r="K7911" s="9">
        <v>1</v>
      </c>
      <c r="L7911" s="16" t="s">
        <v>26</v>
      </c>
      <c r="M7911" s="16">
        <f t="shared" si="741"/>
        <v>-1.6969185116230123</v>
      </c>
      <c r="N7911">
        <f t="shared" si="742"/>
        <v>0</v>
      </c>
      <c r="O7911">
        <f t="shared" si="743"/>
        <v>0</v>
      </c>
      <c r="P7911">
        <f t="shared" si="740"/>
        <v>3450</v>
      </c>
      <c r="Q7911">
        <f t="shared" si="744"/>
        <v>3450</v>
      </c>
      <c r="T7911" s="16">
        <f t="shared" si="745"/>
        <v>-1.6969185116230128</v>
      </c>
    </row>
    <row r="7912" spans="7:20" ht="14.4" x14ac:dyDescent="0.25">
      <c r="G7912" s="10">
        <v>3943</v>
      </c>
      <c r="H7912" s="9">
        <v>28097</v>
      </c>
      <c r="I7912" s="14">
        <f>DATE(2012,12,31)-1328</f>
        <v>39946</v>
      </c>
      <c r="J7912" s="15" t="s">
        <v>16</v>
      </c>
      <c r="K7912" s="9">
        <v>43</v>
      </c>
      <c r="L7912" s="16" t="s">
        <v>29</v>
      </c>
      <c r="M7912" s="16">
        <f t="shared" si="741"/>
        <v>1.203592106384288</v>
      </c>
      <c r="N7912">
        <f t="shared" si="742"/>
        <v>0</v>
      </c>
      <c r="O7912">
        <f t="shared" si="743"/>
        <v>0</v>
      </c>
      <c r="P7912">
        <f t="shared" si="740"/>
        <v>5550</v>
      </c>
      <c r="Q7912">
        <f t="shared" si="744"/>
        <v>5550</v>
      </c>
      <c r="T7912" s="16">
        <f t="shared" si="745"/>
        <v>1.2035921063842876</v>
      </c>
    </row>
    <row r="7913" spans="7:20" ht="14.4" x14ac:dyDescent="0.25">
      <c r="G7913" s="10">
        <v>3962</v>
      </c>
      <c r="H7913" s="9">
        <v>28262</v>
      </c>
      <c r="I7913" s="14">
        <f>DATE(2012,12,31)-731</f>
        <v>40543</v>
      </c>
      <c r="J7913" s="15" t="s">
        <v>16</v>
      </c>
      <c r="K7913" s="9">
        <v>26</v>
      </c>
      <c r="L7913" s="16" t="s">
        <v>26</v>
      </c>
      <c r="M7913" s="16">
        <f t="shared" si="741"/>
        <v>2.9575903857523567E-2</v>
      </c>
      <c r="N7913">
        <f t="shared" si="742"/>
        <v>0</v>
      </c>
      <c r="O7913">
        <f t="shared" si="743"/>
        <v>0</v>
      </c>
      <c r="P7913">
        <f t="shared" si="740"/>
        <v>4700</v>
      </c>
      <c r="Q7913">
        <f t="shared" si="744"/>
        <v>4700</v>
      </c>
      <c r="T7913" s="16">
        <f t="shared" si="745"/>
        <v>2.9575903857523185E-2</v>
      </c>
    </row>
    <row r="7914" spans="7:20" ht="14.4" x14ac:dyDescent="0.25">
      <c r="G7914" s="10">
        <v>3998</v>
      </c>
      <c r="H7914" s="9">
        <v>28519</v>
      </c>
      <c r="I7914" s="14">
        <f>DATE(2012,12,31)-923</f>
        <v>40351</v>
      </c>
      <c r="J7914" s="15" t="s">
        <v>17</v>
      </c>
      <c r="K7914" s="9">
        <v>4</v>
      </c>
      <c r="L7914" s="16" t="s">
        <v>27</v>
      </c>
      <c r="M7914" s="16">
        <f t="shared" si="741"/>
        <v>-1.489739181765348</v>
      </c>
      <c r="N7914">
        <f t="shared" si="742"/>
        <v>0</v>
      </c>
      <c r="O7914">
        <f t="shared" si="743"/>
        <v>0</v>
      </c>
      <c r="P7914">
        <f t="shared" si="740"/>
        <v>3600</v>
      </c>
      <c r="Q7914">
        <f t="shared" si="744"/>
        <v>3600</v>
      </c>
      <c r="T7914" s="16">
        <f t="shared" si="745"/>
        <v>-1.4897391817653485</v>
      </c>
    </row>
    <row r="7915" spans="7:20" ht="14.4" x14ac:dyDescent="0.25">
      <c r="G7915" s="10">
        <v>4079</v>
      </c>
      <c r="H7915" s="9">
        <v>29058</v>
      </c>
      <c r="I7915" s="14">
        <f>DATE(2012,12,31)-1093</f>
        <v>40181</v>
      </c>
      <c r="J7915" s="15" t="s">
        <v>17</v>
      </c>
      <c r="K7915" s="9">
        <v>33</v>
      </c>
      <c r="L7915" s="16" t="s">
        <v>29</v>
      </c>
      <c r="M7915" s="16">
        <f t="shared" si="741"/>
        <v>0.51299434019207357</v>
      </c>
      <c r="N7915">
        <f t="shared" si="742"/>
        <v>0</v>
      </c>
      <c r="O7915">
        <f t="shared" si="743"/>
        <v>0</v>
      </c>
      <c r="P7915">
        <f t="shared" si="740"/>
        <v>5050</v>
      </c>
      <c r="Q7915">
        <f t="shared" si="744"/>
        <v>5050</v>
      </c>
      <c r="T7915" s="16">
        <f t="shared" si="745"/>
        <v>0.51299434019207324</v>
      </c>
    </row>
    <row r="7916" spans="7:20" ht="14.4" x14ac:dyDescent="0.25">
      <c r="G7916" s="10">
        <v>4094</v>
      </c>
      <c r="H7916" s="9">
        <v>29187</v>
      </c>
      <c r="I7916" s="14">
        <f>DATE(2012,12,31)-1249</f>
        <v>40025</v>
      </c>
      <c r="J7916" s="15" t="s">
        <v>25</v>
      </c>
      <c r="K7916" s="9">
        <v>5</v>
      </c>
      <c r="L7916" s="16" t="s">
        <v>26</v>
      </c>
      <c r="M7916" s="16">
        <f t="shared" si="741"/>
        <v>-1.4206794051461267</v>
      </c>
      <c r="N7916">
        <f t="shared" si="742"/>
        <v>0</v>
      </c>
      <c r="O7916">
        <f t="shared" si="743"/>
        <v>0</v>
      </c>
      <c r="P7916">
        <f t="shared" si="740"/>
        <v>3650</v>
      </c>
      <c r="Q7916">
        <f t="shared" si="744"/>
        <v>3650</v>
      </c>
      <c r="T7916" s="16">
        <f t="shared" si="745"/>
        <v>-1.4206794051461269</v>
      </c>
    </row>
    <row r="7917" spans="7:20" ht="14.4" x14ac:dyDescent="0.25">
      <c r="G7917" s="10">
        <v>4095</v>
      </c>
      <c r="H7917" s="9">
        <v>29187</v>
      </c>
      <c r="I7917" s="14">
        <f>DATE(2012,12,31)-1249</f>
        <v>40025</v>
      </c>
      <c r="J7917" s="15" t="s">
        <v>25</v>
      </c>
      <c r="K7917" s="9">
        <v>8</v>
      </c>
      <c r="L7917" s="16" t="s">
        <v>26</v>
      </c>
      <c r="M7917" s="16">
        <f t="shared" si="741"/>
        <v>-1.2135000752884624</v>
      </c>
      <c r="N7917">
        <f t="shared" si="742"/>
        <v>0</v>
      </c>
      <c r="O7917">
        <f t="shared" si="743"/>
        <v>0</v>
      </c>
      <c r="P7917">
        <f t="shared" si="740"/>
        <v>3800</v>
      </c>
      <c r="Q7917">
        <f t="shared" si="744"/>
        <v>3800</v>
      </c>
      <c r="T7917" s="16">
        <f t="shared" si="745"/>
        <v>-1.2135000752884626</v>
      </c>
    </row>
    <row r="7918" spans="7:20" ht="14.4" x14ac:dyDescent="0.25">
      <c r="G7918" s="10">
        <v>4096</v>
      </c>
      <c r="H7918" s="9">
        <v>29187</v>
      </c>
      <c r="I7918" s="14">
        <f>DATE(2012,12,31)-1249</f>
        <v>40025</v>
      </c>
      <c r="J7918" s="15" t="s">
        <v>25</v>
      </c>
      <c r="K7918" s="9">
        <v>35</v>
      </c>
      <c r="L7918" s="16" t="s">
        <v>27</v>
      </c>
      <c r="M7918" s="16">
        <f t="shared" si="741"/>
        <v>0.65111389343051651</v>
      </c>
      <c r="N7918">
        <f t="shared" si="742"/>
        <v>0</v>
      </c>
      <c r="O7918">
        <f t="shared" si="743"/>
        <v>0</v>
      </c>
      <c r="P7918">
        <f t="shared" si="740"/>
        <v>5150</v>
      </c>
      <c r="Q7918">
        <f t="shared" si="744"/>
        <v>5150</v>
      </c>
      <c r="T7918" s="16">
        <f t="shared" si="745"/>
        <v>0.65111389343051607</v>
      </c>
    </row>
    <row r="7919" spans="7:20" ht="14.4" x14ac:dyDescent="0.25">
      <c r="G7919" s="10">
        <v>4097</v>
      </c>
      <c r="H7919" s="9">
        <v>29187</v>
      </c>
      <c r="I7919" s="14">
        <f>DATE(2012,12,31)-1249</f>
        <v>40025</v>
      </c>
      <c r="J7919" s="15" t="s">
        <v>25</v>
      </c>
      <c r="K7919" s="9">
        <v>10</v>
      </c>
      <c r="L7919" s="16" t="s">
        <v>26</v>
      </c>
      <c r="M7919" s="16">
        <f t="shared" si="741"/>
        <v>-1.0753805220500194</v>
      </c>
      <c r="N7919">
        <f t="shared" si="742"/>
        <v>0</v>
      </c>
      <c r="O7919">
        <f t="shared" si="743"/>
        <v>0</v>
      </c>
      <c r="P7919">
        <f t="shared" si="740"/>
        <v>3900</v>
      </c>
      <c r="Q7919">
        <f t="shared" si="744"/>
        <v>3900</v>
      </c>
      <c r="T7919" s="16">
        <f t="shared" si="745"/>
        <v>-1.0753805220500199</v>
      </c>
    </row>
    <row r="7920" spans="7:20" ht="14.4" x14ac:dyDescent="0.25">
      <c r="G7920" s="10">
        <v>4098</v>
      </c>
      <c r="H7920" s="9">
        <v>29187</v>
      </c>
      <c r="I7920" s="14">
        <f>DATE(2012,12,31)-1249</f>
        <v>40025</v>
      </c>
      <c r="J7920" s="15" t="s">
        <v>25</v>
      </c>
      <c r="K7920" s="9">
        <v>42</v>
      </c>
      <c r="L7920" s="16" t="s">
        <v>26</v>
      </c>
      <c r="M7920" s="16">
        <f t="shared" si="741"/>
        <v>1.1345323297650665</v>
      </c>
      <c r="N7920">
        <f t="shared" si="742"/>
        <v>0</v>
      </c>
      <c r="O7920">
        <f t="shared" si="743"/>
        <v>0</v>
      </c>
      <c r="P7920">
        <f t="shared" si="740"/>
        <v>5500</v>
      </c>
      <c r="Q7920">
        <f t="shared" si="744"/>
        <v>5500</v>
      </c>
      <c r="T7920" s="16">
        <f t="shared" si="745"/>
        <v>1.1345323297650662</v>
      </c>
    </row>
    <row r="7921" spans="7:20" ht="14.4" x14ac:dyDescent="0.25">
      <c r="G7921" s="10">
        <v>4120</v>
      </c>
      <c r="H7921" s="9">
        <v>29317</v>
      </c>
      <c r="I7921" s="14">
        <f>DATE(2012,12,31)-456</f>
        <v>40818</v>
      </c>
      <c r="J7921" s="15" t="s">
        <v>28</v>
      </c>
      <c r="K7921" s="9">
        <v>40</v>
      </c>
      <c r="L7921" s="16" t="s">
        <v>29</v>
      </c>
      <c r="M7921" s="16">
        <f t="shared" si="741"/>
        <v>0.99641277652662363</v>
      </c>
      <c r="N7921">
        <f t="shared" si="742"/>
        <v>0</v>
      </c>
      <c r="O7921">
        <f t="shared" si="743"/>
        <v>0</v>
      </c>
      <c r="P7921">
        <f t="shared" si="740"/>
        <v>5400</v>
      </c>
      <c r="Q7921">
        <f t="shared" si="744"/>
        <v>5400</v>
      </c>
      <c r="T7921" s="16">
        <f t="shared" si="745"/>
        <v>0.9964127765266233</v>
      </c>
    </row>
    <row r="7922" spans="7:20" ht="14.4" x14ac:dyDescent="0.25">
      <c r="G7922" s="10">
        <v>4121</v>
      </c>
      <c r="H7922" s="9">
        <v>29317</v>
      </c>
      <c r="I7922" s="14">
        <f>DATE(2012,12,31)-456</f>
        <v>40818</v>
      </c>
      <c r="J7922" s="15" t="s">
        <v>28</v>
      </c>
      <c r="K7922" s="9">
        <v>20</v>
      </c>
      <c r="L7922" s="16" t="s">
        <v>27</v>
      </c>
      <c r="M7922" s="16">
        <f t="shared" si="741"/>
        <v>-0.38478275585780503</v>
      </c>
      <c r="N7922">
        <f t="shared" si="742"/>
        <v>0</v>
      </c>
      <c r="O7922">
        <f t="shared" si="743"/>
        <v>0</v>
      </c>
      <c r="P7922">
        <f t="shared" si="740"/>
        <v>4400</v>
      </c>
      <c r="Q7922">
        <f t="shared" si="744"/>
        <v>4400</v>
      </c>
      <c r="T7922" s="16">
        <f t="shared" si="745"/>
        <v>-0.38478275585780541</v>
      </c>
    </row>
    <row r="7923" spans="7:20" ht="14.4" x14ac:dyDescent="0.25">
      <c r="G7923" s="10">
        <v>4122</v>
      </c>
      <c r="H7923" s="9">
        <v>29317</v>
      </c>
      <c r="I7923" s="14">
        <f>DATE(2012,12,31)-456</f>
        <v>40818</v>
      </c>
      <c r="J7923" s="15" t="s">
        <v>28</v>
      </c>
      <c r="K7923" s="9">
        <v>31</v>
      </c>
      <c r="L7923" s="16" t="s">
        <v>26</v>
      </c>
      <c r="M7923" s="16">
        <f t="shared" si="741"/>
        <v>0.37487478695363075</v>
      </c>
      <c r="N7923">
        <f t="shared" si="742"/>
        <v>0</v>
      </c>
      <c r="O7923">
        <f t="shared" si="743"/>
        <v>0</v>
      </c>
      <c r="P7923">
        <f t="shared" si="740"/>
        <v>4950</v>
      </c>
      <c r="Q7923">
        <f t="shared" si="744"/>
        <v>4950</v>
      </c>
      <c r="T7923" s="16">
        <f t="shared" si="745"/>
        <v>0.37487478695363036</v>
      </c>
    </row>
    <row r="7924" spans="7:20" ht="14.4" x14ac:dyDescent="0.25">
      <c r="G7924" s="10">
        <v>4221</v>
      </c>
      <c r="H7924" s="9">
        <v>29988</v>
      </c>
      <c r="I7924" s="14">
        <f>DATE(2012,12,31)-1298</f>
        <v>39976</v>
      </c>
      <c r="J7924" s="15" t="s">
        <v>17</v>
      </c>
      <c r="K7924" s="9">
        <v>12</v>
      </c>
      <c r="L7924" s="16" t="s">
        <v>27</v>
      </c>
      <c r="M7924" s="16">
        <f t="shared" si="741"/>
        <v>-0.9372609688115765</v>
      </c>
      <c r="N7924">
        <f t="shared" si="742"/>
        <v>0</v>
      </c>
      <c r="O7924">
        <f t="shared" si="743"/>
        <v>0</v>
      </c>
      <c r="P7924">
        <f t="shared" si="740"/>
        <v>4000</v>
      </c>
      <c r="Q7924">
        <f t="shared" si="744"/>
        <v>4000</v>
      </c>
      <c r="T7924" s="16">
        <f t="shared" si="745"/>
        <v>-0.93726096881157694</v>
      </c>
    </row>
    <row r="7925" spans="7:20" ht="14.4" x14ac:dyDescent="0.25">
      <c r="G7925" s="10">
        <v>4230</v>
      </c>
      <c r="H7925" s="9">
        <v>30051</v>
      </c>
      <c r="I7925" s="14">
        <f>DATE(2012,12,31)-286</f>
        <v>40988</v>
      </c>
      <c r="J7925" s="15" t="s">
        <v>28</v>
      </c>
      <c r="K7925" s="9">
        <v>42</v>
      </c>
      <c r="L7925" s="16" t="s">
        <v>26</v>
      </c>
      <c r="M7925" s="16">
        <f t="shared" si="741"/>
        <v>1.1345323297650665</v>
      </c>
      <c r="N7925">
        <f t="shared" si="742"/>
        <v>0</v>
      </c>
      <c r="O7925">
        <f t="shared" si="743"/>
        <v>0</v>
      </c>
      <c r="P7925">
        <f t="shared" si="740"/>
        <v>5500</v>
      </c>
      <c r="Q7925">
        <f t="shared" si="744"/>
        <v>5500</v>
      </c>
      <c r="T7925" s="16">
        <f t="shared" si="745"/>
        <v>1.1345323297650662</v>
      </c>
    </row>
    <row r="7926" spans="7:20" ht="14.4" x14ac:dyDescent="0.25">
      <c r="G7926" s="10">
        <v>4245</v>
      </c>
      <c r="H7926" s="9">
        <v>30211</v>
      </c>
      <c r="I7926" s="14">
        <f>DATE(2012,12,31)-938</f>
        <v>40336</v>
      </c>
      <c r="J7926" s="15" t="s">
        <v>16</v>
      </c>
      <c r="K7926" s="9">
        <v>19</v>
      </c>
      <c r="L7926" s="16" t="s">
        <v>26</v>
      </c>
      <c r="M7926" s="16">
        <f t="shared" si="741"/>
        <v>-0.45384253247702649</v>
      </c>
      <c r="N7926">
        <f t="shared" si="742"/>
        <v>0</v>
      </c>
      <c r="O7926">
        <f t="shared" si="743"/>
        <v>0</v>
      </c>
      <c r="P7926">
        <f t="shared" si="740"/>
        <v>4350</v>
      </c>
      <c r="Q7926">
        <f t="shared" si="744"/>
        <v>4350</v>
      </c>
      <c r="T7926" s="16">
        <f t="shared" si="745"/>
        <v>-0.45384253247702688</v>
      </c>
    </row>
    <row r="7927" spans="7:20" ht="14.4" x14ac:dyDescent="0.25">
      <c r="G7927" s="10">
        <v>4271</v>
      </c>
      <c r="H7927" s="9">
        <v>30401</v>
      </c>
      <c r="I7927" s="14">
        <f>DATE(2012,12,31)-74</f>
        <v>41200</v>
      </c>
      <c r="J7927" s="15" t="s">
        <v>16</v>
      </c>
      <c r="K7927" s="9">
        <v>39</v>
      </c>
      <c r="L7927" s="16" t="s">
        <v>26</v>
      </c>
      <c r="M7927" s="16">
        <f t="shared" si="741"/>
        <v>0.92735299990740228</v>
      </c>
      <c r="N7927">
        <f t="shared" si="742"/>
        <v>0</v>
      </c>
      <c r="O7927">
        <f t="shared" si="743"/>
        <v>0</v>
      </c>
      <c r="P7927">
        <f t="shared" si="740"/>
        <v>5350</v>
      </c>
      <c r="Q7927">
        <f t="shared" si="744"/>
        <v>5350</v>
      </c>
      <c r="T7927" s="16">
        <f t="shared" si="745"/>
        <v>0.92735299990740183</v>
      </c>
    </row>
    <row r="7928" spans="7:20" ht="14.4" x14ac:dyDescent="0.25">
      <c r="G7928" s="10">
        <v>4316</v>
      </c>
      <c r="H7928" s="9">
        <v>30757</v>
      </c>
      <c r="I7928" s="14">
        <f>DATE(2012,12,31)-736</f>
        <v>40538</v>
      </c>
      <c r="J7928" s="15" t="s">
        <v>16</v>
      </c>
      <c r="K7928" s="9">
        <v>5</v>
      </c>
      <c r="L7928" s="16" t="s">
        <v>26</v>
      </c>
      <c r="M7928" s="16">
        <f t="shared" si="741"/>
        <v>-1.4206794051461267</v>
      </c>
      <c r="N7928">
        <f t="shared" si="742"/>
        <v>0</v>
      </c>
      <c r="O7928">
        <f t="shared" si="743"/>
        <v>0</v>
      </c>
      <c r="P7928">
        <f t="shared" si="740"/>
        <v>3650</v>
      </c>
      <c r="Q7928">
        <f t="shared" si="744"/>
        <v>3650</v>
      </c>
      <c r="T7928" s="16">
        <f t="shared" si="745"/>
        <v>-1.4206794051461269</v>
      </c>
    </row>
    <row r="7929" spans="7:20" ht="14.4" x14ac:dyDescent="0.25">
      <c r="G7929" s="10">
        <v>4317</v>
      </c>
      <c r="H7929" s="9">
        <v>30757</v>
      </c>
      <c r="I7929" s="14">
        <f>DATE(2012,12,31)-736</f>
        <v>40538</v>
      </c>
      <c r="J7929" s="15" t="s">
        <v>16</v>
      </c>
      <c r="K7929" s="9">
        <v>42</v>
      </c>
      <c r="L7929" s="16" t="s">
        <v>26</v>
      </c>
      <c r="M7929" s="16">
        <f t="shared" si="741"/>
        <v>1.1345323297650665</v>
      </c>
      <c r="N7929">
        <f t="shared" si="742"/>
        <v>0</v>
      </c>
      <c r="O7929">
        <f t="shared" si="743"/>
        <v>0</v>
      </c>
      <c r="P7929">
        <f t="shared" si="740"/>
        <v>5500</v>
      </c>
      <c r="Q7929">
        <f t="shared" si="744"/>
        <v>5500</v>
      </c>
      <c r="T7929" s="16">
        <f t="shared" si="745"/>
        <v>1.1345323297650662</v>
      </c>
    </row>
    <row r="7930" spans="7:20" ht="14.4" x14ac:dyDescent="0.25">
      <c r="G7930" s="10">
        <v>4386</v>
      </c>
      <c r="H7930" s="9">
        <v>31237</v>
      </c>
      <c r="I7930" s="14">
        <f>DATE(2012,12,31)-521</f>
        <v>40753</v>
      </c>
      <c r="J7930" s="15" t="s">
        <v>28</v>
      </c>
      <c r="K7930" s="9">
        <v>13</v>
      </c>
      <c r="L7930" s="16" t="s">
        <v>26</v>
      </c>
      <c r="M7930" s="16">
        <f t="shared" si="741"/>
        <v>-0.86820119219235514</v>
      </c>
      <c r="N7930">
        <f t="shared" si="742"/>
        <v>0</v>
      </c>
      <c r="O7930">
        <f t="shared" si="743"/>
        <v>0</v>
      </c>
      <c r="P7930">
        <f t="shared" si="740"/>
        <v>4050</v>
      </c>
      <c r="Q7930">
        <f t="shared" si="744"/>
        <v>4050</v>
      </c>
      <c r="T7930" s="16">
        <f t="shared" si="745"/>
        <v>-0.86820119219235548</v>
      </c>
    </row>
    <row r="7931" spans="7:20" ht="14.4" x14ac:dyDescent="0.25">
      <c r="G7931" s="10">
        <v>4523</v>
      </c>
      <c r="H7931" s="9">
        <v>32192</v>
      </c>
      <c r="I7931" s="14">
        <f>DATE(2012,12,31)-317</f>
        <v>40957</v>
      </c>
      <c r="J7931" s="15" t="s">
        <v>28</v>
      </c>
      <c r="K7931" s="9">
        <v>4</v>
      </c>
      <c r="L7931" s="16" t="s">
        <v>27</v>
      </c>
      <c r="M7931" s="16">
        <f t="shared" si="741"/>
        <v>-1.489739181765348</v>
      </c>
      <c r="N7931">
        <f t="shared" si="742"/>
        <v>0</v>
      </c>
      <c r="O7931">
        <f t="shared" si="743"/>
        <v>0</v>
      </c>
      <c r="P7931">
        <f t="shared" si="740"/>
        <v>3600</v>
      </c>
      <c r="Q7931">
        <f t="shared" si="744"/>
        <v>3600</v>
      </c>
      <c r="T7931" s="16">
        <f t="shared" si="745"/>
        <v>-1.4897391817653485</v>
      </c>
    </row>
    <row r="7932" spans="7:20" ht="14.4" x14ac:dyDescent="0.25">
      <c r="G7932" s="10">
        <v>4710</v>
      </c>
      <c r="H7932" s="9">
        <v>33568</v>
      </c>
      <c r="I7932" s="14">
        <f>DATE(2012,12,31)-163</f>
        <v>41111</v>
      </c>
      <c r="J7932" s="15" t="s">
        <v>16</v>
      </c>
      <c r="K7932" s="9">
        <v>10</v>
      </c>
      <c r="L7932" s="16" t="s">
        <v>29</v>
      </c>
      <c r="M7932" s="16">
        <f t="shared" si="741"/>
        <v>-1.0753805220500194</v>
      </c>
      <c r="N7932">
        <f t="shared" si="742"/>
        <v>0</v>
      </c>
      <c r="O7932">
        <f t="shared" si="743"/>
        <v>0</v>
      </c>
      <c r="P7932">
        <f t="shared" si="740"/>
        <v>3900</v>
      </c>
      <c r="Q7932">
        <f t="shared" si="744"/>
        <v>3900</v>
      </c>
      <c r="T7932" s="16">
        <f t="shared" si="745"/>
        <v>-1.0753805220500199</v>
      </c>
    </row>
    <row r="7933" spans="7:20" ht="14.4" x14ac:dyDescent="0.25">
      <c r="G7933" s="10">
        <v>4711</v>
      </c>
      <c r="H7933" s="9">
        <v>33568</v>
      </c>
      <c r="I7933" s="14">
        <f>DATE(2012,12,31)-163</f>
        <v>41111</v>
      </c>
      <c r="J7933" s="15" t="s">
        <v>16</v>
      </c>
      <c r="K7933" s="9">
        <v>23</v>
      </c>
      <c r="L7933" s="16" t="s">
        <v>26</v>
      </c>
      <c r="M7933" s="16">
        <f t="shared" si="741"/>
        <v>-0.17760342600014073</v>
      </c>
      <c r="N7933">
        <f t="shared" si="742"/>
        <v>0</v>
      </c>
      <c r="O7933">
        <f t="shared" si="743"/>
        <v>0</v>
      </c>
      <c r="P7933">
        <f t="shared" si="740"/>
        <v>4550</v>
      </c>
      <c r="Q7933">
        <f t="shared" si="744"/>
        <v>4550</v>
      </c>
      <c r="T7933" s="16">
        <f t="shared" si="745"/>
        <v>-0.17760342600014112</v>
      </c>
    </row>
    <row r="7934" spans="7:20" ht="14.4" x14ac:dyDescent="0.25">
      <c r="G7934" s="10">
        <v>4723</v>
      </c>
      <c r="H7934" s="9">
        <v>33634</v>
      </c>
      <c r="I7934" s="14">
        <f>DATE(2012,12,31)-853</f>
        <v>40421</v>
      </c>
      <c r="J7934" s="15" t="s">
        <v>28</v>
      </c>
      <c r="K7934" s="9">
        <v>40</v>
      </c>
      <c r="L7934" s="16" t="s">
        <v>26</v>
      </c>
      <c r="M7934" s="16">
        <f t="shared" si="741"/>
        <v>0.99641277652662363</v>
      </c>
      <c r="N7934">
        <f t="shared" si="742"/>
        <v>0</v>
      </c>
      <c r="O7934">
        <f t="shared" si="743"/>
        <v>0</v>
      </c>
      <c r="P7934">
        <f t="shared" si="740"/>
        <v>5400</v>
      </c>
      <c r="Q7934">
        <f t="shared" si="744"/>
        <v>5400</v>
      </c>
      <c r="T7934" s="16">
        <f t="shared" si="745"/>
        <v>0.9964127765266233</v>
      </c>
    </row>
    <row r="7935" spans="7:20" ht="14.4" x14ac:dyDescent="0.25">
      <c r="G7935" s="10">
        <v>4780</v>
      </c>
      <c r="H7935" s="9">
        <v>33925</v>
      </c>
      <c r="I7935" s="14">
        <f>DATE(2012,12,31)-608</f>
        <v>40666</v>
      </c>
      <c r="J7935" s="15" t="s">
        <v>25</v>
      </c>
      <c r="K7935" s="9">
        <v>47</v>
      </c>
      <c r="L7935" s="16" t="s">
        <v>26</v>
      </c>
      <c r="M7935" s="16">
        <f t="shared" si="741"/>
        <v>1.4798312128611737</v>
      </c>
      <c r="N7935">
        <f t="shared" si="742"/>
        <v>0</v>
      </c>
      <c r="O7935">
        <f t="shared" si="743"/>
        <v>0</v>
      </c>
      <c r="P7935">
        <f t="shared" si="740"/>
        <v>5750</v>
      </c>
      <c r="Q7935">
        <f t="shared" si="744"/>
        <v>5750</v>
      </c>
      <c r="T7935" s="16">
        <f t="shared" si="745"/>
        <v>1.4798312128611733</v>
      </c>
    </row>
    <row r="7936" spans="7:20" ht="14.4" x14ac:dyDescent="0.25">
      <c r="G7936" s="10">
        <v>4830</v>
      </c>
      <c r="H7936" s="9">
        <v>34338</v>
      </c>
      <c r="I7936" s="14">
        <f>DATE(2012,12,31)-915</f>
        <v>40359</v>
      </c>
      <c r="J7936" s="15" t="s">
        <v>25</v>
      </c>
      <c r="K7936" s="9">
        <v>26</v>
      </c>
      <c r="L7936" s="16" t="s">
        <v>26</v>
      </c>
      <c r="M7936" s="16">
        <f t="shared" si="741"/>
        <v>2.9575903857523567E-2</v>
      </c>
      <c r="N7936">
        <f t="shared" si="742"/>
        <v>0</v>
      </c>
      <c r="O7936">
        <f t="shared" si="743"/>
        <v>0</v>
      </c>
      <c r="P7936">
        <f t="shared" si="740"/>
        <v>4700</v>
      </c>
      <c r="Q7936">
        <f t="shared" si="744"/>
        <v>4700</v>
      </c>
      <c r="T7936" s="16">
        <f t="shared" si="745"/>
        <v>2.9575903857523185E-2</v>
      </c>
    </row>
    <row r="7937" spans="7:20" ht="14.4" x14ac:dyDescent="0.25">
      <c r="G7937" s="10">
        <v>4832</v>
      </c>
      <c r="H7937" s="9">
        <v>34374</v>
      </c>
      <c r="I7937" s="14">
        <f>DATE(2012,12,31)-1280</f>
        <v>39994</v>
      </c>
      <c r="J7937" s="15" t="s">
        <v>25</v>
      </c>
      <c r="K7937" s="9">
        <v>42</v>
      </c>
      <c r="L7937" s="16" t="s">
        <v>27</v>
      </c>
      <c r="M7937" s="16">
        <f t="shared" si="741"/>
        <v>1.1345323297650665</v>
      </c>
      <c r="N7937">
        <f t="shared" si="742"/>
        <v>0</v>
      </c>
      <c r="O7937">
        <f t="shared" si="743"/>
        <v>0</v>
      </c>
      <c r="P7937">
        <f t="shared" si="740"/>
        <v>5500</v>
      </c>
      <c r="Q7937">
        <f t="shared" si="744"/>
        <v>5500</v>
      </c>
      <c r="T7937" s="16">
        <f t="shared" si="745"/>
        <v>1.1345323297650662</v>
      </c>
    </row>
    <row r="7938" spans="7:20" ht="14.4" x14ac:dyDescent="0.25">
      <c r="G7938" s="10">
        <v>4857</v>
      </c>
      <c r="H7938" s="9">
        <v>34565</v>
      </c>
      <c r="I7938" s="14">
        <f>DATE(2012,12,31)-1267</f>
        <v>40007</v>
      </c>
      <c r="J7938" s="15" t="s">
        <v>16</v>
      </c>
      <c r="K7938" s="9">
        <v>47</v>
      </c>
      <c r="L7938" s="16" t="s">
        <v>27</v>
      </c>
      <c r="M7938" s="16">
        <f t="shared" si="741"/>
        <v>1.4798312128611737</v>
      </c>
      <c r="N7938">
        <f t="shared" si="742"/>
        <v>0</v>
      </c>
      <c r="O7938">
        <f t="shared" si="743"/>
        <v>0</v>
      </c>
      <c r="P7938">
        <f t="shared" si="740"/>
        <v>5750</v>
      </c>
      <c r="Q7938">
        <f t="shared" si="744"/>
        <v>5750</v>
      </c>
      <c r="T7938" s="16">
        <f t="shared" si="745"/>
        <v>1.4798312128611733</v>
      </c>
    </row>
    <row r="7939" spans="7:20" ht="14.4" x14ac:dyDescent="0.25">
      <c r="G7939" s="10">
        <v>4909</v>
      </c>
      <c r="H7939" s="9">
        <v>34948</v>
      </c>
      <c r="I7939" s="14">
        <f>DATE(2012,12,31)-1084</f>
        <v>40190</v>
      </c>
      <c r="J7939" s="15" t="s">
        <v>30</v>
      </c>
      <c r="K7939" s="9">
        <v>15</v>
      </c>
      <c r="L7939" s="16" t="s">
        <v>26</v>
      </c>
      <c r="M7939" s="16">
        <f t="shared" si="741"/>
        <v>-0.7300816389539122</v>
      </c>
      <c r="N7939">
        <f t="shared" si="742"/>
        <v>0</v>
      </c>
      <c r="O7939">
        <f t="shared" si="743"/>
        <v>0</v>
      </c>
      <c r="P7939">
        <f t="shared" si="740"/>
        <v>4150</v>
      </c>
      <c r="Q7939">
        <f t="shared" si="744"/>
        <v>4150</v>
      </c>
      <c r="T7939" s="16">
        <f t="shared" si="745"/>
        <v>-0.73008163895391265</v>
      </c>
    </row>
    <row r="7940" spans="7:20" ht="14.4" x14ac:dyDescent="0.25">
      <c r="G7940" s="10">
        <v>5003</v>
      </c>
      <c r="H7940" s="9">
        <v>35652</v>
      </c>
      <c r="I7940" s="14">
        <f>DATE(2012,12,31)-832</f>
        <v>40442</v>
      </c>
      <c r="J7940" s="15" t="s">
        <v>25</v>
      </c>
      <c r="K7940" s="9">
        <v>21</v>
      </c>
      <c r="L7940" s="16" t="s">
        <v>29</v>
      </c>
      <c r="M7940" s="16">
        <f t="shared" si="741"/>
        <v>-0.31572297923858361</v>
      </c>
      <c r="N7940">
        <f t="shared" si="742"/>
        <v>0</v>
      </c>
      <c r="O7940">
        <f t="shared" si="743"/>
        <v>0</v>
      </c>
      <c r="P7940">
        <f t="shared" si="740"/>
        <v>4450</v>
      </c>
      <c r="Q7940">
        <f t="shared" si="744"/>
        <v>4450</v>
      </c>
      <c r="T7940" s="16">
        <f t="shared" si="745"/>
        <v>-0.315722979238584</v>
      </c>
    </row>
    <row r="7941" spans="7:20" ht="14.4" x14ac:dyDescent="0.25">
      <c r="G7941" s="10">
        <v>5055</v>
      </c>
      <c r="H7941" s="9">
        <v>36038</v>
      </c>
      <c r="I7941" s="14">
        <f>DATE(2012,12,31)-137</f>
        <v>41137</v>
      </c>
      <c r="J7941" s="15" t="s">
        <v>17</v>
      </c>
      <c r="K7941" s="9">
        <v>26</v>
      </c>
      <c r="L7941" s="16" t="s">
        <v>26</v>
      </c>
      <c r="M7941" s="16">
        <f t="shared" si="741"/>
        <v>2.9575903857523567E-2</v>
      </c>
      <c r="N7941">
        <f t="shared" si="742"/>
        <v>0</v>
      </c>
      <c r="O7941">
        <f t="shared" si="743"/>
        <v>0</v>
      </c>
      <c r="P7941">
        <f t="shared" si="740"/>
        <v>4700</v>
      </c>
      <c r="Q7941">
        <f t="shared" si="744"/>
        <v>4700</v>
      </c>
      <c r="T7941" s="16">
        <f t="shared" si="745"/>
        <v>2.9575903857523185E-2</v>
      </c>
    </row>
    <row r="7942" spans="7:20" ht="14.4" x14ac:dyDescent="0.25">
      <c r="G7942" s="10">
        <v>5200</v>
      </c>
      <c r="H7942" s="9">
        <v>36934</v>
      </c>
      <c r="I7942" s="14">
        <f>DATE(2012,12,31)-1105</f>
        <v>40169</v>
      </c>
      <c r="J7942" s="15" t="s">
        <v>16</v>
      </c>
      <c r="K7942" s="9">
        <v>7</v>
      </c>
      <c r="L7942" s="16" t="s">
        <v>27</v>
      </c>
      <c r="M7942" s="16">
        <f t="shared" si="741"/>
        <v>-1.2825598519076837</v>
      </c>
      <c r="N7942">
        <f t="shared" si="742"/>
        <v>0</v>
      </c>
      <c r="O7942">
        <f t="shared" si="743"/>
        <v>0</v>
      </c>
      <c r="P7942">
        <f t="shared" si="740"/>
        <v>3750</v>
      </c>
      <c r="Q7942">
        <f t="shared" si="744"/>
        <v>3750</v>
      </c>
      <c r="T7942" s="16">
        <f t="shared" si="745"/>
        <v>-1.2825598519076842</v>
      </c>
    </row>
    <row r="7943" spans="7:20" ht="14.4" x14ac:dyDescent="0.25">
      <c r="G7943" s="10">
        <v>5201</v>
      </c>
      <c r="H7943" s="9">
        <v>36934</v>
      </c>
      <c r="I7943" s="14">
        <f>DATE(2012,12,31)-1105</f>
        <v>40169</v>
      </c>
      <c r="J7943" s="15" t="s">
        <v>16</v>
      </c>
      <c r="K7943" s="9">
        <v>2</v>
      </c>
      <c r="L7943" s="16" t="s">
        <v>26</v>
      </c>
      <c r="M7943" s="16">
        <f t="shared" si="741"/>
        <v>-1.627858735003791</v>
      </c>
      <c r="N7943">
        <f t="shared" si="742"/>
        <v>0</v>
      </c>
      <c r="O7943">
        <f t="shared" si="743"/>
        <v>0</v>
      </c>
      <c r="P7943">
        <f t="shared" si="740"/>
        <v>3500</v>
      </c>
      <c r="Q7943">
        <f t="shared" si="744"/>
        <v>3500</v>
      </c>
      <c r="T7943" s="16">
        <f t="shared" si="745"/>
        <v>-1.6278587350037912</v>
      </c>
    </row>
    <row r="7944" spans="7:20" ht="14.4" x14ac:dyDescent="0.25">
      <c r="G7944" s="10">
        <v>5202</v>
      </c>
      <c r="H7944" s="9">
        <v>36934</v>
      </c>
      <c r="I7944" s="14">
        <f>DATE(2012,12,31)-1105</f>
        <v>40169</v>
      </c>
      <c r="J7944" s="15" t="s">
        <v>16</v>
      </c>
      <c r="K7944" s="9">
        <v>45</v>
      </c>
      <c r="L7944" s="16" t="s">
        <v>29</v>
      </c>
      <c r="M7944" s="16">
        <f t="shared" si="741"/>
        <v>1.3417116596227308</v>
      </c>
      <c r="N7944">
        <f t="shared" si="742"/>
        <v>0</v>
      </c>
      <c r="O7944">
        <f t="shared" si="743"/>
        <v>0</v>
      </c>
      <c r="P7944">
        <f t="shared" si="740"/>
        <v>5650</v>
      </c>
      <c r="Q7944">
        <f t="shared" si="744"/>
        <v>5650</v>
      </c>
      <c r="T7944" s="16">
        <f t="shared" si="745"/>
        <v>1.3417116596227305</v>
      </c>
    </row>
    <row r="7945" spans="7:20" ht="14.4" x14ac:dyDescent="0.25">
      <c r="G7945" s="10">
        <v>5259</v>
      </c>
      <c r="H7945" s="9">
        <v>37440</v>
      </c>
      <c r="I7945" s="14">
        <f>DATE(2012,12,31)-922</f>
        <v>40352</v>
      </c>
      <c r="J7945" s="15" t="s">
        <v>28</v>
      </c>
      <c r="K7945" s="9">
        <v>39</v>
      </c>
      <c r="L7945" s="16" t="s">
        <v>26</v>
      </c>
      <c r="M7945" s="16">
        <f t="shared" si="741"/>
        <v>0.92735299990740228</v>
      </c>
      <c r="N7945">
        <f t="shared" si="742"/>
        <v>0</v>
      </c>
      <c r="O7945">
        <f t="shared" si="743"/>
        <v>0</v>
      </c>
      <c r="P7945">
        <f t="shared" si="740"/>
        <v>5350</v>
      </c>
      <c r="Q7945">
        <f t="shared" si="744"/>
        <v>5350</v>
      </c>
      <c r="T7945" s="16">
        <f t="shared" si="745"/>
        <v>0.92735299990740183</v>
      </c>
    </row>
    <row r="7946" spans="7:20" ht="14.4" x14ac:dyDescent="0.25">
      <c r="G7946" s="10">
        <v>5278</v>
      </c>
      <c r="H7946" s="9">
        <v>37542</v>
      </c>
      <c r="I7946" s="14">
        <f>DATE(2012,12,31)-1260</f>
        <v>40014</v>
      </c>
      <c r="J7946" s="15" t="s">
        <v>16</v>
      </c>
      <c r="K7946" s="9">
        <v>26</v>
      </c>
      <c r="L7946" s="16" t="s">
        <v>27</v>
      </c>
      <c r="M7946" s="16">
        <f t="shared" si="741"/>
        <v>2.9575903857523567E-2</v>
      </c>
      <c r="N7946">
        <f t="shared" si="742"/>
        <v>0</v>
      </c>
      <c r="O7946">
        <f t="shared" si="743"/>
        <v>0</v>
      </c>
      <c r="P7946">
        <f t="shared" si="740"/>
        <v>4700</v>
      </c>
      <c r="Q7946">
        <f t="shared" si="744"/>
        <v>4700</v>
      </c>
      <c r="T7946" s="16">
        <f t="shared" si="745"/>
        <v>2.9575903857523185E-2</v>
      </c>
    </row>
    <row r="7947" spans="7:20" ht="14.4" x14ac:dyDescent="0.25">
      <c r="G7947" s="10">
        <v>5367</v>
      </c>
      <c r="H7947" s="9">
        <v>38146</v>
      </c>
      <c r="I7947" s="14">
        <f>DATE(2012,12,31)-390</f>
        <v>40884</v>
      </c>
      <c r="J7947" s="15" t="s">
        <v>25</v>
      </c>
      <c r="K7947" s="9">
        <v>45</v>
      </c>
      <c r="L7947" s="16" t="s">
        <v>26</v>
      </c>
      <c r="M7947" s="16">
        <f t="shared" si="741"/>
        <v>1.3417116596227308</v>
      </c>
      <c r="N7947">
        <f t="shared" si="742"/>
        <v>0</v>
      </c>
      <c r="O7947">
        <f t="shared" si="743"/>
        <v>0</v>
      </c>
      <c r="P7947">
        <f t="shared" si="740"/>
        <v>5650</v>
      </c>
      <c r="Q7947">
        <f t="shared" si="744"/>
        <v>5650</v>
      </c>
      <c r="T7947" s="16">
        <f t="shared" si="745"/>
        <v>1.3417116596227305</v>
      </c>
    </row>
    <row r="7948" spans="7:20" ht="14.4" x14ac:dyDescent="0.25">
      <c r="G7948" s="10">
        <v>5370</v>
      </c>
      <c r="H7948" s="9">
        <v>38178</v>
      </c>
      <c r="I7948" s="14">
        <f>DATE(2012,12,31)-124</f>
        <v>41150</v>
      </c>
      <c r="J7948" s="15" t="s">
        <v>16</v>
      </c>
      <c r="K7948" s="9">
        <v>32</v>
      </c>
      <c r="L7948" s="16" t="s">
        <v>26</v>
      </c>
      <c r="M7948" s="16">
        <f t="shared" si="741"/>
        <v>0.44393456357285216</v>
      </c>
      <c r="N7948">
        <f t="shared" si="742"/>
        <v>0</v>
      </c>
      <c r="O7948">
        <f t="shared" si="743"/>
        <v>0</v>
      </c>
      <c r="P7948">
        <f t="shared" ref="P7948:P8011" si="746">50*K7948+$P$10</f>
        <v>5000</v>
      </c>
      <c r="Q7948">
        <f t="shared" si="744"/>
        <v>5000</v>
      </c>
      <c r="T7948" s="16">
        <f t="shared" si="745"/>
        <v>0.44393456357285183</v>
      </c>
    </row>
    <row r="7949" spans="7:20" ht="14.4" x14ac:dyDescent="0.25">
      <c r="G7949" s="10">
        <v>5384</v>
      </c>
      <c r="H7949" s="9">
        <v>38279</v>
      </c>
      <c r="I7949" s="14">
        <f>DATE(2012,12,31)-246</f>
        <v>41028</v>
      </c>
      <c r="J7949" s="15" t="s">
        <v>16</v>
      </c>
      <c r="K7949" s="9">
        <v>1</v>
      </c>
      <c r="L7949" s="16" t="s">
        <v>29</v>
      </c>
      <c r="M7949" s="16">
        <f t="shared" ref="M7949:M8012" si="747">(K7949-$K$4)/$K$7</f>
        <v>-1.6969185116230123</v>
      </c>
      <c r="N7949">
        <f t="shared" ref="N7949:N8012" si="748">IF(MOD($B$20+G7949,1000)=0,1,0)</f>
        <v>0</v>
      </c>
      <c r="O7949">
        <f t="shared" ref="O7949:O8012" si="749">+ROUND(N7949*(IF(K7949&lt;$K$4,-4.5,10.5)*$P$5),-2)</f>
        <v>0</v>
      </c>
      <c r="P7949">
        <f t="shared" si="746"/>
        <v>3450</v>
      </c>
      <c r="Q7949">
        <f t="shared" ref="Q7949:Q8012" si="750">P7949+O7949</f>
        <v>3450</v>
      </c>
      <c r="T7949" s="16">
        <f t="shared" ref="T7949:T8012" si="751">(Q7949-$P$4)/$P$5</f>
        <v>-1.6969185116230128</v>
      </c>
    </row>
    <row r="7950" spans="7:20" ht="14.4" x14ac:dyDescent="0.25">
      <c r="G7950" s="10">
        <v>5460</v>
      </c>
      <c r="H7950" s="9">
        <v>38787</v>
      </c>
      <c r="I7950" s="14">
        <f>DATE(2012,12,31)-514</f>
        <v>40760</v>
      </c>
      <c r="J7950" s="15" t="s">
        <v>25</v>
      </c>
      <c r="K7950" s="9">
        <v>22</v>
      </c>
      <c r="L7950" s="16" t="s">
        <v>26</v>
      </c>
      <c r="M7950" s="16">
        <f t="shared" si="747"/>
        <v>-0.24666320261936217</v>
      </c>
      <c r="N7950">
        <f t="shared" si="748"/>
        <v>0</v>
      </c>
      <c r="O7950">
        <f t="shared" si="749"/>
        <v>0</v>
      </c>
      <c r="P7950">
        <f t="shared" si="746"/>
        <v>4500</v>
      </c>
      <c r="Q7950">
        <f t="shared" si="750"/>
        <v>4500</v>
      </c>
      <c r="T7950" s="16">
        <f t="shared" si="751"/>
        <v>-0.24666320261936256</v>
      </c>
    </row>
    <row r="7951" spans="7:20" ht="14.4" x14ac:dyDescent="0.25">
      <c r="G7951" s="10">
        <v>5463</v>
      </c>
      <c r="H7951" s="9">
        <v>38791</v>
      </c>
      <c r="I7951" s="14">
        <f>DATE(2012,12,31)-1023</f>
        <v>40251</v>
      </c>
      <c r="J7951" s="15" t="s">
        <v>25</v>
      </c>
      <c r="K7951" s="9">
        <v>24</v>
      </c>
      <c r="L7951" s="16" t="s">
        <v>29</v>
      </c>
      <c r="M7951" s="16">
        <f t="shared" si="747"/>
        <v>-0.1085436493809193</v>
      </c>
      <c r="N7951">
        <f t="shared" si="748"/>
        <v>0</v>
      </c>
      <c r="O7951">
        <f t="shared" si="749"/>
        <v>0</v>
      </c>
      <c r="P7951">
        <f t="shared" si="746"/>
        <v>4600</v>
      </c>
      <c r="Q7951">
        <f t="shared" si="750"/>
        <v>4600</v>
      </c>
      <c r="T7951" s="16">
        <f t="shared" si="751"/>
        <v>-0.10854364938091969</v>
      </c>
    </row>
    <row r="7952" spans="7:20" ht="14.4" x14ac:dyDescent="0.25">
      <c r="G7952" s="10">
        <v>5464</v>
      </c>
      <c r="H7952" s="9">
        <v>38817</v>
      </c>
      <c r="I7952" s="14">
        <f>DATE(2012,12,31)-225</f>
        <v>41049</v>
      </c>
      <c r="J7952" s="15" t="s">
        <v>28</v>
      </c>
      <c r="K7952" s="9">
        <v>1</v>
      </c>
      <c r="L7952" s="16" t="s">
        <v>27</v>
      </c>
      <c r="M7952" s="16">
        <f t="shared" si="747"/>
        <v>-1.6969185116230123</v>
      </c>
      <c r="N7952">
        <f t="shared" si="748"/>
        <v>0</v>
      </c>
      <c r="O7952">
        <f t="shared" si="749"/>
        <v>0</v>
      </c>
      <c r="P7952">
        <f t="shared" si="746"/>
        <v>3450</v>
      </c>
      <c r="Q7952">
        <f t="shared" si="750"/>
        <v>3450</v>
      </c>
      <c r="T7952" s="16">
        <f t="shared" si="751"/>
        <v>-1.6969185116230128</v>
      </c>
    </row>
    <row r="7953" spans="7:20" ht="14.4" x14ac:dyDescent="0.25">
      <c r="G7953" s="10">
        <v>5475</v>
      </c>
      <c r="H7953" s="9">
        <v>38887</v>
      </c>
      <c r="I7953" s="14">
        <f>DATE(2012,12,31)-1164</f>
        <v>40110</v>
      </c>
      <c r="J7953" s="15" t="s">
        <v>30</v>
      </c>
      <c r="K7953" s="9">
        <v>25</v>
      </c>
      <c r="L7953" s="16" t="s">
        <v>26</v>
      </c>
      <c r="M7953" s="16">
        <f t="shared" si="747"/>
        <v>-3.9483872761697868E-2</v>
      </c>
      <c r="N7953">
        <f t="shared" si="748"/>
        <v>0</v>
      </c>
      <c r="O7953">
        <f t="shared" si="749"/>
        <v>0</v>
      </c>
      <c r="P7953">
        <f t="shared" si="746"/>
        <v>4650</v>
      </c>
      <c r="Q7953">
        <f t="shared" si="750"/>
        <v>4650</v>
      </c>
      <c r="T7953" s="16">
        <f t="shared" si="751"/>
        <v>-3.9483872761698249E-2</v>
      </c>
    </row>
    <row r="7954" spans="7:20" ht="14.4" x14ac:dyDescent="0.25">
      <c r="G7954" s="10">
        <v>5476</v>
      </c>
      <c r="H7954" s="9">
        <v>38887</v>
      </c>
      <c r="I7954" s="14">
        <f>DATE(2012,12,31)-1164</f>
        <v>40110</v>
      </c>
      <c r="J7954" s="15" t="s">
        <v>30</v>
      </c>
      <c r="K7954" s="9">
        <v>50</v>
      </c>
      <c r="L7954" s="16" t="s">
        <v>26</v>
      </c>
      <c r="M7954" s="16">
        <f t="shared" si="747"/>
        <v>1.687010542718838</v>
      </c>
      <c r="N7954">
        <f t="shared" si="748"/>
        <v>0</v>
      </c>
      <c r="O7954">
        <f t="shared" si="749"/>
        <v>0</v>
      </c>
      <c r="P7954">
        <f t="shared" si="746"/>
        <v>5900</v>
      </c>
      <c r="Q7954">
        <f t="shared" si="750"/>
        <v>5900</v>
      </c>
      <c r="T7954" s="16">
        <f t="shared" si="751"/>
        <v>1.6870105427188375</v>
      </c>
    </row>
    <row r="7955" spans="7:20" ht="14.4" x14ac:dyDescent="0.25">
      <c r="G7955" s="10">
        <v>5480</v>
      </c>
      <c r="H7955" s="9">
        <v>38914</v>
      </c>
      <c r="I7955" s="14">
        <f>DATE(2012,12,31)-215</f>
        <v>41059</v>
      </c>
      <c r="J7955" s="15" t="s">
        <v>16</v>
      </c>
      <c r="K7955" s="9">
        <v>43</v>
      </c>
      <c r="L7955" s="16" t="s">
        <v>29</v>
      </c>
      <c r="M7955" s="16">
        <f t="shared" si="747"/>
        <v>1.203592106384288</v>
      </c>
      <c r="N7955">
        <f t="shared" si="748"/>
        <v>0</v>
      </c>
      <c r="O7955">
        <f t="shared" si="749"/>
        <v>0</v>
      </c>
      <c r="P7955">
        <f t="shared" si="746"/>
        <v>5550</v>
      </c>
      <c r="Q7955">
        <f t="shared" si="750"/>
        <v>5550</v>
      </c>
      <c r="T7955" s="16">
        <f t="shared" si="751"/>
        <v>1.2035921063842876</v>
      </c>
    </row>
    <row r="7956" spans="7:20" ht="14.4" x14ac:dyDescent="0.25">
      <c r="G7956" s="10">
        <v>5509</v>
      </c>
      <c r="H7956" s="9">
        <v>39072</v>
      </c>
      <c r="I7956" s="14">
        <f>DATE(2012,12,31)-1408</f>
        <v>39866</v>
      </c>
      <c r="J7956" s="15" t="s">
        <v>17</v>
      </c>
      <c r="K7956" s="9">
        <v>50</v>
      </c>
      <c r="L7956" s="16" t="s">
        <v>26</v>
      </c>
      <c r="M7956" s="16">
        <f t="shared" si="747"/>
        <v>1.687010542718838</v>
      </c>
      <c r="N7956">
        <f t="shared" si="748"/>
        <v>0</v>
      </c>
      <c r="O7956">
        <f t="shared" si="749"/>
        <v>0</v>
      </c>
      <c r="P7956">
        <f t="shared" si="746"/>
        <v>5900</v>
      </c>
      <c r="Q7956">
        <f t="shared" si="750"/>
        <v>5900</v>
      </c>
      <c r="T7956" s="16">
        <f t="shared" si="751"/>
        <v>1.6870105427188375</v>
      </c>
    </row>
    <row r="7957" spans="7:20" ht="14.4" x14ac:dyDescent="0.25">
      <c r="G7957" s="10">
        <v>5593</v>
      </c>
      <c r="H7957" s="9">
        <v>39652</v>
      </c>
      <c r="I7957" s="14">
        <f>DATE(2012,12,31)-241</f>
        <v>41033</v>
      </c>
      <c r="J7957" s="15" t="s">
        <v>25</v>
      </c>
      <c r="K7957" s="9">
        <v>5</v>
      </c>
      <c r="L7957" s="16" t="s">
        <v>26</v>
      </c>
      <c r="M7957" s="16">
        <f t="shared" si="747"/>
        <v>-1.4206794051461267</v>
      </c>
      <c r="N7957">
        <f t="shared" si="748"/>
        <v>0</v>
      </c>
      <c r="O7957">
        <f t="shared" si="749"/>
        <v>0</v>
      </c>
      <c r="P7957">
        <f t="shared" si="746"/>
        <v>3650</v>
      </c>
      <c r="Q7957">
        <f t="shared" si="750"/>
        <v>3650</v>
      </c>
      <c r="T7957" s="16">
        <f t="shared" si="751"/>
        <v>-1.4206794051461269</v>
      </c>
    </row>
    <row r="7958" spans="7:20" ht="14.4" x14ac:dyDescent="0.25">
      <c r="G7958" s="10">
        <v>5594</v>
      </c>
      <c r="H7958" s="9">
        <v>39652</v>
      </c>
      <c r="I7958" s="14">
        <f>DATE(2012,12,31)-241</f>
        <v>41033</v>
      </c>
      <c r="J7958" s="15" t="s">
        <v>25</v>
      </c>
      <c r="K7958" s="9">
        <v>4</v>
      </c>
      <c r="L7958" s="16" t="s">
        <v>27</v>
      </c>
      <c r="M7958" s="16">
        <f t="shared" si="747"/>
        <v>-1.489739181765348</v>
      </c>
      <c r="N7958">
        <f t="shared" si="748"/>
        <v>0</v>
      </c>
      <c r="O7958">
        <f t="shared" si="749"/>
        <v>0</v>
      </c>
      <c r="P7958">
        <f t="shared" si="746"/>
        <v>3600</v>
      </c>
      <c r="Q7958">
        <f t="shared" si="750"/>
        <v>3600</v>
      </c>
      <c r="T7958" s="16">
        <f t="shared" si="751"/>
        <v>-1.4897391817653485</v>
      </c>
    </row>
    <row r="7959" spans="7:20" ht="14.4" x14ac:dyDescent="0.25">
      <c r="G7959" s="10">
        <v>5612</v>
      </c>
      <c r="H7959" s="9">
        <v>39750</v>
      </c>
      <c r="I7959" s="14">
        <f>DATE(2012,12,31)-1375</f>
        <v>39899</v>
      </c>
      <c r="J7959" s="15" t="s">
        <v>17</v>
      </c>
      <c r="K7959" s="9">
        <v>7</v>
      </c>
      <c r="L7959" s="16" t="s">
        <v>27</v>
      </c>
      <c r="M7959" s="16">
        <f t="shared" si="747"/>
        <v>-1.2825598519076837</v>
      </c>
      <c r="N7959">
        <f t="shared" si="748"/>
        <v>0</v>
      </c>
      <c r="O7959">
        <f t="shared" si="749"/>
        <v>0</v>
      </c>
      <c r="P7959">
        <f t="shared" si="746"/>
        <v>3750</v>
      </c>
      <c r="Q7959">
        <f t="shared" si="750"/>
        <v>3750</v>
      </c>
      <c r="T7959" s="16">
        <f t="shared" si="751"/>
        <v>-1.2825598519076842</v>
      </c>
    </row>
    <row r="7960" spans="7:20" ht="14.4" x14ac:dyDescent="0.25">
      <c r="G7960" s="10">
        <v>5654</v>
      </c>
      <c r="H7960" s="9">
        <v>40006</v>
      </c>
      <c r="I7960" s="14">
        <f>DATE(2012,12,31)-1295</f>
        <v>39979</v>
      </c>
      <c r="J7960" s="15" t="s">
        <v>28</v>
      </c>
      <c r="K7960" s="9">
        <v>35</v>
      </c>
      <c r="L7960" s="16" t="s">
        <v>26</v>
      </c>
      <c r="M7960" s="16">
        <f t="shared" si="747"/>
        <v>0.65111389343051651</v>
      </c>
      <c r="N7960">
        <f t="shared" si="748"/>
        <v>0</v>
      </c>
      <c r="O7960">
        <f t="shared" si="749"/>
        <v>0</v>
      </c>
      <c r="P7960">
        <f t="shared" si="746"/>
        <v>5150</v>
      </c>
      <c r="Q7960">
        <f t="shared" si="750"/>
        <v>5150</v>
      </c>
      <c r="T7960" s="16">
        <f t="shared" si="751"/>
        <v>0.65111389343051607</v>
      </c>
    </row>
    <row r="7961" spans="7:20" ht="14.4" x14ac:dyDescent="0.25">
      <c r="G7961" s="10">
        <v>5655</v>
      </c>
      <c r="H7961" s="9">
        <v>40006</v>
      </c>
      <c r="I7961" s="14">
        <f>DATE(2012,12,31)-1295</f>
        <v>39979</v>
      </c>
      <c r="J7961" s="15" t="s">
        <v>28</v>
      </c>
      <c r="K7961" s="9">
        <v>48</v>
      </c>
      <c r="L7961" s="16" t="s">
        <v>26</v>
      </c>
      <c r="M7961" s="16">
        <f t="shared" si="747"/>
        <v>1.5488909894803951</v>
      </c>
      <c r="N7961">
        <f t="shared" si="748"/>
        <v>0</v>
      </c>
      <c r="O7961">
        <f t="shared" si="749"/>
        <v>0</v>
      </c>
      <c r="P7961">
        <f t="shared" si="746"/>
        <v>5800</v>
      </c>
      <c r="Q7961">
        <f t="shared" si="750"/>
        <v>5800</v>
      </c>
      <c r="T7961" s="16">
        <f t="shared" si="751"/>
        <v>1.5488909894803948</v>
      </c>
    </row>
    <row r="7962" spans="7:20" ht="14.4" x14ac:dyDescent="0.25">
      <c r="G7962" s="10">
        <v>5737</v>
      </c>
      <c r="H7962" s="9">
        <v>40770</v>
      </c>
      <c r="I7962" s="14">
        <f>DATE(2012,12,31)-625</f>
        <v>40649</v>
      </c>
      <c r="J7962" s="15" t="s">
        <v>25</v>
      </c>
      <c r="K7962" s="9">
        <v>19</v>
      </c>
      <c r="L7962" s="16" t="s">
        <v>26</v>
      </c>
      <c r="M7962" s="16">
        <f t="shared" si="747"/>
        <v>-0.45384253247702649</v>
      </c>
      <c r="N7962">
        <f t="shared" si="748"/>
        <v>0</v>
      </c>
      <c r="O7962">
        <f t="shared" si="749"/>
        <v>0</v>
      </c>
      <c r="P7962">
        <f t="shared" si="746"/>
        <v>4350</v>
      </c>
      <c r="Q7962">
        <f t="shared" si="750"/>
        <v>4350</v>
      </c>
      <c r="T7962" s="16">
        <f t="shared" si="751"/>
        <v>-0.45384253247702688</v>
      </c>
    </row>
    <row r="7963" spans="7:20" ht="14.4" x14ac:dyDescent="0.25">
      <c r="G7963" s="10">
        <v>5766</v>
      </c>
      <c r="H7963" s="9">
        <v>40933</v>
      </c>
      <c r="I7963" s="14">
        <f>DATE(2012,12,31)-218</f>
        <v>41056</v>
      </c>
      <c r="J7963" s="15" t="s">
        <v>17</v>
      </c>
      <c r="K7963" s="9">
        <v>37</v>
      </c>
      <c r="L7963" s="16" t="s">
        <v>26</v>
      </c>
      <c r="M7963" s="16">
        <f t="shared" si="747"/>
        <v>0.78923344666895934</v>
      </c>
      <c r="N7963">
        <f t="shared" si="748"/>
        <v>0</v>
      </c>
      <c r="O7963">
        <f t="shared" si="749"/>
        <v>0</v>
      </c>
      <c r="P7963">
        <f t="shared" si="746"/>
        <v>5250</v>
      </c>
      <c r="Q7963">
        <f t="shared" si="750"/>
        <v>5250</v>
      </c>
      <c r="T7963" s="16">
        <f t="shared" si="751"/>
        <v>0.789233446668959</v>
      </c>
    </row>
    <row r="7964" spans="7:20" ht="14.4" x14ac:dyDescent="0.25">
      <c r="G7964" s="10">
        <v>5975</v>
      </c>
      <c r="H7964" s="9">
        <v>42370</v>
      </c>
      <c r="I7964" s="14">
        <f>DATE(2012,12,31)-406</f>
        <v>40868</v>
      </c>
      <c r="J7964" s="15" t="s">
        <v>17</v>
      </c>
      <c r="K7964" s="9">
        <v>33</v>
      </c>
      <c r="L7964" s="16" t="s">
        <v>26</v>
      </c>
      <c r="M7964" s="16">
        <f t="shared" si="747"/>
        <v>0.51299434019207357</v>
      </c>
      <c r="N7964">
        <f t="shared" si="748"/>
        <v>0</v>
      </c>
      <c r="O7964">
        <f t="shared" si="749"/>
        <v>0</v>
      </c>
      <c r="P7964">
        <f t="shared" si="746"/>
        <v>5050</v>
      </c>
      <c r="Q7964">
        <f t="shared" si="750"/>
        <v>5050</v>
      </c>
      <c r="T7964" s="16">
        <f t="shared" si="751"/>
        <v>0.51299434019207324</v>
      </c>
    </row>
    <row r="7965" spans="7:20" ht="14.4" x14ac:dyDescent="0.25">
      <c r="G7965" s="10">
        <v>5986</v>
      </c>
      <c r="H7965" s="9">
        <v>42436</v>
      </c>
      <c r="I7965" s="14">
        <f>DATE(2012,12,31)-144</f>
        <v>41130</v>
      </c>
      <c r="J7965" s="15" t="s">
        <v>30</v>
      </c>
      <c r="K7965" s="9">
        <v>30</v>
      </c>
      <c r="L7965" s="16" t="s">
        <v>27</v>
      </c>
      <c r="M7965" s="16">
        <f t="shared" si="747"/>
        <v>0.30581501033440933</v>
      </c>
      <c r="N7965">
        <f t="shared" si="748"/>
        <v>0</v>
      </c>
      <c r="O7965">
        <f t="shared" si="749"/>
        <v>0</v>
      </c>
      <c r="P7965">
        <f t="shared" si="746"/>
        <v>4900</v>
      </c>
      <c r="Q7965">
        <f t="shared" si="750"/>
        <v>4900</v>
      </c>
      <c r="T7965" s="16">
        <f t="shared" si="751"/>
        <v>0.30581501033440894</v>
      </c>
    </row>
    <row r="7966" spans="7:20" ht="14.4" x14ac:dyDescent="0.25">
      <c r="G7966" s="10">
        <v>6047</v>
      </c>
      <c r="H7966" s="9">
        <v>42855</v>
      </c>
      <c r="I7966" s="14">
        <f>DATE(2012,12,31)-542</f>
        <v>40732</v>
      </c>
      <c r="J7966" s="15" t="s">
        <v>28</v>
      </c>
      <c r="K7966" s="9">
        <v>17</v>
      </c>
      <c r="L7966" s="16" t="s">
        <v>26</v>
      </c>
      <c r="M7966" s="16">
        <f t="shared" si="747"/>
        <v>-0.59196208571546938</v>
      </c>
      <c r="N7966">
        <f t="shared" si="748"/>
        <v>0</v>
      </c>
      <c r="O7966">
        <f t="shared" si="749"/>
        <v>0</v>
      </c>
      <c r="P7966">
        <f t="shared" si="746"/>
        <v>4250</v>
      </c>
      <c r="Q7966">
        <f t="shared" si="750"/>
        <v>4250</v>
      </c>
      <c r="T7966" s="16">
        <f t="shared" si="751"/>
        <v>-0.59196208571546971</v>
      </c>
    </row>
    <row r="7967" spans="7:20" ht="14.4" x14ac:dyDescent="0.25">
      <c r="G7967" s="10">
        <v>6166</v>
      </c>
      <c r="H7967" s="9">
        <v>43686</v>
      </c>
      <c r="I7967" s="14">
        <f>DATE(2012,12,31)-604</f>
        <v>40670</v>
      </c>
      <c r="J7967" s="15" t="s">
        <v>16</v>
      </c>
      <c r="K7967" s="9">
        <v>16</v>
      </c>
      <c r="L7967" s="16" t="s">
        <v>27</v>
      </c>
      <c r="M7967" s="16">
        <f t="shared" si="747"/>
        <v>-0.66102186233469074</v>
      </c>
      <c r="N7967">
        <f t="shared" si="748"/>
        <v>0</v>
      </c>
      <c r="O7967">
        <f t="shared" si="749"/>
        <v>0</v>
      </c>
      <c r="P7967">
        <f t="shared" si="746"/>
        <v>4200</v>
      </c>
      <c r="Q7967">
        <f t="shared" si="750"/>
        <v>4200</v>
      </c>
      <c r="T7967" s="16">
        <f t="shared" si="751"/>
        <v>-0.66102186233469118</v>
      </c>
    </row>
    <row r="7968" spans="7:20" ht="14.4" x14ac:dyDescent="0.25">
      <c r="G7968" s="10">
        <v>6260</v>
      </c>
      <c r="H7968" s="9">
        <v>44295</v>
      </c>
      <c r="I7968" s="14">
        <f>DATE(2012,12,31)-1073</f>
        <v>40201</v>
      </c>
      <c r="J7968" s="15" t="s">
        <v>16</v>
      </c>
      <c r="K7968" s="9">
        <v>47</v>
      </c>
      <c r="L7968" s="16" t="s">
        <v>27</v>
      </c>
      <c r="M7968" s="16">
        <f t="shared" si="747"/>
        <v>1.4798312128611737</v>
      </c>
      <c r="N7968">
        <f t="shared" si="748"/>
        <v>0</v>
      </c>
      <c r="O7968">
        <f t="shared" si="749"/>
        <v>0</v>
      </c>
      <c r="P7968">
        <f t="shared" si="746"/>
        <v>5750</v>
      </c>
      <c r="Q7968">
        <f t="shared" si="750"/>
        <v>5750</v>
      </c>
      <c r="T7968" s="16">
        <f t="shared" si="751"/>
        <v>1.4798312128611733</v>
      </c>
    </row>
    <row r="7969" spans="7:20" ht="14.4" x14ac:dyDescent="0.25">
      <c r="G7969" s="10">
        <v>6333</v>
      </c>
      <c r="H7969" s="9">
        <v>44869</v>
      </c>
      <c r="I7969" s="14">
        <f>DATE(2012,12,31)-131</f>
        <v>41143</v>
      </c>
      <c r="J7969" s="15" t="s">
        <v>16</v>
      </c>
      <c r="K7969" s="9">
        <v>43</v>
      </c>
      <c r="L7969" s="16" t="s">
        <v>26</v>
      </c>
      <c r="M7969" s="16">
        <f t="shared" si="747"/>
        <v>1.203592106384288</v>
      </c>
      <c r="N7969">
        <f t="shared" si="748"/>
        <v>0</v>
      </c>
      <c r="O7969">
        <f t="shared" si="749"/>
        <v>0</v>
      </c>
      <c r="P7969">
        <f t="shared" si="746"/>
        <v>5550</v>
      </c>
      <c r="Q7969">
        <f t="shared" si="750"/>
        <v>5550</v>
      </c>
      <c r="T7969" s="16">
        <f t="shared" si="751"/>
        <v>1.2035921063842876</v>
      </c>
    </row>
    <row r="7970" spans="7:20" ht="14.4" x14ac:dyDescent="0.25">
      <c r="G7970" s="10">
        <v>6405</v>
      </c>
      <c r="H7970" s="9">
        <v>45511</v>
      </c>
      <c r="I7970" s="14">
        <f>DATE(2012,12,31)-863</f>
        <v>40411</v>
      </c>
      <c r="J7970" s="15" t="s">
        <v>25</v>
      </c>
      <c r="K7970" s="9">
        <v>31</v>
      </c>
      <c r="L7970" s="16" t="s">
        <v>29</v>
      </c>
      <c r="M7970" s="16">
        <f t="shared" si="747"/>
        <v>0.37487478695363075</v>
      </c>
      <c r="N7970">
        <f t="shared" si="748"/>
        <v>0</v>
      </c>
      <c r="O7970">
        <f t="shared" si="749"/>
        <v>0</v>
      </c>
      <c r="P7970">
        <f t="shared" si="746"/>
        <v>4950</v>
      </c>
      <c r="Q7970">
        <f t="shared" si="750"/>
        <v>4950</v>
      </c>
      <c r="T7970" s="16">
        <f t="shared" si="751"/>
        <v>0.37487478695363036</v>
      </c>
    </row>
    <row r="7971" spans="7:20" ht="14.4" x14ac:dyDescent="0.25">
      <c r="G7971" s="10">
        <v>6474</v>
      </c>
      <c r="H7971" s="9">
        <v>46053</v>
      </c>
      <c r="I7971" s="14">
        <f>DATE(2012,12,31)-109</f>
        <v>41165</v>
      </c>
      <c r="J7971" s="15" t="s">
        <v>17</v>
      </c>
      <c r="K7971" s="9">
        <v>25</v>
      </c>
      <c r="L7971" s="16" t="s">
        <v>26</v>
      </c>
      <c r="M7971" s="16">
        <f t="shared" si="747"/>
        <v>-3.9483872761697868E-2</v>
      </c>
      <c r="N7971">
        <f t="shared" si="748"/>
        <v>0</v>
      </c>
      <c r="O7971">
        <f t="shared" si="749"/>
        <v>0</v>
      </c>
      <c r="P7971">
        <f t="shared" si="746"/>
        <v>4650</v>
      </c>
      <c r="Q7971">
        <f t="shared" si="750"/>
        <v>4650</v>
      </c>
      <c r="T7971" s="16">
        <f t="shared" si="751"/>
        <v>-3.9483872761698249E-2</v>
      </c>
    </row>
    <row r="7972" spans="7:20" ht="14.4" x14ac:dyDescent="0.25">
      <c r="G7972" s="10">
        <v>6531</v>
      </c>
      <c r="H7972" s="9">
        <v>46469</v>
      </c>
      <c r="I7972" s="14">
        <f>DATE(2012,12,31)-1233</f>
        <v>40041</v>
      </c>
      <c r="J7972" s="15" t="s">
        <v>30</v>
      </c>
      <c r="K7972" s="9">
        <v>17</v>
      </c>
      <c r="L7972" s="16" t="s">
        <v>29</v>
      </c>
      <c r="M7972" s="16">
        <f t="shared" si="747"/>
        <v>-0.59196208571546938</v>
      </c>
      <c r="N7972">
        <f t="shared" si="748"/>
        <v>0</v>
      </c>
      <c r="O7972">
        <f t="shared" si="749"/>
        <v>0</v>
      </c>
      <c r="P7972">
        <f t="shared" si="746"/>
        <v>4250</v>
      </c>
      <c r="Q7972">
        <f t="shared" si="750"/>
        <v>4250</v>
      </c>
      <c r="T7972" s="16">
        <f t="shared" si="751"/>
        <v>-0.59196208571546971</v>
      </c>
    </row>
    <row r="7973" spans="7:20" ht="14.4" x14ac:dyDescent="0.25">
      <c r="G7973" s="10">
        <v>6532</v>
      </c>
      <c r="H7973" s="9">
        <v>46469</v>
      </c>
      <c r="I7973" s="14">
        <f>DATE(2012,12,31)-1233</f>
        <v>40041</v>
      </c>
      <c r="J7973" s="15" t="s">
        <v>30</v>
      </c>
      <c r="K7973" s="9">
        <v>18</v>
      </c>
      <c r="L7973" s="16" t="s">
        <v>26</v>
      </c>
      <c r="M7973" s="16">
        <f t="shared" si="747"/>
        <v>-0.52290230909624791</v>
      </c>
      <c r="N7973">
        <f t="shared" si="748"/>
        <v>0</v>
      </c>
      <c r="O7973">
        <f t="shared" si="749"/>
        <v>0</v>
      </c>
      <c r="P7973">
        <f t="shared" si="746"/>
        <v>4300</v>
      </c>
      <c r="Q7973">
        <f t="shared" si="750"/>
        <v>4300</v>
      </c>
      <c r="T7973" s="16">
        <f t="shared" si="751"/>
        <v>-0.52290230909624835</v>
      </c>
    </row>
    <row r="7974" spans="7:20" ht="14.4" x14ac:dyDescent="0.25">
      <c r="G7974" s="10">
        <v>6640</v>
      </c>
      <c r="H7974" s="9">
        <v>47207</v>
      </c>
      <c r="I7974" s="14">
        <f>DATE(2012,12,31)-1109</f>
        <v>40165</v>
      </c>
      <c r="J7974" s="15" t="s">
        <v>25</v>
      </c>
      <c r="K7974" s="9">
        <v>15</v>
      </c>
      <c r="L7974" s="16" t="s">
        <v>27</v>
      </c>
      <c r="M7974" s="16">
        <f t="shared" si="747"/>
        <v>-0.7300816389539122</v>
      </c>
      <c r="N7974">
        <f t="shared" si="748"/>
        <v>0</v>
      </c>
      <c r="O7974">
        <f t="shared" si="749"/>
        <v>0</v>
      </c>
      <c r="P7974">
        <f t="shared" si="746"/>
        <v>4150</v>
      </c>
      <c r="Q7974">
        <f t="shared" si="750"/>
        <v>4150</v>
      </c>
      <c r="T7974" s="16">
        <f t="shared" si="751"/>
        <v>-0.73008163895391265</v>
      </c>
    </row>
    <row r="7975" spans="7:20" ht="14.4" x14ac:dyDescent="0.25">
      <c r="G7975" s="10">
        <v>6853</v>
      </c>
      <c r="H7975" s="9">
        <v>48801</v>
      </c>
      <c r="I7975" s="14">
        <f>DATE(2012,12,31)-79</f>
        <v>41195</v>
      </c>
      <c r="J7975" s="15" t="s">
        <v>17</v>
      </c>
      <c r="K7975" s="9">
        <v>43</v>
      </c>
      <c r="L7975" s="16" t="s">
        <v>29</v>
      </c>
      <c r="M7975" s="16">
        <f t="shared" si="747"/>
        <v>1.203592106384288</v>
      </c>
      <c r="N7975">
        <f t="shared" si="748"/>
        <v>0</v>
      </c>
      <c r="O7975">
        <f t="shared" si="749"/>
        <v>0</v>
      </c>
      <c r="P7975">
        <f t="shared" si="746"/>
        <v>5550</v>
      </c>
      <c r="Q7975">
        <f t="shared" si="750"/>
        <v>5550</v>
      </c>
      <c r="T7975" s="16">
        <f t="shared" si="751"/>
        <v>1.2035921063842876</v>
      </c>
    </row>
    <row r="7976" spans="7:20" ht="14.4" x14ac:dyDescent="0.25">
      <c r="G7976" s="10">
        <v>6994</v>
      </c>
      <c r="H7976" s="9">
        <v>49954</v>
      </c>
      <c r="I7976" s="14">
        <f>DATE(2012,12,31)-308</f>
        <v>40966</v>
      </c>
      <c r="J7976" s="15" t="s">
        <v>30</v>
      </c>
      <c r="K7976" s="9">
        <v>36</v>
      </c>
      <c r="L7976" s="16" t="s">
        <v>27</v>
      </c>
      <c r="M7976" s="16">
        <f t="shared" si="747"/>
        <v>0.72017367004973787</v>
      </c>
      <c r="N7976">
        <f t="shared" si="748"/>
        <v>0</v>
      </c>
      <c r="O7976">
        <f t="shared" si="749"/>
        <v>0</v>
      </c>
      <c r="P7976">
        <f t="shared" si="746"/>
        <v>5200</v>
      </c>
      <c r="Q7976">
        <f t="shared" si="750"/>
        <v>5200</v>
      </c>
      <c r="T7976" s="16">
        <f t="shared" si="751"/>
        <v>0.72017367004973754</v>
      </c>
    </row>
    <row r="7977" spans="7:20" ht="14.4" x14ac:dyDescent="0.25">
      <c r="G7977" s="10">
        <v>7084</v>
      </c>
      <c r="H7977" s="9">
        <v>50563</v>
      </c>
      <c r="I7977" s="14">
        <f>DATE(2012,12,31)-534</f>
        <v>40740</v>
      </c>
      <c r="J7977" s="15" t="s">
        <v>17</v>
      </c>
      <c r="K7977" s="9">
        <v>2</v>
      </c>
      <c r="L7977" s="16" t="s">
        <v>26</v>
      </c>
      <c r="M7977" s="16">
        <f t="shared" si="747"/>
        <v>-1.627858735003791</v>
      </c>
      <c r="N7977">
        <f t="shared" si="748"/>
        <v>0</v>
      </c>
      <c r="O7977">
        <f t="shared" si="749"/>
        <v>0</v>
      </c>
      <c r="P7977">
        <f t="shared" si="746"/>
        <v>3500</v>
      </c>
      <c r="Q7977">
        <f t="shared" si="750"/>
        <v>3500</v>
      </c>
      <c r="T7977" s="16">
        <f t="shared" si="751"/>
        <v>-1.6278587350037912</v>
      </c>
    </row>
    <row r="7978" spans="7:20" ht="14.4" x14ac:dyDescent="0.25">
      <c r="G7978" s="10">
        <v>7085</v>
      </c>
      <c r="H7978" s="9">
        <v>50563</v>
      </c>
      <c r="I7978" s="14">
        <f>DATE(2012,12,31)-534</f>
        <v>40740</v>
      </c>
      <c r="J7978" s="15" t="s">
        <v>17</v>
      </c>
      <c r="K7978" s="9">
        <v>20</v>
      </c>
      <c r="L7978" s="16" t="s">
        <v>27</v>
      </c>
      <c r="M7978" s="16">
        <f t="shared" si="747"/>
        <v>-0.38478275585780503</v>
      </c>
      <c r="N7978">
        <f t="shared" si="748"/>
        <v>0</v>
      </c>
      <c r="O7978">
        <f t="shared" si="749"/>
        <v>0</v>
      </c>
      <c r="P7978">
        <f t="shared" si="746"/>
        <v>4400</v>
      </c>
      <c r="Q7978">
        <f t="shared" si="750"/>
        <v>4400</v>
      </c>
      <c r="T7978" s="16">
        <f t="shared" si="751"/>
        <v>-0.38478275585780541</v>
      </c>
    </row>
    <row r="7979" spans="7:20" ht="14.4" x14ac:dyDescent="0.25">
      <c r="G7979" s="10">
        <v>7134</v>
      </c>
      <c r="H7979" s="9">
        <v>50882</v>
      </c>
      <c r="I7979" s="14">
        <f>DATE(2012,12,31)-853</f>
        <v>40421</v>
      </c>
      <c r="J7979" s="15" t="s">
        <v>17</v>
      </c>
      <c r="K7979" s="9">
        <v>37</v>
      </c>
      <c r="L7979" s="16" t="s">
        <v>26</v>
      </c>
      <c r="M7979" s="16">
        <f t="shared" si="747"/>
        <v>0.78923344666895934</v>
      </c>
      <c r="N7979">
        <f t="shared" si="748"/>
        <v>0</v>
      </c>
      <c r="O7979">
        <f t="shared" si="749"/>
        <v>0</v>
      </c>
      <c r="P7979">
        <f t="shared" si="746"/>
        <v>5250</v>
      </c>
      <c r="Q7979">
        <f t="shared" si="750"/>
        <v>5250</v>
      </c>
      <c r="T7979" s="16">
        <f t="shared" si="751"/>
        <v>0.789233446668959</v>
      </c>
    </row>
    <row r="7980" spans="7:20" ht="14.4" x14ac:dyDescent="0.25">
      <c r="G7980" s="10">
        <v>7223</v>
      </c>
      <c r="H7980" s="9">
        <v>51553</v>
      </c>
      <c r="I7980" s="14">
        <f>DATE(2012,12,31)-400</f>
        <v>40874</v>
      </c>
      <c r="J7980" s="15" t="s">
        <v>28</v>
      </c>
      <c r="K7980" s="9">
        <v>3</v>
      </c>
      <c r="L7980" s="16" t="s">
        <v>27</v>
      </c>
      <c r="M7980" s="16">
        <f t="shared" si="747"/>
        <v>-1.5587989583845694</v>
      </c>
      <c r="N7980">
        <f t="shared" si="748"/>
        <v>0</v>
      </c>
      <c r="O7980">
        <f t="shared" si="749"/>
        <v>0</v>
      </c>
      <c r="P7980">
        <f t="shared" si="746"/>
        <v>3550</v>
      </c>
      <c r="Q7980">
        <f t="shared" si="750"/>
        <v>3550</v>
      </c>
      <c r="T7980" s="16">
        <f t="shared" si="751"/>
        <v>-1.5587989583845698</v>
      </c>
    </row>
    <row r="7981" spans="7:20" ht="14.4" x14ac:dyDescent="0.25">
      <c r="G7981" s="10">
        <v>7224</v>
      </c>
      <c r="H7981" s="9">
        <v>51553</v>
      </c>
      <c r="I7981" s="14">
        <f>DATE(2012,12,31)-400</f>
        <v>40874</v>
      </c>
      <c r="J7981" s="15" t="s">
        <v>28</v>
      </c>
      <c r="K7981" s="9">
        <v>34</v>
      </c>
      <c r="L7981" s="16" t="s">
        <v>26</v>
      </c>
      <c r="M7981" s="16">
        <f t="shared" si="747"/>
        <v>0.58205411681129504</v>
      </c>
      <c r="N7981">
        <f t="shared" si="748"/>
        <v>0</v>
      </c>
      <c r="O7981">
        <f t="shared" si="749"/>
        <v>0</v>
      </c>
      <c r="P7981">
        <f t="shared" si="746"/>
        <v>5100</v>
      </c>
      <c r="Q7981">
        <f t="shared" si="750"/>
        <v>5100</v>
      </c>
      <c r="T7981" s="16">
        <f t="shared" si="751"/>
        <v>0.58205411681129471</v>
      </c>
    </row>
    <row r="7982" spans="7:20" ht="14.4" x14ac:dyDescent="0.25">
      <c r="G7982" s="10">
        <v>7225</v>
      </c>
      <c r="H7982" s="9">
        <v>51553</v>
      </c>
      <c r="I7982" s="14">
        <f>DATE(2012,12,31)-400</f>
        <v>40874</v>
      </c>
      <c r="J7982" s="15" t="s">
        <v>28</v>
      </c>
      <c r="K7982" s="9">
        <v>12</v>
      </c>
      <c r="L7982" s="16" t="s">
        <v>26</v>
      </c>
      <c r="M7982" s="16">
        <f t="shared" si="747"/>
        <v>-0.9372609688115765</v>
      </c>
      <c r="N7982">
        <f t="shared" si="748"/>
        <v>0</v>
      </c>
      <c r="O7982">
        <f t="shared" si="749"/>
        <v>0</v>
      </c>
      <c r="P7982">
        <f t="shared" si="746"/>
        <v>4000</v>
      </c>
      <c r="Q7982">
        <f t="shared" si="750"/>
        <v>4000</v>
      </c>
      <c r="T7982" s="16">
        <f t="shared" si="751"/>
        <v>-0.93726096881157694</v>
      </c>
    </row>
    <row r="7983" spans="7:20" ht="14.4" x14ac:dyDescent="0.25">
      <c r="G7983" s="10">
        <v>7226</v>
      </c>
      <c r="H7983" s="9">
        <v>51553</v>
      </c>
      <c r="I7983" s="14">
        <f>DATE(2012,12,31)-400</f>
        <v>40874</v>
      </c>
      <c r="J7983" s="15" t="s">
        <v>28</v>
      </c>
      <c r="K7983" s="9">
        <v>13</v>
      </c>
      <c r="L7983" s="16" t="s">
        <v>26</v>
      </c>
      <c r="M7983" s="16">
        <f t="shared" si="747"/>
        <v>-0.86820119219235514</v>
      </c>
      <c r="N7983">
        <f t="shared" si="748"/>
        <v>0</v>
      </c>
      <c r="O7983">
        <f t="shared" si="749"/>
        <v>0</v>
      </c>
      <c r="P7983">
        <f t="shared" si="746"/>
        <v>4050</v>
      </c>
      <c r="Q7983">
        <f t="shared" si="750"/>
        <v>4050</v>
      </c>
      <c r="T7983" s="16">
        <f t="shared" si="751"/>
        <v>-0.86820119219235548</v>
      </c>
    </row>
    <row r="7984" spans="7:20" ht="14.4" x14ac:dyDescent="0.25">
      <c r="G7984" s="10">
        <v>7327</v>
      </c>
      <c r="H7984" s="9">
        <v>52199</v>
      </c>
      <c r="I7984" s="14">
        <f>DATE(2012,12,31)-705</f>
        <v>40569</v>
      </c>
      <c r="J7984" s="15" t="s">
        <v>16</v>
      </c>
      <c r="K7984" s="9">
        <v>19</v>
      </c>
      <c r="L7984" s="16" t="s">
        <v>26</v>
      </c>
      <c r="M7984" s="16">
        <f t="shared" si="747"/>
        <v>-0.45384253247702649</v>
      </c>
      <c r="N7984">
        <f t="shared" si="748"/>
        <v>0</v>
      </c>
      <c r="O7984">
        <f t="shared" si="749"/>
        <v>0</v>
      </c>
      <c r="P7984">
        <f t="shared" si="746"/>
        <v>4350</v>
      </c>
      <c r="Q7984">
        <f t="shared" si="750"/>
        <v>4350</v>
      </c>
      <c r="T7984" s="16">
        <f t="shared" si="751"/>
        <v>-0.45384253247702688</v>
      </c>
    </row>
    <row r="7985" spans="7:20" ht="14.4" x14ac:dyDescent="0.25">
      <c r="G7985" s="10">
        <v>7341</v>
      </c>
      <c r="H7985" s="9">
        <v>52293</v>
      </c>
      <c r="I7985" s="14">
        <f>DATE(2012,12,31)-626</f>
        <v>40648</v>
      </c>
      <c r="J7985" s="15" t="s">
        <v>17</v>
      </c>
      <c r="K7985" s="9">
        <v>4</v>
      </c>
      <c r="L7985" s="16" t="s">
        <v>26</v>
      </c>
      <c r="M7985" s="16">
        <f t="shared" si="747"/>
        <v>-1.489739181765348</v>
      </c>
      <c r="N7985">
        <f t="shared" si="748"/>
        <v>0</v>
      </c>
      <c r="O7985">
        <f t="shared" si="749"/>
        <v>0</v>
      </c>
      <c r="P7985">
        <f t="shared" si="746"/>
        <v>3600</v>
      </c>
      <c r="Q7985">
        <f t="shared" si="750"/>
        <v>3600</v>
      </c>
      <c r="T7985" s="16">
        <f t="shared" si="751"/>
        <v>-1.4897391817653485</v>
      </c>
    </row>
    <row r="7986" spans="7:20" ht="14.4" x14ac:dyDescent="0.25">
      <c r="G7986" s="10">
        <v>7407</v>
      </c>
      <c r="H7986" s="9">
        <v>52839</v>
      </c>
      <c r="I7986" s="14">
        <f>DATE(2012,12,31)-995</f>
        <v>40279</v>
      </c>
      <c r="J7986" s="15" t="s">
        <v>17</v>
      </c>
      <c r="K7986" s="9">
        <v>8</v>
      </c>
      <c r="L7986" s="16" t="s">
        <v>26</v>
      </c>
      <c r="M7986" s="16">
        <f t="shared" si="747"/>
        <v>-1.2135000752884624</v>
      </c>
      <c r="N7986">
        <f t="shared" si="748"/>
        <v>0</v>
      </c>
      <c r="O7986">
        <f t="shared" si="749"/>
        <v>0</v>
      </c>
      <c r="P7986">
        <f t="shared" si="746"/>
        <v>3800</v>
      </c>
      <c r="Q7986">
        <f t="shared" si="750"/>
        <v>3800</v>
      </c>
      <c r="T7986" s="16">
        <f t="shared" si="751"/>
        <v>-1.2135000752884626</v>
      </c>
    </row>
    <row r="7987" spans="7:20" ht="14.4" x14ac:dyDescent="0.25">
      <c r="G7987" s="10">
        <v>7408</v>
      </c>
      <c r="H7987" s="9">
        <v>52839</v>
      </c>
      <c r="I7987" s="14">
        <f>DATE(2012,12,31)-995</f>
        <v>40279</v>
      </c>
      <c r="J7987" s="15" t="s">
        <v>17</v>
      </c>
      <c r="K7987" s="9">
        <v>25</v>
      </c>
      <c r="L7987" s="16" t="s">
        <v>27</v>
      </c>
      <c r="M7987" s="16">
        <f t="shared" si="747"/>
        <v>-3.9483872761697868E-2</v>
      </c>
      <c r="N7987">
        <f t="shared" si="748"/>
        <v>0</v>
      </c>
      <c r="O7987">
        <f t="shared" si="749"/>
        <v>0</v>
      </c>
      <c r="P7987">
        <f t="shared" si="746"/>
        <v>4650</v>
      </c>
      <c r="Q7987">
        <f t="shared" si="750"/>
        <v>4650</v>
      </c>
      <c r="T7987" s="16">
        <f t="shared" si="751"/>
        <v>-3.9483872761698249E-2</v>
      </c>
    </row>
    <row r="7988" spans="7:20" ht="14.4" x14ac:dyDescent="0.25">
      <c r="G7988" s="10">
        <v>7484</v>
      </c>
      <c r="H7988" s="9">
        <v>53443</v>
      </c>
      <c r="I7988" s="14">
        <f>DATE(2012,12,31)-450</f>
        <v>40824</v>
      </c>
      <c r="J7988" s="15" t="s">
        <v>30</v>
      </c>
      <c r="K7988" s="9">
        <v>35</v>
      </c>
      <c r="L7988" s="16" t="s">
        <v>26</v>
      </c>
      <c r="M7988" s="16">
        <f t="shared" si="747"/>
        <v>0.65111389343051651</v>
      </c>
      <c r="N7988">
        <f t="shared" si="748"/>
        <v>0</v>
      </c>
      <c r="O7988">
        <f t="shared" si="749"/>
        <v>0</v>
      </c>
      <c r="P7988">
        <f t="shared" si="746"/>
        <v>5150</v>
      </c>
      <c r="Q7988">
        <f t="shared" si="750"/>
        <v>5150</v>
      </c>
      <c r="T7988" s="16">
        <f t="shared" si="751"/>
        <v>0.65111389343051607</v>
      </c>
    </row>
    <row r="7989" spans="7:20" ht="14.4" x14ac:dyDescent="0.25">
      <c r="G7989" s="10">
        <v>7485</v>
      </c>
      <c r="H7989" s="9">
        <v>53443</v>
      </c>
      <c r="I7989" s="14">
        <f>DATE(2012,12,31)-450</f>
        <v>40824</v>
      </c>
      <c r="J7989" s="15" t="s">
        <v>30</v>
      </c>
      <c r="K7989" s="9">
        <v>3</v>
      </c>
      <c r="L7989" s="16" t="s">
        <v>26</v>
      </c>
      <c r="M7989" s="16">
        <f t="shared" si="747"/>
        <v>-1.5587989583845694</v>
      </c>
      <c r="N7989">
        <f t="shared" si="748"/>
        <v>0</v>
      </c>
      <c r="O7989">
        <f t="shared" si="749"/>
        <v>0</v>
      </c>
      <c r="P7989">
        <f t="shared" si="746"/>
        <v>3550</v>
      </c>
      <c r="Q7989">
        <f t="shared" si="750"/>
        <v>3550</v>
      </c>
      <c r="T7989" s="16">
        <f t="shared" si="751"/>
        <v>-1.5587989583845698</v>
      </c>
    </row>
    <row r="7990" spans="7:20" ht="14.4" x14ac:dyDescent="0.25">
      <c r="G7990" s="10">
        <v>7486</v>
      </c>
      <c r="H7990" s="9">
        <v>53443</v>
      </c>
      <c r="I7990" s="14">
        <f>DATE(2012,12,31)-450</f>
        <v>40824</v>
      </c>
      <c r="J7990" s="15" t="s">
        <v>30</v>
      </c>
      <c r="K7990" s="9">
        <v>22</v>
      </c>
      <c r="L7990" s="16" t="s">
        <v>26</v>
      </c>
      <c r="M7990" s="16">
        <f t="shared" si="747"/>
        <v>-0.24666320261936217</v>
      </c>
      <c r="N7990">
        <f t="shared" si="748"/>
        <v>0</v>
      </c>
      <c r="O7990">
        <f t="shared" si="749"/>
        <v>0</v>
      </c>
      <c r="P7990">
        <f t="shared" si="746"/>
        <v>4500</v>
      </c>
      <c r="Q7990">
        <f t="shared" si="750"/>
        <v>4500</v>
      </c>
      <c r="T7990" s="16">
        <f t="shared" si="751"/>
        <v>-0.24666320261936256</v>
      </c>
    </row>
    <row r="7991" spans="7:20" ht="14.4" x14ac:dyDescent="0.25">
      <c r="G7991" s="10">
        <v>7527</v>
      </c>
      <c r="H7991" s="9">
        <v>53767</v>
      </c>
      <c r="I7991" s="14">
        <f>DATE(2012,12,31)-493</f>
        <v>40781</v>
      </c>
      <c r="J7991" s="15" t="s">
        <v>28</v>
      </c>
      <c r="K7991" s="9">
        <v>35</v>
      </c>
      <c r="L7991" s="16" t="s">
        <v>26</v>
      </c>
      <c r="M7991" s="16">
        <f t="shared" si="747"/>
        <v>0.65111389343051651</v>
      </c>
      <c r="N7991">
        <f t="shared" si="748"/>
        <v>0</v>
      </c>
      <c r="O7991">
        <f t="shared" si="749"/>
        <v>0</v>
      </c>
      <c r="P7991">
        <f t="shared" si="746"/>
        <v>5150</v>
      </c>
      <c r="Q7991">
        <f t="shared" si="750"/>
        <v>5150</v>
      </c>
      <c r="T7991" s="16">
        <f t="shared" si="751"/>
        <v>0.65111389343051607</v>
      </c>
    </row>
    <row r="7992" spans="7:20" ht="14.4" x14ac:dyDescent="0.25">
      <c r="G7992" s="10">
        <v>7645</v>
      </c>
      <c r="H7992" s="9">
        <v>54787</v>
      </c>
      <c r="I7992" s="14">
        <f>DATE(2012,12,31)-676</f>
        <v>40598</v>
      </c>
      <c r="J7992" s="15" t="s">
        <v>17</v>
      </c>
      <c r="K7992" s="9">
        <v>7</v>
      </c>
      <c r="L7992" s="16" t="s">
        <v>26</v>
      </c>
      <c r="M7992" s="16">
        <f t="shared" si="747"/>
        <v>-1.2825598519076837</v>
      </c>
      <c r="N7992">
        <f t="shared" si="748"/>
        <v>0</v>
      </c>
      <c r="O7992">
        <f t="shared" si="749"/>
        <v>0</v>
      </c>
      <c r="P7992">
        <f t="shared" si="746"/>
        <v>3750</v>
      </c>
      <c r="Q7992">
        <f t="shared" si="750"/>
        <v>3750</v>
      </c>
      <c r="T7992" s="16">
        <f t="shared" si="751"/>
        <v>-1.2825598519076842</v>
      </c>
    </row>
    <row r="7993" spans="7:20" ht="14.4" x14ac:dyDescent="0.25">
      <c r="G7993" s="10">
        <v>7671</v>
      </c>
      <c r="H7993" s="9">
        <v>55011</v>
      </c>
      <c r="I7993" s="14">
        <f>DATE(2012,12,31)-362</f>
        <v>40912</v>
      </c>
      <c r="J7993" s="15" t="s">
        <v>30</v>
      </c>
      <c r="K7993" s="9">
        <v>48</v>
      </c>
      <c r="L7993" s="16" t="s">
        <v>26</v>
      </c>
      <c r="M7993" s="16">
        <f t="shared" si="747"/>
        <v>1.5488909894803951</v>
      </c>
      <c r="N7993">
        <f t="shared" si="748"/>
        <v>0</v>
      </c>
      <c r="O7993">
        <f t="shared" si="749"/>
        <v>0</v>
      </c>
      <c r="P7993">
        <f t="shared" si="746"/>
        <v>5800</v>
      </c>
      <c r="Q7993">
        <f t="shared" si="750"/>
        <v>5800</v>
      </c>
      <c r="T7993" s="16">
        <f t="shared" si="751"/>
        <v>1.5488909894803948</v>
      </c>
    </row>
    <row r="7994" spans="7:20" ht="14.4" x14ac:dyDescent="0.25">
      <c r="G7994" s="10">
        <v>7672</v>
      </c>
      <c r="H7994" s="9">
        <v>55011</v>
      </c>
      <c r="I7994" s="14">
        <f>DATE(2012,12,31)-362</f>
        <v>40912</v>
      </c>
      <c r="J7994" s="15" t="s">
        <v>30</v>
      </c>
      <c r="K7994" s="9">
        <v>18</v>
      </c>
      <c r="L7994" s="16" t="s">
        <v>26</v>
      </c>
      <c r="M7994" s="16">
        <f t="shared" si="747"/>
        <v>-0.52290230909624791</v>
      </c>
      <c r="N7994">
        <f t="shared" si="748"/>
        <v>0</v>
      </c>
      <c r="O7994">
        <f t="shared" si="749"/>
        <v>0</v>
      </c>
      <c r="P7994">
        <f t="shared" si="746"/>
        <v>4300</v>
      </c>
      <c r="Q7994">
        <f t="shared" si="750"/>
        <v>4300</v>
      </c>
      <c r="T7994" s="16">
        <f t="shared" si="751"/>
        <v>-0.52290230909624835</v>
      </c>
    </row>
    <row r="7995" spans="7:20" ht="14.4" x14ac:dyDescent="0.25">
      <c r="G7995" s="10">
        <v>7754</v>
      </c>
      <c r="H7995" s="9">
        <v>55490</v>
      </c>
      <c r="I7995" s="14">
        <f>DATE(2012,12,31)-1141</f>
        <v>40133</v>
      </c>
      <c r="J7995" s="15" t="s">
        <v>16</v>
      </c>
      <c r="K7995" s="9">
        <v>3</v>
      </c>
      <c r="L7995" s="16" t="s">
        <v>29</v>
      </c>
      <c r="M7995" s="16">
        <f t="shared" si="747"/>
        <v>-1.5587989583845694</v>
      </c>
      <c r="N7995">
        <f t="shared" si="748"/>
        <v>0</v>
      </c>
      <c r="O7995">
        <f t="shared" si="749"/>
        <v>0</v>
      </c>
      <c r="P7995">
        <f t="shared" si="746"/>
        <v>3550</v>
      </c>
      <c r="Q7995">
        <f t="shared" si="750"/>
        <v>3550</v>
      </c>
      <c r="T7995" s="16">
        <f t="shared" si="751"/>
        <v>-1.5587989583845698</v>
      </c>
    </row>
    <row r="7996" spans="7:20" ht="14.4" x14ac:dyDescent="0.25">
      <c r="G7996" s="10">
        <v>7842</v>
      </c>
      <c r="H7996" s="9">
        <v>56069</v>
      </c>
      <c r="I7996" s="14">
        <f>DATE(2012,12,31)-78</f>
        <v>41196</v>
      </c>
      <c r="J7996" s="15" t="s">
        <v>25</v>
      </c>
      <c r="K7996" s="9">
        <v>10</v>
      </c>
      <c r="L7996" s="16" t="s">
        <v>26</v>
      </c>
      <c r="M7996" s="16">
        <f t="shared" si="747"/>
        <v>-1.0753805220500194</v>
      </c>
      <c r="N7996">
        <f t="shared" si="748"/>
        <v>0</v>
      </c>
      <c r="O7996">
        <f t="shared" si="749"/>
        <v>0</v>
      </c>
      <c r="P7996">
        <f t="shared" si="746"/>
        <v>3900</v>
      </c>
      <c r="Q7996">
        <f t="shared" si="750"/>
        <v>3900</v>
      </c>
      <c r="T7996" s="16">
        <f t="shared" si="751"/>
        <v>-1.0753805220500199</v>
      </c>
    </row>
    <row r="7997" spans="7:20" ht="14.4" x14ac:dyDescent="0.25">
      <c r="G7997" s="10">
        <v>7856</v>
      </c>
      <c r="H7997" s="9">
        <v>56163</v>
      </c>
      <c r="I7997" s="14">
        <f>DATE(2012,12,31)-1238</f>
        <v>40036</v>
      </c>
      <c r="J7997" s="15" t="s">
        <v>28</v>
      </c>
      <c r="K7997" s="9">
        <v>3</v>
      </c>
      <c r="L7997" s="16" t="s">
        <v>26</v>
      </c>
      <c r="M7997" s="16">
        <f t="shared" si="747"/>
        <v>-1.5587989583845694</v>
      </c>
      <c r="N7997">
        <f t="shared" si="748"/>
        <v>0</v>
      </c>
      <c r="O7997">
        <f t="shared" si="749"/>
        <v>0</v>
      </c>
      <c r="P7997">
        <f t="shared" si="746"/>
        <v>3550</v>
      </c>
      <c r="Q7997">
        <f t="shared" si="750"/>
        <v>3550</v>
      </c>
      <c r="T7997" s="16">
        <f t="shared" si="751"/>
        <v>-1.5587989583845698</v>
      </c>
    </row>
    <row r="7998" spans="7:20" ht="14.4" x14ac:dyDescent="0.25">
      <c r="G7998" s="10">
        <v>7963</v>
      </c>
      <c r="H7998" s="9">
        <v>56929</v>
      </c>
      <c r="I7998" s="14">
        <f>DATE(2012,12,31)-462</f>
        <v>40812</v>
      </c>
      <c r="J7998" s="15" t="s">
        <v>17</v>
      </c>
      <c r="K7998" s="9">
        <v>22</v>
      </c>
      <c r="L7998" s="16" t="s">
        <v>27</v>
      </c>
      <c r="M7998" s="16">
        <f t="shared" si="747"/>
        <v>-0.24666320261936217</v>
      </c>
      <c r="N7998">
        <f t="shared" si="748"/>
        <v>0</v>
      </c>
      <c r="O7998">
        <f t="shared" si="749"/>
        <v>0</v>
      </c>
      <c r="P7998">
        <f t="shared" si="746"/>
        <v>4500</v>
      </c>
      <c r="Q7998">
        <f t="shared" si="750"/>
        <v>4500</v>
      </c>
      <c r="T7998" s="16">
        <f t="shared" si="751"/>
        <v>-0.24666320261936256</v>
      </c>
    </row>
    <row r="7999" spans="7:20" ht="14.4" x14ac:dyDescent="0.25">
      <c r="G7999" s="10">
        <v>8029</v>
      </c>
      <c r="H7999" s="9">
        <v>57378</v>
      </c>
      <c r="I7999" s="14">
        <f>DATE(2012,12,31)-1099</f>
        <v>40175</v>
      </c>
      <c r="J7999" s="15" t="s">
        <v>28</v>
      </c>
      <c r="K7999" s="9">
        <v>9</v>
      </c>
      <c r="L7999" s="16" t="s">
        <v>27</v>
      </c>
      <c r="M7999" s="16">
        <f t="shared" si="747"/>
        <v>-1.1444402986692408</v>
      </c>
      <c r="N7999">
        <f t="shared" si="748"/>
        <v>0</v>
      </c>
      <c r="O7999">
        <f t="shared" si="749"/>
        <v>0</v>
      </c>
      <c r="P7999">
        <f t="shared" si="746"/>
        <v>3850</v>
      </c>
      <c r="Q7999">
        <f t="shared" si="750"/>
        <v>3850</v>
      </c>
      <c r="T7999" s="16">
        <f t="shared" si="751"/>
        <v>-1.1444402986692412</v>
      </c>
    </row>
    <row r="8000" spans="7:20" ht="14.4" x14ac:dyDescent="0.25">
      <c r="G8000" s="10">
        <v>8030</v>
      </c>
      <c r="H8000" s="9">
        <v>57378</v>
      </c>
      <c r="I8000" s="14">
        <f>DATE(2012,12,31)-1099</f>
        <v>40175</v>
      </c>
      <c r="J8000" s="15" t="s">
        <v>28</v>
      </c>
      <c r="K8000" s="9">
        <v>10</v>
      </c>
      <c r="L8000" s="16" t="s">
        <v>26</v>
      </c>
      <c r="M8000" s="16">
        <f t="shared" si="747"/>
        <v>-1.0753805220500194</v>
      </c>
      <c r="N8000">
        <f t="shared" si="748"/>
        <v>0</v>
      </c>
      <c r="O8000">
        <f t="shared" si="749"/>
        <v>0</v>
      </c>
      <c r="P8000">
        <f t="shared" si="746"/>
        <v>3900</v>
      </c>
      <c r="Q8000">
        <f t="shared" si="750"/>
        <v>3900</v>
      </c>
      <c r="T8000" s="16">
        <f t="shared" si="751"/>
        <v>-1.0753805220500199</v>
      </c>
    </row>
    <row r="8001" spans="7:20" ht="14.4" x14ac:dyDescent="0.25">
      <c r="G8001" s="10">
        <v>8241</v>
      </c>
      <c r="H8001" s="9">
        <v>58914</v>
      </c>
      <c r="I8001" s="14">
        <f>DATE(2012,12,31)-1362</f>
        <v>39912</v>
      </c>
      <c r="J8001" s="15" t="s">
        <v>25</v>
      </c>
      <c r="K8001" s="9">
        <v>46</v>
      </c>
      <c r="L8001" s="16" t="s">
        <v>27</v>
      </c>
      <c r="M8001" s="16">
        <f t="shared" si="747"/>
        <v>1.4107714362419523</v>
      </c>
      <c r="N8001">
        <f t="shared" si="748"/>
        <v>0</v>
      </c>
      <c r="O8001">
        <f t="shared" si="749"/>
        <v>0</v>
      </c>
      <c r="P8001">
        <f t="shared" si="746"/>
        <v>5700</v>
      </c>
      <c r="Q8001">
        <f t="shared" si="750"/>
        <v>5700</v>
      </c>
      <c r="T8001" s="16">
        <f t="shared" si="751"/>
        <v>1.4107714362419519</v>
      </c>
    </row>
    <row r="8002" spans="7:20" ht="14.4" x14ac:dyDescent="0.25">
      <c r="G8002" s="10">
        <v>8242</v>
      </c>
      <c r="H8002" s="9">
        <v>58914</v>
      </c>
      <c r="I8002" s="14">
        <f>DATE(2012,12,31)-1362</f>
        <v>39912</v>
      </c>
      <c r="J8002" s="15" t="s">
        <v>25</v>
      </c>
      <c r="K8002" s="9">
        <v>11</v>
      </c>
      <c r="L8002" s="16" t="s">
        <v>26</v>
      </c>
      <c r="M8002" s="16">
        <f t="shared" si="747"/>
        <v>-1.0063207454307979</v>
      </c>
      <c r="N8002">
        <f t="shared" si="748"/>
        <v>0</v>
      </c>
      <c r="O8002">
        <f t="shared" si="749"/>
        <v>0</v>
      </c>
      <c r="P8002">
        <f t="shared" si="746"/>
        <v>3950</v>
      </c>
      <c r="Q8002">
        <f t="shared" si="750"/>
        <v>3950</v>
      </c>
      <c r="T8002" s="16">
        <f t="shared" si="751"/>
        <v>-1.0063207454307983</v>
      </c>
    </row>
    <row r="8003" spans="7:20" ht="14.4" x14ac:dyDescent="0.25">
      <c r="G8003" s="10">
        <v>8338</v>
      </c>
      <c r="H8003" s="9">
        <v>59586</v>
      </c>
      <c r="I8003" s="14">
        <f>DATE(2012,12,31)-299</f>
        <v>40975</v>
      </c>
      <c r="J8003" s="15" t="s">
        <v>25</v>
      </c>
      <c r="K8003" s="9">
        <v>25</v>
      </c>
      <c r="L8003" s="16" t="s">
        <v>26</v>
      </c>
      <c r="M8003" s="16">
        <f t="shared" si="747"/>
        <v>-3.9483872761697868E-2</v>
      </c>
      <c r="N8003">
        <f t="shared" si="748"/>
        <v>0</v>
      </c>
      <c r="O8003">
        <f t="shared" si="749"/>
        <v>0</v>
      </c>
      <c r="P8003">
        <f t="shared" si="746"/>
        <v>4650</v>
      </c>
      <c r="Q8003">
        <f t="shared" si="750"/>
        <v>4650</v>
      </c>
      <c r="T8003" s="16">
        <f t="shared" si="751"/>
        <v>-3.9483872761698249E-2</v>
      </c>
    </row>
    <row r="8004" spans="7:20" ht="14.4" x14ac:dyDescent="0.25">
      <c r="G8004" s="10">
        <v>64</v>
      </c>
      <c r="H8004" s="9">
        <v>359</v>
      </c>
      <c r="I8004" s="14">
        <f>DATE(2012,12,31)-1109</f>
        <v>40165</v>
      </c>
      <c r="J8004" s="15" t="s">
        <v>16</v>
      </c>
      <c r="K8004" s="9">
        <v>30</v>
      </c>
      <c r="L8004" s="16" t="s">
        <v>29</v>
      </c>
      <c r="M8004" s="16">
        <f t="shared" si="747"/>
        <v>0.30581501033440933</v>
      </c>
      <c r="N8004">
        <f t="shared" si="748"/>
        <v>0</v>
      </c>
      <c r="O8004">
        <f t="shared" si="749"/>
        <v>0</v>
      </c>
      <c r="P8004">
        <f t="shared" si="746"/>
        <v>4900</v>
      </c>
      <c r="Q8004">
        <f t="shared" si="750"/>
        <v>4900</v>
      </c>
      <c r="T8004" s="16">
        <f t="shared" si="751"/>
        <v>0.30581501033440894</v>
      </c>
    </row>
    <row r="8005" spans="7:20" ht="14.4" x14ac:dyDescent="0.25">
      <c r="G8005" s="10">
        <v>129</v>
      </c>
      <c r="H8005" s="9">
        <v>832</v>
      </c>
      <c r="I8005" s="14">
        <f>DATE(2012,12,31)-257</f>
        <v>41017</v>
      </c>
      <c r="J8005" s="15" t="s">
        <v>25</v>
      </c>
      <c r="K8005" s="9">
        <v>7</v>
      </c>
      <c r="L8005" s="16" t="s">
        <v>26</v>
      </c>
      <c r="M8005" s="16">
        <f t="shared" si="747"/>
        <v>-1.2825598519076837</v>
      </c>
      <c r="N8005">
        <f t="shared" si="748"/>
        <v>0</v>
      </c>
      <c r="O8005">
        <f t="shared" si="749"/>
        <v>0</v>
      </c>
      <c r="P8005">
        <f t="shared" si="746"/>
        <v>3750</v>
      </c>
      <c r="Q8005">
        <f t="shared" si="750"/>
        <v>3750</v>
      </c>
      <c r="T8005" s="16">
        <f t="shared" si="751"/>
        <v>-1.2825598519076842</v>
      </c>
    </row>
    <row r="8006" spans="7:20" ht="14.4" x14ac:dyDescent="0.25">
      <c r="G8006" s="10">
        <v>210</v>
      </c>
      <c r="H8006" s="9">
        <v>1383</v>
      </c>
      <c r="I8006" s="14">
        <f>DATE(2012,12,31)-980</f>
        <v>40294</v>
      </c>
      <c r="J8006" s="15" t="s">
        <v>17</v>
      </c>
      <c r="K8006" s="9">
        <v>43</v>
      </c>
      <c r="L8006" s="16" t="s">
        <v>26</v>
      </c>
      <c r="M8006" s="16">
        <f t="shared" si="747"/>
        <v>1.203592106384288</v>
      </c>
      <c r="N8006">
        <f t="shared" si="748"/>
        <v>0</v>
      </c>
      <c r="O8006">
        <f t="shared" si="749"/>
        <v>0</v>
      </c>
      <c r="P8006">
        <f t="shared" si="746"/>
        <v>5550</v>
      </c>
      <c r="Q8006">
        <f t="shared" si="750"/>
        <v>5550</v>
      </c>
      <c r="T8006" s="16">
        <f t="shared" si="751"/>
        <v>1.2035921063842876</v>
      </c>
    </row>
    <row r="8007" spans="7:20" ht="14.4" x14ac:dyDescent="0.25">
      <c r="G8007" s="10">
        <v>349</v>
      </c>
      <c r="H8007" s="9">
        <v>2433</v>
      </c>
      <c r="I8007" s="14">
        <f>DATE(2012,12,31)-1228</f>
        <v>40046</v>
      </c>
      <c r="J8007" s="15" t="s">
        <v>28</v>
      </c>
      <c r="K8007" s="9">
        <v>14</v>
      </c>
      <c r="L8007" s="16" t="s">
        <v>27</v>
      </c>
      <c r="M8007" s="16">
        <f t="shared" si="747"/>
        <v>-0.79914141557313367</v>
      </c>
      <c r="N8007">
        <f t="shared" si="748"/>
        <v>0</v>
      </c>
      <c r="O8007">
        <f t="shared" si="749"/>
        <v>0</v>
      </c>
      <c r="P8007">
        <f t="shared" si="746"/>
        <v>4100</v>
      </c>
      <c r="Q8007">
        <f t="shared" si="750"/>
        <v>4100</v>
      </c>
      <c r="T8007" s="16">
        <f t="shared" si="751"/>
        <v>-0.79914141557313401</v>
      </c>
    </row>
    <row r="8008" spans="7:20" ht="14.4" x14ac:dyDescent="0.25">
      <c r="G8008" s="10">
        <v>388</v>
      </c>
      <c r="H8008" s="9">
        <v>2659</v>
      </c>
      <c r="I8008" s="14">
        <f>DATE(2012,12,31)-745</f>
        <v>40529</v>
      </c>
      <c r="J8008" s="15" t="s">
        <v>28</v>
      </c>
      <c r="K8008" s="9">
        <v>50</v>
      </c>
      <c r="L8008" s="16" t="s">
        <v>26</v>
      </c>
      <c r="M8008" s="16">
        <f t="shared" si="747"/>
        <v>1.687010542718838</v>
      </c>
      <c r="N8008">
        <f t="shared" si="748"/>
        <v>0</v>
      </c>
      <c r="O8008">
        <f t="shared" si="749"/>
        <v>0</v>
      </c>
      <c r="P8008">
        <f t="shared" si="746"/>
        <v>5900</v>
      </c>
      <c r="Q8008">
        <f t="shared" si="750"/>
        <v>5900</v>
      </c>
      <c r="T8008" s="16">
        <f t="shared" si="751"/>
        <v>1.6870105427188375</v>
      </c>
    </row>
    <row r="8009" spans="7:20" ht="14.4" x14ac:dyDescent="0.25">
      <c r="G8009" s="10">
        <v>466</v>
      </c>
      <c r="H8009" s="9">
        <v>3172</v>
      </c>
      <c r="I8009" s="14">
        <f>DATE(2012,12,31)-212</f>
        <v>41062</v>
      </c>
      <c r="J8009" s="15" t="s">
        <v>28</v>
      </c>
      <c r="K8009" s="9">
        <v>33</v>
      </c>
      <c r="L8009" s="16" t="s">
        <v>27</v>
      </c>
      <c r="M8009" s="16">
        <f t="shared" si="747"/>
        <v>0.51299434019207357</v>
      </c>
      <c r="N8009">
        <f t="shared" si="748"/>
        <v>0</v>
      </c>
      <c r="O8009">
        <f t="shared" si="749"/>
        <v>0</v>
      </c>
      <c r="P8009">
        <f t="shared" si="746"/>
        <v>5050</v>
      </c>
      <c r="Q8009">
        <f t="shared" si="750"/>
        <v>5050</v>
      </c>
      <c r="T8009" s="16">
        <f t="shared" si="751"/>
        <v>0.51299434019207324</v>
      </c>
    </row>
    <row r="8010" spans="7:20" ht="14.4" x14ac:dyDescent="0.25">
      <c r="G8010" s="10">
        <v>614</v>
      </c>
      <c r="H8010" s="9">
        <v>4199</v>
      </c>
      <c r="I8010" s="14">
        <f>DATE(2012,12,31)-323</f>
        <v>40951</v>
      </c>
      <c r="J8010" s="15" t="s">
        <v>30</v>
      </c>
      <c r="K8010" s="9">
        <v>43</v>
      </c>
      <c r="L8010" s="16" t="s">
        <v>29</v>
      </c>
      <c r="M8010" s="16">
        <f t="shared" si="747"/>
        <v>1.203592106384288</v>
      </c>
      <c r="N8010">
        <f t="shared" si="748"/>
        <v>0</v>
      </c>
      <c r="O8010">
        <f t="shared" si="749"/>
        <v>0</v>
      </c>
      <c r="P8010">
        <f t="shared" si="746"/>
        <v>5550</v>
      </c>
      <c r="Q8010">
        <f t="shared" si="750"/>
        <v>5550</v>
      </c>
      <c r="T8010" s="16">
        <f t="shared" si="751"/>
        <v>1.2035921063842876</v>
      </c>
    </row>
    <row r="8011" spans="7:20" ht="14.4" x14ac:dyDescent="0.25">
      <c r="G8011" s="10">
        <v>744</v>
      </c>
      <c r="H8011" s="9">
        <v>5347</v>
      </c>
      <c r="I8011" s="14">
        <f>DATE(2012,12,31)-679</f>
        <v>40595</v>
      </c>
      <c r="J8011" s="15" t="s">
        <v>16</v>
      </c>
      <c r="K8011" s="9">
        <v>7</v>
      </c>
      <c r="L8011" s="16" t="s">
        <v>27</v>
      </c>
      <c r="M8011" s="16">
        <f t="shared" si="747"/>
        <v>-1.2825598519076837</v>
      </c>
      <c r="N8011">
        <f t="shared" si="748"/>
        <v>0</v>
      </c>
      <c r="O8011">
        <f t="shared" si="749"/>
        <v>0</v>
      </c>
      <c r="P8011">
        <f t="shared" si="746"/>
        <v>3750</v>
      </c>
      <c r="Q8011">
        <f t="shared" si="750"/>
        <v>3750</v>
      </c>
      <c r="T8011" s="16">
        <f t="shared" si="751"/>
        <v>-1.2825598519076842</v>
      </c>
    </row>
    <row r="8012" spans="7:20" ht="14.4" x14ac:dyDescent="0.25">
      <c r="G8012" s="10">
        <v>745</v>
      </c>
      <c r="H8012" s="9">
        <v>5347</v>
      </c>
      <c r="I8012" s="14">
        <f>DATE(2012,12,31)-679</f>
        <v>40595</v>
      </c>
      <c r="J8012" s="15" t="s">
        <v>16</v>
      </c>
      <c r="K8012" s="9">
        <v>39</v>
      </c>
      <c r="L8012" s="16" t="s">
        <v>27</v>
      </c>
      <c r="M8012" s="16">
        <f t="shared" si="747"/>
        <v>0.92735299990740228</v>
      </c>
      <c r="N8012">
        <f t="shared" si="748"/>
        <v>0</v>
      </c>
      <c r="O8012">
        <f t="shared" si="749"/>
        <v>0</v>
      </c>
      <c r="P8012">
        <f t="shared" ref="P8012:P8075" si="752">50*K8012+$P$10</f>
        <v>5350</v>
      </c>
      <c r="Q8012">
        <f t="shared" si="750"/>
        <v>5350</v>
      </c>
      <c r="T8012" s="16">
        <f t="shared" si="751"/>
        <v>0.92735299990740183</v>
      </c>
    </row>
    <row r="8013" spans="7:20" ht="14.4" x14ac:dyDescent="0.25">
      <c r="G8013" s="10">
        <v>746</v>
      </c>
      <c r="H8013" s="9">
        <v>5347</v>
      </c>
      <c r="I8013" s="14">
        <f>DATE(2012,12,31)-679</f>
        <v>40595</v>
      </c>
      <c r="J8013" s="15" t="s">
        <v>16</v>
      </c>
      <c r="K8013" s="9">
        <v>1</v>
      </c>
      <c r="L8013" s="16" t="s">
        <v>27</v>
      </c>
      <c r="M8013" s="16">
        <f t="shared" ref="M8013:M8076" si="753">(K8013-$K$4)/$K$7</f>
        <v>-1.6969185116230123</v>
      </c>
      <c r="N8013">
        <f t="shared" ref="N8013:N8076" si="754">IF(MOD($B$20+G8013,1000)=0,1,0)</f>
        <v>0</v>
      </c>
      <c r="O8013">
        <f t="shared" ref="O8013:O8076" si="755">+ROUND(N8013*(IF(K8013&lt;$K$4,-4.5,10.5)*$P$5),-2)</f>
        <v>0</v>
      </c>
      <c r="P8013">
        <f t="shared" si="752"/>
        <v>3450</v>
      </c>
      <c r="Q8013">
        <f t="shared" ref="Q8013:Q8076" si="756">P8013+O8013</f>
        <v>3450</v>
      </c>
      <c r="T8013" s="16">
        <f t="shared" ref="T8013:T8076" si="757">(Q8013-$P$4)/$P$5</f>
        <v>-1.6969185116230128</v>
      </c>
    </row>
    <row r="8014" spans="7:20" ht="14.4" x14ac:dyDescent="0.25">
      <c r="G8014" s="10">
        <v>803</v>
      </c>
      <c r="H8014" s="9">
        <v>5764</v>
      </c>
      <c r="I8014" s="14">
        <f>DATE(2012,12,31)-821</f>
        <v>40453</v>
      </c>
      <c r="J8014" s="15" t="s">
        <v>28</v>
      </c>
      <c r="K8014" s="9">
        <v>23</v>
      </c>
      <c r="L8014" s="16" t="s">
        <v>26</v>
      </c>
      <c r="M8014" s="16">
        <f t="shared" si="753"/>
        <v>-0.17760342600014073</v>
      </c>
      <c r="N8014">
        <f t="shared" si="754"/>
        <v>0</v>
      </c>
      <c r="O8014">
        <f t="shared" si="755"/>
        <v>0</v>
      </c>
      <c r="P8014">
        <f t="shared" si="752"/>
        <v>4550</v>
      </c>
      <c r="Q8014">
        <f t="shared" si="756"/>
        <v>4550</v>
      </c>
      <c r="T8014" s="16">
        <f t="shared" si="757"/>
        <v>-0.17760342600014112</v>
      </c>
    </row>
    <row r="8015" spans="7:20" ht="14.4" x14ac:dyDescent="0.25">
      <c r="G8015" s="10">
        <v>813</v>
      </c>
      <c r="H8015" s="9">
        <v>5860</v>
      </c>
      <c r="I8015" s="14">
        <f>DATE(2012,12,31)-316</f>
        <v>40958</v>
      </c>
      <c r="J8015" s="15" t="s">
        <v>28</v>
      </c>
      <c r="K8015" s="9">
        <v>12</v>
      </c>
      <c r="L8015" s="16" t="s">
        <v>26</v>
      </c>
      <c r="M8015" s="16">
        <f t="shared" si="753"/>
        <v>-0.9372609688115765</v>
      </c>
      <c r="N8015">
        <f t="shared" si="754"/>
        <v>0</v>
      </c>
      <c r="O8015">
        <f t="shared" si="755"/>
        <v>0</v>
      </c>
      <c r="P8015">
        <f t="shared" si="752"/>
        <v>4000</v>
      </c>
      <c r="Q8015">
        <f t="shared" si="756"/>
        <v>4000</v>
      </c>
      <c r="T8015" s="16">
        <f t="shared" si="757"/>
        <v>-0.93726096881157694</v>
      </c>
    </row>
    <row r="8016" spans="7:20" ht="14.4" x14ac:dyDescent="0.25">
      <c r="G8016" s="10">
        <v>854</v>
      </c>
      <c r="H8016" s="9">
        <v>6117</v>
      </c>
      <c r="I8016" s="14">
        <f>DATE(2012,12,31)-10</f>
        <v>41264</v>
      </c>
      <c r="J8016" s="15" t="s">
        <v>30</v>
      </c>
      <c r="K8016" s="9">
        <v>7</v>
      </c>
      <c r="L8016" s="16" t="s">
        <v>29</v>
      </c>
      <c r="M8016" s="16">
        <f t="shared" si="753"/>
        <v>-1.2825598519076837</v>
      </c>
      <c r="N8016">
        <f t="shared" si="754"/>
        <v>0</v>
      </c>
      <c r="O8016">
        <f t="shared" si="755"/>
        <v>0</v>
      </c>
      <c r="P8016">
        <f t="shared" si="752"/>
        <v>3750</v>
      </c>
      <c r="Q8016">
        <f t="shared" si="756"/>
        <v>3750</v>
      </c>
      <c r="T8016" s="16">
        <f t="shared" si="757"/>
        <v>-1.2825598519076842</v>
      </c>
    </row>
    <row r="8017" spans="7:20" ht="14.4" x14ac:dyDescent="0.25">
      <c r="G8017" s="10">
        <v>974</v>
      </c>
      <c r="H8017" s="9">
        <v>7077</v>
      </c>
      <c r="I8017" s="14">
        <f>DATE(2012,12,31)-376</f>
        <v>40898</v>
      </c>
      <c r="J8017" s="15" t="s">
        <v>17</v>
      </c>
      <c r="K8017" s="9">
        <v>14</v>
      </c>
      <c r="L8017" s="16" t="s">
        <v>26</v>
      </c>
      <c r="M8017" s="16">
        <f t="shared" si="753"/>
        <v>-0.79914141557313367</v>
      </c>
      <c r="N8017">
        <f t="shared" si="754"/>
        <v>0</v>
      </c>
      <c r="O8017">
        <f t="shared" si="755"/>
        <v>0</v>
      </c>
      <c r="P8017">
        <f t="shared" si="752"/>
        <v>4100</v>
      </c>
      <c r="Q8017">
        <f t="shared" si="756"/>
        <v>4100</v>
      </c>
      <c r="T8017" s="16">
        <f t="shared" si="757"/>
        <v>-0.79914141557313401</v>
      </c>
    </row>
    <row r="8018" spans="7:20" ht="14.4" x14ac:dyDescent="0.25">
      <c r="G8018" s="10">
        <v>991</v>
      </c>
      <c r="H8018" s="9">
        <v>7142</v>
      </c>
      <c r="I8018" s="14">
        <f>DATE(2012,12,31)-529</f>
        <v>40745</v>
      </c>
      <c r="J8018" s="15" t="s">
        <v>30</v>
      </c>
      <c r="K8018" s="9">
        <v>36</v>
      </c>
      <c r="L8018" s="16" t="s">
        <v>26</v>
      </c>
      <c r="M8018" s="16">
        <f t="shared" si="753"/>
        <v>0.72017367004973787</v>
      </c>
      <c r="N8018">
        <f t="shared" si="754"/>
        <v>0</v>
      </c>
      <c r="O8018">
        <f t="shared" si="755"/>
        <v>0</v>
      </c>
      <c r="P8018">
        <f t="shared" si="752"/>
        <v>5200</v>
      </c>
      <c r="Q8018">
        <f t="shared" si="756"/>
        <v>5200</v>
      </c>
      <c r="T8018" s="16">
        <f t="shared" si="757"/>
        <v>0.72017367004973754</v>
      </c>
    </row>
    <row r="8019" spans="7:20" ht="14.4" x14ac:dyDescent="0.25">
      <c r="G8019" s="10">
        <v>1011</v>
      </c>
      <c r="H8019" s="9">
        <v>7398</v>
      </c>
      <c r="I8019" s="14">
        <f>DATE(2012,12,31)-1309</f>
        <v>39965</v>
      </c>
      <c r="J8019" s="15" t="s">
        <v>28</v>
      </c>
      <c r="K8019" s="9">
        <v>6</v>
      </c>
      <c r="L8019" s="16" t="s">
        <v>26</v>
      </c>
      <c r="M8019" s="16">
        <f t="shared" si="753"/>
        <v>-1.3516196285269051</v>
      </c>
      <c r="N8019">
        <f t="shared" si="754"/>
        <v>0</v>
      </c>
      <c r="O8019">
        <f t="shared" si="755"/>
        <v>0</v>
      </c>
      <c r="P8019">
        <f t="shared" si="752"/>
        <v>3700</v>
      </c>
      <c r="Q8019">
        <f t="shared" si="756"/>
        <v>3700</v>
      </c>
      <c r="T8019" s="16">
        <f t="shared" si="757"/>
        <v>-1.3516196285269055</v>
      </c>
    </row>
    <row r="8020" spans="7:20" ht="14.4" x14ac:dyDescent="0.25">
      <c r="G8020" s="10">
        <v>1012</v>
      </c>
      <c r="H8020" s="9">
        <v>7398</v>
      </c>
      <c r="I8020" s="14">
        <f>DATE(2012,12,31)-1309</f>
        <v>39965</v>
      </c>
      <c r="J8020" s="15" t="s">
        <v>28</v>
      </c>
      <c r="K8020" s="9">
        <v>34</v>
      </c>
      <c r="L8020" s="16" t="s">
        <v>26</v>
      </c>
      <c r="M8020" s="16">
        <f t="shared" si="753"/>
        <v>0.58205411681129504</v>
      </c>
      <c r="N8020">
        <f t="shared" si="754"/>
        <v>0</v>
      </c>
      <c r="O8020">
        <f t="shared" si="755"/>
        <v>0</v>
      </c>
      <c r="P8020">
        <f t="shared" si="752"/>
        <v>5100</v>
      </c>
      <c r="Q8020">
        <f t="shared" si="756"/>
        <v>5100</v>
      </c>
      <c r="T8020" s="16">
        <f t="shared" si="757"/>
        <v>0.58205411681129471</v>
      </c>
    </row>
    <row r="8021" spans="7:20" ht="14.4" x14ac:dyDescent="0.25">
      <c r="G8021" s="10">
        <v>1018</v>
      </c>
      <c r="H8021" s="9">
        <v>7431</v>
      </c>
      <c r="I8021" s="14">
        <f>DATE(2012,12,31)-1340</f>
        <v>39934</v>
      </c>
      <c r="J8021" s="15" t="s">
        <v>16</v>
      </c>
      <c r="K8021" s="9">
        <v>33</v>
      </c>
      <c r="L8021" s="16" t="s">
        <v>29</v>
      </c>
      <c r="M8021" s="16">
        <f t="shared" si="753"/>
        <v>0.51299434019207357</v>
      </c>
      <c r="N8021">
        <f t="shared" si="754"/>
        <v>0</v>
      </c>
      <c r="O8021">
        <f t="shared" si="755"/>
        <v>0</v>
      </c>
      <c r="P8021">
        <f t="shared" si="752"/>
        <v>5050</v>
      </c>
      <c r="Q8021">
        <f t="shared" si="756"/>
        <v>5050</v>
      </c>
      <c r="T8021" s="16">
        <f t="shared" si="757"/>
        <v>0.51299434019207324</v>
      </c>
    </row>
    <row r="8022" spans="7:20" ht="14.4" x14ac:dyDescent="0.25">
      <c r="G8022" s="10">
        <v>1088</v>
      </c>
      <c r="H8022" s="9">
        <v>8005</v>
      </c>
      <c r="I8022" s="14">
        <f>DATE(2012,12,31)-270</f>
        <v>41004</v>
      </c>
      <c r="J8022" s="15" t="s">
        <v>30</v>
      </c>
      <c r="K8022" s="9">
        <v>24</v>
      </c>
      <c r="L8022" s="16" t="s">
        <v>26</v>
      </c>
      <c r="M8022" s="16">
        <f t="shared" si="753"/>
        <v>-0.1085436493809193</v>
      </c>
      <c r="N8022">
        <f t="shared" si="754"/>
        <v>0</v>
      </c>
      <c r="O8022">
        <f t="shared" si="755"/>
        <v>0</v>
      </c>
      <c r="P8022">
        <f t="shared" si="752"/>
        <v>4600</v>
      </c>
      <c r="Q8022">
        <f t="shared" si="756"/>
        <v>4600</v>
      </c>
      <c r="T8022" s="16">
        <f t="shared" si="757"/>
        <v>-0.10854364938091969</v>
      </c>
    </row>
    <row r="8023" spans="7:20" ht="14.4" x14ac:dyDescent="0.25">
      <c r="G8023" s="10">
        <v>1115</v>
      </c>
      <c r="H8023" s="9">
        <v>8165</v>
      </c>
      <c r="I8023" s="14">
        <f>DATE(2012,12,31)-1173</f>
        <v>40101</v>
      </c>
      <c r="J8023" s="15" t="s">
        <v>25</v>
      </c>
      <c r="K8023" s="9">
        <v>35</v>
      </c>
      <c r="L8023" s="16" t="s">
        <v>26</v>
      </c>
      <c r="M8023" s="16">
        <f t="shared" si="753"/>
        <v>0.65111389343051651</v>
      </c>
      <c r="N8023">
        <f t="shared" si="754"/>
        <v>0</v>
      </c>
      <c r="O8023">
        <f t="shared" si="755"/>
        <v>0</v>
      </c>
      <c r="P8023">
        <f t="shared" si="752"/>
        <v>5150</v>
      </c>
      <c r="Q8023">
        <f t="shared" si="756"/>
        <v>5150</v>
      </c>
      <c r="T8023" s="16">
        <f t="shared" si="757"/>
        <v>0.65111389343051607</v>
      </c>
    </row>
    <row r="8024" spans="7:20" ht="14.4" x14ac:dyDescent="0.25">
      <c r="G8024" s="10">
        <v>1213</v>
      </c>
      <c r="H8024" s="9">
        <v>8902</v>
      </c>
      <c r="I8024" s="14">
        <f>DATE(2012,12,31)-561</f>
        <v>40713</v>
      </c>
      <c r="J8024" s="15" t="s">
        <v>17</v>
      </c>
      <c r="K8024" s="9">
        <v>27</v>
      </c>
      <c r="L8024" s="16" t="s">
        <v>26</v>
      </c>
      <c r="M8024" s="16">
        <f t="shared" si="753"/>
        <v>9.8635680476745008E-2</v>
      </c>
      <c r="N8024">
        <f t="shared" si="754"/>
        <v>0</v>
      </c>
      <c r="O8024">
        <f t="shared" si="755"/>
        <v>0</v>
      </c>
      <c r="P8024">
        <f t="shared" si="752"/>
        <v>4750</v>
      </c>
      <c r="Q8024">
        <f t="shared" si="756"/>
        <v>4750</v>
      </c>
      <c r="T8024" s="16">
        <f t="shared" si="757"/>
        <v>9.8635680476744619E-2</v>
      </c>
    </row>
    <row r="8025" spans="7:20" ht="14.4" x14ac:dyDescent="0.25">
      <c r="G8025" s="10">
        <v>1262</v>
      </c>
      <c r="H8025" s="9">
        <v>9187</v>
      </c>
      <c r="I8025" s="14">
        <f>DATE(2012,12,31)-1228</f>
        <v>40046</v>
      </c>
      <c r="J8025" s="15" t="s">
        <v>17</v>
      </c>
      <c r="K8025" s="9">
        <v>40</v>
      </c>
      <c r="L8025" s="16" t="s">
        <v>26</v>
      </c>
      <c r="M8025" s="16">
        <f t="shared" si="753"/>
        <v>0.99641277652662363</v>
      </c>
      <c r="N8025">
        <f t="shared" si="754"/>
        <v>0</v>
      </c>
      <c r="O8025">
        <f t="shared" si="755"/>
        <v>0</v>
      </c>
      <c r="P8025">
        <f t="shared" si="752"/>
        <v>5400</v>
      </c>
      <c r="Q8025">
        <f t="shared" si="756"/>
        <v>5400</v>
      </c>
      <c r="T8025" s="16">
        <f t="shared" si="757"/>
        <v>0.9964127765266233</v>
      </c>
    </row>
    <row r="8026" spans="7:20" ht="14.4" x14ac:dyDescent="0.25">
      <c r="G8026" s="10">
        <v>1263</v>
      </c>
      <c r="H8026" s="9">
        <v>9187</v>
      </c>
      <c r="I8026" s="14">
        <f>DATE(2012,12,31)-1228</f>
        <v>40046</v>
      </c>
      <c r="J8026" s="15" t="s">
        <v>17</v>
      </c>
      <c r="K8026" s="9">
        <v>8</v>
      </c>
      <c r="L8026" s="16" t="s">
        <v>27</v>
      </c>
      <c r="M8026" s="16">
        <f t="shared" si="753"/>
        <v>-1.2135000752884624</v>
      </c>
      <c r="N8026">
        <f t="shared" si="754"/>
        <v>0</v>
      </c>
      <c r="O8026">
        <f t="shared" si="755"/>
        <v>0</v>
      </c>
      <c r="P8026">
        <f t="shared" si="752"/>
        <v>3800</v>
      </c>
      <c r="Q8026">
        <f t="shared" si="756"/>
        <v>3800</v>
      </c>
      <c r="T8026" s="16">
        <f t="shared" si="757"/>
        <v>-1.2135000752884626</v>
      </c>
    </row>
    <row r="8027" spans="7:20" ht="14.4" x14ac:dyDescent="0.25">
      <c r="G8027" s="10">
        <v>1265</v>
      </c>
      <c r="H8027" s="9">
        <v>9219</v>
      </c>
      <c r="I8027" s="14">
        <f>DATE(2012,12,31)-1190</f>
        <v>40084</v>
      </c>
      <c r="J8027" s="15" t="s">
        <v>25</v>
      </c>
      <c r="K8027" s="9">
        <v>24</v>
      </c>
      <c r="L8027" s="16" t="s">
        <v>27</v>
      </c>
      <c r="M8027" s="16">
        <f t="shared" si="753"/>
        <v>-0.1085436493809193</v>
      </c>
      <c r="N8027">
        <f t="shared" si="754"/>
        <v>0</v>
      </c>
      <c r="O8027">
        <f t="shared" si="755"/>
        <v>0</v>
      </c>
      <c r="P8027">
        <f t="shared" si="752"/>
        <v>4600</v>
      </c>
      <c r="Q8027">
        <f t="shared" si="756"/>
        <v>4600</v>
      </c>
      <c r="T8027" s="16">
        <f t="shared" si="757"/>
        <v>-0.10854364938091969</v>
      </c>
    </row>
    <row r="8028" spans="7:20" ht="14.4" x14ac:dyDescent="0.25">
      <c r="G8028" s="10">
        <v>1266</v>
      </c>
      <c r="H8028" s="9">
        <v>9219</v>
      </c>
      <c r="I8028" s="14">
        <f>DATE(2012,12,31)-1190</f>
        <v>40084</v>
      </c>
      <c r="J8028" s="15" t="s">
        <v>25</v>
      </c>
      <c r="K8028" s="9">
        <v>41</v>
      </c>
      <c r="L8028" s="16" t="s">
        <v>26</v>
      </c>
      <c r="M8028" s="16">
        <f t="shared" si="753"/>
        <v>1.0654725531458451</v>
      </c>
      <c r="N8028">
        <f t="shared" si="754"/>
        <v>0</v>
      </c>
      <c r="O8028">
        <f t="shared" si="755"/>
        <v>0</v>
      </c>
      <c r="P8028">
        <f t="shared" si="752"/>
        <v>5450</v>
      </c>
      <c r="Q8028">
        <f t="shared" si="756"/>
        <v>5450</v>
      </c>
      <c r="T8028" s="16">
        <f t="shared" si="757"/>
        <v>1.0654725531458447</v>
      </c>
    </row>
    <row r="8029" spans="7:20" ht="14.4" x14ac:dyDescent="0.25">
      <c r="G8029" s="10">
        <v>1306</v>
      </c>
      <c r="H8029" s="9">
        <v>9573</v>
      </c>
      <c r="I8029" s="14">
        <f>DATE(2012,12,31)-201</f>
        <v>41073</v>
      </c>
      <c r="J8029" s="15" t="s">
        <v>16</v>
      </c>
      <c r="K8029" s="9">
        <v>21</v>
      </c>
      <c r="L8029" s="16" t="s">
        <v>26</v>
      </c>
      <c r="M8029" s="16">
        <f t="shared" si="753"/>
        <v>-0.31572297923858361</v>
      </c>
      <c r="N8029">
        <f t="shared" si="754"/>
        <v>0</v>
      </c>
      <c r="O8029">
        <f t="shared" si="755"/>
        <v>0</v>
      </c>
      <c r="P8029">
        <f t="shared" si="752"/>
        <v>4450</v>
      </c>
      <c r="Q8029">
        <f t="shared" si="756"/>
        <v>4450</v>
      </c>
      <c r="T8029" s="16">
        <f t="shared" si="757"/>
        <v>-0.315722979238584</v>
      </c>
    </row>
    <row r="8030" spans="7:20" ht="14.4" x14ac:dyDescent="0.25">
      <c r="G8030" s="10">
        <v>1336</v>
      </c>
      <c r="H8030" s="9">
        <v>9762</v>
      </c>
      <c r="I8030" s="14">
        <f>DATE(2012,12,31)-1458</f>
        <v>39816</v>
      </c>
      <c r="J8030" s="15" t="s">
        <v>17</v>
      </c>
      <c r="K8030" s="9">
        <v>12</v>
      </c>
      <c r="L8030" s="16" t="s">
        <v>29</v>
      </c>
      <c r="M8030" s="16">
        <f t="shared" si="753"/>
        <v>-0.9372609688115765</v>
      </c>
      <c r="N8030">
        <f t="shared" si="754"/>
        <v>0</v>
      </c>
      <c r="O8030">
        <f t="shared" si="755"/>
        <v>0</v>
      </c>
      <c r="P8030">
        <f t="shared" si="752"/>
        <v>4000</v>
      </c>
      <c r="Q8030">
        <f t="shared" si="756"/>
        <v>4000</v>
      </c>
      <c r="T8030" s="16">
        <f t="shared" si="757"/>
        <v>-0.93726096881157694</v>
      </c>
    </row>
    <row r="8031" spans="7:20" ht="14.4" x14ac:dyDescent="0.25">
      <c r="G8031" s="10">
        <v>1484</v>
      </c>
      <c r="H8031" s="9">
        <v>10663</v>
      </c>
      <c r="I8031" s="14">
        <f>DATE(2012,12,31)-1318</f>
        <v>39956</v>
      </c>
      <c r="J8031" s="15" t="s">
        <v>17</v>
      </c>
      <c r="K8031" s="9">
        <v>40</v>
      </c>
      <c r="L8031" s="16" t="s">
        <v>26</v>
      </c>
      <c r="M8031" s="16">
        <f t="shared" si="753"/>
        <v>0.99641277652662363</v>
      </c>
      <c r="N8031">
        <f t="shared" si="754"/>
        <v>0</v>
      </c>
      <c r="O8031">
        <f t="shared" si="755"/>
        <v>0</v>
      </c>
      <c r="P8031">
        <f t="shared" si="752"/>
        <v>5400</v>
      </c>
      <c r="Q8031">
        <f t="shared" si="756"/>
        <v>5400</v>
      </c>
      <c r="T8031" s="16">
        <f t="shared" si="757"/>
        <v>0.9964127765266233</v>
      </c>
    </row>
    <row r="8032" spans="7:20" ht="14.4" x14ac:dyDescent="0.25">
      <c r="G8032" s="10">
        <v>1510</v>
      </c>
      <c r="H8032" s="9">
        <v>10917</v>
      </c>
      <c r="I8032" s="14">
        <f>DATE(2012,12,31)-325</f>
        <v>40949</v>
      </c>
      <c r="J8032" s="15" t="s">
        <v>30</v>
      </c>
      <c r="K8032" s="9">
        <v>14</v>
      </c>
      <c r="L8032" s="16" t="s">
        <v>27</v>
      </c>
      <c r="M8032" s="16">
        <f t="shared" si="753"/>
        <v>-0.79914141557313367</v>
      </c>
      <c r="N8032">
        <f t="shared" si="754"/>
        <v>0</v>
      </c>
      <c r="O8032">
        <f t="shared" si="755"/>
        <v>0</v>
      </c>
      <c r="P8032">
        <f t="shared" si="752"/>
        <v>4100</v>
      </c>
      <c r="Q8032">
        <f t="shared" si="756"/>
        <v>4100</v>
      </c>
      <c r="T8032" s="16">
        <f t="shared" si="757"/>
        <v>-0.79914141557313401</v>
      </c>
    </row>
    <row r="8033" spans="7:20" ht="14.4" x14ac:dyDescent="0.25">
      <c r="G8033" s="10">
        <v>1602</v>
      </c>
      <c r="H8033" s="9">
        <v>11648</v>
      </c>
      <c r="I8033" s="14">
        <f>DATE(2012,12,31)-632</f>
        <v>40642</v>
      </c>
      <c r="J8033" s="15" t="s">
        <v>25</v>
      </c>
      <c r="K8033" s="9">
        <v>1</v>
      </c>
      <c r="L8033" s="16" t="s">
        <v>27</v>
      </c>
      <c r="M8033" s="16">
        <f t="shared" si="753"/>
        <v>-1.6969185116230123</v>
      </c>
      <c r="N8033">
        <f t="shared" si="754"/>
        <v>0</v>
      </c>
      <c r="O8033">
        <f t="shared" si="755"/>
        <v>0</v>
      </c>
      <c r="P8033">
        <f t="shared" si="752"/>
        <v>3450</v>
      </c>
      <c r="Q8033">
        <f t="shared" si="756"/>
        <v>3450</v>
      </c>
      <c r="T8033" s="16">
        <f t="shared" si="757"/>
        <v>-1.6969185116230128</v>
      </c>
    </row>
    <row r="8034" spans="7:20" ht="14.4" x14ac:dyDescent="0.25">
      <c r="G8034" s="10">
        <v>1603</v>
      </c>
      <c r="H8034" s="9">
        <v>11648</v>
      </c>
      <c r="I8034" s="14">
        <f>DATE(2012,12,31)-632</f>
        <v>40642</v>
      </c>
      <c r="J8034" s="15" t="s">
        <v>25</v>
      </c>
      <c r="K8034" s="9">
        <v>33</v>
      </c>
      <c r="L8034" s="16" t="s">
        <v>26</v>
      </c>
      <c r="M8034" s="16">
        <f t="shared" si="753"/>
        <v>0.51299434019207357</v>
      </c>
      <c r="N8034">
        <f t="shared" si="754"/>
        <v>0</v>
      </c>
      <c r="O8034">
        <f t="shared" si="755"/>
        <v>0</v>
      </c>
      <c r="P8034">
        <f t="shared" si="752"/>
        <v>5050</v>
      </c>
      <c r="Q8034">
        <f t="shared" si="756"/>
        <v>5050</v>
      </c>
      <c r="T8034" s="16">
        <f t="shared" si="757"/>
        <v>0.51299434019207324</v>
      </c>
    </row>
    <row r="8035" spans="7:20" ht="14.4" x14ac:dyDescent="0.25">
      <c r="G8035" s="10">
        <v>1663</v>
      </c>
      <c r="H8035" s="9">
        <v>11972</v>
      </c>
      <c r="I8035" s="14">
        <f>DATE(2012,12,31)-1458</f>
        <v>39816</v>
      </c>
      <c r="J8035" s="15" t="s">
        <v>28</v>
      </c>
      <c r="K8035" s="9">
        <v>4</v>
      </c>
      <c r="L8035" s="16" t="s">
        <v>27</v>
      </c>
      <c r="M8035" s="16">
        <f t="shared" si="753"/>
        <v>-1.489739181765348</v>
      </c>
      <c r="N8035">
        <f t="shared" si="754"/>
        <v>0</v>
      </c>
      <c r="O8035">
        <f t="shared" si="755"/>
        <v>0</v>
      </c>
      <c r="P8035">
        <f t="shared" si="752"/>
        <v>3600</v>
      </c>
      <c r="Q8035">
        <f t="shared" si="756"/>
        <v>3600</v>
      </c>
      <c r="T8035" s="16">
        <f t="shared" si="757"/>
        <v>-1.4897391817653485</v>
      </c>
    </row>
    <row r="8036" spans="7:20" ht="14.4" x14ac:dyDescent="0.25">
      <c r="G8036" s="10">
        <v>1763</v>
      </c>
      <c r="H8036" s="9">
        <v>12641</v>
      </c>
      <c r="I8036" s="14">
        <f>DATE(2012,12,31)-678</f>
        <v>40596</v>
      </c>
      <c r="J8036" s="15" t="s">
        <v>25</v>
      </c>
      <c r="K8036" s="9">
        <v>2</v>
      </c>
      <c r="L8036" s="16" t="s">
        <v>26</v>
      </c>
      <c r="M8036" s="16">
        <f t="shared" si="753"/>
        <v>-1.627858735003791</v>
      </c>
      <c r="N8036">
        <f t="shared" si="754"/>
        <v>0</v>
      </c>
      <c r="O8036">
        <f t="shared" si="755"/>
        <v>0</v>
      </c>
      <c r="P8036">
        <f t="shared" si="752"/>
        <v>3500</v>
      </c>
      <c r="Q8036">
        <f t="shared" si="756"/>
        <v>3500</v>
      </c>
      <c r="T8036" s="16">
        <f t="shared" si="757"/>
        <v>-1.6278587350037912</v>
      </c>
    </row>
    <row r="8037" spans="7:20" ht="14.4" x14ac:dyDescent="0.25">
      <c r="G8037" s="10">
        <v>1764</v>
      </c>
      <c r="H8037" s="9">
        <v>12641</v>
      </c>
      <c r="I8037" s="14">
        <f>DATE(2012,12,31)-678</f>
        <v>40596</v>
      </c>
      <c r="J8037" s="15" t="s">
        <v>25</v>
      </c>
      <c r="K8037" s="9">
        <v>25</v>
      </c>
      <c r="L8037" s="16" t="s">
        <v>26</v>
      </c>
      <c r="M8037" s="16">
        <f t="shared" si="753"/>
        <v>-3.9483872761697868E-2</v>
      </c>
      <c r="N8037">
        <f t="shared" si="754"/>
        <v>0</v>
      </c>
      <c r="O8037">
        <f t="shared" si="755"/>
        <v>0</v>
      </c>
      <c r="P8037">
        <f t="shared" si="752"/>
        <v>4650</v>
      </c>
      <c r="Q8037">
        <f t="shared" si="756"/>
        <v>4650</v>
      </c>
      <c r="T8037" s="16">
        <f t="shared" si="757"/>
        <v>-3.9483872761698249E-2</v>
      </c>
    </row>
    <row r="8038" spans="7:20" ht="14.4" x14ac:dyDescent="0.25">
      <c r="G8038" s="10">
        <v>1765</v>
      </c>
      <c r="H8038" s="9">
        <v>12641</v>
      </c>
      <c r="I8038" s="14">
        <f>DATE(2012,12,31)-678</f>
        <v>40596</v>
      </c>
      <c r="J8038" s="15" t="s">
        <v>25</v>
      </c>
      <c r="K8038" s="9">
        <v>24</v>
      </c>
      <c r="L8038" s="16" t="s">
        <v>26</v>
      </c>
      <c r="M8038" s="16">
        <f t="shared" si="753"/>
        <v>-0.1085436493809193</v>
      </c>
      <c r="N8038">
        <f t="shared" si="754"/>
        <v>0</v>
      </c>
      <c r="O8038">
        <f t="shared" si="755"/>
        <v>0</v>
      </c>
      <c r="P8038">
        <f t="shared" si="752"/>
        <v>4600</v>
      </c>
      <c r="Q8038">
        <f t="shared" si="756"/>
        <v>4600</v>
      </c>
      <c r="T8038" s="16">
        <f t="shared" si="757"/>
        <v>-0.10854364938091969</v>
      </c>
    </row>
    <row r="8039" spans="7:20" ht="14.4" x14ac:dyDescent="0.25">
      <c r="G8039" s="10">
        <v>1960</v>
      </c>
      <c r="H8039" s="9">
        <v>14018</v>
      </c>
      <c r="I8039" s="14">
        <f>DATE(2012,12,31)-939</f>
        <v>40335</v>
      </c>
      <c r="J8039" s="15" t="s">
        <v>17</v>
      </c>
      <c r="K8039" s="9">
        <v>30</v>
      </c>
      <c r="L8039" s="16" t="s">
        <v>26</v>
      </c>
      <c r="M8039" s="16">
        <f t="shared" si="753"/>
        <v>0.30581501033440933</v>
      </c>
      <c r="N8039">
        <f t="shared" si="754"/>
        <v>0</v>
      </c>
      <c r="O8039">
        <f t="shared" si="755"/>
        <v>0</v>
      </c>
      <c r="P8039">
        <f t="shared" si="752"/>
        <v>4900</v>
      </c>
      <c r="Q8039">
        <f t="shared" si="756"/>
        <v>4900</v>
      </c>
      <c r="T8039" s="16">
        <f t="shared" si="757"/>
        <v>0.30581501033440894</v>
      </c>
    </row>
    <row r="8040" spans="7:20" ht="14.4" x14ac:dyDescent="0.25">
      <c r="G8040" s="10">
        <v>2086</v>
      </c>
      <c r="H8040" s="9">
        <v>14916</v>
      </c>
      <c r="I8040" s="14">
        <f>DATE(2012,12,31)-1403</f>
        <v>39871</v>
      </c>
      <c r="J8040" s="15" t="s">
        <v>25</v>
      </c>
      <c r="K8040" s="9">
        <v>16</v>
      </c>
      <c r="L8040" s="16" t="s">
        <v>27</v>
      </c>
      <c r="M8040" s="16">
        <f t="shared" si="753"/>
        <v>-0.66102186233469074</v>
      </c>
      <c r="N8040">
        <f t="shared" si="754"/>
        <v>0</v>
      </c>
      <c r="O8040">
        <f t="shared" si="755"/>
        <v>0</v>
      </c>
      <c r="P8040">
        <f t="shared" si="752"/>
        <v>4200</v>
      </c>
      <c r="Q8040">
        <f t="shared" si="756"/>
        <v>4200</v>
      </c>
      <c r="T8040" s="16">
        <f t="shared" si="757"/>
        <v>-0.66102186233469118</v>
      </c>
    </row>
    <row r="8041" spans="7:20" ht="14.4" x14ac:dyDescent="0.25">
      <c r="G8041" s="10">
        <v>2142</v>
      </c>
      <c r="H8041" s="9">
        <v>15300</v>
      </c>
      <c r="I8041" s="14">
        <f>DATE(2012,12,31)-692</f>
        <v>40582</v>
      </c>
      <c r="J8041" s="15" t="s">
        <v>17</v>
      </c>
      <c r="K8041" s="9">
        <v>42</v>
      </c>
      <c r="L8041" s="16" t="s">
        <v>26</v>
      </c>
      <c r="M8041" s="16">
        <f t="shared" si="753"/>
        <v>1.1345323297650665</v>
      </c>
      <c r="N8041">
        <f t="shared" si="754"/>
        <v>0</v>
      </c>
      <c r="O8041">
        <f t="shared" si="755"/>
        <v>0</v>
      </c>
      <c r="P8041">
        <f t="shared" si="752"/>
        <v>5500</v>
      </c>
      <c r="Q8041">
        <f t="shared" si="756"/>
        <v>5500</v>
      </c>
      <c r="T8041" s="16">
        <f t="shared" si="757"/>
        <v>1.1345323297650662</v>
      </c>
    </row>
    <row r="8042" spans="7:20" ht="14.4" x14ac:dyDescent="0.25">
      <c r="G8042" s="10">
        <v>2154</v>
      </c>
      <c r="H8042" s="9">
        <v>15425</v>
      </c>
      <c r="I8042" s="14">
        <f>DATE(2012,12,31)-525</f>
        <v>40749</v>
      </c>
      <c r="J8042" s="15" t="s">
        <v>25</v>
      </c>
      <c r="K8042" s="9">
        <v>29</v>
      </c>
      <c r="L8042" s="16" t="s">
        <v>27</v>
      </c>
      <c r="M8042" s="16">
        <f t="shared" si="753"/>
        <v>0.23675523371518786</v>
      </c>
      <c r="N8042">
        <f t="shared" si="754"/>
        <v>0</v>
      </c>
      <c r="O8042">
        <f t="shared" si="755"/>
        <v>0</v>
      </c>
      <c r="P8042">
        <f t="shared" si="752"/>
        <v>4850</v>
      </c>
      <c r="Q8042">
        <f t="shared" si="756"/>
        <v>4850</v>
      </c>
      <c r="T8042" s="16">
        <f t="shared" si="757"/>
        <v>0.2367552337151875</v>
      </c>
    </row>
    <row r="8043" spans="7:20" ht="14.4" x14ac:dyDescent="0.25">
      <c r="G8043" s="10">
        <v>2277</v>
      </c>
      <c r="H8043" s="9">
        <v>16390</v>
      </c>
      <c r="I8043" s="14">
        <f>DATE(2012,12,31)-282</f>
        <v>40992</v>
      </c>
      <c r="J8043" s="15" t="s">
        <v>16</v>
      </c>
      <c r="K8043" s="9">
        <v>8</v>
      </c>
      <c r="L8043" s="16" t="s">
        <v>26</v>
      </c>
      <c r="M8043" s="16">
        <f t="shared" si="753"/>
        <v>-1.2135000752884624</v>
      </c>
      <c r="N8043">
        <f t="shared" si="754"/>
        <v>0</v>
      </c>
      <c r="O8043">
        <f t="shared" si="755"/>
        <v>0</v>
      </c>
      <c r="P8043">
        <f t="shared" si="752"/>
        <v>3800</v>
      </c>
      <c r="Q8043">
        <f t="shared" si="756"/>
        <v>3800</v>
      </c>
      <c r="T8043" s="16">
        <f t="shared" si="757"/>
        <v>-1.2135000752884626</v>
      </c>
    </row>
    <row r="8044" spans="7:20" ht="14.4" x14ac:dyDescent="0.25">
      <c r="G8044" s="10">
        <v>2333</v>
      </c>
      <c r="H8044" s="9">
        <v>16805</v>
      </c>
      <c r="I8044" s="14">
        <f>DATE(2012,12,31)-367</f>
        <v>40907</v>
      </c>
      <c r="J8044" s="15" t="s">
        <v>25</v>
      </c>
      <c r="K8044" s="9">
        <v>29</v>
      </c>
      <c r="L8044" s="16" t="s">
        <v>26</v>
      </c>
      <c r="M8044" s="16">
        <f t="shared" si="753"/>
        <v>0.23675523371518786</v>
      </c>
      <c r="N8044">
        <f t="shared" si="754"/>
        <v>0</v>
      </c>
      <c r="O8044">
        <f t="shared" si="755"/>
        <v>0</v>
      </c>
      <c r="P8044">
        <f t="shared" si="752"/>
        <v>4850</v>
      </c>
      <c r="Q8044">
        <f t="shared" si="756"/>
        <v>4850</v>
      </c>
      <c r="T8044" s="16">
        <f t="shared" si="757"/>
        <v>0.2367552337151875</v>
      </c>
    </row>
    <row r="8045" spans="7:20" ht="14.4" x14ac:dyDescent="0.25">
      <c r="G8045" s="10">
        <v>2334</v>
      </c>
      <c r="H8045" s="9">
        <v>16805</v>
      </c>
      <c r="I8045" s="14">
        <f>DATE(2012,12,31)-367</f>
        <v>40907</v>
      </c>
      <c r="J8045" s="15" t="s">
        <v>25</v>
      </c>
      <c r="K8045" s="9">
        <v>26</v>
      </c>
      <c r="L8045" s="16" t="s">
        <v>26</v>
      </c>
      <c r="M8045" s="16">
        <f t="shared" si="753"/>
        <v>2.9575903857523567E-2</v>
      </c>
      <c r="N8045">
        <f t="shared" si="754"/>
        <v>0</v>
      </c>
      <c r="O8045">
        <f t="shared" si="755"/>
        <v>0</v>
      </c>
      <c r="P8045">
        <f t="shared" si="752"/>
        <v>4700</v>
      </c>
      <c r="Q8045">
        <f t="shared" si="756"/>
        <v>4700</v>
      </c>
      <c r="T8045" s="16">
        <f t="shared" si="757"/>
        <v>2.9575903857523185E-2</v>
      </c>
    </row>
    <row r="8046" spans="7:20" ht="14.4" x14ac:dyDescent="0.25">
      <c r="G8046" s="10">
        <v>2368</v>
      </c>
      <c r="H8046" s="9">
        <v>17155</v>
      </c>
      <c r="I8046" s="14">
        <f>DATE(2012,12,31)-1433</f>
        <v>39841</v>
      </c>
      <c r="J8046" s="15" t="s">
        <v>16</v>
      </c>
      <c r="K8046" s="9">
        <v>36</v>
      </c>
      <c r="L8046" s="16" t="s">
        <v>26</v>
      </c>
      <c r="M8046" s="16">
        <f t="shared" si="753"/>
        <v>0.72017367004973787</v>
      </c>
      <c r="N8046">
        <f t="shared" si="754"/>
        <v>0</v>
      </c>
      <c r="O8046">
        <f t="shared" si="755"/>
        <v>0</v>
      </c>
      <c r="P8046">
        <f t="shared" si="752"/>
        <v>5200</v>
      </c>
      <c r="Q8046">
        <f t="shared" si="756"/>
        <v>5200</v>
      </c>
      <c r="T8046" s="16">
        <f t="shared" si="757"/>
        <v>0.72017367004973754</v>
      </c>
    </row>
    <row r="8047" spans="7:20" ht="14.4" x14ac:dyDescent="0.25">
      <c r="G8047" s="10">
        <v>2369</v>
      </c>
      <c r="H8047" s="9">
        <v>17155</v>
      </c>
      <c r="I8047" s="14">
        <f>DATE(2012,12,31)-1433</f>
        <v>39841</v>
      </c>
      <c r="J8047" s="15" t="s">
        <v>16</v>
      </c>
      <c r="K8047" s="9">
        <v>31</v>
      </c>
      <c r="L8047" s="16" t="s">
        <v>26</v>
      </c>
      <c r="M8047" s="16">
        <f t="shared" si="753"/>
        <v>0.37487478695363075</v>
      </c>
      <c r="N8047">
        <f t="shared" si="754"/>
        <v>0</v>
      </c>
      <c r="O8047">
        <f t="shared" si="755"/>
        <v>0</v>
      </c>
      <c r="P8047">
        <f t="shared" si="752"/>
        <v>4950</v>
      </c>
      <c r="Q8047">
        <f t="shared" si="756"/>
        <v>4950</v>
      </c>
      <c r="T8047" s="16">
        <f t="shared" si="757"/>
        <v>0.37487478695363036</v>
      </c>
    </row>
    <row r="8048" spans="7:20" ht="14.4" x14ac:dyDescent="0.25">
      <c r="G8048" s="10">
        <v>2554</v>
      </c>
      <c r="H8048" s="9">
        <v>18496</v>
      </c>
      <c r="I8048" s="14">
        <f>DATE(2012,12,31)-1326</f>
        <v>39948</v>
      </c>
      <c r="J8048" s="15" t="s">
        <v>17</v>
      </c>
      <c r="K8048" s="9">
        <v>30</v>
      </c>
      <c r="L8048" s="16" t="s">
        <v>27</v>
      </c>
      <c r="M8048" s="16">
        <f t="shared" si="753"/>
        <v>0.30581501033440933</v>
      </c>
      <c r="N8048">
        <f t="shared" si="754"/>
        <v>0</v>
      </c>
      <c r="O8048">
        <f t="shared" si="755"/>
        <v>0</v>
      </c>
      <c r="P8048">
        <f t="shared" si="752"/>
        <v>4900</v>
      </c>
      <c r="Q8048">
        <f t="shared" si="756"/>
        <v>4900</v>
      </c>
      <c r="T8048" s="16">
        <f t="shared" si="757"/>
        <v>0.30581501033440894</v>
      </c>
    </row>
    <row r="8049" spans="7:20" ht="14.4" x14ac:dyDescent="0.25">
      <c r="G8049" s="10">
        <v>2555</v>
      </c>
      <c r="H8049" s="9">
        <v>18496</v>
      </c>
      <c r="I8049" s="14">
        <f>DATE(2012,12,31)-1326</f>
        <v>39948</v>
      </c>
      <c r="J8049" s="15" t="s">
        <v>17</v>
      </c>
      <c r="K8049" s="9">
        <v>29</v>
      </c>
      <c r="L8049" s="16" t="s">
        <v>26</v>
      </c>
      <c r="M8049" s="16">
        <f t="shared" si="753"/>
        <v>0.23675523371518786</v>
      </c>
      <c r="N8049">
        <f t="shared" si="754"/>
        <v>0</v>
      </c>
      <c r="O8049">
        <f t="shared" si="755"/>
        <v>0</v>
      </c>
      <c r="P8049">
        <f t="shared" si="752"/>
        <v>4850</v>
      </c>
      <c r="Q8049">
        <f t="shared" si="756"/>
        <v>4850</v>
      </c>
      <c r="T8049" s="16">
        <f t="shared" si="757"/>
        <v>0.2367552337151875</v>
      </c>
    </row>
    <row r="8050" spans="7:20" ht="14.4" x14ac:dyDescent="0.25">
      <c r="G8050" s="10">
        <v>2586</v>
      </c>
      <c r="H8050" s="9">
        <v>18688</v>
      </c>
      <c r="I8050" s="14">
        <f>DATE(2012,12,31)-667</f>
        <v>40607</v>
      </c>
      <c r="J8050" s="15" t="s">
        <v>28</v>
      </c>
      <c r="K8050" s="9">
        <v>49</v>
      </c>
      <c r="L8050" s="16" t="s">
        <v>26</v>
      </c>
      <c r="M8050" s="16">
        <f t="shared" si="753"/>
        <v>1.6179507660996166</v>
      </c>
      <c r="N8050">
        <f t="shared" si="754"/>
        <v>0</v>
      </c>
      <c r="O8050">
        <f t="shared" si="755"/>
        <v>0</v>
      </c>
      <c r="P8050">
        <f t="shared" si="752"/>
        <v>5850</v>
      </c>
      <c r="Q8050">
        <f t="shared" si="756"/>
        <v>5850</v>
      </c>
      <c r="T8050" s="16">
        <f t="shared" si="757"/>
        <v>1.6179507660996162</v>
      </c>
    </row>
    <row r="8051" spans="7:20" ht="14.4" x14ac:dyDescent="0.25">
      <c r="G8051" s="10">
        <v>2587</v>
      </c>
      <c r="H8051" s="9">
        <v>18688</v>
      </c>
      <c r="I8051" s="14">
        <f>DATE(2012,12,31)-667</f>
        <v>40607</v>
      </c>
      <c r="J8051" s="15" t="s">
        <v>28</v>
      </c>
      <c r="K8051" s="9">
        <v>15</v>
      </c>
      <c r="L8051" s="16" t="s">
        <v>26</v>
      </c>
      <c r="M8051" s="16">
        <f t="shared" si="753"/>
        <v>-0.7300816389539122</v>
      </c>
      <c r="N8051">
        <f t="shared" si="754"/>
        <v>0</v>
      </c>
      <c r="O8051">
        <f t="shared" si="755"/>
        <v>0</v>
      </c>
      <c r="P8051">
        <f t="shared" si="752"/>
        <v>4150</v>
      </c>
      <c r="Q8051">
        <f t="shared" si="756"/>
        <v>4150</v>
      </c>
      <c r="T8051" s="16">
        <f t="shared" si="757"/>
        <v>-0.73008163895391265</v>
      </c>
    </row>
    <row r="8052" spans="7:20" ht="14.4" x14ac:dyDescent="0.25">
      <c r="G8052" s="10">
        <v>2588</v>
      </c>
      <c r="H8052" s="9">
        <v>18688</v>
      </c>
      <c r="I8052" s="14">
        <f>DATE(2012,12,31)-667</f>
        <v>40607</v>
      </c>
      <c r="J8052" s="15" t="s">
        <v>28</v>
      </c>
      <c r="K8052" s="9">
        <v>41</v>
      </c>
      <c r="L8052" s="16" t="s">
        <v>27</v>
      </c>
      <c r="M8052" s="16">
        <f t="shared" si="753"/>
        <v>1.0654725531458451</v>
      </c>
      <c r="N8052">
        <f t="shared" si="754"/>
        <v>0</v>
      </c>
      <c r="O8052">
        <f t="shared" si="755"/>
        <v>0</v>
      </c>
      <c r="P8052">
        <f t="shared" si="752"/>
        <v>5450</v>
      </c>
      <c r="Q8052">
        <f t="shared" si="756"/>
        <v>5450</v>
      </c>
      <c r="T8052" s="16">
        <f t="shared" si="757"/>
        <v>1.0654725531458447</v>
      </c>
    </row>
    <row r="8053" spans="7:20" ht="14.4" x14ac:dyDescent="0.25">
      <c r="G8053" s="10">
        <v>2645</v>
      </c>
      <c r="H8053" s="9">
        <v>19140</v>
      </c>
      <c r="I8053" s="14">
        <f>DATE(2012,12,31)-1188</f>
        <v>40086</v>
      </c>
      <c r="J8053" s="15" t="s">
        <v>16</v>
      </c>
      <c r="K8053" s="9">
        <v>47</v>
      </c>
      <c r="L8053" s="16" t="s">
        <v>26</v>
      </c>
      <c r="M8053" s="16">
        <f t="shared" si="753"/>
        <v>1.4798312128611737</v>
      </c>
      <c r="N8053">
        <f t="shared" si="754"/>
        <v>0</v>
      </c>
      <c r="O8053">
        <f t="shared" si="755"/>
        <v>0</v>
      </c>
      <c r="P8053">
        <f t="shared" si="752"/>
        <v>5750</v>
      </c>
      <c r="Q8053">
        <f t="shared" si="756"/>
        <v>5750</v>
      </c>
      <c r="T8053" s="16">
        <f t="shared" si="757"/>
        <v>1.4798312128611733</v>
      </c>
    </row>
    <row r="8054" spans="7:20" ht="14.4" x14ac:dyDescent="0.25">
      <c r="G8054" s="10">
        <v>2646</v>
      </c>
      <c r="H8054" s="9">
        <v>19140</v>
      </c>
      <c r="I8054" s="14">
        <f>DATE(2012,12,31)-1188</f>
        <v>40086</v>
      </c>
      <c r="J8054" s="15" t="s">
        <v>16</v>
      </c>
      <c r="K8054" s="9">
        <v>50</v>
      </c>
      <c r="L8054" s="16" t="s">
        <v>26</v>
      </c>
      <c r="M8054" s="16">
        <f t="shared" si="753"/>
        <v>1.687010542718838</v>
      </c>
      <c r="N8054">
        <f t="shared" si="754"/>
        <v>0</v>
      </c>
      <c r="O8054">
        <f t="shared" si="755"/>
        <v>0</v>
      </c>
      <c r="P8054">
        <f t="shared" si="752"/>
        <v>5900</v>
      </c>
      <c r="Q8054">
        <f t="shared" si="756"/>
        <v>5900</v>
      </c>
      <c r="T8054" s="16">
        <f t="shared" si="757"/>
        <v>1.6870105427188375</v>
      </c>
    </row>
    <row r="8055" spans="7:20" ht="14.4" x14ac:dyDescent="0.25">
      <c r="G8055" s="10">
        <v>2652</v>
      </c>
      <c r="H8055" s="9">
        <v>19175</v>
      </c>
      <c r="I8055" s="14">
        <f>DATE(2012,12,31)-1230</f>
        <v>40044</v>
      </c>
      <c r="J8055" s="15" t="s">
        <v>25</v>
      </c>
      <c r="K8055" s="9">
        <v>19</v>
      </c>
      <c r="L8055" s="16" t="s">
        <v>27</v>
      </c>
      <c r="M8055" s="16">
        <f t="shared" si="753"/>
        <v>-0.45384253247702649</v>
      </c>
      <c r="N8055">
        <f t="shared" si="754"/>
        <v>0</v>
      </c>
      <c r="O8055">
        <f t="shared" si="755"/>
        <v>0</v>
      </c>
      <c r="P8055">
        <f t="shared" si="752"/>
        <v>4350</v>
      </c>
      <c r="Q8055">
        <f t="shared" si="756"/>
        <v>4350</v>
      </c>
      <c r="T8055" s="16">
        <f t="shared" si="757"/>
        <v>-0.45384253247702688</v>
      </c>
    </row>
    <row r="8056" spans="7:20" ht="14.4" x14ac:dyDescent="0.25">
      <c r="G8056" s="10">
        <v>2688</v>
      </c>
      <c r="H8056" s="9">
        <v>19457</v>
      </c>
      <c r="I8056" s="14">
        <f>DATE(2012,12,31)-1268</f>
        <v>40006</v>
      </c>
      <c r="J8056" s="15" t="s">
        <v>17</v>
      </c>
      <c r="K8056" s="9">
        <v>34</v>
      </c>
      <c r="L8056" s="16" t="s">
        <v>26</v>
      </c>
      <c r="M8056" s="16">
        <f t="shared" si="753"/>
        <v>0.58205411681129504</v>
      </c>
      <c r="N8056">
        <f t="shared" si="754"/>
        <v>0</v>
      </c>
      <c r="O8056">
        <f t="shared" si="755"/>
        <v>0</v>
      </c>
      <c r="P8056">
        <f t="shared" si="752"/>
        <v>5100</v>
      </c>
      <c r="Q8056">
        <f t="shared" si="756"/>
        <v>5100</v>
      </c>
      <c r="T8056" s="16">
        <f t="shared" si="757"/>
        <v>0.58205411681129471</v>
      </c>
    </row>
    <row r="8057" spans="7:20" ht="14.4" x14ac:dyDescent="0.25">
      <c r="G8057" s="10">
        <v>2689</v>
      </c>
      <c r="H8057" s="9">
        <v>19457</v>
      </c>
      <c r="I8057" s="14">
        <f>DATE(2012,12,31)-1268</f>
        <v>40006</v>
      </c>
      <c r="J8057" s="15" t="s">
        <v>17</v>
      </c>
      <c r="K8057" s="9">
        <v>33</v>
      </c>
      <c r="L8057" s="16" t="s">
        <v>27</v>
      </c>
      <c r="M8057" s="16">
        <f t="shared" si="753"/>
        <v>0.51299434019207357</v>
      </c>
      <c r="N8057">
        <f t="shared" si="754"/>
        <v>0</v>
      </c>
      <c r="O8057">
        <f t="shared" si="755"/>
        <v>0</v>
      </c>
      <c r="P8057">
        <f t="shared" si="752"/>
        <v>5050</v>
      </c>
      <c r="Q8057">
        <f t="shared" si="756"/>
        <v>5050</v>
      </c>
      <c r="T8057" s="16">
        <f t="shared" si="757"/>
        <v>0.51299434019207324</v>
      </c>
    </row>
    <row r="8058" spans="7:20" ht="14.4" x14ac:dyDescent="0.25">
      <c r="G8058" s="10">
        <v>2734</v>
      </c>
      <c r="H8058" s="9">
        <v>19745</v>
      </c>
      <c r="I8058" s="14">
        <f>DATE(2012,12,31)-13</f>
        <v>41261</v>
      </c>
      <c r="J8058" s="15" t="s">
        <v>17</v>
      </c>
      <c r="K8058" s="9">
        <v>25</v>
      </c>
      <c r="L8058" s="16" t="s">
        <v>29</v>
      </c>
      <c r="M8058" s="16">
        <f t="shared" si="753"/>
        <v>-3.9483872761697868E-2</v>
      </c>
      <c r="N8058">
        <f t="shared" si="754"/>
        <v>0</v>
      </c>
      <c r="O8058">
        <f t="shared" si="755"/>
        <v>0</v>
      </c>
      <c r="P8058">
        <f t="shared" si="752"/>
        <v>4650</v>
      </c>
      <c r="Q8058">
        <f t="shared" si="756"/>
        <v>4650</v>
      </c>
      <c r="T8058" s="16">
        <f t="shared" si="757"/>
        <v>-3.9483872761698249E-2</v>
      </c>
    </row>
    <row r="8059" spans="7:20" ht="14.4" x14ac:dyDescent="0.25">
      <c r="G8059" s="10">
        <v>2735</v>
      </c>
      <c r="H8059" s="9">
        <v>19745</v>
      </c>
      <c r="I8059" s="14">
        <f>DATE(2012,12,31)-13</f>
        <v>41261</v>
      </c>
      <c r="J8059" s="15" t="s">
        <v>17</v>
      </c>
      <c r="K8059" s="9">
        <v>29</v>
      </c>
      <c r="L8059" s="16" t="s">
        <v>27</v>
      </c>
      <c r="M8059" s="16">
        <f t="shared" si="753"/>
        <v>0.23675523371518786</v>
      </c>
      <c r="N8059">
        <f t="shared" si="754"/>
        <v>0</v>
      </c>
      <c r="O8059">
        <f t="shared" si="755"/>
        <v>0</v>
      </c>
      <c r="P8059">
        <f t="shared" si="752"/>
        <v>4850</v>
      </c>
      <c r="Q8059">
        <f t="shared" si="756"/>
        <v>4850</v>
      </c>
      <c r="T8059" s="16">
        <f t="shared" si="757"/>
        <v>0.2367552337151875</v>
      </c>
    </row>
    <row r="8060" spans="7:20" ht="14.4" x14ac:dyDescent="0.25">
      <c r="G8060" s="10">
        <v>2736</v>
      </c>
      <c r="H8060" s="9">
        <v>19745</v>
      </c>
      <c r="I8060" s="14">
        <f>DATE(2012,12,31)-13</f>
        <v>41261</v>
      </c>
      <c r="J8060" s="15" t="s">
        <v>17</v>
      </c>
      <c r="K8060" s="9">
        <v>2</v>
      </c>
      <c r="L8060" s="16" t="s">
        <v>27</v>
      </c>
      <c r="M8060" s="16">
        <f t="shared" si="753"/>
        <v>-1.627858735003791</v>
      </c>
      <c r="N8060">
        <f t="shared" si="754"/>
        <v>0</v>
      </c>
      <c r="O8060">
        <f t="shared" si="755"/>
        <v>0</v>
      </c>
      <c r="P8060">
        <f t="shared" si="752"/>
        <v>3500</v>
      </c>
      <c r="Q8060">
        <f t="shared" si="756"/>
        <v>3500</v>
      </c>
      <c r="T8060" s="16">
        <f t="shared" si="757"/>
        <v>-1.6278587350037912</v>
      </c>
    </row>
    <row r="8061" spans="7:20" ht="14.4" x14ac:dyDescent="0.25">
      <c r="G8061" s="10">
        <v>2737</v>
      </c>
      <c r="H8061" s="9">
        <v>19745</v>
      </c>
      <c r="I8061" s="14">
        <f>DATE(2012,12,31)-13</f>
        <v>41261</v>
      </c>
      <c r="J8061" s="15" t="s">
        <v>17</v>
      </c>
      <c r="K8061" s="9">
        <v>50</v>
      </c>
      <c r="L8061" s="16" t="s">
        <v>26</v>
      </c>
      <c r="M8061" s="16">
        <f t="shared" si="753"/>
        <v>1.687010542718838</v>
      </c>
      <c r="N8061">
        <f t="shared" si="754"/>
        <v>0</v>
      </c>
      <c r="O8061">
        <f t="shared" si="755"/>
        <v>0</v>
      </c>
      <c r="P8061">
        <f t="shared" si="752"/>
        <v>5900</v>
      </c>
      <c r="Q8061">
        <f t="shared" si="756"/>
        <v>5900</v>
      </c>
      <c r="T8061" s="16">
        <f t="shared" si="757"/>
        <v>1.6870105427188375</v>
      </c>
    </row>
    <row r="8062" spans="7:20" ht="14.4" x14ac:dyDescent="0.25">
      <c r="G8062" s="10">
        <v>2878</v>
      </c>
      <c r="H8062" s="9">
        <v>20741</v>
      </c>
      <c r="I8062" s="14">
        <f>DATE(2012,12,31)-793</f>
        <v>40481</v>
      </c>
      <c r="J8062" s="15" t="s">
        <v>25</v>
      </c>
      <c r="K8062" s="9">
        <v>43</v>
      </c>
      <c r="L8062" s="16" t="s">
        <v>26</v>
      </c>
      <c r="M8062" s="16">
        <f t="shared" si="753"/>
        <v>1.203592106384288</v>
      </c>
      <c r="N8062">
        <f t="shared" si="754"/>
        <v>0</v>
      </c>
      <c r="O8062">
        <f t="shared" si="755"/>
        <v>0</v>
      </c>
      <c r="P8062">
        <f t="shared" si="752"/>
        <v>5550</v>
      </c>
      <c r="Q8062">
        <f t="shared" si="756"/>
        <v>5550</v>
      </c>
      <c r="T8062" s="16">
        <f t="shared" si="757"/>
        <v>1.2035921063842876</v>
      </c>
    </row>
    <row r="8063" spans="7:20" ht="14.4" x14ac:dyDescent="0.25">
      <c r="G8063" s="10">
        <v>3321</v>
      </c>
      <c r="H8063" s="9">
        <v>23746</v>
      </c>
      <c r="I8063" s="14">
        <f>DATE(2012,12,31)-747</f>
        <v>40527</v>
      </c>
      <c r="J8063" s="15" t="s">
        <v>17</v>
      </c>
      <c r="K8063" s="9">
        <v>10</v>
      </c>
      <c r="L8063" s="16" t="s">
        <v>27</v>
      </c>
      <c r="M8063" s="16">
        <f t="shared" si="753"/>
        <v>-1.0753805220500194</v>
      </c>
      <c r="N8063">
        <f t="shared" si="754"/>
        <v>0</v>
      </c>
      <c r="O8063">
        <f t="shared" si="755"/>
        <v>0</v>
      </c>
      <c r="P8063">
        <f t="shared" si="752"/>
        <v>3900</v>
      </c>
      <c r="Q8063">
        <f t="shared" si="756"/>
        <v>3900</v>
      </c>
      <c r="T8063" s="16">
        <f t="shared" si="757"/>
        <v>-1.0753805220500199</v>
      </c>
    </row>
    <row r="8064" spans="7:20" ht="14.4" x14ac:dyDescent="0.25">
      <c r="G8064" s="10">
        <v>3469</v>
      </c>
      <c r="H8064" s="9">
        <v>24705</v>
      </c>
      <c r="I8064" s="14">
        <f>DATE(2012,12,31)-473</f>
        <v>40801</v>
      </c>
      <c r="J8064" s="15" t="s">
        <v>30</v>
      </c>
      <c r="K8064" s="9">
        <v>34</v>
      </c>
      <c r="L8064" s="16" t="s">
        <v>26</v>
      </c>
      <c r="M8064" s="16">
        <f t="shared" si="753"/>
        <v>0.58205411681129504</v>
      </c>
      <c r="N8064">
        <f t="shared" si="754"/>
        <v>0</v>
      </c>
      <c r="O8064">
        <f t="shared" si="755"/>
        <v>0</v>
      </c>
      <c r="P8064">
        <f t="shared" si="752"/>
        <v>5100</v>
      </c>
      <c r="Q8064">
        <f t="shared" si="756"/>
        <v>5100</v>
      </c>
      <c r="T8064" s="16">
        <f t="shared" si="757"/>
        <v>0.58205411681129471</v>
      </c>
    </row>
    <row r="8065" spans="7:20" ht="14.4" x14ac:dyDescent="0.25">
      <c r="G8065" s="10">
        <v>3470</v>
      </c>
      <c r="H8065" s="9">
        <v>24705</v>
      </c>
      <c r="I8065" s="14">
        <f>DATE(2012,12,31)-473</f>
        <v>40801</v>
      </c>
      <c r="J8065" s="15" t="s">
        <v>30</v>
      </c>
      <c r="K8065" s="9">
        <v>15</v>
      </c>
      <c r="L8065" s="16" t="s">
        <v>27</v>
      </c>
      <c r="M8065" s="16">
        <f t="shared" si="753"/>
        <v>-0.7300816389539122</v>
      </c>
      <c r="N8065">
        <f t="shared" si="754"/>
        <v>0</v>
      </c>
      <c r="O8065">
        <f t="shared" si="755"/>
        <v>0</v>
      </c>
      <c r="P8065">
        <f t="shared" si="752"/>
        <v>4150</v>
      </c>
      <c r="Q8065">
        <f t="shared" si="756"/>
        <v>4150</v>
      </c>
      <c r="T8065" s="16">
        <f t="shared" si="757"/>
        <v>-0.73008163895391265</v>
      </c>
    </row>
    <row r="8066" spans="7:20" ht="14.4" x14ac:dyDescent="0.25">
      <c r="G8066" s="10">
        <v>3512</v>
      </c>
      <c r="H8066" s="9">
        <v>25028</v>
      </c>
      <c r="I8066" s="14">
        <f>DATE(2012,12,31)-726</f>
        <v>40548</v>
      </c>
      <c r="J8066" s="15" t="s">
        <v>30</v>
      </c>
      <c r="K8066" s="9">
        <v>5</v>
      </c>
      <c r="L8066" s="16" t="s">
        <v>29</v>
      </c>
      <c r="M8066" s="16">
        <f t="shared" si="753"/>
        <v>-1.4206794051461267</v>
      </c>
      <c r="N8066">
        <f t="shared" si="754"/>
        <v>0</v>
      </c>
      <c r="O8066">
        <f t="shared" si="755"/>
        <v>0</v>
      </c>
      <c r="P8066">
        <f t="shared" si="752"/>
        <v>3650</v>
      </c>
      <c r="Q8066">
        <f t="shared" si="756"/>
        <v>3650</v>
      </c>
      <c r="T8066" s="16">
        <f t="shared" si="757"/>
        <v>-1.4206794051461269</v>
      </c>
    </row>
    <row r="8067" spans="7:20" ht="14.4" x14ac:dyDescent="0.25">
      <c r="G8067" s="10">
        <v>3513</v>
      </c>
      <c r="H8067" s="9">
        <v>25028</v>
      </c>
      <c r="I8067" s="14">
        <f>DATE(2012,12,31)-726</f>
        <v>40548</v>
      </c>
      <c r="J8067" s="15" t="s">
        <v>30</v>
      </c>
      <c r="K8067" s="9">
        <v>14</v>
      </c>
      <c r="L8067" s="16" t="s">
        <v>26</v>
      </c>
      <c r="M8067" s="16">
        <f t="shared" si="753"/>
        <v>-0.79914141557313367</v>
      </c>
      <c r="N8067">
        <f t="shared" si="754"/>
        <v>0</v>
      </c>
      <c r="O8067">
        <f t="shared" si="755"/>
        <v>0</v>
      </c>
      <c r="P8067">
        <f t="shared" si="752"/>
        <v>4100</v>
      </c>
      <c r="Q8067">
        <f t="shared" si="756"/>
        <v>4100</v>
      </c>
      <c r="T8067" s="16">
        <f t="shared" si="757"/>
        <v>-0.79914141557313401</v>
      </c>
    </row>
    <row r="8068" spans="7:20" ht="14.4" x14ac:dyDescent="0.25">
      <c r="G8068" s="10">
        <v>3522</v>
      </c>
      <c r="H8068" s="9">
        <v>25063</v>
      </c>
      <c r="I8068" s="14">
        <f>DATE(2012,12,31)-1281</f>
        <v>39993</v>
      </c>
      <c r="J8068" s="15" t="s">
        <v>28</v>
      </c>
      <c r="K8068" s="9">
        <v>24</v>
      </c>
      <c r="L8068" s="16" t="s">
        <v>27</v>
      </c>
      <c r="M8068" s="16">
        <f t="shared" si="753"/>
        <v>-0.1085436493809193</v>
      </c>
      <c r="N8068">
        <f t="shared" si="754"/>
        <v>0</v>
      </c>
      <c r="O8068">
        <f t="shared" si="755"/>
        <v>0</v>
      </c>
      <c r="P8068">
        <f t="shared" si="752"/>
        <v>4600</v>
      </c>
      <c r="Q8068">
        <f t="shared" si="756"/>
        <v>4600</v>
      </c>
      <c r="T8068" s="16">
        <f t="shared" si="757"/>
        <v>-0.10854364938091969</v>
      </c>
    </row>
    <row r="8069" spans="7:20" ht="14.4" x14ac:dyDescent="0.25">
      <c r="G8069" s="10">
        <v>3562</v>
      </c>
      <c r="H8069" s="9">
        <v>25412</v>
      </c>
      <c r="I8069" s="14">
        <f>DATE(2012,12,31)-574</f>
        <v>40700</v>
      </c>
      <c r="J8069" s="15" t="s">
        <v>28</v>
      </c>
      <c r="K8069" s="9">
        <v>18</v>
      </c>
      <c r="L8069" s="16" t="s">
        <v>26</v>
      </c>
      <c r="M8069" s="16">
        <f t="shared" si="753"/>
        <v>-0.52290230909624791</v>
      </c>
      <c r="N8069">
        <f t="shared" si="754"/>
        <v>0</v>
      </c>
      <c r="O8069">
        <f t="shared" si="755"/>
        <v>0</v>
      </c>
      <c r="P8069">
        <f t="shared" si="752"/>
        <v>4300</v>
      </c>
      <c r="Q8069">
        <f t="shared" si="756"/>
        <v>4300</v>
      </c>
      <c r="T8069" s="16">
        <f t="shared" si="757"/>
        <v>-0.52290230909624835</v>
      </c>
    </row>
    <row r="8070" spans="7:20" ht="14.4" x14ac:dyDescent="0.25">
      <c r="G8070" s="10">
        <v>3723</v>
      </c>
      <c r="H8070" s="9">
        <v>26627</v>
      </c>
      <c r="I8070" s="14">
        <f>DATE(2012,12,31)-1158</f>
        <v>40116</v>
      </c>
      <c r="J8070" s="15" t="s">
        <v>16</v>
      </c>
      <c r="K8070" s="9">
        <v>25</v>
      </c>
      <c r="L8070" s="16" t="s">
        <v>26</v>
      </c>
      <c r="M8070" s="16">
        <f t="shared" si="753"/>
        <v>-3.9483872761697868E-2</v>
      </c>
      <c r="N8070">
        <f t="shared" si="754"/>
        <v>0</v>
      </c>
      <c r="O8070">
        <f t="shared" si="755"/>
        <v>0</v>
      </c>
      <c r="P8070">
        <f t="shared" si="752"/>
        <v>4650</v>
      </c>
      <c r="Q8070">
        <f t="shared" si="756"/>
        <v>4650</v>
      </c>
      <c r="T8070" s="16">
        <f t="shared" si="757"/>
        <v>-3.9483872761698249E-2</v>
      </c>
    </row>
    <row r="8071" spans="7:20" ht="14.4" x14ac:dyDescent="0.25">
      <c r="G8071" s="10">
        <v>3773</v>
      </c>
      <c r="H8071" s="9">
        <v>26947</v>
      </c>
      <c r="I8071" s="14">
        <f>DATE(2012,12,31)-941</f>
        <v>40333</v>
      </c>
      <c r="J8071" s="15" t="s">
        <v>17</v>
      </c>
      <c r="K8071" s="9">
        <v>4</v>
      </c>
      <c r="L8071" s="16" t="s">
        <v>29</v>
      </c>
      <c r="M8071" s="16">
        <f t="shared" si="753"/>
        <v>-1.489739181765348</v>
      </c>
      <c r="N8071">
        <f t="shared" si="754"/>
        <v>0</v>
      </c>
      <c r="O8071">
        <f t="shared" si="755"/>
        <v>0</v>
      </c>
      <c r="P8071">
        <f t="shared" si="752"/>
        <v>3600</v>
      </c>
      <c r="Q8071">
        <f t="shared" si="756"/>
        <v>3600</v>
      </c>
      <c r="T8071" s="16">
        <f t="shared" si="757"/>
        <v>-1.4897391817653485</v>
      </c>
    </row>
    <row r="8072" spans="7:20" ht="14.4" x14ac:dyDescent="0.25">
      <c r="G8072" s="10">
        <v>3810</v>
      </c>
      <c r="H8072" s="9">
        <v>27138</v>
      </c>
      <c r="I8072" s="14">
        <f>DATE(2012,12,31)-215</f>
        <v>41059</v>
      </c>
      <c r="J8072" s="15" t="s">
        <v>17</v>
      </c>
      <c r="K8072" s="9">
        <v>31</v>
      </c>
      <c r="L8072" s="16" t="s">
        <v>29</v>
      </c>
      <c r="M8072" s="16">
        <f t="shared" si="753"/>
        <v>0.37487478695363075</v>
      </c>
      <c r="N8072">
        <f t="shared" si="754"/>
        <v>0</v>
      </c>
      <c r="O8072">
        <f t="shared" si="755"/>
        <v>0</v>
      </c>
      <c r="P8072">
        <f t="shared" si="752"/>
        <v>4950</v>
      </c>
      <c r="Q8072">
        <f t="shared" si="756"/>
        <v>4950</v>
      </c>
      <c r="T8072" s="16">
        <f t="shared" si="757"/>
        <v>0.37487478695363036</v>
      </c>
    </row>
    <row r="8073" spans="7:20" ht="14.4" x14ac:dyDescent="0.25">
      <c r="G8073" s="10">
        <v>3811</v>
      </c>
      <c r="H8073" s="9">
        <v>27138</v>
      </c>
      <c r="I8073" s="14">
        <f>DATE(2012,12,31)-215</f>
        <v>41059</v>
      </c>
      <c r="J8073" s="15" t="s">
        <v>17</v>
      </c>
      <c r="K8073" s="9">
        <v>37</v>
      </c>
      <c r="L8073" s="16" t="s">
        <v>27</v>
      </c>
      <c r="M8073" s="16">
        <f t="shared" si="753"/>
        <v>0.78923344666895934</v>
      </c>
      <c r="N8073">
        <f t="shared" si="754"/>
        <v>0</v>
      </c>
      <c r="O8073">
        <f t="shared" si="755"/>
        <v>0</v>
      </c>
      <c r="P8073">
        <f t="shared" si="752"/>
        <v>5250</v>
      </c>
      <c r="Q8073">
        <f t="shared" si="756"/>
        <v>5250</v>
      </c>
      <c r="T8073" s="16">
        <f t="shared" si="757"/>
        <v>0.789233446668959</v>
      </c>
    </row>
    <row r="8074" spans="7:20" ht="14.4" x14ac:dyDescent="0.25">
      <c r="G8074" s="10">
        <v>3919</v>
      </c>
      <c r="H8074" s="9">
        <v>27939</v>
      </c>
      <c r="I8074" s="14">
        <f>DATE(2012,12,31)-265</f>
        <v>41009</v>
      </c>
      <c r="J8074" s="15" t="s">
        <v>16</v>
      </c>
      <c r="K8074" s="9">
        <v>8</v>
      </c>
      <c r="L8074" s="16" t="s">
        <v>26</v>
      </c>
      <c r="M8074" s="16">
        <f t="shared" si="753"/>
        <v>-1.2135000752884624</v>
      </c>
      <c r="N8074">
        <f t="shared" si="754"/>
        <v>0</v>
      </c>
      <c r="O8074">
        <f t="shared" si="755"/>
        <v>0</v>
      </c>
      <c r="P8074">
        <f t="shared" si="752"/>
        <v>3800</v>
      </c>
      <c r="Q8074">
        <f t="shared" si="756"/>
        <v>3800</v>
      </c>
      <c r="T8074" s="16">
        <f t="shared" si="757"/>
        <v>-1.2135000752884626</v>
      </c>
    </row>
    <row r="8075" spans="7:20" ht="14.4" x14ac:dyDescent="0.25">
      <c r="G8075" s="10">
        <v>3999</v>
      </c>
      <c r="H8075" s="9">
        <v>28544</v>
      </c>
      <c r="I8075" s="14">
        <f>DATE(2012,12,31)-125</f>
        <v>41149</v>
      </c>
      <c r="J8075" s="15" t="s">
        <v>30</v>
      </c>
      <c r="K8075" s="9">
        <v>24</v>
      </c>
      <c r="L8075" s="16" t="s">
        <v>26</v>
      </c>
      <c r="M8075" s="16">
        <f t="shared" si="753"/>
        <v>-0.1085436493809193</v>
      </c>
      <c r="N8075">
        <f t="shared" si="754"/>
        <v>0</v>
      </c>
      <c r="O8075">
        <f t="shared" si="755"/>
        <v>0</v>
      </c>
      <c r="P8075">
        <f t="shared" si="752"/>
        <v>4600</v>
      </c>
      <c r="Q8075">
        <f t="shared" si="756"/>
        <v>4600</v>
      </c>
      <c r="T8075" s="16">
        <f t="shared" si="757"/>
        <v>-0.10854364938091969</v>
      </c>
    </row>
    <row r="8076" spans="7:20" ht="14.4" x14ac:dyDescent="0.25">
      <c r="G8076" s="10">
        <v>4262</v>
      </c>
      <c r="H8076" s="9">
        <v>30343</v>
      </c>
      <c r="I8076" s="14">
        <f>DATE(2012,12,31)-224</f>
        <v>41050</v>
      </c>
      <c r="J8076" s="15" t="s">
        <v>30</v>
      </c>
      <c r="K8076" s="9">
        <v>48</v>
      </c>
      <c r="L8076" s="16" t="s">
        <v>27</v>
      </c>
      <c r="M8076" s="16">
        <f t="shared" si="753"/>
        <v>1.5488909894803951</v>
      </c>
      <c r="N8076">
        <f t="shared" si="754"/>
        <v>0</v>
      </c>
      <c r="O8076">
        <f t="shared" si="755"/>
        <v>0</v>
      </c>
      <c r="P8076">
        <f t="shared" ref="P8076:P8139" si="758">50*K8076+$P$10</f>
        <v>5800</v>
      </c>
      <c r="Q8076">
        <f t="shared" si="756"/>
        <v>5800</v>
      </c>
      <c r="T8076" s="16">
        <f t="shared" si="757"/>
        <v>1.5488909894803948</v>
      </c>
    </row>
    <row r="8077" spans="7:20" ht="14.4" x14ac:dyDescent="0.25">
      <c r="G8077" s="10">
        <v>4263</v>
      </c>
      <c r="H8077" s="9">
        <v>30343</v>
      </c>
      <c r="I8077" s="14">
        <f>DATE(2012,12,31)-224</f>
        <v>41050</v>
      </c>
      <c r="J8077" s="15" t="s">
        <v>30</v>
      </c>
      <c r="K8077" s="9">
        <v>28</v>
      </c>
      <c r="L8077" s="16" t="s">
        <v>26</v>
      </c>
      <c r="M8077" s="16">
        <f t="shared" ref="M8077:M8140" si="759">(K8077-$K$4)/$K$7</f>
        <v>0.16769545709596645</v>
      </c>
      <c r="N8077">
        <f t="shared" ref="N8077:N8140" si="760">IF(MOD($B$20+G8077,1000)=0,1,0)</f>
        <v>0</v>
      </c>
      <c r="O8077">
        <f t="shared" ref="O8077:O8140" si="761">+ROUND(N8077*(IF(K8077&lt;$K$4,-4.5,10.5)*$P$5),-2)</f>
        <v>0</v>
      </c>
      <c r="P8077">
        <f t="shared" si="758"/>
        <v>4800</v>
      </c>
      <c r="Q8077">
        <f t="shared" ref="Q8077:Q8140" si="762">P8077+O8077</f>
        <v>4800</v>
      </c>
      <c r="T8077" s="16">
        <f t="shared" ref="T8077:T8140" si="763">(Q8077-$P$4)/$P$5</f>
        <v>0.16769545709596606</v>
      </c>
    </row>
    <row r="8078" spans="7:20" ht="14.4" x14ac:dyDescent="0.25">
      <c r="G8078" s="10">
        <v>4272</v>
      </c>
      <c r="H8078" s="9">
        <v>30403</v>
      </c>
      <c r="I8078" s="14">
        <f>DATE(2012,12,31)-174</f>
        <v>41100</v>
      </c>
      <c r="J8078" s="15" t="s">
        <v>17</v>
      </c>
      <c r="K8078" s="9">
        <v>41</v>
      </c>
      <c r="L8078" s="16" t="s">
        <v>26</v>
      </c>
      <c r="M8078" s="16">
        <f t="shared" si="759"/>
        <v>1.0654725531458451</v>
      </c>
      <c r="N8078">
        <f t="shared" si="760"/>
        <v>0</v>
      </c>
      <c r="O8078">
        <f t="shared" si="761"/>
        <v>0</v>
      </c>
      <c r="P8078">
        <f t="shared" si="758"/>
        <v>5450</v>
      </c>
      <c r="Q8078">
        <f t="shared" si="762"/>
        <v>5450</v>
      </c>
      <c r="T8078" s="16">
        <f t="shared" si="763"/>
        <v>1.0654725531458447</v>
      </c>
    </row>
    <row r="8079" spans="7:20" ht="14.4" x14ac:dyDescent="0.25">
      <c r="G8079" s="10">
        <v>4273</v>
      </c>
      <c r="H8079" s="9">
        <v>30403</v>
      </c>
      <c r="I8079" s="14">
        <f>DATE(2012,12,31)-174</f>
        <v>41100</v>
      </c>
      <c r="J8079" s="15" t="s">
        <v>17</v>
      </c>
      <c r="K8079" s="9">
        <v>24</v>
      </c>
      <c r="L8079" s="16" t="s">
        <v>26</v>
      </c>
      <c r="M8079" s="16">
        <f t="shared" si="759"/>
        <v>-0.1085436493809193</v>
      </c>
      <c r="N8079">
        <f t="shared" si="760"/>
        <v>0</v>
      </c>
      <c r="O8079">
        <f t="shared" si="761"/>
        <v>0</v>
      </c>
      <c r="P8079">
        <f t="shared" si="758"/>
        <v>4600</v>
      </c>
      <c r="Q8079">
        <f t="shared" si="762"/>
        <v>4600</v>
      </c>
      <c r="T8079" s="16">
        <f t="shared" si="763"/>
        <v>-0.10854364938091969</v>
      </c>
    </row>
    <row r="8080" spans="7:20" ht="14.4" x14ac:dyDescent="0.25">
      <c r="G8080" s="10">
        <v>4466</v>
      </c>
      <c r="H8080" s="9">
        <v>31844</v>
      </c>
      <c r="I8080" s="14">
        <f>DATE(2012,12,31)-548</f>
        <v>40726</v>
      </c>
      <c r="J8080" s="15" t="s">
        <v>28</v>
      </c>
      <c r="K8080" s="9">
        <v>14</v>
      </c>
      <c r="L8080" s="16" t="s">
        <v>29</v>
      </c>
      <c r="M8080" s="16">
        <f t="shared" si="759"/>
        <v>-0.79914141557313367</v>
      </c>
      <c r="N8080">
        <f t="shared" si="760"/>
        <v>0</v>
      </c>
      <c r="O8080">
        <f t="shared" si="761"/>
        <v>0</v>
      </c>
      <c r="P8080">
        <f t="shared" si="758"/>
        <v>4100</v>
      </c>
      <c r="Q8080">
        <f t="shared" si="762"/>
        <v>4100</v>
      </c>
      <c r="T8080" s="16">
        <f t="shared" si="763"/>
        <v>-0.79914141557313401</v>
      </c>
    </row>
    <row r="8081" spans="7:20" ht="14.4" x14ac:dyDescent="0.25">
      <c r="G8081" s="10">
        <v>4558</v>
      </c>
      <c r="H8081" s="9">
        <v>32449</v>
      </c>
      <c r="I8081" s="14">
        <f>DATE(2012,12,31)-22</f>
        <v>41252</v>
      </c>
      <c r="J8081" s="15" t="s">
        <v>30</v>
      </c>
      <c r="K8081" s="9">
        <v>39</v>
      </c>
      <c r="L8081" s="16" t="s">
        <v>26</v>
      </c>
      <c r="M8081" s="16">
        <f t="shared" si="759"/>
        <v>0.92735299990740228</v>
      </c>
      <c r="N8081">
        <f t="shared" si="760"/>
        <v>0</v>
      </c>
      <c r="O8081">
        <f t="shared" si="761"/>
        <v>0</v>
      </c>
      <c r="P8081">
        <f t="shared" si="758"/>
        <v>5350</v>
      </c>
      <c r="Q8081">
        <f t="shared" si="762"/>
        <v>5350</v>
      </c>
      <c r="T8081" s="16">
        <f t="shared" si="763"/>
        <v>0.92735299990740183</v>
      </c>
    </row>
    <row r="8082" spans="7:20" ht="14.4" x14ac:dyDescent="0.25">
      <c r="G8082" s="10">
        <v>4559</v>
      </c>
      <c r="H8082" s="9">
        <v>32449</v>
      </c>
      <c r="I8082" s="14">
        <f>DATE(2012,12,31)-22</f>
        <v>41252</v>
      </c>
      <c r="J8082" s="15" t="s">
        <v>30</v>
      </c>
      <c r="K8082" s="9">
        <v>12</v>
      </c>
      <c r="L8082" s="16" t="s">
        <v>29</v>
      </c>
      <c r="M8082" s="16">
        <f t="shared" si="759"/>
        <v>-0.9372609688115765</v>
      </c>
      <c r="N8082">
        <f t="shared" si="760"/>
        <v>0</v>
      </c>
      <c r="O8082">
        <f t="shared" si="761"/>
        <v>0</v>
      </c>
      <c r="P8082">
        <f t="shared" si="758"/>
        <v>4000</v>
      </c>
      <c r="Q8082">
        <f t="shared" si="762"/>
        <v>4000</v>
      </c>
      <c r="T8082" s="16">
        <f t="shared" si="763"/>
        <v>-0.93726096881157694</v>
      </c>
    </row>
    <row r="8083" spans="7:20" ht="14.4" x14ac:dyDescent="0.25">
      <c r="G8083" s="10">
        <v>4560</v>
      </c>
      <c r="H8083" s="9">
        <v>32449</v>
      </c>
      <c r="I8083" s="14">
        <f>DATE(2012,12,31)-22</f>
        <v>41252</v>
      </c>
      <c r="J8083" s="15" t="s">
        <v>30</v>
      </c>
      <c r="K8083" s="9">
        <v>44</v>
      </c>
      <c r="L8083" s="16" t="s">
        <v>27</v>
      </c>
      <c r="M8083" s="16">
        <f t="shared" si="759"/>
        <v>1.2726518830035094</v>
      </c>
      <c r="N8083">
        <f t="shared" si="760"/>
        <v>0</v>
      </c>
      <c r="O8083">
        <f t="shared" si="761"/>
        <v>0</v>
      </c>
      <c r="P8083">
        <f t="shared" si="758"/>
        <v>5600</v>
      </c>
      <c r="Q8083">
        <f t="shared" si="762"/>
        <v>5600</v>
      </c>
      <c r="T8083" s="16">
        <f t="shared" si="763"/>
        <v>1.272651883003509</v>
      </c>
    </row>
    <row r="8084" spans="7:20" ht="14.4" x14ac:dyDescent="0.25">
      <c r="G8084" s="10">
        <v>4600</v>
      </c>
      <c r="H8084" s="9">
        <v>32800</v>
      </c>
      <c r="I8084" s="14">
        <f>DATE(2012,12,31)-1440</f>
        <v>39834</v>
      </c>
      <c r="J8084" s="15" t="s">
        <v>28</v>
      </c>
      <c r="K8084" s="9">
        <v>33</v>
      </c>
      <c r="L8084" s="16" t="s">
        <v>29</v>
      </c>
      <c r="M8084" s="16">
        <f t="shared" si="759"/>
        <v>0.51299434019207357</v>
      </c>
      <c r="N8084">
        <f t="shared" si="760"/>
        <v>0</v>
      </c>
      <c r="O8084">
        <f t="shared" si="761"/>
        <v>0</v>
      </c>
      <c r="P8084">
        <f t="shared" si="758"/>
        <v>5050</v>
      </c>
      <c r="Q8084">
        <f t="shared" si="762"/>
        <v>5050</v>
      </c>
      <c r="T8084" s="16">
        <f t="shared" si="763"/>
        <v>0.51299434019207324</v>
      </c>
    </row>
    <row r="8085" spans="7:20" ht="14.4" x14ac:dyDescent="0.25">
      <c r="G8085" s="10">
        <v>4601</v>
      </c>
      <c r="H8085" s="9">
        <v>32800</v>
      </c>
      <c r="I8085" s="14">
        <f>DATE(2012,12,31)-1440</f>
        <v>39834</v>
      </c>
      <c r="J8085" s="15" t="s">
        <v>28</v>
      </c>
      <c r="K8085" s="9">
        <v>19</v>
      </c>
      <c r="L8085" s="16" t="s">
        <v>26</v>
      </c>
      <c r="M8085" s="16">
        <f t="shared" si="759"/>
        <v>-0.45384253247702649</v>
      </c>
      <c r="N8085">
        <f t="shared" si="760"/>
        <v>0</v>
      </c>
      <c r="O8085">
        <f t="shared" si="761"/>
        <v>0</v>
      </c>
      <c r="P8085">
        <f t="shared" si="758"/>
        <v>4350</v>
      </c>
      <c r="Q8085">
        <f t="shared" si="762"/>
        <v>4350</v>
      </c>
      <c r="T8085" s="16">
        <f t="shared" si="763"/>
        <v>-0.45384253247702688</v>
      </c>
    </row>
    <row r="8086" spans="7:20" ht="14.4" x14ac:dyDescent="0.25">
      <c r="G8086" s="10">
        <v>4602</v>
      </c>
      <c r="H8086" s="9">
        <v>32800</v>
      </c>
      <c r="I8086" s="14">
        <f>DATE(2012,12,31)-1440</f>
        <v>39834</v>
      </c>
      <c r="J8086" s="15" t="s">
        <v>28</v>
      </c>
      <c r="K8086" s="9">
        <v>40</v>
      </c>
      <c r="L8086" s="16" t="s">
        <v>26</v>
      </c>
      <c r="M8086" s="16">
        <f t="shared" si="759"/>
        <v>0.99641277652662363</v>
      </c>
      <c r="N8086">
        <f t="shared" si="760"/>
        <v>0</v>
      </c>
      <c r="O8086">
        <f t="shared" si="761"/>
        <v>0</v>
      </c>
      <c r="P8086">
        <f t="shared" si="758"/>
        <v>5400</v>
      </c>
      <c r="Q8086">
        <f t="shared" si="762"/>
        <v>5400</v>
      </c>
      <c r="T8086" s="16">
        <f t="shared" si="763"/>
        <v>0.9964127765266233</v>
      </c>
    </row>
    <row r="8087" spans="7:20" ht="14.4" x14ac:dyDescent="0.25">
      <c r="G8087" s="10">
        <v>4759</v>
      </c>
      <c r="H8087" s="9">
        <v>33824</v>
      </c>
      <c r="I8087" s="14">
        <f>DATE(2012,12,31)-670</f>
        <v>40604</v>
      </c>
      <c r="J8087" s="15" t="s">
        <v>30</v>
      </c>
      <c r="K8087" s="9">
        <v>19</v>
      </c>
      <c r="L8087" s="16" t="s">
        <v>26</v>
      </c>
      <c r="M8087" s="16">
        <f t="shared" si="759"/>
        <v>-0.45384253247702649</v>
      </c>
      <c r="N8087">
        <f t="shared" si="760"/>
        <v>0</v>
      </c>
      <c r="O8087">
        <f t="shared" si="761"/>
        <v>0</v>
      </c>
      <c r="P8087">
        <f t="shared" si="758"/>
        <v>4350</v>
      </c>
      <c r="Q8087">
        <f t="shared" si="762"/>
        <v>4350</v>
      </c>
      <c r="T8087" s="16">
        <f t="shared" si="763"/>
        <v>-0.45384253247702688</v>
      </c>
    </row>
    <row r="8088" spans="7:20" ht="14.4" x14ac:dyDescent="0.25">
      <c r="G8088" s="10">
        <v>4806</v>
      </c>
      <c r="H8088" s="9">
        <v>34179</v>
      </c>
      <c r="I8088" s="14">
        <f>DATE(2012,12,31)-425</f>
        <v>40849</v>
      </c>
      <c r="J8088" s="15" t="s">
        <v>28</v>
      </c>
      <c r="K8088" s="9">
        <v>21</v>
      </c>
      <c r="L8088" s="16" t="s">
        <v>27</v>
      </c>
      <c r="M8088" s="16">
        <f t="shared" si="759"/>
        <v>-0.31572297923858361</v>
      </c>
      <c r="N8088">
        <f t="shared" si="760"/>
        <v>0</v>
      </c>
      <c r="O8088">
        <f t="shared" si="761"/>
        <v>0</v>
      </c>
      <c r="P8088">
        <f t="shared" si="758"/>
        <v>4450</v>
      </c>
      <c r="Q8088">
        <f t="shared" si="762"/>
        <v>4450</v>
      </c>
      <c r="T8088" s="16">
        <f t="shared" si="763"/>
        <v>-0.315722979238584</v>
      </c>
    </row>
    <row r="8089" spans="7:20" ht="14.4" x14ac:dyDescent="0.25">
      <c r="G8089" s="10">
        <v>4819</v>
      </c>
      <c r="H8089" s="9">
        <v>34245</v>
      </c>
      <c r="I8089" s="14">
        <f>DATE(2012,12,31)-1058</f>
        <v>40216</v>
      </c>
      <c r="J8089" s="15" t="s">
        <v>16</v>
      </c>
      <c r="K8089" s="9">
        <v>42</v>
      </c>
      <c r="L8089" s="16" t="s">
        <v>26</v>
      </c>
      <c r="M8089" s="16">
        <f t="shared" si="759"/>
        <v>1.1345323297650665</v>
      </c>
      <c r="N8089">
        <f t="shared" si="760"/>
        <v>0</v>
      </c>
      <c r="O8089">
        <f t="shared" si="761"/>
        <v>0</v>
      </c>
      <c r="P8089">
        <f t="shared" si="758"/>
        <v>5500</v>
      </c>
      <c r="Q8089">
        <f t="shared" si="762"/>
        <v>5500</v>
      </c>
      <c r="T8089" s="16">
        <f t="shared" si="763"/>
        <v>1.1345323297650662</v>
      </c>
    </row>
    <row r="8090" spans="7:20" ht="14.4" x14ac:dyDescent="0.25">
      <c r="G8090" s="10">
        <v>4926</v>
      </c>
      <c r="H8090" s="9">
        <v>35046</v>
      </c>
      <c r="I8090" s="14">
        <f>DATE(2012,12,31)-891</f>
        <v>40383</v>
      </c>
      <c r="J8090" s="15" t="s">
        <v>16</v>
      </c>
      <c r="K8090" s="9">
        <v>21</v>
      </c>
      <c r="L8090" s="16" t="s">
        <v>26</v>
      </c>
      <c r="M8090" s="16">
        <f t="shared" si="759"/>
        <v>-0.31572297923858361</v>
      </c>
      <c r="N8090">
        <f t="shared" si="760"/>
        <v>0</v>
      </c>
      <c r="O8090">
        <f t="shared" si="761"/>
        <v>0</v>
      </c>
      <c r="P8090">
        <f t="shared" si="758"/>
        <v>4450</v>
      </c>
      <c r="Q8090">
        <f t="shared" si="762"/>
        <v>4450</v>
      </c>
      <c r="T8090" s="16">
        <f t="shared" si="763"/>
        <v>-0.315722979238584</v>
      </c>
    </row>
    <row r="8091" spans="7:20" ht="14.4" x14ac:dyDescent="0.25">
      <c r="G8091" s="10">
        <v>4927</v>
      </c>
      <c r="H8091" s="9">
        <v>35046</v>
      </c>
      <c r="I8091" s="14">
        <f>DATE(2012,12,31)-891</f>
        <v>40383</v>
      </c>
      <c r="J8091" s="15" t="s">
        <v>16</v>
      </c>
      <c r="K8091" s="9">
        <v>13</v>
      </c>
      <c r="L8091" s="16" t="s">
        <v>29</v>
      </c>
      <c r="M8091" s="16">
        <f t="shared" si="759"/>
        <v>-0.86820119219235514</v>
      </c>
      <c r="N8091">
        <f t="shared" si="760"/>
        <v>0</v>
      </c>
      <c r="O8091">
        <f t="shared" si="761"/>
        <v>0</v>
      </c>
      <c r="P8091">
        <f t="shared" si="758"/>
        <v>4050</v>
      </c>
      <c r="Q8091">
        <f t="shared" si="762"/>
        <v>4050</v>
      </c>
      <c r="T8091" s="16">
        <f t="shared" si="763"/>
        <v>-0.86820119219235548</v>
      </c>
    </row>
    <row r="8092" spans="7:20" ht="14.4" x14ac:dyDescent="0.25">
      <c r="G8092" s="10">
        <v>4928</v>
      </c>
      <c r="H8092" s="9">
        <v>35046</v>
      </c>
      <c r="I8092" s="14">
        <f>DATE(2012,12,31)-891</f>
        <v>40383</v>
      </c>
      <c r="J8092" s="15" t="s">
        <v>16</v>
      </c>
      <c r="K8092" s="9">
        <v>45</v>
      </c>
      <c r="L8092" s="16" t="s">
        <v>29</v>
      </c>
      <c r="M8092" s="16">
        <f t="shared" si="759"/>
        <v>1.3417116596227308</v>
      </c>
      <c r="N8092">
        <f t="shared" si="760"/>
        <v>0</v>
      </c>
      <c r="O8092">
        <f t="shared" si="761"/>
        <v>0</v>
      </c>
      <c r="P8092">
        <f t="shared" si="758"/>
        <v>5650</v>
      </c>
      <c r="Q8092">
        <f t="shared" si="762"/>
        <v>5650</v>
      </c>
      <c r="T8092" s="16">
        <f t="shared" si="763"/>
        <v>1.3417116596227305</v>
      </c>
    </row>
    <row r="8093" spans="7:20" ht="14.4" x14ac:dyDescent="0.25">
      <c r="G8093" s="10">
        <v>5004</v>
      </c>
      <c r="H8093" s="9">
        <v>35684</v>
      </c>
      <c r="I8093" s="14">
        <f>DATE(2012,12,31)-516</f>
        <v>40758</v>
      </c>
      <c r="J8093" s="15" t="s">
        <v>25</v>
      </c>
      <c r="K8093" s="9">
        <v>10</v>
      </c>
      <c r="L8093" s="16" t="s">
        <v>27</v>
      </c>
      <c r="M8093" s="16">
        <f t="shared" si="759"/>
        <v>-1.0753805220500194</v>
      </c>
      <c r="N8093">
        <f t="shared" si="760"/>
        <v>0</v>
      </c>
      <c r="O8093">
        <f t="shared" si="761"/>
        <v>0</v>
      </c>
      <c r="P8093">
        <f t="shared" si="758"/>
        <v>3900</v>
      </c>
      <c r="Q8093">
        <f t="shared" si="762"/>
        <v>3900</v>
      </c>
      <c r="T8093" s="16">
        <f t="shared" si="763"/>
        <v>-1.0753805220500199</v>
      </c>
    </row>
    <row r="8094" spans="7:20" ht="14.4" x14ac:dyDescent="0.25">
      <c r="G8094" s="10">
        <v>5064</v>
      </c>
      <c r="H8094" s="9">
        <v>36101</v>
      </c>
      <c r="I8094" s="14">
        <f>DATE(2012,12,31)-133</f>
        <v>41141</v>
      </c>
      <c r="J8094" s="15" t="s">
        <v>17</v>
      </c>
      <c r="K8094" s="9">
        <v>3</v>
      </c>
      <c r="L8094" s="16" t="s">
        <v>29</v>
      </c>
      <c r="M8094" s="16">
        <f t="shared" si="759"/>
        <v>-1.5587989583845694</v>
      </c>
      <c r="N8094">
        <f t="shared" si="760"/>
        <v>0</v>
      </c>
      <c r="O8094">
        <f t="shared" si="761"/>
        <v>0</v>
      </c>
      <c r="P8094">
        <f t="shared" si="758"/>
        <v>3550</v>
      </c>
      <c r="Q8094">
        <f t="shared" si="762"/>
        <v>3550</v>
      </c>
      <c r="T8094" s="16">
        <f t="shared" si="763"/>
        <v>-1.5587989583845698</v>
      </c>
    </row>
    <row r="8095" spans="7:20" ht="14.4" x14ac:dyDescent="0.25">
      <c r="G8095" s="10">
        <v>5107</v>
      </c>
      <c r="H8095" s="9">
        <v>36387</v>
      </c>
      <c r="I8095" s="14">
        <f>DATE(2012,12,31)-420</f>
        <v>40854</v>
      </c>
      <c r="J8095" s="15" t="s">
        <v>17</v>
      </c>
      <c r="K8095" s="9">
        <v>32</v>
      </c>
      <c r="L8095" s="16" t="s">
        <v>27</v>
      </c>
      <c r="M8095" s="16">
        <f t="shared" si="759"/>
        <v>0.44393456357285216</v>
      </c>
      <c r="N8095">
        <f t="shared" si="760"/>
        <v>0</v>
      </c>
      <c r="O8095">
        <f t="shared" si="761"/>
        <v>0</v>
      </c>
      <c r="P8095">
        <f t="shared" si="758"/>
        <v>5000</v>
      </c>
      <c r="Q8095">
        <f t="shared" si="762"/>
        <v>5000</v>
      </c>
      <c r="T8095" s="16">
        <f t="shared" si="763"/>
        <v>0.44393456357285183</v>
      </c>
    </row>
    <row r="8096" spans="7:20" ht="14.4" x14ac:dyDescent="0.25">
      <c r="G8096" s="10">
        <v>5120</v>
      </c>
      <c r="H8096" s="9">
        <v>36455</v>
      </c>
      <c r="I8096" s="14">
        <f>DATE(2012,12,31)-1411</f>
        <v>39863</v>
      </c>
      <c r="J8096" s="15" t="s">
        <v>17</v>
      </c>
      <c r="K8096" s="9">
        <v>48</v>
      </c>
      <c r="L8096" s="16" t="s">
        <v>27</v>
      </c>
      <c r="M8096" s="16">
        <f t="shared" si="759"/>
        <v>1.5488909894803951</v>
      </c>
      <c r="N8096">
        <f t="shared" si="760"/>
        <v>0</v>
      </c>
      <c r="O8096">
        <f t="shared" si="761"/>
        <v>0</v>
      </c>
      <c r="P8096">
        <f t="shared" si="758"/>
        <v>5800</v>
      </c>
      <c r="Q8096">
        <f t="shared" si="762"/>
        <v>5800</v>
      </c>
      <c r="T8096" s="16">
        <f t="shared" si="763"/>
        <v>1.5488909894803948</v>
      </c>
    </row>
    <row r="8097" spans="7:20" ht="14.4" x14ac:dyDescent="0.25">
      <c r="G8097" s="10">
        <v>5143</v>
      </c>
      <c r="H8097" s="9">
        <v>36673</v>
      </c>
      <c r="I8097" s="14">
        <f>DATE(2012,12,31)-840</f>
        <v>40434</v>
      </c>
      <c r="J8097" s="15" t="s">
        <v>25</v>
      </c>
      <c r="K8097" s="9">
        <v>20</v>
      </c>
      <c r="L8097" s="16" t="s">
        <v>27</v>
      </c>
      <c r="M8097" s="16">
        <f t="shared" si="759"/>
        <v>-0.38478275585780503</v>
      </c>
      <c r="N8097">
        <f t="shared" si="760"/>
        <v>0</v>
      </c>
      <c r="O8097">
        <f t="shared" si="761"/>
        <v>0</v>
      </c>
      <c r="P8097">
        <f t="shared" si="758"/>
        <v>4400</v>
      </c>
      <c r="Q8097">
        <f t="shared" si="762"/>
        <v>4400</v>
      </c>
      <c r="T8097" s="16">
        <f t="shared" si="763"/>
        <v>-0.38478275585780541</v>
      </c>
    </row>
    <row r="8098" spans="7:20" ht="14.4" x14ac:dyDescent="0.25">
      <c r="G8098" s="10">
        <v>5149</v>
      </c>
      <c r="H8098" s="9">
        <v>36704</v>
      </c>
      <c r="I8098" s="14">
        <f>DATE(2012,12,31)-564</f>
        <v>40710</v>
      </c>
      <c r="J8098" s="15" t="s">
        <v>17</v>
      </c>
      <c r="K8098" s="9">
        <v>43</v>
      </c>
      <c r="L8098" s="16" t="s">
        <v>26</v>
      </c>
      <c r="M8098" s="16">
        <f t="shared" si="759"/>
        <v>1.203592106384288</v>
      </c>
      <c r="N8098">
        <f t="shared" si="760"/>
        <v>0</v>
      </c>
      <c r="O8098">
        <f t="shared" si="761"/>
        <v>0</v>
      </c>
      <c r="P8098">
        <f t="shared" si="758"/>
        <v>5550</v>
      </c>
      <c r="Q8098">
        <f t="shared" si="762"/>
        <v>5550</v>
      </c>
      <c r="T8098" s="16">
        <f t="shared" si="763"/>
        <v>1.2035921063842876</v>
      </c>
    </row>
    <row r="8099" spans="7:20" ht="14.4" x14ac:dyDescent="0.25">
      <c r="G8099" s="10">
        <v>5150</v>
      </c>
      <c r="H8099" s="9">
        <v>36704</v>
      </c>
      <c r="I8099" s="14">
        <f>DATE(2012,12,31)-564</f>
        <v>40710</v>
      </c>
      <c r="J8099" s="15" t="s">
        <v>17</v>
      </c>
      <c r="K8099" s="9">
        <v>19</v>
      </c>
      <c r="L8099" s="16" t="s">
        <v>26</v>
      </c>
      <c r="M8099" s="16">
        <f t="shared" si="759"/>
        <v>-0.45384253247702649</v>
      </c>
      <c r="N8099">
        <f t="shared" si="760"/>
        <v>0</v>
      </c>
      <c r="O8099">
        <f t="shared" si="761"/>
        <v>0</v>
      </c>
      <c r="P8099">
        <f t="shared" si="758"/>
        <v>4350</v>
      </c>
      <c r="Q8099">
        <f t="shared" si="762"/>
        <v>4350</v>
      </c>
      <c r="T8099" s="16">
        <f t="shared" si="763"/>
        <v>-0.45384253247702688</v>
      </c>
    </row>
    <row r="8100" spans="7:20" ht="14.4" x14ac:dyDescent="0.25">
      <c r="G8100" s="10">
        <v>5226</v>
      </c>
      <c r="H8100" s="9">
        <v>37218</v>
      </c>
      <c r="I8100" s="14">
        <f>DATE(2012,12,31)-743</f>
        <v>40531</v>
      </c>
      <c r="J8100" s="15" t="s">
        <v>17</v>
      </c>
      <c r="K8100" s="9">
        <v>29</v>
      </c>
      <c r="L8100" s="16" t="s">
        <v>26</v>
      </c>
      <c r="M8100" s="16">
        <f t="shared" si="759"/>
        <v>0.23675523371518786</v>
      </c>
      <c r="N8100">
        <f t="shared" si="760"/>
        <v>0</v>
      </c>
      <c r="O8100">
        <f t="shared" si="761"/>
        <v>0</v>
      </c>
      <c r="P8100">
        <f t="shared" si="758"/>
        <v>4850</v>
      </c>
      <c r="Q8100">
        <f t="shared" si="762"/>
        <v>4850</v>
      </c>
      <c r="T8100" s="16">
        <f t="shared" si="763"/>
        <v>0.2367552337151875</v>
      </c>
    </row>
    <row r="8101" spans="7:20" ht="14.4" x14ac:dyDescent="0.25">
      <c r="G8101" s="10">
        <v>5227</v>
      </c>
      <c r="H8101" s="9">
        <v>37218</v>
      </c>
      <c r="I8101" s="14">
        <f>DATE(2012,12,31)-743</f>
        <v>40531</v>
      </c>
      <c r="J8101" s="15" t="s">
        <v>17</v>
      </c>
      <c r="K8101" s="9">
        <v>23</v>
      </c>
      <c r="L8101" s="16" t="s">
        <v>26</v>
      </c>
      <c r="M8101" s="16">
        <f t="shared" si="759"/>
        <v>-0.17760342600014073</v>
      </c>
      <c r="N8101">
        <f t="shared" si="760"/>
        <v>0</v>
      </c>
      <c r="O8101">
        <f t="shared" si="761"/>
        <v>0</v>
      </c>
      <c r="P8101">
        <f t="shared" si="758"/>
        <v>4550</v>
      </c>
      <c r="Q8101">
        <f t="shared" si="762"/>
        <v>4550</v>
      </c>
      <c r="T8101" s="16">
        <f t="shared" si="763"/>
        <v>-0.17760342600014112</v>
      </c>
    </row>
    <row r="8102" spans="7:20" ht="14.4" x14ac:dyDescent="0.25">
      <c r="G8102" s="10">
        <v>5388</v>
      </c>
      <c r="H8102" s="9">
        <v>38311</v>
      </c>
      <c r="I8102" s="14">
        <f>DATE(2012,12,31)-618</f>
        <v>40656</v>
      </c>
      <c r="J8102" s="15" t="s">
        <v>16</v>
      </c>
      <c r="K8102" s="9">
        <v>9</v>
      </c>
      <c r="L8102" s="16" t="s">
        <v>26</v>
      </c>
      <c r="M8102" s="16">
        <f t="shared" si="759"/>
        <v>-1.1444402986692408</v>
      </c>
      <c r="N8102">
        <f t="shared" si="760"/>
        <v>0</v>
      </c>
      <c r="O8102">
        <f t="shared" si="761"/>
        <v>0</v>
      </c>
      <c r="P8102">
        <f t="shared" si="758"/>
        <v>3850</v>
      </c>
      <c r="Q8102">
        <f t="shared" si="762"/>
        <v>3850</v>
      </c>
      <c r="T8102" s="16">
        <f t="shared" si="763"/>
        <v>-1.1444402986692412</v>
      </c>
    </row>
    <row r="8103" spans="7:20" ht="14.4" x14ac:dyDescent="0.25">
      <c r="G8103" s="10">
        <v>5407</v>
      </c>
      <c r="H8103" s="9">
        <v>38438</v>
      </c>
      <c r="I8103" s="14">
        <f>DATE(2012,12,31)-580</f>
        <v>40694</v>
      </c>
      <c r="J8103" s="15" t="s">
        <v>30</v>
      </c>
      <c r="K8103" s="9">
        <v>16</v>
      </c>
      <c r="L8103" s="16" t="s">
        <v>27</v>
      </c>
      <c r="M8103" s="16">
        <f t="shared" si="759"/>
        <v>-0.66102186233469074</v>
      </c>
      <c r="N8103">
        <f t="shared" si="760"/>
        <v>0</v>
      </c>
      <c r="O8103">
        <f t="shared" si="761"/>
        <v>0</v>
      </c>
      <c r="P8103">
        <f t="shared" si="758"/>
        <v>4200</v>
      </c>
      <c r="Q8103">
        <f t="shared" si="762"/>
        <v>4200</v>
      </c>
      <c r="T8103" s="16">
        <f t="shared" si="763"/>
        <v>-0.66102186233469118</v>
      </c>
    </row>
    <row r="8104" spans="7:20" ht="14.4" x14ac:dyDescent="0.25">
      <c r="G8104" s="10">
        <v>5408</v>
      </c>
      <c r="H8104" s="9">
        <v>38438</v>
      </c>
      <c r="I8104" s="14">
        <f>DATE(2012,12,31)-580</f>
        <v>40694</v>
      </c>
      <c r="J8104" s="15" t="s">
        <v>30</v>
      </c>
      <c r="K8104" s="9">
        <v>17</v>
      </c>
      <c r="L8104" s="16" t="s">
        <v>26</v>
      </c>
      <c r="M8104" s="16">
        <f t="shared" si="759"/>
        <v>-0.59196208571546938</v>
      </c>
      <c r="N8104">
        <f t="shared" si="760"/>
        <v>0</v>
      </c>
      <c r="O8104">
        <f t="shared" si="761"/>
        <v>0</v>
      </c>
      <c r="P8104">
        <f t="shared" si="758"/>
        <v>4250</v>
      </c>
      <c r="Q8104">
        <f t="shared" si="762"/>
        <v>4250</v>
      </c>
      <c r="T8104" s="16">
        <f t="shared" si="763"/>
        <v>-0.59196208571546971</v>
      </c>
    </row>
    <row r="8105" spans="7:20" ht="14.4" x14ac:dyDescent="0.25">
      <c r="G8105" s="10">
        <v>5550</v>
      </c>
      <c r="H8105" s="9">
        <v>39301</v>
      </c>
      <c r="I8105" s="14">
        <f>DATE(2012,12,31)-1380</f>
        <v>39894</v>
      </c>
      <c r="J8105" s="15" t="s">
        <v>16</v>
      </c>
      <c r="K8105" s="9">
        <v>4</v>
      </c>
      <c r="L8105" s="16" t="s">
        <v>26</v>
      </c>
      <c r="M8105" s="16">
        <f t="shared" si="759"/>
        <v>-1.489739181765348</v>
      </c>
      <c r="N8105">
        <f t="shared" si="760"/>
        <v>0</v>
      </c>
      <c r="O8105">
        <f t="shared" si="761"/>
        <v>0</v>
      </c>
      <c r="P8105">
        <f t="shared" si="758"/>
        <v>3600</v>
      </c>
      <c r="Q8105">
        <f t="shared" si="762"/>
        <v>3600</v>
      </c>
      <c r="T8105" s="16">
        <f t="shared" si="763"/>
        <v>-1.4897391817653485</v>
      </c>
    </row>
    <row r="8106" spans="7:20" ht="14.4" x14ac:dyDescent="0.25">
      <c r="G8106" s="10">
        <v>5656</v>
      </c>
      <c r="H8106" s="9">
        <v>40007</v>
      </c>
      <c r="I8106" s="14">
        <f>DATE(2012,12,31)-123</f>
        <v>41151</v>
      </c>
      <c r="J8106" s="15" t="s">
        <v>28</v>
      </c>
      <c r="K8106" s="9">
        <v>45</v>
      </c>
      <c r="L8106" s="16" t="s">
        <v>26</v>
      </c>
      <c r="M8106" s="16">
        <f t="shared" si="759"/>
        <v>1.3417116596227308</v>
      </c>
      <c r="N8106">
        <f t="shared" si="760"/>
        <v>0</v>
      </c>
      <c r="O8106">
        <f t="shared" si="761"/>
        <v>0</v>
      </c>
      <c r="P8106">
        <f t="shared" si="758"/>
        <v>5650</v>
      </c>
      <c r="Q8106">
        <f t="shared" si="762"/>
        <v>5650</v>
      </c>
      <c r="T8106" s="16">
        <f t="shared" si="763"/>
        <v>1.3417116596227305</v>
      </c>
    </row>
    <row r="8107" spans="7:20" ht="14.4" x14ac:dyDescent="0.25">
      <c r="G8107" s="10">
        <v>5660</v>
      </c>
      <c r="H8107" s="9">
        <v>40065</v>
      </c>
      <c r="I8107" s="14">
        <f>DATE(2012,12,31)-318</f>
        <v>40956</v>
      </c>
      <c r="J8107" s="15" t="s">
        <v>17</v>
      </c>
      <c r="K8107" s="9">
        <v>49</v>
      </c>
      <c r="L8107" s="16" t="s">
        <v>27</v>
      </c>
      <c r="M8107" s="16">
        <f t="shared" si="759"/>
        <v>1.6179507660996166</v>
      </c>
      <c r="N8107">
        <f t="shared" si="760"/>
        <v>0</v>
      </c>
      <c r="O8107">
        <f t="shared" si="761"/>
        <v>0</v>
      </c>
      <c r="P8107">
        <f t="shared" si="758"/>
        <v>5850</v>
      </c>
      <c r="Q8107">
        <f t="shared" si="762"/>
        <v>5850</v>
      </c>
      <c r="T8107" s="16">
        <f t="shared" si="763"/>
        <v>1.6179507660996162</v>
      </c>
    </row>
    <row r="8108" spans="7:20" ht="14.4" x14ac:dyDescent="0.25">
      <c r="G8108" s="10">
        <v>5661</v>
      </c>
      <c r="H8108" s="9">
        <v>40065</v>
      </c>
      <c r="I8108" s="14">
        <f>DATE(2012,12,31)-318</f>
        <v>40956</v>
      </c>
      <c r="J8108" s="15" t="s">
        <v>17</v>
      </c>
      <c r="K8108" s="9">
        <v>4</v>
      </c>
      <c r="L8108" s="16" t="s">
        <v>27</v>
      </c>
      <c r="M8108" s="16">
        <f t="shared" si="759"/>
        <v>-1.489739181765348</v>
      </c>
      <c r="N8108">
        <f t="shared" si="760"/>
        <v>0</v>
      </c>
      <c r="O8108">
        <f t="shared" si="761"/>
        <v>0</v>
      </c>
      <c r="P8108">
        <f t="shared" si="758"/>
        <v>3600</v>
      </c>
      <c r="Q8108">
        <f t="shared" si="762"/>
        <v>3600</v>
      </c>
      <c r="T8108" s="16">
        <f t="shared" si="763"/>
        <v>-1.4897391817653485</v>
      </c>
    </row>
    <row r="8109" spans="7:20" ht="14.4" x14ac:dyDescent="0.25">
      <c r="G8109" s="10">
        <v>5671</v>
      </c>
      <c r="H8109" s="9">
        <v>40102</v>
      </c>
      <c r="I8109" s="14">
        <f>DATE(2012,12,31)-697</f>
        <v>40577</v>
      </c>
      <c r="J8109" s="15" t="s">
        <v>16</v>
      </c>
      <c r="K8109" s="9">
        <v>46</v>
      </c>
      <c r="L8109" s="16" t="s">
        <v>26</v>
      </c>
      <c r="M8109" s="16">
        <f t="shared" si="759"/>
        <v>1.4107714362419523</v>
      </c>
      <c r="N8109">
        <f t="shared" si="760"/>
        <v>0</v>
      </c>
      <c r="O8109">
        <f t="shared" si="761"/>
        <v>0</v>
      </c>
      <c r="P8109">
        <f t="shared" si="758"/>
        <v>5700</v>
      </c>
      <c r="Q8109">
        <f t="shared" si="762"/>
        <v>5700</v>
      </c>
      <c r="T8109" s="16">
        <f t="shared" si="763"/>
        <v>1.4107714362419519</v>
      </c>
    </row>
    <row r="8110" spans="7:20" ht="14.4" x14ac:dyDescent="0.25">
      <c r="G8110" s="10">
        <v>5707</v>
      </c>
      <c r="H8110" s="9">
        <v>40357</v>
      </c>
      <c r="I8110" s="14">
        <f>DATE(2012,12,31)-163</f>
        <v>41111</v>
      </c>
      <c r="J8110" s="15" t="s">
        <v>28</v>
      </c>
      <c r="K8110" s="9">
        <v>4</v>
      </c>
      <c r="L8110" s="16" t="s">
        <v>26</v>
      </c>
      <c r="M8110" s="16">
        <f t="shared" si="759"/>
        <v>-1.489739181765348</v>
      </c>
      <c r="N8110">
        <f t="shared" si="760"/>
        <v>0</v>
      </c>
      <c r="O8110">
        <f t="shared" si="761"/>
        <v>0</v>
      </c>
      <c r="P8110">
        <f t="shared" si="758"/>
        <v>3600</v>
      </c>
      <c r="Q8110">
        <f t="shared" si="762"/>
        <v>3600</v>
      </c>
      <c r="T8110" s="16">
        <f t="shared" si="763"/>
        <v>-1.4897391817653485</v>
      </c>
    </row>
    <row r="8111" spans="7:20" ht="14.4" x14ac:dyDescent="0.25">
      <c r="G8111" s="10">
        <v>5799</v>
      </c>
      <c r="H8111" s="9">
        <v>41123</v>
      </c>
      <c r="I8111" s="14">
        <f>DATE(2012,12,31)-756</f>
        <v>40518</v>
      </c>
      <c r="J8111" s="15" t="s">
        <v>25</v>
      </c>
      <c r="K8111" s="9">
        <v>27</v>
      </c>
      <c r="L8111" s="16" t="s">
        <v>26</v>
      </c>
      <c r="M8111" s="16">
        <f t="shared" si="759"/>
        <v>9.8635680476745008E-2</v>
      </c>
      <c r="N8111">
        <f t="shared" si="760"/>
        <v>0</v>
      </c>
      <c r="O8111">
        <f t="shared" si="761"/>
        <v>0</v>
      </c>
      <c r="P8111">
        <f t="shared" si="758"/>
        <v>4750</v>
      </c>
      <c r="Q8111">
        <f t="shared" si="762"/>
        <v>4750</v>
      </c>
      <c r="T8111" s="16">
        <f t="shared" si="763"/>
        <v>9.8635680476744619E-2</v>
      </c>
    </row>
    <row r="8112" spans="7:20" ht="14.4" x14ac:dyDescent="0.25">
      <c r="G8112" s="10">
        <v>5891</v>
      </c>
      <c r="H8112" s="9">
        <v>41794</v>
      </c>
      <c r="I8112" s="14">
        <f>DATE(2012,12,31)-584</f>
        <v>40690</v>
      </c>
      <c r="J8112" s="15" t="s">
        <v>30</v>
      </c>
      <c r="K8112" s="9">
        <v>48</v>
      </c>
      <c r="L8112" s="16" t="s">
        <v>26</v>
      </c>
      <c r="M8112" s="16">
        <f t="shared" si="759"/>
        <v>1.5488909894803951</v>
      </c>
      <c r="N8112">
        <f t="shared" si="760"/>
        <v>0</v>
      </c>
      <c r="O8112">
        <f t="shared" si="761"/>
        <v>0</v>
      </c>
      <c r="P8112">
        <f t="shared" si="758"/>
        <v>5800</v>
      </c>
      <c r="Q8112">
        <f t="shared" si="762"/>
        <v>5800</v>
      </c>
      <c r="T8112" s="16">
        <f t="shared" si="763"/>
        <v>1.5488909894803948</v>
      </c>
    </row>
    <row r="8113" spans="7:20" ht="14.4" x14ac:dyDescent="0.25">
      <c r="G8113" s="10">
        <v>5892</v>
      </c>
      <c r="H8113" s="9">
        <v>41794</v>
      </c>
      <c r="I8113" s="14">
        <f>DATE(2012,12,31)-584</f>
        <v>40690</v>
      </c>
      <c r="J8113" s="15" t="s">
        <v>30</v>
      </c>
      <c r="K8113" s="9">
        <v>21</v>
      </c>
      <c r="L8113" s="16" t="s">
        <v>26</v>
      </c>
      <c r="M8113" s="16">
        <f t="shared" si="759"/>
        <v>-0.31572297923858361</v>
      </c>
      <c r="N8113">
        <f t="shared" si="760"/>
        <v>0</v>
      </c>
      <c r="O8113">
        <f t="shared" si="761"/>
        <v>0</v>
      </c>
      <c r="P8113">
        <f t="shared" si="758"/>
        <v>4450</v>
      </c>
      <c r="Q8113">
        <f t="shared" si="762"/>
        <v>4450</v>
      </c>
      <c r="T8113" s="16">
        <f t="shared" si="763"/>
        <v>-0.315722979238584</v>
      </c>
    </row>
    <row r="8114" spans="7:20" ht="14.4" x14ac:dyDescent="0.25">
      <c r="G8114" s="10">
        <v>5893</v>
      </c>
      <c r="H8114" s="9">
        <v>41794</v>
      </c>
      <c r="I8114" s="14">
        <f>DATE(2012,12,31)-584</f>
        <v>40690</v>
      </c>
      <c r="J8114" s="15" t="s">
        <v>30</v>
      </c>
      <c r="K8114" s="9">
        <v>49</v>
      </c>
      <c r="L8114" s="16" t="s">
        <v>27</v>
      </c>
      <c r="M8114" s="16">
        <f t="shared" si="759"/>
        <v>1.6179507660996166</v>
      </c>
      <c r="N8114">
        <f t="shared" si="760"/>
        <v>0</v>
      </c>
      <c r="O8114">
        <f t="shared" si="761"/>
        <v>0</v>
      </c>
      <c r="P8114">
        <f t="shared" si="758"/>
        <v>5850</v>
      </c>
      <c r="Q8114">
        <f t="shared" si="762"/>
        <v>5850</v>
      </c>
      <c r="T8114" s="16">
        <f t="shared" si="763"/>
        <v>1.6179507660996162</v>
      </c>
    </row>
    <row r="8115" spans="7:20" ht="14.4" x14ac:dyDescent="0.25">
      <c r="G8115" s="10">
        <v>6032</v>
      </c>
      <c r="H8115" s="9">
        <v>42725</v>
      </c>
      <c r="I8115" s="14">
        <f>DATE(2012,12,31)-609</f>
        <v>40665</v>
      </c>
      <c r="J8115" s="15" t="s">
        <v>16</v>
      </c>
      <c r="K8115" s="9">
        <v>18</v>
      </c>
      <c r="L8115" s="16" t="s">
        <v>26</v>
      </c>
      <c r="M8115" s="16">
        <f t="shared" si="759"/>
        <v>-0.52290230909624791</v>
      </c>
      <c r="N8115">
        <f t="shared" si="760"/>
        <v>0</v>
      </c>
      <c r="O8115">
        <f t="shared" si="761"/>
        <v>0</v>
      </c>
      <c r="P8115">
        <f t="shared" si="758"/>
        <v>4300</v>
      </c>
      <c r="Q8115">
        <f t="shared" si="762"/>
        <v>4300</v>
      </c>
      <c r="T8115" s="16">
        <f t="shared" si="763"/>
        <v>-0.52290230909624835</v>
      </c>
    </row>
    <row r="8116" spans="7:20" ht="14.4" x14ac:dyDescent="0.25">
      <c r="G8116" s="10">
        <v>6110</v>
      </c>
      <c r="H8116" s="9">
        <v>43296</v>
      </c>
      <c r="I8116" s="14">
        <f>DATE(2012,12,31)-303</f>
        <v>40971</v>
      </c>
      <c r="J8116" s="15" t="s">
        <v>16</v>
      </c>
      <c r="K8116" s="9">
        <v>41</v>
      </c>
      <c r="L8116" s="16" t="s">
        <v>26</v>
      </c>
      <c r="M8116" s="16">
        <f t="shared" si="759"/>
        <v>1.0654725531458451</v>
      </c>
      <c r="N8116">
        <f t="shared" si="760"/>
        <v>0</v>
      </c>
      <c r="O8116">
        <f t="shared" si="761"/>
        <v>0</v>
      </c>
      <c r="P8116">
        <f t="shared" si="758"/>
        <v>5450</v>
      </c>
      <c r="Q8116">
        <f t="shared" si="762"/>
        <v>5450</v>
      </c>
      <c r="T8116" s="16">
        <f t="shared" si="763"/>
        <v>1.0654725531458447</v>
      </c>
    </row>
    <row r="8117" spans="7:20" ht="14.4" x14ac:dyDescent="0.25">
      <c r="G8117" s="10">
        <v>6257</v>
      </c>
      <c r="H8117" s="9">
        <v>44294</v>
      </c>
      <c r="I8117" s="14">
        <f>DATE(2012,12,31)-1307</f>
        <v>39967</v>
      </c>
      <c r="J8117" s="15" t="s">
        <v>25</v>
      </c>
      <c r="K8117" s="9">
        <v>15</v>
      </c>
      <c r="L8117" s="16" t="s">
        <v>26</v>
      </c>
      <c r="M8117" s="16">
        <f t="shared" si="759"/>
        <v>-0.7300816389539122</v>
      </c>
      <c r="N8117">
        <f t="shared" si="760"/>
        <v>0</v>
      </c>
      <c r="O8117">
        <f t="shared" si="761"/>
        <v>0</v>
      </c>
      <c r="P8117">
        <f t="shared" si="758"/>
        <v>4150</v>
      </c>
      <c r="Q8117">
        <f t="shared" si="762"/>
        <v>4150</v>
      </c>
      <c r="T8117" s="16">
        <f t="shared" si="763"/>
        <v>-0.73008163895391265</v>
      </c>
    </row>
    <row r="8118" spans="7:20" ht="14.4" x14ac:dyDescent="0.25">
      <c r="G8118" s="10">
        <v>6258</v>
      </c>
      <c r="H8118" s="9">
        <v>44294</v>
      </c>
      <c r="I8118" s="14">
        <f>DATE(2012,12,31)-1307</f>
        <v>39967</v>
      </c>
      <c r="J8118" s="15" t="s">
        <v>25</v>
      </c>
      <c r="K8118" s="9">
        <v>13</v>
      </c>
      <c r="L8118" s="16" t="s">
        <v>26</v>
      </c>
      <c r="M8118" s="16">
        <f t="shared" si="759"/>
        <v>-0.86820119219235514</v>
      </c>
      <c r="N8118">
        <f t="shared" si="760"/>
        <v>0</v>
      </c>
      <c r="O8118">
        <f t="shared" si="761"/>
        <v>0</v>
      </c>
      <c r="P8118">
        <f t="shared" si="758"/>
        <v>4050</v>
      </c>
      <c r="Q8118">
        <f t="shared" si="762"/>
        <v>4050</v>
      </c>
      <c r="T8118" s="16">
        <f t="shared" si="763"/>
        <v>-0.86820119219235548</v>
      </c>
    </row>
    <row r="8119" spans="7:20" ht="14.4" x14ac:dyDescent="0.25">
      <c r="G8119" s="10">
        <v>6259</v>
      </c>
      <c r="H8119" s="9">
        <v>44294</v>
      </c>
      <c r="I8119" s="14">
        <f>DATE(2012,12,31)-1307</f>
        <v>39967</v>
      </c>
      <c r="J8119" s="15" t="s">
        <v>25</v>
      </c>
      <c r="K8119" s="9">
        <v>8</v>
      </c>
      <c r="L8119" s="16" t="s">
        <v>27</v>
      </c>
      <c r="M8119" s="16">
        <f t="shared" si="759"/>
        <v>-1.2135000752884624</v>
      </c>
      <c r="N8119">
        <f t="shared" si="760"/>
        <v>0</v>
      </c>
      <c r="O8119">
        <f t="shared" si="761"/>
        <v>0</v>
      </c>
      <c r="P8119">
        <f t="shared" si="758"/>
        <v>3800</v>
      </c>
      <c r="Q8119">
        <f t="shared" si="762"/>
        <v>3800</v>
      </c>
      <c r="T8119" s="16">
        <f t="shared" si="763"/>
        <v>-1.2135000752884626</v>
      </c>
    </row>
    <row r="8120" spans="7:20" ht="14.4" x14ac:dyDescent="0.25">
      <c r="G8120" s="10">
        <v>6273</v>
      </c>
      <c r="H8120" s="9">
        <v>44391</v>
      </c>
      <c r="I8120" s="14">
        <f>DATE(2012,12,31)-1451</f>
        <v>39823</v>
      </c>
      <c r="J8120" s="15" t="s">
        <v>28</v>
      </c>
      <c r="K8120" s="9">
        <v>16</v>
      </c>
      <c r="L8120" s="16" t="s">
        <v>26</v>
      </c>
      <c r="M8120" s="16">
        <f t="shared" si="759"/>
        <v>-0.66102186233469074</v>
      </c>
      <c r="N8120">
        <f t="shared" si="760"/>
        <v>0</v>
      </c>
      <c r="O8120">
        <f t="shared" si="761"/>
        <v>0</v>
      </c>
      <c r="P8120">
        <f t="shared" si="758"/>
        <v>4200</v>
      </c>
      <c r="Q8120">
        <f t="shared" si="762"/>
        <v>4200</v>
      </c>
      <c r="T8120" s="16">
        <f t="shared" si="763"/>
        <v>-0.66102186233469118</v>
      </c>
    </row>
    <row r="8121" spans="7:20" ht="14.4" x14ac:dyDescent="0.25">
      <c r="G8121" s="10">
        <v>6662</v>
      </c>
      <c r="H8121" s="9">
        <v>47456</v>
      </c>
      <c r="I8121" s="14">
        <f>DATE(2012,12,31)-214</f>
        <v>41060</v>
      </c>
      <c r="J8121" s="15" t="s">
        <v>25</v>
      </c>
      <c r="K8121" s="9">
        <v>43</v>
      </c>
      <c r="L8121" s="16" t="s">
        <v>26</v>
      </c>
      <c r="M8121" s="16">
        <f t="shared" si="759"/>
        <v>1.203592106384288</v>
      </c>
      <c r="N8121">
        <f t="shared" si="760"/>
        <v>0</v>
      </c>
      <c r="O8121">
        <f t="shared" si="761"/>
        <v>0</v>
      </c>
      <c r="P8121">
        <f t="shared" si="758"/>
        <v>5550</v>
      </c>
      <c r="Q8121">
        <f t="shared" si="762"/>
        <v>5550</v>
      </c>
      <c r="T8121" s="16">
        <f t="shared" si="763"/>
        <v>1.2035921063842876</v>
      </c>
    </row>
    <row r="8122" spans="7:20" ht="14.4" x14ac:dyDescent="0.25">
      <c r="G8122" s="10">
        <v>6709</v>
      </c>
      <c r="H8122" s="9">
        <v>47778</v>
      </c>
      <c r="I8122" s="14">
        <f>DATE(2012,12,31)-1051</f>
        <v>40223</v>
      </c>
      <c r="J8122" s="15" t="s">
        <v>30</v>
      </c>
      <c r="K8122" s="9">
        <v>12</v>
      </c>
      <c r="L8122" s="16" t="s">
        <v>29</v>
      </c>
      <c r="M8122" s="16">
        <f t="shared" si="759"/>
        <v>-0.9372609688115765</v>
      </c>
      <c r="N8122">
        <f t="shared" si="760"/>
        <v>0</v>
      </c>
      <c r="O8122">
        <f t="shared" si="761"/>
        <v>0</v>
      </c>
      <c r="P8122">
        <f t="shared" si="758"/>
        <v>4000</v>
      </c>
      <c r="Q8122">
        <f t="shared" si="762"/>
        <v>4000</v>
      </c>
      <c r="T8122" s="16">
        <f t="shared" si="763"/>
        <v>-0.93726096881157694</v>
      </c>
    </row>
    <row r="8123" spans="7:20" ht="14.4" x14ac:dyDescent="0.25">
      <c r="G8123" s="10">
        <v>6740</v>
      </c>
      <c r="H8123" s="9">
        <v>47974</v>
      </c>
      <c r="I8123" s="14">
        <f>DATE(2012,12,31)-1218</f>
        <v>40056</v>
      </c>
      <c r="J8123" s="15" t="s">
        <v>16</v>
      </c>
      <c r="K8123" s="9">
        <v>6</v>
      </c>
      <c r="L8123" s="16" t="s">
        <v>26</v>
      </c>
      <c r="M8123" s="16">
        <f t="shared" si="759"/>
        <v>-1.3516196285269051</v>
      </c>
      <c r="N8123">
        <f t="shared" si="760"/>
        <v>0</v>
      </c>
      <c r="O8123">
        <f t="shared" si="761"/>
        <v>0</v>
      </c>
      <c r="P8123">
        <f t="shared" si="758"/>
        <v>3700</v>
      </c>
      <c r="Q8123">
        <f t="shared" si="762"/>
        <v>3700</v>
      </c>
      <c r="T8123" s="16">
        <f t="shared" si="763"/>
        <v>-1.3516196285269055</v>
      </c>
    </row>
    <row r="8124" spans="7:20" ht="14.4" x14ac:dyDescent="0.25">
      <c r="G8124" s="10">
        <v>6812</v>
      </c>
      <c r="H8124" s="9">
        <v>48486</v>
      </c>
      <c r="I8124" s="14">
        <f>DATE(2012,12,31)-599</f>
        <v>40675</v>
      </c>
      <c r="J8124" s="15" t="s">
        <v>17</v>
      </c>
      <c r="K8124" s="9">
        <v>42</v>
      </c>
      <c r="L8124" s="16" t="s">
        <v>26</v>
      </c>
      <c r="M8124" s="16">
        <f t="shared" si="759"/>
        <v>1.1345323297650665</v>
      </c>
      <c r="N8124">
        <f t="shared" si="760"/>
        <v>0</v>
      </c>
      <c r="O8124">
        <f t="shared" si="761"/>
        <v>0</v>
      </c>
      <c r="P8124">
        <f t="shared" si="758"/>
        <v>5500</v>
      </c>
      <c r="Q8124">
        <f t="shared" si="762"/>
        <v>5500</v>
      </c>
      <c r="T8124" s="16">
        <f t="shared" si="763"/>
        <v>1.1345323297650662</v>
      </c>
    </row>
    <row r="8125" spans="7:20" ht="14.4" x14ac:dyDescent="0.25">
      <c r="G8125" s="10">
        <v>6851</v>
      </c>
      <c r="H8125" s="9">
        <v>48775</v>
      </c>
      <c r="I8125" s="14">
        <f>DATE(2012,12,31)-1212</f>
        <v>40062</v>
      </c>
      <c r="J8125" s="15" t="s">
        <v>25</v>
      </c>
      <c r="K8125" s="9">
        <v>17</v>
      </c>
      <c r="L8125" s="16" t="s">
        <v>26</v>
      </c>
      <c r="M8125" s="16">
        <f t="shared" si="759"/>
        <v>-0.59196208571546938</v>
      </c>
      <c r="N8125">
        <f t="shared" si="760"/>
        <v>0</v>
      </c>
      <c r="O8125">
        <f t="shared" si="761"/>
        <v>0</v>
      </c>
      <c r="P8125">
        <f t="shared" si="758"/>
        <v>4250</v>
      </c>
      <c r="Q8125">
        <f t="shared" si="762"/>
        <v>4250</v>
      </c>
      <c r="T8125" s="16">
        <f t="shared" si="763"/>
        <v>-0.59196208571546971</v>
      </c>
    </row>
    <row r="8126" spans="7:20" ht="14.4" x14ac:dyDescent="0.25">
      <c r="G8126" s="10">
        <v>6902</v>
      </c>
      <c r="H8126" s="9">
        <v>49218</v>
      </c>
      <c r="I8126" s="14">
        <f>DATE(2012,12,31)-941</f>
        <v>40333</v>
      </c>
      <c r="J8126" s="15" t="s">
        <v>25</v>
      </c>
      <c r="K8126" s="9">
        <v>21</v>
      </c>
      <c r="L8126" s="16" t="s">
        <v>26</v>
      </c>
      <c r="M8126" s="16">
        <f t="shared" si="759"/>
        <v>-0.31572297923858361</v>
      </c>
      <c r="N8126">
        <f t="shared" si="760"/>
        <v>0</v>
      </c>
      <c r="O8126">
        <f t="shared" si="761"/>
        <v>0</v>
      </c>
      <c r="P8126">
        <f t="shared" si="758"/>
        <v>4450</v>
      </c>
      <c r="Q8126">
        <f t="shared" si="762"/>
        <v>4450</v>
      </c>
      <c r="T8126" s="16">
        <f t="shared" si="763"/>
        <v>-0.315722979238584</v>
      </c>
    </row>
    <row r="8127" spans="7:20" ht="14.4" x14ac:dyDescent="0.25">
      <c r="G8127" s="10">
        <v>6928</v>
      </c>
      <c r="H8127" s="9">
        <v>49442</v>
      </c>
      <c r="I8127" s="14">
        <f>DATE(2012,12,31)-144</f>
        <v>41130</v>
      </c>
      <c r="J8127" s="15" t="s">
        <v>17</v>
      </c>
      <c r="K8127" s="9">
        <v>11</v>
      </c>
      <c r="L8127" s="16" t="s">
        <v>26</v>
      </c>
      <c r="M8127" s="16">
        <f t="shared" si="759"/>
        <v>-1.0063207454307979</v>
      </c>
      <c r="N8127">
        <f t="shared" si="760"/>
        <v>0</v>
      </c>
      <c r="O8127">
        <f t="shared" si="761"/>
        <v>0</v>
      </c>
      <c r="P8127">
        <f t="shared" si="758"/>
        <v>3950</v>
      </c>
      <c r="Q8127">
        <f t="shared" si="762"/>
        <v>3950</v>
      </c>
      <c r="T8127" s="16">
        <f t="shared" si="763"/>
        <v>-1.0063207454307983</v>
      </c>
    </row>
    <row r="8128" spans="7:20" ht="14.4" x14ac:dyDescent="0.25">
      <c r="G8128" s="10">
        <v>7092</v>
      </c>
      <c r="H8128" s="9">
        <v>50625</v>
      </c>
      <c r="I8128" s="14">
        <f>DATE(2012,12,31)-1348</f>
        <v>39926</v>
      </c>
      <c r="J8128" s="15" t="s">
        <v>16</v>
      </c>
      <c r="K8128" s="9">
        <v>10</v>
      </c>
      <c r="L8128" s="16" t="s">
        <v>26</v>
      </c>
      <c r="M8128" s="16">
        <f t="shared" si="759"/>
        <v>-1.0753805220500194</v>
      </c>
      <c r="N8128">
        <f t="shared" si="760"/>
        <v>0</v>
      </c>
      <c r="O8128">
        <f t="shared" si="761"/>
        <v>0</v>
      </c>
      <c r="P8128">
        <f t="shared" si="758"/>
        <v>3900</v>
      </c>
      <c r="Q8128">
        <f t="shared" si="762"/>
        <v>3900</v>
      </c>
      <c r="T8128" s="16">
        <f t="shared" si="763"/>
        <v>-1.0753805220500199</v>
      </c>
    </row>
    <row r="8129" spans="7:20" ht="14.4" x14ac:dyDescent="0.25">
      <c r="G8129" s="10">
        <v>7127</v>
      </c>
      <c r="H8129" s="9">
        <v>50849</v>
      </c>
      <c r="I8129" s="14">
        <f>DATE(2012,12,31)-88</f>
        <v>41186</v>
      </c>
      <c r="J8129" s="15" t="s">
        <v>25</v>
      </c>
      <c r="K8129" s="9">
        <v>47</v>
      </c>
      <c r="L8129" s="16" t="s">
        <v>26</v>
      </c>
      <c r="M8129" s="16">
        <f t="shared" si="759"/>
        <v>1.4798312128611737</v>
      </c>
      <c r="N8129">
        <f t="shared" si="760"/>
        <v>0</v>
      </c>
      <c r="O8129">
        <f t="shared" si="761"/>
        <v>0</v>
      </c>
      <c r="P8129">
        <f t="shared" si="758"/>
        <v>5750</v>
      </c>
      <c r="Q8129">
        <f t="shared" si="762"/>
        <v>5750</v>
      </c>
      <c r="T8129" s="16">
        <f t="shared" si="763"/>
        <v>1.4798312128611733</v>
      </c>
    </row>
    <row r="8130" spans="7:20" ht="14.4" x14ac:dyDescent="0.25">
      <c r="G8130" s="10">
        <v>7230</v>
      </c>
      <c r="H8130" s="9">
        <v>51557</v>
      </c>
      <c r="I8130" s="14">
        <f>DATE(2012,12,31)-427</f>
        <v>40847</v>
      </c>
      <c r="J8130" s="15" t="s">
        <v>17</v>
      </c>
      <c r="K8130" s="9">
        <v>36</v>
      </c>
      <c r="L8130" s="16" t="s">
        <v>26</v>
      </c>
      <c r="M8130" s="16">
        <f t="shared" si="759"/>
        <v>0.72017367004973787</v>
      </c>
      <c r="N8130">
        <f t="shared" si="760"/>
        <v>0</v>
      </c>
      <c r="O8130">
        <f t="shared" si="761"/>
        <v>0</v>
      </c>
      <c r="P8130">
        <f t="shared" si="758"/>
        <v>5200</v>
      </c>
      <c r="Q8130">
        <f t="shared" si="762"/>
        <v>5200</v>
      </c>
      <c r="T8130" s="16">
        <f t="shared" si="763"/>
        <v>0.72017367004973754</v>
      </c>
    </row>
    <row r="8131" spans="7:20" ht="14.4" x14ac:dyDescent="0.25">
      <c r="G8131" s="10">
        <v>7231</v>
      </c>
      <c r="H8131" s="9">
        <v>51557</v>
      </c>
      <c r="I8131" s="14">
        <f>DATE(2012,12,31)-427</f>
        <v>40847</v>
      </c>
      <c r="J8131" s="15" t="s">
        <v>17</v>
      </c>
      <c r="K8131" s="9">
        <v>14</v>
      </c>
      <c r="L8131" s="16" t="s">
        <v>26</v>
      </c>
      <c r="M8131" s="16">
        <f t="shared" si="759"/>
        <v>-0.79914141557313367</v>
      </c>
      <c r="N8131">
        <f t="shared" si="760"/>
        <v>0</v>
      </c>
      <c r="O8131">
        <f t="shared" si="761"/>
        <v>0</v>
      </c>
      <c r="P8131">
        <f t="shared" si="758"/>
        <v>4100</v>
      </c>
      <c r="Q8131">
        <f t="shared" si="762"/>
        <v>4100</v>
      </c>
      <c r="T8131" s="16">
        <f t="shared" si="763"/>
        <v>-0.79914141557313401</v>
      </c>
    </row>
    <row r="8132" spans="7:20" ht="14.4" x14ac:dyDescent="0.25">
      <c r="G8132" s="10">
        <v>7411</v>
      </c>
      <c r="H8132" s="9">
        <v>52870</v>
      </c>
      <c r="I8132" s="14">
        <f>DATE(2012,12,31)-1393</f>
        <v>39881</v>
      </c>
      <c r="J8132" s="15" t="s">
        <v>28</v>
      </c>
      <c r="K8132" s="9">
        <v>21</v>
      </c>
      <c r="L8132" s="16" t="s">
        <v>26</v>
      </c>
      <c r="M8132" s="16">
        <f t="shared" si="759"/>
        <v>-0.31572297923858361</v>
      </c>
      <c r="N8132">
        <f t="shared" si="760"/>
        <v>0</v>
      </c>
      <c r="O8132">
        <f t="shared" si="761"/>
        <v>0</v>
      </c>
      <c r="P8132">
        <f t="shared" si="758"/>
        <v>4450</v>
      </c>
      <c r="Q8132">
        <f t="shared" si="762"/>
        <v>4450</v>
      </c>
      <c r="T8132" s="16">
        <f t="shared" si="763"/>
        <v>-0.315722979238584</v>
      </c>
    </row>
    <row r="8133" spans="7:20" ht="14.4" x14ac:dyDescent="0.25">
      <c r="G8133" s="10">
        <v>7417</v>
      </c>
      <c r="H8133" s="9">
        <v>52897</v>
      </c>
      <c r="I8133" s="14">
        <f>DATE(2012,12,31)-1227</f>
        <v>40047</v>
      </c>
      <c r="J8133" s="15" t="s">
        <v>16</v>
      </c>
      <c r="K8133" s="9">
        <v>40</v>
      </c>
      <c r="L8133" s="16" t="s">
        <v>26</v>
      </c>
      <c r="M8133" s="16">
        <f t="shared" si="759"/>
        <v>0.99641277652662363</v>
      </c>
      <c r="N8133">
        <f t="shared" si="760"/>
        <v>0</v>
      </c>
      <c r="O8133">
        <f t="shared" si="761"/>
        <v>0</v>
      </c>
      <c r="P8133">
        <f t="shared" si="758"/>
        <v>5400</v>
      </c>
      <c r="Q8133">
        <f t="shared" si="762"/>
        <v>5400</v>
      </c>
      <c r="T8133" s="16">
        <f t="shared" si="763"/>
        <v>0.9964127765266233</v>
      </c>
    </row>
    <row r="8134" spans="7:20" ht="14.4" x14ac:dyDescent="0.25">
      <c r="G8134" s="10">
        <v>7531</v>
      </c>
      <c r="H8134" s="9">
        <v>53798</v>
      </c>
      <c r="I8134" s="14">
        <f>DATE(2012,12,31)-1352</f>
        <v>39922</v>
      </c>
      <c r="J8134" s="15" t="s">
        <v>25</v>
      </c>
      <c r="K8134" s="9">
        <v>29</v>
      </c>
      <c r="L8134" s="16" t="s">
        <v>26</v>
      </c>
      <c r="M8134" s="16">
        <f t="shared" si="759"/>
        <v>0.23675523371518786</v>
      </c>
      <c r="N8134">
        <f t="shared" si="760"/>
        <v>0</v>
      </c>
      <c r="O8134">
        <f t="shared" si="761"/>
        <v>0</v>
      </c>
      <c r="P8134">
        <f t="shared" si="758"/>
        <v>4850</v>
      </c>
      <c r="Q8134">
        <f t="shared" si="762"/>
        <v>4850</v>
      </c>
      <c r="T8134" s="16">
        <f t="shared" si="763"/>
        <v>0.2367552337151875</v>
      </c>
    </row>
    <row r="8135" spans="7:20" ht="14.4" x14ac:dyDescent="0.25">
      <c r="G8135" s="10">
        <v>7532</v>
      </c>
      <c r="H8135" s="9">
        <v>53798</v>
      </c>
      <c r="I8135" s="14">
        <f>DATE(2012,12,31)-1352</f>
        <v>39922</v>
      </c>
      <c r="J8135" s="15" t="s">
        <v>25</v>
      </c>
      <c r="K8135" s="9">
        <v>41</v>
      </c>
      <c r="L8135" s="16" t="s">
        <v>29</v>
      </c>
      <c r="M8135" s="16">
        <f t="shared" si="759"/>
        <v>1.0654725531458451</v>
      </c>
      <c r="N8135">
        <f t="shared" si="760"/>
        <v>0</v>
      </c>
      <c r="O8135">
        <f t="shared" si="761"/>
        <v>0</v>
      </c>
      <c r="P8135">
        <f t="shared" si="758"/>
        <v>5450</v>
      </c>
      <c r="Q8135">
        <f t="shared" si="762"/>
        <v>5450</v>
      </c>
      <c r="T8135" s="16">
        <f t="shared" si="763"/>
        <v>1.0654725531458447</v>
      </c>
    </row>
    <row r="8136" spans="7:20" ht="14.4" x14ac:dyDescent="0.25">
      <c r="G8136" s="10">
        <v>7553</v>
      </c>
      <c r="H8136" s="9">
        <v>54051</v>
      </c>
      <c r="I8136" s="14">
        <f>DATE(2012,12,31)-508</f>
        <v>40766</v>
      </c>
      <c r="J8136" s="15" t="s">
        <v>16</v>
      </c>
      <c r="K8136" s="9">
        <v>23</v>
      </c>
      <c r="L8136" s="16" t="s">
        <v>29</v>
      </c>
      <c r="M8136" s="16">
        <f t="shared" si="759"/>
        <v>-0.17760342600014073</v>
      </c>
      <c r="N8136">
        <f t="shared" si="760"/>
        <v>0</v>
      </c>
      <c r="O8136">
        <f t="shared" si="761"/>
        <v>0</v>
      </c>
      <c r="P8136">
        <f t="shared" si="758"/>
        <v>4550</v>
      </c>
      <c r="Q8136">
        <f t="shared" si="762"/>
        <v>4550</v>
      </c>
      <c r="T8136" s="16">
        <f t="shared" si="763"/>
        <v>-0.17760342600014112</v>
      </c>
    </row>
    <row r="8137" spans="7:20" ht="14.4" x14ac:dyDescent="0.25">
      <c r="G8137" s="10">
        <v>7554</v>
      </c>
      <c r="H8137" s="9">
        <v>54051</v>
      </c>
      <c r="I8137" s="14">
        <f>DATE(2012,12,31)-508</f>
        <v>40766</v>
      </c>
      <c r="J8137" s="15" t="s">
        <v>16</v>
      </c>
      <c r="K8137" s="9">
        <v>28</v>
      </c>
      <c r="L8137" s="16" t="s">
        <v>26</v>
      </c>
      <c r="M8137" s="16">
        <f t="shared" si="759"/>
        <v>0.16769545709596645</v>
      </c>
      <c r="N8137">
        <f t="shared" si="760"/>
        <v>0</v>
      </c>
      <c r="O8137">
        <f t="shared" si="761"/>
        <v>0</v>
      </c>
      <c r="P8137">
        <f t="shared" si="758"/>
        <v>4800</v>
      </c>
      <c r="Q8137">
        <f t="shared" si="762"/>
        <v>4800</v>
      </c>
      <c r="T8137" s="16">
        <f t="shared" si="763"/>
        <v>0.16769545709596606</v>
      </c>
    </row>
    <row r="8138" spans="7:20" ht="14.4" x14ac:dyDescent="0.25">
      <c r="G8138" s="10">
        <v>7564</v>
      </c>
      <c r="H8138" s="9">
        <v>54116</v>
      </c>
      <c r="I8138" s="14">
        <f>DATE(2012,12,31)-424</f>
        <v>40850</v>
      </c>
      <c r="J8138" s="15" t="s">
        <v>30</v>
      </c>
      <c r="K8138" s="9">
        <v>22</v>
      </c>
      <c r="L8138" s="16" t="s">
        <v>29</v>
      </c>
      <c r="M8138" s="16">
        <f t="shared" si="759"/>
        <v>-0.24666320261936217</v>
      </c>
      <c r="N8138">
        <f t="shared" si="760"/>
        <v>0</v>
      </c>
      <c r="O8138">
        <f t="shared" si="761"/>
        <v>0</v>
      </c>
      <c r="P8138">
        <f t="shared" si="758"/>
        <v>4500</v>
      </c>
      <c r="Q8138">
        <f t="shared" si="762"/>
        <v>4500</v>
      </c>
      <c r="T8138" s="16">
        <f t="shared" si="763"/>
        <v>-0.24666320261936256</v>
      </c>
    </row>
    <row r="8139" spans="7:20" ht="14.4" x14ac:dyDescent="0.25">
      <c r="G8139" s="10">
        <v>7747</v>
      </c>
      <c r="H8139" s="9">
        <v>55459</v>
      </c>
      <c r="I8139" s="14">
        <f>DATE(2012,12,31)-1346</f>
        <v>39928</v>
      </c>
      <c r="J8139" s="15" t="s">
        <v>30</v>
      </c>
      <c r="K8139" s="9">
        <v>5</v>
      </c>
      <c r="L8139" s="16" t="s">
        <v>26</v>
      </c>
      <c r="M8139" s="16">
        <f t="shared" si="759"/>
        <v>-1.4206794051461267</v>
      </c>
      <c r="N8139">
        <f t="shared" si="760"/>
        <v>0</v>
      </c>
      <c r="O8139">
        <f t="shared" si="761"/>
        <v>0</v>
      </c>
      <c r="P8139">
        <f t="shared" si="758"/>
        <v>3650</v>
      </c>
      <c r="Q8139">
        <f t="shared" si="762"/>
        <v>3650</v>
      </c>
      <c r="T8139" s="16">
        <f t="shared" si="763"/>
        <v>-1.4206794051461269</v>
      </c>
    </row>
    <row r="8140" spans="7:20" ht="14.4" x14ac:dyDescent="0.25">
      <c r="G8140" s="10">
        <v>7915</v>
      </c>
      <c r="H8140" s="9">
        <v>56582</v>
      </c>
      <c r="I8140" s="14">
        <f>DATE(2012,12,31)-1298</f>
        <v>39976</v>
      </c>
      <c r="J8140" s="15" t="s">
        <v>25</v>
      </c>
      <c r="K8140" s="9">
        <v>25</v>
      </c>
      <c r="L8140" s="16" t="s">
        <v>29</v>
      </c>
      <c r="M8140" s="16">
        <f t="shared" si="759"/>
        <v>-3.9483872761697868E-2</v>
      </c>
      <c r="N8140">
        <f t="shared" si="760"/>
        <v>0</v>
      </c>
      <c r="O8140">
        <f t="shared" si="761"/>
        <v>0</v>
      </c>
      <c r="P8140">
        <f t="shared" ref="P8140:P8203" si="764">50*K8140+$P$10</f>
        <v>4650</v>
      </c>
      <c r="Q8140">
        <f t="shared" si="762"/>
        <v>4650</v>
      </c>
      <c r="T8140" s="16">
        <f t="shared" si="763"/>
        <v>-3.9483872761698249E-2</v>
      </c>
    </row>
    <row r="8141" spans="7:20" ht="14.4" x14ac:dyDescent="0.25">
      <c r="G8141" s="10">
        <v>7916</v>
      </c>
      <c r="H8141" s="9">
        <v>56582</v>
      </c>
      <c r="I8141" s="14">
        <f>DATE(2012,12,31)-1298</f>
        <v>39976</v>
      </c>
      <c r="J8141" s="15" t="s">
        <v>25</v>
      </c>
      <c r="K8141" s="9">
        <v>47</v>
      </c>
      <c r="L8141" s="16" t="s">
        <v>29</v>
      </c>
      <c r="M8141" s="16">
        <f t="shared" ref="M8141:M8204" si="765">(K8141-$K$4)/$K$7</f>
        <v>1.4798312128611737</v>
      </c>
      <c r="N8141">
        <f t="shared" ref="N8141:N8204" si="766">IF(MOD($B$20+G8141,1000)=0,1,0)</f>
        <v>0</v>
      </c>
      <c r="O8141">
        <f t="shared" ref="O8141:O8204" si="767">+ROUND(N8141*(IF(K8141&lt;$K$4,-4.5,10.5)*$P$5),-2)</f>
        <v>0</v>
      </c>
      <c r="P8141">
        <f t="shared" si="764"/>
        <v>5750</v>
      </c>
      <c r="Q8141">
        <f t="shared" ref="Q8141:Q8204" si="768">P8141+O8141</f>
        <v>5750</v>
      </c>
      <c r="T8141" s="16">
        <f t="shared" ref="T8141:T8204" si="769">(Q8141-$P$4)/$P$5</f>
        <v>1.4798312128611733</v>
      </c>
    </row>
    <row r="8142" spans="7:20" ht="14.4" x14ac:dyDescent="0.25">
      <c r="G8142" s="10">
        <v>7989</v>
      </c>
      <c r="H8142" s="9">
        <v>57121</v>
      </c>
      <c r="I8142" s="14">
        <f>DATE(2012,12,31)-411</f>
        <v>40863</v>
      </c>
      <c r="J8142" s="15" t="s">
        <v>28</v>
      </c>
      <c r="K8142" s="9">
        <v>42</v>
      </c>
      <c r="L8142" s="16" t="s">
        <v>26</v>
      </c>
      <c r="M8142" s="16">
        <f t="shared" si="765"/>
        <v>1.1345323297650665</v>
      </c>
      <c r="N8142">
        <f t="shared" si="766"/>
        <v>0</v>
      </c>
      <c r="O8142">
        <f t="shared" si="767"/>
        <v>0</v>
      </c>
      <c r="P8142">
        <f t="shared" si="764"/>
        <v>5500</v>
      </c>
      <c r="Q8142">
        <f t="shared" si="768"/>
        <v>5500</v>
      </c>
      <c r="T8142" s="16">
        <f t="shared" si="769"/>
        <v>1.1345323297650662</v>
      </c>
    </row>
    <row r="8143" spans="7:20" ht="14.4" x14ac:dyDescent="0.25">
      <c r="G8143" s="10">
        <v>7990</v>
      </c>
      <c r="H8143" s="9">
        <v>57121</v>
      </c>
      <c r="I8143" s="14">
        <f>DATE(2012,12,31)-411</f>
        <v>40863</v>
      </c>
      <c r="J8143" s="15" t="s">
        <v>28</v>
      </c>
      <c r="K8143" s="9">
        <v>3</v>
      </c>
      <c r="L8143" s="16" t="s">
        <v>27</v>
      </c>
      <c r="M8143" s="16">
        <f t="shared" si="765"/>
        <v>-1.5587989583845694</v>
      </c>
      <c r="N8143">
        <f t="shared" si="766"/>
        <v>0</v>
      </c>
      <c r="O8143">
        <f t="shared" si="767"/>
        <v>0</v>
      </c>
      <c r="P8143">
        <f t="shared" si="764"/>
        <v>3550</v>
      </c>
      <c r="Q8143">
        <f t="shared" si="768"/>
        <v>3550</v>
      </c>
      <c r="T8143" s="16">
        <f t="shared" si="769"/>
        <v>-1.5587989583845698</v>
      </c>
    </row>
    <row r="8144" spans="7:20" ht="14.4" x14ac:dyDescent="0.25">
      <c r="G8144" s="10">
        <v>8203</v>
      </c>
      <c r="H8144" s="9">
        <v>58657</v>
      </c>
      <c r="I8144" s="14">
        <f>DATE(2012,12,31)-1010</f>
        <v>40264</v>
      </c>
      <c r="J8144" s="15" t="s">
        <v>30</v>
      </c>
      <c r="K8144" s="9">
        <v>43</v>
      </c>
      <c r="L8144" s="16" t="s">
        <v>27</v>
      </c>
      <c r="M8144" s="16">
        <f t="shared" si="765"/>
        <v>1.203592106384288</v>
      </c>
      <c r="N8144">
        <f t="shared" si="766"/>
        <v>0</v>
      </c>
      <c r="O8144">
        <f t="shared" si="767"/>
        <v>0</v>
      </c>
      <c r="P8144">
        <f t="shared" si="764"/>
        <v>5550</v>
      </c>
      <c r="Q8144">
        <f t="shared" si="768"/>
        <v>5550</v>
      </c>
      <c r="T8144" s="16">
        <f t="shared" si="769"/>
        <v>1.2035921063842876</v>
      </c>
    </row>
    <row r="8145" spans="7:20" ht="14.4" x14ac:dyDescent="0.25">
      <c r="G8145" s="10">
        <v>8273</v>
      </c>
      <c r="H8145" s="9">
        <v>59170</v>
      </c>
      <c r="I8145" s="14">
        <f>DATE(2012,12,31)-1413</f>
        <v>39861</v>
      </c>
      <c r="J8145" s="15" t="s">
        <v>17</v>
      </c>
      <c r="K8145" s="9">
        <v>44</v>
      </c>
      <c r="L8145" s="16" t="s">
        <v>26</v>
      </c>
      <c r="M8145" s="16">
        <f t="shared" si="765"/>
        <v>1.2726518830035094</v>
      </c>
      <c r="N8145">
        <f t="shared" si="766"/>
        <v>0</v>
      </c>
      <c r="O8145">
        <f t="shared" si="767"/>
        <v>0</v>
      </c>
      <c r="P8145">
        <f t="shared" si="764"/>
        <v>5600</v>
      </c>
      <c r="Q8145">
        <f t="shared" si="768"/>
        <v>5600</v>
      </c>
      <c r="T8145" s="16">
        <f t="shared" si="769"/>
        <v>1.272651883003509</v>
      </c>
    </row>
    <row r="8146" spans="7:20" ht="14.4" x14ac:dyDescent="0.25">
      <c r="G8146" s="10">
        <v>8274</v>
      </c>
      <c r="H8146" s="9">
        <v>59170</v>
      </c>
      <c r="I8146" s="14">
        <f>DATE(2012,12,31)-1413</f>
        <v>39861</v>
      </c>
      <c r="J8146" s="15" t="s">
        <v>17</v>
      </c>
      <c r="K8146" s="9">
        <v>10</v>
      </c>
      <c r="L8146" s="16" t="s">
        <v>29</v>
      </c>
      <c r="M8146" s="16">
        <f t="shared" si="765"/>
        <v>-1.0753805220500194</v>
      </c>
      <c r="N8146">
        <f t="shared" si="766"/>
        <v>0</v>
      </c>
      <c r="O8146">
        <f t="shared" si="767"/>
        <v>0</v>
      </c>
      <c r="P8146">
        <f t="shared" si="764"/>
        <v>3900</v>
      </c>
      <c r="Q8146">
        <f t="shared" si="768"/>
        <v>3900</v>
      </c>
      <c r="T8146" s="16">
        <f t="shared" si="769"/>
        <v>-1.0753805220500199</v>
      </c>
    </row>
    <row r="8147" spans="7:20" ht="14.4" x14ac:dyDescent="0.25">
      <c r="G8147" s="10">
        <v>8275</v>
      </c>
      <c r="H8147" s="9">
        <v>59170</v>
      </c>
      <c r="I8147" s="14">
        <f>DATE(2012,12,31)-1413</f>
        <v>39861</v>
      </c>
      <c r="J8147" s="15" t="s">
        <v>17</v>
      </c>
      <c r="K8147" s="9">
        <v>22</v>
      </c>
      <c r="L8147" s="16" t="s">
        <v>29</v>
      </c>
      <c r="M8147" s="16">
        <f t="shared" si="765"/>
        <v>-0.24666320261936217</v>
      </c>
      <c r="N8147">
        <f t="shared" si="766"/>
        <v>0</v>
      </c>
      <c r="O8147">
        <f t="shared" si="767"/>
        <v>0</v>
      </c>
      <c r="P8147">
        <f t="shared" si="764"/>
        <v>4500</v>
      </c>
      <c r="Q8147">
        <f t="shared" si="768"/>
        <v>4500</v>
      </c>
      <c r="T8147" s="16">
        <f t="shared" si="769"/>
        <v>-0.24666320261936256</v>
      </c>
    </row>
    <row r="8148" spans="7:20" ht="14.4" x14ac:dyDescent="0.25">
      <c r="G8148" s="10">
        <v>8276</v>
      </c>
      <c r="H8148" s="9">
        <v>59170</v>
      </c>
      <c r="I8148" s="14">
        <f>DATE(2012,12,31)-1413</f>
        <v>39861</v>
      </c>
      <c r="J8148" s="15" t="s">
        <v>17</v>
      </c>
      <c r="K8148" s="9">
        <v>5</v>
      </c>
      <c r="L8148" s="16" t="s">
        <v>27</v>
      </c>
      <c r="M8148" s="16">
        <f t="shared" si="765"/>
        <v>-1.4206794051461267</v>
      </c>
      <c r="N8148">
        <f t="shared" si="766"/>
        <v>0</v>
      </c>
      <c r="O8148">
        <f t="shared" si="767"/>
        <v>0</v>
      </c>
      <c r="P8148">
        <f t="shared" si="764"/>
        <v>3650</v>
      </c>
      <c r="Q8148">
        <f t="shared" si="768"/>
        <v>3650</v>
      </c>
      <c r="T8148" s="16">
        <f t="shared" si="769"/>
        <v>-1.4206794051461269</v>
      </c>
    </row>
    <row r="8149" spans="7:20" ht="14.4" x14ac:dyDescent="0.25">
      <c r="G8149" s="10">
        <v>8303</v>
      </c>
      <c r="H8149" s="9">
        <v>59297</v>
      </c>
      <c r="I8149" s="14">
        <f>DATE(2012,12,31)-1118</f>
        <v>40156</v>
      </c>
      <c r="J8149" s="15" t="s">
        <v>16</v>
      </c>
      <c r="K8149" s="9">
        <v>13</v>
      </c>
      <c r="L8149" s="16" t="s">
        <v>27</v>
      </c>
      <c r="M8149" s="16">
        <f t="shared" si="765"/>
        <v>-0.86820119219235514</v>
      </c>
      <c r="N8149">
        <f t="shared" si="766"/>
        <v>0</v>
      </c>
      <c r="O8149">
        <f t="shared" si="767"/>
        <v>0</v>
      </c>
      <c r="P8149">
        <f t="shared" si="764"/>
        <v>4050</v>
      </c>
      <c r="Q8149">
        <f t="shared" si="768"/>
        <v>4050</v>
      </c>
      <c r="T8149" s="16">
        <f t="shared" si="769"/>
        <v>-0.86820119219235548</v>
      </c>
    </row>
    <row r="8150" spans="7:20" ht="14.4" x14ac:dyDescent="0.25">
      <c r="G8150" s="10">
        <v>2</v>
      </c>
      <c r="H8150" s="9">
        <v>6</v>
      </c>
      <c r="I8150" s="14">
        <f>DATE(2012,12,31)-315</f>
        <v>40959</v>
      </c>
      <c r="J8150" s="15" t="s">
        <v>28</v>
      </c>
      <c r="K8150" s="9">
        <v>2</v>
      </c>
      <c r="L8150" s="16" t="s">
        <v>26</v>
      </c>
      <c r="M8150" s="16">
        <f t="shared" si="765"/>
        <v>-1.627858735003791</v>
      </c>
      <c r="N8150">
        <f t="shared" si="766"/>
        <v>0</v>
      </c>
      <c r="O8150">
        <f t="shared" si="767"/>
        <v>0</v>
      </c>
      <c r="P8150">
        <f t="shared" si="764"/>
        <v>3500</v>
      </c>
      <c r="Q8150">
        <f t="shared" si="768"/>
        <v>3500</v>
      </c>
      <c r="T8150" s="16">
        <f t="shared" si="769"/>
        <v>-1.6278587350037912</v>
      </c>
    </row>
    <row r="8151" spans="7:20" ht="14.4" x14ac:dyDescent="0.25">
      <c r="G8151" s="10">
        <v>3</v>
      </c>
      <c r="H8151" s="9">
        <v>32</v>
      </c>
      <c r="I8151" s="14">
        <f>DATE(2012,12,31)-535</f>
        <v>40739</v>
      </c>
      <c r="J8151" s="15" t="s">
        <v>17</v>
      </c>
      <c r="K8151" s="9">
        <v>26</v>
      </c>
      <c r="L8151" s="16" t="s">
        <v>29</v>
      </c>
      <c r="M8151" s="16">
        <f t="shared" si="765"/>
        <v>2.9575903857523567E-2</v>
      </c>
      <c r="N8151">
        <f t="shared" si="766"/>
        <v>0</v>
      </c>
      <c r="O8151">
        <f t="shared" si="767"/>
        <v>0</v>
      </c>
      <c r="P8151">
        <f t="shared" si="764"/>
        <v>4700</v>
      </c>
      <c r="Q8151">
        <f t="shared" si="768"/>
        <v>4700</v>
      </c>
      <c r="T8151" s="16">
        <f t="shared" si="769"/>
        <v>2.9575903857523185E-2</v>
      </c>
    </row>
    <row r="8152" spans="7:20" ht="14.4" x14ac:dyDescent="0.25">
      <c r="G8152" s="10">
        <v>4</v>
      </c>
      <c r="H8152" s="9">
        <v>32</v>
      </c>
      <c r="I8152" s="14">
        <f>DATE(2012,12,31)-535</f>
        <v>40739</v>
      </c>
      <c r="J8152" s="15" t="s">
        <v>17</v>
      </c>
      <c r="K8152" s="9">
        <v>24</v>
      </c>
      <c r="L8152" s="16" t="s">
        <v>29</v>
      </c>
      <c r="M8152" s="16">
        <f t="shared" si="765"/>
        <v>-0.1085436493809193</v>
      </c>
      <c r="N8152">
        <f t="shared" si="766"/>
        <v>0</v>
      </c>
      <c r="O8152">
        <f t="shared" si="767"/>
        <v>0</v>
      </c>
      <c r="P8152">
        <f t="shared" si="764"/>
        <v>4600</v>
      </c>
      <c r="Q8152">
        <f t="shared" si="768"/>
        <v>4600</v>
      </c>
      <c r="T8152" s="16">
        <f t="shared" si="769"/>
        <v>-0.10854364938091969</v>
      </c>
    </row>
    <row r="8153" spans="7:20" ht="14.4" x14ac:dyDescent="0.25">
      <c r="G8153" s="10">
        <v>5</v>
      </c>
      <c r="H8153" s="9">
        <v>32</v>
      </c>
      <c r="I8153" s="14">
        <f>DATE(2012,12,31)-535</f>
        <v>40739</v>
      </c>
      <c r="J8153" s="15" t="s">
        <v>17</v>
      </c>
      <c r="K8153" s="9">
        <v>23</v>
      </c>
      <c r="L8153" s="16" t="s">
        <v>27</v>
      </c>
      <c r="M8153" s="16">
        <f t="shared" si="765"/>
        <v>-0.17760342600014073</v>
      </c>
      <c r="N8153">
        <f t="shared" si="766"/>
        <v>0</v>
      </c>
      <c r="O8153">
        <f t="shared" si="767"/>
        <v>0</v>
      </c>
      <c r="P8153">
        <f t="shared" si="764"/>
        <v>4550</v>
      </c>
      <c r="Q8153">
        <f t="shared" si="768"/>
        <v>4550</v>
      </c>
      <c r="T8153" s="16">
        <f t="shared" si="769"/>
        <v>-0.17760342600014112</v>
      </c>
    </row>
    <row r="8154" spans="7:20" ht="14.4" x14ac:dyDescent="0.25">
      <c r="G8154" s="10">
        <v>72</v>
      </c>
      <c r="H8154" s="9">
        <v>420</v>
      </c>
      <c r="I8154" s="14">
        <f>DATE(2012,12,31)-428</f>
        <v>40846</v>
      </c>
      <c r="J8154" s="15" t="s">
        <v>28</v>
      </c>
      <c r="K8154" s="9">
        <v>8</v>
      </c>
      <c r="L8154" s="16" t="s">
        <v>26</v>
      </c>
      <c r="M8154" s="16">
        <f t="shared" si="765"/>
        <v>-1.2135000752884624</v>
      </c>
      <c r="N8154">
        <f t="shared" si="766"/>
        <v>0</v>
      </c>
      <c r="O8154">
        <f t="shared" si="767"/>
        <v>0</v>
      </c>
      <c r="P8154">
        <f t="shared" si="764"/>
        <v>3800</v>
      </c>
      <c r="Q8154">
        <f t="shared" si="768"/>
        <v>3800</v>
      </c>
      <c r="T8154" s="16">
        <f t="shared" si="769"/>
        <v>-1.2135000752884626</v>
      </c>
    </row>
    <row r="8155" spans="7:20" ht="14.4" x14ac:dyDescent="0.25">
      <c r="G8155" s="10">
        <v>73</v>
      </c>
      <c r="H8155" s="9">
        <v>420</v>
      </c>
      <c r="I8155" s="14">
        <f>DATE(2012,12,31)-428</f>
        <v>40846</v>
      </c>
      <c r="J8155" s="15" t="s">
        <v>28</v>
      </c>
      <c r="K8155" s="9">
        <v>6</v>
      </c>
      <c r="L8155" s="16" t="s">
        <v>26</v>
      </c>
      <c r="M8155" s="16">
        <f t="shared" si="765"/>
        <v>-1.3516196285269051</v>
      </c>
      <c r="N8155">
        <f t="shared" si="766"/>
        <v>0</v>
      </c>
      <c r="O8155">
        <f t="shared" si="767"/>
        <v>0</v>
      </c>
      <c r="P8155">
        <f t="shared" si="764"/>
        <v>3700</v>
      </c>
      <c r="Q8155">
        <f t="shared" si="768"/>
        <v>3700</v>
      </c>
      <c r="T8155" s="16">
        <f t="shared" si="769"/>
        <v>-1.3516196285269055</v>
      </c>
    </row>
    <row r="8156" spans="7:20" ht="14.4" x14ac:dyDescent="0.25">
      <c r="G8156" s="10">
        <v>270</v>
      </c>
      <c r="H8156" s="9">
        <v>1857</v>
      </c>
      <c r="I8156" s="14">
        <f>DATE(2012,12,31)-1084</f>
        <v>40190</v>
      </c>
      <c r="J8156" s="15" t="s">
        <v>17</v>
      </c>
      <c r="K8156" s="9">
        <v>37</v>
      </c>
      <c r="L8156" s="16" t="s">
        <v>26</v>
      </c>
      <c r="M8156" s="16">
        <f t="shared" si="765"/>
        <v>0.78923344666895934</v>
      </c>
      <c r="N8156">
        <f t="shared" si="766"/>
        <v>0</v>
      </c>
      <c r="O8156">
        <f t="shared" si="767"/>
        <v>0</v>
      </c>
      <c r="P8156">
        <f t="shared" si="764"/>
        <v>5250</v>
      </c>
      <c r="Q8156">
        <f t="shared" si="768"/>
        <v>5250</v>
      </c>
      <c r="T8156" s="16">
        <f t="shared" si="769"/>
        <v>0.789233446668959</v>
      </c>
    </row>
    <row r="8157" spans="7:20" ht="14.4" x14ac:dyDescent="0.25">
      <c r="G8157" s="10">
        <v>328</v>
      </c>
      <c r="H8157" s="9">
        <v>2247</v>
      </c>
      <c r="I8157" s="14">
        <f>DATE(2012,12,31)-152</f>
        <v>41122</v>
      </c>
      <c r="J8157" s="15" t="s">
        <v>28</v>
      </c>
      <c r="K8157" s="9">
        <v>6</v>
      </c>
      <c r="L8157" s="16" t="s">
        <v>27</v>
      </c>
      <c r="M8157" s="16">
        <f t="shared" si="765"/>
        <v>-1.3516196285269051</v>
      </c>
      <c r="N8157">
        <f t="shared" si="766"/>
        <v>0</v>
      </c>
      <c r="O8157">
        <f t="shared" si="767"/>
        <v>0</v>
      </c>
      <c r="P8157">
        <f t="shared" si="764"/>
        <v>3700</v>
      </c>
      <c r="Q8157">
        <f t="shared" si="768"/>
        <v>3700</v>
      </c>
      <c r="T8157" s="16">
        <f t="shared" si="769"/>
        <v>-1.3516196285269055</v>
      </c>
    </row>
    <row r="8158" spans="7:20" ht="14.4" x14ac:dyDescent="0.25">
      <c r="G8158" s="10">
        <v>429</v>
      </c>
      <c r="H8158" s="9">
        <v>2882</v>
      </c>
      <c r="I8158" s="14">
        <f>DATE(2012,12,31)-498</f>
        <v>40776</v>
      </c>
      <c r="J8158" s="15" t="s">
        <v>17</v>
      </c>
      <c r="K8158" s="9">
        <v>23</v>
      </c>
      <c r="L8158" s="16" t="s">
        <v>29</v>
      </c>
      <c r="M8158" s="16">
        <f t="shared" si="765"/>
        <v>-0.17760342600014073</v>
      </c>
      <c r="N8158">
        <f t="shared" si="766"/>
        <v>0</v>
      </c>
      <c r="O8158">
        <f t="shared" si="767"/>
        <v>0</v>
      </c>
      <c r="P8158">
        <f t="shared" si="764"/>
        <v>4550</v>
      </c>
      <c r="Q8158">
        <f t="shared" si="768"/>
        <v>4550</v>
      </c>
      <c r="T8158" s="16">
        <f t="shared" si="769"/>
        <v>-0.17760342600014112</v>
      </c>
    </row>
    <row r="8159" spans="7:20" ht="14.4" x14ac:dyDescent="0.25">
      <c r="G8159" s="10">
        <v>430</v>
      </c>
      <c r="H8159" s="9">
        <v>2882</v>
      </c>
      <c r="I8159" s="14">
        <f>DATE(2012,12,31)-498</f>
        <v>40776</v>
      </c>
      <c r="J8159" s="15" t="s">
        <v>17</v>
      </c>
      <c r="K8159" s="9">
        <v>9</v>
      </c>
      <c r="L8159" s="16" t="s">
        <v>27</v>
      </c>
      <c r="M8159" s="16">
        <f t="shared" si="765"/>
        <v>-1.1444402986692408</v>
      </c>
      <c r="N8159">
        <f t="shared" si="766"/>
        <v>0</v>
      </c>
      <c r="O8159">
        <f t="shared" si="767"/>
        <v>0</v>
      </c>
      <c r="P8159">
        <f t="shared" si="764"/>
        <v>3850</v>
      </c>
      <c r="Q8159">
        <f t="shared" si="768"/>
        <v>3850</v>
      </c>
      <c r="T8159" s="16">
        <f t="shared" si="769"/>
        <v>-1.1444402986692412</v>
      </c>
    </row>
    <row r="8160" spans="7:20" ht="14.4" x14ac:dyDescent="0.25">
      <c r="G8160" s="10">
        <v>476</v>
      </c>
      <c r="H8160" s="9">
        <v>3297</v>
      </c>
      <c r="I8160" s="14">
        <f>DATE(2012,12,31)-59</f>
        <v>41215</v>
      </c>
      <c r="J8160" s="15" t="s">
        <v>17</v>
      </c>
      <c r="K8160" s="9">
        <v>40</v>
      </c>
      <c r="L8160" s="16" t="s">
        <v>26</v>
      </c>
      <c r="M8160" s="16">
        <f t="shared" si="765"/>
        <v>0.99641277652662363</v>
      </c>
      <c r="N8160">
        <f t="shared" si="766"/>
        <v>0</v>
      </c>
      <c r="O8160">
        <f t="shared" si="767"/>
        <v>0</v>
      </c>
      <c r="P8160">
        <f t="shared" si="764"/>
        <v>5400</v>
      </c>
      <c r="Q8160">
        <f t="shared" si="768"/>
        <v>5400</v>
      </c>
      <c r="T8160" s="16">
        <f t="shared" si="769"/>
        <v>0.9964127765266233</v>
      </c>
    </row>
    <row r="8161" spans="7:20" ht="14.4" x14ac:dyDescent="0.25">
      <c r="G8161" s="10">
        <v>544</v>
      </c>
      <c r="H8161" s="9">
        <v>3655</v>
      </c>
      <c r="I8161" s="14">
        <f>DATE(2012,12,31)-87</f>
        <v>41187</v>
      </c>
      <c r="J8161" s="15" t="s">
        <v>30</v>
      </c>
      <c r="K8161" s="9">
        <v>3</v>
      </c>
      <c r="L8161" s="16" t="s">
        <v>26</v>
      </c>
      <c r="M8161" s="16">
        <f t="shared" si="765"/>
        <v>-1.5587989583845694</v>
      </c>
      <c r="N8161">
        <f t="shared" si="766"/>
        <v>0</v>
      </c>
      <c r="O8161">
        <f t="shared" si="767"/>
        <v>0</v>
      </c>
      <c r="P8161">
        <f t="shared" si="764"/>
        <v>3550</v>
      </c>
      <c r="Q8161">
        <f t="shared" si="768"/>
        <v>3550</v>
      </c>
      <c r="T8161" s="16">
        <f t="shared" si="769"/>
        <v>-1.5587989583845698</v>
      </c>
    </row>
    <row r="8162" spans="7:20" ht="14.4" x14ac:dyDescent="0.25">
      <c r="G8162" s="10">
        <v>545</v>
      </c>
      <c r="H8162" s="9">
        <v>3655</v>
      </c>
      <c r="I8162" s="14">
        <f>DATE(2012,12,31)-87</f>
        <v>41187</v>
      </c>
      <c r="J8162" s="15" t="s">
        <v>30</v>
      </c>
      <c r="K8162" s="9">
        <v>24</v>
      </c>
      <c r="L8162" s="16" t="s">
        <v>27</v>
      </c>
      <c r="M8162" s="16">
        <f t="shared" si="765"/>
        <v>-0.1085436493809193</v>
      </c>
      <c r="N8162">
        <f t="shared" si="766"/>
        <v>0</v>
      </c>
      <c r="O8162">
        <f t="shared" si="767"/>
        <v>0</v>
      </c>
      <c r="P8162">
        <f t="shared" si="764"/>
        <v>4600</v>
      </c>
      <c r="Q8162">
        <f t="shared" si="768"/>
        <v>4600</v>
      </c>
      <c r="T8162" s="16">
        <f t="shared" si="769"/>
        <v>-0.10854364938091969</v>
      </c>
    </row>
    <row r="8163" spans="7:20" ht="14.4" x14ac:dyDescent="0.25">
      <c r="G8163" s="10">
        <v>551</v>
      </c>
      <c r="H8163" s="9">
        <v>3746</v>
      </c>
      <c r="I8163" s="14">
        <f>DATE(2012,12,31)-1208</f>
        <v>40066</v>
      </c>
      <c r="J8163" s="15" t="s">
        <v>28</v>
      </c>
      <c r="K8163" s="9">
        <v>14</v>
      </c>
      <c r="L8163" s="16" t="s">
        <v>27</v>
      </c>
      <c r="M8163" s="16">
        <f t="shared" si="765"/>
        <v>-0.79914141557313367</v>
      </c>
      <c r="N8163">
        <f t="shared" si="766"/>
        <v>0</v>
      </c>
      <c r="O8163">
        <f t="shared" si="767"/>
        <v>0</v>
      </c>
      <c r="P8163">
        <f t="shared" si="764"/>
        <v>4100</v>
      </c>
      <c r="Q8163">
        <f t="shared" si="768"/>
        <v>4100</v>
      </c>
      <c r="T8163" s="16">
        <f t="shared" si="769"/>
        <v>-0.79914141557313401</v>
      </c>
    </row>
    <row r="8164" spans="7:20" ht="14.4" x14ac:dyDescent="0.25">
      <c r="G8164" s="10">
        <v>552</v>
      </c>
      <c r="H8164" s="9">
        <v>3746</v>
      </c>
      <c r="I8164" s="14">
        <f>DATE(2012,12,31)-1208</f>
        <v>40066</v>
      </c>
      <c r="J8164" s="15" t="s">
        <v>28</v>
      </c>
      <c r="K8164" s="9">
        <v>38</v>
      </c>
      <c r="L8164" s="16" t="s">
        <v>26</v>
      </c>
      <c r="M8164" s="16">
        <f t="shared" si="765"/>
        <v>0.85829322328818081</v>
      </c>
      <c r="N8164">
        <f t="shared" si="766"/>
        <v>0</v>
      </c>
      <c r="O8164">
        <f t="shared" si="767"/>
        <v>0</v>
      </c>
      <c r="P8164">
        <f t="shared" si="764"/>
        <v>5300</v>
      </c>
      <c r="Q8164">
        <f t="shared" si="768"/>
        <v>5300</v>
      </c>
      <c r="T8164" s="16">
        <f t="shared" si="769"/>
        <v>0.85829322328818036</v>
      </c>
    </row>
    <row r="8165" spans="7:20" ht="14.4" x14ac:dyDescent="0.25">
      <c r="G8165" s="10">
        <v>569</v>
      </c>
      <c r="H8165" s="9">
        <v>3845</v>
      </c>
      <c r="I8165" s="14">
        <f>DATE(2012,12,31)-250</f>
        <v>41024</v>
      </c>
      <c r="J8165" s="15" t="s">
        <v>30</v>
      </c>
      <c r="K8165" s="9">
        <v>9</v>
      </c>
      <c r="L8165" s="16" t="s">
        <v>26</v>
      </c>
      <c r="M8165" s="16">
        <f t="shared" si="765"/>
        <v>-1.1444402986692408</v>
      </c>
      <c r="N8165">
        <f t="shared" si="766"/>
        <v>0</v>
      </c>
      <c r="O8165">
        <f t="shared" si="767"/>
        <v>0</v>
      </c>
      <c r="P8165">
        <f t="shared" si="764"/>
        <v>3850</v>
      </c>
      <c r="Q8165">
        <f t="shared" si="768"/>
        <v>3850</v>
      </c>
      <c r="T8165" s="16">
        <f t="shared" si="769"/>
        <v>-1.1444402986692412</v>
      </c>
    </row>
    <row r="8166" spans="7:20" ht="14.4" x14ac:dyDescent="0.25">
      <c r="G8166" s="10">
        <v>570</v>
      </c>
      <c r="H8166" s="9">
        <v>3845</v>
      </c>
      <c r="I8166" s="14">
        <f>DATE(2012,12,31)-250</f>
        <v>41024</v>
      </c>
      <c r="J8166" s="15" t="s">
        <v>30</v>
      </c>
      <c r="K8166" s="9">
        <v>22</v>
      </c>
      <c r="L8166" s="16" t="s">
        <v>29</v>
      </c>
      <c r="M8166" s="16">
        <f t="shared" si="765"/>
        <v>-0.24666320261936217</v>
      </c>
      <c r="N8166">
        <f t="shared" si="766"/>
        <v>0</v>
      </c>
      <c r="O8166">
        <f t="shared" si="767"/>
        <v>0</v>
      </c>
      <c r="P8166">
        <f t="shared" si="764"/>
        <v>4500</v>
      </c>
      <c r="Q8166">
        <f t="shared" si="768"/>
        <v>4500</v>
      </c>
      <c r="T8166" s="16">
        <f t="shared" si="769"/>
        <v>-0.24666320261936256</v>
      </c>
    </row>
    <row r="8167" spans="7:20" ht="14.4" x14ac:dyDescent="0.25">
      <c r="G8167" s="10">
        <v>571</v>
      </c>
      <c r="H8167" s="9">
        <v>3845</v>
      </c>
      <c r="I8167" s="14">
        <f>DATE(2012,12,31)-250</f>
        <v>41024</v>
      </c>
      <c r="J8167" s="15" t="s">
        <v>30</v>
      </c>
      <c r="K8167" s="9">
        <v>15</v>
      </c>
      <c r="L8167" s="16" t="s">
        <v>29</v>
      </c>
      <c r="M8167" s="16">
        <f t="shared" si="765"/>
        <v>-0.7300816389539122</v>
      </c>
      <c r="N8167">
        <f t="shared" si="766"/>
        <v>0</v>
      </c>
      <c r="O8167">
        <f t="shared" si="767"/>
        <v>0</v>
      </c>
      <c r="P8167">
        <f t="shared" si="764"/>
        <v>4150</v>
      </c>
      <c r="Q8167">
        <f t="shared" si="768"/>
        <v>4150</v>
      </c>
      <c r="T8167" s="16">
        <f t="shared" si="769"/>
        <v>-0.73008163895391265</v>
      </c>
    </row>
    <row r="8168" spans="7:20" ht="14.4" x14ac:dyDescent="0.25">
      <c r="G8168" s="10">
        <v>640</v>
      </c>
      <c r="H8168" s="9">
        <v>4514</v>
      </c>
      <c r="I8168" s="14">
        <f>DATE(2012,12,31)-1342</f>
        <v>39932</v>
      </c>
      <c r="J8168" s="15" t="s">
        <v>16</v>
      </c>
      <c r="K8168" s="9">
        <v>28</v>
      </c>
      <c r="L8168" s="16" t="s">
        <v>27</v>
      </c>
      <c r="M8168" s="16">
        <f t="shared" si="765"/>
        <v>0.16769545709596645</v>
      </c>
      <c r="N8168">
        <f t="shared" si="766"/>
        <v>0</v>
      </c>
      <c r="O8168">
        <f t="shared" si="767"/>
        <v>0</v>
      </c>
      <c r="P8168">
        <f t="shared" si="764"/>
        <v>4800</v>
      </c>
      <c r="Q8168">
        <f t="shared" si="768"/>
        <v>4800</v>
      </c>
      <c r="T8168" s="16">
        <f t="shared" si="769"/>
        <v>0.16769545709596606</v>
      </c>
    </row>
    <row r="8169" spans="7:20" ht="14.4" x14ac:dyDescent="0.25">
      <c r="G8169" s="10">
        <v>666</v>
      </c>
      <c r="H8169" s="9">
        <v>4672</v>
      </c>
      <c r="I8169" s="14">
        <f>DATE(2012,12,31)-421</f>
        <v>40853</v>
      </c>
      <c r="J8169" s="15" t="s">
        <v>30</v>
      </c>
      <c r="K8169" s="9">
        <v>20</v>
      </c>
      <c r="L8169" s="16" t="s">
        <v>29</v>
      </c>
      <c r="M8169" s="16">
        <f t="shared" si="765"/>
        <v>-0.38478275585780503</v>
      </c>
      <c r="N8169">
        <f t="shared" si="766"/>
        <v>0</v>
      </c>
      <c r="O8169">
        <f t="shared" si="767"/>
        <v>0</v>
      </c>
      <c r="P8169">
        <f t="shared" si="764"/>
        <v>4400</v>
      </c>
      <c r="Q8169">
        <f t="shared" si="768"/>
        <v>4400</v>
      </c>
      <c r="T8169" s="16">
        <f t="shared" si="769"/>
        <v>-0.38478275585780541</v>
      </c>
    </row>
    <row r="8170" spans="7:20" ht="14.4" x14ac:dyDescent="0.25">
      <c r="G8170" s="10">
        <v>673</v>
      </c>
      <c r="H8170" s="9">
        <v>4705</v>
      </c>
      <c r="I8170" s="14">
        <f>DATE(2012,12,31)-285</f>
        <v>40989</v>
      </c>
      <c r="J8170" s="15" t="s">
        <v>28</v>
      </c>
      <c r="K8170" s="9">
        <v>16</v>
      </c>
      <c r="L8170" s="16" t="s">
        <v>26</v>
      </c>
      <c r="M8170" s="16">
        <f t="shared" si="765"/>
        <v>-0.66102186233469074</v>
      </c>
      <c r="N8170">
        <f t="shared" si="766"/>
        <v>0</v>
      </c>
      <c r="O8170">
        <f t="shared" si="767"/>
        <v>0</v>
      </c>
      <c r="P8170">
        <f t="shared" si="764"/>
        <v>4200</v>
      </c>
      <c r="Q8170">
        <f t="shared" si="768"/>
        <v>4200</v>
      </c>
      <c r="T8170" s="16">
        <f t="shared" si="769"/>
        <v>-0.66102186233469118</v>
      </c>
    </row>
    <row r="8171" spans="7:20" ht="14.4" x14ac:dyDescent="0.25">
      <c r="G8171" s="10">
        <v>692</v>
      </c>
      <c r="H8171" s="9">
        <v>4805</v>
      </c>
      <c r="I8171" s="14">
        <f>DATE(2012,12,31)-251</f>
        <v>41023</v>
      </c>
      <c r="J8171" s="15" t="s">
        <v>28</v>
      </c>
      <c r="K8171" s="9">
        <v>7</v>
      </c>
      <c r="L8171" s="16" t="s">
        <v>26</v>
      </c>
      <c r="M8171" s="16">
        <f t="shared" si="765"/>
        <v>-1.2825598519076837</v>
      </c>
      <c r="N8171">
        <f t="shared" si="766"/>
        <v>0</v>
      </c>
      <c r="O8171">
        <f t="shared" si="767"/>
        <v>0</v>
      </c>
      <c r="P8171">
        <f t="shared" si="764"/>
        <v>3750</v>
      </c>
      <c r="Q8171">
        <f t="shared" si="768"/>
        <v>3750</v>
      </c>
      <c r="T8171" s="16">
        <f t="shared" si="769"/>
        <v>-1.2825598519076842</v>
      </c>
    </row>
    <row r="8172" spans="7:20" ht="14.4" x14ac:dyDescent="0.25">
      <c r="G8172" s="10">
        <v>728</v>
      </c>
      <c r="H8172" s="9">
        <v>5222</v>
      </c>
      <c r="I8172" s="14">
        <f>DATE(2012,12,31)-1315</f>
        <v>39959</v>
      </c>
      <c r="J8172" s="15" t="s">
        <v>28</v>
      </c>
      <c r="K8172" s="9">
        <v>40</v>
      </c>
      <c r="L8172" s="16" t="s">
        <v>29</v>
      </c>
      <c r="M8172" s="16">
        <f t="shared" si="765"/>
        <v>0.99641277652662363</v>
      </c>
      <c r="N8172">
        <f t="shared" si="766"/>
        <v>0</v>
      </c>
      <c r="O8172">
        <f t="shared" si="767"/>
        <v>0</v>
      </c>
      <c r="P8172">
        <f t="shared" si="764"/>
        <v>5400</v>
      </c>
      <c r="Q8172">
        <f t="shared" si="768"/>
        <v>5400</v>
      </c>
      <c r="T8172" s="16">
        <f t="shared" si="769"/>
        <v>0.9964127765266233</v>
      </c>
    </row>
    <row r="8173" spans="7:20" ht="14.4" x14ac:dyDescent="0.25">
      <c r="G8173" s="10">
        <v>757</v>
      </c>
      <c r="H8173" s="9">
        <v>5441</v>
      </c>
      <c r="I8173" s="14">
        <f>DATE(2012,12,31)-1260</f>
        <v>40014</v>
      </c>
      <c r="J8173" s="15" t="s">
        <v>28</v>
      </c>
      <c r="K8173" s="9">
        <v>34</v>
      </c>
      <c r="L8173" s="16" t="s">
        <v>26</v>
      </c>
      <c r="M8173" s="16">
        <f t="shared" si="765"/>
        <v>0.58205411681129504</v>
      </c>
      <c r="N8173">
        <f t="shared" si="766"/>
        <v>0</v>
      </c>
      <c r="O8173">
        <f t="shared" si="767"/>
        <v>0</v>
      </c>
      <c r="P8173">
        <f t="shared" si="764"/>
        <v>5100</v>
      </c>
      <c r="Q8173">
        <f t="shared" si="768"/>
        <v>5100</v>
      </c>
      <c r="T8173" s="16">
        <f t="shared" si="769"/>
        <v>0.58205411681129471</v>
      </c>
    </row>
    <row r="8174" spans="7:20" ht="14.4" x14ac:dyDescent="0.25">
      <c r="G8174" s="10">
        <v>758</v>
      </c>
      <c r="H8174" s="9">
        <v>5441</v>
      </c>
      <c r="I8174" s="14">
        <f>DATE(2012,12,31)-1260</f>
        <v>40014</v>
      </c>
      <c r="J8174" s="15" t="s">
        <v>28</v>
      </c>
      <c r="K8174" s="9">
        <v>16</v>
      </c>
      <c r="L8174" s="16" t="s">
        <v>26</v>
      </c>
      <c r="M8174" s="16">
        <f t="shared" si="765"/>
        <v>-0.66102186233469074</v>
      </c>
      <c r="N8174">
        <f t="shared" si="766"/>
        <v>0</v>
      </c>
      <c r="O8174">
        <f t="shared" si="767"/>
        <v>0</v>
      </c>
      <c r="P8174">
        <f t="shared" si="764"/>
        <v>4200</v>
      </c>
      <c r="Q8174">
        <f t="shared" si="768"/>
        <v>4200</v>
      </c>
      <c r="T8174" s="16">
        <f t="shared" si="769"/>
        <v>-0.66102186233469118</v>
      </c>
    </row>
    <row r="8175" spans="7:20" ht="14.4" x14ac:dyDescent="0.25">
      <c r="G8175" s="10">
        <v>902</v>
      </c>
      <c r="H8175" s="9">
        <v>6500</v>
      </c>
      <c r="I8175" s="14">
        <f>DATE(2012,12,31)-80</f>
        <v>41194</v>
      </c>
      <c r="J8175" s="15" t="s">
        <v>30</v>
      </c>
      <c r="K8175" s="9">
        <v>15</v>
      </c>
      <c r="L8175" s="16" t="s">
        <v>27</v>
      </c>
      <c r="M8175" s="16">
        <f t="shared" si="765"/>
        <v>-0.7300816389539122</v>
      </c>
      <c r="N8175">
        <f t="shared" si="766"/>
        <v>0</v>
      </c>
      <c r="O8175">
        <f t="shared" si="767"/>
        <v>0</v>
      </c>
      <c r="P8175">
        <f t="shared" si="764"/>
        <v>4150</v>
      </c>
      <c r="Q8175">
        <f t="shared" si="768"/>
        <v>4150</v>
      </c>
      <c r="T8175" s="16">
        <f t="shared" si="769"/>
        <v>-0.73008163895391265</v>
      </c>
    </row>
    <row r="8176" spans="7:20" ht="14.4" x14ac:dyDescent="0.25">
      <c r="G8176" s="10">
        <v>903</v>
      </c>
      <c r="H8176" s="9">
        <v>6500</v>
      </c>
      <c r="I8176" s="14">
        <f>DATE(2012,12,31)-80</f>
        <v>41194</v>
      </c>
      <c r="J8176" s="15" t="s">
        <v>30</v>
      </c>
      <c r="K8176" s="9">
        <v>20</v>
      </c>
      <c r="L8176" s="16" t="s">
        <v>26</v>
      </c>
      <c r="M8176" s="16">
        <f t="shared" si="765"/>
        <v>-0.38478275585780503</v>
      </c>
      <c r="N8176">
        <f t="shared" si="766"/>
        <v>0</v>
      </c>
      <c r="O8176">
        <f t="shared" si="767"/>
        <v>0</v>
      </c>
      <c r="P8176">
        <f t="shared" si="764"/>
        <v>4400</v>
      </c>
      <c r="Q8176">
        <f t="shared" si="768"/>
        <v>4400</v>
      </c>
      <c r="T8176" s="16">
        <f t="shared" si="769"/>
        <v>-0.38478275585780541</v>
      </c>
    </row>
    <row r="8177" spans="7:20" ht="14.4" x14ac:dyDescent="0.25">
      <c r="G8177" s="10">
        <v>914</v>
      </c>
      <c r="H8177" s="9">
        <v>6562</v>
      </c>
      <c r="I8177" s="14">
        <f>DATE(2012,12,31)-1107</f>
        <v>40167</v>
      </c>
      <c r="J8177" s="15" t="s">
        <v>30</v>
      </c>
      <c r="K8177" s="9">
        <v>12</v>
      </c>
      <c r="L8177" s="16" t="s">
        <v>27</v>
      </c>
      <c r="M8177" s="16">
        <f t="shared" si="765"/>
        <v>-0.9372609688115765</v>
      </c>
      <c r="N8177">
        <f t="shared" si="766"/>
        <v>0</v>
      </c>
      <c r="O8177">
        <f t="shared" si="767"/>
        <v>0</v>
      </c>
      <c r="P8177">
        <f t="shared" si="764"/>
        <v>4000</v>
      </c>
      <c r="Q8177">
        <f t="shared" si="768"/>
        <v>4000</v>
      </c>
      <c r="T8177" s="16">
        <f t="shared" si="769"/>
        <v>-0.93726096881157694</v>
      </c>
    </row>
    <row r="8178" spans="7:20" ht="14.4" x14ac:dyDescent="0.25">
      <c r="G8178" s="10">
        <v>998</v>
      </c>
      <c r="H8178" s="9">
        <v>7203</v>
      </c>
      <c r="I8178" s="14">
        <f>DATE(2012,12,31)-1453</f>
        <v>39821</v>
      </c>
      <c r="J8178" s="15" t="s">
        <v>17</v>
      </c>
      <c r="K8178" s="9">
        <v>25</v>
      </c>
      <c r="L8178" s="16" t="s">
        <v>26</v>
      </c>
      <c r="M8178" s="16">
        <f t="shared" si="765"/>
        <v>-3.9483872761697868E-2</v>
      </c>
      <c r="N8178">
        <f t="shared" si="766"/>
        <v>0</v>
      </c>
      <c r="O8178">
        <f t="shared" si="767"/>
        <v>0</v>
      </c>
      <c r="P8178">
        <f t="shared" si="764"/>
        <v>4650</v>
      </c>
      <c r="Q8178">
        <f t="shared" si="768"/>
        <v>4650</v>
      </c>
      <c r="T8178" s="16">
        <f t="shared" si="769"/>
        <v>-3.9483872761698249E-2</v>
      </c>
    </row>
    <row r="8179" spans="7:20" ht="14.4" x14ac:dyDescent="0.25">
      <c r="G8179" s="10">
        <v>1035</v>
      </c>
      <c r="H8179" s="9">
        <v>7553</v>
      </c>
      <c r="I8179" s="14">
        <f>DATE(2012,12,31)-969</f>
        <v>40305</v>
      </c>
      <c r="J8179" s="15" t="s">
        <v>16</v>
      </c>
      <c r="K8179" s="9">
        <v>12</v>
      </c>
      <c r="L8179" s="16" t="s">
        <v>29</v>
      </c>
      <c r="M8179" s="16">
        <f t="shared" si="765"/>
        <v>-0.9372609688115765</v>
      </c>
      <c r="N8179">
        <f t="shared" si="766"/>
        <v>0</v>
      </c>
      <c r="O8179">
        <f t="shared" si="767"/>
        <v>0</v>
      </c>
      <c r="P8179">
        <f t="shared" si="764"/>
        <v>4000</v>
      </c>
      <c r="Q8179">
        <f t="shared" si="768"/>
        <v>4000</v>
      </c>
      <c r="T8179" s="16">
        <f t="shared" si="769"/>
        <v>-0.93726096881157694</v>
      </c>
    </row>
    <row r="8180" spans="7:20" ht="14.4" x14ac:dyDescent="0.25">
      <c r="G8180" s="10">
        <v>1036</v>
      </c>
      <c r="H8180" s="9">
        <v>7553</v>
      </c>
      <c r="I8180" s="14">
        <f>DATE(2012,12,31)-969</f>
        <v>40305</v>
      </c>
      <c r="J8180" s="15" t="s">
        <v>16</v>
      </c>
      <c r="K8180" s="9">
        <v>3</v>
      </c>
      <c r="L8180" s="16" t="s">
        <v>26</v>
      </c>
      <c r="M8180" s="16">
        <f t="shared" si="765"/>
        <v>-1.5587989583845694</v>
      </c>
      <c r="N8180">
        <f t="shared" si="766"/>
        <v>0</v>
      </c>
      <c r="O8180">
        <f t="shared" si="767"/>
        <v>0</v>
      </c>
      <c r="P8180">
        <f t="shared" si="764"/>
        <v>3550</v>
      </c>
      <c r="Q8180">
        <f t="shared" si="768"/>
        <v>3550</v>
      </c>
      <c r="T8180" s="16">
        <f t="shared" si="769"/>
        <v>-1.5587989583845698</v>
      </c>
    </row>
    <row r="8181" spans="7:20" ht="14.4" x14ac:dyDescent="0.25">
      <c r="G8181" s="10">
        <v>1046</v>
      </c>
      <c r="H8181" s="9">
        <v>7680</v>
      </c>
      <c r="I8181" s="14">
        <f>DATE(2012,12,31)-633</f>
        <v>40641</v>
      </c>
      <c r="J8181" s="15" t="s">
        <v>28</v>
      </c>
      <c r="K8181" s="9">
        <v>32</v>
      </c>
      <c r="L8181" s="16" t="s">
        <v>26</v>
      </c>
      <c r="M8181" s="16">
        <f t="shared" si="765"/>
        <v>0.44393456357285216</v>
      </c>
      <c r="N8181">
        <f t="shared" si="766"/>
        <v>0</v>
      </c>
      <c r="O8181">
        <f t="shared" si="767"/>
        <v>0</v>
      </c>
      <c r="P8181">
        <f t="shared" si="764"/>
        <v>5000</v>
      </c>
      <c r="Q8181">
        <f t="shared" si="768"/>
        <v>5000</v>
      </c>
      <c r="T8181" s="16">
        <f t="shared" si="769"/>
        <v>0.44393456357285183</v>
      </c>
    </row>
    <row r="8182" spans="7:20" ht="14.4" x14ac:dyDescent="0.25">
      <c r="G8182" s="10">
        <v>1047</v>
      </c>
      <c r="H8182" s="9">
        <v>7719</v>
      </c>
      <c r="I8182" s="14">
        <f>DATE(2012,12,31)-1381</f>
        <v>39893</v>
      </c>
      <c r="J8182" s="15" t="s">
        <v>25</v>
      </c>
      <c r="K8182" s="9">
        <v>37</v>
      </c>
      <c r="L8182" s="16" t="s">
        <v>26</v>
      </c>
      <c r="M8182" s="16">
        <f t="shared" si="765"/>
        <v>0.78923344666895934</v>
      </c>
      <c r="N8182">
        <f t="shared" si="766"/>
        <v>0</v>
      </c>
      <c r="O8182">
        <f t="shared" si="767"/>
        <v>0</v>
      </c>
      <c r="P8182">
        <f t="shared" si="764"/>
        <v>5250</v>
      </c>
      <c r="Q8182">
        <f t="shared" si="768"/>
        <v>5250</v>
      </c>
      <c r="T8182" s="16">
        <f t="shared" si="769"/>
        <v>0.789233446668959</v>
      </c>
    </row>
    <row r="8183" spans="7:20" ht="14.4" x14ac:dyDescent="0.25">
      <c r="G8183" s="10">
        <v>1116</v>
      </c>
      <c r="H8183" s="9">
        <v>8167</v>
      </c>
      <c r="I8183" s="14">
        <f>DATE(2012,12,31)-149</f>
        <v>41125</v>
      </c>
      <c r="J8183" s="15" t="s">
        <v>30</v>
      </c>
      <c r="K8183" s="9">
        <v>4</v>
      </c>
      <c r="L8183" s="16" t="s">
        <v>26</v>
      </c>
      <c r="M8183" s="16">
        <f t="shared" si="765"/>
        <v>-1.489739181765348</v>
      </c>
      <c r="N8183">
        <f t="shared" si="766"/>
        <v>0</v>
      </c>
      <c r="O8183">
        <f t="shared" si="767"/>
        <v>0</v>
      </c>
      <c r="P8183">
        <f t="shared" si="764"/>
        <v>3600</v>
      </c>
      <c r="Q8183">
        <f t="shared" si="768"/>
        <v>3600</v>
      </c>
      <c r="T8183" s="16">
        <f t="shared" si="769"/>
        <v>-1.4897391817653485</v>
      </c>
    </row>
    <row r="8184" spans="7:20" ht="14.4" x14ac:dyDescent="0.25">
      <c r="G8184" s="10">
        <v>1117</v>
      </c>
      <c r="H8184" s="9">
        <v>8167</v>
      </c>
      <c r="I8184" s="14">
        <f>DATE(2012,12,31)-149</f>
        <v>41125</v>
      </c>
      <c r="J8184" s="15" t="s">
        <v>30</v>
      </c>
      <c r="K8184" s="9">
        <v>48</v>
      </c>
      <c r="L8184" s="16" t="s">
        <v>27</v>
      </c>
      <c r="M8184" s="16">
        <f t="shared" si="765"/>
        <v>1.5488909894803951</v>
      </c>
      <c r="N8184">
        <f t="shared" si="766"/>
        <v>0</v>
      </c>
      <c r="O8184">
        <f t="shared" si="767"/>
        <v>0</v>
      </c>
      <c r="P8184">
        <f t="shared" si="764"/>
        <v>5800</v>
      </c>
      <c r="Q8184">
        <f t="shared" si="768"/>
        <v>5800</v>
      </c>
      <c r="T8184" s="16">
        <f t="shared" si="769"/>
        <v>1.5488909894803948</v>
      </c>
    </row>
    <row r="8185" spans="7:20" ht="14.4" x14ac:dyDescent="0.25">
      <c r="G8185" s="10">
        <v>1146</v>
      </c>
      <c r="H8185" s="9">
        <v>8353</v>
      </c>
      <c r="I8185" s="14">
        <f>DATE(2012,12,31)-1326</f>
        <v>39948</v>
      </c>
      <c r="J8185" s="15" t="s">
        <v>16</v>
      </c>
      <c r="K8185" s="9">
        <v>34</v>
      </c>
      <c r="L8185" s="16" t="s">
        <v>27</v>
      </c>
      <c r="M8185" s="16">
        <f t="shared" si="765"/>
        <v>0.58205411681129504</v>
      </c>
      <c r="N8185">
        <f t="shared" si="766"/>
        <v>0</v>
      </c>
      <c r="O8185">
        <f t="shared" si="767"/>
        <v>0</v>
      </c>
      <c r="P8185">
        <f t="shared" si="764"/>
        <v>5100</v>
      </c>
      <c r="Q8185">
        <f t="shared" si="768"/>
        <v>5100</v>
      </c>
      <c r="T8185" s="16">
        <f t="shared" si="769"/>
        <v>0.58205411681129471</v>
      </c>
    </row>
    <row r="8186" spans="7:20" ht="14.4" x14ac:dyDescent="0.25">
      <c r="G8186" s="10">
        <v>1147</v>
      </c>
      <c r="H8186" s="9">
        <v>8353</v>
      </c>
      <c r="I8186" s="14">
        <f>DATE(2012,12,31)-1326</f>
        <v>39948</v>
      </c>
      <c r="J8186" s="15" t="s">
        <v>16</v>
      </c>
      <c r="K8186" s="9">
        <v>16</v>
      </c>
      <c r="L8186" s="16" t="s">
        <v>26</v>
      </c>
      <c r="M8186" s="16">
        <f t="shared" si="765"/>
        <v>-0.66102186233469074</v>
      </c>
      <c r="N8186">
        <f t="shared" si="766"/>
        <v>0</v>
      </c>
      <c r="O8186">
        <f t="shared" si="767"/>
        <v>0</v>
      </c>
      <c r="P8186">
        <f t="shared" si="764"/>
        <v>4200</v>
      </c>
      <c r="Q8186">
        <f t="shared" si="768"/>
        <v>4200</v>
      </c>
      <c r="T8186" s="16">
        <f t="shared" si="769"/>
        <v>-0.66102186233469118</v>
      </c>
    </row>
    <row r="8187" spans="7:20" ht="14.4" x14ac:dyDescent="0.25">
      <c r="G8187" s="10">
        <v>1178</v>
      </c>
      <c r="H8187" s="9">
        <v>8609</v>
      </c>
      <c r="I8187" s="14">
        <f>DATE(2012,12,31)-261</f>
        <v>41013</v>
      </c>
      <c r="J8187" s="15" t="s">
        <v>30</v>
      </c>
      <c r="K8187" s="9">
        <v>4</v>
      </c>
      <c r="L8187" s="16" t="s">
        <v>27</v>
      </c>
      <c r="M8187" s="16">
        <f t="shared" si="765"/>
        <v>-1.489739181765348</v>
      </c>
      <c r="N8187">
        <f t="shared" si="766"/>
        <v>0</v>
      </c>
      <c r="O8187">
        <f t="shared" si="767"/>
        <v>0</v>
      </c>
      <c r="P8187">
        <f t="shared" si="764"/>
        <v>3600</v>
      </c>
      <c r="Q8187">
        <f t="shared" si="768"/>
        <v>3600</v>
      </c>
      <c r="T8187" s="16">
        <f t="shared" si="769"/>
        <v>-1.4897391817653485</v>
      </c>
    </row>
    <row r="8188" spans="7:20" ht="14.4" x14ac:dyDescent="0.25">
      <c r="G8188" s="10">
        <v>1232</v>
      </c>
      <c r="H8188" s="9">
        <v>8997</v>
      </c>
      <c r="I8188" s="14">
        <f>DATE(2012,12,31)-1279</f>
        <v>39995</v>
      </c>
      <c r="J8188" s="15" t="s">
        <v>25</v>
      </c>
      <c r="K8188" s="9">
        <v>40</v>
      </c>
      <c r="L8188" s="16" t="s">
        <v>27</v>
      </c>
      <c r="M8188" s="16">
        <f t="shared" si="765"/>
        <v>0.99641277652662363</v>
      </c>
      <c r="N8188">
        <f t="shared" si="766"/>
        <v>0</v>
      </c>
      <c r="O8188">
        <f t="shared" si="767"/>
        <v>0</v>
      </c>
      <c r="P8188">
        <f t="shared" si="764"/>
        <v>5400</v>
      </c>
      <c r="Q8188">
        <f t="shared" si="768"/>
        <v>5400</v>
      </c>
      <c r="T8188" s="16">
        <f t="shared" si="769"/>
        <v>0.9964127765266233</v>
      </c>
    </row>
    <row r="8189" spans="7:20" ht="14.4" x14ac:dyDescent="0.25">
      <c r="G8189" s="10">
        <v>1233</v>
      </c>
      <c r="H8189" s="9">
        <v>8997</v>
      </c>
      <c r="I8189" s="14">
        <f>DATE(2012,12,31)-1279</f>
        <v>39995</v>
      </c>
      <c r="J8189" s="15" t="s">
        <v>25</v>
      </c>
      <c r="K8189" s="9">
        <v>20</v>
      </c>
      <c r="L8189" s="16" t="s">
        <v>26</v>
      </c>
      <c r="M8189" s="16">
        <f t="shared" si="765"/>
        <v>-0.38478275585780503</v>
      </c>
      <c r="N8189">
        <f t="shared" si="766"/>
        <v>0</v>
      </c>
      <c r="O8189">
        <f t="shared" si="767"/>
        <v>0</v>
      </c>
      <c r="P8189">
        <f t="shared" si="764"/>
        <v>4400</v>
      </c>
      <c r="Q8189">
        <f t="shared" si="768"/>
        <v>4400</v>
      </c>
      <c r="T8189" s="16">
        <f t="shared" si="769"/>
        <v>-0.38478275585780541</v>
      </c>
    </row>
    <row r="8190" spans="7:20" ht="14.4" x14ac:dyDescent="0.25">
      <c r="G8190" s="10">
        <v>1248</v>
      </c>
      <c r="H8190" s="9">
        <v>9089</v>
      </c>
      <c r="I8190" s="14">
        <f>DATE(2012,12,31)-953</f>
        <v>40321</v>
      </c>
      <c r="J8190" s="15" t="s">
        <v>30</v>
      </c>
      <c r="K8190" s="9">
        <v>8</v>
      </c>
      <c r="L8190" s="16" t="s">
        <v>27</v>
      </c>
      <c r="M8190" s="16">
        <f t="shared" si="765"/>
        <v>-1.2135000752884624</v>
      </c>
      <c r="N8190">
        <f t="shared" si="766"/>
        <v>0</v>
      </c>
      <c r="O8190">
        <f t="shared" si="767"/>
        <v>0</v>
      </c>
      <c r="P8190">
        <f t="shared" si="764"/>
        <v>3800</v>
      </c>
      <c r="Q8190">
        <f t="shared" si="768"/>
        <v>3800</v>
      </c>
      <c r="T8190" s="16">
        <f t="shared" si="769"/>
        <v>-1.2135000752884626</v>
      </c>
    </row>
    <row r="8191" spans="7:20" ht="14.4" x14ac:dyDescent="0.25">
      <c r="G8191" s="10">
        <v>1267</v>
      </c>
      <c r="H8191" s="9">
        <v>9221</v>
      </c>
      <c r="I8191" s="14">
        <f>DATE(2012,12,31)-728</f>
        <v>40546</v>
      </c>
      <c r="J8191" s="15" t="s">
        <v>25</v>
      </c>
      <c r="K8191" s="9">
        <v>9</v>
      </c>
      <c r="L8191" s="16" t="s">
        <v>26</v>
      </c>
      <c r="M8191" s="16">
        <f t="shared" si="765"/>
        <v>-1.1444402986692408</v>
      </c>
      <c r="N8191">
        <f t="shared" si="766"/>
        <v>0</v>
      </c>
      <c r="O8191">
        <f t="shared" si="767"/>
        <v>0</v>
      </c>
      <c r="P8191">
        <f t="shared" si="764"/>
        <v>3850</v>
      </c>
      <c r="Q8191">
        <f t="shared" si="768"/>
        <v>3850</v>
      </c>
      <c r="T8191" s="16">
        <f t="shared" si="769"/>
        <v>-1.1444402986692412</v>
      </c>
    </row>
    <row r="8192" spans="7:20" ht="14.4" x14ac:dyDescent="0.25">
      <c r="G8192" s="10">
        <v>1268</v>
      </c>
      <c r="H8192" s="9">
        <v>9221</v>
      </c>
      <c r="I8192" s="14">
        <f>DATE(2012,12,31)-728</f>
        <v>40546</v>
      </c>
      <c r="J8192" s="15" t="s">
        <v>25</v>
      </c>
      <c r="K8192" s="9">
        <v>25</v>
      </c>
      <c r="L8192" s="16" t="s">
        <v>26</v>
      </c>
      <c r="M8192" s="16">
        <f t="shared" si="765"/>
        <v>-3.9483872761697868E-2</v>
      </c>
      <c r="N8192">
        <f t="shared" si="766"/>
        <v>0</v>
      </c>
      <c r="O8192">
        <f t="shared" si="767"/>
        <v>0</v>
      </c>
      <c r="P8192">
        <f t="shared" si="764"/>
        <v>4650</v>
      </c>
      <c r="Q8192">
        <f t="shared" si="768"/>
        <v>4650</v>
      </c>
      <c r="T8192" s="16">
        <f t="shared" si="769"/>
        <v>-3.9483872761698249E-2</v>
      </c>
    </row>
    <row r="8193" spans="7:20" ht="14.4" x14ac:dyDescent="0.25">
      <c r="G8193" s="10">
        <v>1280</v>
      </c>
      <c r="H8193" s="9">
        <v>9286</v>
      </c>
      <c r="I8193" s="14">
        <f>DATE(2012,12,31)-638</f>
        <v>40636</v>
      </c>
      <c r="J8193" s="15" t="s">
        <v>30</v>
      </c>
      <c r="K8193" s="9">
        <v>26</v>
      </c>
      <c r="L8193" s="16" t="s">
        <v>26</v>
      </c>
      <c r="M8193" s="16">
        <f t="shared" si="765"/>
        <v>2.9575903857523567E-2</v>
      </c>
      <c r="N8193">
        <f t="shared" si="766"/>
        <v>0</v>
      </c>
      <c r="O8193">
        <f t="shared" si="767"/>
        <v>0</v>
      </c>
      <c r="P8193">
        <f t="shared" si="764"/>
        <v>4700</v>
      </c>
      <c r="Q8193">
        <f t="shared" si="768"/>
        <v>4700</v>
      </c>
      <c r="T8193" s="16">
        <f t="shared" si="769"/>
        <v>2.9575903857523185E-2</v>
      </c>
    </row>
    <row r="8194" spans="7:20" ht="14.4" x14ac:dyDescent="0.25">
      <c r="G8194" s="10">
        <v>1293</v>
      </c>
      <c r="H8194" s="9">
        <v>9476</v>
      </c>
      <c r="I8194" s="14">
        <f>DATE(2012,12,31)-1316</f>
        <v>39958</v>
      </c>
      <c r="J8194" s="15" t="s">
        <v>28</v>
      </c>
      <c r="K8194" s="9">
        <v>10</v>
      </c>
      <c r="L8194" s="16" t="s">
        <v>26</v>
      </c>
      <c r="M8194" s="16">
        <f t="shared" si="765"/>
        <v>-1.0753805220500194</v>
      </c>
      <c r="N8194">
        <f t="shared" si="766"/>
        <v>0</v>
      </c>
      <c r="O8194">
        <f t="shared" si="767"/>
        <v>0</v>
      </c>
      <c r="P8194">
        <f t="shared" si="764"/>
        <v>3900</v>
      </c>
      <c r="Q8194">
        <f t="shared" si="768"/>
        <v>3900</v>
      </c>
      <c r="T8194" s="16">
        <f t="shared" si="769"/>
        <v>-1.0753805220500199</v>
      </c>
    </row>
    <row r="8195" spans="7:20" ht="14.4" x14ac:dyDescent="0.25">
      <c r="G8195" s="10">
        <v>1313</v>
      </c>
      <c r="H8195" s="9">
        <v>9632</v>
      </c>
      <c r="I8195" s="14">
        <f>DATE(2012,12,31)-350</f>
        <v>40924</v>
      </c>
      <c r="J8195" s="15" t="s">
        <v>25</v>
      </c>
      <c r="K8195" s="9">
        <v>33</v>
      </c>
      <c r="L8195" s="16" t="s">
        <v>26</v>
      </c>
      <c r="M8195" s="16">
        <f t="shared" si="765"/>
        <v>0.51299434019207357</v>
      </c>
      <c r="N8195">
        <f t="shared" si="766"/>
        <v>0</v>
      </c>
      <c r="O8195">
        <f t="shared" si="767"/>
        <v>0</v>
      </c>
      <c r="P8195">
        <f t="shared" si="764"/>
        <v>5050</v>
      </c>
      <c r="Q8195">
        <f t="shared" si="768"/>
        <v>5050</v>
      </c>
      <c r="T8195" s="16">
        <f t="shared" si="769"/>
        <v>0.51299434019207324</v>
      </c>
    </row>
    <row r="8196" spans="7:20" ht="14.4" x14ac:dyDescent="0.25">
      <c r="G8196" s="10">
        <v>1341</v>
      </c>
      <c r="H8196" s="9">
        <v>9796</v>
      </c>
      <c r="I8196" s="14">
        <f>DATE(2012,12,31)-843</f>
        <v>40431</v>
      </c>
      <c r="J8196" s="15" t="s">
        <v>30</v>
      </c>
      <c r="K8196" s="9">
        <v>29</v>
      </c>
      <c r="L8196" s="16" t="s">
        <v>27</v>
      </c>
      <c r="M8196" s="16">
        <f t="shared" si="765"/>
        <v>0.23675523371518786</v>
      </c>
      <c r="N8196">
        <f t="shared" si="766"/>
        <v>0</v>
      </c>
      <c r="O8196">
        <f t="shared" si="767"/>
        <v>0</v>
      </c>
      <c r="P8196">
        <f t="shared" si="764"/>
        <v>4850</v>
      </c>
      <c r="Q8196">
        <f t="shared" si="768"/>
        <v>4850</v>
      </c>
      <c r="T8196" s="16">
        <f t="shared" si="769"/>
        <v>0.2367552337151875</v>
      </c>
    </row>
    <row r="8197" spans="7:20" ht="14.4" x14ac:dyDescent="0.25">
      <c r="G8197" s="10">
        <v>1377</v>
      </c>
      <c r="H8197" s="9">
        <v>9955</v>
      </c>
      <c r="I8197" s="14">
        <f>DATE(2012,12,31)-484</f>
        <v>40790</v>
      </c>
      <c r="J8197" s="15" t="s">
        <v>30</v>
      </c>
      <c r="K8197" s="9">
        <v>37</v>
      </c>
      <c r="L8197" s="16" t="s">
        <v>27</v>
      </c>
      <c r="M8197" s="16">
        <f t="shared" si="765"/>
        <v>0.78923344666895934</v>
      </c>
      <c r="N8197">
        <f t="shared" si="766"/>
        <v>0</v>
      </c>
      <c r="O8197">
        <f t="shared" si="767"/>
        <v>0</v>
      </c>
      <c r="P8197">
        <f t="shared" si="764"/>
        <v>5250</v>
      </c>
      <c r="Q8197">
        <f t="shared" si="768"/>
        <v>5250</v>
      </c>
      <c r="T8197" s="16">
        <f t="shared" si="769"/>
        <v>0.789233446668959</v>
      </c>
    </row>
    <row r="8198" spans="7:20" ht="14.4" x14ac:dyDescent="0.25">
      <c r="G8198" s="10">
        <v>1379</v>
      </c>
      <c r="H8198" s="9">
        <v>9985</v>
      </c>
      <c r="I8198" s="14">
        <f>DATE(2012,12,31)-877</f>
        <v>40397</v>
      </c>
      <c r="J8198" s="15" t="s">
        <v>25</v>
      </c>
      <c r="K8198" s="9">
        <v>12</v>
      </c>
      <c r="L8198" s="16" t="s">
        <v>26</v>
      </c>
      <c r="M8198" s="16">
        <f t="shared" si="765"/>
        <v>-0.9372609688115765</v>
      </c>
      <c r="N8198">
        <f t="shared" si="766"/>
        <v>0</v>
      </c>
      <c r="O8198">
        <f t="shared" si="767"/>
        <v>0</v>
      </c>
      <c r="P8198">
        <f t="shared" si="764"/>
        <v>4000</v>
      </c>
      <c r="Q8198">
        <f t="shared" si="768"/>
        <v>4000</v>
      </c>
      <c r="T8198" s="16">
        <f t="shared" si="769"/>
        <v>-0.93726096881157694</v>
      </c>
    </row>
    <row r="8199" spans="7:20" ht="14.4" x14ac:dyDescent="0.25">
      <c r="G8199" s="10">
        <v>1405</v>
      </c>
      <c r="H8199" s="9">
        <v>10212</v>
      </c>
      <c r="I8199" s="14">
        <f>DATE(2012,12,31)-953</f>
        <v>40321</v>
      </c>
      <c r="J8199" s="15" t="s">
        <v>25</v>
      </c>
      <c r="K8199" s="9">
        <v>14</v>
      </c>
      <c r="L8199" s="16" t="s">
        <v>29</v>
      </c>
      <c r="M8199" s="16">
        <f t="shared" si="765"/>
        <v>-0.79914141557313367</v>
      </c>
      <c r="N8199">
        <f t="shared" si="766"/>
        <v>0</v>
      </c>
      <c r="O8199">
        <f t="shared" si="767"/>
        <v>0</v>
      </c>
      <c r="P8199">
        <f t="shared" si="764"/>
        <v>4100</v>
      </c>
      <c r="Q8199">
        <f t="shared" si="768"/>
        <v>4100</v>
      </c>
      <c r="T8199" s="16">
        <f t="shared" si="769"/>
        <v>-0.79914141557313401</v>
      </c>
    </row>
    <row r="8200" spans="7:20" ht="14.4" x14ac:dyDescent="0.25">
      <c r="G8200" s="10">
        <v>1406</v>
      </c>
      <c r="H8200" s="9">
        <v>10212</v>
      </c>
      <c r="I8200" s="14">
        <f>DATE(2012,12,31)-953</f>
        <v>40321</v>
      </c>
      <c r="J8200" s="15" t="s">
        <v>25</v>
      </c>
      <c r="K8200" s="9">
        <v>22</v>
      </c>
      <c r="L8200" s="16" t="s">
        <v>26</v>
      </c>
      <c r="M8200" s="16">
        <f t="shared" si="765"/>
        <v>-0.24666320261936217</v>
      </c>
      <c r="N8200">
        <f t="shared" si="766"/>
        <v>0</v>
      </c>
      <c r="O8200">
        <f t="shared" si="767"/>
        <v>0</v>
      </c>
      <c r="P8200">
        <f t="shared" si="764"/>
        <v>4500</v>
      </c>
      <c r="Q8200">
        <f t="shared" si="768"/>
        <v>4500</v>
      </c>
      <c r="T8200" s="16">
        <f t="shared" si="769"/>
        <v>-0.24666320261936256</v>
      </c>
    </row>
    <row r="8201" spans="7:20" ht="14.4" x14ac:dyDescent="0.25">
      <c r="G8201" s="10">
        <v>1446</v>
      </c>
      <c r="H8201" s="9">
        <v>10439</v>
      </c>
      <c r="I8201" s="14">
        <f>DATE(2012,12,31)-278</f>
        <v>40996</v>
      </c>
      <c r="J8201" s="15" t="s">
        <v>28</v>
      </c>
      <c r="K8201" s="9">
        <v>41</v>
      </c>
      <c r="L8201" s="16" t="s">
        <v>26</v>
      </c>
      <c r="M8201" s="16">
        <f t="shared" si="765"/>
        <v>1.0654725531458451</v>
      </c>
      <c r="N8201">
        <f t="shared" si="766"/>
        <v>0</v>
      </c>
      <c r="O8201">
        <f t="shared" si="767"/>
        <v>0</v>
      </c>
      <c r="P8201">
        <f t="shared" si="764"/>
        <v>5450</v>
      </c>
      <c r="Q8201">
        <f t="shared" si="768"/>
        <v>5450</v>
      </c>
      <c r="T8201" s="16">
        <f t="shared" si="769"/>
        <v>1.0654725531458447</v>
      </c>
    </row>
    <row r="8202" spans="7:20" ht="14.4" x14ac:dyDescent="0.25">
      <c r="G8202" s="10">
        <v>1447</v>
      </c>
      <c r="H8202" s="9">
        <v>10439</v>
      </c>
      <c r="I8202" s="14">
        <f>DATE(2012,12,31)-278</f>
        <v>40996</v>
      </c>
      <c r="J8202" s="15" t="s">
        <v>28</v>
      </c>
      <c r="K8202" s="9">
        <v>30</v>
      </c>
      <c r="L8202" s="16" t="s">
        <v>27</v>
      </c>
      <c r="M8202" s="16">
        <f t="shared" si="765"/>
        <v>0.30581501033440933</v>
      </c>
      <c r="N8202">
        <f t="shared" si="766"/>
        <v>0</v>
      </c>
      <c r="O8202">
        <f t="shared" si="767"/>
        <v>0</v>
      </c>
      <c r="P8202">
        <f t="shared" si="764"/>
        <v>4900</v>
      </c>
      <c r="Q8202">
        <f t="shared" si="768"/>
        <v>4900</v>
      </c>
      <c r="T8202" s="16">
        <f t="shared" si="769"/>
        <v>0.30581501033440894</v>
      </c>
    </row>
    <row r="8203" spans="7:20" ht="14.4" x14ac:dyDescent="0.25">
      <c r="G8203" s="10">
        <v>1448</v>
      </c>
      <c r="H8203" s="9">
        <v>10439</v>
      </c>
      <c r="I8203" s="14">
        <f>DATE(2012,12,31)-278</f>
        <v>40996</v>
      </c>
      <c r="J8203" s="15" t="s">
        <v>28</v>
      </c>
      <c r="K8203" s="9">
        <v>27</v>
      </c>
      <c r="L8203" s="16" t="s">
        <v>26</v>
      </c>
      <c r="M8203" s="16">
        <f t="shared" si="765"/>
        <v>9.8635680476745008E-2</v>
      </c>
      <c r="N8203">
        <f t="shared" si="766"/>
        <v>0</v>
      </c>
      <c r="O8203">
        <f t="shared" si="767"/>
        <v>0</v>
      </c>
      <c r="P8203">
        <f t="shared" si="764"/>
        <v>4750</v>
      </c>
      <c r="Q8203">
        <f t="shared" si="768"/>
        <v>4750</v>
      </c>
      <c r="T8203" s="16">
        <f t="shared" si="769"/>
        <v>9.8635680476744619E-2</v>
      </c>
    </row>
    <row r="8204" spans="7:20" ht="14.4" x14ac:dyDescent="0.25">
      <c r="G8204" s="10">
        <v>1449</v>
      </c>
      <c r="H8204" s="9">
        <v>10439</v>
      </c>
      <c r="I8204" s="14">
        <f>DATE(2012,12,31)-278</f>
        <v>40996</v>
      </c>
      <c r="J8204" s="15" t="s">
        <v>28</v>
      </c>
      <c r="K8204" s="9">
        <v>46</v>
      </c>
      <c r="L8204" s="16" t="s">
        <v>29</v>
      </c>
      <c r="M8204" s="16">
        <f t="shared" si="765"/>
        <v>1.4107714362419523</v>
      </c>
      <c r="N8204">
        <f t="shared" si="766"/>
        <v>0</v>
      </c>
      <c r="O8204">
        <f t="shared" si="767"/>
        <v>0</v>
      </c>
      <c r="P8204">
        <f t="shared" ref="P8204:P8267" si="770">50*K8204+$P$10</f>
        <v>5700</v>
      </c>
      <c r="Q8204">
        <f t="shared" si="768"/>
        <v>5700</v>
      </c>
      <c r="T8204" s="16">
        <f t="shared" si="769"/>
        <v>1.4107714362419519</v>
      </c>
    </row>
    <row r="8205" spans="7:20" ht="14.4" x14ac:dyDescent="0.25">
      <c r="G8205" s="10">
        <v>1450</v>
      </c>
      <c r="H8205" s="9">
        <v>10464</v>
      </c>
      <c r="I8205" s="14">
        <f>DATE(2012,12,31)-1239</f>
        <v>40035</v>
      </c>
      <c r="J8205" s="15" t="s">
        <v>30</v>
      </c>
      <c r="K8205" s="9">
        <v>23</v>
      </c>
      <c r="L8205" s="16" t="s">
        <v>26</v>
      </c>
      <c r="M8205" s="16">
        <f t="shared" ref="M8205:M8268" si="771">(K8205-$K$4)/$K$7</f>
        <v>-0.17760342600014073</v>
      </c>
      <c r="N8205">
        <f t="shared" ref="N8205:N8268" si="772">IF(MOD($B$20+G8205,1000)=0,1,0)</f>
        <v>0</v>
      </c>
      <c r="O8205">
        <f t="shared" ref="O8205:O8268" si="773">+ROUND(N8205*(IF(K8205&lt;$K$4,-4.5,10.5)*$P$5),-2)</f>
        <v>0</v>
      </c>
      <c r="P8205">
        <f t="shared" si="770"/>
        <v>4550</v>
      </c>
      <c r="Q8205">
        <f t="shared" ref="Q8205:Q8268" si="774">P8205+O8205</f>
        <v>4550</v>
      </c>
      <c r="T8205" s="16">
        <f t="shared" ref="T8205:T8268" si="775">(Q8205-$P$4)/$P$5</f>
        <v>-0.17760342600014112</v>
      </c>
    </row>
    <row r="8206" spans="7:20" ht="14.4" x14ac:dyDescent="0.25">
      <c r="G8206" s="10">
        <v>1498</v>
      </c>
      <c r="H8206" s="9">
        <v>10820</v>
      </c>
      <c r="I8206" s="14">
        <f>DATE(2012,12,31)-370</f>
        <v>40904</v>
      </c>
      <c r="J8206" s="15" t="s">
        <v>28</v>
      </c>
      <c r="K8206" s="9">
        <v>49</v>
      </c>
      <c r="L8206" s="16" t="s">
        <v>26</v>
      </c>
      <c r="M8206" s="16">
        <f t="shared" si="771"/>
        <v>1.6179507660996166</v>
      </c>
      <c r="N8206">
        <f t="shared" si="772"/>
        <v>0</v>
      </c>
      <c r="O8206">
        <f t="shared" si="773"/>
        <v>0</v>
      </c>
      <c r="P8206">
        <f t="shared" si="770"/>
        <v>5850</v>
      </c>
      <c r="Q8206">
        <f t="shared" si="774"/>
        <v>5850</v>
      </c>
      <c r="T8206" s="16">
        <f t="shared" si="775"/>
        <v>1.6179507660996162</v>
      </c>
    </row>
    <row r="8207" spans="7:20" ht="14.4" x14ac:dyDescent="0.25">
      <c r="G8207" s="10">
        <v>1499</v>
      </c>
      <c r="H8207" s="9">
        <v>10820</v>
      </c>
      <c r="I8207" s="14">
        <f>DATE(2012,12,31)-370</f>
        <v>40904</v>
      </c>
      <c r="J8207" s="15" t="s">
        <v>28</v>
      </c>
      <c r="K8207" s="9">
        <v>33</v>
      </c>
      <c r="L8207" s="16" t="s">
        <v>26</v>
      </c>
      <c r="M8207" s="16">
        <f t="shared" si="771"/>
        <v>0.51299434019207357</v>
      </c>
      <c r="N8207">
        <f t="shared" si="772"/>
        <v>0</v>
      </c>
      <c r="O8207">
        <f t="shared" si="773"/>
        <v>0</v>
      </c>
      <c r="P8207">
        <f t="shared" si="770"/>
        <v>5050</v>
      </c>
      <c r="Q8207">
        <f t="shared" si="774"/>
        <v>5050</v>
      </c>
      <c r="T8207" s="16">
        <f t="shared" si="775"/>
        <v>0.51299434019207324</v>
      </c>
    </row>
    <row r="8208" spans="7:20" ht="14.4" x14ac:dyDescent="0.25">
      <c r="G8208" s="10">
        <v>1529</v>
      </c>
      <c r="H8208" s="9">
        <v>11013</v>
      </c>
      <c r="I8208" s="14">
        <f>DATE(2012,12,31)-1354</f>
        <v>39920</v>
      </c>
      <c r="J8208" s="15" t="s">
        <v>17</v>
      </c>
      <c r="K8208" s="9">
        <v>2</v>
      </c>
      <c r="L8208" s="16" t="s">
        <v>27</v>
      </c>
      <c r="M8208" s="16">
        <f t="shared" si="771"/>
        <v>-1.627858735003791</v>
      </c>
      <c r="N8208">
        <f t="shared" si="772"/>
        <v>0</v>
      </c>
      <c r="O8208">
        <f t="shared" si="773"/>
        <v>0</v>
      </c>
      <c r="P8208">
        <f t="shared" si="770"/>
        <v>3500</v>
      </c>
      <c r="Q8208">
        <f t="shared" si="774"/>
        <v>3500</v>
      </c>
      <c r="T8208" s="16">
        <f t="shared" si="775"/>
        <v>-1.6278587350037912</v>
      </c>
    </row>
    <row r="8209" spans="7:20" ht="14.4" x14ac:dyDescent="0.25">
      <c r="G8209" s="10">
        <v>1546</v>
      </c>
      <c r="H8209" s="9">
        <v>11169</v>
      </c>
      <c r="I8209" s="14">
        <f>DATE(2012,12,31)-955</f>
        <v>40319</v>
      </c>
      <c r="J8209" s="15" t="s">
        <v>16</v>
      </c>
      <c r="K8209" s="9">
        <v>46</v>
      </c>
      <c r="L8209" s="16" t="s">
        <v>26</v>
      </c>
      <c r="M8209" s="16">
        <f t="shared" si="771"/>
        <v>1.4107714362419523</v>
      </c>
      <c r="N8209">
        <f t="shared" si="772"/>
        <v>0</v>
      </c>
      <c r="O8209">
        <f t="shared" si="773"/>
        <v>0</v>
      </c>
      <c r="P8209">
        <f t="shared" si="770"/>
        <v>5700</v>
      </c>
      <c r="Q8209">
        <f t="shared" si="774"/>
        <v>5700</v>
      </c>
      <c r="T8209" s="16">
        <f t="shared" si="775"/>
        <v>1.4107714362419519</v>
      </c>
    </row>
    <row r="8210" spans="7:20" ht="14.4" x14ac:dyDescent="0.25">
      <c r="G8210" s="10">
        <v>1547</v>
      </c>
      <c r="H8210" s="9">
        <v>11169</v>
      </c>
      <c r="I8210" s="14">
        <f>DATE(2012,12,31)-955</f>
        <v>40319</v>
      </c>
      <c r="J8210" s="15" t="s">
        <v>16</v>
      </c>
      <c r="K8210" s="9">
        <v>44</v>
      </c>
      <c r="L8210" s="16" t="s">
        <v>26</v>
      </c>
      <c r="M8210" s="16">
        <f t="shared" si="771"/>
        <v>1.2726518830035094</v>
      </c>
      <c r="N8210">
        <f t="shared" si="772"/>
        <v>0</v>
      </c>
      <c r="O8210">
        <f t="shared" si="773"/>
        <v>0</v>
      </c>
      <c r="P8210">
        <f t="shared" si="770"/>
        <v>5600</v>
      </c>
      <c r="Q8210">
        <f t="shared" si="774"/>
        <v>5600</v>
      </c>
      <c r="T8210" s="16">
        <f t="shared" si="775"/>
        <v>1.272651883003509</v>
      </c>
    </row>
    <row r="8211" spans="7:20" ht="14.4" x14ac:dyDescent="0.25">
      <c r="G8211" s="10">
        <v>1548</v>
      </c>
      <c r="H8211" s="9">
        <v>11169</v>
      </c>
      <c r="I8211" s="14">
        <f>DATE(2012,12,31)-955</f>
        <v>40319</v>
      </c>
      <c r="J8211" s="15" t="s">
        <v>16</v>
      </c>
      <c r="K8211" s="9">
        <v>5</v>
      </c>
      <c r="L8211" s="16" t="s">
        <v>26</v>
      </c>
      <c r="M8211" s="16">
        <f t="shared" si="771"/>
        <v>-1.4206794051461267</v>
      </c>
      <c r="N8211">
        <f t="shared" si="772"/>
        <v>0</v>
      </c>
      <c r="O8211">
        <f t="shared" si="773"/>
        <v>0</v>
      </c>
      <c r="P8211">
        <f t="shared" si="770"/>
        <v>3650</v>
      </c>
      <c r="Q8211">
        <f t="shared" si="774"/>
        <v>3650</v>
      </c>
      <c r="T8211" s="16">
        <f t="shared" si="775"/>
        <v>-1.4206794051461269</v>
      </c>
    </row>
    <row r="8212" spans="7:20" ht="14.4" x14ac:dyDescent="0.25">
      <c r="G8212" s="10">
        <v>1606</v>
      </c>
      <c r="H8212" s="9">
        <v>11651</v>
      </c>
      <c r="I8212" s="14">
        <f>DATE(2012,12,31)-678</f>
        <v>40596</v>
      </c>
      <c r="J8212" s="15" t="s">
        <v>16</v>
      </c>
      <c r="K8212" s="9">
        <v>19</v>
      </c>
      <c r="L8212" s="16" t="s">
        <v>26</v>
      </c>
      <c r="M8212" s="16">
        <f t="shared" si="771"/>
        <v>-0.45384253247702649</v>
      </c>
      <c r="N8212">
        <f t="shared" si="772"/>
        <v>0</v>
      </c>
      <c r="O8212">
        <f t="shared" si="773"/>
        <v>0</v>
      </c>
      <c r="P8212">
        <f t="shared" si="770"/>
        <v>4350</v>
      </c>
      <c r="Q8212">
        <f t="shared" si="774"/>
        <v>4350</v>
      </c>
      <c r="T8212" s="16">
        <f t="shared" si="775"/>
        <v>-0.45384253247702688</v>
      </c>
    </row>
    <row r="8213" spans="7:20" ht="14.4" x14ac:dyDescent="0.25">
      <c r="G8213" s="10">
        <v>1635</v>
      </c>
      <c r="H8213" s="9">
        <v>11840</v>
      </c>
      <c r="I8213" s="14">
        <f>DATE(2012,12,31)-1235</f>
        <v>40039</v>
      </c>
      <c r="J8213" s="15" t="s">
        <v>30</v>
      </c>
      <c r="K8213" s="9">
        <v>43</v>
      </c>
      <c r="L8213" s="16" t="s">
        <v>26</v>
      </c>
      <c r="M8213" s="16">
        <f t="shared" si="771"/>
        <v>1.203592106384288</v>
      </c>
      <c r="N8213">
        <f t="shared" si="772"/>
        <v>0</v>
      </c>
      <c r="O8213">
        <f t="shared" si="773"/>
        <v>0</v>
      </c>
      <c r="P8213">
        <f t="shared" si="770"/>
        <v>5550</v>
      </c>
      <c r="Q8213">
        <f t="shared" si="774"/>
        <v>5550</v>
      </c>
      <c r="T8213" s="16">
        <f t="shared" si="775"/>
        <v>1.2035921063842876</v>
      </c>
    </row>
    <row r="8214" spans="7:20" ht="14.4" x14ac:dyDescent="0.25">
      <c r="G8214" s="10">
        <v>1652</v>
      </c>
      <c r="H8214" s="9">
        <v>11909</v>
      </c>
      <c r="I8214" s="14">
        <f>DATE(2012,12,31)-1133</f>
        <v>40141</v>
      </c>
      <c r="J8214" s="15" t="s">
        <v>28</v>
      </c>
      <c r="K8214" s="9">
        <v>11</v>
      </c>
      <c r="L8214" s="16" t="s">
        <v>27</v>
      </c>
      <c r="M8214" s="16">
        <f t="shared" si="771"/>
        <v>-1.0063207454307979</v>
      </c>
      <c r="N8214">
        <f t="shared" si="772"/>
        <v>0</v>
      </c>
      <c r="O8214">
        <f t="shared" si="773"/>
        <v>0</v>
      </c>
      <c r="P8214">
        <f t="shared" si="770"/>
        <v>3950</v>
      </c>
      <c r="Q8214">
        <f t="shared" si="774"/>
        <v>3950</v>
      </c>
      <c r="T8214" s="16">
        <f t="shared" si="775"/>
        <v>-1.0063207454307983</v>
      </c>
    </row>
    <row r="8215" spans="7:20" ht="14.4" x14ac:dyDescent="0.25">
      <c r="G8215" s="10">
        <v>1653</v>
      </c>
      <c r="H8215" s="9">
        <v>11910</v>
      </c>
      <c r="I8215" s="14">
        <f>DATE(2012,12,31)-565</f>
        <v>40709</v>
      </c>
      <c r="J8215" s="15" t="s">
        <v>17</v>
      </c>
      <c r="K8215" s="9">
        <v>21</v>
      </c>
      <c r="L8215" s="16" t="s">
        <v>26</v>
      </c>
      <c r="M8215" s="16">
        <f t="shared" si="771"/>
        <v>-0.31572297923858361</v>
      </c>
      <c r="N8215">
        <f t="shared" si="772"/>
        <v>0</v>
      </c>
      <c r="O8215">
        <f t="shared" si="773"/>
        <v>0</v>
      </c>
      <c r="P8215">
        <f t="shared" si="770"/>
        <v>4450</v>
      </c>
      <c r="Q8215">
        <f t="shared" si="774"/>
        <v>4450</v>
      </c>
      <c r="T8215" s="16">
        <f t="shared" si="775"/>
        <v>-0.315722979238584</v>
      </c>
    </row>
    <row r="8216" spans="7:20" ht="14.4" x14ac:dyDescent="0.25">
      <c r="G8216" s="10">
        <v>1657</v>
      </c>
      <c r="H8216" s="9">
        <v>11943</v>
      </c>
      <c r="I8216" s="14">
        <f>DATE(2012,12,31)-999</f>
        <v>40275</v>
      </c>
      <c r="J8216" s="15" t="s">
        <v>25</v>
      </c>
      <c r="K8216" s="9">
        <v>49</v>
      </c>
      <c r="L8216" s="16" t="s">
        <v>26</v>
      </c>
      <c r="M8216" s="16">
        <f t="shared" si="771"/>
        <v>1.6179507660996166</v>
      </c>
      <c r="N8216">
        <f t="shared" si="772"/>
        <v>0</v>
      </c>
      <c r="O8216">
        <f t="shared" si="773"/>
        <v>0</v>
      </c>
      <c r="P8216">
        <f t="shared" si="770"/>
        <v>5850</v>
      </c>
      <c r="Q8216">
        <f t="shared" si="774"/>
        <v>5850</v>
      </c>
      <c r="T8216" s="16">
        <f t="shared" si="775"/>
        <v>1.6179507660996162</v>
      </c>
    </row>
    <row r="8217" spans="7:20" ht="14.4" x14ac:dyDescent="0.25">
      <c r="G8217" s="10">
        <v>1658</v>
      </c>
      <c r="H8217" s="9">
        <v>11943</v>
      </c>
      <c r="I8217" s="14">
        <f>DATE(2012,12,31)-999</f>
        <v>40275</v>
      </c>
      <c r="J8217" s="15" t="s">
        <v>25</v>
      </c>
      <c r="K8217" s="9">
        <v>19</v>
      </c>
      <c r="L8217" s="16" t="s">
        <v>29</v>
      </c>
      <c r="M8217" s="16">
        <f t="shared" si="771"/>
        <v>-0.45384253247702649</v>
      </c>
      <c r="N8217">
        <f t="shared" si="772"/>
        <v>0</v>
      </c>
      <c r="O8217">
        <f t="shared" si="773"/>
        <v>0</v>
      </c>
      <c r="P8217">
        <f t="shared" si="770"/>
        <v>4350</v>
      </c>
      <c r="Q8217">
        <f t="shared" si="774"/>
        <v>4350</v>
      </c>
      <c r="T8217" s="16">
        <f t="shared" si="775"/>
        <v>-0.45384253247702688</v>
      </c>
    </row>
    <row r="8218" spans="7:20" ht="14.4" x14ac:dyDescent="0.25">
      <c r="G8218" s="10">
        <v>1722</v>
      </c>
      <c r="H8218" s="9">
        <v>12356</v>
      </c>
      <c r="I8218" s="14">
        <f>DATE(2012,12,31)-74</f>
        <v>41200</v>
      </c>
      <c r="J8218" s="15" t="s">
        <v>30</v>
      </c>
      <c r="K8218" s="9">
        <v>39</v>
      </c>
      <c r="L8218" s="16" t="s">
        <v>26</v>
      </c>
      <c r="M8218" s="16">
        <f t="shared" si="771"/>
        <v>0.92735299990740228</v>
      </c>
      <c r="N8218">
        <f t="shared" si="772"/>
        <v>0</v>
      </c>
      <c r="O8218">
        <f t="shared" si="773"/>
        <v>0</v>
      </c>
      <c r="P8218">
        <f t="shared" si="770"/>
        <v>5350</v>
      </c>
      <c r="Q8218">
        <f t="shared" si="774"/>
        <v>5350</v>
      </c>
      <c r="T8218" s="16">
        <f t="shared" si="775"/>
        <v>0.92735299990740183</v>
      </c>
    </row>
    <row r="8219" spans="7:20" ht="14.4" x14ac:dyDescent="0.25">
      <c r="G8219" s="10">
        <v>1756</v>
      </c>
      <c r="H8219" s="9">
        <v>12581</v>
      </c>
      <c r="I8219" s="14">
        <f>DATE(2012,12,31)-1168</f>
        <v>40106</v>
      </c>
      <c r="J8219" s="15" t="s">
        <v>17</v>
      </c>
      <c r="K8219" s="9">
        <v>31</v>
      </c>
      <c r="L8219" s="16" t="s">
        <v>27</v>
      </c>
      <c r="M8219" s="16">
        <f t="shared" si="771"/>
        <v>0.37487478695363075</v>
      </c>
      <c r="N8219">
        <f t="shared" si="772"/>
        <v>0</v>
      </c>
      <c r="O8219">
        <f t="shared" si="773"/>
        <v>0</v>
      </c>
      <c r="P8219">
        <f t="shared" si="770"/>
        <v>4950</v>
      </c>
      <c r="Q8219">
        <f t="shared" si="774"/>
        <v>4950</v>
      </c>
      <c r="T8219" s="16">
        <f t="shared" si="775"/>
        <v>0.37487478695363036</v>
      </c>
    </row>
    <row r="8220" spans="7:20" ht="14.4" x14ac:dyDescent="0.25">
      <c r="G8220" s="10">
        <v>1818</v>
      </c>
      <c r="H8220" s="9">
        <v>13031</v>
      </c>
      <c r="I8220" s="14">
        <f>DATE(2012,12,31)-27</f>
        <v>41247</v>
      </c>
      <c r="J8220" s="15" t="s">
        <v>25</v>
      </c>
      <c r="K8220" s="9">
        <v>34</v>
      </c>
      <c r="L8220" s="16" t="s">
        <v>26</v>
      </c>
      <c r="M8220" s="16">
        <f t="shared" si="771"/>
        <v>0.58205411681129504</v>
      </c>
      <c r="N8220">
        <f t="shared" si="772"/>
        <v>0</v>
      </c>
      <c r="O8220">
        <f t="shared" si="773"/>
        <v>0</v>
      </c>
      <c r="P8220">
        <f t="shared" si="770"/>
        <v>5100</v>
      </c>
      <c r="Q8220">
        <f t="shared" si="774"/>
        <v>5100</v>
      </c>
      <c r="T8220" s="16">
        <f t="shared" si="775"/>
        <v>0.58205411681129471</v>
      </c>
    </row>
    <row r="8221" spans="7:20" ht="14.4" x14ac:dyDescent="0.25">
      <c r="G8221" s="10">
        <v>1831</v>
      </c>
      <c r="H8221" s="9">
        <v>13126</v>
      </c>
      <c r="I8221" s="14">
        <f>DATE(2012,12,31)-439</f>
        <v>40835</v>
      </c>
      <c r="J8221" s="15" t="s">
        <v>28</v>
      </c>
      <c r="K8221" s="9">
        <v>43</v>
      </c>
      <c r="L8221" s="16" t="s">
        <v>27</v>
      </c>
      <c r="M8221" s="16">
        <f t="shared" si="771"/>
        <v>1.203592106384288</v>
      </c>
      <c r="N8221">
        <f t="shared" si="772"/>
        <v>0</v>
      </c>
      <c r="O8221">
        <f t="shared" si="773"/>
        <v>0</v>
      </c>
      <c r="P8221">
        <f t="shared" si="770"/>
        <v>5550</v>
      </c>
      <c r="Q8221">
        <f t="shared" si="774"/>
        <v>5550</v>
      </c>
      <c r="T8221" s="16">
        <f t="shared" si="775"/>
        <v>1.2035921063842876</v>
      </c>
    </row>
    <row r="8222" spans="7:20" ht="14.4" x14ac:dyDescent="0.25">
      <c r="G8222" s="10">
        <v>1832</v>
      </c>
      <c r="H8222" s="9">
        <v>13126</v>
      </c>
      <c r="I8222" s="14">
        <f>DATE(2012,12,31)-439</f>
        <v>40835</v>
      </c>
      <c r="J8222" s="15" t="s">
        <v>28</v>
      </c>
      <c r="K8222" s="9">
        <v>45</v>
      </c>
      <c r="L8222" s="16" t="s">
        <v>29</v>
      </c>
      <c r="M8222" s="16">
        <f t="shared" si="771"/>
        <v>1.3417116596227308</v>
      </c>
      <c r="N8222">
        <f t="shared" si="772"/>
        <v>0</v>
      </c>
      <c r="O8222">
        <f t="shared" si="773"/>
        <v>0</v>
      </c>
      <c r="P8222">
        <f t="shared" si="770"/>
        <v>5650</v>
      </c>
      <c r="Q8222">
        <f t="shared" si="774"/>
        <v>5650</v>
      </c>
      <c r="T8222" s="16">
        <f t="shared" si="775"/>
        <v>1.3417116596227305</v>
      </c>
    </row>
    <row r="8223" spans="7:20" ht="14.4" x14ac:dyDescent="0.25">
      <c r="G8223" s="10">
        <v>1833</v>
      </c>
      <c r="H8223" s="9">
        <v>13126</v>
      </c>
      <c r="I8223" s="14">
        <f>DATE(2012,12,31)-439</f>
        <v>40835</v>
      </c>
      <c r="J8223" s="15" t="s">
        <v>28</v>
      </c>
      <c r="K8223" s="9">
        <v>2</v>
      </c>
      <c r="L8223" s="16" t="s">
        <v>29</v>
      </c>
      <c r="M8223" s="16">
        <f t="shared" si="771"/>
        <v>-1.627858735003791</v>
      </c>
      <c r="N8223">
        <f t="shared" si="772"/>
        <v>0</v>
      </c>
      <c r="O8223">
        <f t="shared" si="773"/>
        <v>0</v>
      </c>
      <c r="P8223">
        <f t="shared" si="770"/>
        <v>3500</v>
      </c>
      <c r="Q8223">
        <f t="shared" si="774"/>
        <v>3500</v>
      </c>
      <c r="T8223" s="16">
        <f t="shared" si="775"/>
        <v>-1.6278587350037912</v>
      </c>
    </row>
    <row r="8224" spans="7:20" ht="14.4" x14ac:dyDescent="0.25">
      <c r="G8224" s="10">
        <v>1844</v>
      </c>
      <c r="H8224" s="9">
        <v>13282</v>
      </c>
      <c r="I8224" s="14">
        <f>DATE(2012,12,31)-236</f>
        <v>41038</v>
      </c>
      <c r="J8224" s="15" t="s">
        <v>25</v>
      </c>
      <c r="K8224" s="9">
        <v>22</v>
      </c>
      <c r="L8224" s="16" t="s">
        <v>27</v>
      </c>
      <c r="M8224" s="16">
        <f t="shared" si="771"/>
        <v>-0.24666320261936217</v>
      </c>
      <c r="N8224">
        <f t="shared" si="772"/>
        <v>0</v>
      </c>
      <c r="O8224">
        <f t="shared" si="773"/>
        <v>0</v>
      </c>
      <c r="P8224">
        <f t="shared" si="770"/>
        <v>4500</v>
      </c>
      <c r="Q8224">
        <f t="shared" si="774"/>
        <v>4500</v>
      </c>
      <c r="T8224" s="16">
        <f t="shared" si="775"/>
        <v>-0.24666320261936256</v>
      </c>
    </row>
    <row r="8225" spans="7:20" ht="14.4" x14ac:dyDescent="0.25">
      <c r="G8225" s="10">
        <v>1845</v>
      </c>
      <c r="H8225" s="9">
        <v>13282</v>
      </c>
      <c r="I8225" s="14">
        <f>DATE(2012,12,31)-236</f>
        <v>41038</v>
      </c>
      <c r="J8225" s="15" t="s">
        <v>25</v>
      </c>
      <c r="K8225" s="9">
        <v>2</v>
      </c>
      <c r="L8225" s="16" t="s">
        <v>26</v>
      </c>
      <c r="M8225" s="16">
        <f t="shared" si="771"/>
        <v>-1.627858735003791</v>
      </c>
      <c r="N8225">
        <f t="shared" si="772"/>
        <v>0</v>
      </c>
      <c r="O8225">
        <f t="shared" si="773"/>
        <v>0</v>
      </c>
      <c r="P8225">
        <f t="shared" si="770"/>
        <v>3500</v>
      </c>
      <c r="Q8225">
        <f t="shared" si="774"/>
        <v>3500</v>
      </c>
      <c r="T8225" s="16">
        <f t="shared" si="775"/>
        <v>-1.6278587350037912</v>
      </c>
    </row>
    <row r="8226" spans="7:20" ht="14.4" x14ac:dyDescent="0.25">
      <c r="G8226" s="10">
        <v>1933</v>
      </c>
      <c r="H8226" s="9">
        <v>13825</v>
      </c>
      <c r="I8226" s="14">
        <f>DATE(2012,12,31)-1381</f>
        <v>39893</v>
      </c>
      <c r="J8226" s="15" t="s">
        <v>17</v>
      </c>
      <c r="K8226" s="9">
        <v>30</v>
      </c>
      <c r="L8226" s="16" t="s">
        <v>26</v>
      </c>
      <c r="M8226" s="16">
        <f t="shared" si="771"/>
        <v>0.30581501033440933</v>
      </c>
      <c r="N8226">
        <f t="shared" si="772"/>
        <v>0</v>
      </c>
      <c r="O8226">
        <f t="shared" si="773"/>
        <v>0</v>
      </c>
      <c r="P8226">
        <f t="shared" si="770"/>
        <v>4900</v>
      </c>
      <c r="Q8226">
        <f t="shared" si="774"/>
        <v>4900</v>
      </c>
      <c r="T8226" s="16">
        <f t="shared" si="775"/>
        <v>0.30581501033440894</v>
      </c>
    </row>
    <row r="8227" spans="7:20" ht="14.4" x14ac:dyDescent="0.25">
      <c r="G8227" s="10">
        <v>1992</v>
      </c>
      <c r="H8227" s="9">
        <v>14212</v>
      </c>
      <c r="I8227" s="14">
        <f>DATE(2012,12,31)-319</f>
        <v>40955</v>
      </c>
      <c r="J8227" s="15" t="s">
        <v>30</v>
      </c>
      <c r="K8227" s="9">
        <v>4</v>
      </c>
      <c r="L8227" s="16" t="s">
        <v>29</v>
      </c>
      <c r="M8227" s="16">
        <f t="shared" si="771"/>
        <v>-1.489739181765348</v>
      </c>
      <c r="N8227">
        <f t="shared" si="772"/>
        <v>0</v>
      </c>
      <c r="O8227">
        <f t="shared" si="773"/>
        <v>0</v>
      </c>
      <c r="P8227">
        <f t="shared" si="770"/>
        <v>3600</v>
      </c>
      <c r="Q8227">
        <f t="shared" si="774"/>
        <v>3600</v>
      </c>
      <c r="T8227" s="16">
        <f t="shared" si="775"/>
        <v>-1.4897391817653485</v>
      </c>
    </row>
    <row r="8228" spans="7:20" ht="14.4" x14ac:dyDescent="0.25">
      <c r="G8228" s="10">
        <v>1993</v>
      </c>
      <c r="H8228" s="9">
        <v>14212</v>
      </c>
      <c r="I8228" s="14">
        <f>DATE(2012,12,31)-319</f>
        <v>40955</v>
      </c>
      <c r="J8228" s="15" t="s">
        <v>30</v>
      </c>
      <c r="K8228" s="9">
        <v>8</v>
      </c>
      <c r="L8228" s="16" t="s">
        <v>26</v>
      </c>
      <c r="M8228" s="16">
        <f t="shared" si="771"/>
        <v>-1.2135000752884624</v>
      </c>
      <c r="N8228">
        <f t="shared" si="772"/>
        <v>0</v>
      </c>
      <c r="O8228">
        <f t="shared" si="773"/>
        <v>0</v>
      </c>
      <c r="P8228">
        <f t="shared" si="770"/>
        <v>3800</v>
      </c>
      <c r="Q8228">
        <f t="shared" si="774"/>
        <v>3800</v>
      </c>
      <c r="T8228" s="16">
        <f t="shared" si="775"/>
        <v>-1.2135000752884626</v>
      </c>
    </row>
    <row r="8229" spans="7:20" ht="14.4" x14ac:dyDescent="0.25">
      <c r="G8229" s="10">
        <v>2067</v>
      </c>
      <c r="H8229" s="9">
        <v>14789</v>
      </c>
      <c r="I8229" s="14">
        <f>DATE(2012,12,31)-763</f>
        <v>40511</v>
      </c>
      <c r="J8229" s="15" t="s">
        <v>28</v>
      </c>
      <c r="K8229" s="9">
        <v>37</v>
      </c>
      <c r="L8229" s="16" t="s">
        <v>26</v>
      </c>
      <c r="M8229" s="16">
        <f t="shared" si="771"/>
        <v>0.78923344666895934</v>
      </c>
      <c r="N8229">
        <f t="shared" si="772"/>
        <v>0</v>
      </c>
      <c r="O8229">
        <f t="shared" si="773"/>
        <v>0</v>
      </c>
      <c r="P8229">
        <f t="shared" si="770"/>
        <v>5250</v>
      </c>
      <c r="Q8229">
        <f t="shared" si="774"/>
        <v>5250</v>
      </c>
      <c r="T8229" s="16">
        <f t="shared" si="775"/>
        <v>0.789233446668959</v>
      </c>
    </row>
    <row r="8230" spans="7:20" ht="14.4" x14ac:dyDescent="0.25">
      <c r="G8230" s="10">
        <v>2068</v>
      </c>
      <c r="H8230" s="9">
        <v>14789</v>
      </c>
      <c r="I8230" s="14">
        <f>DATE(2012,12,31)-763</f>
        <v>40511</v>
      </c>
      <c r="J8230" s="15" t="s">
        <v>28</v>
      </c>
      <c r="K8230" s="9">
        <v>19</v>
      </c>
      <c r="L8230" s="16" t="s">
        <v>26</v>
      </c>
      <c r="M8230" s="16">
        <f t="shared" si="771"/>
        <v>-0.45384253247702649</v>
      </c>
      <c r="N8230">
        <f t="shared" si="772"/>
        <v>0</v>
      </c>
      <c r="O8230">
        <f t="shared" si="773"/>
        <v>0</v>
      </c>
      <c r="P8230">
        <f t="shared" si="770"/>
        <v>4350</v>
      </c>
      <c r="Q8230">
        <f t="shared" si="774"/>
        <v>4350</v>
      </c>
      <c r="T8230" s="16">
        <f t="shared" si="775"/>
        <v>-0.45384253247702688</v>
      </c>
    </row>
    <row r="8231" spans="7:20" ht="14.4" x14ac:dyDescent="0.25">
      <c r="G8231" s="10">
        <v>2192</v>
      </c>
      <c r="H8231" s="9">
        <v>15782</v>
      </c>
      <c r="I8231" s="14">
        <f>DATE(2012,12,31)-276</f>
        <v>40998</v>
      </c>
      <c r="J8231" s="15" t="s">
        <v>17</v>
      </c>
      <c r="K8231" s="9">
        <v>35</v>
      </c>
      <c r="L8231" s="16" t="s">
        <v>29</v>
      </c>
      <c r="M8231" s="16">
        <f t="shared" si="771"/>
        <v>0.65111389343051651</v>
      </c>
      <c r="N8231">
        <f t="shared" si="772"/>
        <v>0</v>
      </c>
      <c r="O8231">
        <f t="shared" si="773"/>
        <v>0</v>
      </c>
      <c r="P8231">
        <f t="shared" si="770"/>
        <v>5150</v>
      </c>
      <c r="Q8231">
        <f t="shared" si="774"/>
        <v>5150</v>
      </c>
      <c r="T8231" s="16">
        <f t="shared" si="775"/>
        <v>0.65111389343051607</v>
      </c>
    </row>
    <row r="8232" spans="7:20" ht="14.4" x14ac:dyDescent="0.25">
      <c r="G8232" s="10">
        <v>2232</v>
      </c>
      <c r="H8232" s="9">
        <v>16132</v>
      </c>
      <c r="I8232" s="14">
        <f>DATE(2012,12,31)-65</f>
        <v>41209</v>
      </c>
      <c r="J8232" s="15" t="s">
        <v>16</v>
      </c>
      <c r="K8232" s="9">
        <v>26</v>
      </c>
      <c r="L8232" s="16" t="s">
        <v>26</v>
      </c>
      <c r="M8232" s="16">
        <f t="shared" si="771"/>
        <v>2.9575903857523567E-2</v>
      </c>
      <c r="N8232">
        <f t="shared" si="772"/>
        <v>0</v>
      </c>
      <c r="O8232">
        <f t="shared" si="773"/>
        <v>0</v>
      </c>
      <c r="P8232">
        <f t="shared" si="770"/>
        <v>4700</v>
      </c>
      <c r="Q8232">
        <f t="shared" si="774"/>
        <v>4700</v>
      </c>
      <c r="T8232" s="16">
        <f t="shared" si="775"/>
        <v>2.9575903857523185E-2</v>
      </c>
    </row>
    <row r="8233" spans="7:20" ht="14.4" x14ac:dyDescent="0.25">
      <c r="G8233" s="10">
        <v>2377</v>
      </c>
      <c r="H8233" s="9">
        <v>17251</v>
      </c>
      <c r="I8233" s="14">
        <f>DATE(2012,12,31)-1161</f>
        <v>40113</v>
      </c>
      <c r="J8233" s="15" t="s">
        <v>28</v>
      </c>
      <c r="K8233" s="9">
        <v>26</v>
      </c>
      <c r="L8233" s="16" t="s">
        <v>27</v>
      </c>
      <c r="M8233" s="16">
        <f t="shared" si="771"/>
        <v>2.9575903857523567E-2</v>
      </c>
      <c r="N8233">
        <f t="shared" si="772"/>
        <v>0</v>
      </c>
      <c r="O8233">
        <f t="shared" si="773"/>
        <v>0</v>
      </c>
      <c r="P8233">
        <f t="shared" si="770"/>
        <v>4700</v>
      </c>
      <c r="Q8233">
        <f t="shared" si="774"/>
        <v>4700</v>
      </c>
      <c r="T8233" s="16">
        <f t="shared" si="775"/>
        <v>2.9575903857523185E-2</v>
      </c>
    </row>
    <row r="8234" spans="7:20" ht="14.4" x14ac:dyDescent="0.25">
      <c r="G8234" s="10">
        <v>2380</v>
      </c>
      <c r="H8234" s="9">
        <v>17253</v>
      </c>
      <c r="I8234" s="14">
        <f>DATE(2012,12,31)-502</f>
        <v>40772</v>
      </c>
      <c r="J8234" s="15" t="s">
        <v>30</v>
      </c>
      <c r="K8234" s="9">
        <v>13</v>
      </c>
      <c r="L8234" s="16" t="s">
        <v>26</v>
      </c>
      <c r="M8234" s="16">
        <f t="shared" si="771"/>
        <v>-0.86820119219235514</v>
      </c>
      <c r="N8234">
        <f t="shared" si="772"/>
        <v>0</v>
      </c>
      <c r="O8234">
        <f t="shared" si="773"/>
        <v>0</v>
      </c>
      <c r="P8234">
        <f t="shared" si="770"/>
        <v>4050</v>
      </c>
      <c r="Q8234">
        <f t="shared" si="774"/>
        <v>4050</v>
      </c>
      <c r="T8234" s="16">
        <f t="shared" si="775"/>
        <v>-0.86820119219235548</v>
      </c>
    </row>
    <row r="8235" spans="7:20" ht="14.4" x14ac:dyDescent="0.25">
      <c r="G8235" s="10">
        <v>2385</v>
      </c>
      <c r="H8235" s="9">
        <v>17287</v>
      </c>
      <c r="I8235" s="14">
        <f>DATE(2012,12,31)-636</f>
        <v>40638</v>
      </c>
      <c r="J8235" s="15" t="s">
        <v>17</v>
      </c>
      <c r="K8235" s="9">
        <v>38</v>
      </c>
      <c r="L8235" s="16" t="s">
        <v>27</v>
      </c>
      <c r="M8235" s="16">
        <f t="shared" si="771"/>
        <v>0.85829322328818081</v>
      </c>
      <c r="N8235">
        <f t="shared" si="772"/>
        <v>0</v>
      </c>
      <c r="O8235">
        <f t="shared" si="773"/>
        <v>0</v>
      </c>
      <c r="P8235">
        <f t="shared" si="770"/>
        <v>5300</v>
      </c>
      <c r="Q8235">
        <f t="shared" si="774"/>
        <v>5300</v>
      </c>
      <c r="T8235" s="16">
        <f t="shared" si="775"/>
        <v>0.85829322328818036</v>
      </c>
    </row>
    <row r="8236" spans="7:20" ht="14.4" x14ac:dyDescent="0.25">
      <c r="G8236" s="10">
        <v>2386</v>
      </c>
      <c r="H8236" s="9">
        <v>17287</v>
      </c>
      <c r="I8236" s="14">
        <f>DATE(2012,12,31)-636</f>
        <v>40638</v>
      </c>
      <c r="J8236" s="15" t="s">
        <v>17</v>
      </c>
      <c r="K8236" s="9">
        <v>11</v>
      </c>
      <c r="L8236" s="16" t="s">
        <v>26</v>
      </c>
      <c r="M8236" s="16">
        <f t="shared" si="771"/>
        <v>-1.0063207454307979</v>
      </c>
      <c r="N8236">
        <f t="shared" si="772"/>
        <v>0</v>
      </c>
      <c r="O8236">
        <f t="shared" si="773"/>
        <v>0</v>
      </c>
      <c r="P8236">
        <f t="shared" si="770"/>
        <v>3950</v>
      </c>
      <c r="Q8236">
        <f t="shared" si="774"/>
        <v>3950</v>
      </c>
      <c r="T8236" s="16">
        <f t="shared" si="775"/>
        <v>-1.0063207454307983</v>
      </c>
    </row>
    <row r="8237" spans="7:20" ht="14.4" x14ac:dyDescent="0.25">
      <c r="G8237" s="10">
        <v>2387</v>
      </c>
      <c r="H8237" s="9">
        <v>17287</v>
      </c>
      <c r="I8237" s="14">
        <f>DATE(2012,12,31)-636</f>
        <v>40638</v>
      </c>
      <c r="J8237" s="15" t="s">
        <v>17</v>
      </c>
      <c r="K8237" s="9">
        <v>26</v>
      </c>
      <c r="L8237" s="16" t="s">
        <v>27</v>
      </c>
      <c r="M8237" s="16">
        <f t="shared" si="771"/>
        <v>2.9575903857523567E-2</v>
      </c>
      <c r="N8237">
        <f t="shared" si="772"/>
        <v>0</v>
      </c>
      <c r="O8237">
        <f t="shared" si="773"/>
        <v>0</v>
      </c>
      <c r="P8237">
        <f t="shared" si="770"/>
        <v>4700</v>
      </c>
      <c r="Q8237">
        <f t="shared" si="774"/>
        <v>4700</v>
      </c>
      <c r="T8237" s="16">
        <f t="shared" si="775"/>
        <v>2.9575903857523185E-2</v>
      </c>
    </row>
    <row r="8238" spans="7:20" ht="14.4" x14ac:dyDescent="0.25">
      <c r="G8238" s="10">
        <v>2516</v>
      </c>
      <c r="H8238" s="9">
        <v>18279</v>
      </c>
      <c r="I8238" s="14">
        <f>DATE(2012,12,31)-1404</f>
        <v>39870</v>
      </c>
      <c r="J8238" s="15" t="s">
        <v>16</v>
      </c>
      <c r="K8238" s="9">
        <v>22</v>
      </c>
      <c r="L8238" s="16" t="s">
        <v>27</v>
      </c>
      <c r="M8238" s="16">
        <f t="shared" si="771"/>
        <v>-0.24666320261936217</v>
      </c>
      <c r="N8238">
        <f t="shared" si="772"/>
        <v>0</v>
      </c>
      <c r="O8238">
        <f t="shared" si="773"/>
        <v>0</v>
      </c>
      <c r="P8238">
        <f t="shared" si="770"/>
        <v>4500</v>
      </c>
      <c r="Q8238">
        <f t="shared" si="774"/>
        <v>4500</v>
      </c>
      <c r="T8238" s="16">
        <f t="shared" si="775"/>
        <v>-0.24666320261936256</v>
      </c>
    </row>
    <row r="8239" spans="7:20" ht="14.4" x14ac:dyDescent="0.25">
      <c r="G8239" s="10">
        <v>2517</v>
      </c>
      <c r="H8239" s="9">
        <v>18279</v>
      </c>
      <c r="I8239" s="14">
        <f>DATE(2012,12,31)-1404</f>
        <v>39870</v>
      </c>
      <c r="J8239" s="15" t="s">
        <v>16</v>
      </c>
      <c r="K8239" s="9">
        <v>20</v>
      </c>
      <c r="L8239" s="16" t="s">
        <v>27</v>
      </c>
      <c r="M8239" s="16">
        <f t="shared" si="771"/>
        <v>-0.38478275585780503</v>
      </c>
      <c r="N8239">
        <f t="shared" si="772"/>
        <v>0</v>
      </c>
      <c r="O8239">
        <f t="shared" si="773"/>
        <v>0</v>
      </c>
      <c r="P8239">
        <f t="shared" si="770"/>
        <v>4400</v>
      </c>
      <c r="Q8239">
        <f t="shared" si="774"/>
        <v>4400</v>
      </c>
      <c r="T8239" s="16">
        <f t="shared" si="775"/>
        <v>-0.38478275585780541</v>
      </c>
    </row>
    <row r="8240" spans="7:20" ht="14.4" x14ac:dyDescent="0.25">
      <c r="G8240" s="10">
        <v>2559</v>
      </c>
      <c r="H8240" s="9">
        <v>18503</v>
      </c>
      <c r="I8240" s="14">
        <f>DATE(2012,12,31)-606</f>
        <v>40668</v>
      </c>
      <c r="J8240" s="15" t="s">
        <v>28</v>
      </c>
      <c r="K8240" s="9">
        <v>46</v>
      </c>
      <c r="L8240" s="16" t="s">
        <v>27</v>
      </c>
      <c r="M8240" s="16">
        <f t="shared" si="771"/>
        <v>1.4107714362419523</v>
      </c>
      <c r="N8240">
        <f t="shared" si="772"/>
        <v>0</v>
      </c>
      <c r="O8240">
        <f t="shared" si="773"/>
        <v>0</v>
      </c>
      <c r="P8240">
        <f t="shared" si="770"/>
        <v>5700</v>
      </c>
      <c r="Q8240">
        <f t="shared" si="774"/>
        <v>5700</v>
      </c>
      <c r="T8240" s="16">
        <f t="shared" si="775"/>
        <v>1.4107714362419519</v>
      </c>
    </row>
    <row r="8241" spans="7:20" ht="14.4" x14ac:dyDescent="0.25">
      <c r="G8241" s="10">
        <v>2560</v>
      </c>
      <c r="H8241" s="9">
        <v>18503</v>
      </c>
      <c r="I8241" s="14">
        <f>DATE(2012,12,31)-606</f>
        <v>40668</v>
      </c>
      <c r="J8241" s="15" t="s">
        <v>28</v>
      </c>
      <c r="K8241" s="9">
        <v>13</v>
      </c>
      <c r="L8241" s="16" t="s">
        <v>27</v>
      </c>
      <c r="M8241" s="16">
        <f t="shared" si="771"/>
        <v>-0.86820119219235514</v>
      </c>
      <c r="N8241">
        <f t="shared" si="772"/>
        <v>0</v>
      </c>
      <c r="O8241">
        <f t="shared" si="773"/>
        <v>0</v>
      </c>
      <c r="P8241">
        <f t="shared" si="770"/>
        <v>4050</v>
      </c>
      <c r="Q8241">
        <f t="shared" si="774"/>
        <v>4050</v>
      </c>
      <c r="T8241" s="16">
        <f t="shared" si="775"/>
        <v>-0.86820119219235548</v>
      </c>
    </row>
    <row r="8242" spans="7:20" ht="14.4" x14ac:dyDescent="0.25">
      <c r="G8242" s="10">
        <v>2589</v>
      </c>
      <c r="H8242" s="9">
        <v>18689</v>
      </c>
      <c r="I8242" s="14">
        <f>DATE(2012,12,31)-1103</f>
        <v>40171</v>
      </c>
      <c r="J8242" s="15" t="s">
        <v>28</v>
      </c>
      <c r="K8242" s="9">
        <v>38</v>
      </c>
      <c r="L8242" s="16" t="s">
        <v>26</v>
      </c>
      <c r="M8242" s="16">
        <f t="shared" si="771"/>
        <v>0.85829322328818081</v>
      </c>
      <c r="N8242">
        <f t="shared" si="772"/>
        <v>0</v>
      </c>
      <c r="O8242">
        <f t="shared" si="773"/>
        <v>0</v>
      </c>
      <c r="P8242">
        <f t="shared" si="770"/>
        <v>5300</v>
      </c>
      <c r="Q8242">
        <f t="shared" si="774"/>
        <v>5300</v>
      </c>
      <c r="T8242" s="16">
        <f t="shared" si="775"/>
        <v>0.85829322328818036</v>
      </c>
    </row>
    <row r="8243" spans="7:20" ht="14.4" x14ac:dyDescent="0.25">
      <c r="G8243" s="10">
        <v>2590</v>
      </c>
      <c r="H8243" s="9">
        <v>18689</v>
      </c>
      <c r="I8243" s="14">
        <f>DATE(2012,12,31)-1103</f>
        <v>40171</v>
      </c>
      <c r="J8243" s="15" t="s">
        <v>28</v>
      </c>
      <c r="K8243" s="9">
        <v>10</v>
      </c>
      <c r="L8243" s="16" t="s">
        <v>26</v>
      </c>
      <c r="M8243" s="16">
        <f t="shared" si="771"/>
        <v>-1.0753805220500194</v>
      </c>
      <c r="N8243">
        <f t="shared" si="772"/>
        <v>0</v>
      </c>
      <c r="O8243">
        <f t="shared" si="773"/>
        <v>0</v>
      </c>
      <c r="P8243">
        <f t="shared" si="770"/>
        <v>3900</v>
      </c>
      <c r="Q8243">
        <f t="shared" si="774"/>
        <v>3900</v>
      </c>
      <c r="T8243" s="16">
        <f t="shared" si="775"/>
        <v>-1.0753805220500199</v>
      </c>
    </row>
    <row r="8244" spans="7:20" ht="14.4" x14ac:dyDescent="0.25">
      <c r="G8244" s="10">
        <v>2599</v>
      </c>
      <c r="H8244" s="9">
        <v>18758</v>
      </c>
      <c r="I8244" s="14">
        <f>DATE(2012,12,31)-986</f>
        <v>40288</v>
      </c>
      <c r="J8244" s="15" t="s">
        <v>28</v>
      </c>
      <c r="K8244" s="9">
        <v>20</v>
      </c>
      <c r="L8244" s="16" t="s">
        <v>29</v>
      </c>
      <c r="M8244" s="16">
        <f t="shared" si="771"/>
        <v>-0.38478275585780503</v>
      </c>
      <c r="N8244">
        <f t="shared" si="772"/>
        <v>0</v>
      </c>
      <c r="O8244">
        <f t="shared" si="773"/>
        <v>0</v>
      </c>
      <c r="P8244">
        <f t="shared" si="770"/>
        <v>4400</v>
      </c>
      <c r="Q8244">
        <f t="shared" si="774"/>
        <v>4400</v>
      </c>
      <c r="T8244" s="16">
        <f t="shared" si="775"/>
        <v>-0.38478275585780541</v>
      </c>
    </row>
    <row r="8245" spans="7:20" ht="14.4" x14ac:dyDescent="0.25">
      <c r="G8245" s="10">
        <v>2696</v>
      </c>
      <c r="H8245" s="9">
        <v>19521</v>
      </c>
      <c r="I8245" s="14">
        <f>DATE(2012,12,31)-1134</f>
        <v>40140</v>
      </c>
      <c r="J8245" s="15" t="s">
        <v>28</v>
      </c>
      <c r="K8245" s="9">
        <v>9</v>
      </c>
      <c r="L8245" s="16" t="s">
        <v>26</v>
      </c>
      <c r="M8245" s="16">
        <f t="shared" si="771"/>
        <v>-1.1444402986692408</v>
      </c>
      <c r="N8245">
        <f t="shared" si="772"/>
        <v>0</v>
      </c>
      <c r="O8245">
        <f t="shared" si="773"/>
        <v>0</v>
      </c>
      <c r="P8245">
        <f t="shared" si="770"/>
        <v>3850</v>
      </c>
      <c r="Q8245">
        <f t="shared" si="774"/>
        <v>3850</v>
      </c>
      <c r="T8245" s="16">
        <f t="shared" si="775"/>
        <v>-1.1444402986692412</v>
      </c>
    </row>
    <row r="8246" spans="7:20" ht="14.4" x14ac:dyDescent="0.25">
      <c r="G8246" s="10">
        <v>2847</v>
      </c>
      <c r="H8246" s="9">
        <v>20513</v>
      </c>
      <c r="I8246" s="14">
        <f>DATE(2012,12,31)-1273</f>
        <v>40001</v>
      </c>
      <c r="J8246" s="15" t="s">
        <v>17</v>
      </c>
      <c r="K8246" s="9">
        <v>13</v>
      </c>
      <c r="L8246" s="16" t="s">
        <v>26</v>
      </c>
      <c r="M8246" s="16">
        <f t="shared" si="771"/>
        <v>-0.86820119219235514</v>
      </c>
      <c r="N8246">
        <f t="shared" si="772"/>
        <v>0</v>
      </c>
      <c r="O8246">
        <f t="shared" si="773"/>
        <v>0</v>
      </c>
      <c r="P8246">
        <f t="shared" si="770"/>
        <v>4050</v>
      </c>
      <c r="Q8246">
        <f t="shared" si="774"/>
        <v>4050</v>
      </c>
      <c r="T8246" s="16">
        <f t="shared" si="775"/>
        <v>-0.86820119219235548</v>
      </c>
    </row>
    <row r="8247" spans="7:20" ht="14.4" x14ac:dyDescent="0.25">
      <c r="G8247" s="10">
        <v>2934</v>
      </c>
      <c r="H8247" s="9">
        <v>21253</v>
      </c>
      <c r="I8247" s="14">
        <f>DATE(2012,12,31)-258</f>
        <v>41016</v>
      </c>
      <c r="J8247" s="15" t="s">
        <v>16</v>
      </c>
      <c r="K8247" s="9">
        <v>5</v>
      </c>
      <c r="L8247" s="16" t="s">
        <v>26</v>
      </c>
      <c r="M8247" s="16">
        <f t="shared" si="771"/>
        <v>-1.4206794051461267</v>
      </c>
      <c r="N8247">
        <f t="shared" si="772"/>
        <v>0</v>
      </c>
      <c r="O8247">
        <f t="shared" si="773"/>
        <v>0</v>
      </c>
      <c r="P8247">
        <f t="shared" si="770"/>
        <v>3650</v>
      </c>
      <c r="Q8247">
        <f t="shared" si="774"/>
        <v>3650</v>
      </c>
      <c r="T8247" s="16">
        <f t="shared" si="775"/>
        <v>-1.4206794051461269</v>
      </c>
    </row>
    <row r="8248" spans="7:20" ht="14.4" x14ac:dyDescent="0.25">
      <c r="G8248" s="10">
        <v>3023</v>
      </c>
      <c r="H8248" s="9">
        <v>21735</v>
      </c>
      <c r="I8248" s="14">
        <f>DATE(2012,12,31)-1028</f>
        <v>40246</v>
      </c>
      <c r="J8248" s="15" t="s">
        <v>28</v>
      </c>
      <c r="K8248" s="9">
        <v>23</v>
      </c>
      <c r="L8248" s="16" t="s">
        <v>29</v>
      </c>
      <c r="M8248" s="16">
        <f t="shared" si="771"/>
        <v>-0.17760342600014073</v>
      </c>
      <c r="N8248">
        <f t="shared" si="772"/>
        <v>0</v>
      </c>
      <c r="O8248">
        <f t="shared" si="773"/>
        <v>0</v>
      </c>
      <c r="P8248">
        <f t="shared" si="770"/>
        <v>4550</v>
      </c>
      <c r="Q8248">
        <f t="shared" si="774"/>
        <v>4550</v>
      </c>
      <c r="T8248" s="16">
        <f t="shared" si="775"/>
        <v>-0.17760342600014112</v>
      </c>
    </row>
    <row r="8249" spans="7:20" ht="14.4" x14ac:dyDescent="0.25">
      <c r="G8249" s="10">
        <v>3024</v>
      </c>
      <c r="H8249" s="9">
        <v>21735</v>
      </c>
      <c r="I8249" s="14">
        <f>DATE(2012,12,31)-1028</f>
        <v>40246</v>
      </c>
      <c r="J8249" s="15" t="s">
        <v>28</v>
      </c>
      <c r="K8249" s="9">
        <v>14</v>
      </c>
      <c r="L8249" s="16" t="s">
        <v>27</v>
      </c>
      <c r="M8249" s="16">
        <f t="shared" si="771"/>
        <v>-0.79914141557313367</v>
      </c>
      <c r="N8249">
        <f t="shared" si="772"/>
        <v>0</v>
      </c>
      <c r="O8249">
        <f t="shared" si="773"/>
        <v>0</v>
      </c>
      <c r="P8249">
        <f t="shared" si="770"/>
        <v>4100</v>
      </c>
      <c r="Q8249">
        <f t="shared" si="774"/>
        <v>4100</v>
      </c>
      <c r="T8249" s="16">
        <f t="shared" si="775"/>
        <v>-0.79914141557313401</v>
      </c>
    </row>
    <row r="8250" spans="7:20" ht="14.4" x14ac:dyDescent="0.25">
      <c r="G8250" s="10">
        <v>3116</v>
      </c>
      <c r="H8250" s="9">
        <v>22375</v>
      </c>
      <c r="I8250" s="14">
        <f>DATE(2012,12,31)-634</f>
        <v>40640</v>
      </c>
      <c r="J8250" s="15" t="s">
        <v>28</v>
      </c>
      <c r="K8250" s="9">
        <v>43</v>
      </c>
      <c r="L8250" s="16" t="s">
        <v>26</v>
      </c>
      <c r="M8250" s="16">
        <f t="shared" si="771"/>
        <v>1.203592106384288</v>
      </c>
      <c r="N8250">
        <f t="shared" si="772"/>
        <v>0</v>
      </c>
      <c r="O8250">
        <f t="shared" si="773"/>
        <v>0</v>
      </c>
      <c r="P8250">
        <f t="shared" si="770"/>
        <v>5550</v>
      </c>
      <c r="Q8250">
        <f t="shared" si="774"/>
        <v>5550</v>
      </c>
      <c r="T8250" s="16">
        <f t="shared" si="775"/>
        <v>1.2035921063842876</v>
      </c>
    </row>
    <row r="8251" spans="7:20" ht="14.4" x14ac:dyDescent="0.25">
      <c r="G8251" s="10">
        <v>3170</v>
      </c>
      <c r="H8251" s="9">
        <v>22817</v>
      </c>
      <c r="I8251" s="14">
        <f>DATE(2012,12,31)-40</f>
        <v>41234</v>
      </c>
      <c r="J8251" s="15" t="s">
        <v>30</v>
      </c>
      <c r="K8251" s="9">
        <v>27</v>
      </c>
      <c r="L8251" s="16" t="s">
        <v>29</v>
      </c>
      <c r="M8251" s="16">
        <f t="shared" si="771"/>
        <v>9.8635680476745008E-2</v>
      </c>
      <c r="N8251">
        <f t="shared" si="772"/>
        <v>0</v>
      </c>
      <c r="O8251">
        <f t="shared" si="773"/>
        <v>0</v>
      </c>
      <c r="P8251">
        <f t="shared" si="770"/>
        <v>4750</v>
      </c>
      <c r="Q8251">
        <f t="shared" si="774"/>
        <v>4750</v>
      </c>
      <c r="T8251" s="16">
        <f t="shared" si="775"/>
        <v>9.8635680476744619E-2</v>
      </c>
    </row>
    <row r="8252" spans="7:20" ht="14.4" x14ac:dyDescent="0.25">
      <c r="G8252" s="10">
        <v>3333</v>
      </c>
      <c r="H8252" s="9">
        <v>23842</v>
      </c>
      <c r="I8252" s="14">
        <f>DATE(2012,12,31)-836</f>
        <v>40438</v>
      </c>
      <c r="J8252" s="15" t="s">
        <v>25</v>
      </c>
      <c r="K8252" s="9">
        <v>20</v>
      </c>
      <c r="L8252" s="16" t="s">
        <v>26</v>
      </c>
      <c r="M8252" s="16">
        <f t="shared" si="771"/>
        <v>-0.38478275585780503</v>
      </c>
      <c r="N8252">
        <f t="shared" si="772"/>
        <v>0</v>
      </c>
      <c r="O8252">
        <f t="shared" si="773"/>
        <v>0</v>
      </c>
      <c r="P8252">
        <f t="shared" si="770"/>
        <v>4400</v>
      </c>
      <c r="Q8252">
        <f t="shared" si="774"/>
        <v>4400</v>
      </c>
      <c r="T8252" s="16">
        <f t="shared" si="775"/>
        <v>-0.38478275585780541</v>
      </c>
    </row>
    <row r="8253" spans="7:20" ht="14.4" x14ac:dyDescent="0.25">
      <c r="G8253" s="10">
        <v>3342</v>
      </c>
      <c r="H8253" s="9">
        <v>23911</v>
      </c>
      <c r="I8253" s="14">
        <f>DATE(2012,12,31)-213</f>
        <v>41061</v>
      </c>
      <c r="J8253" s="15" t="s">
        <v>30</v>
      </c>
      <c r="K8253" s="9">
        <v>21</v>
      </c>
      <c r="L8253" s="16" t="s">
        <v>29</v>
      </c>
      <c r="M8253" s="16">
        <f t="shared" si="771"/>
        <v>-0.31572297923858361</v>
      </c>
      <c r="N8253">
        <f t="shared" si="772"/>
        <v>0</v>
      </c>
      <c r="O8253">
        <f t="shared" si="773"/>
        <v>0</v>
      </c>
      <c r="P8253">
        <f t="shared" si="770"/>
        <v>4450</v>
      </c>
      <c r="Q8253">
        <f t="shared" si="774"/>
        <v>4450</v>
      </c>
      <c r="T8253" s="16">
        <f t="shared" si="775"/>
        <v>-0.315722979238584</v>
      </c>
    </row>
    <row r="8254" spans="7:20" ht="14.4" x14ac:dyDescent="0.25">
      <c r="G8254" s="10">
        <v>3343</v>
      </c>
      <c r="H8254" s="9">
        <v>23911</v>
      </c>
      <c r="I8254" s="14">
        <f>DATE(2012,12,31)-213</f>
        <v>41061</v>
      </c>
      <c r="J8254" s="15" t="s">
        <v>30</v>
      </c>
      <c r="K8254" s="9">
        <v>19</v>
      </c>
      <c r="L8254" s="16" t="s">
        <v>27</v>
      </c>
      <c r="M8254" s="16">
        <f t="shared" si="771"/>
        <v>-0.45384253247702649</v>
      </c>
      <c r="N8254">
        <f t="shared" si="772"/>
        <v>0</v>
      </c>
      <c r="O8254">
        <f t="shared" si="773"/>
        <v>0</v>
      </c>
      <c r="P8254">
        <f t="shared" si="770"/>
        <v>4350</v>
      </c>
      <c r="Q8254">
        <f t="shared" si="774"/>
        <v>4350</v>
      </c>
      <c r="T8254" s="16">
        <f t="shared" si="775"/>
        <v>-0.45384253247702688</v>
      </c>
    </row>
    <row r="8255" spans="7:20" ht="14.4" x14ac:dyDescent="0.25">
      <c r="G8255" s="10">
        <v>3344</v>
      </c>
      <c r="H8255" s="9">
        <v>23911</v>
      </c>
      <c r="I8255" s="14">
        <f>DATE(2012,12,31)-213</f>
        <v>41061</v>
      </c>
      <c r="J8255" s="15" t="s">
        <v>30</v>
      </c>
      <c r="K8255" s="9">
        <v>3</v>
      </c>
      <c r="L8255" s="16" t="s">
        <v>26</v>
      </c>
      <c r="M8255" s="16">
        <f t="shared" si="771"/>
        <v>-1.5587989583845694</v>
      </c>
      <c r="N8255">
        <f t="shared" si="772"/>
        <v>0</v>
      </c>
      <c r="O8255">
        <f t="shared" si="773"/>
        <v>0</v>
      </c>
      <c r="P8255">
        <f t="shared" si="770"/>
        <v>3550</v>
      </c>
      <c r="Q8255">
        <f t="shared" si="774"/>
        <v>3550</v>
      </c>
      <c r="T8255" s="16">
        <f t="shared" si="775"/>
        <v>-1.5587989583845698</v>
      </c>
    </row>
    <row r="8256" spans="7:20" ht="14.4" x14ac:dyDescent="0.25">
      <c r="G8256" s="10">
        <v>3422</v>
      </c>
      <c r="H8256" s="9">
        <v>24391</v>
      </c>
      <c r="I8256" s="14">
        <f>DATE(2012,12,31)-1396</f>
        <v>39878</v>
      </c>
      <c r="J8256" s="15" t="s">
        <v>25</v>
      </c>
      <c r="K8256" s="9">
        <v>14</v>
      </c>
      <c r="L8256" s="16" t="s">
        <v>29</v>
      </c>
      <c r="M8256" s="16">
        <f t="shared" si="771"/>
        <v>-0.79914141557313367</v>
      </c>
      <c r="N8256">
        <f t="shared" si="772"/>
        <v>0</v>
      </c>
      <c r="O8256">
        <f t="shared" si="773"/>
        <v>0</v>
      </c>
      <c r="P8256">
        <f t="shared" si="770"/>
        <v>4100</v>
      </c>
      <c r="Q8256">
        <f t="shared" si="774"/>
        <v>4100</v>
      </c>
      <c r="T8256" s="16">
        <f t="shared" si="775"/>
        <v>-0.79914141557313401</v>
      </c>
    </row>
    <row r="8257" spans="7:20" ht="14.4" x14ac:dyDescent="0.25">
      <c r="G8257" s="10">
        <v>3485</v>
      </c>
      <c r="H8257" s="9">
        <v>24802</v>
      </c>
      <c r="I8257" s="14">
        <f>DATE(2012,12,31)-1438</f>
        <v>39836</v>
      </c>
      <c r="J8257" s="15" t="s">
        <v>16</v>
      </c>
      <c r="K8257" s="9">
        <v>18</v>
      </c>
      <c r="L8257" s="16" t="s">
        <v>27</v>
      </c>
      <c r="M8257" s="16">
        <f t="shared" si="771"/>
        <v>-0.52290230909624791</v>
      </c>
      <c r="N8257">
        <f t="shared" si="772"/>
        <v>0</v>
      </c>
      <c r="O8257">
        <f t="shared" si="773"/>
        <v>0</v>
      </c>
      <c r="P8257">
        <f t="shared" si="770"/>
        <v>4300</v>
      </c>
      <c r="Q8257">
        <f t="shared" si="774"/>
        <v>4300</v>
      </c>
      <c r="T8257" s="16">
        <f t="shared" si="775"/>
        <v>-0.52290230909624835</v>
      </c>
    </row>
    <row r="8258" spans="7:20" ht="14.4" x14ac:dyDescent="0.25">
      <c r="G8258" s="10">
        <v>3509</v>
      </c>
      <c r="H8258" s="9">
        <v>24996</v>
      </c>
      <c r="I8258" s="14">
        <f>DATE(2012,12,31)-463</f>
        <v>40811</v>
      </c>
      <c r="J8258" s="15" t="s">
        <v>30</v>
      </c>
      <c r="K8258" s="9">
        <v>36</v>
      </c>
      <c r="L8258" s="16" t="s">
        <v>26</v>
      </c>
      <c r="M8258" s="16">
        <f t="shared" si="771"/>
        <v>0.72017367004973787</v>
      </c>
      <c r="N8258">
        <f t="shared" si="772"/>
        <v>0</v>
      </c>
      <c r="O8258">
        <f t="shared" si="773"/>
        <v>0</v>
      </c>
      <c r="P8258">
        <f t="shared" si="770"/>
        <v>5200</v>
      </c>
      <c r="Q8258">
        <f t="shared" si="774"/>
        <v>5200</v>
      </c>
      <c r="T8258" s="16">
        <f t="shared" si="775"/>
        <v>0.72017367004973754</v>
      </c>
    </row>
    <row r="8259" spans="7:20" ht="14.4" x14ac:dyDescent="0.25">
      <c r="G8259" s="10">
        <v>3510</v>
      </c>
      <c r="H8259" s="9">
        <v>24996</v>
      </c>
      <c r="I8259" s="14">
        <f>DATE(2012,12,31)-463</f>
        <v>40811</v>
      </c>
      <c r="J8259" s="15" t="s">
        <v>30</v>
      </c>
      <c r="K8259" s="9">
        <v>2</v>
      </c>
      <c r="L8259" s="16" t="s">
        <v>27</v>
      </c>
      <c r="M8259" s="16">
        <f t="shared" si="771"/>
        <v>-1.627858735003791</v>
      </c>
      <c r="N8259">
        <f t="shared" si="772"/>
        <v>0</v>
      </c>
      <c r="O8259">
        <f t="shared" si="773"/>
        <v>0</v>
      </c>
      <c r="P8259">
        <f t="shared" si="770"/>
        <v>3500</v>
      </c>
      <c r="Q8259">
        <f t="shared" si="774"/>
        <v>3500</v>
      </c>
      <c r="T8259" s="16">
        <f t="shared" si="775"/>
        <v>-1.6278587350037912</v>
      </c>
    </row>
    <row r="8260" spans="7:20" ht="14.4" x14ac:dyDescent="0.25">
      <c r="G8260" s="10">
        <v>3609</v>
      </c>
      <c r="H8260" s="9">
        <v>25824</v>
      </c>
      <c r="I8260" s="14">
        <f>DATE(2012,12,31)-1214</f>
        <v>40060</v>
      </c>
      <c r="J8260" s="15" t="s">
        <v>16</v>
      </c>
      <c r="K8260" s="9">
        <v>5</v>
      </c>
      <c r="L8260" s="16" t="s">
        <v>26</v>
      </c>
      <c r="M8260" s="16">
        <f t="shared" si="771"/>
        <v>-1.4206794051461267</v>
      </c>
      <c r="N8260">
        <f t="shared" si="772"/>
        <v>0</v>
      </c>
      <c r="O8260">
        <f t="shared" si="773"/>
        <v>0</v>
      </c>
      <c r="P8260">
        <f t="shared" si="770"/>
        <v>3650</v>
      </c>
      <c r="Q8260">
        <f t="shared" si="774"/>
        <v>3650</v>
      </c>
      <c r="T8260" s="16">
        <f t="shared" si="775"/>
        <v>-1.4206794051461269</v>
      </c>
    </row>
    <row r="8261" spans="7:20" ht="14.4" x14ac:dyDescent="0.25">
      <c r="G8261" s="10">
        <v>3610</v>
      </c>
      <c r="H8261" s="9">
        <v>25824</v>
      </c>
      <c r="I8261" s="14">
        <f>DATE(2012,12,31)-1214</f>
        <v>40060</v>
      </c>
      <c r="J8261" s="15" t="s">
        <v>16</v>
      </c>
      <c r="K8261" s="9">
        <v>37</v>
      </c>
      <c r="L8261" s="16" t="s">
        <v>26</v>
      </c>
      <c r="M8261" s="16">
        <f t="shared" si="771"/>
        <v>0.78923344666895934</v>
      </c>
      <c r="N8261">
        <f t="shared" si="772"/>
        <v>0</v>
      </c>
      <c r="O8261">
        <f t="shared" si="773"/>
        <v>0</v>
      </c>
      <c r="P8261">
        <f t="shared" si="770"/>
        <v>5250</v>
      </c>
      <c r="Q8261">
        <f t="shared" si="774"/>
        <v>5250</v>
      </c>
      <c r="T8261" s="16">
        <f t="shared" si="775"/>
        <v>0.789233446668959</v>
      </c>
    </row>
    <row r="8262" spans="7:20" ht="14.4" x14ac:dyDescent="0.25">
      <c r="G8262" s="10">
        <v>3611</v>
      </c>
      <c r="H8262" s="9">
        <v>25824</v>
      </c>
      <c r="I8262" s="14">
        <f>DATE(2012,12,31)-1214</f>
        <v>40060</v>
      </c>
      <c r="J8262" s="15" t="s">
        <v>16</v>
      </c>
      <c r="K8262" s="9">
        <v>39</v>
      </c>
      <c r="L8262" s="16" t="s">
        <v>29</v>
      </c>
      <c r="M8262" s="16">
        <f t="shared" si="771"/>
        <v>0.92735299990740228</v>
      </c>
      <c r="N8262">
        <f t="shared" si="772"/>
        <v>0</v>
      </c>
      <c r="O8262">
        <f t="shared" si="773"/>
        <v>0</v>
      </c>
      <c r="P8262">
        <f t="shared" si="770"/>
        <v>5350</v>
      </c>
      <c r="Q8262">
        <f t="shared" si="774"/>
        <v>5350</v>
      </c>
      <c r="T8262" s="16">
        <f t="shared" si="775"/>
        <v>0.92735299990740183</v>
      </c>
    </row>
    <row r="8263" spans="7:20" ht="14.4" x14ac:dyDescent="0.25">
      <c r="G8263" s="10">
        <v>3612</v>
      </c>
      <c r="H8263" s="9">
        <v>25824</v>
      </c>
      <c r="I8263" s="14">
        <f>DATE(2012,12,31)-1214</f>
        <v>40060</v>
      </c>
      <c r="J8263" s="15" t="s">
        <v>16</v>
      </c>
      <c r="K8263" s="9">
        <v>6</v>
      </c>
      <c r="L8263" s="16" t="s">
        <v>27</v>
      </c>
      <c r="M8263" s="16">
        <f t="shared" si="771"/>
        <v>-1.3516196285269051</v>
      </c>
      <c r="N8263">
        <f t="shared" si="772"/>
        <v>0</v>
      </c>
      <c r="O8263">
        <f t="shared" si="773"/>
        <v>0</v>
      </c>
      <c r="P8263">
        <f t="shared" si="770"/>
        <v>3700</v>
      </c>
      <c r="Q8263">
        <f t="shared" si="774"/>
        <v>3700</v>
      </c>
      <c r="T8263" s="16">
        <f t="shared" si="775"/>
        <v>-1.3516196285269055</v>
      </c>
    </row>
    <row r="8264" spans="7:20" ht="14.4" x14ac:dyDescent="0.25">
      <c r="G8264" s="10">
        <v>3677</v>
      </c>
      <c r="H8264" s="9">
        <v>26309</v>
      </c>
      <c r="I8264" s="14">
        <f>DATE(2012,12,31)-316</f>
        <v>40958</v>
      </c>
      <c r="J8264" s="15" t="s">
        <v>25</v>
      </c>
      <c r="K8264" s="9">
        <v>42</v>
      </c>
      <c r="L8264" s="16" t="s">
        <v>26</v>
      </c>
      <c r="M8264" s="16">
        <f t="shared" si="771"/>
        <v>1.1345323297650665</v>
      </c>
      <c r="N8264">
        <f t="shared" si="772"/>
        <v>0</v>
      </c>
      <c r="O8264">
        <f t="shared" si="773"/>
        <v>0</v>
      </c>
      <c r="P8264">
        <f t="shared" si="770"/>
        <v>5500</v>
      </c>
      <c r="Q8264">
        <f t="shared" si="774"/>
        <v>5500</v>
      </c>
      <c r="T8264" s="16">
        <f t="shared" si="775"/>
        <v>1.1345323297650662</v>
      </c>
    </row>
    <row r="8265" spans="7:20" ht="14.4" x14ac:dyDescent="0.25">
      <c r="G8265" s="10">
        <v>3738</v>
      </c>
      <c r="H8265" s="9">
        <v>26723</v>
      </c>
      <c r="I8265" s="14">
        <f>DATE(2012,12,31)-669</f>
        <v>40605</v>
      </c>
      <c r="J8265" s="15" t="s">
        <v>25</v>
      </c>
      <c r="K8265" s="9">
        <v>8</v>
      </c>
      <c r="L8265" s="16" t="s">
        <v>27</v>
      </c>
      <c r="M8265" s="16">
        <f t="shared" si="771"/>
        <v>-1.2135000752884624</v>
      </c>
      <c r="N8265">
        <f t="shared" si="772"/>
        <v>0</v>
      </c>
      <c r="O8265">
        <f t="shared" si="773"/>
        <v>0</v>
      </c>
      <c r="P8265">
        <f t="shared" si="770"/>
        <v>3800</v>
      </c>
      <c r="Q8265">
        <f t="shared" si="774"/>
        <v>3800</v>
      </c>
      <c r="T8265" s="16">
        <f t="shared" si="775"/>
        <v>-1.2135000752884626</v>
      </c>
    </row>
    <row r="8266" spans="7:20" ht="14.4" x14ac:dyDescent="0.25">
      <c r="G8266" s="10">
        <v>3852</v>
      </c>
      <c r="H8266" s="9">
        <v>27463</v>
      </c>
      <c r="I8266" s="14">
        <f>DATE(2012,12,31)-1144</f>
        <v>40130</v>
      </c>
      <c r="J8266" s="15" t="s">
        <v>16</v>
      </c>
      <c r="K8266" s="9">
        <v>31</v>
      </c>
      <c r="L8266" s="16" t="s">
        <v>29</v>
      </c>
      <c r="M8266" s="16">
        <f t="shared" si="771"/>
        <v>0.37487478695363075</v>
      </c>
      <c r="N8266">
        <f t="shared" si="772"/>
        <v>0</v>
      </c>
      <c r="O8266">
        <f t="shared" si="773"/>
        <v>0</v>
      </c>
      <c r="P8266">
        <f t="shared" si="770"/>
        <v>4950</v>
      </c>
      <c r="Q8266">
        <f t="shared" si="774"/>
        <v>4950</v>
      </c>
      <c r="T8266" s="16">
        <f t="shared" si="775"/>
        <v>0.37487478695363036</v>
      </c>
    </row>
    <row r="8267" spans="7:20" ht="14.4" x14ac:dyDescent="0.25">
      <c r="G8267" s="10">
        <v>3853</v>
      </c>
      <c r="H8267" s="9">
        <v>27463</v>
      </c>
      <c r="I8267" s="14">
        <f>DATE(2012,12,31)-1144</f>
        <v>40130</v>
      </c>
      <c r="J8267" s="15" t="s">
        <v>16</v>
      </c>
      <c r="K8267" s="9">
        <v>10</v>
      </c>
      <c r="L8267" s="16" t="s">
        <v>26</v>
      </c>
      <c r="M8267" s="16">
        <f t="shared" si="771"/>
        <v>-1.0753805220500194</v>
      </c>
      <c r="N8267">
        <f t="shared" si="772"/>
        <v>0</v>
      </c>
      <c r="O8267">
        <f t="shared" si="773"/>
        <v>0</v>
      </c>
      <c r="P8267">
        <f t="shared" si="770"/>
        <v>3900</v>
      </c>
      <c r="Q8267">
        <f t="shared" si="774"/>
        <v>3900</v>
      </c>
      <c r="T8267" s="16">
        <f t="shared" si="775"/>
        <v>-1.0753805220500199</v>
      </c>
    </row>
    <row r="8268" spans="7:20" ht="14.4" x14ac:dyDescent="0.25">
      <c r="G8268" s="10">
        <v>3941</v>
      </c>
      <c r="H8268" s="9">
        <v>28069</v>
      </c>
      <c r="I8268" s="14">
        <f>DATE(2012,12,31)-1320</f>
        <v>39954</v>
      </c>
      <c r="J8268" s="15" t="s">
        <v>25</v>
      </c>
      <c r="K8268" s="9">
        <v>1</v>
      </c>
      <c r="L8268" s="16" t="s">
        <v>26</v>
      </c>
      <c r="M8268" s="16">
        <f t="shared" si="771"/>
        <v>-1.6969185116230123</v>
      </c>
      <c r="N8268">
        <f t="shared" si="772"/>
        <v>0</v>
      </c>
      <c r="O8268">
        <f t="shared" si="773"/>
        <v>0</v>
      </c>
      <c r="P8268">
        <f t="shared" ref="P8268:P8331" si="776">50*K8268+$P$10</f>
        <v>3450</v>
      </c>
      <c r="Q8268">
        <f t="shared" si="774"/>
        <v>3450</v>
      </c>
      <c r="T8268" s="16">
        <f t="shared" si="775"/>
        <v>-1.6969185116230128</v>
      </c>
    </row>
    <row r="8269" spans="7:20" ht="14.4" x14ac:dyDescent="0.25">
      <c r="G8269" s="10">
        <v>3942</v>
      </c>
      <c r="H8269" s="9">
        <v>28069</v>
      </c>
      <c r="I8269" s="14">
        <f>DATE(2012,12,31)-1320</f>
        <v>39954</v>
      </c>
      <c r="J8269" s="15" t="s">
        <v>25</v>
      </c>
      <c r="K8269" s="9">
        <v>4</v>
      </c>
      <c r="L8269" s="16" t="s">
        <v>26</v>
      </c>
      <c r="M8269" s="16">
        <f t="shared" ref="M8269:M8332" si="777">(K8269-$K$4)/$K$7</f>
        <v>-1.489739181765348</v>
      </c>
      <c r="N8269">
        <f t="shared" ref="N8269:N8332" si="778">IF(MOD($B$20+G8269,1000)=0,1,0)</f>
        <v>0</v>
      </c>
      <c r="O8269">
        <f t="shared" ref="O8269:O8332" si="779">+ROUND(N8269*(IF(K8269&lt;$K$4,-4.5,10.5)*$P$5),-2)</f>
        <v>0</v>
      </c>
      <c r="P8269">
        <f t="shared" si="776"/>
        <v>3600</v>
      </c>
      <c r="Q8269">
        <f t="shared" ref="Q8269:Q8332" si="780">P8269+O8269</f>
        <v>3600</v>
      </c>
      <c r="T8269" s="16">
        <f t="shared" ref="T8269:T8332" si="781">(Q8269-$P$4)/$P$5</f>
        <v>-1.4897391817653485</v>
      </c>
    </row>
    <row r="8270" spans="7:20" ht="14.4" x14ac:dyDescent="0.25">
      <c r="G8270" s="10">
        <v>4066</v>
      </c>
      <c r="H8270" s="9">
        <v>28934</v>
      </c>
      <c r="I8270" s="14">
        <f>DATE(2012,12,31)-33</f>
        <v>41241</v>
      </c>
      <c r="J8270" s="15" t="s">
        <v>16</v>
      </c>
      <c r="K8270" s="9">
        <v>12</v>
      </c>
      <c r="L8270" s="16" t="s">
        <v>27</v>
      </c>
      <c r="M8270" s="16">
        <f t="shared" si="777"/>
        <v>-0.9372609688115765</v>
      </c>
      <c r="N8270">
        <f t="shared" si="778"/>
        <v>0</v>
      </c>
      <c r="O8270">
        <f t="shared" si="779"/>
        <v>0</v>
      </c>
      <c r="P8270">
        <f t="shared" si="776"/>
        <v>4000</v>
      </c>
      <c r="Q8270">
        <f t="shared" si="780"/>
        <v>4000</v>
      </c>
      <c r="T8270" s="16">
        <f t="shared" si="781"/>
        <v>-0.93726096881157694</v>
      </c>
    </row>
    <row r="8271" spans="7:20" ht="14.4" x14ac:dyDescent="0.25">
      <c r="G8271" s="10">
        <v>4067</v>
      </c>
      <c r="H8271" s="9">
        <v>28934</v>
      </c>
      <c r="I8271" s="14">
        <f>DATE(2012,12,31)-33</f>
        <v>41241</v>
      </c>
      <c r="J8271" s="15" t="s">
        <v>16</v>
      </c>
      <c r="K8271" s="9">
        <v>26</v>
      </c>
      <c r="L8271" s="16" t="s">
        <v>29</v>
      </c>
      <c r="M8271" s="16">
        <f t="shared" si="777"/>
        <v>2.9575903857523567E-2</v>
      </c>
      <c r="N8271">
        <f t="shared" si="778"/>
        <v>0</v>
      </c>
      <c r="O8271">
        <f t="shared" si="779"/>
        <v>0</v>
      </c>
      <c r="P8271">
        <f t="shared" si="776"/>
        <v>4700</v>
      </c>
      <c r="Q8271">
        <f t="shared" si="780"/>
        <v>4700</v>
      </c>
      <c r="T8271" s="16">
        <f t="shared" si="781"/>
        <v>2.9575903857523185E-2</v>
      </c>
    </row>
    <row r="8272" spans="7:20" ht="14.4" x14ac:dyDescent="0.25">
      <c r="G8272" s="10">
        <v>4068</v>
      </c>
      <c r="H8272" s="9">
        <v>28934</v>
      </c>
      <c r="I8272" s="14">
        <f>DATE(2012,12,31)-33</f>
        <v>41241</v>
      </c>
      <c r="J8272" s="15" t="s">
        <v>16</v>
      </c>
      <c r="K8272" s="9">
        <v>26</v>
      </c>
      <c r="L8272" s="16" t="s">
        <v>27</v>
      </c>
      <c r="M8272" s="16">
        <f t="shared" si="777"/>
        <v>2.9575903857523567E-2</v>
      </c>
      <c r="N8272">
        <f t="shared" si="778"/>
        <v>0</v>
      </c>
      <c r="O8272">
        <f t="shared" si="779"/>
        <v>0</v>
      </c>
      <c r="P8272">
        <f t="shared" si="776"/>
        <v>4700</v>
      </c>
      <c r="Q8272">
        <f t="shared" si="780"/>
        <v>4700</v>
      </c>
      <c r="T8272" s="16">
        <f t="shared" si="781"/>
        <v>2.9575903857523185E-2</v>
      </c>
    </row>
    <row r="8273" spans="7:20" ht="14.4" x14ac:dyDescent="0.25">
      <c r="G8273" s="10">
        <v>4102</v>
      </c>
      <c r="H8273" s="9">
        <v>29218</v>
      </c>
      <c r="I8273" s="14">
        <f>DATE(2012,12,31)-216</f>
        <v>41058</v>
      </c>
      <c r="J8273" s="15" t="s">
        <v>25</v>
      </c>
      <c r="K8273" s="9">
        <v>19</v>
      </c>
      <c r="L8273" s="16" t="s">
        <v>29</v>
      </c>
      <c r="M8273" s="16">
        <f t="shared" si="777"/>
        <v>-0.45384253247702649</v>
      </c>
      <c r="N8273">
        <f t="shared" si="778"/>
        <v>0</v>
      </c>
      <c r="O8273">
        <f t="shared" si="779"/>
        <v>0</v>
      </c>
      <c r="P8273">
        <f t="shared" si="776"/>
        <v>4350</v>
      </c>
      <c r="Q8273">
        <f t="shared" si="780"/>
        <v>4350</v>
      </c>
      <c r="T8273" s="16">
        <f t="shared" si="781"/>
        <v>-0.45384253247702688</v>
      </c>
    </row>
    <row r="8274" spans="7:20" ht="14.4" x14ac:dyDescent="0.25">
      <c r="G8274" s="10">
        <v>4103</v>
      </c>
      <c r="H8274" s="9">
        <v>29218</v>
      </c>
      <c r="I8274" s="14">
        <f>DATE(2012,12,31)-216</f>
        <v>41058</v>
      </c>
      <c r="J8274" s="15" t="s">
        <v>25</v>
      </c>
      <c r="K8274" s="9">
        <v>26</v>
      </c>
      <c r="L8274" s="16" t="s">
        <v>26</v>
      </c>
      <c r="M8274" s="16">
        <f t="shared" si="777"/>
        <v>2.9575903857523567E-2</v>
      </c>
      <c r="N8274">
        <f t="shared" si="778"/>
        <v>0</v>
      </c>
      <c r="O8274">
        <f t="shared" si="779"/>
        <v>0</v>
      </c>
      <c r="P8274">
        <f t="shared" si="776"/>
        <v>4700</v>
      </c>
      <c r="Q8274">
        <f t="shared" si="780"/>
        <v>4700</v>
      </c>
      <c r="T8274" s="16">
        <f t="shared" si="781"/>
        <v>2.9575903857523185E-2</v>
      </c>
    </row>
    <row r="8275" spans="7:20" ht="14.4" x14ac:dyDescent="0.25">
      <c r="G8275" s="10">
        <v>4104</v>
      </c>
      <c r="H8275" s="9">
        <v>29218</v>
      </c>
      <c r="I8275" s="14">
        <f>DATE(2012,12,31)-216</f>
        <v>41058</v>
      </c>
      <c r="J8275" s="15" t="s">
        <v>25</v>
      </c>
      <c r="K8275" s="9">
        <v>13</v>
      </c>
      <c r="L8275" s="16" t="s">
        <v>27</v>
      </c>
      <c r="M8275" s="16">
        <f t="shared" si="777"/>
        <v>-0.86820119219235514</v>
      </c>
      <c r="N8275">
        <f t="shared" si="778"/>
        <v>0</v>
      </c>
      <c r="O8275">
        <f t="shared" si="779"/>
        <v>0</v>
      </c>
      <c r="P8275">
        <f t="shared" si="776"/>
        <v>4050</v>
      </c>
      <c r="Q8275">
        <f t="shared" si="780"/>
        <v>4050</v>
      </c>
      <c r="T8275" s="16">
        <f t="shared" si="781"/>
        <v>-0.86820119219235548</v>
      </c>
    </row>
    <row r="8276" spans="7:20" ht="14.4" x14ac:dyDescent="0.25">
      <c r="G8276" s="10">
        <v>4117</v>
      </c>
      <c r="H8276" s="9">
        <v>29286</v>
      </c>
      <c r="I8276" s="14">
        <f>DATE(2012,12,31)-1252</f>
        <v>40022</v>
      </c>
      <c r="J8276" s="15" t="s">
        <v>30</v>
      </c>
      <c r="K8276" s="9">
        <v>4</v>
      </c>
      <c r="L8276" s="16" t="s">
        <v>27</v>
      </c>
      <c r="M8276" s="16">
        <f t="shared" si="777"/>
        <v>-1.489739181765348</v>
      </c>
      <c r="N8276">
        <f t="shared" si="778"/>
        <v>0</v>
      </c>
      <c r="O8276">
        <f t="shared" si="779"/>
        <v>0</v>
      </c>
      <c r="P8276">
        <f t="shared" si="776"/>
        <v>3600</v>
      </c>
      <c r="Q8276">
        <f t="shared" si="780"/>
        <v>3600</v>
      </c>
      <c r="T8276" s="16">
        <f t="shared" si="781"/>
        <v>-1.4897391817653485</v>
      </c>
    </row>
    <row r="8277" spans="7:20" ht="14.4" x14ac:dyDescent="0.25">
      <c r="G8277" s="10">
        <v>4165</v>
      </c>
      <c r="H8277" s="9">
        <v>29536</v>
      </c>
      <c r="I8277" s="14">
        <f>DATE(2012,12,31)-115</f>
        <v>41159</v>
      </c>
      <c r="J8277" s="15" t="s">
        <v>16</v>
      </c>
      <c r="K8277" s="9">
        <v>5</v>
      </c>
      <c r="L8277" s="16" t="s">
        <v>26</v>
      </c>
      <c r="M8277" s="16">
        <f t="shared" si="777"/>
        <v>-1.4206794051461267</v>
      </c>
      <c r="N8277">
        <f t="shared" si="778"/>
        <v>0</v>
      </c>
      <c r="O8277">
        <f t="shared" si="779"/>
        <v>0</v>
      </c>
      <c r="P8277">
        <f t="shared" si="776"/>
        <v>3650</v>
      </c>
      <c r="Q8277">
        <f t="shared" si="780"/>
        <v>3650</v>
      </c>
      <c r="T8277" s="16">
        <f t="shared" si="781"/>
        <v>-1.4206794051461269</v>
      </c>
    </row>
    <row r="8278" spans="7:20" ht="14.4" x14ac:dyDescent="0.25">
      <c r="G8278" s="10">
        <v>4166</v>
      </c>
      <c r="H8278" s="9">
        <v>29536</v>
      </c>
      <c r="I8278" s="14">
        <f>DATE(2012,12,31)-115</f>
        <v>41159</v>
      </c>
      <c r="J8278" s="15" t="s">
        <v>16</v>
      </c>
      <c r="K8278" s="9">
        <v>11</v>
      </c>
      <c r="L8278" s="16" t="s">
        <v>29</v>
      </c>
      <c r="M8278" s="16">
        <f t="shared" si="777"/>
        <v>-1.0063207454307979</v>
      </c>
      <c r="N8278">
        <f t="shared" si="778"/>
        <v>0</v>
      </c>
      <c r="O8278">
        <f t="shared" si="779"/>
        <v>0</v>
      </c>
      <c r="P8278">
        <f t="shared" si="776"/>
        <v>3950</v>
      </c>
      <c r="Q8278">
        <f t="shared" si="780"/>
        <v>3950</v>
      </c>
      <c r="T8278" s="16">
        <f t="shared" si="781"/>
        <v>-1.0063207454307983</v>
      </c>
    </row>
    <row r="8279" spans="7:20" ht="14.4" x14ac:dyDescent="0.25">
      <c r="G8279" s="10">
        <v>4167</v>
      </c>
      <c r="H8279" s="9">
        <v>29536</v>
      </c>
      <c r="I8279" s="14">
        <f>DATE(2012,12,31)-115</f>
        <v>41159</v>
      </c>
      <c r="J8279" s="15" t="s">
        <v>16</v>
      </c>
      <c r="K8279" s="9">
        <v>26</v>
      </c>
      <c r="L8279" s="16" t="s">
        <v>26</v>
      </c>
      <c r="M8279" s="16">
        <f t="shared" si="777"/>
        <v>2.9575903857523567E-2</v>
      </c>
      <c r="N8279">
        <f t="shared" si="778"/>
        <v>0</v>
      </c>
      <c r="O8279">
        <f t="shared" si="779"/>
        <v>0</v>
      </c>
      <c r="P8279">
        <f t="shared" si="776"/>
        <v>4700</v>
      </c>
      <c r="Q8279">
        <f t="shared" si="780"/>
        <v>4700</v>
      </c>
      <c r="T8279" s="16">
        <f t="shared" si="781"/>
        <v>2.9575903857523185E-2</v>
      </c>
    </row>
    <row r="8280" spans="7:20" ht="14.4" x14ac:dyDescent="0.25">
      <c r="G8280" s="10">
        <v>4170</v>
      </c>
      <c r="H8280" s="9">
        <v>29569</v>
      </c>
      <c r="I8280" s="14">
        <f>DATE(2012,12,31)-547</f>
        <v>40727</v>
      </c>
      <c r="J8280" s="15" t="s">
        <v>17</v>
      </c>
      <c r="K8280" s="9">
        <v>46</v>
      </c>
      <c r="L8280" s="16" t="s">
        <v>27</v>
      </c>
      <c r="M8280" s="16">
        <f t="shared" si="777"/>
        <v>1.4107714362419523</v>
      </c>
      <c r="N8280">
        <f t="shared" si="778"/>
        <v>0</v>
      </c>
      <c r="O8280">
        <f t="shared" si="779"/>
        <v>0</v>
      </c>
      <c r="P8280">
        <f t="shared" si="776"/>
        <v>5700</v>
      </c>
      <c r="Q8280">
        <f t="shared" si="780"/>
        <v>5700</v>
      </c>
      <c r="T8280" s="16">
        <f t="shared" si="781"/>
        <v>1.4107714362419519</v>
      </c>
    </row>
    <row r="8281" spans="7:20" ht="14.4" x14ac:dyDescent="0.25">
      <c r="G8281" s="10">
        <v>4171</v>
      </c>
      <c r="H8281" s="9">
        <v>29569</v>
      </c>
      <c r="I8281" s="14">
        <f>DATE(2012,12,31)-547</f>
        <v>40727</v>
      </c>
      <c r="J8281" s="15" t="s">
        <v>17</v>
      </c>
      <c r="K8281" s="9">
        <v>29</v>
      </c>
      <c r="L8281" s="16" t="s">
        <v>26</v>
      </c>
      <c r="M8281" s="16">
        <f t="shared" si="777"/>
        <v>0.23675523371518786</v>
      </c>
      <c r="N8281">
        <f t="shared" si="778"/>
        <v>0</v>
      </c>
      <c r="O8281">
        <f t="shared" si="779"/>
        <v>0</v>
      </c>
      <c r="P8281">
        <f t="shared" si="776"/>
        <v>4850</v>
      </c>
      <c r="Q8281">
        <f t="shared" si="780"/>
        <v>4850</v>
      </c>
      <c r="T8281" s="16">
        <f t="shared" si="781"/>
        <v>0.2367552337151875</v>
      </c>
    </row>
    <row r="8282" spans="7:20" ht="14.4" x14ac:dyDescent="0.25">
      <c r="G8282" s="10">
        <v>4197</v>
      </c>
      <c r="H8282" s="9">
        <v>29827</v>
      </c>
      <c r="I8282" s="14">
        <f>DATE(2012,12,31)-536</f>
        <v>40738</v>
      </c>
      <c r="J8282" s="15" t="s">
        <v>30</v>
      </c>
      <c r="K8282" s="9">
        <v>35</v>
      </c>
      <c r="L8282" s="16" t="s">
        <v>27</v>
      </c>
      <c r="M8282" s="16">
        <f t="shared" si="777"/>
        <v>0.65111389343051651</v>
      </c>
      <c r="N8282">
        <f t="shared" si="778"/>
        <v>0</v>
      </c>
      <c r="O8282">
        <f t="shared" si="779"/>
        <v>0</v>
      </c>
      <c r="P8282">
        <f t="shared" si="776"/>
        <v>5150</v>
      </c>
      <c r="Q8282">
        <f t="shared" si="780"/>
        <v>5150</v>
      </c>
      <c r="T8282" s="16">
        <f t="shared" si="781"/>
        <v>0.65111389343051607</v>
      </c>
    </row>
    <row r="8283" spans="7:20" ht="14.4" x14ac:dyDescent="0.25">
      <c r="G8283" s="10">
        <v>4210</v>
      </c>
      <c r="H8283" s="9">
        <v>29926</v>
      </c>
      <c r="I8283" s="14">
        <f>DATE(2012,12,31)-284</f>
        <v>40990</v>
      </c>
      <c r="J8283" s="15" t="s">
        <v>16</v>
      </c>
      <c r="K8283" s="9">
        <v>9</v>
      </c>
      <c r="L8283" s="16" t="s">
        <v>26</v>
      </c>
      <c r="M8283" s="16">
        <f t="shared" si="777"/>
        <v>-1.1444402986692408</v>
      </c>
      <c r="N8283">
        <f t="shared" si="778"/>
        <v>0</v>
      </c>
      <c r="O8283">
        <f t="shared" si="779"/>
        <v>0</v>
      </c>
      <c r="P8283">
        <f t="shared" si="776"/>
        <v>3850</v>
      </c>
      <c r="Q8283">
        <f t="shared" si="780"/>
        <v>3850</v>
      </c>
      <c r="T8283" s="16">
        <f t="shared" si="781"/>
        <v>-1.1444402986692412</v>
      </c>
    </row>
    <row r="8284" spans="7:20" ht="14.4" x14ac:dyDescent="0.25">
      <c r="G8284" s="10">
        <v>4337</v>
      </c>
      <c r="H8284" s="9">
        <v>30913</v>
      </c>
      <c r="I8284" s="14">
        <f>DATE(2012,12,31)-100</f>
        <v>41174</v>
      </c>
      <c r="J8284" s="15" t="s">
        <v>16</v>
      </c>
      <c r="K8284" s="9">
        <v>23</v>
      </c>
      <c r="L8284" s="16" t="s">
        <v>26</v>
      </c>
      <c r="M8284" s="16">
        <f t="shared" si="777"/>
        <v>-0.17760342600014073</v>
      </c>
      <c r="N8284">
        <f t="shared" si="778"/>
        <v>0</v>
      </c>
      <c r="O8284">
        <f t="shared" si="779"/>
        <v>0</v>
      </c>
      <c r="P8284">
        <f t="shared" si="776"/>
        <v>4550</v>
      </c>
      <c r="Q8284">
        <f t="shared" si="780"/>
        <v>4550</v>
      </c>
      <c r="T8284" s="16">
        <f t="shared" si="781"/>
        <v>-0.17760342600014112</v>
      </c>
    </row>
    <row r="8285" spans="7:20" ht="14.4" x14ac:dyDescent="0.25">
      <c r="G8285" s="10">
        <v>4338</v>
      </c>
      <c r="H8285" s="9">
        <v>30913</v>
      </c>
      <c r="I8285" s="14">
        <f>DATE(2012,12,31)-100</f>
        <v>41174</v>
      </c>
      <c r="J8285" s="15" t="s">
        <v>16</v>
      </c>
      <c r="K8285" s="9">
        <v>36</v>
      </c>
      <c r="L8285" s="16" t="s">
        <v>27</v>
      </c>
      <c r="M8285" s="16">
        <f t="shared" si="777"/>
        <v>0.72017367004973787</v>
      </c>
      <c r="N8285">
        <f t="shared" si="778"/>
        <v>0</v>
      </c>
      <c r="O8285">
        <f t="shared" si="779"/>
        <v>0</v>
      </c>
      <c r="P8285">
        <f t="shared" si="776"/>
        <v>5200</v>
      </c>
      <c r="Q8285">
        <f t="shared" si="780"/>
        <v>5200</v>
      </c>
      <c r="T8285" s="16">
        <f t="shared" si="781"/>
        <v>0.72017367004973754</v>
      </c>
    </row>
    <row r="8286" spans="7:20" ht="14.4" x14ac:dyDescent="0.25">
      <c r="G8286" s="10">
        <v>4339</v>
      </c>
      <c r="H8286" s="9">
        <v>30913</v>
      </c>
      <c r="I8286" s="14">
        <f>DATE(2012,12,31)-100</f>
        <v>41174</v>
      </c>
      <c r="J8286" s="15" t="s">
        <v>16</v>
      </c>
      <c r="K8286" s="9">
        <v>44</v>
      </c>
      <c r="L8286" s="16" t="s">
        <v>26</v>
      </c>
      <c r="M8286" s="16">
        <f t="shared" si="777"/>
        <v>1.2726518830035094</v>
      </c>
      <c r="N8286">
        <f t="shared" si="778"/>
        <v>0</v>
      </c>
      <c r="O8286">
        <f t="shared" si="779"/>
        <v>0</v>
      </c>
      <c r="P8286">
        <f t="shared" si="776"/>
        <v>5600</v>
      </c>
      <c r="Q8286">
        <f t="shared" si="780"/>
        <v>5600</v>
      </c>
      <c r="T8286" s="16">
        <f t="shared" si="781"/>
        <v>1.272651883003509</v>
      </c>
    </row>
    <row r="8287" spans="7:20" ht="14.4" x14ac:dyDescent="0.25">
      <c r="G8287" s="10">
        <v>4340</v>
      </c>
      <c r="H8287" s="9">
        <v>30913</v>
      </c>
      <c r="I8287" s="14">
        <f>DATE(2012,12,31)-100</f>
        <v>41174</v>
      </c>
      <c r="J8287" s="15" t="s">
        <v>16</v>
      </c>
      <c r="K8287" s="9">
        <v>24</v>
      </c>
      <c r="L8287" s="16" t="s">
        <v>29</v>
      </c>
      <c r="M8287" s="16">
        <f t="shared" si="777"/>
        <v>-0.1085436493809193</v>
      </c>
      <c r="N8287">
        <f t="shared" si="778"/>
        <v>0</v>
      </c>
      <c r="O8287">
        <f t="shared" si="779"/>
        <v>0</v>
      </c>
      <c r="P8287">
        <f t="shared" si="776"/>
        <v>4600</v>
      </c>
      <c r="Q8287">
        <f t="shared" si="780"/>
        <v>4600</v>
      </c>
      <c r="T8287" s="16">
        <f t="shared" si="781"/>
        <v>-0.10854364938091969</v>
      </c>
    </row>
    <row r="8288" spans="7:20" ht="14.4" x14ac:dyDescent="0.25">
      <c r="G8288" s="10">
        <v>4393</v>
      </c>
      <c r="H8288" s="9">
        <v>31271</v>
      </c>
      <c r="I8288" s="14">
        <f>DATE(2012,12,31)-621</f>
        <v>40653</v>
      </c>
      <c r="J8288" s="15" t="s">
        <v>25</v>
      </c>
      <c r="K8288" s="9">
        <v>4</v>
      </c>
      <c r="L8288" s="16" t="s">
        <v>29</v>
      </c>
      <c r="M8288" s="16">
        <f t="shared" si="777"/>
        <v>-1.489739181765348</v>
      </c>
      <c r="N8288">
        <f t="shared" si="778"/>
        <v>0</v>
      </c>
      <c r="O8288">
        <f t="shared" si="779"/>
        <v>0</v>
      </c>
      <c r="P8288">
        <f t="shared" si="776"/>
        <v>3600</v>
      </c>
      <c r="Q8288">
        <f t="shared" si="780"/>
        <v>3600</v>
      </c>
      <c r="T8288" s="16">
        <f t="shared" si="781"/>
        <v>-1.4897391817653485</v>
      </c>
    </row>
    <row r="8289" spans="7:20" ht="14.4" x14ac:dyDescent="0.25">
      <c r="G8289" s="10">
        <v>4406</v>
      </c>
      <c r="H8289" s="9">
        <v>31399</v>
      </c>
      <c r="I8289" s="14">
        <f>DATE(2012,12,31)-422</f>
        <v>40852</v>
      </c>
      <c r="J8289" s="15" t="s">
        <v>28</v>
      </c>
      <c r="K8289" s="9">
        <v>9</v>
      </c>
      <c r="L8289" s="16" t="s">
        <v>27</v>
      </c>
      <c r="M8289" s="16">
        <f t="shared" si="777"/>
        <v>-1.1444402986692408</v>
      </c>
      <c r="N8289">
        <f t="shared" si="778"/>
        <v>0</v>
      </c>
      <c r="O8289">
        <f t="shared" si="779"/>
        <v>0</v>
      </c>
      <c r="P8289">
        <f t="shared" si="776"/>
        <v>3850</v>
      </c>
      <c r="Q8289">
        <f t="shared" si="780"/>
        <v>3850</v>
      </c>
      <c r="T8289" s="16">
        <f t="shared" si="781"/>
        <v>-1.1444402986692412</v>
      </c>
    </row>
    <row r="8290" spans="7:20" ht="14.4" x14ac:dyDescent="0.25">
      <c r="G8290" s="10">
        <v>4498</v>
      </c>
      <c r="H8290" s="9">
        <v>32007</v>
      </c>
      <c r="I8290" s="14">
        <f>DATE(2012,12,31)-695</f>
        <v>40579</v>
      </c>
      <c r="J8290" s="15" t="s">
        <v>25</v>
      </c>
      <c r="K8290" s="9">
        <v>41</v>
      </c>
      <c r="L8290" s="16" t="s">
        <v>29</v>
      </c>
      <c r="M8290" s="16">
        <f t="shared" si="777"/>
        <v>1.0654725531458451</v>
      </c>
      <c r="N8290">
        <f t="shared" si="778"/>
        <v>0</v>
      </c>
      <c r="O8290">
        <f t="shared" si="779"/>
        <v>0</v>
      </c>
      <c r="P8290">
        <f t="shared" si="776"/>
        <v>5450</v>
      </c>
      <c r="Q8290">
        <f t="shared" si="780"/>
        <v>5450</v>
      </c>
      <c r="T8290" s="16">
        <f t="shared" si="781"/>
        <v>1.0654725531458447</v>
      </c>
    </row>
    <row r="8291" spans="7:20" ht="14.4" x14ac:dyDescent="0.25">
      <c r="G8291" s="10">
        <v>4518</v>
      </c>
      <c r="H8291" s="9">
        <v>32164</v>
      </c>
      <c r="I8291" s="14">
        <f>DATE(2012,12,31)-1063</f>
        <v>40211</v>
      </c>
      <c r="J8291" s="15" t="s">
        <v>28</v>
      </c>
      <c r="K8291" s="9">
        <v>12</v>
      </c>
      <c r="L8291" s="16" t="s">
        <v>26</v>
      </c>
      <c r="M8291" s="16">
        <f t="shared" si="777"/>
        <v>-0.9372609688115765</v>
      </c>
      <c r="N8291">
        <f t="shared" si="778"/>
        <v>0</v>
      </c>
      <c r="O8291">
        <f t="shared" si="779"/>
        <v>0</v>
      </c>
      <c r="P8291">
        <f t="shared" si="776"/>
        <v>4000</v>
      </c>
      <c r="Q8291">
        <f t="shared" si="780"/>
        <v>4000</v>
      </c>
      <c r="T8291" s="16">
        <f t="shared" si="781"/>
        <v>-0.93726096881157694</v>
      </c>
    </row>
    <row r="8292" spans="7:20" ht="14.4" x14ac:dyDescent="0.25">
      <c r="G8292" s="10">
        <v>4519</v>
      </c>
      <c r="H8292" s="9">
        <v>32164</v>
      </c>
      <c r="I8292" s="14">
        <f>DATE(2012,12,31)-1063</f>
        <v>40211</v>
      </c>
      <c r="J8292" s="15" t="s">
        <v>28</v>
      </c>
      <c r="K8292" s="9">
        <v>34</v>
      </c>
      <c r="L8292" s="16" t="s">
        <v>26</v>
      </c>
      <c r="M8292" s="16">
        <f t="shared" si="777"/>
        <v>0.58205411681129504</v>
      </c>
      <c r="N8292">
        <f t="shared" si="778"/>
        <v>0</v>
      </c>
      <c r="O8292">
        <f t="shared" si="779"/>
        <v>0</v>
      </c>
      <c r="P8292">
        <f t="shared" si="776"/>
        <v>5100</v>
      </c>
      <c r="Q8292">
        <f t="shared" si="780"/>
        <v>5100</v>
      </c>
      <c r="T8292" s="16">
        <f t="shared" si="781"/>
        <v>0.58205411681129471</v>
      </c>
    </row>
    <row r="8293" spans="7:20" ht="14.4" x14ac:dyDescent="0.25">
      <c r="G8293" s="10">
        <v>4520</v>
      </c>
      <c r="H8293" s="9">
        <v>32164</v>
      </c>
      <c r="I8293" s="14">
        <f>DATE(2012,12,31)-1063</f>
        <v>40211</v>
      </c>
      <c r="J8293" s="15" t="s">
        <v>28</v>
      </c>
      <c r="K8293" s="9">
        <v>23</v>
      </c>
      <c r="L8293" s="16" t="s">
        <v>29</v>
      </c>
      <c r="M8293" s="16">
        <f t="shared" si="777"/>
        <v>-0.17760342600014073</v>
      </c>
      <c r="N8293">
        <f t="shared" si="778"/>
        <v>0</v>
      </c>
      <c r="O8293">
        <f t="shared" si="779"/>
        <v>0</v>
      </c>
      <c r="P8293">
        <f t="shared" si="776"/>
        <v>4550</v>
      </c>
      <c r="Q8293">
        <f t="shared" si="780"/>
        <v>4550</v>
      </c>
      <c r="T8293" s="16">
        <f t="shared" si="781"/>
        <v>-0.17760342600014112</v>
      </c>
    </row>
    <row r="8294" spans="7:20" ht="14.4" x14ac:dyDescent="0.25">
      <c r="G8294" s="10">
        <v>4531</v>
      </c>
      <c r="H8294" s="9">
        <v>32228</v>
      </c>
      <c r="I8294" s="14">
        <f>DATE(2012,12,31)-788</f>
        <v>40486</v>
      </c>
      <c r="J8294" s="15" t="s">
        <v>30</v>
      </c>
      <c r="K8294" s="9">
        <v>35</v>
      </c>
      <c r="L8294" s="16" t="s">
        <v>26</v>
      </c>
      <c r="M8294" s="16">
        <f t="shared" si="777"/>
        <v>0.65111389343051651</v>
      </c>
      <c r="N8294">
        <f t="shared" si="778"/>
        <v>0</v>
      </c>
      <c r="O8294">
        <f t="shared" si="779"/>
        <v>0</v>
      </c>
      <c r="P8294">
        <f t="shared" si="776"/>
        <v>5150</v>
      </c>
      <c r="Q8294">
        <f t="shared" si="780"/>
        <v>5150</v>
      </c>
      <c r="T8294" s="16">
        <f t="shared" si="781"/>
        <v>0.65111389343051607</v>
      </c>
    </row>
    <row r="8295" spans="7:20" ht="14.4" x14ac:dyDescent="0.25">
      <c r="G8295" s="10">
        <v>4551</v>
      </c>
      <c r="H8295" s="9">
        <v>32386</v>
      </c>
      <c r="I8295" s="14">
        <f>DATE(2012,12,31)-257</f>
        <v>41017</v>
      </c>
      <c r="J8295" s="15" t="s">
        <v>30</v>
      </c>
      <c r="K8295" s="9">
        <v>1</v>
      </c>
      <c r="L8295" s="16" t="s">
        <v>27</v>
      </c>
      <c r="M8295" s="16">
        <f t="shared" si="777"/>
        <v>-1.6969185116230123</v>
      </c>
      <c r="N8295">
        <f t="shared" si="778"/>
        <v>0</v>
      </c>
      <c r="O8295">
        <f t="shared" si="779"/>
        <v>0</v>
      </c>
      <c r="P8295">
        <f t="shared" si="776"/>
        <v>3450</v>
      </c>
      <c r="Q8295">
        <f t="shared" si="780"/>
        <v>3450</v>
      </c>
      <c r="T8295" s="16">
        <f t="shared" si="781"/>
        <v>-1.6969185116230128</v>
      </c>
    </row>
    <row r="8296" spans="7:20" ht="14.4" x14ac:dyDescent="0.25">
      <c r="G8296" s="10">
        <v>4578</v>
      </c>
      <c r="H8296" s="9">
        <v>32610</v>
      </c>
      <c r="I8296" s="14">
        <f>DATE(2012,12,31)-134</f>
        <v>41140</v>
      </c>
      <c r="J8296" s="15" t="s">
        <v>28</v>
      </c>
      <c r="K8296" s="9">
        <v>47</v>
      </c>
      <c r="L8296" s="16" t="s">
        <v>26</v>
      </c>
      <c r="M8296" s="16">
        <f t="shared" si="777"/>
        <v>1.4798312128611737</v>
      </c>
      <c r="N8296">
        <f t="shared" si="778"/>
        <v>0</v>
      </c>
      <c r="O8296">
        <f t="shared" si="779"/>
        <v>0</v>
      </c>
      <c r="P8296">
        <f t="shared" si="776"/>
        <v>5750</v>
      </c>
      <c r="Q8296">
        <f t="shared" si="780"/>
        <v>5750</v>
      </c>
      <c r="T8296" s="16">
        <f t="shared" si="781"/>
        <v>1.4798312128611733</v>
      </c>
    </row>
    <row r="8297" spans="7:20" ht="14.4" x14ac:dyDescent="0.25">
      <c r="G8297" s="10">
        <v>4579</v>
      </c>
      <c r="H8297" s="9">
        <v>32610</v>
      </c>
      <c r="I8297" s="14">
        <f>DATE(2012,12,31)-134</f>
        <v>41140</v>
      </c>
      <c r="J8297" s="15" t="s">
        <v>28</v>
      </c>
      <c r="K8297" s="9">
        <v>20</v>
      </c>
      <c r="L8297" s="16" t="s">
        <v>27</v>
      </c>
      <c r="M8297" s="16">
        <f t="shared" si="777"/>
        <v>-0.38478275585780503</v>
      </c>
      <c r="N8297">
        <f t="shared" si="778"/>
        <v>0</v>
      </c>
      <c r="O8297">
        <f t="shared" si="779"/>
        <v>0</v>
      </c>
      <c r="P8297">
        <f t="shared" si="776"/>
        <v>4400</v>
      </c>
      <c r="Q8297">
        <f t="shared" si="780"/>
        <v>4400</v>
      </c>
      <c r="T8297" s="16">
        <f t="shared" si="781"/>
        <v>-0.38478275585780541</v>
      </c>
    </row>
    <row r="8298" spans="7:20" ht="14.4" x14ac:dyDescent="0.25">
      <c r="G8298" s="10">
        <v>4634</v>
      </c>
      <c r="H8298" s="9">
        <v>32994</v>
      </c>
      <c r="I8298" s="14">
        <f>DATE(2012,12,31)-106</f>
        <v>41168</v>
      </c>
      <c r="J8298" s="15" t="s">
        <v>30</v>
      </c>
      <c r="K8298" s="9">
        <v>34</v>
      </c>
      <c r="L8298" s="16" t="s">
        <v>26</v>
      </c>
      <c r="M8298" s="16">
        <f t="shared" si="777"/>
        <v>0.58205411681129504</v>
      </c>
      <c r="N8298">
        <f t="shared" si="778"/>
        <v>0</v>
      </c>
      <c r="O8298">
        <f t="shared" si="779"/>
        <v>0</v>
      </c>
      <c r="P8298">
        <f t="shared" si="776"/>
        <v>5100</v>
      </c>
      <c r="Q8298">
        <f t="shared" si="780"/>
        <v>5100</v>
      </c>
      <c r="T8298" s="16">
        <f t="shared" si="781"/>
        <v>0.58205411681129471</v>
      </c>
    </row>
    <row r="8299" spans="7:20" ht="14.4" x14ac:dyDescent="0.25">
      <c r="G8299" s="10">
        <v>4677</v>
      </c>
      <c r="H8299" s="9">
        <v>33283</v>
      </c>
      <c r="I8299" s="14">
        <f>DATE(2012,12,31)-1017</f>
        <v>40257</v>
      </c>
      <c r="J8299" s="15" t="s">
        <v>16</v>
      </c>
      <c r="K8299" s="9">
        <v>48</v>
      </c>
      <c r="L8299" s="16" t="s">
        <v>29</v>
      </c>
      <c r="M8299" s="16">
        <f t="shared" si="777"/>
        <v>1.5488909894803951</v>
      </c>
      <c r="N8299">
        <f t="shared" si="778"/>
        <v>0</v>
      </c>
      <c r="O8299">
        <f t="shared" si="779"/>
        <v>0</v>
      </c>
      <c r="P8299">
        <f t="shared" si="776"/>
        <v>5800</v>
      </c>
      <c r="Q8299">
        <f t="shared" si="780"/>
        <v>5800</v>
      </c>
      <c r="T8299" s="16">
        <f t="shared" si="781"/>
        <v>1.5488909894803948</v>
      </c>
    </row>
    <row r="8300" spans="7:20" ht="14.4" x14ac:dyDescent="0.25">
      <c r="G8300" s="10">
        <v>4750</v>
      </c>
      <c r="H8300" s="9">
        <v>33764</v>
      </c>
      <c r="I8300" s="14">
        <f>DATE(2012,12,31)-690</f>
        <v>40584</v>
      </c>
      <c r="J8300" s="15" t="s">
        <v>30</v>
      </c>
      <c r="K8300" s="9">
        <v>4</v>
      </c>
      <c r="L8300" s="16" t="s">
        <v>26</v>
      </c>
      <c r="M8300" s="16">
        <f t="shared" si="777"/>
        <v>-1.489739181765348</v>
      </c>
      <c r="N8300">
        <f t="shared" si="778"/>
        <v>0</v>
      </c>
      <c r="O8300">
        <f t="shared" si="779"/>
        <v>0</v>
      </c>
      <c r="P8300">
        <f t="shared" si="776"/>
        <v>3600</v>
      </c>
      <c r="Q8300">
        <f t="shared" si="780"/>
        <v>3600</v>
      </c>
      <c r="T8300" s="16">
        <f t="shared" si="781"/>
        <v>-1.4897391817653485</v>
      </c>
    </row>
    <row r="8301" spans="7:20" ht="14.4" x14ac:dyDescent="0.25">
      <c r="G8301" s="10">
        <v>4751</v>
      </c>
      <c r="H8301" s="9">
        <v>33764</v>
      </c>
      <c r="I8301" s="14">
        <f>DATE(2012,12,31)-690</f>
        <v>40584</v>
      </c>
      <c r="J8301" s="15" t="s">
        <v>30</v>
      </c>
      <c r="K8301" s="9">
        <v>6</v>
      </c>
      <c r="L8301" s="16" t="s">
        <v>27</v>
      </c>
      <c r="M8301" s="16">
        <f t="shared" si="777"/>
        <v>-1.3516196285269051</v>
      </c>
      <c r="N8301">
        <f t="shared" si="778"/>
        <v>0</v>
      </c>
      <c r="O8301">
        <f t="shared" si="779"/>
        <v>0</v>
      </c>
      <c r="P8301">
        <f t="shared" si="776"/>
        <v>3700</v>
      </c>
      <c r="Q8301">
        <f t="shared" si="780"/>
        <v>3700</v>
      </c>
      <c r="T8301" s="16">
        <f t="shared" si="781"/>
        <v>-1.3516196285269055</v>
      </c>
    </row>
    <row r="8302" spans="7:20" ht="14.4" x14ac:dyDescent="0.25">
      <c r="G8302" s="10">
        <v>4800</v>
      </c>
      <c r="H8302" s="9">
        <v>34117</v>
      </c>
      <c r="I8302" s="14">
        <f>DATE(2012,12,31)-328</f>
        <v>40946</v>
      </c>
      <c r="J8302" s="15" t="s">
        <v>17</v>
      </c>
      <c r="K8302" s="9">
        <v>45</v>
      </c>
      <c r="L8302" s="16" t="s">
        <v>26</v>
      </c>
      <c r="M8302" s="16">
        <f t="shared" si="777"/>
        <v>1.3417116596227308</v>
      </c>
      <c r="N8302">
        <f t="shared" si="778"/>
        <v>0</v>
      </c>
      <c r="O8302">
        <f t="shared" si="779"/>
        <v>0</v>
      </c>
      <c r="P8302">
        <f t="shared" si="776"/>
        <v>5650</v>
      </c>
      <c r="Q8302">
        <f t="shared" si="780"/>
        <v>5650</v>
      </c>
      <c r="T8302" s="16">
        <f t="shared" si="781"/>
        <v>1.3417116596227305</v>
      </c>
    </row>
    <row r="8303" spans="7:20" ht="14.4" x14ac:dyDescent="0.25">
      <c r="G8303" s="10">
        <v>4974</v>
      </c>
      <c r="H8303" s="9">
        <v>35366</v>
      </c>
      <c r="I8303" s="14">
        <f>DATE(2012,12,31)-538</f>
        <v>40736</v>
      </c>
      <c r="J8303" s="15" t="s">
        <v>25</v>
      </c>
      <c r="K8303" s="9">
        <v>23</v>
      </c>
      <c r="L8303" s="16" t="s">
        <v>26</v>
      </c>
      <c r="M8303" s="16">
        <f t="shared" si="777"/>
        <v>-0.17760342600014073</v>
      </c>
      <c r="N8303">
        <f t="shared" si="778"/>
        <v>0</v>
      </c>
      <c r="O8303">
        <f t="shared" si="779"/>
        <v>0</v>
      </c>
      <c r="P8303">
        <f t="shared" si="776"/>
        <v>4550</v>
      </c>
      <c r="Q8303">
        <f t="shared" si="780"/>
        <v>4550</v>
      </c>
      <c r="T8303" s="16">
        <f t="shared" si="781"/>
        <v>-0.17760342600014112</v>
      </c>
    </row>
    <row r="8304" spans="7:20" ht="14.4" x14ac:dyDescent="0.25">
      <c r="G8304" s="10">
        <v>4979</v>
      </c>
      <c r="H8304" s="9">
        <v>35426</v>
      </c>
      <c r="I8304" s="14">
        <f>DATE(2012,12,31)-820</f>
        <v>40454</v>
      </c>
      <c r="J8304" s="15" t="s">
        <v>17</v>
      </c>
      <c r="K8304" s="9">
        <v>5</v>
      </c>
      <c r="L8304" s="16" t="s">
        <v>26</v>
      </c>
      <c r="M8304" s="16">
        <f t="shared" si="777"/>
        <v>-1.4206794051461267</v>
      </c>
      <c r="N8304">
        <f t="shared" si="778"/>
        <v>0</v>
      </c>
      <c r="O8304">
        <f t="shared" si="779"/>
        <v>0</v>
      </c>
      <c r="P8304">
        <f t="shared" si="776"/>
        <v>3650</v>
      </c>
      <c r="Q8304">
        <f t="shared" si="780"/>
        <v>3650</v>
      </c>
      <c r="T8304" s="16">
        <f t="shared" si="781"/>
        <v>-1.4206794051461269</v>
      </c>
    </row>
    <row r="8305" spans="7:20" ht="14.4" x14ac:dyDescent="0.25">
      <c r="G8305" s="10">
        <v>4987</v>
      </c>
      <c r="H8305" s="9">
        <v>35490</v>
      </c>
      <c r="I8305" s="14">
        <f>DATE(2012,12,31)-755</f>
        <v>40519</v>
      </c>
      <c r="J8305" s="15" t="s">
        <v>17</v>
      </c>
      <c r="K8305" s="9">
        <v>7</v>
      </c>
      <c r="L8305" s="16" t="s">
        <v>26</v>
      </c>
      <c r="M8305" s="16">
        <f t="shared" si="777"/>
        <v>-1.2825598519076837</v>
      </c>
      <c r="N8305">
        <f t="shared" si="778"/>
        <v>0</v>
      </c>
      <c r="O8305">
        <f t="shared" si="779"/>
        <v>0</v>
      </c>
      <c r="P8305">
        <f t="shared" si="776"/>
        <v>3750</v>
      </c>
      <c r="Q8305">
        <f t="shared" si="780"/>
        <v>3750</v>
      </c>
      <c r="T8305" s="16">
        <f t="shared" si="781"/>
        <v>-1.2825598519076842</v>
      </c>
    </row>
    <row r="8306" spans="7:20" ht="14.4" x14ac:dyDescent="0.25">
      <c r="G8306" s="10">
        <v>4988</v>
      </c>
      <c r="H8306" s="9">
        <v>35490</v>
      </c>
      <c r="I8306" s="14">
        <f>DATE(2012,12,31)-755</f>
        <v>40519</v>
      </c>
      <c r="J8306" s="15" t="s">
        <v>17</v>
      </c>
      <c r="K8306" s="9">
        <v>41</v>
      </c>
      <c r="L8306" s="16" t="s">
        <v>27</v>
      </c>
      <c r="M8306" s="16">
        <f t="shared" si="777"/>
        <v>1.0654725531458451</v>
      </c>
      <c r="N8306">
        <f t="shared" si="778"/>
        <v>0</v>
      </c>
      <c r="O8306">
        <f t="shared" si="779"/>
        <v>0</v>
      </c>
      <c r="P8306">
        <f t="shared" si="776"/>
        <v>5450</v>
      </c>
      <c r="Q8306">
        <f t="shared" si="780"/>
        <v>5450</v>
      </c>
      <c r="T8306" s="16">
        <f t="shared" si="781"/>
        <v>1.0654725531458447</v>
      </c>
    </row>
    <row r="8307" spans="7:20" ht="14.4" x14ac:dyDescent="0.25">
      <c r="G8307" s="10">
        <v>5005</v>
      </c>
      <c r="H8307" s="9">
        <v>35686</v>
      </c>
      <c r="I8307" s="14">
        <f>DATE(2012,12,31)-821</f>
        <v>40453</v>
      </c>
      <c r="J8307" s="15" t="s">
        <v>17</v>
      </c>
      <c r="K8307" s="9">
        <v>48</v>
      </c>
      <c r="L8307" s="16" t="s">
        <v>26</v>
      </c>
      <c r="M8307" s="16">
        <f t="shared" si="777"/>
        <v>1.5488909894803951</v>
      </c>
      <c r="N8307">
        <f t="shared" si="778"/>
        <v>0</v>
      </c>
      <c r="O8307">
        <f t="shared" si="779"/>
        <v>0</v>
      </c>
      <c r="P8307">
        <f t="shared" si="776"/>
        <v>5800</v>
      </c>
      <c r="Q8307">
        <f t="shared" si="780"/>
        <v>5800</v>
      </c>
      <c r="T8307" s="16">
        <f t="shared" si="781"/>
        <v>1.5488909894803948</v>
      </c>
    </row>
    <row r="8308" spans="7:20" ht="14.4" x14ac:dyDescent="0.25">
      <c r="G8308" s="10">
        <v>5010</v>
      </c>
      <c r="H8308" s="9">
        <v>35744</v>
      </c>
      <c r="I8308" s="14">
        <f>DATE(2012,12,31)-1381</f>
        <v>39893</v>
      </c>
      <c r="J8308" s="15" t="s">
        <v>28</v>
      </c>
      <c r="K8308" s="9">
        <v>44</v>
      </c>
      <c r="L8308" s="16" t="s">
        <v>27</v>
      </c>
      <c r="M8308" s="16">
        <f t="shared" si="777"/>
        <v>1.2726518830035094</v>
      </c>
      <c r="N8308">
        <f t="shared" si="778"/>
        <v>0</v>
      </c>
      <c r="O8308">
        <f t="shared" si="779"/>
        <v>0</v>
      </c>
      <c r="P8308">
        <f t="shared" si="776"/>
        <v>5600</v>
      </c>
      <c r="Q8308">
        <f t="shared" si="780"/>
        <v>5600</v>
      </c>
      <c r="T8308" s="16">
        <f t="shared" si="781"/>
        <v>1.272651883003509</v>
      </c>
    </row>
    <row r="8309" spans="7:20" ht="14.4" x14ac:dyDescent="0.25">
      <c r="G8309" s="10">
        <v>5042</v>
      </c>
      <c r="H8309" s="9">
        <v>35936</v>
      </c>
      <c r="I8309" s="14">
        <f>DATE(2012,12,31)-1440</f>
        <v>39834</v>
      </c>
      <c r="J8309" s="15" t="s">
        <v>16</v>
      </c>
      <c r="K8309" s="9">
        <v>41</v>
      </c>
      <c r="L8309" s="16" t="s">
        <v>26</v>
      </c>
      <c r="M8309" s="16">
        <f t="shared" si="777"/>
        <v>1.0654725531458451</v>
      </c>
      <c r="N8309">
        <f t="shared" si="778"/>
        <v>0</v>
      </c>
      <c r="O8309">
        <f t="shared" si="779"/>
        <v>0</v>
      </c>
      <c r="P8309">
        <f t="shared" si="776"/>
        <v>5450</v>
      </c>
      <c r="Q8309">
        <f t="shared" si="780"/>
        <v>5450</v>
      </c>
      <c r="T8309" s="16">
        <f t="shared" si="781"/>
        <v>1.0654725531458447</v>
      </c>
    </row>
    <row r="8310" spans="7:20" ht="14.4" x14ac:dyDescent="0.25">
      <c r="G8310" s="10">
        <v>5043</v>
      </c>
      <c r="H8310" s="9">
        <v>35936</v>
      </c>
      <c r="I8310" s="14">
        <f>DATE(2012,12,31)-1440</f>
        <v>39834</v>
      </c>
      <c r="J8310" s="15" t="s">
        <v>16</v>
      </c>
      <c r="K8310" s="9">
        <v>40</v>
      </c>
      <c r="L8310" s="16" t="s">
        <v>29</v>
      </c>
      <c r="M8310" s="16">
        <f t="shared" si="777"/>
        <v>0.99641277652662363</v>
      </c>
      <c r="N8310">
        <f t="shared" si="778"/>
        <v>0</v>
      </c>
      <c r="O8310">
        <f t="shared" si="779"/>
        <v>0</v>
      </c>
      <c r="P8310">
        <f t="shared" si="776"/>
        <v>5400</v>
      </c>
      <c r="Q8310">
        <f t="shared" si="780"/>
        <v>5400</v>
      </c>
      <c r="T8310" s="16">
        <f t="shared" si="781"/>
        <v>0.9964127765266233</v>
      </c>
    </row>
    <row r="8311" spans="7:20" ht="14.4" x14ac:dyDescent="0.25">
      <c r="G8311" s="10">
        <v>5085</v>
      </c>
      <c r="H8311" s="9">
        <v>36257</v>
      </c>
      <c r="I8311" s="14">
        <f>DATE(2012,12,31)-308</f>
        <v>40966</v>
      </c>
      <c r="J8311" s="15" t="s">
        <v>17</v>
      </c>
      <c r="K8311" s="9">
        <v>43</v>
      </c>
      <c r="L8311" s="16" t="s">
        <v>27</v>
      </c>
      <c r="M8311" s="16">
        <f t="shared" si="777"/>
        <v>1.203592106384288</v>
      </c>
      <c r="N8311">
        <f t="shared" si="778"/>
        <v>0</v>
      </c>
      <c r="O8311">
        <f t="shared" si="779"/>
        <v>0</v>
      </c>
      <c r="P8311">
        <f t="shared" si="776"/>
        <v>5550</v>
      </c>
      <c r="Q8311">
        <f t="shared" si="780"/>
        <v>5550</v>
      </c>
      <c r="T8311" s="16">
        <f t="shared" si="781"/>
        <v>1.2035921063842876</v>
      </c>
    </row>
    <row r="8312" spans="7:20" ht="14.4" x14ac:dyDescent="0.25">
      <c r="G8312" s="10">
        <v>5086</v>
      </c>
      <c r="H8312" s="9">
        <v>36262</v>
      </c>
      <c r="I8312" s="14">
        <f>DATE(2012,12,31)-888</f>
        <v>40386</v>
      </c>
      <c r="J8312" s="15" t="s">
        <v>28</v>
      </c>
      <c r="K8312" s="9">
        <v>23</v>
      </c>
      <c r="L8312" s="16" t="s">
        <v>26</v>
      </c>
      <c r="M8312" s="16">
        <f t="shared" si="777"/>
        <v>-0.17760342600014073</v>
      </c>
      <c r="N8312">
        <f t="shared" si="778"/>
        <v>0</v>
      </c>
      <c r="O8312">
        <f t="shared" si="779"/>
        <v>0</v>
      </c>
      <c r="P8312">
        <f t="shared" si="776"/>
        <v>4550</v>
      </c>
      <c r="Q8312">
        <f t="shared" si="780"/>
        <v>4550</v>
      </c>
      <c r="T8312" s="16">
        <f t="shared" si="781"/>
        <v>-0.17760342600014112</v>
      </c>
    </row>
    <row r="8313" spans="7:20" ht="14.4" x14ac:dyDescent="0.25">
      <c r="G8313" s="10">
        <v>5087</v>
      </c>
      <c r="H8313" s="9">
        <v>36262</v>
      </c>
      <c r="I8313" s="14">
        <f>DATE(2012,12,31)-888</f>
        <v>40386</v>
      </c>
      <c r="J8313" s="15" t="s">
        <v>28</v>
      </c>
      <c r="K8313" s="9">
        <v>23</v>
      </c>
      <c r="L8313" s="16" t="s">
        <v>26</v>
      </c>
      <c r="M8313" s="16">
        <f t="shared" si="777"/>
        <v>-0.17760342600014073</v>
      </c>
      <c r="N8313">
        <f t="shared" si="778"/>
        <v>0</v>
      </c>
      <c r="O8313">
        <f t="shared" si="779"/>
        <v>0</v>
      </c>
      <c r="P8313">
        <f t="shared" si="776"/>
        <v>4550</v>
      </c>
      <c r="Q8313">
        <f t="shared" si="780"/>
        <v>4550</v>
      </c>
      <c r="T8313" s="16">
        <f t="shared" si="781"/>
        <v>-0.17760342600014112</v>
      </c>
    </row>
    <row r="8314" spans="7:20" ht="14.4" x14ac:dyDescent="0.25">
      <c r="G8314" s="10">
        <v>5088</v>
      </c>
      <c r="H8314" s="9">
        <v>36262</v>
      </c>
      <c r="I8314" s="14">
        <f>DATE(2012,12,31)-888</f>
        <v>40386</v>
      </c>
      <c r="J8314" s="15" t="s">
        <v>28</v>
      </c>
      <c r="K8314" s="9">
        <v>26</v>
      </c>
      <c r="L8314" s="16" t="s">
        <v>27</v>
      </c>
      <c r="M8314" s="16">
        <f t="shared" si="777"/>
        <v>2.9575903857523567E-2</v>
      </c>
      <c r="N8314">
        <f t="shared" si="778"/>
        <v>0</v>
      </c>
      <c r="O8314">
        <f t="shared" si="779"/>
        <v>0</v>
      </c>
      <c r="P8314">
        <f t="shared" si="776"/>
        <v>4700</v>
      </c>
      <c r="Q8314">
        <f t="shared" si="780"/>
        <v>4700</v>
      </c>
      <c r="T8314" s="16">
        <f t="shared" si="781"/>
        <v>2.9575903857523185E-2</v>
      </c>
    </row>
    <row r="8315" spans="7:20" ht="14.4" x14ac:dyDescent="0.25">
      <c r="G8315" s="10">
        <v>5089</v>
      </c>
      <c r="H8315" s="9">
        <v>36292</v>
      </c>
      <c r="I8315" s="14">
        <f>DATE(2012,12,31)-1058</f>
        <v>40216</v>
      </c>
      <c r="J8315" s="15" t="s">
        <v>30</v>
      </c>
      <c r="K8315" s="9">
        <v>21</v>
      </c>
      <c r="L8315" s="16" t="s">
        <v>26</v>
      </c>
      <c r="M8315" s="16">
        <f t="shared" si="777"/>
        <v>-0.31572297923858361</v>
      </c>
      <c r="N8315">
        <f t="shared" si="778"/>
        <v>0</v>
      </c>
      <c r="O8315">
        <f t="shared" si="779"/>
        <v>0</v>
      </c>
      <c r="P8315">
        <f t="shared" si="776"/>
        <v>4450</v>
      </c>
      <c r="Q8315">
        <f t="shared" si="780"/>
        <v>4450</v>
      </c>
      <c r="T8315" s="16">
        <f t="shared" si="781"/>
        <v>-0.315722979238584</v>
      </c>
    </row>
    <row r="8316" spans="7:20" ht="14.4" x14ac:dyDescent="0.25">
      <c r="G8316" s="10">
        <v>5090</v>
      </c>
      <c r="H8316" s="9">
        <v>36292</v>
      </c>
      <c r="I8316" s="14">
        <f>DATE(2012,12,31)-1058</f>
        <v>40216</v>
      </c>
      <c r="J8316" s="15" t="s">
        <v>30</v>
      </c>
      <c r="K8316" s="9">
        <v>37</v>
      </c>
      <c r="L8316" s="16" t="s">
        <v>26</v>
      </c>
      <c r="M8316" s="16">
        <f t="shared" si="777"/>
        <v>0.78923344666895934</v>
      </c>
      <c r="N8316">
        <f t="shared" si="778"/>
        <v>0</v>
      </c>
      <c r="O8316">
        <f t="shared" si="779"/>
        <v>0</v>
      </c>
      <c r="P8316">
        <f t="shared" si="776"/>
        <v>5250</v>
      </c>
      <c r="Q8316">
        <f t="shared" si="780"/>
        <v>5250</v>
      </c>
      <c r="T8316" s="16">
        <f t="shared" si="781"/>
        <v>0.789233446668959</v>
      </c>
    </row>
    <row r="8317" spans="7:20" ht="14.4" x14ac:dyDescent="0.25">
      <c r="G8317" s="10">
        <v>5103</v>
      </c>
      <c r="H8317" s="9">
        <v>36357</v>
      </c>
      <c r="I8317" s="14">
        <f>DATE(2012,12,31)-352</f>
        <v>40922</v>
      </c>
      <c r="J8317" s="15" t="s">
        <v>28</v>
      </c>
      <c r="K8317" s="9">
        <v>38</v>
      </c>
      <c r="L8317" s="16" t="s">
        <v>27</v>
      </c>
      <c r="M8317" s="16">
        <f t="shared" si="777"/>
        <v>0.85829322328818081</v>
      </c>
      <c r="N8317">
        <f t="shared" si="778"/>
        <v>0</v>
      </c>
      <c r="O8317">
        <f t="shared" si="779"/>
        <v>0</v>
      </c>
      <c r="P8317">
        <f t="shared" si="776"/>
        <v>5300</v>
      </c>
      <c r="Q8317">
        <f t="shared" si="780"/>
        <v>5300</v>
      </c>
      <c r="T8317" s="16">
        <f t="shared" si="781"/>
        <v>0.85829322328818036</v>
      </c>
    </row>
    <row r="8318" spans="7:20" ht="14.4" x14ac:dyDescent="0.25">
      <c r="G8318" s="10">
        <v>5122</v>
      </c>
      <c r="H8318" s="9">
        <v>36482</v>
      </c>
      <c r="I8318" s="14">
        <f>DATE(2012,12,31)-545</f>
        <v>40729</v>
      </c>
      <c r="J8318" s="15" t="s">
        <v>16</v>
      </c>
      <c r="K8318" s="9">
        <v>7</v>
      </c>
      <c r="L8318" s="16" t="s">
        <v>26</v>
      </c>
      <c r="M8318" s="16">
        <f t="shared" si="777"/>
        <v>-1.2825598519076837</v>
      </c>
      <c r="N8318">
        <f t="shared" si="778"/>
        <v>0</v>
      </c>
      <c r="O8318">
        <f t="shared" si="779"/>
        <v>0</v>
      </c>
      <c r="P8318">
        <f t="shared" si="776"/>
        <v>3750</v>
      </c>
      <c r="Q8318">
        <f t="shared" si="780"/>
        <v>3750</v>
      </c>
      <c r="T8318" s="16">
        <f t="shared" si="781"/>
        <v>-1.2825598519076842</v>
      </c>
    </row>
    <row r="8319" spans="7:20" ht="14.4" x14ac:dyDescent="0.25">
      <c r="G8319" s="10">
        <v>5123</v>
      </c>
      <c r="H8319" s="9">
        <v>36482</v>
      </c>
      <c r="I8319" s="14">
        <f>DATE(2012,12,31)-545</f>
        <v>40729</v>
      </c>
      <c r="J8319" s="15" t="s">
        <v>16</v>
      </c>
      <c r="K8319" s="9">
        <v>47</v>
      </c>
      <c r="L8319" s="16" t="s">
        <v>26</v>
      </c>
      <c r="M8319" s="16">
        <f t="shared" si="777"/>
        <v>1.4798312128611737</v>
      </c>
      <c r="N8319">
        <f t="shared" si="778"/>
        <v>0</v>
      </c>
      <c r="O8319">
        <f t="shared" si="779"/>
        <v>0</v>
      </c>
      <c r="P8319">
        <f t="shared" si="776"/>
        <v>5750</v>
      </c>
      <c r="Q8319">
        <f t="shared" si="780"/>
        <v>5750</v>
      </c>
      <c r="T8319" s="16">
        <f t="shared" si="781"/>
        <v>1.4798312128611733</v>
      </c>
    </row>
    <row r="8320" spans="7:20" ht="14.4" x14ac:dyDescent="0.25">
      <c r="G8320" s="10">
        <v>5124</v>
      </c>
      <c r="H8320" s="9">
        <v>36482</v>
      </c>
      <c r="I8320" s="14">
        <f>DATE(2012,12,31)-545</f>
        <v>40729</v>
      </c>
      <c r="J8320" s="15" t="s">
        <v>16</v>
      </c>
      <c r="K8320" s="9">
        <v>27</v>
      </c>
      <c r="L8320" s="16" t="s">
        <v>29</v>
      </c>
      <c r="M8320" s="16">
        <f t="shared" si="777"/>
        <v>9.8635680476745008E-2</v>
      </c>
      <c r="N8320">
        <f t="shared" si="778"/>
        <v>0</v>
      </c>
      <c r="O8320">
        <f t="shared" si="779"/>
        <v>0</v>
      </c>
      <c r="P8320">
        <f t="shared" si="776"/>
        <v>4750</v>
      </c>
      <c r="Q8320">
        <f t="shared" si="780"/>
        <v>4750</v>
      </c>
      <c r="T8320" s="16">
        <f t="shared" si="781"/>
        <v>9.8635680476744619E-2</v>
      </c>
    </row>
    <row r="8321" spans="7:20" ht="14.4" x14ac:dyDescent="0.25">
      <c r="G8321" s="10">
        <v>5168</v>
      </c>
      <c r="H8321" s="9">
        <v>36772</v>
      </c>
      <c r="I8321" s="14">
        <f>DATE(2012,12,31)-961</f>
        <v>40313</v>
      </c>
      <c r="J8321" s="15" t="s">
        <v>16</v>
      </c>
      <c r="K8321" s="9">
        <v>47</v>
      </c>
      <c r="L8321" s="16" t="s">
        <v>26</v>
      </c>
      <c r="M8321" s="16">
        <f t="shared" si="777"/>
        <v>1.4798312128611737</v>
      </c>
      <c r="N8321">
        <f t="shared" si="778"/>
        <v>0</v>
      </c>
      <c r="O8321">
        <f t="shared" si="779"/>
        <v>0</v>
      </c>
      <c r="P8321">
        <f t="shared" si="776"/>
        <v>5750</v>
      </c>
      <c r="Q8321">
        <f t="shared" si="780"/>
        <v>5750</v>
      </c>
      <c r="T8321" s="16">
        <f t="shared" si="781"/>
        <v>1.4798312128611733</v>
      </c>
    </row>
    <row r="8322" spans="7:20" ht="14.4" x14ac:dyDescent="0.25">
      <c r="G8322" s="10">
        <v>5206</v>
      </c>
      <c r="H8322" s="9">
        <v>36998</v>
      </c>
      <c r="I8322" s="14">
        <f>DATE(2012,12,31)-93</f>
        <v>41181</v>
      </c>
      <c r="J8322" s="15" t="s">
        <v>25</v>
      </c>
      <c r="K8322" s="9">
        <v>50</v>
      </c>
      <c r="L8322" s="16" t="s">
        <v>29</v>
      </c>
      <c r="M8322" s="16">
        <f t="shared" si="777"/>
        <v>1.687010542718838</v>
      </c>
      <c r="N8322">
        <f t="shared" si="778"/>
        <v>0</v>
      </c>
      <c r="O8322">
        <f t="shared" si="779"/>
        <v>0</v>
      </c>
      <c r="P8322">
        <f t="shared" si="776"/>
        <v>5900</v>
      </c>
      <c r="Q8322">
        <f t="shared" si="780"/>
        <v>5900</v>
      </c>
      <c r="T8322" s="16">
        <f t="shared" si="781"/>
        <v>1.6870105427188375</v>
      </c>
    </row>
    <row r="8323" spans="7:20" ht="14.4" x14ac:dyDescent="0.25">
      <c r="G8323" s="10">
        <v>5207</v>
      </c>
      <c r="H8323" s="9">
        <v>36998</v>
      </c>
      <c r="I8323" s="14">
        <f>DATE(2012,12,31)-93</f>
        <v>41181</v>
      </c>
      <c r="J8323" s="15" t="s">
        <v>25</v>
      </c>
      <c r="K8323" s="9">
        <v>41</v>
      </c>
      <c r="L8323" s="16" t="s">
        <v>26</v>
      </c>
      <c r="M8323" s="16">
        <f t="shared" si="777"/>
        <v>1.0654725531458451</v>
      </c>
      <c r="N8323">
        <f t="shared" si="778"/>
        <v>0</v>
      </c>
      <c r="O8323">
        <f t="shared" si="779"/>
        <v>0</v>
      </c>
      <c r="P8323">
        <f t="shared" si="776"/>
        <v>5450</v>
      </c>
      <c r="Q8323">
        <f t="shared" si="780"/>
        <v>5450</v>
      </c>
      <c r="T8323" s="16">
        <f t="shared" si="781"/>
        <v>1.0654725531458447</v>
      </c>
    </row>
    <row r="8324" spans="7:20" ht="14.4" x14ac:dyDescent="0.25">
      <c r="G8324" s="10">
        <v>5208</v>
      </c>
      <c r="H8324" s="9">
        <v>36998</v>
      </c>
      <c r="I8324" s="14">
        <f>DATE(2012,12,31)-93</f>
        <v>41181</v>
      </c>
      <c r="J8324" s="15" t="s">
        <v>25</v>
      </c>
      <c r="K8324" s="9">
        <v>8</v>
      </c>
      <c r="L8324" s="16" t="s">
        <v>26</v>
      </c>
      <c r="M8324" s="16">
        <f t="shared" si="777"/>
        <v>-1.2135000752884624</v>
      </c>
      <c r="N8324">
        <f t="shared" si="778"/>
        <v>0</v>
      </c>
      <c r="O8324">
        <f t="shared" si="779"/>
        <v>0</v>
      </c>
      <c r="P8324">
        <f t="shared" si="776"/>
        <v>3800</v>
      </c>
      <c r="Q8324">
        <f t="shared" si="780"/>
        <v>3800</v>
      </c>
      <c r="T8324" s="16">
        <f t="shared" si="781"/>
        <v>-1.2135000752884626</v>
      </c>
    </row>
    <row r="8325" spans="7:20" ht="14.4" x14ac:dyDescent="0.25">
      <c r="G8325" s="10">
        <v>5213</v>
      </c>
      <c r="H8325" s="9">
        <v>37095</v>
      </c>
      <c r="I8325" s="14">
        <f>DATE(2012,12,31)-1392</f>
        <v>39882</v>
      </c>
      <c r="J8325" s="15" t="s">
        <v>25</v>
      </c>
      <c r="K8325" s="9">
        <v>3</v>
      </c>
      <c r="L8325" s="16" t="s">
        <v>27</v>
      </c>
      <c r="M8325" s="16">
        <f t="shared" si="777"/>
        <v>-1.5587989583845694</v>
      </c>
      <c r="N8325">
        <f t="shared" si="778"/>
        <v>0</v>
      </c>
      <c r="O8325">
        <f t="shared" si="779"/>
        <v>0</v>
      </c>
      <c r="P8325">
        <f t="shared" si="776"/>
        <v>3550</v>
      </c>
      <c r="Q8325">
        <f t="shared" si="780"/>
        <v>3550</v>
      </c>
      <c r="T8325" s="16">
        <f t="shared" si="781"/>
        <v>-1.5587989583845698</v>
      </c>
    </row>
    <row r="8326" spans="7:20" ht="14.4" x14ac:dyDescent="0.25">
      <c r="G8326" s="10">
        <v>5248</v>
      </c>
      <c r="H8326" s="9">
        <v>37319</v>
      </c>
      <c r="I8326" s="14">
        <f>DATE(2012,12,31)-1245</f>
        <v>40029</v>
      </c>
      <c r="J8326" s="15" t="s">
        <v>30</v>
      </c>
      <c r="K8326" s="9">
        <v>37</v>
      </c>
      <c r="L8326" s="16" t="s">
        <v>26</v>
      </c>
      <c r="M8326" s="16">
        <f t="shared" si="777"/>
        <v>0.78923344666895934</v>
      </c>
      <c r="N8326">
        <f t="shared" si="778"/>
        <v>0</v>
      </c>
      <c r="O8326">
        <f t="shared" si="779"/>
        <v>0</v>
      </c>
      <c r="P8326">
        <f t="shared" si="776"/>
        <v>5250</v>
      </c>
      <c r="Q8326">
        <f t="shared" si="780"/>
        <v>5250</v>
      </c>
      <c r="T8326" s="16">
        <f t="shared" si="781"/>
        <v>0.789233446668959</v>
      </c>
    </row>
    <row r="8327" spans="7:20" ht="14.4" x14ac:dyDescent="0.25">
      <c r="G8327" s="10">
        <v>5474</v>
      </c>
      <c r="H8327" s="9">
        <v>38886</v>
      </c>
      <c r="I8327" s="14">
        <f>DATE(2012,12,31)-1242</f>
        <v>40032</v>
      </c>
      <c r="J8327" s="15" t="s">
        <v>17</v>
      </c>
      <c r="K8327" s="9">
        <v>26</v>
      </c>
      <c r="L8327" s="16" t="s">
        <v>26</v>
      </c>
      <c r="M8327" s="16">
        <f t="shared" si="777"/>
        <v>2.9575903857523567E-2</v>
      </c>
      <c r="N8327">
        <f t="shared" si="778"/>
        <v>0</v>
      </c>
      <c r="O8327">
        <f t="shared" si="779"/>
        <v>0</v>
      </c>
      <c r="P8327">
        <f t="shared" si="776"/>
        <v>4700</v>
      </c>
      <c r="Q8327">
        <f t="shared" si="780"/>
        <v>4700</v>
      </c>
      <c r="T8327" s="16">
        <f t="shared" si="781"/>
        <v>2.9575903857523185E-2</v>
      </c>
    </row>
    <row r="8328" spans="7:20" ht="14.4" x14ac:dyDescent="0.25">
      <c r="G8328" s="10">
        <v>5523</v>
      </c>
      <c r="H8328" s="9">
        <v>39140</v>
      </c>
      <c r="I8328" s="14">
        <f>DATE(2012,12,31)-826</f>
        <v>40448</v>
      </c>
      <c r="J8328" s="15" t="s">
        <v>25</v>
      </c>
      <c r="K8328" s="9">
        <v>26</v>
      </c>
      <c r="L8328" s="16" t="s">
        <v>29</v>
      </c>
      <c r="M8328" s="16">
        <f t="shared" si="777"/>
        <v>2.9575903857523567E-2</v>
      </c>
      <c r="N8328">
        <f t="shared" si="778"/>
        <v>0</v>
      </c>
      <c r="O8328">
        <f t="shared" si="779"/>
        <v>0</v>
      </c>
      <c r="P8328">
        <f t="shared" si="776"/>
        <v>4700</v>
      </c>
      <c r="Q8328">
        <f t="shared" si="780"/>
        <v>4700</v>
      </c>
      <c r="T8328" s="16">
        <f t="shared" si="781"/>
        <v>2.9575903857523185E-2</v>
      </c>
    </row>
    <row r="8329" spans="7:20" ht="14.4" x14ac:dyDescent="0.25">
      <c r="G8329" s="10">
        <v>5597</v>
      </c>
      <c r="H8329" s="9">
        <v>39682</v>
      </c>
      <c r="I8329" s="14">
        <f>DATE(2012,12,31)-783</f>
        <v>40491</v>
      </c>
      <c r="J8329" s="15" t="s">
        <v>16</v>
      </c>
      <c r="K8329" s="9">
        <v>43</v>
      </c>
      <c r="L8329" s="16" t="s">
        <v>26</v>
      </c>
      <c r="M8329" s="16">
        <f t="shared" si="777"/>
        <v>1.203592106384288</v>
      </c>
      <c r="N8329">
        <f t="shared" si="778"/>
        <v>0</v>
      </c>
      <c r="O8329">
        <f t="shared" si="779"/>
        <v>0</v>
      </c>
      <c r="P8329">
        <f t="shared" si="776"/>
        <v>5550</v>
      </c>
      <c r="Q8329">
        <f t="shared" si="780"/>
        <v>5550</v>
      </c>
      <c r="T8329" s="16">
        <f t="shared" si="781"/>
        <v>1.2035921063842876</v>
      </c>
    </row>
    <row r="8330" spans="7:20" ht="14.4" x14ac:dyDescent="0.25">
      <c r="G8330" s="10">
        <v>5621</v>
      </c>
      <c r="H8330" s="9">
        <v>39813</v>
      </c>
      <c r="I8330" s="14">
        <f>DATE(2012,12,31)-333</f>
        <v>40941</v>
      </c>
      <c r="J8330" s="15" t="s">
        <v>30</v>
      </c>
      <c r="K8330" s="9">
        <v>48</v>
      </c>
      <c r="L8330" s="16" t="s">
        <v>26</v>
      </c>
      <c r="M8330" s="16">
        <f t="shared" si="777"/>
        <v>1.5488909894803951</v>
      </c>
      <c r="N8330">
        <f t="shared" si="778"/>
        <v>0</v>
      </c>
      <c r="O8330">
        <f t="shared" si="779"/>
        <v>0</v>
      </c>
      <c r="P8330">
        <f t="shared" si="776"/>
        <v>5800</v>
      </c>
      <c r="Q8330">
        <f t="shared" si="780"/>
        <v>5800</v>
      </c>
      <c r="T8330" s="16">
        <f t="shared" si="781"/>
        <v>1.5488909894803948</v>
      </c>
    </row>
    <row r="8331" spans="7:20" ht="14.4" x14ac:dyDescent="0.25">
      <c r="G8331" s="10">
        <v>5644</v>
      </c>
      <c r="H8331" s="9">
        <v>39937</v>
      </c>
      <c r="I8331" s="14">
        <f>DATE(2012,12,31)-588</f>
        <v>40686</v>
      </c>
      <c r="J8331" s="15" t="s">
        <v>16</v>
      </c>
      <c r="K8331" s="9">
        <v>42</v>
      </c>
      <c r="L8331" s="16" t="s">
        <v>26</v>
      </c>
      <c r="M8331" s="16">
        <f t="shared" si="777"/>
        <v>1.1345323297650665</v>
      </c>
      <c r="N8331">
        <f t="shared" si="778"/>
        <v>0</v>
      </c>
      <c r="O8331">
        <f t="shared" si="779"/>
        <v>0</v>
      </c>
      <c r="P8331">
        <f t="shared" si="776"/>
        <v>5500</v>
      </c>
      <c r="Q8331">
        <f t="shared" si="780"/>
        <v>5500</v>
      </c>
      <c r="T8331" s="16">
        <f t="shared" si="781"/>
        <v>1.1345323297650662</v>
      </c>
    </row>
    <row r="8332" spans="7:20" ht="14.4" x14ac:dyDescent="0.25">
      <c r="G8332" s="10">
        <v>5658</v>
      </c>
      <c r="H8332" s="9">
        <v>40034</v>
      </c>
      <c r="I8332" s="14">
        <f>DATE(2012,12,31)-662</f>
        <v>40612</v>
      </c>
      <c r="J8332" s="15" t="s">
        <v>16</v>
      </c>
      <c r="K8332" s="9">
        <v>47</v>
      </c>
      <c r="L8332" s="16" t="s">
        <v>26</v>
      </c>
      <c r="M8332" s="16">
        <f t="shared" si="777"/>
        <v>1.4798312128611737</v>
      </c>
      <c r="N8332">
        <f t="shared" si="778"/>
        <v>0</v>
      </c>
      <c r="O8332">
        <f t="shared" si="779"/>
        <v>0</v>
      </c>
      <c r="P8332">
        <f t="shared" ref="P8332:P8395" si="782">50*K8332+$P$10</f>
        <v>5750</v>
      </c>
      <c r="Q8332">
        <f t="shared" si="780"/>
        <v>5750</v>
      </c>
      <c r="T8332" s="16">
        <f t="shared" si="781"/>
        <v>1.4798312128611733</v>
      </c>
    </row>
    <row r="8333" spans="7:20" ht="14.4" x14ac:dyDescent="0.25">
      <c r="G8333" s="10">
        <v>5673</v>
      </c>
      <c r="H8333" s="9">
        <v>40128</v>
      </c>
      <c r="I8333" s="14">
        <f>DATE(2012,12,31)-1421</f>
        <v>39853</v>
      </c>
      <c r="J8333" s="15" t="s">
        <v>25</v>
      </c>
      <c r="K8333" s="9">
        <v>43</v>
      </c>
      <c r="L8333" s="16" t="s">
        <v>29</v>
      </c>
      <c r="M8333" s="16">
        <f t="shared" ref="M8333:M8396" si="783">(K8333-$K$4)/$K$7</f>
        <v>1.203592106384288</v>
      </c>
      <c r="N8333">
        <f t="shared" ref="N8333:N8396" si="784">IF(MOD($B$20+G8333,1000)=0,1,0)</f>
        <v>0</v>
      </c>
      <c r="O8333">
        <f t="shared" ref="O8333:O8396" si="785">+ROUND(N8333*(IF(K8333&lt;$K$4,-4.5,10.5)*$P$5),-2)</f>
        <v>0</v>
      </c>
      <c r="P8333">
        <f t="shared" si="782"/>
        <v>5550</v>
      </c>
      <c r="Q8333">
        <f t="shared" ref="Q8333:Q8396" si="786">P8333+O8333</f>
        <v>5550</v>
      </c>
      <c r="T8333" s="16">
        <f t="shared" ref="T8333:T8396" si="787">(Q8333-$P$4)/$P$5</f>
        <v>1.2035921063842876</v>
      </c>
    </row>
    <row r="8334" spans="7:20" ht="14.4" x14ac:dyDescent="0.25">
      <c r="G8334" s="10">
        <v>5720</v>
      </c>
      <c r="H8334" s="9">
        <v>40519</v>
      </c>
      <c r="I8334" s="14">
        <f>DATE(2012,12,31)-741</f>
        <v>40533</v>
      </c>
      <c r="J8334" s="15" t="s">
        <v>30</v>
      </c>
      <c r="K8334" s="9">
        <v>38</v>
      </c>
      <c r="L8334" s="16" t="s">
        <v>26</v>
      </c>
      <c r="M8334" s="16">
        <f t="shared" si="783"/>
        <v>0.85829322328818081</v>
      </c>
      <c r="N8334">
        <f t="shared" si="784"/>
        <v>0</v>
      </c>
      <c r="O8334">
        <f t="shared" si="785"/>
        <v>0</v>
      </c>
      <c r="P8334">
        <f t="shared" si="782"/>
        <v>5300</v>
      </c>
      <c r="Q8334">
        <f t="shared" si="786"/>
        <v>5300</v>
      </c>
      <c r="T8334" s="16">
        <f t="shared" si="787"/>
        <v>0.85829322328818036</v>
      </c>
    </row>
    <row r="8335" spans="7:20" ht="14.4" x14ac:dyDescent="0.25">
      <c r="G8335" s="10">
        <v>5753</v>
      </c>
      <c r="H8335" s="9">
        <v>40838</v>
      </c>
      <c r="I8335" s="14">
        <f>DATE(2012,12,31)-35</f>
        <v>41239</v>
      </c>
      <c r="J8335" s="15" t="s">
        <v>28</v>
      </c>
      <c r="K8335" s="9">
        <v>40</v>
      </c>
      <c r="L8335" s="16" t="s">
        <v>29</v>
      </c>
      <c r="M8335" s="16">
        <f t="shared" si="783"/>
        <v>0.99641277652662363</v>
      </c>
      <c r="N8335">
        <f t="shared" si="784"/>
        <v>0</v>
      </c>
      <c r="O8335">
        <f t="shared" si="785"/>
        <v>0</v>
      </c>
      <c r="P8335">
        <f t="shared" si="782"/>
        <v>5400</v>
      </c>
      <c r="Q8335">
        <f t="shared" si="786"/>
        <v>5400</v>
      </c>
      <c r="T8335" s="16">
        <f t="shared" si="787"/>
        <v>0.9964127765266233</v>
      </c>
    </row>
    <row r="8336" spans="7:20" ht="14.4" x14ac:dyDescent="0.25">
      <c r="G8336" s="10">
        <v>5754</v>
      </c>
      <c r="H8336" s="9">
        <v>40838</v>
      </c>
      <c r="I8336" s="14">
        <f>DATE(2012,12,31)-35</f>
        <v>41239</v>
      </c>
      <c r="J8336" s="15" t="s">
        <v>28</v>
      </c>
      <c r="K8336" s="9">
        <v>10</v>
      </c>
      <c r="L8336" s="16" t="s">
        <v>27</v>
      </c>
      <c r="M8336" s="16">
        <f t="shared" si="783"/>
        <v>-1.0753805220500194</v>
      </c>
      <c r="N8336">
        <f t="shared" si="784"/>
        <v>0</v>
      </c>
      <c r="O8336">
        <f t="shared" si="785"/>
        <v>0</v>
      </c>
      <c r="P8336">
        <f t="shared" si="782"/>
        <v>3900</v>
      </c>
      <c r="Q8336">
        <f t="shared" si="786"/>
        <v>3900</v>
      </c>
      <c r="T8336" s="16">
        <f t="shared" si="787"/>
        <v>-1.0753805220500199</v>
      </c>
    </row>
    <row r="8337" spans="7:20" ht="14.4" x14ac:dyDescent="0.25">
      <c r="G8337" s="10">
        <v>5811</v>
      </c>
      <c r="H8337" s="9">
        <v>41189</v>
      </c>
      <c r="I8337" s="14">
        <f>DATE(2012,12,31)-1266</f>
        <v>40008</v>
      </c>
      <c r="J8337" s="15" t="s">
        <v>25</v>
      </c>
      <c r="K8337" s="9">
        <v>30</v>
      </c>
      <c r="L8337" s="16" t="s">
        <v>26</v>
      </c>
      <c r="M8337" s="16">
        <f t="shared" si="783"/>
        <v>0.30581501033440933</v>
      </c>
      <c r="N8337">
        <f t="shared" si="784"/>
        <v>0</v>
      </c>
      <c r="O8337">
        <f t="shared" si="785"/>
        <v>0</v>
      </c>
      <c r="P8337">
        <f t="shared" si="782"/>
        <v>4900</v>
      </c>
      <c r="Q8337">
        <f t="shared" si="786"/>
        <v>4900</v>
      </c>
      <c r="T8337" s="16">
        <f t="shared" si="787"/>
        <v>0.30581501033440894</v>
      </c>
    </row>
    <row r="8338" spans="7:20" ht="14.4" x14ac:dyDescent="0.25">
      <c r="G8338" s="10">
        <v>5818</v>
      </c>
      <c r="H8338" s="9">
        <v>41255</v>
      </c>
      <c r="I8338" s="14">
        <f>DATE(2012,12,31)-1170</f>
        <v>40104</v>
      </c>
      <c r="J8338" s="15" t="s">
        <v>25</v>
      </c>
      <c r="K8338" s="9">
        <v>22</v>
      </c>
      <c r="L8338" s="16" t="s">
        <v>29</v>
      </c>
      <c r="M8338" s="16">
        <f t="shared" si="783"/>
        <v>-0.24666320261936217</v>
      </c>
      <c r="N8338">
        <f t="shared" si="784"/>
        <v>0</v>
      </c>
      <c r="O8338">
        <f t="shared" si="785"/>
        <v>0</v>
      </c>
      <c r="P8338">
        <f t="shared" si="782"/>
        <v>4500</v>
      </c>
      <c r="Q8338">
        <f t="shared" si="786"/>
        <v>4500</v>
      </c>
      <c r="T8338" s="16">
        <f t="shared" si="787"/>
        <v>-0.24666320261936256</v>
      </c>
    </row>
    <row r="8339" spans="7:20" ht="14.4" x14ac:dyDescent="0.25">
      <c r="G8339" s="10">
        <v>5882</v>
      </c>
      <c r="H8339" s="9">
        <v>41760</v>
      </c>
      <c r="I8339" s="14">
        <f>DATE(2012,12,31)-339</f>
        <v>40935</v>
      </c>
      <c r="J8339" s="15" t="s">
        <v>25</v>
      </c>
      <c r="K8339" s="9">
        <v>21</v>
      </c>
      <c r="L8339" s="16" t="s">
        <v>26</v>
      </c>
      <c r="M8339" s="16">
        <f t="shared" si="783"/>
        <v>-0.31572297923858361</v>
      </c>
      <c r="N8339">
        <f t="shared" si="784"/>
        <v>0</v>
      </c>
      <c r="O8339">
        <f t="shared" si="785"/>
        <v>0</v>
      </c>
      <c r="P8339">
        <f t="shared" si="782"/>
        <v>4450</v>
      </c>
      <c r="Q8339">
        <f t="shared" si="786"/>
        <v>4450</v>
      </c>
      <c r="T8339" s="16">
        <f t="shared" si="787"/>
        <v>-0.315722979238584</v>
      </c>
    </row>
    <row r="8340" spans="7:20" ht="14.4" x14ac:dyDescent="0.25">
      <c r="G8340" s="10">
        <v>5883</v>
      </c>
      <c r="H8340" s="9">
        <v>41760</v>
      </c>
      <c r="I8340" s="14">
        <f>DATE(2012,12,31)-339</f>
        <v>40935</v>
      </c>
      <c r="J8340" s="15" t="s">
        <v>25</v>
      </c>
      <c r="K8340" s="9">
        <v>22</v>
      </c>
      <c r="L8340" s="16" t="s">
        <v>29</v>
      </c>
      <c r="M8340" s="16">
        <f t="shared" si="783"/>
        <v>-0.24666320261936217</v>
      </c>
      <c r="N8340">
        <f t="shared" si="784"/>
        <v>0</v>
      </c>
      <c r="O8340">
        <f t="shared" si="785"/>
        <v>0</v>
      </c>
      <c r="P8340">
        <f t="shared" si="782"/>
        <v>4500</v>
      </c>
      <c r="Q8340">
        <f t="shared" si="786"/>
        <v>4500</v>
      </c>
      <c r="T8340" s="16">
        <f t="shared" si="787"/>
        <v>-0.24666320261936256</v>
      </c>
    </row>
    <row r="8341" spans="7:20" ht="14.4" x14ac:dyDescent="0.25">
      <c r="G8341" s="10">
        <v>5884</v>
      </c>
      <c r="H8341" s="9">
        <v>41760</v>
      </c>
      <c r="I8341" s="14">
        <f>DATE(2012,12,31)-339</f>
        <v>40935</v>
      </c>
      <c r="J8341" s="15" t="s">
        <v>25</v>
      </c>
      <c r="K8341" s="9">
        <v>7</v>
      </c>
      <c r="L8341" s="16" t="s">
        <v>27</v>
      </c>
      <c r="M8341" s="16">
        <f t="shared" si="783"/>
        <v>-1.2825598519076837</v>
      </c>
      <c r="N8341">
        <f t="shared" si="784"/>
        <v>0</v>
      </c>
      <c r="O8341">
        <f t="shared" si="785"/>
        <v>0</v>
      </c>
      <c r="P8341">
        <f t="shared" si="782"/>
        <v>3750</v>
      </c>
      <c r="Q8341">
        <f t="shared" si="786"/>
        <v>3750</v>
      </c>
      <c r="T8341" s="16">
        <f t="shared" si="787"/>
        <v>-1.2825598519076842</v>
      </c>
    </row>
    <row r="8342" spans="7:20" ht="14.4" x14ac:dyDescent="0.25">
      <c r="G8342" s="10">
        <v>5885</v>
      </c>
      <c r="H8342" s="9">
        <v>41760</v>
      </c>
      <c r="I8342" s="14">
        <f>DATE(2012,12,31)-339</f>
        <v>40935</v>
      </c>
      <c r="J8342" s="15" t="s">
        <v>25</v>
      </c>
      <c r="K8342" s="9">
        <v>40</v>
      </c>
      <c r="L8342" s="16" t="s">
        <v>27</v>
      </c>
      <c r="M8342" s="16">
        <f t="shared" si="783"/>
        <v>0.99641277652662363</v>
      </c>
      <c r="N8342">
        <f t="shared" si="784"/>
        <v>0</v>
      </c>
      <c r="O8342">
        <f t="shared" si="785"/>
        <v>0</v>
      </c>
      <c r="P8342">
        <f t="shared" si="782"/>
        <v>5400</v>
      </c>
      <c r="Q8342">
        <f t="shared" si="786"/>
        <v>5400</v>
      </c>
      <c r="T8342" s="16">
        <f t="shared" si="787"/>
        <v>0.9964127765266233</v>
      </c>
    </row>
    <row r="8343" spans="7:20" ht="14.4" x14ac:dyDescent="0.25">
      <c r="G8343" s="10">
        <v>6046</v>
      </c>
      <c r="H8343" s="9">
        <v>42852</v>
      </c>
      <c r="I8343" s="14">
        <f>DATE(2012,12,31)-1107</f>
        <v>40167</v>
      </c>
      <c r="J8343" s="15" t="s">
        <v>28</v>
      </c>
      <c r="K8343" s="9">
        <v>13</v>
      </c>
      <c r="L8343" s="16" t="s">
        <v>26</v>
      </c>
      <c r="M8343" s="16">
        <f t="shared" si="783"/>
        <v>-0.86820119219235514</v>
      </c>
      <c r="N8343">
        <f t="shared" si="784"/>
        <v>0</v>
      </c>
      <c r="O8343">
        <f t="shared" si="785"/>
        <v>0</v>
      </c>
      <c r="P8343">
        <f t="shared" si="782"/>
        <v>4050</v>
      </c>
      <c r="Q8343">
        <f t="shared" si="786"/>
        <v>4050</v>
      </c>
      <c r="T8343" s="16">
        <f t="shared" si="787"/>
        <v>-0.86820119219235548</v>
      </c>
    </row>
    <row r="8344" spans="7:20" ht="14.4" x14ac:dyDescent="0.25">
      <c r="G8344" s="10">
        <v>6069</v>
      </c>
      <c r="H8344" s="9">
        <v>42982</v>
      </c>
      <c r="I8344" s="14">
        <f>DATE(2012,12,31)-157</f>
        <v>41117</v>
      </c>
      <c r="J8344" s="15" t="s">
        <v>25</v>
      </c>
      <c r="K8344" s="9">
        <v>42</v>
      </c>
      <c r="L8344" s="16" t="s">
        <v>29</v>
      </c>
      <c r="M8344" s="16">
        <f t="shared" si="783"/>
        <v>1.1345323297650665</v>
      </c>
      <c r="N8344">
        <f t="shared" si="784"/>
        <v>0</v>
      </c>
      <c r="O8344">
        <f t="shared" si="785"/>
        <v>0</v>
      </c>
      <c r="P8344">
        <f t="shared" si="782"/>
        <v>5500</v>
      </c>
      <c r="Q8344">
        <f t="shared" si="786"/>
        <v>5500</v>
      </c>
      <c r="T8344" s="16">
        <f t="shared" si="787"/>
        <v>1.1345323297650662</v>
      </c>
    </row>
    <row r="8345" spans="7:20" ht="14.4" x14ac:dyDescent="0.25">
      <c r="G8345" s="10">
        <v>6111</v>
      </c>
      <c r="H8345" s="9">
        <v>43298</v>
      </c>
      <c r="I8345" s="14">
        <f>DATE(2012,12,31)-540</f>
        <v>40734</v>
      </c>
      <c r="J8345" s="15" t="s">
        <v>28</v>
      </c>
      <c r="K8345" s="9">
        <v>33</v>
      </c>
      <c r="L8345" s="16" t="s">
        <v>27</v>
      </c>
      <c r="M8345" s="16">
        <f t="shared" si="783"/>
        <v>0.51299434019207357</v>
      </c>
      <c r="N8345">
        <f t="shared" si="784"/>
        <v>0</v>
      </c>
      <c r="O8345">
        <f t="shared" si="785"/>
        <v>0</v>
      </c>
      <c r="P8345">
        <f t="shared" si="782"/>
        <v>5050</v>
      </c>
      <c r="Q8345">
        <f t="shared" si="786"/>
        <v>5050</v>
      </c>
      <c r="T8345" s="16">
        <f t="shared" si="787"/>
        <v>0.51299434019207324</v>
      </c>
    </row>
    <row r="8346" spans="7:20" ht="14.4" x14ac:dyDescent="0.25">
      <c r="G8346" s="10">
        <v>6112</v>
      </c>
      <c r="H8346" s="9">
        <v>43298</v>
      </c>
      <c r="I8346" s="14">
        <f>DATE(2012,12,31)-540</f>
        <v>40734</v>
      </c>
      <c r="J8346" s="15" t="s">
        <v>28</v>
      </c>
      <c r="K8346" s="9">
        <v>15</v>
      </c>
      <c r="L8346" s="16" t="s">
        <v>26</v>
      </c>
      <c r="M8346" s="16">
        <f t="shared" si="783"/>
        <v>-0.7300816389539122</v>
      </c>
      <c r="N8346">
        <f t="shared" si="784"/>
        <v>0</v>
      </c>
      <c r="O8346">
        <f t="shared" si="785"/>
        <v>0</v>
      </c>
      <c r="P8346">
        <f t="shared" si="782"/>
        <v>4150</v>
      </c>
      <c r="Q8346">
        <f t="shared" si="786"/>
        <v>4150</v>
      </c>
      <c r="T8346" s="16">
        <f t="shared" si="787"/>
        <v>-0.73008163895391265</v>
      </c>
    </row>
    <row r="8347" spans="7:20" ht="14.4" x14ac:dyDescent="0.25">
      <c r="G8347" s="10">
        <v>6288</v>
      </c>
      <c r="H8347" s="9">
        <v>44516</v>
      </c>
      <c r="I8347" s="14">
        <f>DATE(2012,12,31)-551</f>
        <v>40723</v>
      </c>
      <c r="J8347" s="15" t="s">
        <v>30</v>
      </c>
      <c r="K8347" s="9">
        <v>17</v>
      </c>
      <c r="L8347" s="16" t="s">
        <v>26</v>
      </c>
      <c r="M8347" s="16">
        <f t="shared" si="783"/>
        <v>-0.59196208571546938</v>
      </c>
      <c r="N8347">
        <f t="shared" si="784"/>
        <v>0</v>
      </c>
      <c r="O8347">
        <f t="shared" si="785"/>
        <v>0</v>
      </c>
      <c r="P8347">
        <f t="shared" si="782"/>
        <v>4250</v>
      </c>
      <c r="Q8347">
        <f t="shared" si="786"/>
        <v>4250</v>
      </c>
      <c r="T8347" s="16">
        <f t="shared" si="787"/>
        <v>-0.59196208571546971</v>
      </c>
    </row>
    <row r="8348" spans="7:20" ht="14.4" x14ac:dyDescent="0.25">
      <c r="G8348" s="10">
        <v>6357</v>
      </c>
      <c r="H8348" s="9">
        <v>45088</v>
      </c>
      <c r="I8348" s="14">
        <f>DATE(2012,12,31)-770</f>
        <v>40504</v>
      </c>
      <c r="J8348" s="15" t="s">
        <v>25</v>
      </c>
      <c r="K8348" s="9">
        <v>9</v>
      </c>
      <c r="L8348" s="16" t="s">
        <v>27</v>
      </c>
      <c r="M8348" s="16">
        <f t="shared" si="783"/>
        <v>-1.1444402986692408</v>
      </c>
      <c r="N8348">
        <f t="shared" si="784"/>
        <v>0</v>
      </c>
      <c r="O8348">
        <f t="shared" si="785"/>
        <v>0</v>
      </c>
      <c r="P8348">
        <f t="shared" si="782"/>
        <v>3850</v>
      </c>
      <c r="Q8348">
        <f t="shared" si="786"/>
        <v>3850</v>
      </c>
      <c r="T8348" s="16">
        <f t="shared" si="787"/>
        <v>-1.1444402986692412</v>
      </c>
    </row>
    <row r="8349" spans="7:20" ht="14.4" x14ac:dyDescent="0.25">
      <c r="G8349" s="10">
        <v>6555</v>
      </c>
      <c r="H8349" s="9">
        <v>46599</v>
      </c>
      <c r="I8349" s="14">
        <f>DATE(2012,12,31)-840</f>
        <v>40434</v>
      </c>
      <c r="J8349" s="15" t="s">
        <v>28</v>
      </c>
      <c r="K8349" s="9">
        <v>4</v>
      </c>
      <c r="L8349" s="16" t="s">
        <v>29</v>
      </c>
      <c r="M8349" s="16">
        <f t="shared" si="783"/>
        <v>-1.489739181765348</v>
      </c>
      <c r="N8349">
        <f t="shared" si="784"/>
        <v>0</v>
      </c>
      <c r="O8349">
        <f t="shared" si="785"/>
        <v>0</v>
      </c>
      <c r="P8349">
        <f t="shared" si="782"/>
        <v>3600</v>
      </c>
      <c r="Q8349">
        <f t="shared" si="786"/>
        <v>3600</v>
      </c>
      <c r="T8349" s="16">
        <f t="shared" si="787"/>
        <v>-1.4897391817653485</v>
      </c>
    </row>
    <row r="8350" spans="7:20" ht="14.4" x14ac:dyDescent="0.25">
      <c r="G8350" s="10">
        <v>6681</v>
      </c>
      <c r="H8350" s="9">
        <v>47524</v>
      </c>
      <c r="I8350" s="14">
        <f>DATE(2012,12,31)-991</f>
        <v>40283</v>
      </c>
      <c r="J8350" s="15" t="s">
        <v>16</v>
      </c>
      <c r="K8350" s="9">
        <v>8</v>
      </c>
      <c r="L8350" s="16" t="s">
        <v>27</v>
      </c>
      <c r="M8350" s="16">
        <f t="shared" si="783"/>
        <v>-1.2135000752884624</v>
      </c>
      <c r="N8350">
        <f t="shared" si="784"/>
        <v>0</v>
      </c>
      <c r="O8350">
        <f t="shared" si="785"/>
        <v>0</v>
      </c>
      <c r="P8350">
        <f t="shared" si="782"/>
        <v>3800</v>
      </c>
      <c r="Q8350">
        <f t="shared" si="786"/>
        <v>3800</v>
      </c>
      <c r="T8350" s="16">
        <f t="shared" si="787"/>
        <v>-1.2135000752884626</v>
      </c>
    </row>
    <row r="8351" spans="7:20" ht="14.4" x14ac:dyDescent="0.25">
      <c r="G8351" s="10">
        <v>6741</v>
      </c>
      <c r="H8351" s="9">
        <v>48000</v>
      </c>
      <c r="I8351" s="14">
        <f>DATE(2012,12,31)-140</f>
        <v>41134</v>
      </c>
      <c r="J8351" s="15" t="s">
        <v>17</v>
      </c>
      <c r="K8351" s="9">
        <v>12</v>
      </c>
      <c r="L8351" s="16" t="s">
        <v>27</v>
      </c>
      <c r="M8351" s="16">
        <f t="shared" si="783"/>
        <v>-0.9372609688115765</v>
      </c>
      <c r="N8351">
        <f t="shared" si="784"/>
        <v>0</v>
      </c>
      <c r="O8351">
        <f t="shared" si="785"/>
        <v>0</v>
      </c>
      <c r="P8351">
        <f t="shared" si="782"/>
        <v>4000</v>
      </c>
      <c r="Q8351">
        <f t="shared" si="786"/>
        <v>4000</v>
      </c>
      <c r="T8351" s="16">
        <f t="shared" si="787"/>
        <v>-0.93726096881157694</v>
      </c>
    </row>
    <row r="8352" spans="7:20" ht="14.4" x14ac:dyDescent="0.25">
      <c r="G8352" s="10">
        <v>6790</v>
      </c>
      <c r="H8352" s="9">
        <v>48385</v>
      </c>
      <c r="I8352" s="14">
        <f>DATE(2012,12,31)-1200</f>
        <v>40074</v>
      </c>
      <c r="J8352" s="15" t="s">
        <v>16</v>
      </c>
      <c r="K8352" s="9">
        <v>16</v>
      </c>
      <c r="L8352" s="16" t="s">
        <v>27</v>
      </c>
      <c r="M8352" s="16">
        <f t="shared" si="783"/>
        <v>-0.66102186233469074</v>
      </c>
      <c r="N8352">
        <f t="shared" si="784"/>
        <v>0</v>
      </c>
      <c r="O8352">
        <f t="shared" si="785"/>
        <v>0</v>
      </c>
      <c r="P8352">
        <f t="shared" si="782"/>
        <v>4200</v>
      </c>
      <c r="Q8352">
        <f t="shared" si="786"/>
        <v>4200</v>
      </c>
      <c r="T8352" s="16">
        <f t="shared" si="787"/>
        <v>-0.66102186233469118</v>
      </c>
    </row>
    <row r="8353" spans="7:20" ht="14.4" x14ac:dyDescent="0.25">
      <c r="G8353" s="10">
        <v>6945</v>
      </c>
      <c r="H8353" s="9">
        <v>49602</v>
      </c>
      <c r="I8353" s="14">
        <f>DATE(2012,12,31)-298</f>
        <v>40976</v>
      </c>
      <c r="J8353" s="15" t="s">
        <v>28</v>
      </c>
      <c r="K8353" s="9">
        <v>31</v>
      </c>
      <c r="L8353" s="16" t="s">
        <v>29</v>
      </c>
      <c r="M8353" s="16">
        <f t="shared" si="783"/>
        <v>0.37487478695363075</v>
      </c>
      <c r="N8353">
        <f t="shared" si="784"/>
        <v>0</v>
      </c>
      <c r="O8353">
        <f t="shared" si="785"/>
        <v>0</v>
      </c>
      <c r="P8353">
        <f t="shared" si="782"/>
        <v>4950</v>
      </c>
      <c r="Q8353">
        <f t="shared" si="786"/>
        <v>4950</v>
      </c>
      <c r="T8353" s="16">
        <f t="shared" si="787"/>
        <v>0.37487478695363036</v>
      </c>
    </row>
    <row r="8354" spans="7:20" ht="14.4" x14ac:dyDescent="0.25">
      <c r="G8354" s="10">
        <v>7026</v>
      </c>
      <c r="H8354" s="9">
        <v>50146</v>
      </c>
      <c r="I8354" s="14">
        <f>DATE(2012,12,31)-875</f>
        <v>40399</v>
      </c>
      <c r="J8354" s="15" t="s">
        <v>28</v>
      </c>
      <c r="K8354" s="9">
        <v>32</v>
      </c>
      <c r="L8354" s="16" t="s">
        <v>27</v>
      </c>
      <c r="M8354" s="16">
        <f t="shared" si="783"/>
        <v>0.44393456357285216</v>
      </c>
      <c r="N8354">
        <f t="shared" si="784"/>
        <v>0</v>
      </c>
      <c r="O8354">
        <f t="shared" si="785"/>
        <v>0</v>
      </c>
      <c r="P8354">
        <f t="shared" si="782"/>
        <v>5000</v>
      </c>
      <c r="Q8354">
        <f t="shared" si="786"/>
        <v>5000</v>
      </c>
      <c r="T8354" s="16">
        <f t="shared" si="787"/>
        <v>0.44393456357285183</v>
      </c>
    </row>
    <row r="8355" spans="7:20" ht="14.4" x14ac:dyDescent="0.25">
      <c r="G8355" s="10">
        <v>7029</v>
      </c>
      <c r="H8355" s="9">
        <v>50148</v>
      </c>
      <c r="I8355" s="14">
        <f>DATE(2012,12,31)-334</f>
        <v>40940</v>
      </c>
      <c r="J8355" s="15" t="s">
        <v>16</v>
      </c>
      <c r="K8355" s="9">
        <v>9</v>
      </c>
      <c r="L8355" s="16" t="s">
        <v>27</v>
      </c>
      <c r="M8355" s="16">
        <f t="shared" si="783"/>
        <v>-1.1444402986692408</v>
      </c>
      <c r="N8355">
        <f t="shared" si="784"/>
        <v>0</v>
      </c>
      <c r="O8355">
        <f t="shared" si="785"/>
        <v>0</v>
      </c>
      <c r="P8355">
        <f t="shared" si="782"/>
        <v>3850</v>
      </c>
      <c r="Q8355">
        <f t="shared" si="786"/>
        <v>3850</v>
      </c>
      <c r="T8355" s="16">
        <f t="shared" si="787"/>
        <v>-1.1444402986692412</v>
      </c>
    </row>
    <row r="8356" spans="7:20" ht="14.4" x14ac:dyDescent="0.25">
      <c r="G8356" s="10">
        <v>7090</v>
      </c>
      <c r="H8356" s="9">
        <v>50594</v>
      </c>
      <c r="I8356" s="14">
        <f>DATE(2012,12,31)-959</f>
        <v>40315</v>
      </c>
      <c r="J8356" s="15" t="s">
        <v>25</v>
      </c>
      <c r="K8356" s="9">
        <v>39</v>
      </c>
      <c r="L8356" s="16" t="s">
        <v>26</v>
      </c>
      <c r="M8356" s="16">
        <f t="shared" si="783"/>
        <v>0.92735299990740228</v>
      </c>
      <c r="N8356">
        <f t="shared" si="784"/>
        <v>0</v>
      </c>
      <c r="O8356">
        <f t="shared" si="785"/>
        <v>0</v>
      </c>
      <c r="P8356">
        <f t="shared" si="782"/>
        <v>5350</v>
      </c>
      <c r="Q8356">
        <f t="shared" si="786"/>
        <v>5350</v>
      </c>
      <c r="T8356" s="16">
        <f t="shared" si="787"/>
        <v>0.92735299990740183</v>
      </c>
    </row>
    <row r="8357" spans="7:20" ht="14.4" x14ac:dyDescent="0.25">
      <c r="G8357" s="10">
        <v>7091</v>
      </c>
      <c r="H8357" s="9">
        <v>50594</v>
      </c>
      <c r="I8357" s="14">
        <f>DATE(2012,12,31)-959</f>
        <v>40315</v>
      </c>
      <c r="J8357" s="15" t="s">
        <v>25</v>
      </c>
      <c r="K8357" s="9">
        <v>48</v>
      </c>
      <c r="L8357" s="16" t="s">
        <v>27</v>
      </c>
      <c r="M8357" s="16">
        <f t="shared" si="783"/>
        <v>1.5488909894803951</v>
      </c>
      <c r="N8357">
        <f t="shared" si="784"/>
        <v>0</v>
      </c>
      <c r="O8357">
        <f t="shared" si="785"/>
        <v>0</v>
      </c>
      <c r="P8357">
        <f t="shared" si="782"/>
        <v>5800</v>
      </c>
      <c r="Q8357">
        <f t="shared" si="786"/>
        <v>5800</v>
      </c>
      <c r="T8357" s="16">
        <f t="shared" si="787"/>
        <v>1.5488909894803948</v>
      </c>
    </row>
    <row r="8358" spans="7:20" ht="14.4" x14ac:dyDescent="0.25">
      <c r="G8358" s="10">
        <v>7109</v>
      </c>
      <c r="H8358" s="9">
        <v>50726</v>
      </c>
      <c r="I8358" s="14">
        <f>DATE(2012,12,31)-427</f>
        <v>40847</v>
      </c>
      <c r="J8358" s="15" t="s">
        <v>25</v>
      </c>
      <c r="K8358" s="9">
        <v>45</v>
      </c>
      <c r="L8358" s="16" t="s">
        <v>29</v>
      </c>
      <c r="M8358" s="16">
        <f t="shared" si="783"/>
        <v>1.3417116596227308</v>
      </c>
      <c r="N8358">
        <f t="shared" si="784"/>
        <v>0</v>
      </c>
      <c r="O8358">
        <f t="shared" si="785"/>
        <v>0</v>
      </c>
      <c r="P8358">
        <f t="shared" si="782"/>
        <v>5650</v>
      </c>
      <c r="Q8358">
        <f t="shared" si="786"/>
        <v>5650</v>
      </c>
      <c r="T8358" s="16">
        <f t="shared" si="787"/>
        <v>1.3417116596227305</v>
      </c>
    </row>
    <row r="8359" spans="7:20" ht="14.4" x14ac:dyDescent="0.25">
      <c r="G8359" s="10">
        <v>7110</v>
      </c>
      <c r="H8359" s="9">
        <v>50726</v>
      </c>
      <c r="I8359" s="14">
        <f>DATE(2012,12,31)-427</f>
        <v>40847</v>
      </c>
      <c r="J8359" s="15" t="s">
        <v>25</v>
      </c>
      <c r="K8359" s="9">
        <v>21</v>
      </c>
      <c r="L8359" s="16" t="s">
        <v>26</v>
      </c>
      <c r="M8359" s="16">
        <f t="shared" si="783"/>
        <v>-0.31572297923858361</v>
      </c>
      <c r="N8359">
        <f t="shared" si="784"/>
        <v>0</v>
      </c>
      <c r="O8359">
        <f t="shared" si="785"/>
        <v>0</v>
      </c>
      <c r="P8359">
        <f t="shared" si="782"/>
        <v>4450</v>
      </c>
      <c r="Q8359">
        <f t="shared" si="786"/>
        <v>4450</v>
      </c>
      <c r="T8359" s="16">
        <f t="shared" si="787"/>
        <v>-0.315722979238584</v>
      </c>
    </row>
    <row r="8360" spans="7:20" ht="14.4" x14ac:dyDescent="0.25">
      <c r="G8360" s="10">
        <v>7119</v>
      </c>
      <c r="H8360" s="9">
        <v>50790</v>
      </c>
      <c r="I8360" s="14">
        <f>DATE(2012,12,31)-534</f>
        <v>40740</v>
      </c>
      <c r="J8360" s="15" t="s">
        <v>30</v>
      </c>
      <c r="K8360" s="9">
        <v>47</v>
      </c>
      <c r="L8360" s="16" t="s">
        <v>29</v>
      </c>
      <c r="M8360" s="16">
        <f t="shared" si="783"/>
        <v>1.4798312128611737</v>
      </c>
      <c r="N8360">
        <f t="shared" si="784"/>
        <v>0</v>
      </c>
      <c r="O8360">
        <f t="shared" si="785"/>
        <v>0</v>
      </c>
      <c r="P8360">
        <f t="shared" si="782"/>
        <v>5750</v>
      </c>
      <c r="Q8360">
        <f t="shared" si="786"/>
        <v>5750</v>
      </c>
      <c r="T8360" s="16">
        <f t="shared" si="787"/>
        <v>1.4798312128611733</v>
      </c>
    </row>
    <row r="8361" spans="7:20" ht="14.4" x14ac:dyDescent="0.25">
      <c r="G8361" s="10">
        <v>7206</v>
      </c>
      <c r="H8361" s="9">
        <v>51424</v>
      </c>
      <c r="I8361" s="14">
        <f>DATE(2012,12,31)-357</f>
        <v>40917</v>
      </c>
      <c r="J8361" s="15" t="s">
        <v>28</v>
      </c>
      <c r="K8361" s="9">
        <v>48</v>
      </c>
      <c r="L8361" s="16" t="s">
        <v>26</v>
      </c>
      <c r="M8361" s="16">
        <f t="shared" si="783"/>
        <v>1.5488909894803951</v>
      </c>
      <c r="N8361">
        <f t="shared" si="784"/>
        <v>0</v>
      </c>
      <c r="O8361">
        <f t="shared" si="785"/>
        <v>0</v>
      </c>
      <c r="P8361">
        <f t="shared" si="782"/>
        <v>5800</v>
      </c>
      <c r="Q8361">
        <f t="shared" si="786"/>
        <v>5800</v>
      </c>
      <c r="T8361" s="16">
        <f t="shared" si="787"/>
        <v>1.5488909894803948</v>
      </c>
    </row>
    <row r="8362" spans="7:20" ht="14.4" x14ac:dyDescent="0.25">
      <c r="G8362" s="10">
        <v>7207</v>
      </c>
      <c r="H8362" s="9">
        <v>51424</v>
      </c>
      <c r="I8362" s="14">
        <f>DATE(2012,12,31)-357</f>
        <v>40917</v>
      </c>
      <c r="J8362" s="15" t="s">
        <v>28</v>
      </c>
      <c r="K8362" s="9">
        <v>5</v>
      </c>
      <c r="L8362" s="16" t="s">
        <v>26</v>
      </c>
      <c r="M8362" s="16">
        <f t="shared" si="783"/>
        <v>-1.4206794051461267</v>
      </c>
      <c r="N8362">
        <f t="shared" si="784"/>
        <v>0</v>
      </c>
      <c r="O8362">
        <f t="shared" si="785"/>
        <v>0</v>
      </c>
      <c r="P8362">
        <f t="shared" si="782"/>
        <v>3650</v>
      </c>
      <c r="Q8362">
        <f t="shared" si="786"/>
        <v>3650</v>
      </c>
      <c r="T8362" s="16">
        <f t="shared" si="787"/>
        <v>-1.4206794051461269</v>
      </c>
    </row>
    <row r="8363" spans="7:20" ht="14.4" x14ac:dyDescent="0.25">
      <c r="G8363" s="10">
        <v>7268</v>
      </c>
      <c r="H8363" s="9">
        <v>51872</v>
      </c>
      <c r="I8363" s="14">
        <f>DATE(2012,12,31)-252</f>
        <v>41022</v>
      </c>
      <c r="J8363" s="15" t="s">
        <v>16</v>
      </c>
      <c r="K8363" s="9">
        <v>10</v>
      </c>
      <c r="L8363" s="16" t="s">
        <v>29</v>
      </c>
      <c r="M8363" s="16">
        <f t="shared" si="783"/>
        <v>-1.0753805220500194</v>
      </c>
      <c r="N8363">
        <f t="shared" si="784"/>
        <v>0</v>
      </c>
      <c r="O8363">
        <f t="shared" si="785"/>
        <v>0</v>
      </c>
      <c r="P8363">
        <f t="shared" si="782"/>
        <v>3900</v>
      </c>
      <c r="Q8363">
        <f t="shared" si="786"/>
        <v>3900</v>
      </c>
      <c r="T8363" s="16">
        <f t="shared" si="787"/>
        <v>-1.0753805220500199</v>
      </c>
    </row>
    <row r="8364" spans="7:20" ht="14.4" x14ac:dyDescent="0.25">
      <c r="G8364" s="10">
        <v>7269</v>
      </c>
      <c r="H8364" s="9">
        <v>51872</v>
      </c>
      <c r="I8364" s="14">
        <f>DATE(2012,12,31)-252</f>
        <v>41022</v>
      </c>
      <c r="J8364" s="15" t="s">
        <v>16</v>
      </c>
      <c r="K8364" s="9">
        <v>11</v>
      </c>
      <c r="L8364" s="16" t="s">
        <v>27</v>
      </c>
      <c r="M8364" s="16">
        <f t="shared" si="783"/>
        <v>-1.0063207454307979</v>
      </c>
      <c r="N8364">
        <f t="shared" si="784"/>
        <v>0</v>
      </c>
      <c r="O8364">
        <f t="shared" si="785"/>
        <v>0</v>
      </c>
      <c r="P8364">
        <f t="shared" si="782"/>
        <v>3950</v>
      </c>
      <c r="Q8364">
        <f t="shared" si="786"/>
        <v>3950</v>
      </c>
      <c r="T8364" s="16">
        <f t="shared" si="787"/>
        <v>-1.0063207454307983</v>
      </c>
    </row>
    <row r="8365" spans="7:20" ht="14.4" x14ac:dyDescent="0.25">
      <c r="G8365" s="10">
        <v>7270</v>
      </c>
      <c r="H8365" s="9">
        <v>51872</v>
      </c>
      <c r="I8365" s="14">
        <f>DATE(2012,12,31)-252</f>
        <v>41022</v>
      </c>
      <c r="J8365" s="15" t="s">
        <v>16</v>
      </c>
      <c r="K8365" s="9">
        <v>37</v>
      </c>
      <c r="L8365" s="16" t="s">
        <v>27</v>
      </c>
      <c r="M8365" s="16">
        <f t="shared" si="783"/>
        <v>0.78923344666895934</v>
      </c>
      <c r="N8365">
        <f t="shared" si="784"/>
        <v>0</v>
      </c>
      <c r="O8365">
        <f t="shared" si="785"/>
        <v>0</v>
      </c>
      <c r="P8365">
        <f t="shared" si="782"/>
        <v>5250</v>
      </c>
      <c r="Q8365">
        <f t="shared" si="786"/>
        <v>5250</v>
      </c>
      <c r="T8365" s="16">
        <f t="shared" si="787"/>
        <v>0.789233446668959</v>
      </c>
    </row>
    <row r="8366" spans="7:20" ht="14.4" x14ac:dyDescent="0.25">
      <c r="G8366" s="10">
        <v>7331</v>
      </c>
      <c r="H8366" s="9">
        <v>52230</v>
      </c>
      <c r="I8366" s="14">
        <f>DATE(2012,12,31)-123</f>
        <v>41151</v>
      </c>
      <c r="J8366" s="15" t="s">
        <v>30</v>
      </c>
      <c r="K8366" s="9">
        <v>29</v>
      </c>
      <c r="L8366" s="16" t="s">
        <v>29</v>
      </c>
      <c r="M8366" s="16">
        <f t="shared" si="783"/>
        <v>0.23675523371518786</v>
      </c>
      <c r="N8366">
        <f t="shared" si="784"/>
        <v>0</v>
      </c>
      <c r="O8366">
        <f t="shared" si="785"/>
        <v>0</v>
      </c>
      <c r="P8366">
        <f t="shared" si="782"/>
        <v>4850</v>
      </c>
      <c r="Q8366">
        <f t="shared" si="786"/>
        <v>4850</v>
      </c>
      <c r="T8366" s="16">
        <f t="shared" si="787"/>
        <v>0.2367552337151875</v>
      </c>
    </row>
    <row r="8367" spans="7:20" ht="14.4" x14ac:dyDescent="0.25">
      <c r="G8367" s="10">
        <v>7371</v>
      </c>
      <c r="H8367" s="9">
        <v>52518</v>
      </c>
      <c r="I8367" s="14">
        <f>DATE(2012,12,31)-272</f>
        <v>41002</v>
      </c>
      <c r="J8367" s="15" t="s">
        <v>30</v>
      </c>
      <c r="K8367" s="9">
        <v>8</v>
      </c>
      <c r="L8367" s="16" t="s">
        <v>27</v>
      </c>
      <c r="M8367" s="16">
        <f t="shared" si="783"/>
        <v>-1.2135000752884624</v>
      </c>
      <c r="N8367">
        <f t="shared" si="784"/>
        <v>0</v>
      </c>
      <c r="O8367">
        <f t="shared" si="785"/>
        <v>0</v>
      </c>
      <c r="P8367">
        <f t="shared" si="782"/>
        <v>3800</v>
      </c>
      <c r="Q8367">
        <f t="shared" si="786"/>
        <v>3800</v>
      </c>
      <c r="T8367" s="16">
        <f t="shared" si="787"/>
        <v>-1.2135000752884626</v>
      </c>
    </row>
    <row r="8368" spans="7:20" ht="14.4" x14ac:dyDescent="0.25">
      <c r="G8368" s="10">
        <v>7390</v>
      </c>
      <c r="H8368" s="9">
        <v>52673</v>
      </c>
      <c r="I8368" s="14">
        <f>DATE(2012,12,31)-237</f>
        <v>41037</v>
      </c>
      <c r="J8368" s="15" t="s">
        <v>16</v>
      </c>
      <c r="K8368" s="9">
        <v>14</v>
      </c>
      <c r="L8368" s="16" t="s">
        <v>27</v>
      </c>
      <c r="M8368" s="16">
        <f t="shared" si="783"/>
        <v>-0.79914141557313367</v>
      </c>
      <c r="N8368">
        <f t="shared" si="784"/>
        <v>0</v>
      </c>
      <c r="O8368">
        <f t="shared" si="785"/>
        <v>0</v>
      </c>
      <c r="P8368">
        <f t="shared" si="782"/>
        <v>4100</v>
      </c>
      <c r="Q8368">
        <f t="shared" si="786"/>
        <v>4100</v>
      </c>
      <c r="T8368" s="16">
        <f t="shared" si="787"/>
        <v>-0.79914141557313401</v>
      </c>
    </row>
    <row r="8369" spans="7:20" ht="14.4" x14ac:dyDescent="0.25">
      <c r="G8369" s="10">
        <v>7391</v>
      </c>
      <c r="H8369" s="9">
        <v>52673</v>
      </c>
      <c r="I8369" s="14">
        <f>DATE(2012,12,31)-237</f>
        <v>41037</v>
      </c>
      <c r="J8369" s="15" t="s">
        <v>16</v>
      </c>
      <c r="K8369" s="9">
        <v>4</v>
      </c>
      <c r="L8369" s="16" t="s">
        <v>26</v>
      </c>
      <c r="M8369" s="16">
        <f t="shared" si="783"/>
        <v>-1.489739181765348</v>
      </c>
      <c r="N8369">
        <f t="shared" si="784"/>
        <v>0</v>
      </c>
      <c r="O8369">
        <f t="shared" si="785"/>
        <v>0</v>
      </c>
      <c r="P8369">
        <f t="shared" si="782"/>
        <v>3600</v>
      </c>
      <c r="Q8369">
        <f t="shared" si="786"/>
        <v>3600</v>
      </c>
      <c r="T8369" s="16">
        <f t="shared" si="787"/>
        <v>-1.4897391817653485</v>
      </c>
    </row>
    <row r="8370" spans="7:20" ht="14.4" x14ac:dyDescent="0.25">
      <c r="G8370" s="10">
        <v>7438</v>
      </c>
      <c r="H8370" s="9">
        <v>53026</v>
      </c>
      <c r="I8370" s="14">
        <f>DATE(2012,12,31)-309</f>
        <v>40965</v>
      </c>
      <c r="J8370" s="15" t="s">
        <v>25</v>
      </c>
      <c r="K8370" s="9">
        <v>35</v>
      </c>
      <c r="L8370" s="16" t="s">
        <v>26</v>
      </c>
      <c r="M8370" s="16">
        <f t="shared" si="783"/>
        <v>0.65111389343051651</v>
      </c>
      <c r="N8370">
        <f t="shared" si="784"/>
        <v>0</v>
      </c>
      <c r="O8370">
        <f t="shared" si="785"/>
        <v>0</v>
      </c>
      <c r="P8370">
        <f t="shared" si="782"/>
        <v>5150</v>
      </c>
      <c r="Q8370">
        <f t="shared" si="786"/>
        <v>5150</v>
      </c>
      <c r="T8370" s="16">
        <f t="shared" si="787"/>
        <v>0.65111389343051607</v>
      </c>
    </row>
    <row r="8371" spans="7:20" ht="14.4" x14ac:dyDescent="0.25">
      <c r="G8371" s="10">
        <v>7549</v>
      </c>
      <c r="H8371" s="9">
        <v>54019</v>
      </c>
      <c r="I8371" s="14">
        <f>DATE(2012,12,31)-1279</f>
        <v>39995</v>
      </c>
      <c r="J8371" s="15" t="s">
        <v>25</v>
      </c>
      <c r="K8371" s="9">
        <v>35</v>
      </c>
      <c r="L8371" s="16" t="s">
        <v>27</v>
      </c>
      <c r="M8371" s="16">
        <f t="shared" si="783"/>
        <v>0.65111389343051651</v>
      </c>
      <c r="N8371">
        <f t="shared" si="784"/>
        <v>0</v>
      </c>
      <c r="O8371">
        <f t="shared" si="785"/>
        <v>0</v>
      </c>
      <c r="P8371">
        <f t="shared" si="782"/>
        <v>5150</v>
      </c>
      <c r="Q8371">
        <f t="shared" si="786"/>
        <v>5150</v>
      </c>
      <c r="T8371" s="16">
        <f t="shared" si="787"/>
        <v>0.65111389343051607</v>
      </c>
    </row>
    <row r="8372" spans="7:20" ht="14.4" x14ac:dyDescent="0.25">
      <c r="G8372" s="10">
        <v>7658</v>
      </c>
      <c r="H8372" s="9">
        <v>54913</v>
      </c>
      <c r="I8372" s="14">
        <f>DATE(2012,12,31)-912</f>
        <v>40362</v>
      </c>
      <c r="J8372" s="15" t="s">
        <v>17</v>
      </c>
      <c r="K8372" s="9">
        <v>11</v>
      </c>
      <c r="L8372" s="16" t="s">
        <v>26</v>
      </c>
      <c r="M8372" s="16">
        <f t="shared" si="783"/>
        <v>-1.0063207454307979</v>
      </c>
      <c r="N8372">
        <f t="shared" si="784"/>
        <v>0</v>
      </c>
      <c r="O8372">
        <f t="shared" si="785"/>
        <v>0</v>
      </c>
      <c r="P8372">
        <f t="shared" si="782"/>
        <v>3950</v>
      </c>
      <c r="Q8372">
        <f t="shared" si="786"/>
        <v>3950</v>
      </c>
      <c r="T8372" s="16">
        <f t="shared" si="787"/>
        <v>-1.0063207454307983</v>
      </c>
    </row>
    <row r="8373" spans="7:20" ht="14.4" x14ac:dyDescent="0.25">
      <c r="G8373" s="10">
        <v>7738</v>
      </c>
      <c r="H8373" s="9">
        <v>55424</v>
      </c>
      <c r="I8373" s="14">
        <f>DATE(2012,12,31)-1035</f>
        <v>40239</v>
      </c>
      <c r="J8373" s="15" t="s">
        <v>16</v>
      </c>
      <c r="K8373" s="9">
        <v>6</v>
      </c>
      <c r="L8373" s="16" t="s">
        <v>29</v>
      </c>
      <c r="M8373" s="16">
        <f t="shared" si="783"/>
        <v>-1.3516196285269051</v>
      </c>
      <c r="N8373">
        <f t="shared" si="784"/>
        <v>0</v>
      </c>
      <c r="O8373">
        <f t="shared" si="785"/>
        <v>0</v>
      </c>
      <c r="P8373">
        <f t="shared" si="782"/>
        <v>3700</v>
      </c>
      <c r="Q8373">
        <f t="shared" si="786"/>
        <v>3700</v>
      </c>
      <c r="T8373" s="16">
        <f t="shared" si="787"/>
        <v>-1.3516196285269055</v>
      </c>
    </row>
    <row r="8374" spans="7:20" ht="14.4" x14ac:dyDescent="0.25">
      <c r="G8374" s="10">
        <v>7812</v>
      </c>
      <c r="H8374" s="9">
        <v>55874</v>
      </c>
      <c r="I8374" s="14">
        <f>DATE(2012,12,31)-1414</f>
        <v>39860</v>
      </c>
      <c r="J8374" s="15" t="s">
        <v>16</v>
      </c>
      <c r="K8374" s="9">
        <v>24</v>
      </c>
      <c r="L8374" s="16" t="s">
        <v>26</v>
      </c>
      <c r="M8374" s="16">
        <f t="shared" si="783"/>
        <v>-0.1085436493809193</v>
      </c>
      <c r="N8374">
        <f t="shared" si="784"/>
        <v>0</v>
      </c>
      <c r="O8374">
        <f t="shared" si="785"/>
        <v>0</v>
      </c>
      <c r="P8374">
        <f t="shared" si="782"/>
        <v>4600</v>
      </c>
      <c r="Q8374">
        <f t="shared" si="786"/>
        <v>4600</v>
      </c>
      <c r="T8374" s="16">
        <f t="shared" si="787"/>
        <v>-0.10854364938091969</v>
      </c>
    </row>
    <row r="8375" spans="7:20" ht="14.4" x14ac:dyDescent="0.25">
      <c r="G8375" s="10">
        <v>7878</v>
      </c>
      <c r="H8375" s="9">
        <v>56327</v>
      </c>
      <c r="I8375" s="14">
        <f>DATE(2012,12,31)-1085</f>
        <v>40189</v>
      </c>
      <c r="J8375" s="15" t="s">
        <v>16</v>
      </c>
      <c r="K8375" s="9">
        <v>42</v>
      </c>
      <c r="L8375" s="16" t="s">
        <v>26</v>
      </c>
      <c r="M8375" s="16">
        <f t="shared" si="783"/>
        <v>1.1345323297650665</v>
      </c>
      <c r="N8375">
        <f t="shared" si="784"/>
        <v>0</v>
      </c>
      <c r="O8375">
        <f t="shared" si="785"/>
        <v>0</v>
      </c>
      <c r="P8375">
        <f t="shared" si="782"/>
        <v>5500</v>
      </c>
      <c r="Q8375">
        <f t="shared" si="786"/>
        <v>5500</v>
      </c>
      <c r="T8375" s="16">
        <f t="shared" si="787"/>
        <v>1.1345323297650662</v>
      </c>
    </row>
    <row r="8376" spans="7:20" ht="14.4" x14ac:dyDescent="0.25">
      <c r="G8376" s="10">
        <v>7879</v>
      </c>
      <c r="H8376" s="9">
        <v>56327</v>
      </c>
      <c r="I8376" s="14">
        <f>DATE(2012,12,31)-1085</f>
        <v>40189</v>
      </c>
      <c r="J8376" s="15" t="s">
        <v>16</v>
      </c>
      <c r="K8376" s="9">
        <v>11</v>
      </c>
      <c r="L8376" s="16" t="s">
        <v>26</v>
      </c>
      <c r="M8376" s="16">
        <f t="shared" si="783"/>
        <v>-1.0063207454307979</v>
      </c>
      <c r="N8376">
        <f t="shared" si="784"/>
        <v>0</v>
      </c>
      <c r="O8376">
        <f t="shared" si="785"/>
        <v>0</v>
      </c>
      <c r="P8376">
        <f t="shared" si="782"/>
        <v>3950</v>
      </c>
      <c r="Q8376">
        <f t="shared" si="786"/>
        <v>3950</v>
      </c>
      <c r="T8376" s="16">
        <f t="shared" si="787"/>
        <v>-1.0063207454307983</v>
      </c>
    </row>
    <row r="8377" spans="7:20" ht="14.4" x14ac:dyDescent="0.25">
      <c r="G8377" s="10">
        <v>7880</v>
      </c>
      <c r="H8377" s="9">
        <v>56327</v>
      </c>
      <c r="I8377" s="14">
        <f>DATE(2012,12,31)-1085</f>
        <v>40189</v>
      </c>
      <c r="J8377" s="15" t="s">
        <v>16</v>
      </c>
      <c r="K8377" s="9">
        <v>47</v>
      </c>
      <c r="L8377" s="16" t="s">
        <v>29</v>
      </c>
      <c r="M8377" s="16">
        <f t="shared" si="783"/>
        <v>1.4798312128611737</v>
      </c>
      <c r="N8377">
        <f t="shared" si="784"/>
        <v>0</v>
      </c>
      <c r="O8377">
        <f t="shared" si="785"/>
        <v>0</v>
      </c>
      <c r="P8377">
        <f t="shared" si="782"/>
        <v>5750</v>
      </c>
      <c r="Q8377">
        <f t="shared" si="786"/>
        <v>5750</v>
      </c>
      <c r="T8377" s="16">
        <f t="shared" si="787"/>
        <v>1.4798312128611733</v>
      </c>
    </row>
    <row r="8378" spans="7:20" ht="14.4" x14ac:dyDescent="0.25">
      <c r="G8378" s="10">
        <v>7933</v>
      </c>
      <c r="H8378" s="9">
        <v>56706</v>
      </c>
      <c r="I8378" s="14">
        <f>DATE(2012,12,31)-1147</f>
        <v>40127</v>
      </c>
      <c r="J8378" s="15" t="s">
        <v>17</v>
      </c>
      <c r="K8378" s="9">
        <v>7</v>
      </c>
      <c r="L8378" s="16" t="s">
        <v>27</v>
      </c>
      <c r="M8378" s="16">
        <f t="shared" si="783"/>
        <v>-1.2825598519076837</v>
      </c>
      <c r="N8378">
        <f t="shared" si="784"/>
        <v>0</v>
      </c>
      <c r="O8378">
        <f t="shared" si="785"/>
        <v>0</v>
      </c>
      <c r="P8378">
        <f t="shared" si="782"/>
        <v>3750</v>
      </c>
      <c r="Q8378">
        <f t="shared" si="786"/>
        <v>3750</v>
      </c>
      <c r="T8378" s="16">
        <f t="shared" si="787"/>
        <v>-1.2825598519076842</v>
      </c>
    </row>
    <row r="8379" spans="7:20" ht="14.4" x14ac:dyDescent="0.25">
      <c r="G8379" s="10">
        <v>7991</v>
      </c>
      <c r="H8379" s="9">
        <v>57125</v>
      </c>
      <c r="I8379" s="14">
        <f>DATE(2012,12,31)-942</f>
        <v>40332</v>
      </c>
      <c r="J8379" s="15" t="s">
        <v>16</v>
      </c>
      <c r="K8379" s="9">
        <v>19</v>
      </c>
      <c r="L8379" s="16" t="s">
        <v>26</v>
      </c>
      <c r="M8379" s="16">
        <f t="shared" si="783"/>
        <v>-0.45384253247702649</v>
      </c>
      <c r="N8379">
        <f t="shared" si="784"/>
        <v>0</v>
      </c>
      <c r="O8379">
        <f t="shared" si="785"/>
        <v>0</v>
      </c>
      <c r="P8379">
        <f t="shared" si="782"/>
        <v>4350</v>
      </c>
      <c r="Q8379">
        <f t="shared" si="786"/>
        <v>4350</v>
      </c>
      <c r="T8379" s="16">
        <f t="shared" si="787"/>
        <v>-0.45384253247702688</v>
      </c>
    </row>
    <row r="8380" spans="7:20" ht="14.4" x14ac:dyDescent="0.25">
      <c r="G8380" s="10">
        <v>7992</v>
      </c>
      <c r="H8380" s="9">
        <v>57125</v>
      </c>
      <c r="I8380" s="14">
        <f>DATE(2012,12,31)-942</f>
        <v>40332</v>
      </c>
      <c r="J8380" s="15" t="s">
        <v>16</v>
      </c>
      <c r="K8380" s="9">
        <v>31</v>
      </c>
      <c r="L8380" s="16" t="s">
        <v>26</v>
      </c>
      <c r="M8380" s="16">
        <f t="shared" si="783"/>
        <v>0.37487478695363075</v>
      </c>
      <c r="N8380">
        <f t="shared" si="784"/>
        <v>0</v>
      </c>
      <c r="O8380">
        <f t="shared" si="785"/>
        <v>0</v>
      </c>
      <c r="P8380">
        <f t="shared" si="782"/>
        <v>4950</v>
      </c>
      <c r="Q8380">
        <f t="shared" si="786"/>
        <v>4950</v>
      </c>
      <c r="T8380" s="16">
        <f t="shared" si="787"/>
        <v>0.37487478695363036</v>
      </c>
    </row>
    <row r="8381" spans="7:20" ht="14.4" x14ac:dyDescent="0.25">
      <c r="G8381" s="10">
        <v>7994</v>
      </c>
      <c r="H8381" s="9">
        <v>57152</v>
      </c>
      <c r="I8381" s="14">
        <f>DATE(2012,12,31)-119</f>
        <v>41155</v>
      </c>
      <c r="J8381" s="15" t="s">
        <v>25</v>
      </c>
      <c r="K8381" s="9">
        <v>6</v>
      </c>
      <c r="L8381" s="16" t="s">
        <v>26</v>
      </c>
      <c r="M8381" s="16">
        <f t="shared" si="783"/>
        <v>-1.3516196285269051</v>
      </c>
      <c r="N8381">
        <f t="shared" si="784"/>
        <v>0</v>
      </c>
      <c r="O8381">
        <f t="shared" si="785"/>
        <v>0</v>
      </c>
      <c r="P8381">
        <f t="shared" si="782"/>
        <v>3700</v>
      </c>
      <c r="Q8381">
        <f t="shared" si="786"/>
        <v>3700</v>
      </c>
      <c r="T8381" s="16">
        <f t="shared" si="787"/>
        <v>-1.3516196285269055</v>
      </c>
    </row>
    <row r="8382" spans="7:20" ht="14.4" x14ac:dyDescent="0.25">
      <c r="G8382" s="10">
        <v>7995</v>
      </c>
      <c r="H8382" s="9">
        <v>57152</v>
      </c>
      <c r="I8382" s="14">
        <f>DATE(2012,12,31)-119</f>
        <v>41155</v>
      </c>
      <c r="J8382" s="15" t="s">
        <v>25</v>
      </c>
      <c r="K8382" s="9">
        <v>18</v>
      </c>
      <c r="L8382" s="16" t="s">
        <v>26</v>
      </c>
      <c r="M8382" s="16">
        <f t="shared" si="783"/>
        <v>-0.52290230909624791</v>
      </c>
      <c r="N8382">
        <f t="shared" si="784"/>
        <v>0</v>
      </c>
      <c r="O8382">
        <f t="shared" si="785"/>
        <v>0</v>
      </c>
      <c r="P8382">
        <f t="shared" si="782"/>
        <v>4300</v>
      </c>
      <c r="Q8382">
        <f t="shared" si="786"/>
        <v>4300</v>
      </c>
      <c r="T8382" s="16">
        <f t="shared" si="787"/>
        <v>-0.52290230909624835</v>
      </c>
    </row>
    <row r="8383" spans="7:20" ht="14.4" x14ac:dyDescent="0.25">
      <c r="G8383" s="10">
        <v>8006</v>
      </c>
      <c r="H8383" s="9">
        <v>57216</v>
      </c>
      <c r="I8383" s="14">
        <f>DATE(2012,12,31)-886</f>
        <v>40388</v>
      </c>
      <c r="J8383" s="15" t="s">
        <v>17</v>
      </c>
      <c r="K8383" s="9">
        <v>46</v>
      </c>
      <c r="L8383" s="16" t="s">
        <v>29</v>
      </c>
      <c r="M8383" s="16">
        <f t="shared" si="783"/>
        <v>1.4107714362419523</v>
      </c>
      <c r="N8383">
        <f t="shared" si="784"/>
        <v>0</v>
      </c>
      <c r="O8383">
        <f t="shared" si="785"/>
        <v>0</v>
      </c>
      <c r="P8383">
        <f t="shared" si="782"/>
        <v>5700</v>
      </c>
      <c r="Q8383">
        <f t="shared" si="786"/>
        <v>5700</v>
      </c>
      <c r="T8383" s="16">
        <f t="shared" si="787"/>
        <v>1.4107714362419519</v>
      </c>
    </row>
    <row r="8384" spans="7:20" ht="14.4" x14ac:dyDescent="0.25">
      <c r="G8384" s="10">
        <v>8007</v>
      </c>
      <c r="H8384" s="9">
        <v>57216</v>
      </c>
      <c r="I8384" s="14">
        <f>DATE(2012,12,31)-886</f>
        <v>40388</v>
      </c>
      <c r="J8384" s="15" t="s">
        <v>17</v>
      </c>
      <c r="K8384" s="9">
        <v>48</v>
      </c>
      <c r="L8384" s="16" t="s">
        <v>26</v>
      </c>
      <c r="M8384" s="16">
        <f t="shared" si="783"/>
        <v>1.5488909894803951</v>
      </c>
      <c r="N8384">
        <f t="shared" si="784"/>
        <v>0</v>
      </c>
      <c r="O8384">
        <f t="shared" si="785"/>
        <v>0</v>
      </c>
      <c r="P8384">
        <f t="shared" si="782"/>
        <v>5800</v>
      </c>
      <c r="Q8384">
        <f t="shared" si="786"/>
        <v>5800</v>
      </c>
      <c r="T8384" s="16">
        <f t="shared" si="787"/>
        <v>1.5488909894803948</v>
      </c>
    </row>
    <row r="8385" spans="7:20" ht="14.4" x14ac:dyDescent="0.25">
      <c r="G8385" s="10">
        <v>8017</v>
      </c>
      <c r="H8385" s="9">
        <v>57281</v>
      </c>
      <c r="I8385" s="14">
        <f>DATE(2012,12,31)-986</f>
        <v>40288</v>
      </c>
      <c r="J8385" s="15" t="s">
        <v>17</v>
      </c>
      <c r="K8385" s="9">
        <v>26</v>
      </c>
      <c r="L8385" s="16" t="s">
        <v>26</v>
      </c>
      <c r="M8385" s="16">
        <f t="shared" si="783"/>
        <v>2.9575903857523567E-2</v>
      </c>
      <c r="N8385">
        <f t="shared" si="784"/>
        <v>0</v>
      </c>
      <c r="O8385">
        <f t="shared" si="785"/>
        <v>0</v>
      </c>
      <c r="P8385">
        <f t="shared" si="782"/>
        <v>4700</v>
      </c>
      <c r="Q8385">
        <f t="shared" si="786"/>
        <v>4700</v>
      </c>
      <c r="T8385" s="16">
        <f t="shared" si="787"/>
        <v>2.9575903857523185E-2</v>
      </c>
    </row>
    <row r="8386" spans="7:20" ht="14.4" x14ac:dyDescent="0.25">
      <c r="G8386" s="10">
        <v>8018</v>
      </c>
      <c r="H8386" s="9">
        <v>57281</v>
      </c>
      <c r="I8386" s="14">
        <f>DATE(2012,12,31)-986</f>
        <v>40288</v>
      </c>
      <c r="J8386" s="15" t="s">
        <v>17</v>
      </c>
      <c r="K8386" s="9">
        <v>19</v>
      </c>
      <c r="L8386" s="16" t="s">
        <v>29</v>
      </c>
      <c r="M8386" s="16">
        <f t="shared" si="783"/>
        <v>-0.45384253247702649</v>
      </c>
      <c r="N8386">
        <f t="shared" si="784"/>
        <v>0</v>
      </c>
      <c r="O8386">
        <f t="shared" si="785"/>
        <v>0</v>
      </c>
      <c r="P8386">
        <f t="shared" si="782"/>
        <v>4350</v>
      </c>
      <c r="Q8386">
        <f t="shared" si="786"/>
        <v>4350</v>
      </c>
      <c r="T8386" s="16">
        <f t="shared" si="787"/>
        <v>-0.45384253247702688</v>
      </c>
    </row>
    <row r="8387" spans="7:20" ht="14.4" x14ac:dyDescent="0.25">
      <c r="G8387" s="10">
        <v>8102</v>
      </c>
      <c r="H8387" s="9">
        <v>57827</v>
      </c>
      <c r="I8387" s="14">
        <f>DATE(2012,12,31)-1278</f>
        <v>39996</v>
      </c>
      <c r="J8387" s="15" t="s">
        <v>16</v>
      </c>
      <c r="K8387" s="9">
        <v>24</v>
      </c>
      <c r="L8387" s="16" t="s">
        <v>29</v>
      </c>
      <c r="M8387" s="16">
        <f t="shared" si="783"/>
        <v>-0.1085436493809193</v>
      </c>
      <c r="N8387">
        <f t="shared" si="784"/>
        <v>0</v>
      </c>
      <c r="O8387">
        <f t="shared" si="785"/>
        <v>0</v>
      </c>
      <c r="P8387">
        <f t="shared" si="782"/>
        <v>4600</v>
      </c>
      <c r="Q8387">
        <f t="shared" si="786"/>
        <v>4600</v>
      </c>
      <c r="T8387" s="16">
        <f t="shared" si="787"/>
        <v>-0.10854364938091969</v>
      </c>
    </row>
    <row r="8388" spans="7:20" ht="14.4" x14ac:dyDescent="0.25">
      <c r="G8388" s="10">
        <v>8103</v>
      </c>
      <c r="H8388" s="9">
        <v>57827</v>
      </c>
      <c r="I8388" s="14">
        <f>DATE(2012,12,31)-1278</f>
        <v>39996</v>
      </c>
      <c r="J8388" s="15" t="s">
        <v>16</v>
      </c>
      <c r="K8388" s="9">
        <v>29</v>
      </c>
      <c r="L8388" s="16" t="s">
        <v>26</v>
      </c>
      <c r="M8388" s="16">
        <f t="shared" si="783"/>
        <v>0.23675523371518786</v>
      </c>
      <c r="N8388">
        <f t="shared" si="784"/>
        <v>0</v>
      </c>
      <c r="O8388">
        <f t="shared" si="785"/>
        <v>0</v>
      </c>
      <c r="P8388">
        <f t="shared" si="782"/>
        <v>4850</v>
      </c>
      <c r="Q8388">
        <f t="shared" si="786"/>
        <v>4850</v>
      </c>
      <c r="T8388" s="16">
        <f t="shared" si="787"/>
        <v>0.2367552337151875</v>
      </c>
    </row>
    <row r="8389" spans="7:20" ht="14.4" x14ac:dyDescent="0.25">
      <c r="G8389" s="10">
        <v>8247</v>
      </c>
      <c r="H8389" s="9">
        <v>58949</v>
      </c>
      <c r="I8389" s="14">
        <f>DATE(2012,12,31)-15</f>
        <v>41259</v>
      </c>
      <c r="J8389" s="15" t="s">
        <v>30</v>
      </c>
      <c r="K8389" s="9">
        <v>50</v>
      </c>
      <c r="L8389" s="16" t="s">
        <v>27</v>
      </c>
      <c r="M8389" s="16">
        <f t="shared" si="783"/>
        <v>1.687010542718838</v>
      </c>
      <c r="N8389">
        <f t="shared" si="784"/>
        <v>0</v>
      </c>
      <c r="O8389">
        <f t="shared" si="785"/>
        <v>0</v>
      </c>
      <c r="P8389">
        <f t="shared" si="782"/>
        <v>5900</v>
      </c>
      <c r="Q8389">
        <f t="shared" si="786"/>
        <v>5900</v>
      </c>
      <c r="T8389" s="16">
        <f t="shared" si="787"/>
        <v>1.6870105427188375</v>
      </c>
    </row>
    <row r="8390" spans="7:20" ht="14.4" x14ac:dyDescent="0.25">
      <c r="G8390" s="10">
        <v>188</v>
      </c>
      <c r="H8390" s="9">
        <v>1222</v>
      </c>
      <c r="I8390" s="14">
        <f>DATE(2012,12,31)-1061</f>
        <v>40213</v>
      </c>
      <c r="J8390" s="15" t="s">
        <v>16</v>
      </c>
      <c r="K8390" s="9">
        <v>48</v>
      </c>
      <c r="L8390" s="16" t="s">
        <v>26</v>
      </c>
      <c r="M8390" s="16">
        <f t="shared" si="783"/>
        <v>1.5488909894803951</v>
      </c>
      <c r="N8390">
        <f t="shared" si="784"/>
        <v>0</v>
      </c>
      <c r="O8390">
        <f t="shared" si="785"/>
        <v>0</v>
      </c>
      <c r="P8390">
        <f t="shared" si="782"/>
        <v>5800</v>
      </c>
      <c r="Q8390">
        <f t="shared" si="786"/>
        <v>5800</v>
      </c>
      <c r="T8390" s="16">
        <f t="shared" si="787"/>
        <v>1.5488909894803948</v>
      </c>
    </row>
    <row r="8391" spans="7:20" ht="14.4" x14ac:dyDescent="0.25">
      <c r="G8391" s="10">
        <v>805</v>
      </c>
      <c r="H8391" s="9">
        <v>5767</v>
      </c>
      <c r="I8391" s="14">
        <f>DATE(2012,12,31)-247</f>
        <v>41027</v>
      </c>
      <c r="J8391" s="15" t="s">
        <v>17</v>
      </c>
      <c r="K8391" s="9">
        <v>36</v>
      </c>
      <c r="L8391" s="16" t="s">
        <v>26</v>
      </c>
      <c r="M8391" s="16">
        <f t="shared" si="783"/>
        <v>0.72017367004973787</v>
      </c>
      <c r="N8391">
        <f t="shared" si="784"/>
        <v>0</v>
      </c>
      <c r="O8391">
        <f t="shared" si="785"/>
        <v>0</v>
      </c>
      <c r="P8391">
        <f t="shared" si="782"/>
        <v>5200</v>
      </c>
      <c r="Q8391">
        <f t="shared" si="786"/>
        <v>5200</v>
      </c>
      <c r="T8391" s="16">
        <f t="shared" si="787"/>
        <v>0.72017367004973754</v>
      </c>
    </row>
    <row r="8392" spans="7:20" ht="14.4" x14ac:dyDescent="0.25">
      <c r="G8392" s="10">
        <v>806</v>
      </c>
      <c r="H8392" s="9">
        <v>5767</v>
      </c>
      <c r="I8392" s="14">
        <f>DATE(2012,12,31)-247</f>
        <v>41027</v>
      </c>
      <c r="J8392" s="15" t="s">
        <v>17</v>
      </c>
      <c r="K8392" s="9">
        <v>31</v>
      </c>
      <c r="L8392" s="16" t="s">
        <v>27</v>
      </c>
      <c r="M8392" s="16">
        <f t="shared" si="783"/>
        <v>0.37487478695363075</v>
      </c>
      <c r="N8392">
        <f t="shared" si="784"/>
        <v>0</v>
      </c>
      <c r="O8392">
        <f t="shared" si="785"/>
        <v>0</v>
      </c>
      <c r="P8392">
        <f t="shared" si="782"/>
        <v>4950</v>
      </c>
      <c r="Q8392">
        <f t="shared" si="786"/>
        <v>4950</v>
      </c>
      <c r="T8392" s="16">
        <f t="shared" si="787"/>
        <v>0.37487478695363036</v>
      </c>
    </row>
    <row r="8393" spans="7:20" ht="14.4" x14ac:dyDescent="0.25">
      <c r="G8393" s="10">
        <v>1219</v>
      </c>
      <c r="H8393" s="9">
        <v>8961</v>
      </c>
      <c r="I8393" s="14">
        <f>DATE(2012,12,31)-552</f>
        <v>40722</v>
      </c>
      <c r="J8393" s="15" t="s">
        <v>25</v>
      </c>
      <c r="K8393" s="9">
        <v>48</v>
      </c>
      <c r="L8393" s="16" t="s">
        <v>29</v>
      </c>
      <c r="M8393" s="16">
        <f t="shared" si="783"/>
        <v>1.5488909894803951</v>
      </c>
      <c r="N8393">
        <f t="shared" si="784"/>
        <v>0</v>
      </c>
      <c r="O8393">
        <f t="shared" si="785"/>
        <v>0</v>
      </c>
      <c r="P8393">
        <f t="shared" si="782"/>
        <v>5800</v>
      </c>
      <c r="Q8393">
        <f t="shared" si="786"/>
        <v>5800</v>
      </c>
      <c r="T8393" s="16">
        <f t="shared" si="787"/>
        <v>1.5488909894803948</v>
      </c>
    </row>
    <row r="8394" spans="7:20" ht="14.4" x14ac:dyDescent="0.25">
      <c r="G8394" s="10">
        <v>1617</v>
      </c>
      <c r="H8394" s="9">
        <v>11712</v>
      </c>
      <c r="I8394" s="14">
        <f>DATE(2012,12,31)-1345</f>
        <v>39929</v>
      </c>
      <c r="J8394" s="15" t="s">
        <v>25</v>
      </c>
      <c r="K8394" s="9">
        <v>9</v>
      </c>
      <c r="L8394" s="16" t="s">
        <v>26</v>
      </c>
      <c r="M8394" s="16">
        <f t="shared" si="783"/>
        <v>-1.1444402986692408</v>
      </c>
      <c r="N8394">
        <f t="shared" si="784"/>
        <v>0</v>
      </c>
      <c r="O8394">
        <f t="shared" si="785"/>
        <v>0</v>
      </c>
      <c r="P8394">
        <f t="shared" si="782"/>
        <v>3850</v>
      </c>
      <c r="Q8394">
        <f t="shared" si="786"/>
        <v>3850</v>
      </c>
      <c r="T8394" s="16">
        <f t="shared" si="787"/>
        <v>-1.1444402986692412</v>
      </c>
    </row>
    <row r="8395" spans="7:20" ht="14.4" x14ac:dyDescent="0.25">
      <c r="G8395" s="10">
        <v>2082</v>
      </c>
      <c r="H8395" s="9">
        <v>14883</v>
      </c>
      <c r="I8395" s="14">
        <f>DATE(2012,12,31)-605</f>
        <v>40669</v>
      </c>
      <c r="J8395" s="15" t="s">
        <v>25</v>
      </c>
      <c r="K8395" s="9">
        <v>38</v>
      </c>
      <c r="L8395" s="16" t="s">
        <v>29</v>
      </c>
      <c r="M8395" s="16">
        <f t="shared" si="783"/>
        <v>0.85829322328818081</v>
      </c>
      <c r="N8395">
        <f t="shared" si="784"/>
        <v>0</v>
      </c>
      <c r="O8395">
        <f t="shared" si="785"/>
        <v>0</v>
      </c>
      <c r="P8395">
        <f t="shared" si="782"/>
        <v>5300</v>
      </c>
      <c r="Q8395">
        <f t="shared" si="786"/>
        <v>5300</v>
      </c>
      <c r="T8395" s="16">
        <f t="shared" si="787"/>
        <v>0.85829322328818036</v>
      </c>
    </row>
    <row r="8396" spans="7:20" ht="14.4" x14ac:dyDescent="0.25">
      <c r="G8396" s="10">
        <v>2083</v>
      </c>
      <c r="H8396" s="9">
        <v>14883</v>
      </c>
      <c r="I8396" s="14">
        <f>DATE(2012,12,31)-605</f>
        <v>40669</v>
      </c>
      <c r="J8396" s="15" t="s">
        <v>25</v>
      </c>
      <c r="K8396" s="9">
        <v>47</v>
      </c>
      <c r="L8396" s="16" t="s">
        <v>27</v>
      </c>
      <c r="M8396" s="16">
        <f t="shared" si="783"/>
        <v>1.4798312128611737</v>
      </c>
      <c r="N8396">
        <f t="shared" si="784"/>
        <v>0</v>
      </c>
      <c r="O8396">
        <f t="shared" si="785"/>
        <v>0</v>
      </c>
      <c r="P8396">
        <f t="shared" ref="P8396:P8410" si="788">50*K8396+$P$10</f>
        <v>5750</v>
      </c>
      <c r="Q8396">
        <f t="shared" si="786"/>
        <v>5750</v>
      </c>
      <c r="T8396" s="16">
        <f t="shared" si="787"/>
        <v>1.4798312128611733</v>
      </c>
    </row>
    <row r="8397" spans="7:20" ht="14.4" x14ac:dyDescent="0.25">
      <c r="G8397" s="10">
        <v>2800</v>
      </c>
      <c r="H8397" s="9">
        <v>20193</v>
      </c>
      <c r="I8397" s="14">
        <f>DATE(2012,12,31)-785</f>
        <v>40489</v>
      </c>
      <c r="J8397" s="15" t="s">
        <v>16</v>
      </c>
      <c r="K8397" s="9">
        <v>23</v>
      </c>
      <c r="L8397" s="16" t="s">
        <v>26</v>
      </c>
      <c r="M8397" s="16">
        <f t="shared" ref="M8397:M8410" si="789">(K8397-$K$4)/$K$7</f>
        <v>-0.17760342600014073</v>
      </c>
      <c r="N8397">
        <f t="shared" ref="N8397:N8410" si="790">IF(MOD($B$20+G8397,1000)=0,1,0)</f>
        <v>0</v>
      </c>
      <c r="O8397">
        <f t="shared" ref="O8397:O8410" si="791">+ROUND(N8397*(IF(K8397&lt;$K$4,-4.5,10.5)*$P$5),-2)</f>
        <v>0</v>
      </c>
      <c r="P8397">
        <f t="shared" si="788"/>
        <v>4550</v>
      </c>
      <c r="Q8397">
        <f t="shared" ref="Q8397:Q8410" si="792">P8397+O8397</f>
        <v>4550</v>
      </c>
      <c r="T8397" s="16">
        <f t="shared" ref="T8397:T8410" si="793">(Q8397-$P$4)/$P$5</f>
        <v>-0.17760342600014112</v>
      </c>
    </row>
    <row r="8398" spans="7:20" ht="14.4" x14ac:dyDescent="0.25">
      <c r="G8398" s="10">
        <v>5166</v>
      </c>
      <c r="H8398" s="9">
        <v>36772</v>
      </c>
      <c r="I8398" s="14">
        <f>DATE(2012,12,31)-961</f>
        <v>40313</v>
      </c>
      <c r="J8398" s="15" t="s">
        <v>16</v>
      </c>
      <c r="K8398" s="9">
        <v>8</v>
      </c>
      <c r="L8398" s="16" t="s">
        <v>26</v>
      </c>
      <c r="M8398" s="16">
        <f t="shared" si="789"/>
        <v>-1.2135000752884624</v>
      </c>
      <c r="N8398">
        <f t="shared" si="790"/>
        <v>0</v>
      </c>
      <c r="O8398">
        <f t="shared" si="791"/>
        <v>0</v>
      </c>
      <c r="P8398">
        <f t="shared" si="788"/>
        <v>3800</v>
      </c>
      <c r="Q8398">
        <f t="shared" si="792"/>
        <v>3800</v>
      </c>
      <c r="T8398" s="16">
        <f t="shared" si="793"/>
        <v>-1.2135000752884626</v>
      </c>
    </row>
    <row r="8399" spans="7:20" ht="14.4" x14ac:dyDescent="0.25">
      <c r="G8399" s="10">
        <v>5167</v>
      </c>
      <c r="H8399" s="9">
        <v>36772</v>
      </c>
      <c r="I8399" s="14">
        <f>DATE(2012,12,31)-961</f>
        <v>40313</v>
      </c>
      <c r="J8399" s="15" t="s">
        <v>16</v>
      </c>
      <c r="K8399" s="9">
        <v>16</v>
      </c>
      <c r="L8399" s="16" t="s">
        <v>27</v>
      </c>
      <c r="M8399" s="16">
        <f t="shared" si="789"/>
        <v>-0.66102186233469074</v>
      </c>
      <c r="N8399">
        <f t="shared" si="790"/>
        <v>0</v>
      </c>
      <c r="O8399">
        <f t="shared" si="791"/>
        <v>0</v>
      </c>
      <c r="P8399">
        <f t="shared" si="788"/>
        <v>4200</v>
      </c>
      <c r="Q8399">
        <f t="shared" si="792"/>
        <v>4200</v>
      </c>
      <c r="T8399" s="16">
        <f t="shared" si="793"/>
        <v>-0.66102186233469118</v>
      </c>
    </row>
    <row r="8400" spans="7:20" ht="14.4" x14ac:dyDescent="0.25">
      <c r="G8400" s="10">
        <v>5577</v>
      </c>
      <c r="H8400" s="9">
        <v>39492</v>
      </c>
      <c r="I8400" s="14">
        <f>DATE(2012,12,31)-624</f>
        <v>40650</v>
      </c>
      <c r="J8400" s="15" t="s">
        <v>28</v>
      </c>
      <c r="K8400" s="9">
        <v>31</v>
      </c>
      <c r="L8400" s="16" t="s">
        <v>27</v>
      </c>
      <c r="M8400" s="16">
        <f t="shared" si="789"/>
        <v>0.37487478695363075</v>
      </c>
      <c r="N8400">
        <f t="shared" si="790"/>
        <v>0</v>
      </c>
      <c r="O8400">
        <f t="shared" si="791"/>
        <v>0</v>
      </c>
      <c r="P8400">
        <f t="shared" si="788"/>
        <v>4950</v>
      </c>
      <c r="Q8400">
        <f t="shared" si="792"/>
        <v>4950</v>
      </c>
      <c r="T8400" s="16">
        <f t="shared" si="793"/>
        <v>0.37487478695363036</v>
      </c>
    </row>
    <row r="8401" spans="7:20" ht="14.4" x14ac:dyDescent="0.25">
      <c r="G8401" s="10">
        <v>6492</v>
      </c>
      <c r="H8401" s="9">
        <v>46212</v>
      </c>
      <c r="I8401" s="14">
        <f>DATE(2012,12,31)-110</f>
        <v>41164</v>
      </c>
      <c r="J8401" s="15" t="s">
        <v>28</v>
      </c>
      <c r="K8401" s="9">
        <v>43</v>
      </c>
      <c r="L8401" s="16" t="s">
        <v>26</v>
      </c>
      <c r="M8401" s="16">
        <f t="shared" si="789"/>
        <v>1.203592106384288</v>
      </c>
      <c r="N8401">
        <f t="shared" si="790"/>
        <v>0</v>
      </c>
      <c r="O8401">
        <f t="shared" si="791"/>
        <v>0</v>
      </c>
      <c r="P8401">
        <f t="shared" si="788"/>
        <v>5550</v>
      </c>
      <c r="Q8401">
        <f t="shared" si="792"/>
        <v>5550</v>
      </c>
      <c r="T8401" s="16">
        <f t="shared" si="793"/>
        <v>1.2035921063842876</v>
      </c>
    </row>
    <row r="8402" spans="7:20" ht="14.4" x14ac:dyDescent="0.25">
      <c r="G8402" s="10">
        <v>6526</v>
      </c>
      <c r="H8402" s="9">
        <v>46437</v>
      </c>
      <c r="I8402" s="14">
        <f>DATE(2012,12,31)-1203</f>
        <v>40071</v>
      </c>
      <c r="J8402" s="15" t="s">
        <v>16</v>
      </c>
      <c r="K8402" s="9">
        <v>49</v>
      </c>
      <c r="L8402" s="16" t="s">
        <v>29</v>
      </c>
      <c r="M8402" s="16">
        <f t="shared" si="789"/>
        <v>1.6179507660996166</v>
      </c>
      <c r="N8402">
        <f t="shared" si="790"/>
        <v>0</v>
      </c>
      <c r="O8402">
        <f t="shared" si="791"/>
        <v>0</v>
      </c>
      <c r="P8402">
        <f t="shared" si="788"/>
        <v>5850</v>
      </c>
      <c r="Q8402">
        <f t="shared" si="792"/>
        <v>5850</v>
      </c>
      <c r="T8402" s="16">
        <f t="shared" si="793"/>
        <v>1.6179507660996162</v>
      </c>
    </row>
    <row r="8403" spans="7:20" ht="14.4" x14ac:dyDescent="0.25">
      <c r="G8403" s="10">
        <v>6657</v>
      </c>
      <c r="H8403" s="9">
        <v>47360</v>
      </c>
      <c r="I8403" s="14">
        <f>DATE(2012,12,31)-815</f>
        <v>40459</v>
      </c>
      <c r="J8403" s="15" t="s">
        <v>28</v>
      </c>
      <c r="K8403" s="9">
        <v>25</v>
      </c>
      <c r="L8403" s="16" t="s">
        <v>29</v>
      </c>
      <c r="M8403" s="16">
        <f t="shared" si="789"/>
        <v>-3.9483872761697868E-2</v>
      </c>
      <c r="N8403">
        <f t="shared" si="790"/>
        <v>0</v>
      </c>
      <c r="O8403">
        <f t="shared" si="791"/>
        <v>0</v>
      </c>
      <c r="P8403">
        <f t="shared" si="788"/>
        <v>4650</v>
      </c>
      <c r="Q8403">
        <f t="shared" si="792"/>
        <v>4650</v>
      </c>
      <c r="T8403" s="16">
        <f t="shared" si="793"/>
        <v>-3.9483872761698249E-2</v>
      </c>
    </row>
    <row r="8404" spans="7:20" ht="14.4" x14ac:dyDescent="0.25">
      <c r="G8404" s="10">
        <v>7396</v>
      </c>
      <c r="H8404" s="9">
        <v>52706</v>
      </c>
      <c r="I8404" s="14">
        <f>DATE(2012,12,31)-175</f>
        <v>41099</v>
      </c>
      <c r="J8404" s="15" t="s">
        <v>25</v>
      </c>
      <c r="K8404" s="9">
        <v>34</v>
      </c>
      <c r="L8404" s="16" t="s">
        <v>26</v>
      </c>
      <c r="M8404" s="16">
        <f t="shared" si="789"/>
        <v>0.58205411681129504</v>
      </c>
      <c r="N8404">
        <f t="shared" si="790"/>
        <v>0</v>
      </c>
      <c r="O8404">
        <f t="shared" si="791"/>
        <v>0</v>
      </c>
      <c r="P8404">
        <f t="shared" si="788"/>
        <v>5100</v>
      </c>
      <c r="Q8404">
        <f t="shared" si="792"/>
        <v>5100</v>
      </c>
      <c r="T8404" s="16">
        <f t="shared" si="793"/>
        <v>0.58205411681129471</v>
      </c>
    </row>
    <row r="8405" spans="7:20" ht="14.4" x14ac:dyDescent="0.25">
      <c r="G8405" s="10">
        <v>7586</v>
      </c>
      <c r="H8405" s="9">
        <v>54279</v>
      </c>
      <c r="I8405" s="14">
        <f>DATE(2012,12,31)-520</f>
        <v>40754</v>
      </c>
      <c r="J8405" s="15" t="s">
        <v>17</v>
      </c>
      <c r="K8405" s="9">
        <v>41</v>
      </c>
      <c r="L8405" s="16" t="s">
        <v>27</v>
      </c>
      <c r="M8405" s="16">
        <f t="shared" si="789"/>
        <v>1.0654725531458451</v>
      </c>
      <c r="N8405">
        <f t="shared" si="790"/>
        <v>0</v>
      </c>
      <c r="O8405">
        <f t="shared" si="791"/>
        <v>0</v>
      </c>
      <c r="P8405">
        <f t="shared" si="788"/>
        <v>5450</v>
      </c>
      <c r="Q8405">
        <f t="shared" si="792"/>
        <v>5450</v>
      </c>
      <c r="T8405" s="16">
        <f t="shared" si="793"/>
        <v>1.0654725531458447</v>
      </c>
    </row>
    <row r="8406" spans="7:20" ht="14.4" x14ac:dyDescent="0.25">
      <c r="G8406" s="10">
        <v>7765</v>
      </c>
      <c r="H8406" s="9">
        <v>55558</v>
      </c>
      <c r="I8406" s="14">
        <f>DATE(2012,12,31)-875</f>
        <v>40399</v>
      </c>
      <c r="J8406" s="15" t="s">
        <v>16</v>
      </c>
      <c r="K8406" s="9">
        <v>8</v>
      </c>
      <c r="L8406" s="16" t="s">
        <v>29</v>
      </c>
      <c r="M8406" s="16">
        <f t="shared" si="789"/>
        <v>-1.2135000752884624</v>
      </c>
      <c r="N8406">
        <f t="shared" si="790"/>
        <v>0</v>
      </c>
      <c r="O8406">
        <f t="shared" si="791"/>
        <v>0</v>
      </c>
      <c r="P8406">
        <f t="shared" si="788"/>
        <v>3800</v>
      </c>
      <c r="Q8406">
        <f t="shared" si="792"/>
        <v>3800</v>
      </c>
      <c r="T8406" s="16">
        <f t="shared" si="793"/>
        <v>-1.2135000752884626</v>
      </c>
    </row>
    <row r="8407" spans="7:20" ht="14.4" x14ac:dyDescent="0.25">
      <c r="G8407" s="10">
        <v>7766</v>
      </c>
      <c r="H8407" s="9">
        <v>55558</v>
      </c>
      <c r="I8407" s="14">
        <f>DATE(2012,12,31)-875</f>
        <v>40399</v>
      </c>
      <c r="J8407" s="15" t="s">
        <v>16</v>
      </c>
      <c r="K8407" s="9">
        <v>23</v>
      </c>
      <c r="L8407" s="16" t="s">
        <v>26</v>
      </c>
      <c r="M8407" s="16">
        <f t="shared" si="789"/>
        <v>-0.17760342600014073</v>
      </c>
      <c r="N8407">
        <f t="shared" si="790"/>
        <v>0</v>
      </c>
      <c r="O8407">
        <f t="shared" si="791"/>
        <v>0</v>
      </c>
      <c r="P8407">
        <f t="shared" si="788"/>
        <v>4550</v>
      </c>
      <c r="Q8407">
        <f t="shared" si="792"/>
        <v>4550</v>
      </c>
      <c r="T8407" s="16">
        <f t="shared" si="793"/>
        <v>-0.17760342600014112</v>
      </c>
    </row>
    <row r="8408" spans="7:20" ht="14.4" x14ac:dyDescent="0.25">
      <c r="G8408" s="10">
        <v>7906</v>
      </c>
      <c r="H8408" s="9">
        <v>56550</v>
      </c>
      <c r="I8408" s="14">
        <f>DATE(2012,12,31)-633</f>
        <v>40641</v>
      </c>
      <c r="J8408" s="15" t="s">
        <v>28</v>
      </c>
      <c r="K8408" s="9">
        <v>37</v>
      </c>
      <c r="L8408" s="16" t="s">
        <v>29</v>
      </c>
      <c r="M8408" s="16">
        <f t="shared" si="789"/>
        <v>0.78923344666895934</v>
      </c>
      <c r="N8408">
        <f t="shared" si="790"/>
        <v>0</v>
      </c>
      <c r="O8408">
        <f t="shared" si="791"/>
        <v>0</v>
      </c>
      <c r="P8408">
        <f t="shared" si="788"/>
        <v>5250</v>
      </c>
      <c r="Q8408">
        <f t="shared" si="792"/>
        <v>5250</v>
      </c>
      <c r="T8408" s="16">
        <f t="shared" si="793"/>
        <v>0.789233446668959</v>
      </c>
    </row>
    <row r="8409" spans="7:20" ht="14.4" x14ac:dyDescent="0.25">
      <c r="G8409" s="10">
        <v>7907</v>
      </c>
      <c r="H8409" s="9">
        <v>56550</v>
      </c>
      <c r="I8409" s="14">
        <f>DATE(2012,12,31)-633</f>
        <v>40641</v>
      </c>
      <c r="J8409" s="15" t="s">
        <v>28</v>
      </c>
      <c r="K8409" s="9">
        <v>8</v>
      </c>
      <c r="L8409" s="16" t="s">
        <v>27</v>
      </c>
      <c r="M8409" s="16">
        <f t="shared" si="789"/>
        <v>-1.2135000752884624</v>
      </c>
      <c r="N8409">
        <f t="shared" si="790"/>
        <v>0</v>
      </c>
      <c r="O8409">
        <f t="shared" si="791"/>
        <v>0</v>
      </c>
      <c r="P8409">
        <f t="shared" si="788"/>
        <v>3800</v>
      </c>
      <c r="Q8409">
        <f t="shared" si="792"/>
        <v>3800</v>
      </c>
      <c r="T8409" s="16">
        <f t="shared" si="793"/>
        <v>-1.2135000752884626</v>
      </c>
    </row>
    <row r="8410" spans="7:20" ht="14.4" x14ac:dyDescent="0.25">
      <c r="G8410" s="10">
        <v>7914</v>
      </c>
      <c r="H8410" s="9">
        <v>56581</v>
      </c>
      <c r="I8410" s="14">
        <f>DATE(2012,12,31)-1422</f>
        <v>39852</v>
      </c>
      <c r="J8410" s="15" t="s">
        <v>17</v>
      </c>
      <c r="K8410" s="9">
        <v>20</v>
      </c>
      <c r="L8410" s="16" t="s">
        <v>29</v>
      </c>
      <c r="M8410" s="16">
        <f t="shared" si="789"/>
        <v>-0.38478275585780503</v>
      </c>
      <c r="N8410">
        <f t="shared" si="790"/>
        <v>0</v>
      </c>
      <c r="O8410">
        <f t="shared" si="791"/>
        <v>0</v>
      </c>
      <c r="P8410">
        <f t="shared" si="788"/>
        <v>4400</v>
      </c>
      <c r="Q8410">
        <f t="shared" si="792"/>
        <v>4400</v>
      </c>
      <c r="T8410" s="16">
        <f t="shared" si="793"/>
        <v>-0.38478275585780541</v>
      </c>
    </row>
  </sheetData>
  <sheetProtection selectLockedCells="1" selectUnlockedCells="1"/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BDA501_DS_question2</vt:lpstr>
      <vt:lpstr>BDA501_DS_question3</vt:lpstr>
      <vt:lpstr>Sheet1</vt:lpstr>
    </vt:vector>
  </TitlesOfParts>
  <Company>Indiana State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Connie McLaren</dc:creator>
  <cp:lastModifiedBy>Turkan Sevgili [Veri Analitigi Teftis Bolumu]</cp:lastModifiedBy>
  <cp:lastPrinted>2010-02-02T20:40:16Z</cp:lastPrinted>
  <dcterms:created xsi:type="dcterms:W3CDTF">2007-09-10T01:10:01Z</dcterms:created>
  <dcterms:modified xsi:type="dcterms:W3CDTF">2017-10-16T08:43:02Z</dcterms:modified>
</cp:coreProperties>
</file>